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corporativo\sgt\REAJUSTE\Concessionárias de Distribuição\2022\08 - D44 - Urussanga (EFLUL) (Ana)\Estrutura\"/>
    </mc:Choice>
  </mc:AlternateContent>
  <xr:revisionPtr revIDLastSave="0" documentId="13_ncr:1_{88360442-BC32-43A0-BC9C-601FAED8E49F}" xr6:coauthVersionLast="47" xr6:coauthVersionMax="47" xr10:uidLastSave="{00000000-0000-0000-0000-000000000000}"/>
  <bookViews>
    <workbookView xWindow="-108" yWindow="-108" windowWidth="23256" windowHeight="12576" firstSheet="12" activeTab="20" xr2:uid="{AD3DB477-D253-4526-9543-A106CBE3AF1D}"/>
  </bookViews>
  <sheets>
    <sheet name="TAR FIN CELESC" sheetId="33" r:id="rId1"/>
    <sheet name="Mercado_Receita" sheetId="1" r:id="rId2"/>
    <sheet name="EVENTOS" sheetId="2" r:id="rId3"/>
    <sheet name="TAR FIN" sheetId="15" r:id="rId4"/>
    <sheet name="MERCADO TUSD" sheetId="3" r:id="rId5"/>
    <sheet name="MERCADO TE" sheetId="4" r:id="rId6"/>
    <sheet name="CUSTOS" sheetId="5" r:id="rId7"/>
    <sheet name="TRANSICAO" sheetId="14" r:id="rId8"/>
    <sheet name="TR TUSD" sheetId="6" r:id="rId9"/>
    <sheet name="TUSD BE" sheetId="7" r:id="rId10"/>
    <sheet name="TUSD BF" sheetId="8" r:id="rId11"/>
    <sheet name="TUSD CVA" sheetId="9" r:id="rId12"/>
    <sheet name="TR TE" sheetId="10" r:id="rId13"/>
    <sheet name="TE BE" sheetId="11" r:id="rId14"/>
    <sheet name="TE BF" sheetId="12" r:id="rId15"/>
    <sheet name="TE CVA" sheetId="13" r:id="rId16"/>
    <sheet name="EFEITO" sheetId="16" r:id="rId17"/>
    <sheet name="SUBSIDIO" sheetId="17" r:id="rId18"/>
    <sheet name="TabDinEfeito" sheetId="18" r:id="rId19"/>
    <sheet name="TabDinSubsidio" sheetId="19" r:id="rId20"/>
    <sheet name="TABELAS REH" sheetId="36" r:id="rId21"/>
    <sheet name="CONSISTENCIA" sheetId="21" r:id="rId22"/>
    <sheet name="TUSD" sheetId="29" r:id="rId23"/>
    <sheet name="TE" sheetId="30" r:id="rId24"/>
    <sheet name="RESUMO TUSD" sheetId="31" r:id="rId25"/>
    <sheet name="RESUMO TE" sheetId="32" r:id="rId26"/>
    <sheet name="TUSD BF_350" sheetId="24" r:id="rId27"/>
    <sheet name="TE BF_350" sheetId="25" r:id="rId28"/>
    <sheet name="TabDinEfeito_350" sheetId="27" r:id="rId29"/>
    <sheet name="EFEITO_350" sheetId="26" r:id="rId30"/>
    <sheet name="EFEITO_REAL" sheetId="34" r:id="rId31"/>
    <sheet name="TarifaMedia" sheetId="23" r:id="rId32"/>
    <sheet name="Descontos" sheetId="20" r:id="rId33"/>
    <sheet name="ERD" sheetId="35" r:id="rId34"/>
    <sheet name="TA - Aplicação" sheetId="37" r:id="rId35"/>
    <sheet name="TA - BE" sheetId="38" r:id="rId36"/>
    <sheet name="TA - CVA" sheetId="39" r:id="rId37"/>
  </sheets>
  <definedNames>
    <definedName name="_xlnm._FilterDatabase" localSheetId="0" hidden="1">'TAR FIN CELESC'!$A$1:$AX$71</definedName>
    <definedName name="DadosExternos_1" localSheetId="34" hidden="1">'TA - Aplicação'!$B$3:$AR$57</definedName>
    <definedName name="DadosExternos_1" localSheetId="35" hidden="1">'TA - BE'!$B$3:$AR$57</definedName>
    <definedName name="DadosExternos_1" localSheetId="36" hidden="1">'TA - CVA'!$B$3:$AR$57</definedName>
  </definedNames>
  <calcPr calcId="191029" iterate="1"/>
  <pivotCaches>
    <pivotCache cacheId="40" r:id="rId38"/>
    <pivotCache cacheId="41" r:id="rId39"/>
    <pivotCache cacheId="42" r:id="rId4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L4" i="17" l="1"/>
  <c r="AL9" i="17"/>
  <c r="AY11" i="16"/>
  <c r="V33" i="36"/>
  <c r="V32" i="36"/>
  <c r="V31" i="36"/>
  <c r="V30" i="36"/>
  <c r="V29" i="36"/>
  <c r="V28" i="36"/>
  <c r="V27" i="36"/>
  <c r="V26" i="36"/>
  <c r="V21" i="36"/>
  <c r="V16" i="36"/>
  <c r="V25" i="36"/>
  <c r="V20" i="36"/>
  <c r="V15" i="36"/>
  <c r="V24" i="36"/>
  <c r="V23" i="36"/>
  <c r="V22" i="36"/>
  <c r="V19" i="36"/>
  <c r="V18" i="36"/>
  <c r="V17" i="36"/>
  <c r="V14" i="36"/>
  <c r="V13" i="36"/>
  <c r="V12" i="36"/>
  <c r="V11" i="36"/>
  <c r="V9" i="36"/>
  <c r="V10" i="36"/>
  <c r="V8" i="36"/>
  <c r="V7" i="36"/>
  <c r="V6" i="36"/>
  <c r="V5" i="36"/>
  <c r="J15" i="36"/>
  <c r="J14" i="36"/>
  <c r="J10" i="36"/>
  <c r="J9" i="36"/>
  <c r="J6" i="36"/>
  <c r="J5" i="36"/>
  <c r="I3" i="35"/>
  <c r="I2" i="35" s="1"/>
  <c r="K3" i="35"/>
  <c r="K2" i="35" s="1"/>
  <c r="B2" i="35"/>
  <c r="C2" i="35"/>
  <c r="D2" i="35"/>
  <c r="E2" i="35"/>
  <c r="F2" i="35"/>
  <c r="G2" i="35"/>
  <c r="H2" i="35"/>
  <c r="J2" i="35"/>
  <c r="L2" i="35"/>
  <c r="B11" i="35"/>
  <c r="X604" i="34" l="1"/>
  <c r="X594" i="34"/>
  <c r="X595" i="34"/>
  <c r="X596" i="34"/>
  <c r="X597" i="34"/>
  <c r="X598" i="34"/>
  <c r="X599" i="34"/>
  <c r="AD599" i="34" s="1"/>
  <c r="X600" i="34"/>
  <c r="AD600" i="34" s="1"/>
  <c r="X601" i="34"/>
  <c r="AD601" i="34" s="1"/>
  <c r="X602" i="34"/>
  <c r="X603" i="34"/>
  <c r="X593" i="34"/>
  <c r="AD593" i="34" s="1"/>
  <c r="W594" i="34"/>
  <c r="W595" i="34"/>
  <c r="W596" i="34"/>
  <c r="AC596" i="34" s="1"/>
  <c r="W597" i="34"/>
  <c r="AC597" i="34" s="1"/>
  <c r="W598" i="34"/>
  <c r="W599" i="34"/>
  <c r="W600" i="34"/>
  <c r="AC600" i="34" s="1"/>
  <c r="W601" i="34"/>
  <c r="W602" i="34"/>
  <c r="W603" i="34"/>
  <c r="W604" i="34"/>
  <c r="AC604" i="34" s="1"/>
  <c r="W593" i="34"/>
  <c r="AC593" i="34" s="1"/>
  <c r="X592" i="34"/>
  <c r="X582" i="34"/>
  <c r="X583" i="34"/>
  <c r="X584" i="34"/>
  <c r="X585" i="34"/>
  <c r="X586" i="34"/>
  <c r="X587" i="34"/>
  <c r="AD587" i="34" s="1"/>
  <c r="X588" i="34"/>
  <c r="AD588" i="34" s="1"/>
  <c r="X589" i="34"/>
  <c r="X590" i="34"/>
  <c r="X591" i="34"/>
  <c r="X581" i="34"/>
  <c r="AD581" i="34" s="1"/>
  <c r="W582" i="34"/>
  <c r="W583" i="34"/>
  <c r="W584" i="34"/>
  <c r="AC584" i="34" s="1"/>
  <c r="W585" i="34"/>
  <c r="AC585" i="34" s="1"/>
  <c r="W586" i="34"/>
  <c r="W587" i="34"/>
  <c r="W588" i="34"/>
  <c r="AC588" i="34" s="1"/>
  <c r="W589" i="34"/>
  <c r="W590" i="34"/>
  <c r="W591" i="34"/>
  <c r="W592" i="34"/>
  <c r="AC592" i="34" s="1"/>
  <c r="W581" i="34"/>
  <c r="AC581" i="34" s="1"/>
  <c r="X580" i="34"/>
  <c r="AD580" i="34" s="1"/>
  <c r="X498" i="34"/>
  <c r="X499" i="34"/>
  <c r="X500" i="34"/>
  <c r="X501" i="34"/>
  <c r="X502" i="34"/>
  <c r="X503" i="34"/>
  <c r="AD503" i="34" s="1"/>
  <c r="X504" i="34"/>
  <c r="AD504" i="34" s="1"/>
  <c r="X505" i="34"/>
  <c r="AD505" i="34" s="1"/>
  <c r="X506" i="34"/>
  <c r="X507" i="34"/>
  <c r="X508" i="34"/>
  <c r="X509" i="34"/>
  <c r="X510" i="34"/>
  <c r="X511" i="34"/>
  <c r="AD511" i="34" s="1"/>
  <c r="X512" i="34"/>
  <c r="AD512" i="34" s="1"/>
  <c r="X513" i="34"/>
  <c r="AD513" i="34" s="1"/>
  <c r="X514" i="34"/>
  <c r="X515" i="34"/>
  <c r="X516" i="34"/>
  <c r="X517" i="34"/>
  <c r="X518" i="34"/>
  <c r="X519" i="34"/>
  <c r="AD519" i="34" s="1"/>
  <c r="X520" i="34"/>
  <c r="AD520" i="34" s="1"/>
  <c r="X521" i="34"/>
  <c r="X522" i="34"/>
  <c r="X523" i="34"/>
  <c r="X524" i="34"/>
  <c r="X525" i="34"/>
  <c r="X526" i="34"/>
  <c r="X527" i="34"/>
  <c r="AD527" i="34" s="1"/>
  <c r="X528" i="34"/>
  <c r="AD528" i="34" s="1"/>
  <c r="X529" i="34"/>
  <c r="AD529" i="34" s="1"/>
  <c r="X530" i="34"/>
  <c r="X531" i="34"/>
  <c r="X532" i="34"/>
  <c r="X533" i="34"/>
  <c r="X534" i="34"/>
  <c r="X535" i="34"/>
  <c r="X536" i="34"/>
  <c r="AD536" i="34" s="1"/>
  <c r="X537" i="34"/>
  <c r="AD537" i="34" s="1"/>
  <c r="X538" i="34"/>
  <c r="X539" i="34"/>
  <c r="X540" i="34"/>
  <c r="X541" i="34"/>
  <c r="X542" i="34"/>
  <c r="X543" i="34"/>
  <c r="AD543" i="34" s="1"/>
  <c r="X544" i="34"/>
  <c r="AD544" i="34" s="1"/>
  <c r="X545" i="34"/>
  <c r="X546" i="34"/>
  <c r="X547" i="34"/>
  <c r="X548" i="34"/>
  <c r="X549" i="34"/>
  <c r="X550" i="34"/>
  <c r="X551" i="34"/>
  <c r="AD551" i="34" s="1"/>
  <c r="X552" i="34"/>
  <c r="AD552" i="34" s="1"/>
  <c r="X553" i="34"/>
  <c r="AD553" i="34" s="1"/>
  <c r="X554" i="34"/>
  <c r="X555" i="34"/>
  <c r="X556" i="34"/>
  <c r="X557" i="34"/>
  <c r="X558" i="34"/>
  <c r="X559" i="34"/>
  <c r="X560" i="34"/>
  <c r="AD560" i="34" s="1"/>
  <c r="X561" i="34"/>
  <c r="AD561" i="34" s="1"/>
  <c r="X562" i="34"/>
  <c r="X563" i="34"/>
  <c r="X564" i="34"/>
  <c r="X565" i="34"/>
  <c r="X566" i="34"/>
  <c r="X567" i="34"/>
  <c r="AD567" i="34" s="1"/>
  <c r="X568" i="34"/>
  <c r="AD568" i="34" s="1"/>
  <c r="X569" i="34"/>
  <c r="AD569" i="34" s="1"/>
  <c r="X570" i="34"/>
  <c r="X571" i="34"/>
  <c r="X572" i="34"/>
  <c r="X573" i="34"/>
  <c r="X574" i="34"/>
  <c r="X575" i="34"/>
  <c r="AD575" i="34" s="1"/>
  <c r="X576" i="34"/>
  <c r="AD576" i="34" s="1"/>
  <c r="X577" i="34"/>
  <c r="X578" i="34"/>
  <c r="X579" i="34"/>
  <c r="X497" i="34"/>
  <c r="W580" i="34"/>
  <c r="W498" i="34"/>
  <c r="W499" i="34"/>
  <c r="AC499" i="34" s="1"/>
  <c r="W500" i="34"/>
  <c r="AC500" i="34" s="1"/>
  <c r="W501" i="34"/>
  <c r="W502" i="34"/>
  <c r="W503" i="34"/>
  <c r="W504" i="34"/>
  <c r="W505" i="34"/>
  <c r="AC505" i="34" s="1"/>
  <c r="W506" i="34"/>
  <c r="W507" i="34"/>
  <c r="W508" i="34"/>
  <c r="AC508" i="34" s="1"/>
  <c r="W509" i="34"/>
  <c r="W510" i="34"/>
  <c r="W511" i="34"/>
  <c r="W512" i="34"/>
  <c r="AC512" i="34" s="1"/>
  <c r="W513" i="34"/>
  <c r="AC513" i="34" s="1"/>
  <c r="W514" i="34"/>
  <c r="W515" i="34"/>
  <c r="AC515" i="34" s="1"/>
  <c r="W516" i="34"/>
  <c r="AC516" i="34" s="1"/>
  <c r="W517" i="34"/>
  <c r="W518" i="34"/>
  <c r="W519" i="34"/>
  <c r="W520" i="34"/>
  <c r="AC520" i="34" s="1"/>
  <c r="W521" i="34"/>
  <c r="AC521" i="34" s="1"/>
  <c r="W522" i="34"/>
  <c r="W523" i="34"/>
  <c r="AC523" i="34" s="1"/>
  <c r="W524" i="34"/>
  <c r="AC524" i="34" s="1"/>
  <c r="W525" i="34"/>
  <c r="W526" i="34"/>
  <c r="W527" i="34"/>
  <c r="W528" i="34"/>
  <c r="AC528" i="34" s="1"/>
  <c r="W529" i="34"/>
  <c r="AC529" i="34" s="1"/>
  <c r="W530" i="34"/>
  <c r="W531" i="34"/>
  <c r="AC531" i="34" s="1"/>
  <c r="W532" i="34"/>
  <c r="AC532" i="34" s="1"/>
  <c r="W533" i="34"/>
  <c r="W534" i="34"/>
  <c r="W535" i="34"/>
  <c r="W536" i="34"/>
  <c r="AC536" i="34" s="1"/>
  <c r="W537" i="34"/>
  <c r="W538" i="34"/>
  <c r="W539" i="34"/>
  <c r="AC539" i="34" s="1"/>
  <c r="W540" i="34"/>
  <c r="AC540" i="34" s="1"/>
  <c r="W541" i="34"/>
  <c r="W542" i="34"/>
  <c r="W543" i="34"/>
  <c r="W544" i="34"/>
  <c r="AC544" i="34" s="1"/>
  <c r="W545" i="34"/>
  <c r="W546" i="34"/>
  <c r="W547" i="34"/>
  <c r="AC547" i="34" s="1"/>
  <c r="W548" i="34"/>
  <c r="AC548" i="34" s="1"/>
  <c r="W549" i="34"/>
  <c r="W550" i="34"/>
  <c r="W551" i="34"/>
  <c r="W552" i="34"/>
  <c r="AC552" i="34" s="1"/>
  <c r="W553" i="34"/>
  <c r="W554" i="34"/>
  <c r="W555" i="34"/>
  <c r="AC555" i="34" s="1"/>
  <c r="W556" i="34"/>
  <c r="AC556" i="34" s="1"/>
  <c r="W557" i="34"/>
  <c r="W558" i="34"/>
  <c r="W559" i="34"/>
  <c r="W560" i="34"/>
  <c r="AC560" i="34" s="1"/>
  <c r="W561" i="34"/>
  <c r="W562" i="34"/>
  <c r="W563" i="34"/>
  <c r="AC563" i="34" s="1"/>
  <c r="W564" i="34"/>
  <c r="AC564" i="34" s="1"/>
  <c r="W565" i="34"/>
  <c r="W566" i="34"/>
  <c r="W567" i="34"/>
  <c r="W568" i="34"/>
  <c r="W569" i="34"/>
  <c r="AC569" i="34" s="1"/>
  <c r="W570" i="34"/>
  <c r="W571" i="34"/>
  <c r="AC571" i="34" s="1"/>
  <c r="W572" i="34"/>
  <c r="AC572" i="34" s="1"/>
  <c r="W573" i="34"/>
  <c r="W574" i="34"/>
  <c r="W575" i="34"/>
  <c r="W576" i="34"/>
  <c r="AC576" i="34" s="1"/>
  <c r="W577" i="34"/>
  <c r="AC577" i="34" s="1"/>
  <c r="W578" i="34"/>
  <c r="W579" i="34"/>
  <c r="AC579" i="34" s="1"/>
  <c r="W497" i="34"/>
  <c r="AC497" i="34" s="1"/>
  <c r="X486" i="34"/>
  <c r="X487" i="34"/>
  <c r="X488" i="34"/>
  <c r="X489" i="34"/>
  <c r="X490" i="34"/>
  <c r="X491" i="34"/>
  <c r="X492" i="34"/>
  <c r="AD492" i="34" s="1"/>
  <c r="X493" i="34"/>
  <c r="AD493" i="34" s="1"/>
  <c r="X494" i="34"/>
  <c r="X495" i="34"/>
  <c r="X496" i="34"/>
  <c r="X485" i="34"/>
  <c r="W486" i="34"/>
  <c r="W487" i="34"/>
  <c r="W488" i="34"/>
  <c r="AC488" i="34" s="1"/>
  <c r="W489" i="34"/>
  <c r="AC489" i="34" s="1"/>
  <c r="W490" i="34"/>
  <c r="W491" i="34"/>
  <c r="W492" i="34"/>
  <c r="AC492" i="34" s="1"/>
  <c r="W493" i="34"/>
  <c r="W494" i="34"/>
  <c r="W495" i="34"/>
  <c r="W496" i="34"/>
  <c r="AC496" i="34" s="1"/>
  <c r="W485" i="34"/>
  <c r="AC485" i="34" s="1"/>
  <c r="X474" i="34"/>
  <c r="X475" i="34"/>
  <c r="X476" i="34"/>
  <c r="X477" i="34"/>
  <c r="X478" i="34"/>
  <c r="X479" i="34"/>
  <c r="X480" i="34"/>
  <c r="AD480" i="34" s="1"/>
  <c r="X481" i="34"/>
  <c r="AD481" i="34" s="1"/>
  <c r="X482" i="34"/>
  <c r="X483" i="34"/>
  <c r="X484" i="34"/>
  <c r="X473" i="34"/>
  <c r="W474" i="34"/>
  <c r="W475" i="34"/>
  <c r="W476" i="34"/>
  <c r="AC476" i="34" s="1"/>
  <c r="W477" i="34"/>
  <c r="AC477" i="34" s="1"/>
  <c r="W478" i="34"/>
  <c r="W479" i="34"/>
  <c r="W480" i="34"/>
  <c r="AC480" i="34" s="1"/>
  <c r="W481" i="34"/>
  <c r="W482" i="34"/>
  <c r="W483" i="34"/>
  <c r="W484" i="34"/>
  <c r="AC484" i="34" s="1"/>
  <c r="W473" i="34"/>
  <c r="AC473" i="34" s="1"/>
  <c r="X462" i="34"/>
  <c r="X463" i="34"/>
  <c r="X464" i="34"/>
  <c r="X465" i="34"/>
  <c r="X466" i="34"/>
  <c r="X467" i="34"/>
  <c r="X468" i="34"/>
  <c r="AD468" i="34" s="1"/>
  <c r="X469" i="34"/>
  <c r="AD469" i="34" s="1"/>
  <c r="X470" i="34"/>
  <c r="X471" i="34"/>
  <c r="X472" i="34"/>
  <c r="X461" i="34"/>
  <c r="W462" i="34"/>
  <c r="W463" i="34"/>
  <c r="W464" i="34"/>
  <c r="AC464" i="34" s="1"/>
  <c r="W465" i="34"/>
  <c r="AC465" i="34" s="1"/>
  <c r="W466" i="34"/>
  <c r="W467" i="34"/>
  <c r="W468" i="34"/>
  <c r="AC468" i="34" s="1"/>
  <c r="W469" i="34"/>
  <c r="AC469" i="34" s="1"/>
  <c r="W470" i="34"/>
  <c r="W471" i="34"/>
  <c r="W472" i="34"/>
  <c r="AC472" i="34" s="1"/>
  <c r="W461" i="34"/>
  <c r="AC461" i="34" s="1"/>
  <c r="X450" i="34"/>
  <c r="X451" i="34"/>
  <c r="X452" i="34"/>
  <c r="X453" i="34"/>
  <c r="X454" i="34"/>
  <c r="X455" i="34"/>
  <c r="X456" i="34"/>
  <c r="X457" i="34"/>
  <c r="AD457" i="34" s="1"/>
  <c r="X458" i="34"/>
  <c r="X459" i="34"/>
  <c r="X460" i="34"/>
  <c r="X449" i="34"/>
  <c r="W450" i="34"/>
  <c r="W451" i="34"/>
  <c r="W452" i="34"/>
  <c r="AC452" i="34" s="1"/>
  <c r="W453" i="34"/>
  <c r="AC453" i="34" s="1"/>
  <c r="W454" i="34"/>
  <c r="W455" i="34"/>
  <c r="W456" i="34"/>
  <c r="W457" i="34"/>
  <c r="AC457" i="34" s="1"/>
  <c r="W458" i="34"/>
  <c r="W459" i="34"/>
  <c r="W460" i="34"/>
  <c r="AC460" i="34" s="1"/>
  <c r="W449" i="34"/>
  <c r="AC449" i="34" s="1"/>
  <c r="X438" i="34"/>
  <c r="X439" i="34"/>
  <c r="X440" i="34"/>
  <c r="X441" i="34"/>
  <c r="X442" i="34"/>
  <c r="X443" i="34"/>
  <c r="X444" i="34"/>
  <c r="AD444" i="34" s="1"/>
  <c r="X445" i="34"/>
  <c r="AD445" i="34" s="1"/>
  <c r="X446" i="34"/>
  <c r="X447" i="34"/>
  <c r="X448" i="34"/>
  <c r="X437" i="34"/>
  <c r="W438" i="34"/>
  <c r="W439" i="34"/>
  <c r="W440" i="34"/>
  <c r="AC440" i="34" s="1"/>
  <c r="W441" i="34"/>
  <c r="AC441" i="34" s="1"/>
  <c r="W442" i="34"/>
  <c r="W443" i="34"/>
  <c r="W444" i="34"/>
  <c r="W445" i="34"/>
  <c r="AC445" i="34" s="1"/>
  <c r="W446" i="34"/>
  <c r="W447" i="34"/>
  <c r="W448" i="34"/>
  <c r="AC448" i="34" s="1"/>
  <c r="W437" i="34"/>
  <c r="AC437" i="34" s="1"/>
  <c r="X426" i="34"/>
  <c r="X427" i="34"/>
  <c r="X428" i="34"/>
  <c r="X429" i="34"/>
  <c r="X430" i="34"/>
  <c r="X431" i="34"/>
  <c r="X432" i="34"/>
  <c r="AD432" i="34" s="1"/>
  <c r="X433" i="34"/>
  <c r="AD433" i="34" s="1"/>
  <c r="X434" i="34"/>
  <c r="X435" i="34"/>
  <c r="X436" i="34"/>
  <c r="X425" i="34"/>
  <c r="W426" i="34"/>
  <c r="W427" i="34"/>
  <c r="W428" i="34"/>
  <c r="AC428" i="34" s="1"/>
  <c r="W429" i="34"/>
  <c r="AC429" i="34" s="1"/>
  <c r="W430" i="34"/>
  <c r="W431" i="34"/>
  <c r="W432" i="34"/>
  <c r="AC432" i="34" s="1"/>
  <c r="W433" i="34"/>
  <c r="W434" i="34"/>
  <c r="W435" i="34"/>
  <c r="W436" i="34"/>
  <c r="AC436" i="34" s="1"/>
  <c r="W425" i="34"/>
  <c r="AC425" i="34" s="1"/>
  <c r="X424" i="34"/>
  <c r="X363" i="34"/>
  <c r="X364" i="34"/>
  <c r="X365" i="34"/>
  <c r="X366" i="34"/>
  <c r="X367" i="34"/>
  <c r="X368" i="34"/>
  <c r="AD368" i="34" s="1"/>
  <c r="X369" i="34"/>
  <c r="AD369" i="34" s="1"/>
  <c r="X370" i="34"/>
  <c r="AD370" i="34" s="1"/>
  <c r="X371" i="34"/>
  <c r="X372" i="34"/>
  <c r="X373" i="34"/>
  <c r="X374" i="34"/>
  <c r="X375" i="34"/>
  <c r="X376" i="34"/>
  <c r="X377" i="34"/>
  <c r="AD377" i="34" s="1"/>
  <c r="X378" i="34"/>
  <c r="AD378" i="34" s="1"/>
  <c r="X379" i="34"/>
  <c r="X380" i="34"/>
  <c r="X381" i="34"/>
  <c r="X382" i="34"/>
  <c r="X383" i="34"/>
  <c r="X384" i="34"/>
  <c r="AD384" i="34" s="1"/>
  <c r="X385" i="34"/>
  <c r="AD385" i="34" s="1"/>
  <c r="X386" i="34"/>
  <c r="AD386" i="34" s="1"/>
  <c r="X387" i="34"/>
  <c r="X388" i="34"/>
  <c r="X389" i="34"/>
  <c r="X390" i="34"/>
  <c r="X391" i="34"/>
  <c r="X392" i="34"/>
  <c r="AD392" i="34" s="1"/>
  <c r="X393" i="34"/>
  <c r="AD393" i="34" s="1"/>
  <c r="X394" i="34"/>
  <c r="X395" i="34"/>
  <c r="X396" i="34"/>
  <c r="X397" i="34"/>
  <c r="X398" i="34"/>
  <c r="X399" i="34"/>
  <c r="X400" i="34"/>
  <c r="AD400" i="34" s="1"/>
  <c r="X401" i="34"/>
  <c r="AD401" i="34" s="1"/>
  <c r="X402" i="34"/>
  <c r="AD402" i="34" s="1"/>
  <c r="X403" i="34"/>
  <c r="X404" i="34"/>
  <c r="X405" i="34"/>
  <c r="X406" i="34"/>
  <c r="X407" i="34"/>
  <c r="X408" i="34"/>
  <c r="AD408" i="34" s="1"/>
  <c r="X409" i="34"/>
  <c r="AD409" i="34" s="1"/>
  <c r="X410" i="34"/>
  <c r="X411" i="34"/>
  <c r="X412" i="34"/>
  <c r="X413" i="34"/>
  <c r="X414" i="34"/>
  <c r="X415" i="34"/>
  <c r="X416" i="34"/>
  <c r="AD416" i="34" s="1"/>
  <c r="X417" i="34"/>
  <c r="AD417" i="34" s="1"/>
  <c r="X418" i="34"/>
  <c r="AD418" i="34" s="1"/>
  <c r="X419" i="34"/>
  <c r="X420" i="34"/>
  <c r="X421" i="34"/>
  <c r="X422" i="34"/>
  <c r="X423" i="34"/>
  <c r="X362" i="34"/>
  <c r="AD362" i="34" s="1"/>
  <c r="W363" i="34"/>
  <c r="AC363" i="34" s="1"/>
  <c r="W364" i="34"/>
  <c r="W365" i="34"/>
  <c r="W366" i="34"/>
  <c r="W367" i="34"/>
  <c r="W368" i="34"/>
  <c r="W369" i="34"/>
  <c r="AC369" i="34" s="1"/>
  <c r="W370" i="34"/>
  <c r="AC370" i="34" s="1"/>
  <c r="W371" i="34"/>
  <c r="AC371" i="34" s="1"/>
  <c r="W372" i="34"/>
  <c r="W373" i="34"/>
  <c r="W374" i="34"/>
  <c r="W375" i="34"/>
  <c r="W376" i="34"/>
  <c r="W377" i="34"/>
  <c r="AC377" i="34" s="1"/>
  <c r="W378" i="34"/>
  <c r="AC378" i="34" s="1"/>
  <c r="W379" i="34"/>
  <c r="AC379" i="34" s="1"/>
  <c r="W380" i="34"/>
  <c r="W381" i="34"/>
  <c r="W382" i="34"/>
  <c r="W383" i="34"/>
  <c r="W384" i="34"/>
  <c r="W385" i="34"/>
  <c r="W386" i="34"/>
  <c r="AC386" i="34" s="1"/>
  <c r="W387" i="34"/>
  <c r="W388" i="34"/>
  <c r="W389" i="34"/>
  <c r="W390" i="34"/>
  <c r="W391" i="34"/>
  <c r="W392" i="34"/>
  <c r="W393" i="34"/>
  <c r="AC393" i="34" s="1"/>
  <c r="W394" i="34"/>
  <c r="AC394" i="34" s="1"/>
  <c r="W395" i="34"/>
  <c r="AC395" i="34" s="1"/>
  <c r="W396" i="34"/>
  <c r="W397" i="34"/>
  <c r="W398" i="34"/>
  <c r="W399" i="34"/>
  <c r="W400" i="34"/>
  <c r="W401" i="34"/>
  <c r="AC401" i="34" s="1"/>
  <c r="W402" i="34"/>
  <c r="AC402" i="34" s="1"/>
  <c r="W403" i="34"/>
  <c r="AC403" i="34" s="1"/>
  <c r="W404" i="34"/>
  <c r="W405" i="34"/>
  <c r="W406" i="34"/>
  <c r="W407" i="34"/>
  <c r="W408" i="34"/>
  <c r="W409" i="34"/>
  <c r="AC409" i="34" s="1"/>
  <c r="W410" i="34"/>
  <c r="AC410" i="34" s="1"/>
  <c r="W411" i="34"/>
  <c r="AC411" i="34" s="1"/>
  <c r="W412" i="34"/>
  <c r="W413" i="34"/>
  <c r="W414" i="34"/>
  <c r="W415" i="34"/>
  <c r="W416" i="34"/>
  <c r="W417" i="34"/>
  <c r="W418" i="34"/>
  <c r="AC418" i="34" s="1"/>
  <c r="W419" i="34"/>
  <c r="AC419" i="34" s="1"/>
  <c r="W420" i="34"/>
  <c r="W421" i="34"/>
  <c r="W422" i="34"/>
  <c r="W423" i="34"/>
  <c r="W424" i="34"/>
  <c r="W362" i="34"/>
  <c r="X351" i="34"/>
  <c r="X352" i="34"/>
  <c r="AD352" i="34" s="1"/>
  <c r="X353" i="34"/>
  <c r="X354" i="34"/>
  <c r="X355" i="34"/>
  <c r="X356" i="34"/>
  <c r="X357" i="34"/>
  <c r="X358" i="34"/>
  <c r="AD358" i="34" s="1"/>
  <c r="X359" i="34"/>
  <c r="AD359" i="34" s="1"/>
  <c r="X360" i="34"/>
  <c r="AD360" i="34" s="1"/>
  <c r="X361" i="34"/>
  <c r="X350" i="34"/>
  <c r="W351" i="34"/>
  <c r="W352" i="34"/>
  <c r="W353" i="34"/>
  <c r="W354" i="34"/>
  <c r="W355" i="34"/>
  <c r="AC355" i="34" s="1"/>
  <c r="W356" i="34"/>
  <c r="AC356" i="34" s="1"/>
  <c r="W357" i="34"/>
  <c r="W358" i="34"/>
  <c r="AC358" i="34" s="1"/>
  <c r="W359" i="34"/>
  <c r="W360" i="34"/>
  <c r="W361" i="34"/>
  <c r="W350" i="34"/>
  <c r="X338" i="34"/>
  <c r="AD338" i="34" s="1"/>
  <c r="X349" i="34"/>
  <c r="AD349" i="34" s="1"/>
  <c r="X339" i="34"/>
  <c r="X340" i="34"/>
  <c r="X341" i="34"/>
  <c r="X342" i="34"/>
  <c r="X343" i="34"/>
  <c r="X344" i="34"/>
  <c r="X345" i="34"/>
  <c r="AD345" i="34" s="1"/>
  <c r="X346" i="34"/>
  <c r="AD346" i="34" s="1"/>
  <c r="X347" i="34"/>
  <c r="X348" i="34"/>
  <c r="W339" i="34"/>
  <c r="W340" i="34"/>
  <c r="W341" i="34"/>
  <c r="W342" i="34"/>
  <c r="W343" i="34"/>
  <c r="AC343" i="34" s="1"/>
  <c r="W344" i="34"/>
  <c r="AC344" i="34" s="1"/>
  <c r="W345" i="34"/>
  <c r="W346" i="34"/>
  <c r="AC346" i="34" s="1"/>
  <c r="W347" i="34"/>
  <c r="W348" i="34"/>
  <c r="W349" i="34"/>
  <c r="W338" i="34"/>
  <c r="X327" i="34"/>
  <c r="AD327" i="34" s="1"/>
  <c r="X328" i="34"/>
  <c r="AD328" i="34" s="1"/>
  <c r="X329" i="34"/>
  <c r="X330" i="34"/>
  <c r="X331" i="34"/>
  <c r="X332" i="34"/>
  <c r="X333" i="34"/>
  <c r="X334" i="34"/>
  <c r="AD334" i="34" s="1"/>
  <c r="X335" i="34"/>
  <c r="AD335" i="34" s="1"/>
  <c r="X336" i="34"/>
  <c r="AD336" i="34" s="1"/>
  <c r="X337" i="34"/>
  <c r="X326" i="34"/>
  <c r="W327" i="34"/>
  <c r="W328" i="34"/>
  <c r="W329" i="34"/>
  <c r="W330" i="34"/>
  <c r="W331" i="34"/>
  <c r="AC331" i="34" s="1"/>
  <c r="W332" i="34"/>
  <c r="AC332" i="34" s="1"/>
  <c r="W333" i="34"/>
  <c r="AC333" i="34" s="1"/>
  <c r="W334" i="34"/>
  <c r="W335" i="34"/>
  <c r="W336" i="34"/>
  <c r="W337" i="34"/>
  <c r="W326" i="34"/>
  <c r="X315" i="34"/>
  <c r="AD315" i="34" s="1"/>
  <c r="X316" i="34"/>
  <c r="AD316" i="34" s="1"/>
  <c r="X317" i="34"/>
  <c r="X318" i="34"/>
  <c r="X319" i="34"/>
  <c r="X320" i="34"/>
  <c r="X321" i="34"/>
  <c r="AD321" i="34" s="1"/>
  <c r="X322" i="34"/>
  <c r="X323" i="34"/>
  <c r="AD323" i="34" s="1"/>
  <c r="X324" i="34"/>
  <c r="AD324" i="34" s="1"/>
  <c r="X325" i="34"/>
  <c r="W315" i="34"/>
  <c r="W316" i="34"/>
  <c r="W317" i="34"/>
  <c r="W318" i="34"/>
  <c r="W319" i="34"/>
  <c r="W320" i="34"/>
  <c r="AC320" i="34" s="1"/>
  <c r="W321" i="34"/>
  <c r="AC321" i="34" s="1"/>
  <c r="W322" i="34"/>
  <c r="AC322" i="34" s="1"/>
  <c r="W323" i="34"/>
  <c r="W324" i="34"/>
  <c r="W325" i="34"/>
  <c r="X314" i="34"/>
  <c r="W314" i="34"/>
  <c r="X291" i="34"/>
  <c r="AD291" i="34" s="1"/>
  <c r="X292" i="34"/>
  <c r="AD292" i="34" s="1"/>
  <c r="X293" i="34"/>
  <c r="X294" i="34"/>
  <c r="X295" i="34"/>
  <c r="X296" i="34"/>
  <c r="AD296" i="34" s="1"/>
  <c r="X297" i="34"/>
  <c r="AD297" i="34" s="1"/>
  <c r="X298" i="34"/>
  <c r="X299" i="34"/>
  <c r="AD299" i="34" s="1"/>
  <c r="X300" i="34"/>
  <c r="AD300" i="34" s="1"/>
  <c r="X301" i="34"/>
  <c r="X302" i="34"/>
  <c r="X303" i="34"/>
  <c r="X304" i="34"/>
  <c r="AD304" i="34" s="1"/>
  <c r="X305" i="34"/>
  <c r="AD305" i="34" s="1"/>
  <c r="X306" i="34"/>
  <c r="X307" i="34"/>
  <c r="AD307" i="34" s="1"/>
  <c r="X308" i="34"/>
  <c r="AD308" i="34" s="1"/>
  <c r="X309" i="34"/>
  <c r="X310" i="34"/>
  <c r="X311" i="34"/>
  <c r="X312" i="34"/>
  <c r="X313" i="34"/>
  <c r="AD313" i="34" s="1"/>
  <c r="W291" i="34"/>
  <c r="W292" i="34"/>
  <c r="AC292" i="34" s="1"/>
  <c r="W293" i="34"/>
  <c r="AC293" i="34" s="1"/>
  <c r="W294" i="34"/>
  <c r="W295" i="34"/>
  <c r="W296" i="34"/>
  <c r="W297" i="34"/>
  <c r="AC297" i="34" s="1"/>
  <c r="W298" i="34"/>
  <c r="AC298" i="34" s="1"/>
  <c r="W299" i="34"/>
  <c r="W300" i="34"/>
  <c r="AC300" i="34" s="1"/>
  <c r="W301" i="34"/>
  <c r="AC301" i="34" s="1"/>
  <c r="W302" i="34"/>
  <c r="W303" i="34"/>
  <c r="W304" i="34"/>
  <c r="W305" i="34"/>
  <c r="AC305" i="34" s="1"/>
  <c r="W306" i="34"/>
  <c r="AC306" i="34" s="1"/>
  <c r="W307" i="34"/>
  <c r="W308" i="34"/>
  <c r="AC308" i="34" s="1"/>
  <c r="W309" i="34"/>
  <c r="AC309" i="34" s="1"/>
  <c r="W310" i="34"/>
  <c r="W311" i="34"/>
  <c r="W312" i="34"/>
  <c r="W313" i="34"/>
  <c r="X290" i="34"/>
  <c r="W290" i="34"/>
  <c r="AE604" i="34"/>
  <c r="AB604" i="34"/>
  <c r="AD604" i="34"/>
  <c r="V604" i="34"/>
  <c r="AE603" i="34"/>
  <c r="AD603" i="34"/>
  <c r="AC603" i="34"/>
  <c r="V603" i="34"/>
  <c r="AB603" i="34" s="1"/>
  <c r="AE602" i="34"/>
  <c r="AC602" i="34"/>
  <c r="AD602" i="34"/>
  <c r="V602" i="34"/>
  <c r="AB602" i="34" s="1"/>
  <c r="AE601" i="34"/>
  <c r="AC601" i="34"/>
  <c r="V601" i="34"/>
  <c r="AB601" i="34" s="1"/>
  <c r="AE600" i="34"/>
  <c r="V600" i="34"/>
  <c r="AB600" i="34" s="1"/>
  <c r="AE599" i="34"/>
  <c r="AC599" i="34"/>
  <c r="V599" i="34"/>
  <c r="AB599" i="34" s="1"/>
  <c r="AE598" i="34"/>
  <c r="AD598" i="34"/>
  <c r="AC598" i="34"/>
  <c r="V598" i="34"/>
  <c r="AB598" i="34" s="1"/>
  <c r="AE597" i="34"/>
  <c r="AD597" i="34"/>
  <c r="V597" i="34"/>
  <c r="AB597" i="34" s="1"/>
  <c r="AE596" i="34"/>
  <c r="AD596" i="34"/>
  <c r="V596" i="34"/>
  <c r="AB596" i="34" s="1"/>
  <c r="AE595" i="34"/>
  <c r="AD595" i="34"/>
  <c r="AC595" i="34"/>
  <c r="V595" i="34"/>
  <c r="AB595" i="34" s="1"/>
  <c r="AE594" i="34"/>
  <c r="AC594" i="34"/>
  <c r="AD594" i="34"/>
  <c r="V594" i="34"/>
  <c r="AB594" i="34" s="1"/>
  <c r="AE593" i="34"/>
  <c r="V593" i="34"/>
  <c r="AB593" i="34" s="1"/>
  <c r="AE592" i="34"/>
  <c r="AD592" i="34"/>
  <c r="V592" i="34"/>
  <c r="AB592" i="34" s="1"/>
  <c r="AE591" i="34"/>
  <c r="AD591" i="34"/>
  <c r="AC591" i="34"/>
  <c r="V591" i="34"/>
  <c r="AB591" i="34" s="1"/>
  <c r="AE590" i="34"/>
  <c r="AD590" i="34"/>
  <c r="AC590" i="34"/>
  <c r="V590" i="34"/>
  <c r="AB590" i="34" s="1"/>
  <c r="AE589" i="34"/>
  <c r="AD589" i="34"/>
  <c r="AC589" i="34"/>
  <c r="V589" i="34"/>
  <c r="AB589" i="34" s="1"/>
  <c r="AE588" i="34"/>
  <c r="AB588" i="34"/>
  <c r="V588" i="34"/>
  <c r="AE587" i="34"/>
  <c r="AC587" i="34"/>
  <c r="V587" i="34"/>
  <c r="AB587" i="34" s="1"/>
  <c r="AE586" i="34"/>
  <c r="AC586" i="34"/>
  <c r="AD586" i="34"/>
  <c r="V586" i="34"/>
  <c r="AB586" i="34" s="1"/>
  <c r="AE585" i="34"/>
  <c r="AB585" i="34"/>
  <c r="AD585" i="34"/>
  <c r="V585" i="34"/>
  <c r="AE584" i="34"/>
  <c r="AD584" i="34"/>
  <c r="V584" i="34"/>
  <c r="AB584" i="34" s="1"/>
  <c r="AE583" i="34"/>
  <c r="AD583" i="34"/>
  <c r="AC583" i="34"/>
  <c r="V583" i="34"/>
  <c r="AB583" i="34" s="1"/>
  <c r="AE582" i="34"/>
  <c r="AD582" i="34"/>
  <c r="AC582" i="34"/>
  <c r="V582" i="34"/>
  <c r="AB582" i="34" s="1"/>
  <c r="AE581" i="34"/>
  <c r="AB581" i="34"/>
  <c r="V581" i="34"/>
  <c r="AE580" i="34"/>
  <c r="AB580" i="34"/>
  <c r="AC580" i="34"/>
  <c r="V580" i="34"/>
  <c r="AE579" i="34"/>
  <c r="AD579" i="34"/>
  <c r="V579" i="34"/>
  <c r="AB579" i="34" s="1"/>
  <c r="AE578" i="34"/>
  <c r="AC578" i="34"/>
  <c r="AD578" i="34"/>
  <c r="V578" i="34"/>
  <c r="AB578" i="34" s="1"/>
  <c r="AE577" i="34"/>
  <c r="AB577" i="34"/>
  <c r="AD577" i="34"/>
  <c r="V577" i="34"/>
  <c r="AE576" i="34"/>
  <c r="V576" i="34"/>
  <c r="AB576" i="34" s="1"/>
  <c r="AE575" i="34"/>
  <c r="AC575" i="34"/>
  <c r="V575" i="34"/>
  <c r="AB575" i="34" s="1"/>
  <c r="AE574" i="34"/>
  <c r="AD574" i="34"/>
  <c r="AC574" i="34"/>
  <c r="V574" i="34"/>
  <c r="AB574" i="34" s="1"/>
  <c r="AE573" i="34"/>
  <c r="AD573" i="34"/>
  <c r="AC573" i="34"/>
  <c r="V573" i="34"/>
  <c r="AB573" i="34" s="1"/>
  <c r="AE572" i="34"/>
  <c r="AB572" i="34"/>
  <c r="AD572" i="34"/>
  <c r="V572" i="34"/>
  <c r="AE571" i="34"/>
  <c r="AD571" i="34"/>
  <c r="V571" i="34"/>
  <c r="AB571" i="34" s="1"/>
  <c r="AE570" i="34"/>
  <c r="AC570" i="34"/>
  <c r="AD570" i="34"/>
  <c r="V570" i="34"/>
  <c r="AB570" i="34" s="1"/>
  <c r="AE569" i="34"/>
  <c r="AB569" i="34"/>
  <c r="V569" i="34"/>
  <c r="AE568" i="34"/>
  <c r="AC568" i="34"/>
  <c r="V568" i="34"/>
  <c r="AB568" i="34" s="1"/>
  <c r="AE567" i="34"/>
  <c r="AC567" i="34"/>
  <c r="V567" i="34"/>
  <c r="AB567" i="34" s="1"/>
  <c r="AE566" i="34"/>
  <c r="AD566" i="34"/>
  <c r="AC566" i="34"/>
  <c r="V566" i="34"/>
  <c r="AB566" i="34" s="1"/>
  <c r="AE565" i="34"/>
  <c r="AB565" i="34"/>
  <c r="AD565" i="34"/>
  <c r="AC565" i="34"/>
  <c r="V565" i="34"/>
  <c r="AE564" i="34"/>
  <c r="AD564" i="34"/>
  <c r="V564" i="34"/>
  <c r="AB564" i="34" s="1"/>
  <c r="AE563" i="34"/>
  <c r="AD563" i="34"/>
  <c r="V563" i="34"/>
  <c r="AB563" i="34" s="1"/>
  <c r="AE562" i="34"/>
  <c r="AC562" i="34"/>
  <c r="AD562" i="34"/>
  <c r="V562" i="34"/>
  <c r="AB562" i="34" s="1"/>
  <c r="AE561" i="34"/>
  <c r="AC561" i="34"/>
  <c r="V561" i="34"/>
  <c r="AB561" i="34" s="1"/>
  <c r="AE560" i="34"/>
  <c r="V560" i="34"/>
  <c r="AB560" i="34" s="1"/>
  <c r="AE559" i="34"/>
  <c r="AD559" i="34"/>
  <c r="AC559" i="34"/>
  <c r="V559" i="34"/>
  <c r="AB559" i="34" s="1"/>
  <c r="AE558" i="34"/>
  <c r="AD558" i="34"/>
  <c r="AC558" i="34"/>
  <c r="V558" i="34"/>
  <c r="AB558" i="34" s="1"/>
  <c r="AE557" i="34"/>
  <c r="AD557" i="34"/>
  <c r="AC557" i="34"/>
  <c r="V557" i="34"/>
  <c r="AB557" i="34" s="1"/>
  <c r="AE556" i="34"/>
  <c r="AD556" i="34"/>
  <c r="V556" i="34"/>
  <c r="AB556" i="34" s="1"/>
  <c r="AE555" i="34"/>
  <c r="AD555" i="34"/>
  <c r="V555" i="34"/>
  <c r="AB555" i="34" s="1"/>
  <c r="AE554" i="34"/>
  <c r="AC554" i="34"/>
  <c r="AD554" i="34"/>
  <c r="V554" i="34"/>
  <c r="AB554" i="34" s="1"/>
  <c r="AE553" i="34"/>
  <c r="AC553" i="34"/>
  <c r="V553" i="34"/>
  <c r="AB553" i="34" s="1"/>
  <c r="AE552" i="34"/>
  <c r="V552" i="34"/>
  <c r="AB552" i="34" s="1"/>
  <c r="AE551" i="34"/>
  <c r="AB551" i="34"/>
  <c r="AC551" i="34"/>
  <c r="V551" i="34"/>
  <c r="AE550" i="34"/>
  <c r="AD550" i="34"/>
  <c r="AC550" i="34"/>
  <c r="V550" i="34"/>
  <c r="AB550" i="34" s="1"/>
  <c r="AE549" i="34"/>
  <c r="AB549" i="34"/>
  <c r="AD549" i="34"/>
  <c r="AC549" i="34"/>
  <c r="V549" i="34"/>
  <c r="AE548" i="34"/>
  <c r="AB548" i="34"/>
  <c r="AD548" i="34"/>
  <c r="V548" i="34"/>
  <c r="AE547" i="34"/>
  <c r="AD547" i="34"/>
  <c r="V547" i="34"/>
  <c r="AB547" i="34" s="1"/>
  <c r="AE546" i="34"/>
  <c r="AC546" i="34"/>
  <c r="AD546" i="34"/>
  <c r="V546" i="34"/>
  <c r="AB546" i="34" s="1"/>
  <c r="AE545" i="34"/>
  <c r="AD545" i="34"/>
  <c r="AC545" i="34"/>
  <c r="V545" i="34"/>
  <c r="AB545" i="34" s="1"/>
  <c r="AE544" i="34"/>
  <c r="V544" i="34"/>
  <c r="AB544" i="34" s="1"/>
  <c r="AE543" i="34"/>
  <c r="AC543" i="34"/>
  <c r="V543" i="34"/>
  <c r="AB543" i="34" s="1"/>
  <c r="AE542" i="34"/>
  <c r="AD542" i="34"/>
  <c r="AC542" i="34"/>
  <c r="V542" i="34"/>
  <c r="AB542" i="34" s="1"/>
  <c r="AE541" i="34"/>
  <c r="AD541" i="34"/>
  <c r="AC541" i="34"/>
  <c r="V541" i="34"/>
  <c r="AB541" i="34" s="1"/>
  <c r="AE540" i="34"/>
  <c r="AB540" i="34"/>
  <c r="AD540" i="34"/>
  <c r="V540" i="34"/>
  <c r="AE539" i="34"/>
  <c r="AD539" i="34"/>
  <c r="V539" i="34"/>
  <c r="AB539" i="34" s="1"/>
  <c r="AE538" i="34"/>
  <c r="AC538" i="34"/>
  <c r="AD538" i="34"/>
  <c r="V538" i="34"/>
  <c r="AB538" i="34" s="1"/>
  <c r="AE537" i="34"/>
  <c r="AC537" i="34"/>
  <c r="AB537" i="34"/>
  <c r="V537" i="34"/>
  <c r="AE536" i="34"/>
  <c r="V536" i="34"/>
  <c r="AB536" i="34" s="1"/>
  <c r="AE535" i="34"/>
  <c r="AD535" i="34"/>
  <c r="AB535" i="34"/>
  <c r="AC535" i="34"/>
  <c r="V535" i="34"/>
  <c r="AE534" i="34"/>
  <c r="AD534" i="34"/>
  <c r="AC534" i="34"/>
  <c r="V534" i="34"/>
  <c r="AB534" i="34" s="1"/>
  <c r="AE533" i="34"/>
  <c r="AB533" i="34"/>
  <c r="AD533" i="34"/>
  <c r="AC533" i="34"/>
  <c r="V533" i="34"/>
  <c r="AE532" i="34"/>
  <c r="AD532" i="34"/>
  <c r="V532" i="34"/>
  <c r="AB532" i="34" s="1"/>
  <c r="AE531" i="34"/>
  <c r="AD531" i="34"/>
  <c r="V531" i="34"/>
  <c r="AB531" i="34" s="1"/>
  <c r="AE530" i="34"/>
  <c r="AC530" i="34"/>
  <c r="AD530" i="34"/>
  <c r="V530" i="34"/>
  <c r="AB530" i="34" s="1"/>
  <c r="AE529" i="34"/>
  <c r="V529" i="34"/>
  <c r="AB529" i="34" s="1"/>
  <c r="AE528" i="34"/>
  <c r="V528" i="34"/>
  <c r="AB528" i="34" s="1"/>
  <c r="AE527" i="34"/>
  <c r="AC527" i="34"/>
  <c r="V527" i="34"/>
  <c r="AB527" i="34" s="1"/>
  <c r="AE526" i="34"/>
  <c r="AD526" i="34"/>
  <c r="AC526" i="34"/>
  <c r="V526" i="34"/>
  <c r="AB526" i="34" s="1"/>
  <c r="AE525" i="34"/>
  <c r="AD525" i="34"/>
  <c r="AC525" i="34"/>
  <c r="V525" i="34"/>
  <c r="AB525" i="34" s="1"/>
  <c r="AE524" i="34"/>
  <c r="AB524" i="34"/>
  <c r="AD524" i="34"/>
  <c r="V524" i="34"/>
  <c r="AE523" i="34"/>
  <c r="AD523" i="34"/>
  <c r="V523" i="34"/>
  <c r="AB523" i="34" s="1"/>
  <c r="AE522" i="34"/>
  <c r="AC522" i="34"/>
  <c r="AD522" i="34"/>
  <c r="V522" i="34"/>
  <c r="AB522" i="34" s="1"/>
  <c r="AE521" i="34"/>
  <c r="AD521" i="34"/>
  <c r="V521" i="34"/>
  <c r="AB521" i="34" s="1"/>
  <c r="AE520" i="34"/>
  <c r="V520" i="34"/>
  <c r="AB520" i="34" s="1"/>
  <c r="AE519" i="34"/>
  <c r="AB519" i="34"/>
  <c r="AC519" i="34"/>
  <c r="V519" i="34"/>
  <c r="AE518" i="34"/>
  <c r="AD518" i="34"/>
  <c r="AC518" i="34"/>
  <c r="V518" i="34"/>
  <c r="AB518" i="34" s="1"/>
  <c r="AE517" i="34"/>
  <c r="AB517" i="34"/>
  <c r="AD517" i="34"/>
  <c r="AC517" i="34"/>
  <c r="V517" i="34"/>
  <c r="AE516" i="34"/>
  <c r="AD516" i="34"/>
  <c r="V516" i="34"/>
  <c r="AB516" i="34" s="1"/>
  <c r="AE515" i="34"/>
  <c r="AD515" i="34"/>
  <c r="V515" i="34"/>
  <c r="AB515" i="34" s="1"/>
  <c r="AE514" i="34"/>
  <c r="AC514" i="34"/>
  <c r="AD514" i="34"/>
  <c r="V514" i="34"/>
  <c r="AB514" i="34" s="1"/>
  <c r="AE513" i="34"/>
  <c r="AB513" i="34"/>
  <c r="V513" i="34"/>
  <c r="AE512" i="34"/>
  <c r="V512" i="34"/>
  <c r="AB512" i="34" s="1"/>
  <c r="AE511" i="34"/>
  <c r="AC511" i="34"/>
  <c r="AB511" i="34"/>
  <c r="V511" i="34"/>
  <c r="AE510" i="34"/>
  <c r="AB510" i="34"/>
  <c r="AD510" i="34"/>
  <c r="AC510" i="34"/>
  <c r="V510" i="34"/>
  <c r="AE509" i="34"/>
  <c r="AD509" i="34"/>
  <c r="AC509" i="34"/>
  <c r="V509" i="34"/>
  <c r="AB509" i="34" s="1"/>
  <c r="AE508" i="34"/>
  <c r="AD508" i="34"/>
  <c r="V508" i="34"/>
  <c r="AB508" i="34" s="1"/>
  <c r="AE507" i="34"/>
  <c r="AD507" i="34"/>
  <c r="AC507" i="34"/>
  <c r="V507" i="34"/>
  <c r="AB507" i="34" s="1"/>
  <c r="AE506" i="34"/>
  <c r="AB506" i="34"/>
  <c r="AD506" i="34"/>
  <c r="AC506" i="34"/>
  <c r="V506" i="34"/>
  <c r="AE505" i="34"/>
  <c r="V505" i="34"/>
  <c r="AB505" i="34" s="1"/>
  <c r="AE504" i="34"/>
  <c r="AC504" i="34"/>
  <c r="V504" i="34"/>
  <c r="AB504" i="34" s="1"/>
  <c r="AE503" i="34"/>
  <c r="AC503" i="34"/>
  <c r="AB503" i="34"/>
  <c r="V503" i="34"/>
  <c r="AE502" i="34"/>
  <c r="AD502" i="34"/>
  <c r="AC502" i="34"/>
  <c r="V502" i="34"/>
  <c r="AB502" i="34" s="1"/>
  <c r="AE501" i="34"/>
  <c r="AD501" i="34"/>
  <c r="AC501" i="34"/>
  <c r="V501" i="34"/>
  <c r="AB501" i="34" s="1"/>
  <c r="AE500" i="34"/>
  <c r="AD500" i="34"/>
  <c r="V500" i="34"/>
  <c r="AB500" i="34" s="1"/>
  <c r="AE499" i="34"/>
  <c r="AD499" i="34"/>
  <c r="V499" i="34"/>
  <c r="AB499" i="34" s="1"/>
  <c r="AE498" i="34"/>
  <c r="AD498" i="34"/>
  <c r="AC498" i="34"/>
  <c r="V498" i="34"/>
  <c r="AB498" i="34" s="1"/>
  <c r="AE497" i="34"/>
  <c r="AD497" i="34"/>
  <c r="V497" i="34"/>
  <c r="AB497" i="34" s="1"/>
  <c r="AE496" i="34"/>
  <c r="AD496" i="34"/>
  <c r="V496" i="34"/>
  <c r="AB496" i="34" s="1"/>
  <c r="AE495" i="34"/>
  <c r="AC495" i="34"/>
  <c r="AB495" i="34"/>
  <c r="AD495" i="34"/>
  <c r="V495" i="34"/>
  <c r="AE494" i="34"/>
  <c r="AD494" i="34"/>
  <c r="AC494" i="34"/>
  <c r="V494" i="34"/>
  <c r="AB494" i="34" s="1"/>
  <c r="AE493" i="34"/>
  <c r="AC493" i="34"/>
  <c r="V493" i="34"/>
  <c r="AB493" i="34" s="1"/>
  <c r="AE492" i="34"/>
  <c r="V492" i="34"/>
  <c r="AB492" i="34" s="1"/>
  <c r="AE491" i="34"/>
  <c r="AD491" i="34"/>
  <c r="AC491" i="34"/>
  <c r="V491" i="34"/>
  <c r="AB491" i="34" s="1"/>
  <c r="AE490" i="34"/>
  <c r="AD490" i="34"/>
  <c r="AC490" i="34"/>
  <c r="V490" i="34"/>
  <c r="AB490" i="34" s="1"/>
  <c r="AE489" i="34"/>
  <c r="AD489" i="34"/>
  <c r="V489" i="34"/>
  <c r="AB489" i="34" s="1"/>
  <c r="AE488" i="34"/>
  <c r="AD488" i="34"/>
  <c r="V488" i="34"/>
  <c r="AB488" i="34" s="1"/>
  <c r="AE487" i="34"/>
  <c r="AC487" i="34"/>
  <c r="AB487" i="34"/>
  <c r="AD487" i="34"/>
  <c r="V487" i="34"/>
  <c r="AE486" i="34"/>
  <c r="AD486" i="34"/>
  <c r="AC486" i="34"/>
  <c r="V486" i="34"/>
  <c r="AB486" i="34" s="1"/>
  <c r="AE485" i="34"/>
  <c r="AD485" i="34"/>
  <c r="V485" i="34"/>
  <c r="AB485" i="34" s="1"/>
  <c r="AE484" i="34"/>
  <c r="AD484" i="34"/>
  <c r="V484" i="34"/>
  <c r="AB484" i="34" s="1"/>
  <c r="AE483" i="34"/>
  <c r="AD483" i="34"/>
  <c r="AC483" i="34"/>
  <c r="V483" i="34"/>
  <c r="AB483" i="34" s="1"/>
  <c r="AE482" i="34"/>
  <c r="AD482" i="34"/>
  <c r="AC482" i="34"/>
  <c r="V482" i="34"/>
  <c r="AB482" i="34" s="1"/>
  <c r="AE481" i="34"/>
  <c r="AC481" i="34"/>
  <c r="V481" i="34"/>
  <c r="AB481" i="34" s="1"/>
  <c r="AE480" i="34"/>
  <c r="V480" i="34"/>
  <c r="AB480" i="34" s="1"/>
  <c r="AE479" i="34"/>
  <c r="AC479" i="34"/>
  <c r="AD479" i="34"/>
  <c r="V479" i="34"/>
  <c r="AB479" i="34" s="1"/>
  <c r="AE478" i="34"/>
  <c r="AD478" i="34"/>
  <c r="AC478" i="34"/>
  <c r="V478" i="34"/>
  <c r="AB478" i="34" s="1"/>
  <c r="AE477" i="34"/>
  <c r="AD477" i="34"/>
  <c r="V477" i="34"/>
  <c r="AB477" i="34" s="1"/>
  <c r="AE476" i="34"/>
  <c r="AD476" i="34"/>
  <c r="AB476" i="34"/>
  <c r="V476" i="34"/>
  <c r="AE475" i="34"/>
  <c r="AD475" i="34"/>
  <c r="AC475" i="34"/>
  <c r="V475" i="34"/>
  <c r="AB475" i="34" s="1"/>
  <c r="AE474" i="34"/>
  <c r="AD474" i="34"/>
  <c r="AC474" i="34"/>
  <c r="V474" i="34"/>
  <c r="AB474" i="34" s="1"/>
  <c r="AE473" i="34"/>
  <c r="AD473" i="34"/>
  <c r="V473" i="34"/>
  <c r="AB473" i="34" s="1"/>
  <c r="AE472" i="34"/>
  <c r="AB472" i="34"/>
  <c r="AD472" i="34"/>
  <c r="V472" i="34"/>
  <c r="AE471" i="34"/>
  <c r="AC471" i="34"/>
  <c r="AD471" i="34"/>
  <c r="V471" i="34"/>
  <c r="AB471" i="34" s="1"/>
  <c r="AE470" i="34"/>
  <c r="AD470" i="34"/>
  <c r="AC470" i="34"/>
  <c r="V470" i="34"/>
  <c r="AB470" i="34" s="1"/>
  <c r="AE469" i="34"/>
  <c r="V469" i="34"/>
  <c r="AB469" i="34" s="1"/>
  <c r="AE468" i="34"/>
  <c r="V468" i="34"/>
  <c r="AB468" i="34" s="1"/>
  <c r="AE467" i="34"/>
  <c r="AD467" i="34"/>
  <c r="AC467" i="34"/>
  <c r="V467" i="34"/>
  <c r="AB467" i="34" s="1"/>
  <c r="AE466" i="34"/>
  <c r="AD466" i="34"/>
  <c r="AB466" i="34"/>
  <c r="AC466" i="34"/>
  <c r="V466" i="34"/>
  <c r="AE465" i="34"/>
  <c r="AD465" i="34"/>
  <c r="V465" i="34"/>
  <c r="AB465" i="34" s="1"/>
  <c r="AE464" i="34"/>
  <c r="AD464" i="34"/>
  <c r="V464" i="34"/>
  <c r="AB464" i="34" s="1"/>
  <c r="AE463" i="34"/>
  <c r="AC463" i="34"/>
  <c r="AD463" i="34"/>
  <c r="V463" i="34"/>
  <c r="AB463" i="34" s="1"/>
  <c r="AE462" i="34"/>
  <c r="AD462" i="34"/>
  <c r="AC462" i="34"/>
  <c r="V462" i="34"/>
  <c r="AB462" i="34" s="1"/>
  <c r="AE461" i="34"/>
  <c r="AD461" i="34"/>
  <c r="V461" i="34"/>
  <c r="AB461" i="34" s="1"/>
  <c r="AE460" i="34"/>
  <c r="AD460" i="34"/>
  <c r="AB460" i="34"/>
  <c r="V460" i="34"/>
  <c r="AE459" i="34"/>
  <c r="AD459" i="34"/>
  <c r="AC459" i="34"/>
  <c r="V459" i="34"/>
  <c r="AB459" i="34" s="1"/>
  <c r="AE458" i="34"/>
  <c r="AD458" i="34"/>
  <c r="AB458" i="34"/>
  <c r="AC458" i="34"/>
  <c r="V458" i="34"/>
  <c r="AE457" i="34"/>
  <c r="V457" i="34"/>
  <c r="AB457" i="34" s="1"/>
  <c r="AE456" i="34"/>
  <c r="AD456" i="34"/>
  <c r="AC456" i="34"/>
  <c r="V456" i="34"/>
  <c r="AB456" i="34" s="1"/>
  <c r="AE455" i="34"/>
  <c r="AC455" i="34"/>
  <c r="AB455" i="34"/>
  <c r="AD455" i="34"/>
  <c r="V455" i="34"/>
  <c r="AE454" i="34"/>
  <c r="AD454" i="34"/>
  <c r="AC454" i="34"/>
  <c r="V454" i="34"/>
  <c r="AB454" i="34" s="1"/>
  <c r="AE453" i="34"/>
  <c r="AD453" i="34"/>
  <c r="V453" i="34"/>
  <c r="AB453" i="34" s="1"/>
  <c r="AE452" i="34"/>
  <c r="AD452" i="34"/>
  <c r="V452" i="34"/>
  <c r="AB452" i="34" s="1"/>
  <c r="AE451" i="34"/>
  <c r="AD451" i="34"/>
  <c r="AC451" i="34"/>
  <c r="V451" i="34"/>
  <c r="AB451" i="34" s="1"/>
  <c r="AE450" i="34"/>
  <c r="AD450" i="34"/>
  <c r="AC450" i="34"/>
  <c r="V450" i="34"/>
  <c r="AB450" i="34" s="1"/>
  <c r="AE449" i="34"/>
  <c r="AD449" i="34"/>
  <c r="V449" i="34"/>
  <c r="AB449" i="34" s="1"/>
  <c r="AE448" i="34"/>
  <c r="AD448" i="34"/>
  <c r="V448" i="34"/>
  <c r="AB448" i="34" s="1"/>
  <c r="AE447" i="34"/>
  <c r="AC447" i="34"/>
  <c r="AB447" i="34"/>
  <c r="AD447" i="34"/>
  <c r="V447" i="34"/>
  <c r="AE446" i="34"/>
  <c r="AD446" i="34"/>
  <c r="AC446" i="34"/>
  <c r="V446" i="34"/>
  <c r="AB446" i="34" s="1"/>
  <c r="AE445" i="34"/>
  <c r="V445" i="34"/>
  <c r="AB445" i="34" s="1"/>
  <c r="AE444" i="34"/>
  <c r="AC444" i="34"/>
  <c r="AB444" i="34"/>
  <c r="V444" i="34"/>
  <c r="AE443" i="34"/>
  <c r="AD443" i="34"/>
  <c r="AC443" i="34"/>
  <c r="V443" i="34"/>
  <c r="AB443" i="34" s="1"/>
  <c r="AE442" i="34"/>
  <c r="AD442" i="34"/>
  <c r="AB442" i="34"/>
  <c r="AC442" i="34"/>
  <c r="V442" i="34"/>
  <c r="AE441" i="34"/>
  <c r="AD441" i="34"/>
  <c r="V441" i="34"/>
  <c r="AB441" i="34" s="1"/>
  <c r="AE440" i="34"/>
  <c r="AB440" i="34"/>
  <c r="AD440" i="34"/>
  <c r="V440" i="34"/>
  <c r="AE439" i="34"/>
  <c r="AC439" i="34"/>
  <c r="AD439" i="34"/>
  <c r="V439" i="34"/>
  <c r="AB439" i="34" s="1"/>
  <c r="AE438" i="34"/>
  <c r="AD438" i="34"/>
  <c r="AC438" i="34"/>
  <c r="V438" i="34"/>
  <c r="AB438" i="34" s="1"/>
  <c r="AE437" i="34"/>
  <c r="AD437" i="34"/>
  <c r="V437" i="34"/>
  <c r="AB437" i="34" s="1"/>
  <c r="AE436" i="34"/>
  <c r="AD436" i="34"/>
  <c r="AB436" i="34"/>
  <c r="V436" i="34"/>
  <c r="AE435" i="34"/>
  <c r="AC435" i="34"/>
  <c r="AD435" i="34"/>
  <c r="V435" i="34"/>
  <c r="AB435" i="34" s="1"/>
  <c r="AE434" i="34"/>
  <c r="AD434" i="34"/>
  <c r="AC434" i="34"/>
  <c r="AB434" i="34"/>
  <c r="V434" i="34"/>
  <c r="AE433" i="34"/>
  <c r="AC433" i="34"/>
  <c r="V433" i="34"/>
  <c r="AB433" i="34" s="1"/>
  <c r="AE432" i="34"/>
  <c r="V432" i="34"/>
  <c r="AB432" i="34" s="1"/>
  <c r="AE431" i="34"/>
  <c r="AD431" i="34"/>
  <c r="AC431" i="34"/>
  <c r="V431" i="34"/>
  <c r="AB431" i="34" s="1"/>
  <c r="AE430" i="34"/>
  <c r="AD430" i="34"/>
  <c r="AC430" i="34"/>
  <c r="V430" i="34"/>
  <c r="AB430" i="34" s="1"/>
  <c r="AE429" i="34"/>
  <c r="AD429" i="34"/>
  <c r="V429" i="34"/>
  <c r="AB429" i="34" s="1"/>
  <c r="AE428" i="34"/>
  <c r="AD428" i="34"/>
  <c r="AB428" i="34"/>
  <c r="V428" i="34"/>
  <c r="AE427" i="34"/>
  <c r="AD427" i="34"/>
  <c r="AC427" i="34"/>
  <c r="V427" i="34"/>
  <c r="AB427" i="34" s="1"/>
  <c r="AE426" i="34"/>
  <c r="AD426" i="34"/>
  <c r="AC426" i="34"/>
  <c r="V426" i="34"/>
  <c r="AB426" i="34" s="1"/>
  <c r="AE425" i="34"/>
  <c r="AD425" i="34"/>
  <c r="V425" i="34"/>
  <c r="AB425" i="34" s="1"/>
  <c r="AE424" i="34"/>
  <c r="AD424" i="34"/>
  <c r="AC424" i="34"/>
  <c r="AB424" i="34"/>
  <c r="V424" i="34"/>
  <c r="AE423" i="34"/>
  <c r="AD423" i="34"/>
  <c r="AC423" i="34"/>
  <c r="V423" i="34"/>
  <c r="AB423" i="34" s="1"/>
  <c r="AE422" i="34"/>
  <c r="AC422" i="34"/>
  <c r="AB422" i="34"/>
  <c r="AD422" i="34"/>
  <c r="V422" i="34"/>
  <c r="AE421" i="34"/>
  <c r="AD421" i="34"/>
  <c r="AC421" i="34"/>
  <c r="V421" i="34"/>
  <c r="AB421" i="34" s="1"/>
  <c r="AE420" i="34"/>
  <c r="AD420" i="34"/>
  <c r="AC420" i="34"/>
  <c r="V420" i="34"/>
  <c r="AB420" i="34" s="1"/>
  <c r="AE419" i="34"/>
  <c r="AD419" i="34"/>
  <c r="V419" i="34"/>
  <c r="AB419" i="34" s="1"/>
  <c r="AE418" i="34"/>
  <c r="V418" i="34"/>
  <c r="AB418" i="34" s="1"/>
  <c r="AE417" i="34"/>
  <c r="AB417" i="34"/>
  <c r="AC417" i="34"/>
  <c r="V417" i="34"/>
  <c r="AE416" i="34"/>
  <c r="AC416" i="34"/>
  <c r="AB416" i="34"/>
  <c r="V416" i="34"/>
  <c r="AE415" i="34"/>
  <c r="AD415" i="34"/>
  <c r="AC415" i="34"/>
  <c r="V415" i="34"/>
  <c r="AB415" i="34" s="1"/>
  <c r="AE414" i="34"/>
  <c r="AC414" i="34"/>
  <c r="AB414" i="34"/>
  <c r="AD414" i="34"/>
  <c r="V414" i="34"/>
  <c r="AE413" i="34"/>
  <c r="AD413" i="34"/>
  <c r="AC413" i="34"/>
  <c r="AB413" i="34"/>
  <c r="V413" i="34"/>
  <c r="AE412" i="34"/>
  <c r="AD412" i="34"/>
  <c r="AC412" i="34"/>
  <c r="V412" i="34"/>
  <c r="AB412" i="34" s="1"/>
  <c r="AE411" i="34"/>
  <c r="AD411" i="34"/>
  <c r="V411" i="34"/>
  <c r="AB411" i="34" s="1"/>
  <c r="AE410" i="34"/>
  <c r="AD410" i="34"/>
  <c r="V410" i="34"/>
  <c r="AB410" i="34" s="1"/>
  <c r="AE409" i="34"/>
  <c r="V409" i="34"/>
  <c r="AB409" i="34" s="1"/>
  <c r="AE408" i="34"/>
  <c r="AC408" i="34"/>
  <c r="AB408" i="34"/>
  <c r="V408" i="34"/>
  <c r="AE407" i="34"/>
  <c r="AD407" i="34"/>
  <c r="AC407" i="34"/>
  <c r="V407" i="34"/>
  <c r="AB407" i="34" s="1"/>
  <c r="AE406" i="34"/>
  <c r="AC406" i="34"/>
  <c r="AB406" i="34"/>
  <c r="AD406" i="34"/>
  <c r="V406" i="34"/>
  <c r="AE405" i="34"/>
  <c r="AD405" i="34"/>
  <c r="AC405" i="34"/>
  <c r="V405" i="34"/>
  <c r="AB405" i="34" s="1"/>
  <c r="AE404" i="34"/>
  <c r="AD404" i="34"/>
  <c r="AC404" i="34"/>
  <c r="V404" i="34"/>
  <c r="AB404" i="34" s="1"/>
  <c r="AE403" i="34"/>
  <c r="AD403" i="34"/>
  <c r="V403" i="34"/>
  <c r="AB403" i="34" s="1"/>
  <c r="AE402" i="34"/>
  <c r="V402" i="34"/>
  <c r="AB402" i="34" s="1"/>
  <c r="AE401" i="34"/>
  <c r="AB401" i="34"/>
  <c r="V401" i="34"/>
  <c r="AE400" i="34"/>
  <c r="AC400" i="34"/>
  <c r="V400" i="34"/>
  <c r="AB400" i="34" s="1"/>
  <c r="AE399" i="34"/>
  <c r="AD399" i="34"/>
  <c r="AC399" i="34"/>
  <c r="V399" i="34"/>
  <c r="AB399" i="34" s="1"/>
  <c r="AE398" i="34"/>
  <c r="AC398" i="34"/>
  <c r="AD398" i="34"/>
  <c r="V398" i="34"/>
  <c r="AB398" i="34" s="1"/>
  <c r="AE397" i="34"/>
  <c r="AD397" i="34"/>
  <c r="AC397" i="34"/>
  <c r="V397" i="34"/>
  <c r="AB397" i="34" s="1"/>
  <c r="AE396" i="34"/>
  <c r="AD396" i="34"/>
  <c r="AC396" i="34"/>
  <c r="V396" i="34"/>
  <c r="AB396" i="34" s="1"/>
  <c r="AE395" i="34"/>
  <c r="AD395" i="34"/>
  <c r="AB395" i="34"/>
  <c r="V395" i="34"/>
  <c r="AE394" i="34"/>
  <c r="AD394" i="34"/>
  <c r="V394" i="34"/>
  <c r="AB394" i="34" s="1"/>
  <c r="AE393" i="34"/>
  <c r="AB393" i="34"/>
  <c r="V393" i="34"/>
  <c r="AE392" i="34"/>
  <c r="AC392" i="34"/>
  <c r="V392" i="34"/>
  <c r="AB392" i="34" s="1"/>
  <c r="AE391" i="34"/>
  <c r="AD391" i="34"/>
  <c r="AC391" i="34"/>
  <c r="V391" i="34"/>
  <c r="AB391" i="34" s="1"/>
  <c r="AE390" i="34"/>
  <c r="AC390" i="34"/>
  <c r="AD390" i="34"/>
  <c r="V390" i="34"/>
  <c r="AB390" i="34" s="1"/>
  <c r="AE389" i="34"/>
  <c r="AD389" i="34"/>
  <c r="AC389" i="34"/>
  <c r="AB389" i="34"/>
  <c r="V389" i="34"/>
  <c r="AE388" i="34"/>
  <c r="AD388" i="34"/>
  <c r="AC388" i="34"/>
  <c r="V388" i="34"/>
  <c r="AB388" i="34" s="1"/>
  <c r="AE387" i="34"/>
  <c r="AD387" i="34"/>
  <c r="AC387" i="34"/>
  <c r="V387" i="34"/>
  <c r="AB387" i="34" s="1"/>
  <c r="AE386" i="34"/>
  <c r="V386" i="34"/>
  <c r="AB386" i="34" s="1"/>
  <c r="AE385" i="34"/>
  <c r="AB385" i="34"/>
  <c r="AC385" i="34"/>
  <c r="V385" i="34"/>
  <c r="AE384" i="34"/>
  <c r="AC384" i="34"/>
  <c r="V384" i="34"/>
  <c r="AB384" i="34" s="1"/>
  <c r="AE383" i="34"/>
  <c r="AD383" i="34"/>
  <c r="AC383" i="34"/>
  <c r="V383" i="34"/>
  <c r="AB383" i="34" s="1"/>
  <c r="AE382" i="34"/>
  <c r="AC382" i="34"/>
  <c r="AD382" i="34"/>
  <c r="V382" i="34"/>
  <c r="AB382" i="34" s="1"/>
  <c r="AE381" i="34"/>
  <c r="AD381" i="34"/>
  <c r="AC381" i="34"/>
  <c r="V381" i="34"/>
  <c r="AB381" i="34" s="1"/>
  <c r="AE380" i="34"/>
  <c r="AD380" i="34"/>
  <c r="AC380" i="34"/>
  <c r="V380" i="34"/>
  <c r="AB380" i="34" s="1"/>
  <c r="AE379" i="34"/>
  <c r="AD379" i="34"/>
  <c r="AB379" i="34"/>
  <c r="V379" i="34"/>
  <c r="AE378" i="34"/>
  <c r="V378" i="34"/>
  <c r="AB378" i="34" s="1"/>
  <c r="AE377" i="34"/>
  <c r="AB377" i="34"/>
  <c r="V377" i="34"/>
  <c r="AE376" i="34"/>
  <c r="AD376" i="34"/>
  <c r="AC376" i="34"/>
  <c r="V376" i="34"/>
  <c r="AB376" i="34" s="1"/>
  <c r="AE375" i="34"/>
  <c r="AD375" i="34"/>
  <c r="AC375" i="34"/>
  <c r="V375" i="34"/>
  <c r="AB375" i="34" s="1"/>
  <c r="AE374" i="34"/>
  <c r="AC374" i="34"/>
  <c r="AD374" i="34"/>
  <c r="V374" i="34"/>
  <c r="AB374" i="34" s="1"/>
  <c r="AE373" i="34"/>
  <c r="AD373" i="34"/>
  <c r="AC373" i="34"/>
  <c r="V373" i="34"/>
  <c r="AB373" i="34" s="1"/>
  <c r="AE372" i="34"/>
  <c r="AD372" i="34"/>
  <c r="AC372" i="34"/>
  <c r="V372" i="34"/>
  <c r="AB372" i="34" s="1"/>
  <c r="AE371" i="34"/>
  <c r="AD371" i="34"/>
  <c r="AB371" i="34"/>
  <c r="V371" i="34"/>
  <c r="AE370" i="34"/>
  <c r="V370" i="34"/>
  <c r="AB370" i="34" s="1"/>
  <c r="AE369" i="34"/>
  <c r="V369" i="34"/>
  <c r="AB369" i="34" s="1"/>
  <c r="AE368" i="34"/>
  <c r="AC368" i="34"/>
  <c r="V368" i="34"/>
  <c r="AB368" i="34" s="1"/>
  <c r="AE367" i="34"/>
  <c r="AD367" i="34"/>
  <c r="AC367" i="34"/>
  <c r="V367" i="34"/>
  <c r="AB367" i="34" s="1"/>
  <c r="AE366" i="34"/>
  <c r="AC366" i="34"/>
  <c r="AB366" i="34"/>
  <c r="AD366" i="34"/>
  <c r="V366" i="34"/>
  <c r="AE365" i="34"/>
  <c r="AD365" i="34"/>
  <c r="AC365" i="34"/>
  <c r="V365" i="34"/>
  <c r="AB365" i="34" s="1"/>
  <c r="AE364" i="34"/>
  <c r="AD364" i="34"/>
  <c r="AC364" i="34"/>
  <c r="V364" i="34"/>
  <c r="AB364" i="34" s="1"/>
  <c r="AE363" i="34"/>
  <c r="AD363" i="34"/>
  <c r="AB363" i="34"/>
  <c r="V363" i="34"/>
  <c r="AE362" i="34"/>
  <c r="AC362" i="34"/>
  <c r="V362" i="34"/>
  <c r="AB362" i="34" s="1"/>
  <c r="AE361" i="34"/>
  <c r="AD361" i="34"/>
  <c r="AC361" i="34"/>
  <c r="V361" i="34"/>
  <c r="AB361" i="34" s="1"/>
  <c r="AE360" i="34"/>
  <c r="AC360" i="34"/>
  <c r="V360" i="34"/>
  <c r="AB360" i="34" s="1"/>
  <c r="AE359" i="34"/>
  <c r="AC359" i="34"/>
  <c r="V359" i="34"/>
  <c r="AB359" i="34" s="1"/>
  <c r="AE358" i="34"/>
  <c r="AB358" i="34"/>
  <c r="V358" i="34"/>
  <c r="AE357" i="34"/>
  <c r="AD357" i="34"/>
  <c r="AB357" i="34"/>
  <c r="AC357" i="34"/>
  <c r="V357" i="34"/>
  <c r="AE356" i="34"/>
  <c r="AB356" i="34"/>
  <c r="AD356" i="34"/>
  <c r="V356" i="34"/>
  <c r="AE355" i="34"/>
  <c r="AD355" i="34"/>
  <c r="AB355" i="34"/>
  <c r="V355" i="34"/>
  <c r="AE354" i="34"/>
  <c r="AD354" i="34"/>
  <c r="AC354" i="34"/>
  <c r="V354" i="34"/>
  <c r="AB354" i="34" s="1"/>
  <c r="AE353" i="34"/>
  <c r="AC353" i="34"/>
  <c r="AB353" i="34"/>
  <c r="AD353" i="34"/>
  <c r="V353" i="34"/>
  <c r="AE352" i="34"/>
  <c r="AC352" i="34"/>
  <c r="V352" i="34"/>
  <c r="AB352" i="34" s="1"/>
  <c r="AE351" i="34"/>
  <c r="AD351" i="34"/>
  <c r="AC351" i="34"/>
  <c r="V351" i="34"/>
  <c r="AB351" i="34" s="1"/>
  <c r="AE350" i="34"/>
  <c r="AD350" i="34"/>
  <c r="AC350" i="34"/>
  <c r="AB350" i="34"/>
  <c r="V350" i="34"/>
  <c r="AE349" i="34"/>
  <c r="AC349" i="34"/>
  <c r="V349" i="34"/>
  <c r="AB349" i="34" s="1"/>
  <c r="AE348" i="34"/>
  <c r="AD348" i="34"/>
  <c r="AC348" i="34"/>
  <c r="V348" i="34"/>
  <c r="AB348" i="34" s="1"/>
  <c r="AE347" i="34"/>
  <c r="AD347" i="34"/>
  <c r="AC347" i="34"/>
  <c r="AB347" i="34"/>
  <c r="V347" i="34"/>
  <c r="AE346" i="34"/>
  <c r="V346" i="34"/>
  <c r="AB346" i="34" s="1"/>
  <c r="AE345" i="34"/>
  <c r="AC345" i="34"/>
  <c r="V345" i="34"/>
  <c r="AB345" i="34" s="1"/>
  <c r="AE344" i="34"/>
  <c r="AD344" i="34"/>
  <c r="V344" i="34"/>
  <c r="AB344" i="34" s="1"/>
  <c r="AE343" i="34"/>
  <c r="AD343" i="34"/>
  <c r="V343" i="34"/>
  <c r="AB343" i="34" s="1"/>
  <c r="AE342" i="34"/>
  <c r="AD342" i="34"/>
  <c r="AC342" i="34"/>
  <c r="AB342" i="34"/>
  <c r="V342" i="34"/>
  <c r="AE341" i="34"/>
  <c r="AD341" i="34"/>
  <c r="AC341" i="34"/>
  <c r="V341" i="34"/>
  <c r="AB341" i="34" s="1"/>
  <c r="AE340" i="34"/>
  <c r="AB340" i="34"/>
  <c r="AD340" i="34"/>
  <c r="AC340" i="34"/>
  <c r="V340" i="34"/>
  <c r="AE339" i="34"/>
  <c r="AD339" i="34"/>
  <c r="AC339" i="34"/>
  <c r="AB339" i="34"/>
  <c r="V339" i="34"/>
  <c r="AE338" i="34"/>
  <c r="AC338" i="34"/>
  <c r="V338" i="34"/>
  <c r="AB338" i="34" s="1"/>
  <c r="AE337" i="34"/>
  <c r="AC337" i="34"/>
  <c r="AD337" i="34"/>
  <c r="V337" i="34"/>
  <c r="AB337" i="34" s="1"/>
  <c r="AE336" i="34"/>
  <c r="AC336" i="34"/>
  <c r="V336" i="34"/>
  <c r="AB336" i="34" s="1"/>
  <c r="AE335" i="34"/>
  <c r="AC335" i="34"/>
  <c r="V335" i="34"/>
  <c r="AB335" i="34" s="1"/>
  <c r="AE334" i="34"/>
  <c r="AC334" i="34"/>
  <c r="V334" i="34"/>
  <c r="AB334" i="34" s="1"/>
  <c r="AE333" i="34"/>
  <c r="AD333" i="34"/>
  <c r="V333" i="34"/>
  <c r="AB333" i="34" s="1"/>
  <c r="AE332" i="34"/>
  <c r="AB332" i="34"/>
  <c r="AD332" i="34"/>
  <c r="V332" i="34"/>
  <c r="AE331" i="34"/>
  <c r="AD331" i="34"/>
  <c r="V331" i="34"/>
  <c r="AB331" i="34" s="1"/>
  <c r="AE330" i="34"/>
  <c r="AD330" i="34"/>
  <c r="AC330" i="34"/>
  <c r="V330" i="34"/>
  <c r="AB330" i="34" s="1"/>
  <c r="AE329" i="34"/>
  <c r="AC329" i="34"/>
  <c r="AB329" i="34"/>
  <c r="AD329" i="34"/>
  <c r="V329" i="34"/>
  <c r="AE328" i="34"/>
  <c r="AC328" i="34"/>
  <c r="V328" i="34"/>
  <c r="AB328" i="34" s="1"/>
  <c r="AE327" i="34"/>
  <c r="AC327" i="34"/>
  <c r="V327" i="34"/>
  <c r="AB327" i="34" s="1"/>
  <c r="AE326" i="34"/>
  <c r="AC326" i="34"/>
  <c r="AB326" i="34"/>
  <c r="AD326" i="34"/>
  <c r="V326" i="34"/>
  <c r="AE325" i="34"/>
  <c r="AD325" i="34"/>
  <c r="AC325" i="34"/>
  <c r="V325" i="34"/>
  <c r="AB325" i="34" s="1"/>
  <c r="AE324" i="34"/>
  <c r="AC324" i="34"/>
  <c r="V324" i="34"/>
  <c r="AB324" i="34" s="1"/>
  <c r="AE323" i="34"/>
  <c r="AC323" i="34"/>
  <c r="AB323" i="34"/>
  <c r="V323" i="34"/>
  <c r="AE322" i="34"/>
  <c r="AD322" i="34"/>
  <c r="V322" i="34"/>
  <c r="AB322" i="34" s="1"/>
  <c r="AE321" i="34"/>
  <c r="V321" i="34"/>
  <c r="AB321" i="34" s="1"/>
  <c r="AE320" i="34"/>
  <c r="AD320" i="34"/>
  <c r="V320" i="34"/>
  <c r="AB320" i="34" s="1"/>
  <c r="AE319" i="34"/>
  <c r="AD319" i="34"/>
  <c r="AC319" i="34"/>
  <c r="V319" i="34"/>
  <c r="AB319" i="34" s="1"/>
  <c r="AE318" i="34"/>
  <c r="AD318" i="34"/>
  <c r="AC318" i="34"/>
  <c r="V318" i="34"/>
  <c r="AB318" i="34" s="1"/>
  <c r="AE317" i="34"/>
  <c r="AD317" i="34"/>
  <c r="AC317" i="34"/>
  <c r="V317" i="34"/>
  <c r="AB317" i="34" s="1"/>
  <c r="AE316" i="34"/>
  <c r="AC316" i="34"/>
  <c r="V316" i="34"/>
  <c r="AB316" i="34" s="1"/>
  <c r="AE315" i="34"/>
  <c r="AC315" i="34"/>
  <c r="V315" i="34"/>
  <c r="AB315" i="34" s="1"/>
  <c r="AE314" i="34"/>
  <c r="AD314" i="34"/>
  <c r="AC314" i="34"/>
  <c r="V314" i="34"/>
  <c r="AB314" i="34" s="1"/>
  <c r="AE313" i="34"/>
  <c r="AC313" i="34"/>
  <c r="V313" i="34"/>
  <c r="AB313" i="34" s="1"/>
  <c r="AE312" i="34"/>
  <c r="AD312" i="34"/>
  <c r="AC312" i="34"/>
  <c r="V312" i="34"/>
  <c r="AB312" i="34" s="1"/>
  <c r="AE311" i="34"/>
  <c r="AD311" i="34"/>
  <c r="AC311" i="34"/>
  <c r="V311" i="34"/>
  <c r="AB311" i="34" s="1"/>
  <c r="AE310" i="34"/>
  <c r="AC310" i="34"/>
  <c r="AB310" i="34"/>
  <c r="AD310" i="34"/>
  <c r="V310" i="34"/>
  <c r="AE309" i="34"/>
  <c r="AD309" i="34"/>
  <c r="V309" i="34"/>
  <c r="AB309" i="34" s="1"/>
  <c r="AE308" i="34"/>
  <c r="AB308" i="34"/>
  <c r="V308" i="34"/>
  <c r="AE307" i="34"/>
  <c r="AC307" i="34"/>
  <c r="V307" i="34"/>
  <c r="AB307" i="34" s="1"/>
  <c r="AE306" i="34"/>
  <c r="AD306" i="34"/>
  <c r="V306" i="34"/>
  <c r="AB306" i="34" s="1"/>
  <c r="AE305" i="34"/>
  <c r="AB305" i="34"/>
  <c r="V305" i="34"/>
  <c r="AE304" i="34"/>
  <c r="AC304" i="34"/>
  <c r="V304" i="34"/>
  <c r="AB304" i="34" s="1"/>
  <c r="AE303" i="34"/>
  <c r="AD303" i="34"/>
  <c r="AC303" i="34"/>
  <c r="V303" i="34"/>
  <c r="AB303" i="34" s="1"/>
  <c r="AE302" i="34"/>
  <c r="AD302" i="34"/>
  <c r="AC302" i="34"/>
  <c r="V302" i="34"/>
  <c r="AB302" i="34" s="1"/>
  <c r="AE301" i="34"/>
  <c r="AD301" i="34"/>
  <c r="V301" i="34"/>
  <c r="AB301" i="34" s="1"/>
  <c r="AE300" i="34"/>
  <c r="AB300" i="34"/>
  <c r="V300" i="34"/>
  <c r="AE299" i="34"/>
  <c r="AC299" i="34"/>
  <c r="AB299" i="34"/>
  <c r="V299" i="34"/>
  <c r="AE298" i="34"/>
  <c r="AD298" i="34"/>
  <c r="V298" i="34"/>
  <c r="AB298" i="34" s="1"/>
  <c r="AE297" i="34"/>
  <c r="AB297" i="34"/>
  <c r="V297" i="34"/>
  <c r="AE296" i="34"/>
  <c r="AC296" i="34"/>
  <c r="V296" i="34"/>
  <c r="AB296" i="34" s="1"/>
  <c r="AE295" i="34"/>
  <c r="AD295" i="34"/>
  <c r="AC295" i="34"/>
  <c r="V295" i="34"/>
  <c r="AB295" i="34" s="1"/>
  <c r="AE294" i="34"/>
  <c r="AD294" i="34"/>
  <c r="AC294" i="34"/>
  <c r="V294" i="34"/>
  <c r="AB294" i="34" s="1"/>
  <c r="AE293" i="34"/>
  <c r="AD293" i="34"/>
  <c r="V293" i="34"/>
  <c r="AB293" i="34" s="1"/>
  <c r="AE292" i="34"/>
  <c r="AB292" i="34"/>
  <c r="V292" i="34"/>
  <c r="AE291" i="34"/>
  <c r="AC291" i="34"/>
  <c r="AB291" i="34"/>
  <c r="V291" i="34"/>
  <c r="AE290" i="34"/>
  <c r="AD290" i="34"/>
  <c r="AC290" i="34"/>
  <c r="V290" i="34"/>
  <c r="AB290" i="34" s="1"/>
  <c r="AE289" i="34"/>
  <c r="AC289" i="34"/>
  <c r="AB289" i="34"/>
  <c r="X289" i="34"/>
  <c r="AD289" i="34" s="1"/>
  <c r="W289" i="34"/>
  <c r="V289" i="34"/>
  <c r="AE288" i="34"/>
  <c r="AB288" i="34"/>
  <c r="X288" i="34"/>
  <c r="AD288" i="34" s="1"/>
  <c r="W288" i="34"/>
  <c r="AC288" i="34" s="1"/>
  <c r="V288" i="34"/>
  <c r="AE287" i="34"/>
  <c r="X287" i="34"/>
  <c r="AD287" i="34" s="1"/>
  <c r="W287" i="34"/>
  <c r="AC287" i="34" s="1"/>
  <c r="V287" i="34"/>
  <c r="AB287" i="34" s="1"/>
  <c r="AE286" i="34"/>
  <c r="AD286" i="34"/>
  <c r="AC286" i="34"/>
  <c r="X286" i="34"/>
  <c r="W286" i="34"/>
  <c r="V286" i="34"/>
  <c r="AB286" i="34" s="1"/>
  <c r="AE285" i="34"/>
  <c r="X285" i="34"/>
  <c r="AD285" i="34" s="1"/>
  <c r="W285" i="34"/>
  <c r="AC285" i="34" s="1"/>
  <c r="V285" i="34"/>
  <c r="AB285" i="34" s="1"/>
  <c r="AE284" i="34"/>
  <c r="AB284" i="34"/>
  <c r="X284" i="34"/>
  <c r="AD284" i="34" s="1"/>
  <c r="W284" i="34"/>
  <c r="AC284" i="34" s="1"/>
  <c r="V284" i="34"/>
  <c r="AE283" i="34"/>
  <c r="AD283" i="34"/>
  <c r="X283" i="34"/>
  <c r="W283" i="34"/>
  <c r="AC283" i="34" s="1"/>
  <c r="V283" i="34"/>
  <c r="AB283" i="34" s="1"/>
  <c r="AE282" i="34"/>
  <c r="X282" i="34"/>
  <c r="AD282" i="34" s="1"/>
  <c r="W282" i="34"/>
  <c r="AC282" i="34" s="1"/>
  <c r="V282" i="34"/>
  <c r="AB282" i="34" s="1"/>
  <c r="AE281" i="34"/>
  <c r="AC281" i="34"/>
  <c r="X281" i="34"/>
  <c r="AD281" i="34" s="1"/>
  <c r="W281" i="34"/>
  <c r="V281" i="34"/>
  <c r="AB281" i="34" s="1"/>
  <c r="AE280" i="34"/>
  <c r="X280" i="34"/>
  <c r="AD280" i="34" s="1"/>
  <c r="W280" i="34"/>
  <c r="AC280" i="34" s="1"/>
  <c r="V280" i="34"/>
  <c r="AB280" i="34" s="1"/>
  <c r="AE279" i="34"/>
  <c r="X279" i="34"/>
  <c r="AD279" i="34" s="1"/>
  <c r="W279" i="34"/>
  <c r="AC279" i="34" s="1"/>
  <c r="V279" i="34"/>
  <c r="AB279" i="34" s="1"/>
  <c r="AE278" i="34"/>
  <c r="AD278" i="34"/>
  <c r="X278" i="34"/>
  <c r="W278" i="34"/>
  <c r="AC278" i="34" s="1"/>
  <c r="V278" i="34"/>
  <c r="AB278" i="34" s="1"/>
  <c r="AG277" i="34"/>
  <c r="AF277" i="34"/>
  <c r="AD277" i="34"/>
  <c r="X277" i="34"/>
  <c r="W277" i="34"/>
  <c r="AC277" i="34" s="1"/>
  <c r="V277" i="34"/>
  <c r="AB277" i="34" s="1"/>
  <c r="AG276" i="34"/>
  <c r="AF276" i="34"/>
  <c r="X276" i="34"/>
  <c r="AD276" i="34" s="1"/>
  <c r="W276" i="34"/>
  <c r="AC276" i="34" s="1"/>
  <c r="V276" i="34"/>
  <c r="AB276" i="34" s="1"/>
  <c r="AG275" i="34"/>
  <c r="AF275" i="34"/>
  <c r="AB275" i="34"/>
  <c r="X275" i="34"/>
  <c r="AD275" i="34" s="1"/>
  <c r="W275" i="34"/>
  <c r="AC275" i="34" s="1"/>
  <c r="V275" i="34"/>
  <c r="AG274" i="34"/>
  <c r="AF274" i="34"/>
  <c r="AC274" i="34"/>
  <c r="AB274" i="34"/>
  <c r="X274" i="34"/>
  <c r="AD274" i="34" s="1"/>
  <c r="W274" i="34"/>
  <c r="V274" i="34"/>
  <c r="AG273" i="34"/>
  <c r="AF273" i="34"/>
  <c r="X273" i="34"/>
  <c r="AD273" i="34" s="1"/>
  <c r="W273" i="34"/>
  <c r="AC273" i="34" s="1"/>
  <c r="V273" i="34"/>
  <c r="AB273" i="34" s="1"/>
  <c r="AG272" i="34"/>
  <c r="AF272" i="34"/>
  <c r="X272" i="34"/>
  <c r="AD272" i="34" s="1"/>
  <c r="W272" i="34"/>
  <c r="AC272" i="34" s="1"/>
  <c r="V272" i="34"/>
  <c r="AB272" i="34" s="1"/>
  <c r="AG271" i="34"/>
  <c r="AF271" i="34"/>
  <c r="X271" i="34"/>
  <c r="AD271" i="34" s="1"/>
  <c r="W271" i="34"/>
  <c r="AC271" i="34" s="1"/>
  <c r="V271" i="34"/>
  <c r="AB271" i="34" s="1"/>
  <c r="AG270" i="34"/>
  <c r="AF270" i="34"/>
  <c r="AD270" i="34"/>
  <c r="X270" i="34"/>
  <c r="W270" i="34"/>
  <c r="AC270" i="34" s="1"/>
  <c r="V270" i="34"/>
  <c r="AB270" i="34" s="1"/>
  <c r="AG269" i="34"/>
  <c r="AF269" i="34"/>
  <c r="AC269" i="34"/>
  <c r="X269" i="34"/>
  <c r="AD269" i="34" s="1"/>
  <c r="W269" i="34"/>
  <c r="V269" i="34"/>
  <c r="AB269" i="34" s="1"/>
  <c r="AG268" i="34"/>
  <c r="AF268" i="34"/>
  <c r="X268" i="34"/>
  <c r="AD268" i="34" s="1"/>
  <c r="W268" i="34"/>
  <c r="AC268" i="34" s="1"/>
  <c r="V268" i="34"/>
  <c r="AB268" i="34" s="1"/>
  <c r="AG267" i="34"/>
  <c r="AF267" i="34"/>
  <c r="AB267" i="34"/>
  <c r="X267" i="34"/>
  <c r="AD267" i="34" s="1"/>
  <c r="W267" i="34"/>
  <c r="AC267" i="34" s="1"/>
  <c r="V267" i="34"/>
  <c r="AG266" i="34"/>
  <c r="AF266" i="34"/>
  <c r="X266" i="34"/>
  <c r="AD266" i="34" s="1"/>
  <c r="W266" i="34"/>
  <c r="AC266" i="34" s="1"/>
  <c r="V266" i="34"/>
  <c r="AB266" i="34" s="1"/>
  <c r="AE265" i="34"/>
  <c r="X265" i="34"/>
  <c r="AD265" i="34" s="1"/>
  <c r="W265" i="34"/>
  <c r="AC265" i="34" s="1"/>
  <c r="V265" i="34"/>
  <c r="AB265" i="34" s="1"/>
  <c r="AE264" i="34"/>
  <c r="AC264" i="34"/>
  <c r="X264" i="34"/>
  <c r="AD264" i="34" s="1"/>
  <c r="W264" i="34"/>
  <c r="V264" i="34"/>
  <c r="AB264" i="34" s="1"/>
  <c r="AE263" i="34"/>
  <c r="AB263" i="34"/>
  <c r="X263" i="34"/>
  <c r="AD263" i="34" s="1"/>
  <c r="W263" i="34"/>
  <c r="AC263" i="34" s="1"/>
  <c r="V263" i="34"/>
  <c r="AE262" i="34"/>
  <c r="X262" i="34"/>
  <c r="AD262" i="34" s="1"/>
  <c r="W262" i="34"/>
  <c r="AC262" i="34" s="1"/>
  <c r="V262" i="34"/>
  <c r="AB262" i="34" s="1"/>
  <c r="AE261" i="34"/>
  <c r="X261" i="34"/>
  <c r="AD261" i="34" s="1"/>
  <c r="W261" i="34"/>
  <c r="AC261" i="34" s="1"/>
  <c r="V261" i="34"/>
  <c r="AB261" i="34" s="1"/>
  <c r="AE260" i="34"/>
  <c r="AD260" i="34"/>
  <c r="AC260" i="34"/>
  <c r="X260" i="34"/>
  <c r="W260" i="34"/>
  <c r="V260" i="34"/>
  <c r="AB260" i="34" s="1"/>
  <c r="AE259" i="34"/>
  <c r="X259" i="34"/>
  <c r="AD259" i="34" s="1"/>
  <c r="W259" i="34"/>
  <c r="AC259" i="34" s="1"/>
  <c r="V259" i="34"/>
  <c r="AB259" i="34" s="1"/>
  <c r="AE258" i="34"/>
  <c r="AC258" i="34"/>
  <c r="AB258" i="34"/>
  <c r="X258" i="34"/>
  <c r="AD258" i="34" s="1"/>
  <c r="W258" i="34"/>
  <c r="V258" i="34"/>
  <c r="AE257" i="34"/>
  <c r="AD257" i="34"/>
  <c r="X257" i="34"/>
  <c r="W257" i="34"/>
  <c r="AC257" i="34" s="1"/>
  <c r="V257" i="34"/>
  <c r="AB257" i="34" s="1"/>
  <c r="AE256" i="34"/>
  <c r="AB256" i="34"/>
  <c r="X256" i="34"/>
  <c r="AD256" i="34" s="1"/>
  <c r="W256" i="34"/>
  <c r="AC256" i="34" s="1"/>
  <c r="V256" i="34"/>
  <c r="AE255" i="34"/>
  <c r="AD255" i="34"/>
  <c r="X255" i="34"/>
  <c r="W255" i="34"/>
  <c r="AC255" i="34" s="1"/>
  <c r="V255" i="34"/>
  <c r="AB255" i="34" s="1"/>
  <c r="AE254" i="34"/>
  <c r="X254" i="34"/>
  <c r="AD254" i="34" s="1"/>
  <c r="W254" i="34"/>
  <c r="AC254" i="34" s="1"/>
  <c r="V254" i="34"/>
  <c r="AB254" i="34" s="1"/>
  <c r="AE253" i="34"/>
  <c r="AD253" i="34"/>
  <c r="X253" i="34"/>
  <c r="W253" i="34"/>
  <c r="AC253" i="34" s="1"/>
  <c r="V253" i="34"/>
  <c r="AB253" i="34" s="1"/>
  <c r="AE252" i="34"/>
  <c r="AC252" i="34"/>
  <c r="X252" i="34"/>
  <c r="AD252" i="34" s="1"/>
  <c r="W252" i="34"/>
  <c r="V252" i="34"/>
  <c r="AB252" i="34" s="1"/>
  <c r="AE251" i="34"/>
  <c r="AB251" i="34"/>
  <c r="X251" i="34"/>
  <c r="AD251" i="34" s="1"/>
  <c r="W251" i="34"/>
  <c r="AC251" i="34" s="1"/>
  <c r="V251" i="34"/>
  <c r="AE250" i="34"/>
  <c r="AC250" i="34"/>
  <c r="AB250" i="34"/>
  <c r="X250" i="34"/>
  <c r="AD250" i="34" s="1"/>
  <c r="W250" i="34"/>
  <c r="V250" i="34"/>
  <c r="AE249" i="34"/>
  <c r="X249" i="34"/>
  <c r="AD249" i="34" s="1"/>
  <c r="W249" i="34"/>
  <c r="AC249" i="34" s="1"/>
  <c r="V249" i="34"/>
  <c r="AB249" i="34" s="1"/>
  <c r="AE248" i="34"/>
  <c r="X248" i="34"/>
  <c r="AD248" i="34" s="1"/>
  <c r="W248" i="34"/>
  <c r="AC248" i="34" s="1"/>
  <c r="V248" i="34"/>
  <c r="AB248" i="34" s="1"/>
  <c r="AE247" i="34"/>
  <c r="AD247" i="34"/>
  <c r="AC247" i="34"/>
  <c r="X247" i="34"/>
  <c r="W247" i="34"/>
  <c r="V247" i="34"/>
  <c r="AB247" i="34" s="1"/>
  <c r="AE246" i="34"/>
  <c r="X246" i="34"/>
  <c r="AD246" i="34" s="1"/>
  <c r="W246" i="34"/>
  <c r="AC246" i="34" s="1"/>
  <c r="V246" i="34"/>
  <c r="AB246" i="34" s="1"/>
  <c r="AE245" i="34"/>
  <c r="AC245" i="34"/>
  <c r="X245" i="34"/>
  <c r="AD245" i="34" s="1"/>
  <c r="W245" i="34"/>
  <c r="V245" i="34"/>
  <c r="AB245" i="34" s="1"/>
  <c r="AE244" i="34"/>
  <c r="X244" i="34"/>
  <c r="AD244" i="34" s="1"/>
  <c r="W244" i="34"/>
  <c r="AC244" i="34" s="1"/>
  <c r="V244" i="34"/>
  <c r="AB244" i="34" s="1"/>
  <c r="AE243" i="34"/>
  <c r="AB243" i="34"/>
  <c r="X243" i="34"/>
  <c r="AD243" i="34" s="1"/>
  <c r="W243" i="34"/>
  <c r="AC243" i="34" s="1"/>
  <c r="V243" i="34"/>
  <c r="AE242" i="34"/>
  <c r="AB242" i="34"/>
  <c r="X242" i="34"/>
  <c r="AD242" i="34" s="1"/>
  <c r="W242" i="34"/>
  <c r="AC242" i="34" s="1"/>
  <c r="V242" i="34"/>
  <c r="AE241" i="34"/>
  <c r="AD241" i="34"/>
  <c r="X241" i="34"/>
  <c r="W241" i="34"/>
  <c r="AC241" i="34" s="1"/>
  <c r="V241" i="34"/>
  <c r="AB241" i="34" s="1"/>
  <c r="AE240" i="34"/>
  <c r="AC240" i="34"/>
  <c r="X240" i="34"/>
  <c r="AD240" i="34" s="1"/>
  <c r="W240" i="34"/>
  <c r="V240" i="34"/>
  <c r="AB240" i="34" s="1"/>
  <c r="AE239" i="34"/>
  <c r="AD239" i="34"/>
  <c r="AC239" i="34"/>
  <c r="AB239" i="34"/>
  <c r="X239" i="34"/>
  <c r="W239" i="34"/>
  <c r="V239" i="34"/>
  <c r="AE238" i="34"/>
  <c r="X238" i="34"/>
  <c r="AD238" i="34" s="1"/>
  <c r="W238" i="34"/>
  <c r="AC238" i="34" s="1"/>
  <c r="V238" i="34"/>
  <c r="AB238" i="34" s="1"/>
  <c r="AE237" i="34"/>
  <c r="AB237" i="34"/>
  <c r="X237" i="34"/>
  <c r="AD237" i="34" s="1"/>
  <c r="W237" i="34"/>
  <c r="AC237" i="34" s="1"/>
  <c r="V237" i="34"/>
  <c r="AE236" i="34"/>
  <c r="AD236" i="34"/>
  <c r="X236" i="34"/>
  <c r="W236" i="34"/>
  <c r="AC236" i="34" s="1"/>
  <c r="V236" i="34"/>
  <c r="AB236" i="34" s="1"/>
  <c r="AE235" i="34"/>
  <c r="AB235" i="34"/>
  <c r="X235" i="34"/>
  <c r="AD235" i="34" s="1"/>
  <c r="W235" i="34"/>
  <c r="AC235" i="34" s="1"/>
  <c r="V235" i="34"/>
  <c r="AE234" i="34"/>
  <c r="AD234" i="34"/>
  <c r="X234" i="34"/>
  <c r="W234" i="34"/>
  <c r="AC234" i="34" s="1"/>
  <c r="V234" i="34"/>
  <c r="AB234" i="34" s="1"/>
  <c r="AE233" i="34"/>
  <c r="X233" i="34"/>
  <c r="AD233" i="34" s="1"/>
  <c r="W233" i="34"/>
  <c r="AC233" i="34" s="1"/>
  <c r="V233" i="34"/>
  <c r="AB233" i="34" s="1"/>
  <c r="AE232" i="34"/>
  <c r="AC232" i="34"/>
  <c r="AB232" i="34"/>
  <c r="X232" i="34"/>
  <c r="AD232" i="34" s="1"/>
  <c r="W232" i="34"/>
  <c r="V232" i="34"/>
  <c r="AE231" i="34"/>
  <c r="AC231" i="34"/>
  <c r="AB231" i="34"/>
  <c r="X231" i="34"/>
  <c r="AD231" i="34" s="1"/>
  <c r="W231" i="34"/>
  <c r="V231" i="34"/>
  <c r="AE230" i="34"/>
  <c r="X230" i="34"/>
  <c r="AD230" i="34" s="1"/>
  <c r="W230" i="34"/>
  <c r="AC230" i="34" s="1"/>
  <c r="V230" i="34"/>
  <c r="AB230" i="34" s="1"/>
  <c r="AG229" i="34"/>
  <c r="AF229" i="34"/>
  <c r="X229" i="34"/>
  <c r="AD229" i="34" s="1"/>
  <c r="W229" i="34"/>
  <c r="AC229" i="34" s="1"/>
  <c r="V229" i="34"/>
  <c r="AB229" i="34" s="1"/>
  <c r="AG228" i="34"/>
  <c r="AF228" i="34"/>
  <c r="AD228" i="34"/>
  <c r="X228" i="34"/>
  <c r="W228" i="34"/>
  <c r="AC228" i="34" s="1"/>
  <c r="V228" i="34"/>
  <c r="AB228" i="34" s="1"/>
  <c r="AG227" i="34"/>
  <c r="AF227" i="34"/>
  <c r="AD227" i="34"/>
  <c r="X227" i="34"/>
  <c r="W227" i="34"/>
  <c r="AC227" i="34" s="1"/>
  <c r="V227" i="34"/>
  <c r="AB227" i="34" s="1"/>
  <c r="AG226" i="34"/>
  <c r="AF226" i="34"/>
  <c r="X226" i="34"/>
  <c r="AD226" i="34" s="1"/>
  <c r="W226" i="34"/>
  <c r="AC226" i="34" s="1"/>
  <c r="V226" i="34"/>
  <c r="AB226" i="34" s="1"/>
  <c r="AG225" i="34"/>
  <c r="AF225" i="34"/>
  <c r="AC225" i="34"/>
  <c r="X225" i="34"/>
  <c r="AD225" i="34" s="1"/>
  <c r="W225" i="34"/>
  <c r="V225" i="34"/>
  <c r="AB225" i="34" s="1"/>
  <c r="AG224" i="34"/>
  <c r="AF224" i="34"/>
  <c r="AC224" i="34"/>
  <c r="X224" i="34"/>
  <c r="AD224" i="34" s="1"/>
  <c r="W224" i="34"/>
  <c r="V224" i="34"/>
  <c r="AB224" i="34" s="1"/>
  <c r="AG223" i="34"/>
  <c r="AF223" i="34"/>
  <c r="X223" i="34"/>
  <c r="AD223" i="34" s="1"/>
  <c r="W223" i="34"/>
  <c r="AC223" i="34" s="1"/>
  <c r="V223" i="34"/>
  <c r="AB223" i="34" s="1"/>
  <c r="AG222" i="34"/>
  <c r="AF222" i="34"/>
  <c r="X222" i="34"/>
  <c r="AD222" i="34" s="1"/>
  <c r="W222" i="34"/>
  <c r="AC222" i="34" s="1"/>
  <c r="V222" i="34"/>
  <c r="AB222" i="34" s="1"/>
  <c r="AG221" i="34"/>
  <c r="AF221" i="34"/>
  <c r="AB221" i="34"/>
  <c r="X221" i="34"/>
  <c r="AD221" i="34" s="1"/>
  <c r="W221" i="34"/>
  <c r="AC221" i="34" s="1"/>
  <c r="V221" i="34"/>
  <c r="AG220" i="34"/>
  <c r="AF220" i="34"/>
  <c r="AB220" i="34"/>
  <c r="X220" i="34"/>
  <c r="AD220" i="34" s="1"/>
  <c r="W220" i="34"/>
  <c r="AC220" i="34" s="1"/>
  <c r="V220" i="34"/>
  <c r="AG219" i="34"/>
  <c r="AF219" i="34"/>
  <c r="X219" i="34"/>
  <c r="AD219" i="34" s="1"/>
  <c r="W219" i="34"/>
  <c r="AC219" i="34" s="1"/>
  <c r="V219" i="34"/>
  <c r="AB219" i="34" s="1"/>
  <c r="AG218" i="34"/>
  <c r="AF218" i="34"/>
  <c r="X218" i="34"/>
  <c r="AD218" i="34" s="1"/>
  <c r="W218" i="34"/>
  <c r="AC218" i="34" s="1"/>
  <c r="V218" i="34"/>
  <c r="AB218" i="34" s="1"/>
  <c r="AG217" i="34"/>
  <c r="AF217" i="34"/>
  <c r="AC217" i="34"/>
  <c r="AB217" i="34"/>
  <c r="X217" i="34"/>
  <c r="AD217" i="34" s="1"/>
  <c r="W217" i="34"/>
  <c r="V217" i="34"/>
  <c r="AG216" i="34"/>
  <c r="AF216" i="34"/>
  <c r="AC216" i="34"/>
  <c r="AB216" i="34"/>
  <c r="X216" i="34"/>
  <c r="AD216" i="34" s="1"/>
  <c r="W216" i="34"/>
  <c r="V216" i="34"/>
  <c r="AG215" i="34"/>
  <c r="AF215" i="34"/>
  <c r="X215" i="34"/>
  <c r="AD215" i="34" s="1"/>
  <c r="W215" i="34"/>
  <c r="AC215" i="34" s="1"/>
  <c r="V215" i="34"/>
  <c r="AB215" i="34" s="1"/>
  <c r="AG214" i="34"/>
  <c r="AF214" i="34"/>
  <c r="X214" i="34"/>
  <c r="AD214" i="34" s="1"/>
  <c r="W214" i="34"/>
  <c r="AC214" i="34" s="1"/>
  <c r="V214" i="34"/>
  <c r="AB214" i="34" s="1"/>
  <c r="AG213" i="34"/>
  <c r="AF213" i="34"/>
  <c r="X213" i="34"/>
  <c r="AD213" i="34" s="1"/>
  <c r="W213" i="34"/>
  <c r="AC213" i="34" s="1"/>
  <c r="V213" i="34"/>
  <c r="AB213" i="34" s="1"/>
  <c r="AG212" i="34"/>
  <c r="AF212" i="34"/>
  <c r="AD212" i="34"/>
  <c r="X212" i="34"/>
  <c r="W212" i="34"/>
  <c r="AC212" i="34" s="1"/>
  <c r="V212" i="34"/>
  <c r="AB212" i="34" s="1"/>
  <c r="AG211" i="34"/>
  <c r="AF211" i="34"/>
  <c r="AD211" i="34"/>
  <c r="X211" i="34"/>
  <c r="W211" i="34"/>
  <c r="AC211" i="34" s="1"/>
  <c r="V211" i="34"/>
  <c r="AB211" i="34" s="1"/>
  <c r="AG210" i="34"/>
  <c r="AF210" i="34"/>
  <c r="X210" i="34"/>
  <c r="AD210" i="34" s="1"/>
  <c r="W210" i="34"/>
  <c r="AC210" i="34" s="1"/>
  <c r="V210" i="34"/>
  <c r="AB210" i="34" s="1"/>
  <c r="AG209" i="34"/>
  <c r="AF209" i="34"/>
  <c r="AC209" i="34"/>
  <c r="X209" i="34"/>
  <c r="AD209" i="34" s="1"/>
  <c r="W209" i="34"/>
  <c r="V209" i="34"/>
  <c r="AB209" i="34" s="1"/>
  <c r="AG208" i="34"/>
  <c r="AF208" i="34"/>
  <c r="AC208" i="34"/>
  <c r="X208" i="34"/>
  <c r="AD208" i="34" s="1"/>
  <c r="W208" i="34"/>
  <c r="V208" i="34"/>
  <c r="AB208" i="34" s="1"/>
  <c r="AG207" i="34"/>
  <c r="AF207" i="34"/>
  <c r="X207" i="34"/>
  <c r="AD207" i="34" s="1"/>
  <c r="W207" i="34"/>
  <c r="AC207" i="34" s="1"/>
  <c r="V207" i="34"/>
  <c r="AB207" i="34" s="1"/>
  <c r="AG206" i="34"/>
  <c r="AF206" i="34"/>
  <c r="X206" i="34"/>
  <c r="AD206" i="34" s="1"/>
  <c r="W206" i="34"/>
  <c r="AC206" i="34" s="1"/>
  <c r="V206" i="34"/>
  <c r="AB206" i="34" s="1"/>
  <c r="AE205" i="34"/>
  <c r="X205" i="34"/>
  <c r="AD205" i="34" s="1"/>
  <c r="W205" i="34"/>
  <c r="AC205" i="34" s="1"/>
  <c r="V205" i="34"/>
  <c r="AB205" i="34" s="1"/>
  <c r="AE204" i="34"/>
  <c r="AD204" i="34"/>
  <c r="AC204" i="34"/>
  <c r="X204" i="34"/>
  <c r="W204" i="34"/>
  <c r="V204" i="34"/>
  <c r="AB204" i="34" s="1"/>
  <c r="AE203" i="34"/>
  <c r="X203" i="34"/>
  <c r="AD203" i="34" s="1"/>
  <c r="W203" i="34"/>
  <c r="AC203" i="34" s="1"/>
  <c r="V203" i="34"/>
  <c r="AB203" i="34" s="1"/>
  <c r="AE202" i="34"/>
  <c r="AC202" i="34"/>
  <c r="AB202" i="34"/>
  <c r="X202" i="34"/>
  <c r="AD202" i="34" s="1"/>
  <c r="W202" i="34"/>
  <c r="V202" i="34"/>
  <c r="AE201" i="34"/>
  <c r="AD201" i="34"/>
  <c r="X201" i="34"/>
  <c r="W201" i="34"/>
  <c r="AC201" i="34" s="1"/>
  <c r="V201" i="34"/>
  <c r="AB201" i="34" s="1"/>
  <c r="AE200" i="34"/>
  <c r="AB200" i="34"/>
  <c r="X200" i="34"/>
  <c r="AD200" i="34" s="1"/>
  <c r="W200" i="34"/>
  <c r="AC200" i="34" s="1"/>
  <c r="V200" i="34"/>
  <c r="AE199" i="34"/>
  <c r="AD199" i="34"/>
  <c r="X199" i="34"/>
  <c r="W199" i="34"/>
  <c r="AC199" i="34" s="1"/>
  <c r="V199" i="34"/>
  <c r="AB199" i="34" s="1"/>
  <c r="AE198" i="34"/>
  <c r="X198" i="34"/>
  <c r="AD198" i="34" s="1"/>
  <c r="W198" i="34"/>
  <c r="AC198" i="34" s="1"/>
  <c r="V198" i="34"/>
  <c r="AB198" i="34" s="1"/>
  <c r="AE197" i="34"/>
  <c r="AD197" i="34"/>
  <c r="X197" i="34"/>
  <c r="W197" i="34"/>
  <c r="AC197" i="34" s="1"/>
  <c r="V197" i="34"/>
  <c r="AB197" i="34" s="1"/>
  <c r="AE196" i="34"/>
  <c r="AC196" i="34"/>
  <c r="X196" i="34"/>
  <c r="AD196" i="34" s="1"/>
  <c r="W196" i="34"/>
  <c r="V196" i="34"/>
  <c r="AB196" i="34" s="1"/>
  <c r="AE195" i="34"/>
  <c r="AB195" i="34"/>
  <c r="X195" i="34"/>
  <c r="AD195" i="34" s="1"/>
  <c r="W195" i="34"/>
  <c r="AC195" i="34" s="1"/>
  <c r="V195" i="34"/>
  <c r="AE194" i="34"/>
  <c r="AB194" i="34"/>
  <c r="X194" i="34"/>
  <c r="AD194" i="34" s="1"/>
  <c r="W194" i="34"/>
  <c r="AC194" i="34" s="1"/>
  <c r="V194" i="34"/>
  <c r="AE193" i="34"/>
  <c r="X193" i="34"/>
  <c r="AD193" i="34" s="1"/>
  <c r="W193" i="34"/>
  <c r="AC193" i="34" s="1"/>
  <c r="V193" i="34"/>
  <c r="AB193" i="34" s="1"/>
  <c r="AE192" i="34"/>
  <c r="X192" i="34"/>
  <c r="AD192" i="34" s="1"/>
  <c r="W192" i="34"/>
  <c r="AC192" i="34" s="1"/>
  <c r="V192" i="34"/>
  <c r="AB192" i="34" s="1"/>
  <c r="AE191" i="34"/>
  <c r="AD191" i="34"/>
  <c r="AC191" i="34"/>
  <c r="X191" i="34"/>
  <c r="W191" i="34"/>
  <c r="V191" i="34"/>
  <c r="AB191" i="34" s="1"/>
  <c r="AE190" i="34"/>
  <c r="X190" i="34"/>
  <c r="AD190" i="34" s="1"/>
  <c r="W190" i="34"/>
  <c r="AC190" i="34" s="1"/>
  <c r="V190" i="34"/>
  <c r="AB190" i="34" s="1"/>
  <c r="AE189" i="34"/>
  <c r="AD189" i="34"/>
  <c r="X189" i="34"/>
  <c r="W189" i="34"/>
  <c r="AC189" i="34" s="1"/>
  <c r="V189" i="34"/>
  <c r="AB189" i="34" s="1"/>
  <c r="AE188" i="34"/>
  <c r="AC188" i="34"/>
  <c r="X188" i="34"/>
  <c r="AD188" i="34" s="1"/>
  <c r="W188" i="34"/>
  <c r="V188" i="34"/>
  <c r="AB188" i="34" s="1"/>
  <c r="AE187" i="34"/>
  <c r="AB187" i="34"/>
  <c r="X187" i="34"/>
  <c r="AD187" i="34" s="1"/>
  <c r="W187" i="34"/>
  <c r="AC187" i="34" s="1"/>
  <c r="V187" i="34"/>
  <c r="AE186" i="34"/>
  <c r="AB186" i="34"/>
  <c r="X186" i="34"/>
  <c r="AD186" i="34" s="1"/>
  <c r="W186" i="34"/>
  <c r="AC186" i="34" s="1"/>
  <c r="V186" i="34"/>
  <c r="AE185" i="34"/>
  <c r="X185" i="34"/>
  <c r="AD185" i="34" s="1"/>
  <c r="W185" i="34"/>
  <c r="AC185" i="34" s="1"/>
  <c r="V185" i="34"/>
  <c r="AB185" i="34" s="1"/>
  <c r="AE184" i="34"/>
  <c r="AB184" i="34"/>
  <c r="X184" i="34"/>
  <c r="AD184" i="34" s="1"/>
  <c r="W184" i="34"/>
  <c r="AC184" i="34" s="1"/>
  <c r="V184" i="34"/>
  <c r="AE183" i="34"/>
  <c r="AD183" i="34"/>
  <c r="X183" i="34"/>
  <c r="W183" i="34"/>
  <c r="AC183" i="34" s="1"/>
  <c r="V183" i="34"/>
  <c r="AB183" i="34" s="1"/>
  <c r="AE182" i="34"/>
  <c r="AB182" i="34"/>
  <c r="X182" i="34"/>
  <c r="AD182" i="34" s="1"/>
  <c r="W182" i="34"/>
  <c r="AC182" i="34" s="1"/>
  <c r="V182" i="34"/>
  <c r="AG181" i="34"/>
  <c r="AE181" i="34"/>
  <c r="X181" i="34"/>
  <c r="AD181" i="34" s="1"/>
  <c r="W181" i="34"/>
  <c r="AC181" i="34" s="1"/>
  <c r="V181" i="34"/>
  <c r="AB181" i="34" s="1"/>
  <c r="AG180" i="34"/>
  <c r="AE180" i="34"/>
  <c r="X180" i="34"/>
  <c r="AD180" i="34" s="1"/>
  <c r="W180" i="34"/>
  <c r="AC180" i="34" s="1"/>
  <c r="V180" i="34"/>
  <c r="AB180" i="34" s="1"/>
  <c r="AG179" i="34"/>
  <c r="AE179" i="34"/>
  <c r="X179" i="34"/>
  <c r="AD179" i="34" s="1"/>
  <c r="W179" i="34"/>
  <c r="AC179" i="34" s="1"/>
  <c r="V179" i="34"/>
  <c r="AB179" i="34" s="1"/>
  <c r="AG178" i="34"/>
  <c r="AE178" i="34"/>
  <c r="X178" i="34"/>
  <c r="AD178" i="34" s="1"/>
  <c r="W178" i="34"/>
  <c r="AC178" i="34" s="1"/>
  <c r="V178" i="34"/>
  <c r="AB178" i="34" s="1"/>
  <c r="AG177" i="34"/>
  <c r="AE177" i="34"/>
  <c r="AC177" i="34"/>
  <c r="X177" i="34"/>
  <c r="AD177" i="34" s="1"/>
  <c r="W177" i="34"/>
  <c r="V177" i="34"/>
  <c r="AB177" i="34" s="1"/>
  <c r="AG176" i="34"/>
  <c r="AE176" i="34"/>
  <c r="AD176" i="34"/>
  <c r="AC176" i="34"/>
  <c r="X176" i="34"/>
  <c r="W176" i="34"/>
  <c r="V176" i="34"/>
  <c r="AB176" i="34" s="1"/>
  <c r="AG175" i="34"/>
  <c r="AE175" i="34"/>
  <c r="X175" i="34"/>
  <c r="AD175" i="34" s="1"/>
  <c r="W175" i="34"/>
  <c r="AC175" i="34" s="1"/>
  <c r="V175" i="34"/>
  <c r="AB175" i="34" s="1"/>
  <c r="AG174" i="34"/>
  <c r="AE174" i="34"/>
  <c r="X174" i="34"/>
  <c r="AD174" i="34" s="1"/>
  <c r="W174" i="34"/>
  <c r="AC174" i="34" s="1"/>
  <c r="V174" i="34"/>
  <c r="AB174" i="34" s="1"/>
  <c r="AG173" i="34"/>
  <c r="AE173" i="34"/>
  <c r="AC173" i="34"/>
  <c r="X173" i="34"/>
  <c r="AD173" i="34" s="1"/>
  <c r="W173" i="34"/>
  <c r="V173" i="34"/>
  <c r="AB173" i="34" s="1"/>
  <c r="AG172" i="34"/>
  <c r="AE172" i="34"/>
  <c r="AB172" i="34"/>
  <c r="X172" i="34"/>
  <c r="AD172" i="34" s="1"/>
  <c r="W172" i="34"/>
  <c r="AC172" i="34" s="1"/>
  <c r="V172" i="34"/>
  <c r="AG171" i="34"/>
  <c r="AE171" i="34"/>
  <c r="X171" i="34"/>
  <c r="AD171" i="34" s="1"/>
  <c r="W171" i="34"/>
  <c r="AC171" i="34" s="1"/>
  <c r="V171" i="34"/>
  <c r="AB171" i="34" s="1"/>
  <c r="AG170" i="34"/>
  <c r="AE170" i="34"/>
  <c r="X170" i="34"/>
  <c r="AD170" i="34" s="1"/>
  <c r="W170" i="34"/>
  <c r="AC170" i="34" s="1"/>
  <c r="V170" i="34"/>
  <c r="AB170" i="34" s="1"/>
  <c r="AG169" i="34"/>
  <c r="AF169" i="34"/>
  <c r="X169" i="34"/>
  <c r="AD169" i="34" s="1"/>
  <c r="W169" i="34"/>
  <c r="AC169" i="34" s="1"/>
  <c r="V169" i="34"/>
  <c r="AB169" i="34" s="1"/>
  <c r="AG168" i="34"/>
  <c r="AF168" i="34"/>
  <c r="AD168" i="34"/>
  <c r="X168" i="34"/>
  <c r="W168" i="34"/>
  <c r="AC168" i="34" s="1"/>
  <c r="V168" i="34"/>
  <c r="AB168" i="34" s="1"/>
  <c r="AG167" i="34"/>
  <c r="AF167" i="34"/>
  <c r="AD167" i="34"/>
  <c r="X167" i="34"/>
  <c r="W167" i="34"/>
  <c r="AC167" i="34" s="1"/>
  <c r="V167" i="34"/>
  <c r="AB167" i="34" s="1"/>
  <c r="AG166" i="34"/>
  <c r="AF166" i="34"/>
  <c r="X166" i="34"/>
  <c r="AD166" i="34" s="1"/>
  <c r="W166" i="34"/>
  <c r="AC166" i="34" s="1"/>
  <c r="V166" i="34"/>
  <c r="AB166" i="34" s="1"/>
  <c r="AG165" i="34"/>
  <c r="AF165" i="34"/>
  <c r="AD165" i="34"/>
  <c r="X165" i="34"/>
  <c r="W165" i="34"/>
  <c r="AC165" i="34" s="1"/>
  <c r="V165" i="34"/>
  <c r="AB165" i="34" s="1"/>
  <c r="AG164" i="34"/>
  <c r="AF164" i="34"/>
  <c r="AD164" i="34"/>
  <c r="X164" i="34"/>
  <c r="W164" i="34"/>
  <c r="AC164" i="34" s="1"/>
  <c r="V164" i="34"/>
  <c r="AB164" i="34" s="1"/>
  <c r="AG163" i="34"/>
  <c r="AF163" i="34"/>
  <c r="X163" i="34"/>
  <c r="AD163" i="34" s="1"/>
  <c r="W163" i="34"/>
  <c r="AC163" i="34" s="1"/>
  <c r="V163" i="34"/>
  <c r="AB163" i="34" s="1"/>
  <c r="AG162" i="34"/>
  <c r="AF162" i="34"/>
  <c r="X162" i="34"/>
  <c r="AD162" i="34" s="1"/>
  <c r="W162" i="34"/>
  <c r="AC162" i="34" s="1"/>
  <c r="V162" i="34"/>
  <c r="AB162" i="34" s="1"/>
  <c r="AG161" i="34"/>
  <c r="AF161" i="34"/>
  <c r="X161" i="34"/>
  <c r="AD161" i="34" s="1"/>
  <c r="W161" i="34"/>
  <c r="AC161" i="34" s="1"/>
  <c r="V161" i="34"/>
  <c r="AB161" i="34" s="1"/>
  <c r="AG160" i="34"/>
  <c r="AF160" i="34"/>
  <c r="X160" i="34"/>
  <c r="AD160" i="34" s="1"/>
  <c r="W160" i="34"/>
  <c r="AC160" i="34" s="1"/>
  <c r="V160" i="34"/>
  <c r="AB160" i="34" s="1"/>
  <c r="AG159" i="34"/>
  <c r="AF159" i="34"/>
  <c r="X159" i="34"/>
  <c r="AD159" i="34" s="1"/>
  <c r="W159" i="34"/>
  <c r="AC159" i="34" s="1"/>
  <c r="V159" i="34"/>
  <c r="AB159" i="34" s="1"/>
  <c r="AG158" i="34"/>
  <c r="AF158" i="34"/>
  <c r="AB158" i="34"/>
  <c r="X158" i="34"/>
  <c r="AD158" i="34" s="1"/>
  <c r="W158" i="34"/>
  <c r="AC158" i="34" s="1"/>
  <c r="V158" i="34"/>
  <c r="AG157" i="34"/>
  <c r="AE157" i="34"/>
  <c r="AB157" i="34"/>
  <c r="X157" i="34"/>
  <c r="AD157" i="34" s="1"/>
  <c r="W157" i="34"/>
  <c r="AC157" i="34" s="1"/>
  <c r="V157" i="34"/>
  <c r="AG156" i="34"/>
  <c r="AE156" i="34"/>
  <c r="AD156" i="34"/>
  <c r="X156" i="34"/>
  <c r="W156" i="34"/>
  <c r="AC156" i="34" s="1"/>
  <c r="V156" i="34"/>
  <c r="AB156" i="34" s="1"/>
  <c r="AG155" i="34"/>
  <c r="AE155" i="34"/>
  <c r="X155" i="34"/>
  <c r="AD155" i="34" s="1"/>
  <c r="W155" i="34"/>
  <c r="AC155" i="34" s="1"/>
  <c r="V155" i="34"/>
  <c r="AB155" i="34" s="1"/>
  <c r="AG154" i="34"/>
  <c r="AE154" i="34"/>
  <c r="X154" i="34"/>
  <c r="AD154" i="34" s="1"/>
  <c r="W154" i="34"/>
  <c r="AC154" i="34" s="1"/>
  <c r="V154" i="34"/>
  <c r="AB154" i="34" s="1"/>
  <c r="AG153" i="34"/>
  <c r="AE153" i="34"/>
  <c r="AC153" i="34"/>
  <c r="X153" i="34"/>
  <c r="AD153" i="34" s="1"/>
  <c r="W153" i="34"/>
  <c r="V153" i="34"/>
  <c r="AB153" i="34" s="1"/>
  <c r="AG152" i="34"/>
  <c r="AE152" i="34"/>
  <c r="AB152" i="34"/>
  <c r="X152" i="34"/>
  <c r="AD152" i="34" s="1"/>
  <c r="W152" i="34"/>
  <c r="AC152" i="34" s="1"/>
  <c r="V152" i="34"/>
  <c r="AG151" i="34"/>
  <c r="AE151" i="34"/>
  <c r="AD151" i="34"/>
  <c r="X151" i="34"/>
  <c r="W151" i="34"/>
  <c r="AC151" i="34" s="1"/>
  <c r="V151" i="34"/>
  <c r="AB151" i="34" s="1"/>
  <c r="AG150" i="34"/>
  <c r="AE150" i="34"/>
  <c r="X150" i="34"/>
  <c r="AD150" i="34" s="1"/>
  <c r="W150" i="34"/>
  <c r="AC150" i="34" s="1"/>
  <c r="V150" i="34"/>
  <c r="AB150" i="34" s="1"/>
  <c r="AG149" i="34"/>
  <c r="AE149" i="34"/>
  <c r="X149" i="34"/>
  <c r="AD149" i="34" s="1"/>
  <c r="W149" i="34"/>
  <c r="AC149" i="34" s="1"/>
  <c r="V149" i="34"/>
  <c r="AB149" i="34" s="1"/>
  <c r="AG148" i="34"/>
  <c r="AE148" i="34"/>
  <c r="AD148" i="34"/>
  <c r="X148" i="34"/>
  <c r="W148" i="34"/>
  <c r="AC148" i="34" s="1"/>
  <c r="V148" i="34"/>
  <c r="AB148" i="34" s="1"/>
  <c r="AG147" i="34"/>
  <c r="AE147" i="34"/>
  <c r="AD147" i="34"/>
  <c r="AC147" i="34"/>
  <c r="X147" i="34"/>
  <c r="W147" i="34"/>
  <c r="V147" i="34"/>
  <c r="AB147" i="34" s="1"/>
  <c r="AG146" i="34"/>
  <c r="AE146" i="34"/>
  <c r="X146" i="34"/>
  <c r="AD146" i="34" s="1"/>
  <c r="W146" i="34"/>
  <c r="AC146" i="34" s="1"/>
  <c r="V146" i="34"/>
  <c r="AB146" i="34" s="1"/>
  <c r="AE145" i="34"/>
  <c r="AB145" i="34"/>
  <c r="X145" i="34"/>
  <c r="AD145" i="34" s="1"/>
  <c r="W145" i="34"/>
  <c r="AC145" i="34" s="1"/>
  <c r="V145" i="34"/>
  <c r="AE144" i="34"/>
  <c r="AD144" i="34"/>
  <c r="AC144" i="34"/>
  <c r="X144" i="34"/>
  <c r="W144" i="34"/>
  <c r="V144" i="34"/>
  <c r="AB144" i="34" s="1"/>
  <c r="AE143" i="34"/>
  <c r="X143" i="34"/>
  <c r="AD143" i="34" s="1"/>
  <c r="W143" i="34"/>
  <c r="AC143" i="34" s="1"/>
  <c r="V143" i="34"/>
  <c r="AB143" i="34" s="1"/>
  <c r="AE142" i="34"/>
  <c r="AB142" i="34"/>
  <c r="X142" i="34"/>
  <c r="AD142" i="34" s="1"/>
  <c r="W142" i="34"/>
  <c r="AC142" i="34" s="1"/>
  <c r="V142" i="34"/>
  <c r="AE141" i="34"/>
  <c r="AD141" i="34"/>
  <c r="X141" i="34"/>
  <c r="W141" i="34"/>
  <c r="AC141" i="34" s="1"/>
  <c r="V141" i="34"/>
  <c r="AB141" i="34" s="1"/>
  <c r="AE140" i="34"/>
  <c r="X140" i="34"/>
  <c r="AD140" i="34" s="1"/>
  <c r="W140" i="34"/>
  <c r="AC140" i="34" s="1"/>
  <c r="V140" i="34"/>
  <c r="AB140" i="34" s="1"/>
  <c r="AE139" i="34"/>
  <c r="AB139" i="34"/>
  <c r="X139" i="34"/>
  <c r="AD139" i="34" s="1"/>
  <c r="W139" i="34"/>
  <c r="AC139" i="34" s="1"/>
  <c r="V139" i="34"/>
  <c r="AE138" i="34"/>
  <c r="X138" i="34"/>
  <c r="AD138" i="34" s="1"/>
  <c r="W138" i="34"/>
  <c r="AC138" i="34" s="1"/>
  <c r="V138" i="34"/>
  <c r="AB138" i="34" s="1"/>
  <c r="AE137" i="34"/>
  <c r="AB137" i="34"/>
  <c r="X137" i="34"/>
  <c r="AD137" i="34" s="1"/>
  <c r="W137" i="34"/>
  <c r="AC137" i="34" s="1"/>
  <c r="V137" i="34"/>
  <c r="AE136" i="34"/>
  <c r="AD136" i="34"/>
  <c r="X136" i="34"/>
  <c r="W136" i="34"/>
  <c r="AC136" i="34" s="1"/>
  <c r="V136" i="34"/>
  <c r="AB136" i="34" s="1"/>
  <c r="AE135" i="34"/>
  <c r="X135" i="34"/>
  <c r="AD135" i="34" s="1"/>
  <c r="W135" i="34"/>
  <c r="AC135" i="34" s="1"/>
  <c r="V135" i="34"/>
  <c r="AB135" i="34" s="1"/>
  <c r="AE134" i="34"/>
  <c r="AC134" i="34"/>
  <c r="AB134" i="34"/>
  <c r="X134" i="34"/>
  <c r="AD134" i="34" s="1"/>
  <c r="W134" i="34"/>
  <c r="V134" i="34"/>
  <c r="AE133" i="34"/>
  <c r="X133" i="34"/>
  <c r="AD133" i="34" s="1"/>
  <c r="W133" i="34"/>
  <c r="AC133" i="34" s="1"/>
  <c r="V133" i="34"/>
  <c r="AB133" i="34" s="1"/>
  <c r="AE132" i="34"/>
  <c r="X132" i="34"/>
  <c r="AD132" i="34" s="1"/>
  <c r="W132" i="34"/>
  <c r="AC132" i="34" s="1"/>
  <c r="V132" i="34"/>
  <c r="AB132" i="34" s="1"/>
  <c r="AE131" i="34"/>
  <c r="AB131" i="34"/>
  <c r="X131" i="34"/>
  <c r="AD131" i="34" s="1"/>
  <c r="W131" i="34"/>
  <c r="AC131" i="34" s="1"/>
  <c r="V131" i="34"/>
  <c r="AE130" i="34"/>
  <c r="X130" i="34"/>
  <c r="AD130" i="34" s="1"/>
  <c r="W130" i="34"/>
  <c r="AC130" i="34" s="1"/>
  <c r="V130" i="34"/>
  <c r="AB130" i="34" s="1"/>
  <c r="AE129" i="34"/>
  <c r="AB129" i="34"/>
  <c r="X129" i="34"/>
  <c r="AD129" i="34" s="1"/>
  <c r="W129" i="34"/>
  <c r="AC129" i="34" s="1"/>
  <c r="V129" i="34"/>
  <c r="AE128" i="34"/>
  <c r="X128" i="34"/>
  <c r="AD128" i="34" s="1"/>
  <c r="W128" i="34"/>
  <c r="AC128" i="34" s="1"/>
  <c r="V128" i="34"/>
  <c r="AB128" i="34" s="1"/>
  <c r="AE127" i="34"/>
  <c r="X127" i="34"/>
  <c r="AD127" i="34" s="1"/>
  <c r="W127" i="34"/>
  <c r="AC127" i="34" s="1"/>
  <c r="V127" i="34"/>
  <c r="AB127" i="34" s="1"/>
  <c r="AE126" i="34"/>
  <c r="AC126" i="34"/>
  <c r="AB126" i="34"/>
  <c r="X126" i="34"/>
  <c r="AD126" i="34" s="1"/>
  <c r="W126" i="34"/>
  <c r="V126" i="34"/>
  <c r="AE125" i="34"/>
  <c r="AD125" i="34"/>
  <c r="X125" i="34"/>
  <c r="W125" i="34"/>
  <c r="AC125" i="34" s="1"/>
  <c r="V125" i="34"/>
  <c r="AB125" i="34" s="1"/>
  <c r="AE124" i="34"/>
  <c r="X124" i="34"/>
  <c r="AD124" i="34" s="1"/>
  <c r="W124" i="34"/>
  <c r="AC124" i="34" s="1"/>
  <c r="V124" i="34"/>
  <c r="AB124" i="34" s="1"/>
  <c r="AE123" i="34"/>
  <c r="AC123" i="34"/>
  <c r="AB123" i="34"/>
  <c r="X123" i="34"/>
  <c r="AD123" i="34" s="1"/>
  <c r="W123" i="34"/>
  <c r="V123" i="34"/>
  <c r="AE122" i="34"/>
  <c r="X122" i="34"/>
  <c r="AD122" i="34" s="1"/>
  <c r="W122" i="34"/>
  <c r="AC122" i="34" s="1"/>
  <c r="V122" i="34"/>
  <c r="AB122" i="34" s="1"/>
  <c r="AG121" i="34"/>
  <c r="AF121" i="34"/>
  <c r="X121" i="34"/>
  <c r="AD121" i="34" s="1"/>
  <c r="W121" i="34"/>
  <c r="AC121" i="34" s="1"/>
  <c r="V121" i="34"/>
  <c r="AB121" i="34" s="1"/>
  <c r="AG120" i="34"/>
  <c r="AF120" i="34"/>
  <c r="AD120" i="34"/>
  <c r="X120" i="34"/>
  <c r="W120" i="34"/>
  <c r="AC120" i="34" s="1"/>
  <c r="V120" i="34"/>
  <c r="AB120" i="34" s="1"/>
  <c r="AG119" i="34"/>
  <c r="AF119" i="34"/>
  <c r="AC119" i="34"/>
  <c r="X119" i="34"/>
  <c r="AD119" i="34" s="1"/>
  <c r="W119" i="34"/>
  <c r="V119" i="34"/>
  <c r="AB119" i="34" s="1"/>
  <c r="AG118" i="34"/>
  <c r="AF118" i="34"/>
  <c r="X118" i="34"/>
  <c r="AD118" i="34" s="1"/>
  <c r="W118" i="34"/>
  <c r="AC118" i="34" s="1"/>
  <c r="V118" i="34"/>
  <c r="AB118" i="34" s="1"/>
  <c r="AG117" i="34"/>
  <c r="AF117" i="34"/>
  <c r="AB117" i="34"/>
  <c r="X117" i="34"/>
  <c r="AD117" i="34" s="1"/>
  <c r="W117" i="34"/>
  <c r="AC117" i="34" s="1"/>
  <c r="V117" i="34"/>
  <c r="AG116" i="34"/>
  <c r="AF116" i="34"/>
  <c r="AB116" i="34"/>
  <c r="X116" i="34"/>
  <c r="AD116" i="34" s="1"/>
  <c r="W116" i="34"/>
  <c r="AC116" i="34" s="1"/>
  <c r="V116" i="34"/>
  <c r="AG115" i="34"/>
  <c r="AF115" i="34"/>
  <c r="X115" i="34"/>
  <c r="AD115" i="34" s="1"/>
  <c r="W115" i="34"/>
  <c r="AC115" i="34" s="1"/>
  <c r="V115" i="34"/>
  <c r="AB115" i="34" s="1"/>
  <c r="AG114" i="34"/>
  <c r="AF114" i="34"/>
  <c r="X114" i="34"/>
  <c r="AD114" i="34" s="1"/>
  <c r="W114" i="34"/>
  <c r="AC114" i="34" s="1"/>
  <c r="V114" i="34"/>
  <c r="AB114" i="34" s="1"/>
  <c r="AG113" i="34"/>
  <c r="AF113" i="34"/>
  <c r="X113" i="34"/>
  <c r="AD113" i="34" s="1"/>
  <c r="W113" i="34"/>
  <c r="AC113" i="34" s="1"/>
  <c r="V113" i="34"/>
  <c r="AB113" i="34" s="1"/>
  <c r="AG112" i="34"/>
  <c r="AF112" i="34"/>
  <c r="AC112" i="34"/>
  <c r="X112" i="34"/>
  <c r="AD112" i="34" s="1"/>
  <c r="W112" i="34"/>
  <c r="V112" i="34"/>
  <c r="AB112" i="34" s="1"/>
  <c r="AG111" i="34"/>
  <c r="AF111" i="34"/>
  <c r="X111" i="34"/>
  <c r="AD111" i="34" s="1"/>
  <c r="W111" i="34"/>
  <c r="AC111" i="34" s="1"/>
  <c r="V111" i="34"/>
  <c r="AB111" i="34" s="1"/>
  <c r="AG110" i="34"/>
  <c r="AF110" i="34"/>
  <c r="AB110" i="34"/>
  <c r="X110" i="34"/>
  <c r="AD110" i="34" s="1"/>
  <c r="W110" i="34"/>
  <c r="AC110" i="34" s="1"/>
  <c r="V110" i="34"/>
  <c r="AG109" i="34"/>
  <c r="AF109" i="34"/>
  <c r="X109" i="34"/>
  <c r="AD109" i="34" s="1"/>
  <c r="W109" i="34"/>
  <c r="AC109" i="34" s="1"/>
  <c r="V109" i="34"/>
  <c r="AB109" i="34" s="1"/>
  <c r="AG108" i="34"/>
  <c r="AF108" i="34"/>
  <c r="AD108" i="34"/>
  <c r="AC108" i="34"/>
  <c r="X108" i="34"/>
  <c r="W108" i="34"/>
  <c r="V108" i="34"/>
  <c r="AB108" i="34" s="1"/>
  <c r="AG107" i="34"/>
  <c r="AF107" i="34"/>
  <c r="X107" i="34"/>
  <c r="AD107" i="34" s="1"/>
  <c r="W107" i="34"/>
  <c r="AC107" i="34" s="1"/>
  <c r="V107" i="34"/>
  <c r="AB107" i="34" s="1"/>
  <c r="AG106" i="34"/>
  <c r="AF106" i="34"/>
  <c r="AB106" i="34"/>
  <c r="X106" i="34"/>
  <c r="AD106" i="34" s="1"/>
  <c r="W106" i="34"/>
  <c r="AC106" i="34" s="1"/>
  <c r="V106" i="34"/>
  <c r="AG105" i="34"/>
  <c r="AF105" i="34"/>
  <c r="X105" i="34"/>
  <c r="AD105" i="34" s="1"/>
  <c r="W105" i="34"/>
  <c r="AC105" i="34" s="1"/>
  <c r="V105" i="34"/>
  <c r="AB105" i="34" s="1"/>
  <c r="AG104" i="34"/>
  <c r="AF104" i="34"/>
  <c r="AD104" i="34"/>
  <c r="X104" i="34"/>
  <c r="W104" i="34"/>
  <c r="AC104" i="34" s="1"/>
  <c r="V104" i="34"/>
  <c r="AB104" i="34" s="1"/>
  <c r="AG103" i="34"/>
  <c r="AF103" i="34"/>
  <c r="AC103" i="34"/>
  <c r="X103" i="34"/>
  <c r="AD103" i="34" s="1"/>
  <c r="W103" i="34"/>
  <c r="V103" i="34"/>
  <c r="AB103" i="34" s="1"/>
  <c r="AG102" i="34"/>
  <c r="AF102" i="34"/>
  <c r="X102" i="34"/>
  <c r="AD102" i="34" s="1"/>
  <c r="W102" i="34"/>
  <c r="AC102" i="34" s="1"/>
  <c r="V102" i="34"/>
  <c r="AB102" i="34" s="1"/>
  <c r="AG101" i="34"/>
  <c r="AF101" i="34"/>
  <c r="AD101" i="34"/>
  <c r="AB101" i="34"/>
  <c r="X101" i="34"/>
  <c r="W101" i="34"/>
  <c r="AC101" i="34" s="1"/>
  <c r="V101" i="34"/>
  <c r="AG100" i="34"/>
  <c r="AF100" i="34"/>
  <c r="AC100" i="34"/>
  <c r="X100" i="34"/>
  <c r="AD100" i="34" s="1"/>
  <c r="W100" i="34"/>
  <c r="V100" i="34"/>
  <c r="AB100" i="34" s="1"/>
  <c r="AG99" i="34"/>
  <c r="AF99" i="34"/>
  <c r="X99" i="34"/>
  <c r="AD99" i="34" s="1"/>
  <c r="W99" i="34"/>
  <c r="AC99" i="34" s="1"/>
  <c r="V99" i="34"/>
  <c r="AB99" i="34" s="1"/>
  <c r="AG98" i="34"/>
  <c r="AF98" i="34"/>
  <c r="AB98" i="34"/>
  <c r="X98" i="34"/>
  <c r="AD98" i="34" s="1"/>
  <c r="W98" i="34"/>
  <c r="AC98" i="34" s="1"/>
  <c r="V98" i="34"/>
  <c r="AE97" i="34"/>
  <c r="AB97" i="34"/>
  <c r="X97" i="34"/>
  <c r="AD97" i="34" s="1"/>
  <c r="W97" i="34"/>
  <c r="AC97" i="34" s="1"/>
  <c r="V97" i="34"/>
  <c r="AE96" i="34"/>
  <c r="X96" i="34"/>
  <c r="AD96" i="34" s="1"/>
  <c r="W96" i="34"/>
  <c r="AC96" i="34" s="1"/>
  <c r="V96" i="34"/>
  <c r="AB96" i="34" s="1"/>
  <c r="AE95" i="34"/>
  <c r="X95" i="34"/>
  <c r="AD95" i="34" s="1"/>
  <c r="W95" i="34"/>
  <c r="AC95" i="34" s="1"/>
  <c r="V95" i="34"/>
  <c r="AB95" i="34" s="1"/>
  <c r="AE94" i="34"/>
  <c r="AC94" i="34"/>
  <c r="X94" i="34"/>
  <c r="AD94" i="34" s="1"/>
  <c r="W94" i="34"/>
  <c r="V94" i="34"/>
  <c r="AB94" i="34" s="1"/>
  <c r="AE93" i="34"/>
  <c r="AD93" i="34"/>
  <c r="X93" i="34"/>
  <c r="W93" i="34"/>
  <c r="AC93" i="34" s="1"/>
  <c r="V93" i="34"/>
  <c r="AB93" i="34" s="1"/>
  <c r="AE92" i="34"/>
  <c r="X92" i="34"/>
  <c r="AD92" i="34" s="1"/>
  <c r="W92" i="34"/>
  <c r="AC92" i="34" s="1"/>
  <c r="V92" i="34"/>
  <c r="AB92" i="34" s="1"/>
  <c r="AE91" i="34"/>
  <c r="AC91" i="34"/>
  <c r="X91" i="34"/>
  <c r="AD91" i="34" s="1"/>
  <c r="W91" i="34"/>
  <c r="V91" i="34"/>
  <c r="AB91" i="34" s="1"/>
  <c r="AE90" i="34"/>
  <c r="X90" i="34"/>
  <c r="AD90" i="34" s="1"/>
  <c r="W90" i="34"/>
  <c r="AC90" i="34" s="1"/>
  <c r="V90" i="34"/>
  <c r="AB90" i="34" s="1"/>
  <c r="AE89" i="34"/>
  <c r="X89" i="34"/>
  <c r="AD89" i="34" s="1"/>
  <c r="W89" i="34"/>
  <c r="AC89" i="34" s="1"/>
  <c r="V89" i="34"/>
  <c r="AB89" i="34" s="1"/>
  <c r="AE88" i="34"/>
  <c r="AC88" i="34"/>
  <c r="X88" i="34"/>
  <c r="AD88" i="34" s="1"/>
  <c r="W88" i="34"/>
  <c r="V88" i="34"/>
  <c r="AB88" i="34" s="1"/>
  <c r="AE87" i="34"/>
  <c r="X87" i="34"/>
  <c r="AD87" i="34" s="1"/>
  <c r="W87" i="34"/>
  <c r="AC87" i="34" s="1"/>
  <c r="V87" i="34"/>
  <c r="AB87" i="34" s="1"/>
  <c r="AE86" i="34"/>
  <c r="X86" i="34"/>
  <c r="AD86" i="34" s="1"/>
  <c r="W86" i="34"/>
  <c r="AC86" i="34" s="1"/>
  <c r="V86" i="34"/>
  <c r="AB86" i="34" s="1"/>
  <c r="AE85" i="34"/>
  <c r="X85" i="34"/>
  <c r="AD85" i="34" s="1"/>
  <c r="W85" i="34"/>
  <c r="AC85" i="34" s="1"/>
  <c r="V85" i="34"/>
  <c r="AB85" i="34" s="1"/>
  <c r="AE84" i="34"/>
  <c r="X84" i="34"/>
  <c r="AD84" i="34" s="1"/>
  <c r="W84" i="34"/>
  <c r="AC84" i="34" s="1"/>
  <c r="V84" i="34"/>
  <c r="AB84" i="34" s="1"/>
  <c r="AE83" i="34"/>
  <c r="AD83" i="34"/>
  <c r="AC83" i="34"/>
  <c r="X83" i="34"/>
  <c r="W83" i="34"/>
  <c r="V83" i="34"/>
  <c r="AB83" i="34" s="1"/>
  <c r="AE82" i="34"/>
  <c r="X82" i="34"/>
  <c r="AD82" i="34" s="1"/>
  <c r="W82" i="34"/>
  <c r="AC82" i="34" s="1"/>
  <c r="V82" i="34"/>
  <c r="AB82" i="34" s="1"/>
  <c r="AE81" i="34"/>
  <c r="X81" i="34"/>
  <c r="AD81" i="34" s="1"/>
  <c r="W81" i="34"/>
  <c r="AC81" i="34" s="1"/>
  <c r="V81" i="34"/>
  <c r="AB81" i="34" s="1"/>
  <c r="AE80" i="34"/>
  <c r="AD80" i="34"/>
  <c r="AC80" i="34"/>
  <c r="X80" i="34"/>
  <c r="W80" i="34"/>
  <c r="V80" i="34"/>
  <c r="AB80" i="34" s="1"/>
  <c r="AE79" i="34"/>
  <c r="X79" i="34"/>
  <c r="AD79" i="34" s="1"/>
  <c r="W79" i="34"/>
  <c r="AC79" i="34" s="1"/>
  <c r="V79" i="34"/>
  <c r="AB79" i="34" s="1"/>
  <c r="AE78" i="34"/>
  <c r="X78" i="34"/>
  <c r="AD78" i="34" s="1"/>
  <c r="W78" i="34"/>
  <c r="AC78" i="34" s="1"/>
  <c r="V78" i="34"/>
  <c r="AB78" i="34" s="1"/>
  <c r="AE77" i="34"/>
  <c r="X77" i="34"/>
  <c r="AD77" i="34" s="1"/>
  <c r="W77" i="34"/>
  <c r="AC77" i="34" s="1"/>
  <c r="V77" i="34"/>
  <c r="AB77" i="34" s="1"/>
  <c r="AE76" i="34"/>
  <c r="X76" i="34"/>
  <c r="AD76" i="34" s="1"/>
  <c r="W76" i="34"/>
  <c r="AC76" i="34" s="1"/>
  <c r="V76" i="34"/>
  <c r="AB76" i="34" s="1"/>
  <c r="AE75" i="34"/>
  <c r="AD75" i="34"/>
  <c r="X75" i="34"/>
  <c r="W75" i="34"/>
  <c r="AC75" i="34" s="1"/>
  <c r="V75" i="34"/>
  <c r="AB75" i="34" s="1"/>
  <c r="AE74" i="34"/>
  <c r="X74" i="34"/>
  <c r="AD74" i="34" s="1"/>
  <c r="W74" i="34"/>
  <c r="AC74" i="34" s="1"/>
  <c r="V74" i="34"/>
  <c r="AB74" i="34" s="1"/>
  <c r="AG73" i="34"/>
  <c r="AF73" i="34"/>
  <c r="AD73" i="34"/>
  <c r="AB73" i="34"/>
  <c r="X73" i="34"/>
  <c r="W73" i="34"/>
  <c r="AC73" i="34" s="1"/>
  <c r="V73" i="34"/>
  <c r="AG72" i="34"/>
  <c r="AF72" i="34"/>
  <c r="AC72" i="34"/>
  <c r="X72" i="34"/>
  <c r="AD72" i="34" s="1"/>
  <c r="W72" i="34"/>
  <c r="V72" i="34"/>
  <c r="AB72" i="34" s="1"/>
  <c r="AG71" i="34"/>
  <c r="AF71" i="34"/>
  <c r="X71" i="34"/>
  <c r="AD71" i="34" s="1"/>
  <c r="W71" i="34"/>
  <c r="AC71" i="34" s="1"/>
  <c r="V71" i="34"/>
  <c r="AB71" i="34" s="1"/>
  <c r="AG70" i="34"/>
  <c r="AF70" i="34"/>
  <c r="AB70" i="34"/>
  <c r="X70" i="34"/>
  <c r="AD70" i="34" s="1"/>
  <c r="W70" i="34"/>
  <c r="AC70" i="34" s="1"/>
  <c r="V70" i="34"/>
  <c r="AG69" i="34"/>
  <c r="AF69" i="34"/>
  <c r="AB69" i="34"/>
  <c r="X69" i="34"/>
  <c r="AD69" i="34" s="1"/>
  <c r="W69" i="34"/>
  <c r="AC69" i="34" s="1"/>
  <c r="V69" i="34"/>
  <c r="AG68" i="34"/>
  <c r="AF68" i="34"/>
  <c r="X68" i="34"/>
  <c r="AD68" i="34" s="1"/>
  <c r="W68" i="34"/>
  <c r="AC68" i="34" s="1"/>
  <c r="V68" i="34"/>
  <c r="AB68" i="34" s="1"/>
  <c r="AG67" i="34"/>
  <c r="AF67" i="34"/>
  <c r="AC67" i="34"/>
  <c r="X67" i="34"/>
  <c r="AD67" i="34" s="1"/>
  <c r="W67" i="34"/>
  <c r="V67" i="34"/>
  <c r="AB67" i="34" s="1"/>
  <c r="AG66" i="34"/>
  <c r="AF66" i="34"/>
  <c r="X66" i="34"/>
  <c r="AD66" i="34" s="1"/>
  <c r="W66" i="34"/>
  <c r="AC66" i="34" s="1"/>
  <c r="V66" i="34"/>
  <c r="AB66" i="34" s="1"/>
  <c r="AG65" i="34"/>
  <c r="AF65" i="34"/>
  <c r="AB65" i="34"/>
  <c r="X65" i="34"/>
  <c r="AD65" i="34" s="1"/>
  <c r="W65" i="34"/>
  <c r="AC65" i="34" s="1"/>
  <c r="V65" i="34"/>
  <c r="AG64" i="34"/>
  <c r="AF64" i="34"/>
  <c r="X64" i="34"/>
  <c r="AD64" i="34" s="1"/>
  <c r="W64" i="34"/>
  <c r="AC64" i="34" s="1"/>
  <c r="V64" i="34"/>
  <c r="AB64" i="34" s="1"/>
  <c r="AG63" i="34"/>
  <c r="AF63" i="34"/>
  <c r="X63" i="34"/>
  <c r="AD63" i="34" s="1"/>
  <c r="W63" i="34"/>
  <c r="AC63" i="34" s="1"/>
  <c r="V63" i="34"/>
  <c r="AB63" i="34" s="1"/>
  <c r="AG62" i="34"/>
  <c r="AF62" i="34"/>
  <c r="AB62" i="34"/>
  <c r="X62" i="34"/>
  <c r="AD62" i="34" s="1"/>
  <c r="W62" i="34"/>
  <c r="AC62" i="34" s="1"/>
  <c r="V62" i="34"/>
  <c r="AG61" i="34"/>
  <c r="AF61" i="34"/>
  <c r="AD61" i="34"/>
  <c r="AB61" i="34"/>
  <c r="X61" i="34"/>
  <c r="W61" i="34"/>
  <c r="AC61" i="34" s="1"/>
  <c r="V61" i="34"/>
  <c r="AG60" i="34"/>
  <c r="AF60" i="34"/>
  <c r="AC60" i="34"/>
  <c r="X60" i="34"/>
  <c r="AD60" i="34" s="1"/>
  <c r="W60" i="34"/>
  <c r="V60" i="34"/>
  <c r="AB60" i="34" s="1"/>
  <c r="AG59" i="34"/>
  <c r="AF59" i="34"/>
  <c r="X59" i="34"/>
  <c r="AD59" i="34" s="1"/>
  <c r="W59" i="34"/>
  <c r="AC59" i="34" s="1"/>
  <c r="V59" i="34"/>
  <c r="AB59" i="34" s="1"/>
  <c r="AG58" i="34"/>
  <c r="AF58" i="34"/>
  <c r="X58" i="34"/>
  <c r="AD58" i="34" s="1"/>
  <c r="W58" i="34"/>
  <c r="AC58" i="34" s="1"/>
  <c r="V58" i="34"/>
  <c r="AB58" i="34" s="1"/>
  <c r="AG57" i="34"/>
  <c r="AF57" i="34"/>
  <c r="AD57" i="34"/>
  <c r="AB57" i="34"/>
  <c r="X57" i="34"/>
  <c r="W57" i="34"/>
  <c r="AC57" i="34" s="1"/>
  <c r="V57" i="34"/>
  <c r="AG56" i="34"/>
  <c r="AF56" i="34"/>
  <c r="AD56" i="34"/>
  <c r="AC56" i="34"/>
  <c r="X56" i="34"/>
  <c r="W56" i="34"/>
  <c r="V56" i="34"/>
  <c r="AB56" i="34" s="1"/>
  <c r="AG55" i="34"/>
  <c r="AF55" i="34"/>
  <c r="AC55" i="34"/>
  <c r="X55" i="34"/>
  <c r="AD55" i="34" s="1"/>
  <c r="W55" i="34"/>
  <c r="V55" i="34"/>
  <c r="AB55" i="34" s="1"/>
  <c r="AG54" i="34"/>
  <c r="AF54" i="34"/>
  <c r="X54" i="34"/>
  <c r="AD54" i="34" s="1"/>
  <c r="W54" i="34"/>
  <c r="AC54" i="34" s="1"/>
  <c r="V54" i="34"/>
  <c r="AB54" i="34" s="1"/>
  <c r="AG53" i="34"/>
  <c r="AF53" i="34"/>
  <c r="AD53" i="34"/>
  <c r="X53" i="34"/>
  <c r="W53" i="34"/>
  <c r="AC53" i="34" s="1"/>
  <c r="V53" i="34"/>
  <c r="AB53" i="34" s="1"/>
  <c r="AG52" i="34"/>
  <c r="AF52" i="34"/>
  <c r="X52" i="34"/>
  <c r="AD52" i="34" s="1"/>
  <c r="W52" i="34"/>
  <c r="AC52" i="34" s="1"/>
  <c r="V52" i="34"/>
  <c r="AB52" i="34" s="1"/>
  <c r="AG51" i="34"/>
  <c r="AF51" i="34"/>
  <c r="AC51" i="34"/>
  <c r="X51" i="34"/>
  <c r="AD51" i="34" s="1"/>
  <c r="W51" i="34"/>
  <c r="V51" i="34"/>
  <c r="AB51" i="34" s="1"/>
  <c r="AG50" i="34"/>
  <c r="AF50" i="34"/>
  <c r="AB50" i="34"/>
  <c r="X50" i="34"/>
  <c r="AD50" i="34" s="1"/>
  <c r="W50" i="34"/>
  <c r="AC50" i="34" s="1"/>
  <c r="V50" i="34"/>
  <c r="AG49" i="34"/>
  <c r="X49" i="34"/>
  <c r="AD49" i="34" s="1"/>
  <c r="W49" i="34"/>
  <c r="AC49" i="34" s="1"/>
  <c r="V49" i="34"/>
  <c r="AB49" i="34" s="1"/>
  <c r="AG48" i="34"/>
  <c r="X48" i="34"/>
  <c r="AD48" i="34" s="1"/>
  <c r="W48" i="34"/>
  <c r="AC48" i="34" s="1"/>
  <c r="V48" i="34"/>
  <c r="AB48" i="34" s="1"/>
  <c r="AG47" i="34"/>
  <c r="AB47" i="34"/>
  <c r="X47" i="34"/>
  <c r="AD47" i="34" s="1"/>
  <c r="W47" i="34"/>
  <c r="AC47" i="34" s="1"/>
  <c r="V47" i="34"/>
  <c r="AG46" i="34"/>
  <c r="AB46" i="34"/>
  <c r="X46" i="34"/>
  <c r="AD46" i="34" s="1"/>
  <c r="W46" i="34"/>
  <c r="AC46" i="34" s="1"/>
  <c r="V46" i="34"/>
  <c r="AG45" i="34"/>
  <c r="X45" i="34"/>
  <c r="AD45" i="34" s="1"/>
  <c r="W45" i="34"/>
  <c r="AC45" i="34" s="1"/>
  <c r="V45" i="34"/>
  <c r="AB45" i="34" s="1"/>
  <c r="AG44" i="34"/>
  <c r="AC44" i="34"/>
  <c r="X44" i="34"/>
  <c r="AD44" i="34" s="1"/>
  <c r="W44" i="34"/>
  <c r="V44" i="34"/>
  <c r="AB44" i="34" s="1"/>
  <c r="AG43" i="34"/>
  <c r="AB43" i="34"/>
  <c r="X43" i="34"/>
  <c r="AD43" i="34" s="1"/>
  <c r="W43" i="34"/>
  <c r="AC43" i="34" s="1"/>
  <c r="V43" i="34"/>
  <c r="AG42" i="34"/>
  <c r="X42" i="34"/>
  <c r="AD42" i="34" s="1"/>
  <c r="W42" i="34"/>
  <c r="AC42" i="34" s="1"/>
  <c r="V42" i="34"/>
  <c r="AB42" i="34" s="1"/>
  <c r="AG41" i="34"/>
  <c r="AD41" i="34"/>
  <c r="AB41" i="34"/>
  <c r="X41" i="34"/>
  <c r="W41" i="34"/>
  <c r="AC41" i="34" s="1"/>
  <c r="V41" i="34"/>
  <c r="AG40" i="34"/>
  <c r="X40" i="34"/>
  <c r="AD40" i="34" s="1"/>
  <c r="W40" i="34"/>
  <c r="AC40" i="34" s="1"/>
  <c r="V40" i="34"/>
  <c r="AB40" i="34" s="1"/>
  <c r="AG39" i="34"/>
  <c r="AB39" i="34"/>
  <c r="X39" i="34"/>
  <c r="AD39" i="34" s="1"/>
  <c r="W39" i="34"/>
  <c r="AC39" i="34" s="1"/>
  <c r="V39" i="34"/>
  <c r="AG38" i="34"/>
  <c r="AC38" i="34"/>
  <c r="X38" i="34"/>
  <c r="AD38" i="34" s="1"/>
  <c r="W38" i="34"/>
  <c r="V38" i="34"/>
  <c r="AB38" i="34" s="1"/>
  <c r="AG37" i="34"/>
  <c r="AE37" i="34"/>
  <c r="X37" i="34"/>
  <c r="AD37" i="34" s="1"/>
  <c r="W37" i="34"/>
  <c r="AC37" i="34" s="1"/>
  <c r="V37" i="34"/>
  <c r="AB37" i="34" s="1"/>
  <c r="AG36" i="34"/>
  <c r="AE36" i="34"/>
  <c r="X36" i="34"/>
  <c r="AD36" i="34" s="1"/>
  <c r="W36" i="34"/>
  <c r="AC36" i="34" s="1"/>
  <c r="V36" i="34"/>
  <c r="AB36" i="34" s="1"/>
  <c r="AG35" i="34"/>
  <c r="AE35" i="34"/>
  <c r="AD35" i="34"/>
  <c r="AB35" i="34"/>
  <c r="X35" i="34"/>
  <c r="W35" i="34"/>
  <c r="AC35" i="34" s="1"/>
  <c r="V35" i="34"/>
  <c r="AG34" i="34"/>
  <c r="AE34" i="34"/>
  <c r="AD34" i="34"/>
  <c r="AC34" i="34"/>
  <c r="X34" i="34"/>
  <c r="W34" i="34"/>
  <c r="V34" i="34"/>
  <c r="AB34" i="34" s="1"/>
  <c r="AG33" i="34"/>
  <c r="AE33" i="34"/>
  <c r="AC33" i="34"/>
  <c r="X33" i="34"/>
  <c r="AD33" i="34" s="1"/>
  <c r="W33" i="34"/>
  <c r="V33" i="34"/>
  <c r="AB33" i="34" s="1"/>
  <c r="AG32" i="34"/>
  <c r="AE32" i="34"/>
  <c r="X32" i="34"/>
  <c r="AD32" i="34" s="1"/>
  <c r="W32" i="34"/>
  <c r="AC32" i="34" s="1"/>
  <c r="V32" i="34"/>
  <c r="AB32" i="34" s="1"/>
  <c r="AG31" i="34"/>
  <c r="AE31" i="34"/>
  <c r="X31" i="34"/>
  <c r="AD31" i="34" s="1"/>
  <c r="W31" i="34"/>
  <c r="AC31" i="34" s="1"/>
  <c r="V31" i="34"/>
  <c r="AB31" i="34" s="1"/>
  <c r="AG30" i="34"/>
  <c r="AE30" i="34"/>
  <c r="AD30" i="34"/>
  <c r="X30" i="34"/>
  <c r="W30" i="34"/>
  <c r="AC30" i="34" s="1"/>
  <c r="V30" i="34"/>
  <c r="AB30" i="34" s="1"/>
  <c r="AG29" i="34"/>
  <c r="AE29" i="34"/>
  <c r="AD29" i="34"/>
  <c r="AC29" i="34"/>
  <c r="X29" i="34"/>
  <c r="W29" i="34"/>
  <c r="V29" i="34"/>
  <c r="AB29" i="34" s="1"/>
  <c r="AG28" i="34"/>
  <c r="AE28" i="34"/>
  <c r="X28" i="34"/>
  <c r="AD28" i="34" s="1"/>
  <c r="W28" i="34"/>
  <c r="AC28" i="34" s="1"/>
  <c r="V28" i="34"/>
  <c r="AB28" i="34" s="1"/>
  <c r="AG27" i="34"/>
  <c r="AE27" i="34"/>
  <c r="X27" i="34"/>
  <c r="AD27" i="34" s="1"/>
  <c r="W27" i="34"/>
  <c r="AC27" i="34" s="1"/>
  <c r="V27" i="34"/>
  <c r="AB27" i="34" s="1"/>
  <c r="AG26" i="34"/>
  <c r="AE26" i="34"/>
  <c r="X26" i="34"/>
  <c r="AD26" i="34" s="1"/>
  <c r="W26" i="34"/>
  <c r="AC26" i="34" s="1"/>
  <c r="V26" i="34"/>
  <c r="AB26" i="34" s="1"/>
  <c r="AG25" i="34"/>
  <c r="X25" i="34"/>
  <c r="AD25" i="34" s="1"/>
  <c r="W25" i="34"/>
  <c r="AC25" i="34" s="1"/>
  <c r="V25" i="34"/>
  <c r="AB25" i="34" s="1"/>
  <c r="AG24" i="34"/>
  <c r="AC24" i="34"/>
  <c r="X24" i="34"/>
  <c r="AD24" i="34" s="1"/>
  <c r="W24" i="34"/>
  <c r="V24" i="34"/>
  <c r="AB24" i="34" s="1"/>
  <c r="AG23" i="34"/>
  <c r="AB23" i="34"/>
  <c r="X23" i="34"/>
  <c r="AD23" i="34" s="1"/>
  <c r="W23" i="34"/>
  <c r="AC23" i="34" s="1"/>
  <c r="V23" i="34"/>
  <c r="AG22" i="34"/>
  <c r="X22" i="34"/>
  <c r="AD22" i="34" s="1"/>
  <c r="W22" i="34"/>
  <c r="AC22" i="34" s="1"/>
  <c r="V22" i="34"/>
  <c r="AB22" i="34" s="1"/>
  <c r="AG21" i="34"/>
  <c r="AD21" i="34"/>
  <c r="X21" i="34"/>
  <c r="W21" i="34"/>
  <c r="AC21" i="34" s="1"/>
  <c r="V21" i="34"/>
  <c r="AB21" i="34" s="1"/>
  <c r="AG20" i="34"/>
  <c r="AB20" i="34"/>
  <c r="X20" i="34"/>
  <c r="AD20" i="34" s="1"/>
  <c r="W20" i="34"/>
  <c r="AC20" i="34" s="1"/>
  <c r="V20" i="34"/>
  <c r="AG19" i="34"/>
  <c r="X19" i="34"/>
  <c r="AD19" i="34" s="1"/>
  <c r="W19" i="34"/>
  <c r="AC19" i="34" s="1"/>
  <c r="V19" i="34"/>
  <c r="AB19" i="34" s="1"/>
  <c r="AG18" i="34"/>
  <c r="AB18" i="34"/>
  <c r="X18" i="34"/>
  <c r="AD18" i="34" s="1"/>
  <c r="W18" i="34"/>
  <c r="AC18" i="34" s="1"/>
  <c r="V18" i="34"/>
  <c r="AG17" i="34"/>
  <c r="X17" i="34"/>
  <c r="AD17" i="34" s="1"/>
  <c r="W17" i="34"/>
  <c r="AC17" i="34" s="1"/>
  <c r="V17" i="34"/>
  <c r="AB17" i="34" s="1"/>
  <c r="AG16" i="34"/>
  <c r="X16" i="34"/>
  <c r="AD16" i="34" s="1"/>
  <c r="W16" i="34"/>
  <c r="AC16" i="34" s="1"/>
  <c r="V16" i="34"/>
  <c r="AB16" i="34" s="1"/>
  <c r="AG15" i="34"/>
  <c r="X15" i="34"/>
  <c r="AD15" i="34" s="1"/>
  <c r="W15" i="34"/>
  <c r="AC15" i="34" s="1"/>
  <c r="V15" i="34"/>
  <c r="AB15" i="34" s="1"/>
  <c r="AG14" i="34"/>
  <c r="X14" i="34"/>
  <c r="AD14" i="34" s="1"/>
  <c r="W14" i="34"/>
  <c r="AC14" i="34" s="1"/>
  <c r="V14" i="34"/>
  <c r="AB14" i="34" s="1"/>
  <c r="AG13" i="34"/>
  <c r="AD13" i="34"/>
  <c r="X13" i="34"/>
  <c r="W13" i="34"/>
  <c r="AC13" i="34" s="1"/>
  <c r="V13" i="34"/>
  <c r="AB13" i="34" s="1"/>
  <c r="AG12" i="34"/>
  <c r="AB12" i="34"/>
  <c r="X12" i="34"/>
  <c r="AD12" i="34" s="1"/>
  <c r="W12" i="34"/>
  <c r="AC12" i="34" s="1"/>
  <c r="V12" i="34"/>
  <c r="AG11" i="34"/>
  <c r="X11" i="34"/>
  <c r="AD11" i="34" s="1"/>
  <c r="W11" i="34"/>
  <c r="AC11" i="34" s="1"/>
  <c r="V11" i="34"/>
  <c r="AB11" i="34" s="1"/>
  <c r="AG10" i="34"/>
  <c r="X10" i="34"/>
  <c r="AD10" i="34" s="1"/>
  <c r="W10" i="34"/>
  <c r="AC10" i="34" s="1"/>
  <c r="V10" i="34"/>
  <c r="AB10" i="34" s="1"/>
  <c r="AG9" i="34"/>
  <c r="AE9" i="34"/>
  <c r="AD9" i="34"/>
  <c r="AC9" i="34"/>
  <c r="AB9" i="34"/>
  <c r="X9" i="34"/>
  <c r="W9" i="34"/>
  <c r="V9" i="34"/>
  <c r="AG8" i="34"/>
  <c r="AE8" i="34"/>
  <c r="X8" i="34"/>
  <c r="AD8" i="34" s="1"/>
  <c r="W8" i="34"/>
  <c r="AC8" i="34" s="1"/>
  <c r="V8" i="34"/>
  <c r="AB8" i="34" s="1"/>
  <c r="AG7" i="34"/>
  <c r="AE7" i="34"/>
  <c r="X7" i="34"/>
  <c r="AD7" i="34" s="1"/>
  <c r="W7" i="34"/>
  <c r="AC7" i="34" s="1"/>
  <c r="V7" i="34"/>
  <c r="AB7" i="34" s="1"/>
  <c r="AG6" i="34"/>
  <c r="AE6" i="34"/>
  <c r="X6" i="34"/>
  <c r="AD6" i="34" s="1"/>
  <c r="W6" i="34"/>
  <c r="AC6" i="34" s="1"/>
  <c r="V6" i="34"/>
  <c r="AB6" i="34" s="1"/>
  <c r="AG5" i="34"/>
  <c r="AD5" i="34"/>
  <c r="X5" i="34"/>
  <c r="W5" i="34"/>
  <c r="AC5" i="34" s="1"/>
  <c r="V5" i="34"/>
  <c r="AB5" i="34" s="1"/>
  <c r="AG4" i="34"/>
  <c r="AB4" i="34"/>
  <c r="X4" i="34"/>
  <c r="AD4" i="34" s="1"/>
  <c r="W4" i="34"/>
  <c r="AC4" i="34" s="1"/>
  <c r="V4" i="34"/>
  <c r="AG3" i="34"/>
  <c r="AD3" i="34"/>
  <c r="X3" i="34"/>
  <c r="W3" i="34"/>
  <c r="AC3" i="34" s="1"/>
  <c r="V3" i="34"/>
  <c r="AB3" i="34" s="1"/>
  <c r="AG2" i="34"/>
  <c r="AD2" i="34"/>
  <c r="X2" i="34"/>
  <c r="W2" i="34"/>
  <c r="AC2" i="34" s="1"/>
  <c r="V2" i="34"/>
  <c r="AB2" i="34" s="1"/>
  <c r="AP2" i="34" l="1"/>
  <c r="AJ7" i="34"/>
  <c r="AT7" i="34"/>
  <c r="AO6" i="34"/>
  <c r="AJ6" i="34"/>
  <c r="AT6" i="34"/>
  <c r="AO5" i="34"/>
  <c r="AT5" i="34"/>
  <c r="AJ5" i="34"/>
  <c r="AO4" i="34"/>
  <c r="AT4" i="34"/>
  <c r="AJ4" i="34"/>
  <c r="AO2" i="34"/>
  <c r="AJ2" i="34"/>
  <c r="AJ3" i="34"/>
  <c r="AT3" i="34"/>
  <c r="AO3" i="34"/>
  <c r="AO7" i="34"/>
  <c r="AT2" i="34"/>
  <c r="AT9" i="34" l="1"/>
  <c r="AJ9" i="34"/>
  <c r="AJ8" i="34"/>
  <c r="AO9" i="34"/>
  <c r="AT8" i="34"/>
  <c r="AO8" i="34"/>
  <c r="AQ2" i="34"/>
  <c r="AT10" i="34" l="1"/>
  <c r="AO10" i="34"/>
  <c r="AJ10" i="34"/>
  <c r="L5" i="32" l="1"/>
  <c r="K5" i="32"/>
  <c r="J5" i="32"/>
  <c r="I5" i="32"/>
  <c r="H5" i="32"/>
  <c r="G5" i="32"/>
  <c r="F5" i="32"/>
  <c r="E5" i="32"/>
  <c r="D5" i="32"/>
  <c r="C5" i="32"/>
  <c r="B5" i="32"/>
  <c r="I2" i="32"/>
  <c r="W5" i="31"/>
  <c r="V5" i="31"/>
  <c r="U5" i="31"/>
  <c r="T5" i="31"/>
  <c r="S5" i="31"/>
  <c r="R5" i="31"/>
  <c r="Q5" i="31"/>
  <c r="P5" i="31"/>
  <c r="O5" i="31"/>
  <c r="N5" i="31"/>
  <c r="M5" i="31"/>
  <c r="L5" i="31"/>
  <c r="K5" i="31"/>
  <c r="J5" i="31"/>
  <c r="I5" i="31"/>
  <c r="H5" i="31"/>
  <c r="G5" i="31"/>
  <c r="F5" i="31"/>
  <c r="E5" i="31"/>
  <c r="D5" i="31"/>
  <c r="C5" i="31"/>
  <c r="B5" i="31"/>
  <c r="I2" i="31"/>
  <c r="AE604" i="26"/>
  <c r="X604" i="26"/>
  <c r="AD604" i="26" s="1"/>
  <c r="W604" i="26"/>
  <c r="AC604" i="26" s="1"/>
  <c r="V604" i="26"/>
  <c r="AB604" i="26" s="1"/>
  <c r="AE603" i="26"/>
  <c r="X603" i="26"/>
  <c r="AD603" i="26" s="1"/>
  <c r="W603" i="26"/>
  <c r="AC603" i="26" s="1"/>
  <c r="V603" i="26"/>
  <c r="AB603" i="26" s="1"/>
  <c r="AE602" i="26"/>
  <c r="AB602" i="26"/>
  <c r="X602" i="26"/>
  <c r="AD602" i="26" s="1"/>
  <c r="W602" i="26"/>
  <c r="AC602" i="26" s="1"/>
  <c r="V602" i="26"/>
  <c r="AE601" i="26"/>
  <c r="X601" i="26"/>
  <c r="AD601" i="26" s="1"/>
  <c r="W601" i="26"/>
  <c r="AC601" i="26" s="1"/>
  <c r="V601" i="26"/>
  <c r="AB601" i="26" s="1"/>
  <c r="AE600" i="26"/>
  <c r="X600" i="26"/>
  <c r="AD600" i="26" s="1"/>
  <c r="W600" i="26"/>
  <c r="AC600" i="26" s="1"/>
  <c r="V600" i="26"/>
  <c r="AB600" i="26" s="1"/>
  <c r="AE599" i="26"/>
  <c r="X599" i="26"/>
  <c r="AD599" i="26" s="1"/>
  <c r="W599" i="26"/>
  <c r="AC599" i="26" s="1"/>
  <c r="V599" i="26"/>
  <c r="AB599" i="26" s="1"/>
  <c r="AE598" i="26"/>
  <c r="AD598" i="26"/>
  <c r="X598" i="26"/>
  <c r="W598" i="26"/>
  <c r="AC598" i="26" s="1"/>
  <c r="V598" i="26"/>
  <c r="AB598" i="26" s="1"/>
  <c r="AE597" i="26"/>
  <c r="X597" i="26"/>
  <c r="AD597" i="26" s="1"/>
  <c r="W597" i="26"/>
  <c r="AC597" i="26" s="1"/>
  <c r="V597" i="26"/>
  <c r="AB597" i="26" s="1"/>
  <c r="AE596" i="26"/>
  <c r="X596" i="26"/>
  <c r="AD596" i="26" s="1"/>
  <c r="W596" i="26"/>
  <c r="AC596" i="26" s="1"/>
  <c r="V596" i="26"/>
  <c r="AB596" i="26" s="1"/>
  <c r="AE595" i="26"/>
  <c r="AB595" i="26"/>
  <c r="X595" i="26"/>
  <c r="AD595" i="26" s="1"/>
  <c r="W595" i="26"/>
  <c r="AC595" i="26" s="1"/>
  <c r="V595" i="26"/>
  <c r="AE594" i="26"/>
  <c r="AB594" i="26"/>
  <c r="X594" i="26"/>
  <c r="AD594" i="26" s="1"/>
  <c r="W594" i="26"/>
  <c r="AC594" i="26" s="1"/>
  <c r="V594" i="26"/>
  <c r="AE593" i="26"/>
  <c r="X593" i="26"/>
  <c r="AD593" i="26" s="1"/>
  <c r="W593" i="26"/>
  <c r="AC593" i="26" s="1"/>
  <c r="V593" i="26"/>
  <c r="AB593" i="26" s="1"/>
  <c r="AE592" i="26"/>
  <c r="AD592" i="26"/>
  <c r="AC592" i="26"/>
  <c r="X592" i="26"/>
  <c r="W592" i="26"/>
  <c r="V592" i="26"/>
  <c r="AB592" i="26" s="1"/>
  <c r="AE591" i="26"/>
  <c r="AD591" i="26"/>
  <c r="AC591" i="26"/>
  <c r="AB591" i="26"/>
  <c r="X591" i="26"/>
  <c r="W591" i="26"/>
  <c r="V591" i="26"/>
  <c r="AE590" i="26"/>
  <c r="AB590" i="26"/>
  <c r="X590" i="26"/>
  <c r="AD590" i="26" s="1"/>
  <c r="W590" i="26"/>
  <c r="AC590" i="26" s="1"/>
  <c r="V590" i="26"/>
  <c r="AE589" i="26"/>
  <c r="X589" i="26"/>
  <c r="AD589" i="26" s="1"/>
  <c r="W589" i="26"/>
  <c r="AC589" i="26" s="1"/>
  <c r="V589" i="26"/>
  <c r="AB589" i="26" s="1"/>
  <c r="AE588" i="26"/>
  <c r="X588" i="26"/>
  <c r="AD588" i="26" s="1"/>
  <c r="W588" i="26"/>
  <c r="AC588" i="26" s="1"/>
  <c r="V588" i="26"/>
  <c r="AB588" i="26" s="1"/>
  <c r="AE587" i="26"/>
  <c r="AB587" i="26"/>
  <c r="X587" i="26"/>
  <c r="AD587" i="26" s="1"/>
  <c r="W587" i="26"/>
  <c r="AC587" i="26" s="1"/>
  <c r="V587" i="26"/>
  <c r="AE586" i="26"/>
  <c r="X586" i="26"/>
  <c r="AD586" i="26" s="1"/>
  <c r="W586" i="26"/>
  <c r="AC586" i="26" s="1"/>
  <c r="V586" i="26"/>
  <c r="AB586" i="26" s="1"/>
  <c r="AE585" i="26"/>
  <c r="X585" i="26"/>
  <c r="AD585" i="26" s="1"/>
  <c r="W585" i="26"/>
  <c r="AC585" i="26" s="1"/>
  <c r="V585" i="26"/>
  <c r="AB585" i="26" s="1"/>
  <c r="AE584" i="26"/>
  <c r="AC584" i="26"/>
  <c r="X584" i="26"/>
  <c r="AD584" i="26" s="1"/>
  <c r="W584" i="26"/>
  <c r="V584" i="26"/>
  <c r="AB584" i="26" s="1"/>
  <c r="AE583" i="26"/>
  <c r="AB583" i="26"/>
  <c r="X583" i="26"/>
  <c r="AD583" i="26" s="1"/>
  <c r="W583" i="26"/>
  <c r="AC583" i="26" s="1"/>
  <c r="V583" i="26"/>
  <c r="AE582" i="26"/>
  <c r="X582" i="26"/>
  <c r="AD582" i="26" s="1"/>
  <c r="W582" i="26"/>
  <c r="AC582" i="26" s="1"/>
  <c r="V582" i="26"/>
  <c r="AB582" i="26" s="1"/>
  <c r="AE581" i="26"/>
  <c r="X581" i="26"/>
  <c r="AD581" i="26" s="1"/>
  <c r="W581" i="26"/>
  <c r="AC581" i="26" s="1"/>
  <c r="V581" i="26"/>
  <c r="AB581" i="26" s="1"/>
  <c r="AE580" i="26"/>
  <c r="X580" i="26"/>
  <c r="AD580" i="26" s="1"/>
  <c r="W580" i="26"/>
  <c r="AC580" i="26" s="1"/>
  <c r="V580" i="26"/>
  <c r="AB580" i="26" s="1"/>
  <c r="AE579" i="26"/>
  <c r="AB579" i="26"/>
  <c r="X579" i="26"/>
  <c r="AD579" i="26" s="1"/>
  <c r="W579" i="26"/>
  <c r="AC579" i="26" s="1"/>
  <c r="V579" i="26"/>
  <c r="AE578" i="26"/>
  <c r="X578" i="26"/>
  <c r="AD578" i="26" s="1"/>
  <c r="W578" i="26"/>
  <c r="AC578" i="26" s="1"/>
  <c r="V578" i="26"/>
  <c r="AB578" i="26" s="1"/>
  <c r="AE577" i="26"/>
  <c r="X577" i="26"/>
  <c r="AD577" i="26" s="1"/>
  <c r="W577" i="26"/>
  <c r="AC577" i="26" s="1"/>
  <c r="V577" i="26"/>
  <c r="AB577" i="26" s="1"/>
  <c r="AE576" i="26"/>
  <c r="AC576" i="26"/>
  <c r="X576" i="26"/>
  <c r="AD576" i="26" s="1"/>
  <c r="W576" i="26"/>
  <c r="V576" i="26"/>
  <c r="AB576" i="26" s="1"/>
  <c r="AE575" i="26"/>
  <c r="AB575" i="26"/>
  <c r="X575" i="26"/>
  <c r="AD575" i="26" s="1"/>
  <c r="W575" i="26"/>
  <c r="AC575" i="26" s="1"/>
  <c r="V575" i="26"/>
  <c r="AE574" i="26"/>
  <c r="X574" i="26"/>
  <c r="AD574" i="26" s="1"/>
  <c r="W574" i="26"/>
  <c r="AC574" i="26" s="1"/>
  <c r="V574" i="26"/>
  <c r="AB574" i="26" s="1"/>
  <c r="AE573" i="26"/>
  <c r="X573" i="26"/>
  <c r="AD573" i="26" s="1"/>
  <c r="W573" i="26"/>
  <c r="AC573" i="26" s="1"/>
  <c r="V573" i="26"/>
  <c r="AB573" i="26" s="1"/>
  <c r="AE572" i="26"/>
  <c r="X572" i="26"/>
  <c r="AD572" i="26" s="1"/>
  <c r="W572" i="26"/>
  <c r="AC572" i="26" s="1"/>
  <c r="V572" i="26"/>
  <c r="AB572" i="26" s="1"/>
  <c r="AE571" i="26"/>
  <c r="AB571" i="26"/>
  <c r="X571" i="26"/>
  <c r="AD571" i="26" s="1"/>
  <c r="W571" i="26"/>
  <c r="AC571" i="26" s="1"/>
  <c r="V571" i="26"/>
  <c r="AE570" i="26"/>
  <c r="X570" i="26"/>
  <c r="AD570" i="26" s="1"/>
  <c r="W570" i="26"/>
  <c r="AC570" i="26" s="1"/>
  <c r="V570" i="26"/>
  <c r="AB570" i="26" s="1"/>
  <c r="AE569" i="26"/>
  <c r="X569" i="26"/>
  <c r="AD569" i="26" s="1"/>
  <c r="W569" i="26"/>
  <c r="AC569" i="26" s="1"/>
  <c r="V569" i="26"/>
  <c r="AB569" i="26" s="1"/>
  <c r="AE568" i="26"/>
  <c r="AC568" i="26"/>
  <c r="X568" i="26"/>
  <c r="AD568" i="26" s="1"/>
  <c r="W568" i="26"/>
  <c r="V568" i="26"/>
  <c r="AB568" i="26" s="1"/>
  <c r="AE567" i="26"/>
  <c r="X567" i="26"/>
  <c r="AD567" i="26" s="1"/>
  <c r="W567" i="26"/>
  <c r="AC567" i="26" s="1"/>
  <c r="V567" i="26"/>
  <c r="AB567" i="26" s="1"/>
  <c r="AE566" i="26"/>
  <c r="AD566" i="26"/>
  <c r="X566" i="26"/>
  <c r="W566" i="26"/>
  <c r="AC566" i="26" s="1"/>
  <c r="V566" i="26"/>
  <c r="AB566" i="26" s="1"/>
  <c r="AE565" i="26"/>
  <c r="X565" i="26"/>
  <c r="AD565" i="26" s="1"/>
  <c r="W565" i="26"/>
  <c r="AC565" i="26" s="1"/>
  <c r="V565" i="26"/>
  <c r="AB565" i="26" s="1"/>
  <c r="AE564" i="26"/>
  <c r="X564" i="26"/>
  <c r="AD564" i="26" s="1"/>
  <c r="W564" i="26"/>
  <c r="AC564" i="26" s="1"/>
  <c r="V564" i="26"/>
  <c r="AB564" i="26" s="1"/>
  <c r="AE563" i="26"/>
  <c r="X563" i="26"/>
  <c r="AD563" i="26" s="1"/>
  <c r="W563" i="26"/>
  <c r="AC563" i="26" s="1"/>
  <c r="V563" i="26"/>
  <c r="AB563" i="26" s="1"/>
  <c r="AE562" i="26"/>
  <c r="AB562" i="26"/>
  <c r="X562" i="26"/>
  <c r="AD562" i="26" s="1"/>
  <c r="W562" i="26"/>
  <c r="AC562" i="26" s="1"/>
  <c r="V562" i="26"/>
  <c r="AE561" i="26"/>
  <c r="X561" i="26"/>
  <c r="AD561" i="26" s="1"/>
  <c r="W561" i="26"/>
  <c r="AC561" i="26" s="1"/>
  <c r="V561" i="26"/>
  <c r="AB561" i="26" s="1"/>
  <c r="AE560" i="26"/>
  <c r="AB560" i="26"/>
  <c r="X560" i="26"/>
  <c r="AD560" i="26" s="1"/>
  <c r="W560" i="26"/>
  <c r="AC560" i="26" s="1"/>
  <c r="V560" i="26"/>
  <c r="AE559" i="26"/>
  <c r="X559" i="26"/>
  <c r="AD559" i="26" s="1"/>
  <c r="W559" i="26"/>
  <c r="AC559" i="26" s="1"/>
  <c r="V559" i="26"/>
  <c r="AB559" i="26" s="1"/>
  <c r="AE558" i="26"/>
  <c r="AB558" i="26"/>
  <c r="X558" i="26"/>
  <c r="AD558" i="26" s="1"/>
  <c r="W558" i="26"/>
  <c r="AC558" i="26" s="1"/>
  <c r="V558" i="26"/>
  <c r="AE557" i="26"/>
  <c r="AC557" i="26"/>
  <c r="X557" i="26"/>
  <c r="AD557" i="26" s="1"/>
  <c r="W557" i="26"/>
  <c r="V557" i="26"/>
  <c r="AB557" i="26" s="1"/>
  <c r="AE556" i="26"/>
  <c r="X556" i="26"/>
  <c r="AD556" i="26" s="1"/>
  <c r="W556" i="26"/>
  <c r="AC556" i="26" s="1"/>
  <c r="V556" i="26"/>
  <c r="AB556" i="26" s="1"/>
  <c r="AE555" i="26"/>
  <c r="X555" i="26"/>
  <c r="AD555" i="26" s="1"/>
  <c r="W555" i="26"/>
  <c r="AC555" i="26" s="1"/>
  <c r="V555" i="26"/>
  <c r="AB555" i="26" s="1"/>
  <c r="AE554" i="26"/>
  <c r="X554" i="26"/>
  <c r="AD554" i="26" s="1"/>
  <c r="W554" i="26"/>
  <c r="AC554" i="26" s="1"/>
  <c r="V554" i="26"/>
  <c r="AB554" i="26" s="1"/>
  <c r="AE553" i="26"/>
  <c r="AB553" i="26"/>
  <c r="X553" i="26"/>
  <c r="AD553" i="26" s="1"/>
  <c r="W553" i="26"/>
  <c r="AC553" i="26" s="1"/>
  <c r="V553" i="26"/>
  <c r="AE552" i="26"/>
  <c r="X552" i="26"/>
  <c r="AD552" i="26" s="1"/>
  <c r="W552" i="26"/>
  <c r="AC552" i="26" s="1"/>
  <c r="V552" i="26"/>
  <c r="AB552" i="26" s="1"/>
  <c r="AE551" i="26"/>
  <c r="AB551" i="26"/>
  <c r="X551" i="26"/>
  <c r="AD551" i="26" s="1"/>
  <c r="W551" i="26"/>
  <c r="AC551" i="26" s="1"/>
  <c r="V551" i="26"/>
  <c r="AE550" i="26"/>
  <c r="X550" i="26"/>
  <c r="AD550" i="26" s="1"/>
  <c r="W550" i="26"/>
  <c r="AC550" i="26" s="1"/>
  <c r="V550" i="26"/>
  <c r="AB550" i="26" s="1"/>
  <c r="AE549" i="26"/>
  <c r="X549" i="26"/>
  <c r="AD549" i="26" s="1"/>
  <c r="W549" i="26"/>
  <c r="AC549" i="26" s="1"/>
  <c r="V549" i="26"/>
  <c r="AB549" i="26" s="1"/>
  <c r="AE548" i="26"/>
  <c r="AB548" i="26"/>
  <c r="X548" i="26"/>
  <c r="AD548" i="26" s="1"/>
  <c r="W548" i="26"/>
  <c r="AC548" i="26" s="1"/>
  <c r="V548" i="26"/>
  <c r="AE547" i="26"/>
  <c r="X547" i="26"/>
  <c r="AD547" i="26" s="1"/>
  <c r="W547" i="26"/>
  <c r="AC547" i="26" s="1"/>
  <c r="V547" i="26"/>
  <c r="AB547" i="26" s="1"/>
  <c r="AE546" i="26"/>
  <c r="X546" i="26"/>
  <c r="AD546" i="26" s="1"/>
  <c r="W546" i="26"/>
  <c r="AC546" i="26" s="1"/>
  <c r="V546" i="26"/>
  <c r="AB546" i="26" s="1"/>
  <c r="AE545" i="26"/>
  <c r="X545" i="26"/>
  <c r="AD545" i="26" s="1"/>
  <c r="W545" i="26"/>
  <c r="AC545" i="26" s="1"/>
  <c r="V545" i="26"/>
  <c r="AB545" i="26" s="1"/>
  <c r="AE544" i="26"/>
  <c r="X544" i="26"/>
  <c r="AD544" i="26" s="1"/>
  <c r="W544" i="26"/>
  <c r="AC544" i="26" s="1"/>
  <c r="V544" i="26"/>
  <c r="AB544" i="26" s="1"/>
  <c r="AE543" i="26"/>
  <c r="AC543" i="26"/>
  <c r="X543" i="26"/>
  <c r="AD543" i="26" s="1"/>
  <c r="W543" i="26"/>
  <c r="V543" i="26"/>
  <c r="AB543" i="26" s="1"/>
  <c r="AE542" i="26"/>
  <c r="AB542" i="26"/>
  <c r="X542" i="26"/>
  <c r="AD542" i="26" s="1"/>
  <c r="W542" i="26"/>
  <c r="AC542" i="26" s="1"/>
  <c r="V542" i="26"/>
  <c r="AE541" i="26"/>
  <c r="AD541" i="26"/>
  <c r="X541" i="26"/>
  <c r="W541" i="26"/>
  <c r="AC541" i="26" s="1"/>
  <c r="V541" i="26"/>
  <c r="AB541" i="26" s="1"/>
  <c r="AE540" i="26"/>
  <c r="AB540" i="26"/>
  <c r="X540" i="26"/>
  <c r="AD540" i="26" s="1"/>
  <c r="W540" i="26"/>
  <c r="AC540" i="26" s="1"/>
  <c r="V540" i="26"/>
  <c r="AE539" i="26"/>
  <c r="X539" i="26"/>
  <c r="AD539" i="26" s="1"/>
  <c r="W539" i="26"/>
  <c r="AC539" i="26" s="1"/>
  <c r="V539" i="26"/>
  <c r="AB539" i="26" s="1"/>
  <c r="AE538" i="26"/>
  <c r="X538" i="26"/>
  <c r="AD538" i="26" s="1"/>
  <c r="W538" i="26"/>
  <c r="AC538" i="26" s="1"/>
  <c r="V538" i="26"/>
  <c r="AB538" i="26" s="1"/>
  <c r="AE537" i="26"/>
  <c r="X537" i="26"/>
  <c r="AD537" i="26" s="1"/>
  <c r="W537" i="26"/>
  <c r="AC537" i="26" s="1"/>
  <c r="V537" i="26"/>
  <c r="AB537" i="26" s="1"/>
  <c r="AE536" i="26"/>
  <c r="X536" i="26"/>
  <c r="AD536" i="26" s="1"/>
  <c r="W536" i="26"/>
  <c r="AC536" i="26" s="1"/>
  <c r="V536" i="26"/>
  <c r="AB536" i="26" s="1"/>
  <c r="AE535" i="26"/>
  <c r="AC535" i="26"/>
  <c r="X535" i="26"/>
  <c r="AD535" i="26" s="1"/>
  <c r="W535" i="26"/>
  <c r="V535" i="26"/>
  <c r="AB535" i="26" s="1"/>
  <c r="AE534" i="26"/>
  <c r="AB534" i="26"/>
  <c r="X534" i="26"/>
  <c r="AD534" i="26" s="1"/>
  <c r="W534" i="26"/>
  <c r="AC534" i="26" s="1"/>
  <c r="V534" i="26"/>
  <c r="AE533" i="26"/>
  <c r="AD533" i="26"/>
  <c r="X533" i="26"/>
  <c r="W533" i="26"/>
  <c r="AC533" i="26" s="1"/>
  <c r="V533" i="26"/>
  <c r="AB533" i="26" s="1"/>
  <c r="AE532" i="26"/>
  <c r="AB532" i="26"/>
  <c r="X532" i="26"/>
  <c r="AD532" i="26" s="1"/>
  <c r="W532" i="26"/>
  <c r="AC532" i="26" s="1"/>
  <c r="V532" i="26"/>
  <c r="AE531" i="26"/>
  <c r="X531" i="26"/>
  <c r="AD531" i="26" s="1"/>
  <c r="W531" i="26"/>
  <c r="AC531" i="26" s="1"/>
  <c r="V531" i="26"/>
  <c r="AB531" i="26" s="1"/>
  <c r="AE530" i="26"/>
  <c r="X530" i="26"/>
  <c r="AD530" i="26" s="1"/>
  <c r="W530" i="26"/>
  <c r="AC530" i="26" s="1"/>
  <c r="V530" i="26"/>
  <c r="AB530" i="26" s="1"/>
  <c r="AE529" i="26"/>
  <c r="X529" i="26"/>
  <c r="AD529" i="26" s="1"/>
  <c r="W529" i="26"/>
  <c r="AC529" i="26" s="1"/>
  <c r="V529" i="26"/>
  <c r="AB529" i="26" s="1"/>
  <c r="AE528" i="26"/>
  <c r="AB528" i="26"/>
  <c r="X528" i="26"/>
  <c r="AD528" i="26" s="1"/>
  <c r="W528" i="26"/>
  <c r="AC528" i="26" s="1"/>
  <c r="V528" i="26"/>
  <c r="AE527" i="26"/>
  <c r="AC527" i="26"/>
  <c r="X527" i="26"/>
  <c r="AD527" i="26" s="1"/>
  <c r="W527" i="26"/>
  <c r="V527" i="26"/>
  <c r="AB527" i="26" s="1"/>
  <c r="AE526" i="26"/>
  <c r="AB526" i="26"/>
  <c r="X526" i="26"/>
  <c r="AD526" i="26" s="1"/>
  <c r="W526" i="26"/>
  <c r="AC526" i="26" s="1"/>
  <c r="V526" i="26"/>
  <c r="AE525" i="26"/>
  <c r="AD525" i="26"/>
  <c r="X525" i="26"/>
  <c r="W525" i="26"/>
  <c r="AC525" i="26" s="1"/>
  <c r="V525" i="26"/>
  <c r="AB525" i="26" s="1"/>
  <c r="AE524" i="26"/>
  <c r="AB524" i="26"/>
  <c r="X524" i="26"/>
  <c r="AD524" i="26" s="1"/>
  <c r="W524" i="26"/>
  <c r="AC524" i="26" s="1"/>
  <c r="V524" i="26"/>
  <c r="AE523" i="26"/>
  <c r="X523" i="26"/>
  <c r="AD523" i="26" s="1"/>
  <c r="W523" i="26"/>
  <c r="AC523" i="26" s="1"/>
  <c r="V523" i="26"/>
  <c r="AB523" i="26" s="1"/>
  <c r="AE522" i="26"/>
  <c r="X522" i="26"/>
  <c r="AD522" i="26" s="1"/>
  <c r="W522" i="26"/>
  <c r="AC522" i="26" s="1"/>
  <c r="V522" i="26"/>
  <c r="AB522" i="26" s="1"/>
  <c r="AE521" i="26"/>
  <c r="X521" i="26"/>
  <c r="AD521" i="26" s="1"/>
  <c r="W521" i="26"/>
  <c r="AC521" i="26" s="1"/>
  <c r="V521" i="26"/>
  <c r="AB521" i="26" s="1"/>
  <c r="AE520" i="26"/>
  <c r="AB520" i="26"/>
  <c r="X520" i="26"/>
  <c r="AD520" i="26" s="1"/>
  <c r="W520" i="26"/>
  <c r="AC520" i="26" s="1"/>
  <c r="V520" i="26"/>
  <c r="AE519" i="26"/>
  <c r="X519" i="26"/>
  <c r="AD519" i="26" s="1"/>
  <c r="W519" i="26"/>
  <c r="AC519" i="26" s="1"/>
  <c r="V519" i="26"/>
  <c r="AB519" i="26" s="1"/>
  <c r="AE518" i="26"/>
  <c r="AD518" i="26"/>
  <c r="AC518" i="26"/>
  <c r="X518" i="26"/>
  <c r="W518" i="26"/>
  <c r="V518" i="26"/>
  <c r="AB518" i="26" s="1"/>
  <c r="AE517" i="26"/>
  <c r="X517" i="26"/>
  <c r="AD517" i="26" s="1"/>
  <c r="W517" i="26"/>
  <c r="AC517" i="26" s="1"/>
  <c r="V517" i="26"/>
  <c r="AB517" i="26" s="1"/>
  <c r="AE516" i="26"/>
  <c r="AD516" i="26"/>
  <c r="X516" i="26"/>
  <c r="W516" i="26"/>
  <c r="AC516" i="26" s="1"/>
  <c r="V516" i="26"/>
  <c r="AB516" i="26" s="1"/>
  <c r="AE515" i="26"/>
  <c r="X515" i="26"/>
  <c r="AD515" i="26" s="1"/>
  <c r="W515" i="26"/>
  <c r="AC515" i="26" s="1"/>
  <c r="V515" i="26"/>
  <c r="AB515" i="26" s="1"/>
  <c r="AE514" i="26"/>
  <c r="AC514" i="26"/>
  <c r="X514" i="26"/>
  <c r="AD514" i="26" s="1"/>
  <c r="W514" i="26"/>
  <c r="V514" i="26"/>
  <c r="AB514" i="26" s="1"/>
  <c r="AE513" i="26"/>
  <c r="X513" i="26"/>
  <c r="AD513" i="26" s="1"/>
  <c r="W513" i="26"/>
  <c r="AC513" i="26" s="1"/>
  <c r="V513" i="26"/>
  <c r="AB513" i="26" s="1"/>
  <c r="AE512" i="26"/>
  <c r="X512" i="26"/>
  <c r="AD512" i="26" s="1"/>
  <c r="W512" i="26"/>
  <c r="AC512" i="26" s="1"/>
  <c r="V512" i="26"/>
  <c r="AB512" i="26" s="1"/>
  <c r="AE511" i="26"/>
  <c r="X511" i="26"/>
  <c r="AD511" i="26" s="1"/>
  <c r="W511" i="26"/>
  <c r="AC511" i="26" s="1"/>
  <c r="V511" i="26"/>
  <c r="AB511" i="26" s="1"/>
  <c r="AE510" i="26"/>
  <c r="AD510" i="26"/>
  <c r="X510" i="26"/>
  <c r="W510" i="26"/>
  <c r="AC510" i="26" s="1"/>
  <c r="V510" i="26"/>
  <c r="AB510" i="26" s="1"/>
  <c r="AE509" i="26"/>
  <c r="AC509" i="26"/>
  <c r="X509" i="26"/>
  <c r="AD509" i="26" s="1"/>
  <c r="W509" i="26"/>
  <c r="V509" i="26"/>
  <c r="AB509" i="26" s="1"/>
  <c r="AE508" i="26"/>
  <c r="AD508" i="26"/>
  <c r="X508" i="26"/>
  <c r="W508" i="26"/>
  <c r="AC508" i="26" s="1"/>
  <c r="V508" i="26"/>
  <c r="AB508" i="26" s="1"/>
  <c r="AE507" i="26"/>
  <c r="AB507" i="26"/>
  <c r="X507" i="26"/>
  <c r="AD507" i="26" s="1"/>
  <c r="W507" i="26"/>
  <c r="AC507" i="26" s="1"/>
  <c r="V507" i="26"/>
  <c r="AE506" i="26"/>
  <c r="AC506" i="26"/>
  <c r="X506" i="26"/>
  <c r="AD506" i="26" s="1"/>
  <c r="W506" i="26"/>
  <c r="V506" i="26"/>
  <c r="AB506" i="26" s="1"/>
  <c r="AE505" i="26"/>
  <c r="X505" i="26"/>
  <c r="AD505" i="26" s="1"/>
  <c r="W505" i="26"/>
  <c r="AC505" i="26" s="1"/>
  <c r="V505" i="26"/>
  <c r="AB505" i="26" s="1"/>
  <c r="AE504" i="26"/>
  <c r="X504" i="26"/>
  <c r="AD504" i="26" s="1"/>
  <c r="W504" i="26"/>
  <c r="AC504" i="26" s="1"/>
  <c r="V504" i="26"/>
  <c r="AB504" i="26" s="1"/>
  <c r="AE503" i="26"/>
  <c r="AB503" i="26"/>
  <c r="X503" i="26"/>
  <c r="AD503" i="26" s="1"/>
  <c r="W503" i="26"/>
  <c r="AC503" i="26" s="1"/>
  <c r="V503" i="26"/>
  <c r="AE502" i="26"/>
  <c r="X502" i="26"/>
  <c r="AD502" i="26" s="1"/>
  <c r="W502" i="26"/>
  <c r="AC502" i="26" s="1"/>
  <c r="V502" i="26"/>
  <c r="AB502" i="26" s="1"/>
  <c r="AE501" i="26"/>
  <c r="AD501" i="26"/>
  <c r="AC501" i="26"/>
  <c r="X501" i="26"/>
  <c r="W501" i="26"/>
  <c r="V501" i="26"/>
  <c r="AB501" i="26" s="1"/>
  <c r="AE500" i="26"/>
  <c r="X500" i="26"/>
  <c r="AD500" i="26" s="1"/>
  <c r="W500" i="26"/>
  <c r="AC500" i="26" s="1"/>
  <c r="V500" i="26"/>
  <c r="AB500" i="26" s="1"/>
  <c r="AE499" i="26"/>
  <c r="AC499" i="26"/>
  <c r="X499" i="26"/>
  <c r="AD499" i="26" s="1"/>
  <c r="W499" i="26"/>
  <c r="V499" i="26"/>
  <c r="AB499" i="26" s="1"/>
  <c r="AE498" i="26"/>
  <c r="X498" i="26"/>
  <c r="AD498" i="26" s="1"/>
  <c r="W498" i="26"/>
  <c r="AC498" i="26" s="1"/>
  <c r="V498" i="26"/>
  <c r="AB498" i="26" s="1"/>
  <c r="AE497" i="26"/>
  <c r="X497" i="26"/>
  <c r="AD497" i="26" s="1"/>
  <c r="W497" i="26"/>
  <c r="AC497" i="26" s="1"/>
  <c r="V497" i="26"/>
  <c r="AB497" i="26" s="1"/>
  <c r="AE496" i="26"/>
  <c r="X496" i="26"/>
  <c r="AD496" i="26" s="1"/>
  <c r="W496" i="26"/>
  <c r="AC496" i="26" s="1"/>
  <c r="V496" i="26"/>
  <c r="AB496" i="26" s="1"/>
  <c r="AE495" i="26"/>
  <c r="AC495" i="26"/>
  <c r="X495" i="26"/>
  <c r="AD495" i="26" s="1"/>
  <c r="W495" i="26"/>
  <c r="V495" i="26"/>
  <c r="AB495" i="26" s="1"/>
  <c r="AE494" i="26"/>
  <c r="AB494" i="26"/>
  <c r="X494" i="26"/>
  <c r="AD494" i="26" s="1"/>
  <c r="W494" i="26"/>
  <c r="AC494" i="26" s="1"/>
  <c r="V494" i="26"/>
  <c r="AE493" i="26"/>
  <c r="AD493" i="26"/>
  <c r="X493" i="26"/>
  <c r="W493" i="26"/>
  <c r="AC493" i="26" s="1"/>
  <c r="V493" i="26"/>
  <c r="AB493" i="26" s="1"/>
  <c r="AE492" i="26"/>
  <c r="AB492" i="26"/>
  <c r="X492" i="26"/>
  <c r="AD492" i="26" s="1"/>
  <c r="W492" i="26"/>
  <c r="AC492" i="26" s="1"/>
  <c r="V492" i="26"/>
  <c r="AE491" i="26"/>
  <c r="X491" i="26"/>
  <c r="AD491" i="26" s="1"/>
  <c r="W491" i="26"/>
  <c r="AC491" i="26" s="1"/>
  <c r="V491" i="26"/>
  <c r="AB491" i="26" s="1"/>
  <c r="AE490" i="26"/>
  <c r="X490" i="26"/>
  <c r="AD490" i="26" s="1"/>
  <c r="W490" i="26"/>
  <c r="AC490" i="26" s="1"/>
  <c r="V490" i="26"/>
  <c r="AB490" i="26" s="1"/>
  <c r="AE489" i="26"/>
  <c r="X489" i="26"/>
  <c r="AD489" i="26" s="1"/>
  <c r="W489" i="26"/>
  <c r="AC489" i="26" s="1"/>
  <c r="V489" i="26"/>
  <c r="AB489" i="26" s="1"/>
  <c r="AE488" i="26"/>
  <c r="AB488" i="26"/>
  <c r="X488" i="26"/>
  <c r="AD488" i="26" s="1"/>
  <c r="W488" i="26"/>
  <c r="AC488" i="26" s="1"/>
  <c r="V488" i="26"/>
  <c r="AE487" i="26"/>
  <c r="X487" i="26"/>
  <c r="AD487" i="26" s="1"/>
  <c r="W487" i="26"/>
  <c r="AC487" i="26" s="1"/>
  <c r="V487" i="26"/>
  <c r="AB487" i="26" s="1"/>
  <c r="AE486" i="26"/>
  <c r="AC486" i="26"/>
  <c r="X486" i="26"/>
  <c r="AD486" i="26" s="1"/>
  <c r="W486" i="26"/>
  <c r="V486" i="26"/>
  <c r="AB486" i="26" s="1"/>
  <c r="AE485" i="26"/>
  <c r="X485" i="26"/>
  <c r="AD485" i="26" s="1"/>
  <c r="W485" i="26"/>
  <c r="AC485" i="26" s="1"/>
  <c r="V485" i="26"/>
  <c r="AB485" i="26" s="1"/>
  <c r="AE484" i="26"/>
  <c r="AB484" i="26"/>
  <c r="X484" i="26"/>
  <c r="AD484" i="26" s="1"/>
  <c r="W484" i="26"/>
  <c r="AC484" i="26" s="1"/>
  <c r="V484" i="26"/>
  <c r="AE483" i="26"/>
  <c r="X483" i="26"/>
  <c r="AD483" i="26" s="1"/>
  <c r="W483" i="26"/>
  <c r="AC483" i="26" s="1"/>
  <c r="V483" i="26"/>
  <c r="AB483" i="26" s="1"/>
  <c r="AE482" i="26"/>
  <c r="X482" i="26"/>
  <c r="AD482" i="26" s="1"/>
  <c r="W482" i="26"/>
  <c r="AC482" i="26" s="1"/>
  <c r="V482" i="26"/>
  <c r="AB482" i="26" s="1"/>
  <c r="AE481" i="26"/>
  <c r="X481" i="26"/>
  <c r="AD481" i="26" s="1"/>
  <c r="W481" i="26"/>
  <c r="AC481" i="26" s="1"/>
  <c r="V481" i="26"/>
  <c r="AB481" i="26" s="1"/>
  <c r="AE480" i="26"/>
  <c r="AB480" i="26"/>
  <c r="X480" i="26"/>
  <c r="AD480" i="26" s="1"/>
  <c r="W480" i="26"/>
  <c r="AC480" i="26" s="1"/>
  <c r="V480" i="26"/>
  <c r="AE479" i="26"/>
  <c r="X479" i="26"/>
  <c r="AD479" i="26" s="1"/>
  <c r="W479" i="26"/>
  <c r="AC479" i="26" s="1"/>
  <c r="V479" i="26"/>
  <c r="AB479" i="26" s="1"/>
  <c r="AE478" i="26"/>
  <c r="AC478" i="26"/>
  <c r="X478" i="26"/>
  <c r="AD478" i="26" s="1"/>
  <c r="W478" i="26"/>
  <c r="V478" i="26"/>
  <c r="AB478" i="26" s="1"/>
  <c r="AE477" i="26"/>
  <c r="X477" i="26"/>
  <c r="AD477" i="26" s="1"/>
  <c r="W477" i="26"/>
  <c r="AC477" i="26" s="1"/>
  <c r="V477" i="26"/>
  <c r="AB477" i="26" s="1"/>
  <c r="AE476" i="26"/>
  <c r="AB476" i="26"/>
  <c r="X476" i="26"/>
  <c r="AD476" i="26" s="1"/>
  <c r="W476" i="26"/>
  <c r="AC476" i="26" s="1"/>
  <c r="V476" i="26"/>
  <c r="AE475" i="26"/>
  <c r="X475" i="26"/>
  <c r="AD475" i="26" s="1"/>
  <c r="W475" i="26"/>
  <c r="AC475" i="26" s="1"/>
  <c r="V475" i="26"/>
  <c r="AB475" i="26" s="1"/>
  <c r="AE474" i="26"/>
  <c r="X474" i="26"/>
  <c r="AD474" i="26" s="1"/>
  <c r="W474" i="26"/>
  <c r="AC474" i="26" s="1"/>
  <c r="V474" i="26"/>
  <c r="AB474" i="26" s="1"/>
  <c r="AE473" i="26"/>
  <c r="X473" i="26"/>
  <c r="AD473" i="26" s="1"/>
  <c r="W473" i="26"/>
  <c r="AC473" i="26" s="1"/>
  <c r="V473" i="26"/>
  <c r="AB473" i="26" s="1"/>
  <c r="AE472" i="26"/>
  <c r="AB472" i="26"/>
  <c r="X472" i="26"/>
  <c r="AD472" i="26" s="1"/>
  <c r="W472" i="26"/>
  <c r="AC472" i="26" s="1"/>
  <c r="V472" i="26"/>
  <c r="AE471" i="26"/>
  <c r="X471" i="26"/>
  <c r="AD471" i="26" s="1"/>
  <c r="W471" i="26"/>
  <c r="AC471" i="26" s="1"/>
  <c r="V471" i="26"/>
  <c r="AB471" i="26" s="1"/>
  <c r="AE470" i="26"/>
  <c r="AC470" i="26"/>
  <c r="X470" i="26"/>
  <c r="AD470" i="26" s="1"/>
  <c r="W470" i="26"/>
  <c r="V470" i="26"/>
  <c r="AB470" i="26" s="1"/>
  <c r="AE469" i="26"/>
  <c r="X469" i="26"/>
  <c r="AD469" i="26" s="1"/>
  <c r="W469" i="26"/>
  <c r="AC469" i="26" s="1"/>
  <c r="V469" i="26"/>
  <c r="AB469" i="26" s="1"/>
  <c r="AE468" i="26"/>
  <c r="AB468" i="26"/>
  <c r="X468" i="26"/>
  <c r="AD468" i="26" s="1"/>
  <c r="W468" i="26"/>
  <c r="AC468" i="26" s="1"/>
  <c r="V468" i="26"/>
  <c r="AE467" i="26"/>
  <c r="X467" i="26"/>
  <c r="AD467" i="26" s="1"/>
  <c r="W467" i="26"/>
  <c r="AC467" i="26" s="1"/>
  <c r="V467" i="26"/>
  <c r="AB467" i="26" s="1"/>
  <c r="AE466" i="26"/>
  <c r="X466" i="26"/>
  <c r="AD466" i="26" s="1"/>
  <c r="W466" i="26"/>
  <c r="AC466" i="26" s="1"/>
  <c r="V466" i="26"/>
  <c r="AB466" i="26" s="1"/>
  <c r="AE465" i="26"/>
  <c r="X465" i="26"/>
  <c r="AD465" i="26" s="1"/>
  <c r="W465" i="26"/>
  <c r="AC465" i="26" s="1"/>
  <c r="V465" i="26"/>
  <c r="AB465" i="26" s="1"/>
  <c r="AE464" i="26"/>
  <c r="AB464" i="26"/>
  <c r="X464" i="26"/>
  <c r="AD464" i="26" s="1"/>
  <c r="W464" i="26"/>
  <c r="AC464" i="26" s="1"/>
  <c r="V464" i="26"/>
  <c r="AE463" i="26"/>
  <c r="X463" i="26"/>
  <c r="AD463" i="26" s="1"/>
  <c r="W463" i="26"/>
  <c r="AC463" i="26" s="1"/>
  <c r="V463" i="26"/>
  <c r="AB463" i="26" s="1"/>
  <c r="AE462" i="26"/>
  <c r="AC462" i="26"/>
  <c r="X462" i="26"/>
  <c r="AD462" i="26" s="1"/>
  <c r="W462" i="26"/>
  <c r="V462" i="26"/>
  <c r="AB462" i="26" s="1"/>
  <c r="AE461" i="26"/>
  <c r="X461" i="26"/>
  <c r="AD461" i="26" s="1"/>
  <c r="W461" i="26"/>
  <c r="AC461" i="26" s="1"/>
  <c r="V461" i="26"/>
  <c r="AB461" i="26" s="1"/>
  <c r="AE460" i="26"/>
  <c r="AB460" i="26"/>
  <c r="X460" i="26"/>
  <c r="AD460" i="26" s="1"/>
  <c r="W460" i="26"/>
  <c r="AC460" i="26" s="1"/>
  <c r="V460" i="26"/>
  <c r="AE459" i="26"/>
  <c r="X459" i="26"/>
  <c r="AD459" i="26" s="1"/>
  <c r="W459" i="26"/>
  <c r="AC459" i="26" s="1"/>
  <c r="V459" i="26"/>
  <c r="AB459" i="26" s="1"/>
  <c r="AE458" i="26"/>
  <c r="AC458" i="26"/>
  <c r="X458" i="26"/>
  <c r="AD458" i="26" s="1"/>
  <c r="W458" i="26"/>
  <c r="V458" i="26"/>
  <c r="AB458" i="26" s="1"/>
  <c r="AE457" i="26"/>
  <c r="X457" i="26"/>
  <c r="AD457" i="26" s="1"/>
  <c r="W457" i="26"/>
  <c r="AC457" i="26" s="1"/>
  <c r="V457" i="26"/>
  <c r="AB457" i="26" s="1"/>
  <c r="AE456" i="26"/>
  <c r="X456" i="26"/>
  <c r="AD456" i="26" s="1"/>
  <c r="W456" i="26"/>
  <c r="AC456" i="26" s="1"/>
  <c r="V456" i="26"/>
  <c r="AB456" i="26" s="1"/>
  <c r="AE455" i="26"/>
  <c r="X455" i="26"/>
  <c r="AD455" i="26" s="1"/>
  <c r="W455" i="26"/>
  <c r="AC455" i="26" s="1"/>
  <c r="V455" i="26"/>
  <c r="AB455" i="26" s="1"/>
  <c r="AE454" i="26"/>
  <c r="AD454" i="26"/>
  <c r="X454" i="26"/>
  <c r="W454" i="26"/>
  <c r="AC454" i="26" s="1"/>
  <c r="V454" i="26"/>
  <c r="AB454" i="26" s="1"/>
  <c r="AE453" i="26"/>
  <c r="AC453" i="26"/>
  <c r="X453" i="26"/>
  <c r="AD453" i="26" s="1"/>
  <c r="W453" i="26"/>
  <c r="V453" i="26"/>
  <c r="AB453" i="26" s="1"/>
  <c r="AE452" i="26"/>
  <c r="X452" i="26"/>
  <c r="AD452" i="26" s="1"/>
  <c r="W452" i="26"/>
  <c r="AC452" i="26" s="1"/>
  <c r="V452" i="26"/>
  <c r="AB452" i="26" s="1"/>
  <c r="AE451" i="26"/>
  <c r="X451" i="26"/>
  <c r="AD451" i="26" s="1"/>
  <c r="W451" i="26"/>
  <c r="AC451" i="26" s="1"/>
  <c r="V451" i="26"/>
  <c r="AB451" i="26" s="1"/>
  <c r="AE450" i="26"/>
  <c r="AC450" i="26"/>
  <c r="X450" i="26"/>
  <c r="AD450" i="26" s="1"/>
  <c r="W450" i="26"/>
  <c r="V450" i="26"/>
  <c r="AB450" i="26" s="1"/>
  <c r="AE449" i="26"/>
  <c r="X449" i="26"/>
  <c r="AD449" i="26" s="1"/>
  <c r="W449" i="26"/>
  <c r="AC449" i="26" s="1"/>
  <c r="V449" i="26"/>
  <c r="AB449" i="26" s="1"/>
  <c r="AE448" i="26"/>
  <c r="X448" i="26"/>
  <c r="AD448" i="26" s="1"/>
  <c r="W448" i="26"/>
  <c r="AC448" i="26" s="1"/>
  <c r="V448" i="26"/>
  <c r="AB448" i="26" s="1"/>
  <c r="AE447" i="26"/>
  <c r="X447" i="26"/>
  <c r="AD447" i="26" s="1"/>
  <c r="W447" i="26"/>
  <c r="AC447" i="26" s="1"/>
  <c r="V447" i="26"/>
  <c r="AB447" i="26" s="1"/>
  <c r="AE446" i="26"/>
  <c r="AD446" i="26"/>
  <c r="X446" i="26"/>
  <c r="W446" i="26"/>
  <c r="AC446" i="26" s="1"/>
  <c r="V446" i="26"/>
  <c r="AB446" i="26" s="1"/>
  <c r="AE445" i="26"/>
  <c r="AC445" i="26"/>
  <c r="X445" i="26"/>
  <c r="AD445" i="26" s="1"/>
  <c r="W445" i="26"/>
  <c r="V445" i="26"/>
  <c r="AB445" i="26" s="1"/>
  <c r="AE444" i="26"/>
  <c r="AB444" i="26"/>
  <c r="X444" i="26"/>
  <c r="AD444" i="26" s="1"/>
  <c r="W444" i="26"/>
  <c r="AC444" i="26" s="1"/>
  <c r="V444" i="26"/>
  <c r="AE443" i="26"/>
  <c r="X443" i="26"/>
  <c r="AD443" i="26" s="1"/>
  <c r="W443" i="26"/>
  <c r="AC443" i="26" s="1"/>
  <c r="V443" i="26"/>
  <c r="AB443" i="26" s="1"/>
  <c r="AE442" i="26"/>
  <c r="AC442" i="26"/>
  <c r="X442" i="26"/>
  <c r="AD442" i="26" s="1"/>
  <c r="W442" i="26"/>
  <c r="V442" i="26"/>
  <c r="AB442" i="26" s="1"/>
  <c r="AE441" i="26"/>
  <c r="X441" i="26"/>
  <c r="AD441" i="26" s="1"/>
  <c r="W441" i="26"/>
  <c r="AC441" i="26" s="1"/>
  <c r="V441" i="26"/>
  <c r="AB441" i="26" s="1"/>
  <c r="AE440" i="26"/>
  <c r="X440" i="26"/>
  <c r="AD440" i="26" s="1"/>
  <c r="W440" i="26"/>
  <c r="AC440" i="26" s="1"/>
  <c r="V440" i="26"/>
  <c r="AB440" i="26" s="1"/>
  <c r="AE439" i="26"/>
  <c r="X439" i="26"/>
  <c r="AD439" i="26" s="1"/>
  <c r="W439" i="26"/>
  <c r="AC439" i="26" s="1"/>
  <c r="V439" i="26"/>
  <c r="AB439" i="26" s="1"/>
  <c r="AE438" i="26"/>
  <c r="AD438" i="26"/>
  <c r="AC438" i="26"/>
  <c r="X438" i="26"/>
  <c r="W438" i="26"/>
  <c r="V438" i="26"/>
  <c r="AB438" i="26" s="1"/>
  <c r="AE437" i="26"/>
  <c r="AC437" i="26"/>
  <c r="X437" i="26"/>
  <c r="AD437" i="26" s="1"/>
  <c r="AO6" i="26" s="1"/>
  <c r="W437" i="26"/>
  <c r="V437" i="26"/>
  <c r="AB437" i="26" s="1"/>
  <c r="AE436" i="26"/>
  <c r="X436" i="26"/>
  <c r="AD436" i="26" s="1"/>
  <c r="W436" i="26"/>
  <c r="AC436" i="26" s="1"/>
  <c r="V436" i="26"/>
  <c r="AB436" i="26" s="1"/>
  <c r="AE435" i="26"/>
  <c r="X435" i="26"/>
  <c r="AD435" i="26" s="1"/>
  <c r="W435" i="26"/>
  <c r="AC435" i="26" s="1"/>
  <c r="V435" i="26"/>
  <c r="AB435" i="26" s="1"/>
  <c r="AE434" i="26"/>
  <c r="AC434" i="26"/>
  <c r="X434" i="26"/>
  <c r="AD434" i="26" s="1"/>
  <c r="W434" i="26"/>
  <c r="V434" i="26"/>
  <c r="AB434" i="26" s="1"/>
  <c r="AE433" i="26"/>
  <c r="X433" i="26"/>
  <c r="AD433" i="26" s="1"/>
  <c r="W433" i="26"/>
  <c r="AC433" i="26" s="1"/>
  <c r="V433" i="26"/>
  <c r="AB433" i="26" s="1"/>
  <c r="AE432" i="26"/>
  <c r="AB432" i="26"/>
  <c r="X432" i="26"/>
  <c r="AD432" i="26" s="1"/>
  <c r="W432" i="26"/>
  <c r="AC432" i="26" s="1"/>
  <c r="V432" i="26"/>
  <c r="AE431" i="26"/>
  <c r="X431" i="26"/>
  <c r="AD431" i="26" s="1"/>
  <c r="W431" i="26"/>
  <c r="AC431" i="26" s="1"/>
  <c r="V431" i="26"/>
  <c r="AB431" i="26" s="1"/>
  <c r="AE430" i="26"/>
  <c r="AD430" i="26"/>
  <c r="X430" i="26"/>
  <c r="W430" i="26"/>
  <c r="AC430" i="26" s="1"/>
  <c r="V430" i="26"/>
  <c r="AB430" i="26" s="1"/>
  <c r="AE429" i="26"/>
  <c r="AC429" i="26"/>
  <c r="X429" i="26"/>
  <c r="AD429" i="26" s="1"/>
  <c r="W429" i="26"/>
  <c r="V429" i="26"/>
  <c r="AB429" i="26" s="1"/>
  <c r="AE428" i="26"/>
  <c r="AB428" i="26"/>
  <c r="X428" i="26"/>
  <c r="AD428" i="26" s="1"/>
  <c r="W428" i="26"/>
  <c r="AC428" i="26" s="1"/>
  <c r="V428" i="26"/>
  <c r="AE427" i="26"/>
  <c r="X427" i="26"/>
  <c r="AD427" i="26" s="1"/>
  <c r="W427" i="26"/>
  <c r="AC427" i="26" s="1"/>
  <c r="V427" i="26"/>
  <c r="AB427" i="26" s="1"/>
  <c r="AE426" i="26"/>
  <c r="AD426" i="26"/>
  <c r="X426" i="26"/>
  <c r="W426" i="26"/>
  <c r="AC426" i="26" s="1"/>
  <c r="V426" i="26"/>
  <c r="AB426" i="26" s="1"/>
  <c r="AE425" i="26"/>
  <c r="X425" i="26"/>
  <c r="AD425" i="26" s="1"/>
  <c r="W425" i="26"/>
  <c r="AC425" i="26" s="1"/>
  <c r="V425" i="26"/>
  <c r="AB425" i="26" s="1"/>
  <c r="AE424" i="26"/>
  <c r="X424" i="26"/>
  <c r="AD424" i="26" s="1"/>
  <c r="W424" i="26"/>
  <c r="AC424" i="26" s="1"/>
  <c r="V424" i="26"/>
  <c r="AB424" i="26" s="1"/>
  <c r="AE423" i="26"/>
  <c r="AC423" i="26"/>
  <c r="X423" i="26"/>
  <c r="AD423" i="26" s="1"/>
  <c r="W423" i="26"/>
  <c r="V423" i="26"/>
  <c r="AB423" i="26" s="1"/>
  <c r="AE422" i="26"/>
  <c r="AB422" i="26"/>
  <c r="X422" i="26"/>
  <c r="AD422" i="26" s="1"/>
  <c r="W422" i="26"/>
  <c r="AC422" i="26" s="1"/>
  <c r="V422" i="26"/>
  <c r="AE421" i="26"/>
  <c r="AD421" i="26"/>
  <c r="X421" i="26"/>
  <c r="W421" i="26"/>
  <c r="AC421" i="26" s="1"/>
  <c r="V421" i="26"/>
  <c r="AB421" i="26" s="1"/>
  <c r="AE420" i="26"/>
  <c r="X420" i="26"/>
  <c r="AD420" i="26" s="1"/>
  <c r="W420" i="26"/>
  <c r="AC420" i="26" s="1"/>
  <c r="V420" i="26"/>
  <c r="AB420" i="26" s="1"/>
  <c r="AE419" i="26"/>
  <c r="AC419" i="26"/>
  <c r="X419" i="26"/>
  <c r="AD419" i="26" s="1"/>
  <c r="W419" i="26"/>
  <c r="V419" i="26"/>
  <c r="AB419" i="26" s="1"/>
  <c r="AE418" i="26"/>
  <c r="X418" i="26"/>
  <c r="AD418" i="26" s="1"/>
  <c r="W418" i="26"/>
  <c r="AC418" i="26" s="1"/>
  <c r="V418" i="26"/>
  <c r="AB418" i="26" s="1"/>
  <c r="AE417" i="26"/>
  <c r="X417" i="26"/>
  <c r="AD417" i="26" s="1"/>
  <c r="W417" i="26"/>
  <c r="AC417" i="26" s="1"/>
  <c r="V417" i="26"/>
  <c r="AB417" i="26" s="1"/>
  <c r="AE416" i="26"/>
  <c r="AB416" i="26"/>
  <c r="X416" i="26"/>
  <c r="AD416" i="26" s="1"/>
  <c r="W416" i="26"/>
  <c r="AC416" i="26" s="1"/>
  <c r="V416" i="26"/>
  <c r="AE415" i="26"/>
  <c r="AC415" i="26"/>
  <c r="X415" i="26"/>
  <c r="AD415" i="26" s="1"/>
  <c r="W415" i="26"/>
  <c r="V415" i="26"/>
  <c r="AB415" i="26" s="1"/>
  <c r="AE414" i="26"/>
  <c r="AC414" i="26"/>
  <c r="AB414" i="26"/>
  <c r="X414" i="26"/>
  <c r="AD414" i="26" s="1"/>
  <c r="W414" i="26"/>
  <c r="V414" i="26"/>
  <c r="AE413" i="26"/>
  <c r="X413" i="26"/>
  <c r="AD413" i="26" s="1"/>
  <c r="W413" i="26"/>
  <c r="AC413" i="26" s="1"/>
  <c r="V413" i="26"/>
  <c r="AB413" i="26" s="1"/>
  <c r="AE412" i="26"/>
  <c r="X412" i="26"/>
  <c r="AD412" i="26" s="1"/>
  <c r="W412" i="26"/>
  <c r="AC412" i="26" s="1"/>
  <c r="V412" i="26"/>
  <c r="AB412" i="26" s="1"/>
  <c r="AE411" i="26"/>
  <c r="X411" i="26"/>
  <c r="AD411" i="26" s="1"/>
  <c r="W411" i="26"/>
  <c r="AC411" i="26" s="1"/>
  <c r="V411" i="26"/>
  <c r="AB411" i="26" s="1"/>
  <c r="AE410" i="26"/>
  <c r="AB410" i="26"/>
  <c r="X410" i="26"/>
  <c r="AD410" i="26" s="1"/>
  <c r="W410" i="26"/>
  <c r="AC410" i="26" s="1"/>
  <c r="V410" i="26"/>
  <c r="AE409" i="26"/>
  <c r="AC409" i="26"/>
  <c r="X409" i="26"/>
  <c r="AD409" i="26" s="1"/>
  <c r="W409" i="26"/>
  <c r="V409" i="26"/>
  <c r="AB409" i="26" s="1"/>
  <c r="AE408" i="26"/>
  <c r="AC408" i="26"/>
  <c r="AB408" i="26"/>
  <c r="X408" i="26"/>
  <c r="AD408" i="26" s="1"/>
  <c r="W408" i="26"/>
  <c r="V408" i="26"/>
  <c r="AE407" i="26"/>
  <c r="X407" i="26"/>
  <c r="AD407" i="26" s="1"/>
  <c r="W407" i="26"/>
  <c r="AC407" i="26" s="1"/>
  <c r="V407" i="26"/>
  <c r="AB407" i="26" s="1"/>
  <c r="AE406" i="26"/>
  <c r="X406" i="26"/>
  <c r="AD406" i="26" s="1"/>
  <c r="W406" i="26"/>
  <c r="AC406" i="26" s="1"/>
  <c r="V406" i="26"/>
  <c r="AB406" i="26" s="1"/>
  <c r="AE405" i="26"/>
  <c r="AB405" i="26"/>
  <c r="X405" i="26"/>
  <c r="AD405" i="26" s="1"/>
  <c r="W405" i="26"/>
  <c r="AC405" i="26" s="1"/>
  <c r="V405" i="26"/>
  <c r="AE404" i="26"/>
  <c r="AC404" i="26"/>
  <c r="X404" i="26"/>
  <c r="AD404" i="26" s="1"/>
  <c r="W404" i="26"/>
  <c r="V404" i="26"/>
  <c r="AB404" i="26" s="1"/>
  <c r="AE403" i="26"/>
  <c r="AD403" i="26"/>
  <c r="X403" i="26"/>
  <c r="W403" i="26"/>
  <c r="AC403" i="26" s="1"/>
  <c r="V403" i="26"/>
  <c r="AB403" i="26" s="1"/>
  <c r="AE402" i="26"/>
  <c r="X402" i="26"/>
  <c r="AD402" i="26" s="1"/>
  <c r="W402" i="26"/>
  <c r="AC402" i="26" s="1"/>
  <c r="V402" i="26"/>
  <c r="AB402" i="26" s="1"/>
  <c r="AE401" i="26"/>
  <c r="AC401" i="26"/>
  <c r="X401" i="26"/>
  <c r="AD401" i="26" s="1"/>
  <c r="W401" i="26"/>
  <c r="V401" i="26"/>
  <c r="AB401" i="26" s="1"/>
  <c r="AE400" i="26"/>
  <c r="AB400" i="26"/>
  <c r="X400" i="26"/>
  <c r="AD400" i="26" s="1"/>
  <c r="W400" i="26"/>
  <c r="AC400" i="26" s="1"/>
  <c r="V400" i="26"/>
  <c r="AE399" i="26"/>
  <c r="AD399" i="26"/>
  <c r="X399" i="26"/>
  <c r="W399" i="26"/>
  <c r="AC399" i="26" s="1"/>
  <c r="V399" i="26"/>
  <c r="AB399" i="26" s="1"/>
  <c r="AE398" i="26"/>
  <c r="X398" i="26"/>
  <c r="AD398" i="26" s="1"/>
  <c r="W398" i="26"/>
  <c r="AC398" i="26" s="1"/>
  <c r="V398" i="26"/>
  <c r="AB398" i="26" s="1"/>
  <c r="AE397" i="26"/>
  <c r="X397" i="26"/>
  <c r="AD397" i="26" s="1"/>
  <c r="W397" i="26"/>
  <c r="AC397" i="26" s="1"/>
  <c r="V397" i="26"/>
  <c r="AB397" i="26" s="1"/>
  <c r="AE396" i="26"/>
  <c r="X396" i="26"/>
  <c r="AD396" i="26" s="1"/>
  <c r="W396" i="26"/>
  <c r="AC396" i="26" s="1"/>
  <c r="V396" i="26"/>
  <c r="AB396" i="26" s="1"/>
  <c r="AE395" i="26"/>
  <c r="AD395" i="26"/>
  <c r="X395" i="26"/>
  <c r="W395" i="26"/>
  <c r="AC395" i="26" s="1"/>
  <c r="V395" i="26"/>
  <c r="AB395" i="26" s="1"/>
  <c r="AE394" i="26"/>
  <c r="X394" i="26"/>
  <c r="AD394" i="26" s="1"/>
  <c r="W394" i="26"/>
  <c r="AC394" i="26" s="1"/>
  <c r="V394" i="26"/>
  <c r="AB394" i="26" s="1"/>
  <c r="AE393" i="26"/>
  <c r="X393" i="26"/>
  <c r="AD393" i="26" s="1"/>
  <c r="W393" i="26"/>
  <c r="AC393" i="26" s="1"/>
  <c r="V393" i="26"/>
  <c r="AB393" i="26" s="1"/>
  <c r="AE392" i="26"/>
  <c r="AD392" i="26"/>
  <c r="X392" i="26"/>
  <c r="W392" i="26"/>
  <c r="AC392" i="26" s="1"/>
  <c r="V392" i="26"/>
  <c r="AB392" i="26" s="1"/>
  <c r="AE391" i="26"/>
  <c r="X391" i="26"/>
  <c r="AD391" i="26" s="1"/>
  <c r="W391" i="26"/>
  <c r="AC391" i="26" s="1"/>
  <c r="V391" i="26"/>
  <c r="AB391" i="26" s="1"/>
  <c r="AE390" i="26"/>
  <c r="X390" i="26"/>
  <c r="AD390" i="26" s="1"/>
  <c r="W390" i="26"/>
  <c r="AC390" i="26" s="1"/>
  <c r="V390" i="26"/>
  <c r="AB390" i="26" s="1"/>
  <c r="AE389" i="26"/>
  <c r="AB389" i="26"/>
  <c r="X389" i="26"/>
  <c r="AD389" i="26" s="1"/>
  <c r="W389" i="26"/>
  <c r="AC389" i="26" s="1"/>
  <c r="V389" i="26"/>
  <c r="AE388" i="26"/>
  <c r="AC388" i="26"/>
  <c r="X388" i="26"/>
  <c r="AD388" i="26" s="1"/>
  <c r="W388" i="26"/>
  <c r="V388" i="26"/>
  <c r="AB388" i="26" s="1"/>
  <c r="AE387" i="26"/>
  <c r="AD387" i="26"/>
  <c r="X387" i="26"/>
  <c r="W387" i="26"/>
  <c r="AC387" i="26" s="1"/>
  <c r="V387" i="26"/>
  <c r="AB387" i="26" s="1"/>
  <c r="AE386" i="26"/>
  <c r="X386" i="26"/>
  <c r="AD386" i="26" s="1"/>
  <c r="W386" i="26"/>
  <c r="AC386" i="26" s="1"/>
  <c r="V386" i="26"/>
  <c r="AB386" i="26" s="1"/>
  <c r="AE385" i="26"/>
  <c r="AC385" i="26"/>
  <c r="AB385" i="26"/>
  <c r="X385" i="26"/>
  <c r="AD385" i="26" s="1"/>
  <c r="W385" i="26"/>
  <c r="V385" i="26"/>
  <c r="AE384" i="26"/>
  <c r="AB384" i="26"/>
  <c r="X384" i="26"/>
  <c r="AD384" i="26" s="1"/>
  <c r="W384" i="26"/>
  <c r="AC384" i="26" s="1"/>
  <c r="V384" i="26"/>
  <c r="AE383" i="26"/>
  <c r="AD383" i="26"/>
  <c r="X383" i="26"/>
  <c r="W383" i="26"/>
  <c r="AC383" i="26" s="1"/>
  <c r="V383" i="26"/>
  <c r="AB383" i="26" s="1"/>
  <c r="AE382" i="26"/>
  <c r="X382" i="26"/>
  <c r="AD382" i="26" s="1"/>
  <c r="W382" i="26"/>
  <c r="AC382" i="26" s="1"/>
  <c r="V382" i="26"/>
  <c r="AB382" i="26" s="1"/>
  <c r="AE381" i="26"/>
  <c r="X381" i="26"/>
  <c r="AD381" i="26" s="1"/>
  <c r="W381" i="26"/>
  <c r="AC381" i="26" s="1"/>
  <c r="V381" i="26"/>
  <c r="AB381" i="26" s="1"/>
  <c r="AE380" i="26"/>
  <c r="X380" i="26"/>
  <c r="AD380" i="26" s="1"/>
  <c r="W380" i="26"/>
  <c r="AC380" i="26" s="1"/>
  <c r="V380" i="26"/>
  <c r="AB380" i="26" s="1"/>
  <c r="AE379" i="26"/>
  <c r="AD379" i="26"/>
  <c r="X379" i="26"/>
  <c r="W379" i="26"/>
  <c r="AC379" i="26" s="1"/>
  <c r="V379" i="26"/>
  <c r="AB379" i="26" s="1"/>
  <c r="AE378" i="26"/>
  <c r="X378" i="26"/>
  <c r="AD378" i="26" s="1"/>
  <c r="W378" i="26"/>
  <c r="AC378" i="26" s="1"/>
  <c r="V378" i="26"/>
  <c r="AB378" i="26" s="1"/>
  <c r="AE377" i="26"/>
  <c r="X377" i="26"/>
  <c r="AD377" i="26" s="1"/>
  <c r="W377" i="26"/>
  <c r="AC377" i="26" s="1"/>
  <c r="V377" i="26"/>
  <c r="AB377" i="26" s="1"/>
  <c r="AE376" i="26"/>
  <c r="AD376" i="26"/>
  <c r="AC376" i="26"/>
  <c r="X376" i="26"/>
  <c r="W376" i="26"/>
  <c r="V376" i="26"/>
  <c r="AB376" i="26" s="1"/>
  <c r="AE375" i="26"/>
  <c r="AD375" i="26"/>
  <c r="X375" i="26"/>
  <c r="W375" i="26"/>
  <c r="AC375" i="26" s="1"/>
  <c r="V375" i="26"/>
  <c r="AB375" i="26" s="1"/>
  <c r="AE374" i="26"/>
  <c r="X374" i="26"/>
  <c r="AD374" i="26" s="1"/>
  <c r="W374" i="26"/>
  <c r="AC374" i="26" s="1"/>
  <c r="V374" i="26"/>
  <c r="AB374" i="26" s="1"/>
  <c r="AE373" i="26"/>
  <c r="X373" i="26"/>
  <c r="AD373" i="26" s="1"/>
  <c r="W373" i="26"/>
  <c r="AC373" i="26" s="1"/>
  <c r="V373" i="26"/>
  <c r="AB373" i="26" s="1"/>
  <c r="AE372" i="26"/>
  <c r="AC372" i="26"/>
  <c r="X372" i="26"/>
  <c r="AD372" i="26" s="1"/>
  <c r="W372" i="26"/>
  <c r="V372" i="26"/>
  <c r="AB372" i="26" s="1"/>
  <c r="AE371" i="26"/>
  <c r="AD371" i="26"/>
  <c r="X371" i="26"/>
  <c r="W371" i="26"/>
  <c r="AC371" i="26" s="1"/>
  <c r="V371" i="26"/>
  <c r="AB371" i="26" s="1"/>
  <c r="AE370" i="26"/>
  <c r="X370" i="26"/>
  <c r="AD370" i="26" s="1"/>
  <c r="W370" i="26"/>
  <c r="AC370" i="26" s="1"/>
  <c r="V370" i="26"/>
  <c r="AB370" i="26" s="1"/>
  <c r="AE369" i="26"/>
  <c r="AB369" i="26"/>
  <c r="X369" i="26"/>
  <c r="AD369" i="26" s="1"/>
  <c r="W369" i="26"/>
  <c r="AC369" i="26" s="1"/>
  <c r="V369" i="26"/>
  <c r="AE368" i="26"/>
  <c r="AD368" i="26"/>
  <c r="X368" i="26"/>
  <c r="W368" i="26"/>
  <c r="AC368" i="26" s="1"/>
  <c r="V368" i="26"/>
  <c r="AB368" i="26" s="1"/>
  <c r="AE367" i="26"/>
  <c r="X367" i="26"/>
  <c r="AD367" i="26" s="1"/>
  <c r="W367" i="26"/>
  <c r="AC367" i="26" s="1"/>
  <c r="V367" i="26"/>
  <c r="AB367" i="26" s="1"/>
  <c r="AE366" i="26"/>
  <c r="X366" i="26"/>
  <c r="AD366" i="26" s="1"/>
  <c r="W366" i="26"/>
  <c r="AC366" i="26" s="1"/>
  <c r="V366" i="26"/>
  <c r="AB366" i="26" s="1"/>
  <c r="AE365" i="26"/>
  <c r="AB365" i="26"/>
  <c r="X365" i="26"/>
  <c r="AD365" i="26" s="1"/>
  <c r="W365" i="26"/>
  <c r="AC365" i="26" s="1"/>
  <c r="V365" i="26"/>
  <c r="AE364" i="26"/>
  <c r="AC364" i="26"/>
  <c r="X364" i="26"/>
  <c r="AD364" i="26" s="1"/>
  <c r="W364" i="26"/>
  <c r="V364" i="26"/>
  <c r="AB364" i="26" s="1"/>
  <c r="AE363" i="26"/>
  <c r="AD363" i="26"/>
  <c r="X363" i="26"/>
  <c r="W363" i="26"/>
  <c r="AC363" i="26" s="1"/>
  <c r="V363" i="26"/>
  <c r="AB363" i="26" s="1"/>
  <c r="AE362" i="26"/>
  <c r="X362" i="26"/>
  <c r="AD362" i="26" s="1"/>
  <c r="AO5" i="26" s="1"/>
  <c r="W362" i="26"/>
  <c r="AC362" i="26" s="1"/>
  <c r="V362" i="26"/>
  <c r="AB362" i="26" s="1"/>
  <c r="AE361" i="26"/>
  <c r="AC361" i="26"/>
  <c r="X361" i="26"/>
  <c r="AD361" i="26" s="1"/>
  <c r="W361" i="26"/>
  <c r="V361" i="26"/>
  <c r="AB361" i="26" s="1"/>
  <c r="AE360" i="26"/>
  <c r="X360" i="26"/>
  <c r="AD360" i="26" s="1"/>
  <c r="W360" i="26"/>
  <c r="AC360" i="26" s="1"/>
  <c r="V360" i="26"/>
  <c r="AB360" i="26" s="1"/>
  <c r="AE359" i="26"/>
  <c r="AD359" i="26"/>
  <c r="X359" i="26"/>
  <c r="W359" i="26"/>
  <c r="AC359" i="26" s="1"/>
  <c r="V359" i="26"/>
  <c r="AB359" i="26" s="1"/>
  <c r="AE358" i="26"/>
  <c r="X358" i="26"/>
  <c r="AD358" i="26" s="1"/>
  <c r="W358" i="26"/>
  <c r="AC358" i="26" s="1"/>
  <c r="V358" i="26"/>
  <c r="AB358" i="26" s="1"/>
  <c r="AE357" i="26"/>
  <c r="X357" i="26"/>
  <c r="AD357" i="26" s="1"/>
  <c r="W357" i="26"/>
  <c r="AC357" i="26" s="1"/>
  <c r="V357" i="26"/>
  <c r="AB357" i="26" s="1"/>
  <c r="AE356" i="26"/>
  <c r="X356" i="26"/>
  <c r="AD356" i="26" s="1"/>
  <c r="W356" i="26"/>
  <c r="AC356" i="26" s="1"/>
  <c r="V356" i="26"/>
  <c r="AB356" i="26" s="1"/>
  <c r="AE355" i="26"/>
  <c r="X355" i="26"/>
  <c r="AD355" i="26" s="1"/>
  <c r="W355" i="26"/>
  <c r="AC355" i="26" s="1"/>
  <c r="V355" i="26"/>
  <c r="AB355" i="26" s="1"/>
  <c r="AE354" i="26"/>
  <c r="AB354" i="26"/>
  <c r="X354" i="26"/>
  <c r="AD354" i="26" s="1"/>
  <c r="W354" i="26"/>
  <c r="AC354" i="26" s="1"/>
  <c r="V354" i="26"/>
  <c r="AE353" i="26"/>
  <c r="X353" i="26"/>
  <c r="AD353" i="26" s="1"/>
  <c r="W353" i="26"/>
  <c r="AC353" i="26" s="1"/>
  <c r="V353" i="26"/>
  <c r="AB353" i="26" s="1"/>
  <c r="AE352" i="26"/>
  <c r="AC352" i="26"/>
  <c r="X352" i="26"/>
  <c r="AD352" i="26" s="1"/>
  <c r="W352" i="26"/>
  <c r="V352" i="26"/>
  <c r="AB352" i="26" s="1"/>
  <c r="AE351" i="26"/>
  <c r="AD351" i="26"/>
  <c r="X351" i="26"/>
  <c r="W351" i="26"/>
  <c r="AC351" i="26" s="1"/>
  <c r="V351" i="26"/>
  <c r="AB351" i="26" s="1"/>
  <c r="AE350" i="26"/>
  <c r="X350" i="26"/>
  <c r="AD350" i="26" s="1"/>
  <c r="W350" i="26"/>
  <c r="AC350" i="26" s="1"/>
  <c r="V350" i="26"/>
  <c r="AB350" i="26" s="1"/>
  <c r="AE349" i="26"/>
  <c r="X349" i="26"/>
  <c r="AD349" i="26" s="1"/>
  <c r="W349" i="26"/>
  <c r="AC349" i="26" s="1"/>
  <c r="V349" i="26"/>
  <c r="AB349" i="26" s="1"/>
  <c r="AE348" i="26"/>
  <c r="X348" i="26"/>
  <c r="AD348" i="26" s="1"/>
  <c r="W348" i="26"/>
  <c r="AC348" i="26" s="1"/>
  <c r="V348" i="26"/>
  <c r="AB348" i="26" s="1"/>
  <c r="AE347" i="26"/>
  <c r="AD347" i="26"/>
  <c r="X347" i="26"/>
  <c r="W347" i="26"/>
  <c r="AC347" i="26" s="1"/>
  <c r="V347" i="26"/>
  <c r="AB347" i="26" s="1"/>
  <c r="AE346" i="26"/>
  <c r="X346" i="26"/>
  <c r="AD346" i="26" s="1"/>
  <c r="W346" i="26"/>
  <c r="AC346" i="26" s="1"/>
  <c r="V346" i="26"/>
  <c r="AB346" i="26" s="1"/>
  <c r="AE345" i="26"/>
  <c r="X345" i="26"/>
  <c r="AD345" i="26" s="1"/>
  <c r="W345" i="26"/>
  <c r="AC345" i="26" s="1"/>
  <c r="V345" i="26"/>
  <c r="AB345" i="26" s="1"/>
  <c r="AE344" i="26"/>
  <c r="AD344" i="26"/>
  <c r="AC344" i="26"/>
  <c r="X344" i="26"/>
  <c r="W344" i="26"/>
  <c r="V344" i="26"/>
  <c r="AB344" i="26" s="1"/>
  <c r="AE343" i="26"/>
  <c r="AD343" i="26"/>
  <c r="X343" i="26"/>
  <c r="W343" i="26"/>
  <c r="AC343" i="26" s="1"/>
  <c r="V343" i="26"/>
  <c r="AB343" i="26" s="1"/>
  <c r="AE342" i="26"/>
  <c r="X342" i="26"/>
  <c r="AD342" i="26" s="1"/>
  <c r="W342" i="26"/>
  <c r="AC342" i="26" s="1"/>
  <c r="V342" i="26"/>
  <c r="AB342" i="26" s="1"/>
  <c r="AE341" i="26"/>
  <c r="X341" i="26"/>
  <c r="AD341" i="26" s="1"/>
  <c r="W341" i="26"/>
  <c r="AC341" i="26" s="1"/>
  <c r="V341" i="26"/>
  <c r="AB341" i="26" s="1"/>
  <c r="AE340" i="26"/>
  <c r="AC340" i="26"/>
  <c r="X340" i="26"/>
  <c r="AD340" i="26" s="1"/>
  <c r="W340" i="26"/>
  <c r="V340" i="26"/>
  <c r="AB340" i="26" s="1"/>
  <c r="AE339" i="26"/>
  <c r="X339" i="26"/>
  <c r="AD339" i="26" s="1"/>
  <c r="W339" i="26"/>
  <c r="AC339" i="26" s="1"/>
  <c r="V339" i="26"/>
  <c r="AB339" i="26" s="1"/>
  <c r="AE338" i="26"/>
  <c r="X338" i="26"/>
  <c r="AD338" i="26" s="1"/>
  <c r="W338" i="26"/>
  <c r="AC338" i="26" s="1"/>
  <c r="V338" i="26"/>
  <c r="AB338" i="26" s="1"/>
  <c r="AE337" i="26"/>
  <c r="AB337" i="26"/>
  <c r="X337" i="26"/>
  <c r="AD337" i="26" s="1"/>
  <c r="W337" i="26"/>
  <c r="AC337" i="26" s="1"/>
  <c r="V337" i="26"/>
  <c r="AE336" i="26"/>
  <c r="AD336" i="26"/>
  <c r="X336" i="26"/>
  <c r="W336" i="26"/>
  <c r="AC336" i="26" s="1"/>
  <c r="V336" i="26"/>
  <c r="AB336" i="26" s="1"/>
  <c r="AE335" i="26"/>
  <c r="X335" i="26"/>
  <c r="AD335" i="26" s="1"/>
  <c r="W335" i="26"/>
  <c r="AC335" i="26" s="1"/>
  <c r="V335" i="26"/>
  <c r="AB335" i="26" s="1"/>
  <c r="AE334" i="26"/>
  <c r="X334" i="26"/>
  <c r="AD334" i="26" s="1"/>
  <c r="W334" i="26"/>
  <c r="AC334" i="26" s="1"/>
  <c r="V334" i="26"/>
  <c r="AB334" i="26" s="1"/>
  <c r="AE333" i="26"/>
  <c r="AB333" i="26"/>
  <c r="X333" i="26"/>
  <c r="AD333" i="26" s="1"/>
  <c r="W333" i="26"/>
  <c r="AC333" i="26" s="1"/>
  <c r="V333" i="26"/>
  <c r="AE332" i="26"/>
  <c r="AC332" i="26"/>
  <c r="X332" i="26"/>
  <c r="AD332" i="26" s="1"/>
  <c r="W332" i="26"/>
  <c r="V332" i="26"/>
  <c r="AB332" i="26" s="1"/>
  <c r="AE331" i="26"/>
  <c r="AD331" i="26"/>
  <c r="X331" i="26"/>
  <c r="W331" i="26"/>
  <c r="AC331" i="26" s="1"/>
  <c r="V331" i="26"/>
  <c r="AB331" i="26" s="1"/>
  <c r="AE330" i="26"/>
  <c r="X330" i="26"/>
  <c r="AD330" i="26" s="1"/>
  <c r="W330" i="26"/>
  <c r="AC330" i="26" s="1"/>
  <c r="V330" i="26"/>
  <c r="AB330" i="26" s="1"/>
  <c r="AE329" i="26"/>
  <c r="AC329" i="26"/>
  <c r="X329" i="26"/>
  <c r="AD329" i="26" s="1"/>
  <c r="W329" i="26"/>
  <c r="V329" i="26"/>
  <c r="AB329" i="26" s="1"/>
  <c r="AE328" i="26"/>
  <c r="X328" i="26"/>
  <c r="AD328" i="26" s="1"/>
  <c r="W328" i="26"/>
  <c r="AC328" i="26" s="1"/>
  <c r="V328" i="26"/>
  <c r="AB328" i="26" s="1"/>
  <c r="AE327" i="26"/>
  <c r="AD327" i="26"/>
  <c r="X327" i="26"/>
  <c r="W327" i="26"/>
  <c r="AC327" i="26" s="1"/>
  <c r="V327" i="26"/>
  <c r="AB327" i="26" s="1"/>
  <c r="AE326" i="26"/>
  <c r="X326" i="26"/>
  <c r="AD326" i="26" s="1"/>
  <c r="W326" i="26"/>
  <c r="AC326" i="26" s="1"/>
  <c r="V326" i="26"/>
  <c r="AB326" i="26" s="1"/>
  <c r="AE325" i="26"/>
  <c r="X325" i="26"/>
  <c r="AD325" i="26" s="1"/>
  <c r="W325" i="26"/>
  <c r="AC325" i="26" s="1"/>
  <c r="V325" i="26"/>
  <c r="AB325" i="26" s="1"/>
  <c r="AE324" i="26"/>
  <c r="X324" i="26"/>
  <c r="AD324" i="26" s="1"/>
  <c r="W324" i="26"/>
  <c r="AC324" i="26" s="1"/>
  <c r="V324" i="26"/>
  <c r="AB324" i="26" s="1"/>
  <c r="AE323" i="26"/>
  <c r="X323" i="26"/>
  <c r="AD323" i="26" s="1"/>
  <c r="W323" i="26"/>
  <c r="AC323" i="26" s="1"/>
  <c r="V323" i="26"/>
  <c r="AB323" i="26" s="1"/>
  <c r="AE322" i="26"/>
  <c r="AB322" i="26"/>
  <c r="X322" i="26"/>
  <c r="AD322" i="26" s="1"/>
  <c r="W322" i="26"/>
  <c r="AC322" i="26" s="1"/>
  <c r="V322" i="26"/>
  <c r="AE321" i="26"/>
  <c r="X321" i="26"/>
  <c r="AD321" i="26" s="1"/>
  <c r="W321" i="26"/>
  <c r="AC321" i="26" s="1"/>
  <c r="V321" i="26"/>
  <c r="AB321" i="26" s="1"/>
  <c r="AE320" i="26"/>
  <c r="AC320" i="26"/>
  <c r="X320" i="26"/>
  <c r="AD320" i="26" s="1"/>
  <c r="W320" i="26"/>
  <c r="V320" i="26"/>
  <c r="AB320" i="26" s="1"/>
  <c r="AE319" i="26"/>
  <c r="AD319" i="26"/>
  <c r="X319" i="26"/>
  <c r="W319" i="26"/>
  <c r="AC319" i="26" s="1"/>
  <c r="V319" i="26"/>
  <c r="AB319" i="26" s="1"/>
  <c r="AE318" i="26"/>
  <c r="X318" i="26"/>
  <c r="AD318" i="26" s="1"/>
  <c r="W318" i="26"/>
  <c r="AC318" i="26" s="1"/>
  <c r="V318" i="26"/>
  <c r="AB318" i="26" s="1"/>
  <c r="AE317" i="26"/>
  <c r="X317" i="26"/>
  <c r="AD317" i="26" s="1"/>
  <c r="W317" i="26"/>
  <c r="AC317" i="26" s="1"/>
  <c r="V317" i="26"/>
  <c r="AB317" i="26" s="1"/>
  <c r="AE316" i="26"/>
  <c r="X316" i="26"/>
  <c r="AD316" i="26" s="1"/>
  <c r="W316" i="26"/>
  <c r="AC316" i="26" s="1"/>
  <c r="V316" i="26"/>
  <c r="AB316" i="26" s="1"/>
  <c r="AE315" i="26"/>
  <c r="AD315" i="26"/>
  <c r="AO4" i="26" s="1"/>
  <c r="AO9" i="26" s="1"/>
  <c r="X315" i="26"/>
  <c r="W315" i="26"/>
  <c r="AC315" i="26" s="1"/>
  <c r="V315" i="26"/>
  <c r="AB315" i="26" s="1"/>
  <c r="AE314" i="26"/>
  <c r="X314" i="26"/>
  <c r="AD314" i="26" s="1"/>
  <c r="W314" i="26"/>
  <c r="AC314" i="26" s="1"/>
  <c r="V314" i="26"/>
  <c r="AB314" i="26" s="1"/>
  <c r="AE313" i="26"/>
  <c r="X313" i="26"/>
  <c r="AD313" i="26" s="1"/>
  <c r="W313" i="26"/>
  <c r="AC313" i="26" s="1"/>
  <c r="V313" i="26"/>
  <c r="AB313" i="26" s="1"/>
  <c r="AE312" i="26"/>
  <c r="AD312" i="26"/>
  <c r="AC312" i="26"/>
  <c r="X312" i="26"/>
  <c r="W312" i="26"/>
  <c r="V312" i="26"/>
  <c r="AB312" i="26" s="1"/>
  <c r="AE311" i="26"/>
  <c r="AD311" i="26"/>
  <c r="X311" i="26"/>
  <c r="W311" i="26"/>
  <c r="AC311" i="26" s="1"/>
  <c r="V311" i="26"/>
  <c r="AB311" i="26" s="1"/>
  <c r="AE310" i="26"/>
  <c r="X310" i="26"/>
  <c r="AD310" i="26" s="1"/>
  <c r="W310" i="26"/>
  <c r="AC310" i="26" s="1"/>
  <c r="V310" i="26"/>
  <c r="AB310" i="26" s="1"/>
  <c r="AE309" i="26"/>
  <c r="X309" i="26"/>
  <c r="AD309" i="26" s="1"/>
  <c r="W309" i="26"/>
  <c r="AC309" i="26" s="1"/>
  <c r="V309" i="26"/>
  <c r="AB309" i="26" s="1"/>
  <c r="AE308" i="26"/>
  <c r="AC308" i="26"/>
  <c r="X308" i="26"/>
  <c r="AD308" i="26" s="1"/>
  <c r="W308" i="26"/>
  <c r="V308" i="26"/>
  <c r="AB308" i="26" s="1"/>
  <c r="AE307" i="26"/>
  <c r="AD307" i="26"/>
  <c r="X307" i="26"/>
  <c r="W307" i="26"/>
  <c r="AC307" i="26" s="1"/>
  <c r="V307" i="26"/>
  <c r="AB307" i="26" s="1"/>
  <c r="AE306" i="26"/>
  <c r="X306" i="26"/>
  <c r="AD306" i="26" s="1"/>
  <c r="W306" i="26"/>
  <c r="AC306" i="26" s="1"/>
  <c r="V306" i="26"/>
  <c r="AB306" i="26" s="1"/>
  <c r="AE305" i="26"/>
  <c r="AC305" i="26"/>
  <c r="X305" i="26"/>
  <c r="AD305" i="26" s="1"/>
  <c r="W305" i="26"/>
  <c r="V305" i="26"/>
  <c r="AB305" i="26" s="1"/>
  <c r="AE304" i="26"/>
  <c r="X304" i="26"/>
  <c r="AD304" i="26" s="1"/>
  <c r="W304" i="26"/>
  <c r="AC304" i="26" s="1"/>
  <c r="V304" i="26"/>
  <c r="AB304" i="26" s="1"/>
  <c r="AE303" i="26"/>
  <c r="AD303" i="26"/>
  <c r="X303" i="26"/>
  <c r="W303" i="26"/>
  <c r="AC303" i="26" s="1"/>
  <c r="V303" i="26"/>
  <c r="AB303" i="26" s="1"/>
  <c r="AE302" i="26"/>
  <c r="X302" i="26"/>
  <c r="AD302" i="26" s="1"/>
  <c r="W302" i="26"/>
  <c r="AC302" i="26" s="1"/>
  <c r="V302" i="26"/>
  <c r="AB302" i="26" s="1"/>
  <c r="AE301" i="26"/>
  <c r="X301" i="26"/>
  <c r="AD301" i="26" s="1"/>
  <c r="W301" i="26"/>
  <c r="AC301" i="26" s="1"/>
  <c r="V301" i="26"/>
  <c r="AB301" i="26" s="1"/>
  <c r="AE300" i="26"/>
  <c r="X300" i="26"/>
  <c r="AD300" i="26" s="1"/>
  <c r="W300" i="26"/>
  <c r="AC300" i="26" s="1"/>
  <c r="V300" i="26"/>
  <c r="AB300" i="26" s="1"/>
  <c r="AE299" i="26"/>
  <c r="AB299" i="26"/>
  <c r="X299" i="26"/>
  <c r="AD299" i="26" s="1"/>
  <c r="W299" i="26"/>
  <c r="AC299" i="26" s="1"/>
  <c r="V299" i="26"/>
  <c r="AE298" i="26"/>
  <c r="X298" i="26"/>
  <c r="AD298" i="26" s="1"/>
  <c r="W298" i="26"/>
  <c r="AC298" i="26" s="1"/>
  <c r="V298" i="26"/>
  <c r="AB298" i="26" s="1"/>
  <c r="AE297" i="26"/>
  <c r="X297" i="26"/>
  <c r="AD297" i="26" s="1"/>
  <c r="W297" i="26"/>
  <c r="AC297" i="26" s="1"/>
  <c r="V297" i="26"/>
  <c r="AB297" i="26" s="1"/>
  <c r="AE296" i="26"/>
  <c r="AD296" i="26"/>
  <c r="AC296" i="26"/>
  <c r="X296" i="26"/>
  <c r="W296" i="26"/>
  <c r="V296" i="26"/>
  <c r="AB296" i="26" s="1"/>
  <c r="AE295" i="26"/>
  <c r="AD295" i="26"/>
  <c r="X295" i="26"/>
  <c r="W295" i="26"/>
  <c r="AC295" i="26" s="1"/>
  <c r="V295" i="26"/>
  <c r="AB295" i="26" s="1"/>
  <c r="AE294" i="26"/>
  <c r="X294" i="26"/>
  <c r="AD294" i="26" s="1"/>
  <c r="W294" i="26"/>
  <c r="AC294" i="26" s="1"/>
  <c r="V294" i="26"/>
  <c r="AB294" i="26" s="1"/>
  <c r="AE293" i="26"/>
  <c r="X293" i="26"/>
  <c r="AD293" i="26" s="1"/>
  <c r="W293" i="26"/>
  <c r="AC293" i="26" s="1"/>
  <c r="V293" i="26"/>
  <c r="AB293" i="26" s="1"/>
  <c r="AE292" i="26"/>
  <c r="AC292" i="26"/>
  <c r="X292" i="26"/>
  <c r="AD292" i="26" s="1"/>
  <c r="W292" i="26"/>
  <c r="V292" i="26"/>
  <c r="AB292" i="26" s="1"/>
  <c r="AE291" i="26"/>
  <c r="AD291" i="26"/>
  <c r="X291" i="26"/>
  <c r="W291" i="26"/>
  <c r="AC291" i="26" s="1"/>
  <c r="V291" i="26"/>
  <c r="AB291" i="26" s="1"/>
  <c r="AE290" i="26"/>
  <c r="X290" i="26"/>
  <c r="AD290" i="26" s="1"/>
  <c r="W290" i="26"/>
  <c r="AC290" i="26" s="1"/>
  <c r="V290" i="26"/>
  <c r="AB290" i="26" s="1"/>
  <c r="AE289" i="26"/>
  <c r="AC289" i="26"/>
  <c r="X289" i="26"/>
  <c r="AD289" i="26" s="1"/>
  <c r="W289" i="26"/>
  <c r="V289" i="26"/>
  <c r="AB289" i="26" s="1"/>
  <c r="AE288" i="26"/>
  <c r="X288" i="26"/>
  <c r="AD288" i="26" s="1"/>
  <c r="W288" i="26"/>
  <c r="AC288" i="26" s="1"/>
  <c r="V288" i="26"/>
  <c r="AB288" i="26" s="1"/>
  <c r="AE287" i="26"/>
  <c r="AD287" i="26"/>
  <c r="X287" i="26"/>
  <c r="W287" i="26"/>
  <c r="AC287" i="26" s="1"/>
  <c r="V287" i="26"/>
  <c r="AB287" i="26" s="1"/>
  <c r="AE286" i="26"/>
  <c r="X286" i="26"/>
  <c r="AD286" i="26" s="1"/>
  <c r="W286" i="26"/>
  <c r="AC286" i="26" s="1"/>
  <c r="V286" i="26"/>
  <c r="AB286" i="26" s="1"/>
  <c r="AE285" i="26"/>
  <c r="X285" i="26"/>
  <c r="AD285" i="26" s="1"/>
  <c r="W285" i="26"/>
  <c r="AC285" i="26" s="1"/>
  <c r="V285" i="26"/>
  <c r="AB285" i="26" s="1"/>
  <c r="AE284" i="26"/>
  <c r="X284" i="26"/>
  <c r="AD284" i="26" s="1"/>
  <c r="W284" i="26"/>
  <c r="AC284" i="26" s="1"/>
  <c r="V284" i="26"/>
  <c r="AB284" i="26" s="1"/>
  <c r="AE283" i="26"/>
  <c r="AD283" i="26"/>
  <c r="X283" i="26"/>
  <c r="W283" i="26"/>
  <c r="AC283" i="26" s="1"/>
  <c r="V283" i="26"/>
  <c r="AB283" i="26" s="1"/>
  <c r="AE282" i="26"/>
  <c r="AB282" i="26"/>
  <c r="X282" i="26"/>
  <c r="AD282" i="26" s="1"/>
  <c r="W282" i="26"/>
  <c r="AC282" i="26" s="1"/>
  <c r="V282" i="26"/>
  <c r="AE281" i="26"/>
  <c r="X281" i="26"/>
  <c r="AD281" i="26" s="1"/>
  <c r="W281" i="26"/>
  <c r="AC281" i="26" s="1"/>
  <c r="V281" i="26"/>
  <c r="AB281" i="26" s="1"/>
  <c r="AE280" i="26"/>
  <c r="AD280" i="26"/>
  <c r="X280" i="26"/>
  <c r="W280" i="26"/>
  <c r="AC280" i="26" s="1"/>
  <c r="V280" i="26"/>
  <c r="AB280" i="26" s="1"/>
  <c r="AE279" i="26"/>
  <c r="AC279" i="26"/>
  <c r="X279" i="26"/>
  <c r="AD279" i="26" s="1"/>
  <c r="W279" i="26"/>
  <c r="V279" i="26"/>
  <c r="AB279" i="26" s="1"/>
  <c r="AE278" i="26"/>
  <c r="X278" i="26"/>
  <c r="AD278" i="26" s="1"/>
  <c r="W278" i="26"/>
  <c r="AC278" i="26" s="1"/>
  <c r="V278" i="26"/>
  <c r="AB278" i="26" s="1"/>
  <c r="AG277" i="26"/>
  <c r="AF277" i="26"/>
  <c r="AC277" i="26"/>
  <c r="X277" i="26"/>
  <c r="AD277" i="26" s="1"/>
  <c r="W277" i="26"/>
  <c r="V277" i="26"/>
  <c r="AB277" i="26" s="1"/>
  <c r="AG276" i="26"/>
  <c r="AF276" i="26"/>
  <c r="AC276" i="26"/>
  <c r="X276" i="26"/>
  <c r="AD276" i="26" s="1"/>
  <c r="W276" i="26"/>
  <c r="V276" i="26"/>
  <c r="AB276" i="26" s="1"/>
  <c r="AG275" i="26"/>
  <c r="AF275" i="26"/>
  <c r="AD275" i="26"/>
  <c r="X275" i="26"/>
  <c r="W275" i="26"/>
  <c r="AC275" i="26" s="1"/>
  <c r="V275" i="26"/>
  <c r="AB275" i="26" s="1"/>
  <c r="AG274" i="26"/>
  <c r="AF274" i="26"/>
  <c r="AB274" i="26"/>
  <c r="X274" i="26"/>
  <c r="AD274" i="26" s="1"/>
  <c r="W274" i="26"/>
  <c r="AC274" i="26" s="1"/>
  <c r="V274" i="26"/>
  <c r="AG273" i="26"/>
  <c r="AF273" i="26"/>
  <c r="X273" i="26"/>
  <c r="AD273" i="26" s="1"/>
  <c r="W273" i="26"/>
  <c r="AC273" i="26" s="1"/>
  <c r="V273" i="26"/>
  <c r="AB273" i="26" s="1"/>
  <c r="AG272" i="26"/>
  <c r="AF272" i="26"/>
  <c r="AD272" i="26"/>
  <c r="X272" i="26"/>
  <c r="W272" i="26"/>
  <c r="AC272" i="26" s="1"/>
  <c r="V272" i="26"/>
  <c r="AB272" i="26" s="1"/>
  <c r="AG271" i="26"/>
  <c r="AF271" i="26"/>
  <c r="AD271" i="26"/>
  <c r="X271" i="26"/>
  <c r="W271" i="26"/>
  <c r="AC271" i="26" s="1"/>
  <c r="V271" i="26"/>
  <c r="AB271" i="26" s="1"/>
  <c r="AG270" i="26"/>
  <c r="AF270" i="26"/>
  <c r="AB270" i="26"/>
  <c r="X270" i="26"/>
  <c r="AD270" i="26" s="1"/>
  <c r="W270" i="26"/>
  <c r="AC270" i="26" s="1"/>
  <c r="V270" i="26"/>
  <c r="AG269" i="26"/>
  <c r="AF269" i="26"/>
  <c r="AB269" i="26"/>
  <c r="X269" i="26"/>
  <c r="AD269" i="26" s="1"/>
  <c r="W269" i="26"/>
  <c r="AC269" i="26" s="1"/>
  <c r="V269" i="26"/>
  <c r="AG268" i="26"/>
  <c r="AF268" i="26"/>
  <c r="X268" i="26"/>
  <c r="AD268" i="26" s="1"/>
  <c r="W268" i="26"/>
  <c r="AC268" i="26" s="1"/>
  <c r="V268" i="26"/>
  <c r="AB268" i="26" s="1"/>
  <c r="AG267" i="26"/>
  <c r="AF267" i="26"/>
  <c r="X267" i="26"/>
  <c r="AD267" i="26" s="1"/>
  <c r="W267" i="26"/>
  <c r="AC267" i="26" s="1"/>
  <c r="V267" i="26"/>
  <c r="AB267" i="26" s="1"/>
  <c r="AG266" i="26"/>
  <c r="AF266" i="26"/>
  <c r="X266" i="26"/>
  <c r="AD266" i="26" s="1"/>
  <c r="W266" i="26"/>
  <c r="AC266" i="26" s="1"/>
  <c r="V266" i="26"/>
  <c r="AB266" i="26" s="1"/>
  <c r="AE265" i="26"/>
  <c r="AC265" i="26"/>
  <c r="X265" i="26"/>
  <c r="AD265" i="26" s="1"/>
  <c r="W265" i="26"/>
  <c r="V265" i="26"/>
  <c r="AB265" i="26" s="1"/>
  <c r="AE264" i="26"/>
  <c r="X264" i="26"/>
  <c r="AD264" i="26" s="1"/>
  <c r="W264" i="26"/>
  <c r="AC264" i="26" s="1"/>
  <c r="V264" i="26"/>
  <c r="AB264" i="26" s="1"/>
  <c r="AE263" i="26"/>
  <c r="AD263" i="26"/>
  <c r="X263" i="26"/>
  <c r="W263" i="26"/>
  <c r="AC263" i="26" s="1"/>
  <c r="V263" i="26"/>
  <c r="AB263" i="26" s="1"/>
  <c r="AE262" i="26"/>
  <c r="AC262" i="26"/>
  <c r="X262" i="26"/>
  <c r="AD262" i="26" s="1"/>
  <c r="W262" i="26"/>
  <c r="V262" i="26"/>
  <c r="AB262" i="26" s="1"/>
  <c r="AE261" i="26"/>
  <c r="AD261" i="26"/>
  <c r="AB261" i="26"/>
  <c r="X261" i="26"/>
  <c r="W261" i="26"/>
  <c r="AC261" i="26" s="1"/>
  <c r="V261" i="26"/>
  <c r="AE260" i="26"/>
  <c r="AC260" i="26"/>
  <c r="X260" i="26"/>
  <c r="AD260" i="26" s="1"/>
  <c r="W260" i="26"/>
  <c r="V260" i="26"/>
  <c r="AB260" i="26" s="1"/>
  <c r="AE259" i="26"/>
  <c r="X259" i="26"/>
  <c r="AD259" i="26" s="1"/>
  <c r="W259" i="26"/>
  <c r="AC259" i="26" s="1"/>
  <c r="V259" i="26"/>
  <c r="AB259" i="26" s="1"/>
  <c r="AE258" i="26"/>
  <c r="AB258" i="26"/>
  <c r="X258" i="26"/>
  <c r="AD258" i="26" s="1"/>
  <c r="W258" i="26"/>
  <c r="AC258" i="26" s="1"/>
  <c r="V258" i="26"/>
  <c r="AE257" i="26"/>
  <c r="AB257" i="26"/>
  <c r="X257" i="26"/>
  <c r="AD257" i="26" s="1"/>
  <c r="W257" i="26"/>
  <c r="AC257" i="26" s="1"/>
  <c r="V257" i="26"/>
  <c r="AE256" i="26"/>
  <c r="AD256" i="26"/>
  <c r="X256" i="26"/>
  <c r="W256" i="26"/>
  <c r="AC256" i="26" s="1"/>
  <c r="V256" i="26"/>
  <c r="AB256" i="26" s="1"/>
  <c r="AE255" i="26"/>
  <c r="AB255" i="26"/>
  <c r="X255" i="26"/>
  <c r="AD255" i="26" s="1"/>
  <c r="W255" i="26"/>
  <c r="AC255" i="26" s="1"/>
  <c r="V255" i="26"/>
  <c r="AE254" i="26"/>
  <c r="AB254" i="26"/>
  <c r="X254" i="26"/>
  <c r="AD254" i="26" s="1"/>
  <c r="W254" i="26"/>
  <c r="AC254" i="26" s="1"/>
  <c r="V254" i="26"/>
  <c r="AE253" i="26"/>
  <c r="AC253" i="26"/>
  <c r="X253" i="26"/>
  <c r="AD253" i="26" s="1"/>
  <c r="W253" i="26"/>
  <c r="V253" i="26"/>
  <c r="AB253" i="26" s="1"/>
  <c r="AE252" i="26"/>
  <c r="X252" i="26"/>
  <c r="AD252" i="26" s="1"/>
  <c r="W252" i="26"/>
  <c r="AC252" i="26" s="1"/>
  <c r="V252" i="26"/>
  <c r="AB252" i="26" s="1"/>
  <c r="AE251" i="26"/>
  <c r="AD251" i="26"/>
  <c r="X251" i="26"/>
  <c r="W251" i="26"/>
  <c r="AC251" i="26" s="1"/>
  <c r="V251" i="26"/>
  <c r="AB251" i="26" s="1"/>
  <c r="AE250" i="26"/>
  <c r="X250" i="26"/>
  <c r="AD250" i="26" s="1"/>
  <c r="W250" i="26"/>
  <c r="AC250" i="26" s="1"/>
  <c r="V250" i="26"/>
  <c r="AB250" i="26" s="1"/>
  <c r="AE249" i="26"/>
  <c r="X249" i="26"/>
  <c r="AD249" i="26" s="1"/>
  <c r="W249" i="26"/>
  <c r="AC249" i="26" s="1"/>
  <c r="V249" i="26"/>
  <c r="AB249" i="26" s="1"/>
  <c r="AE248" i="26"/>
  <c r="AD248" i="26"/>
  <c r="AC248" i="26"/>
  <c r="X248" i="26"/>
  <c r="W248" i="26"/>
  <c r="V248" i="26"/>
  <c r="AB248" i="26" s="1"/>
  <c r="AE247" i="26"/>
  <c r="X247" i="26"/>
  <c r="AD247" i="26" s="1"/>
  <c r="W247" i="26"/>
  <c r="AC247" i="26" s="1"/>
  <c r="V247" i="26"/>
  <c r="AB247" i="26" s="1"/>
  <c r="AE246" i="26"/>
  <c r="AC246" i="26"/>
  <c r="X246" i="26"/>
  <c r="AD246" i="26" s="1"/>
  <c r="W246" i="26"/>
  <c r="V246" i="26"/>
  <c r="AB246" i="26" s="1"/>
  <c r="AE245" i="26"/>
  <c r="AB245" i="26"/>
  <c r="X245" i="26"/>
  <c r="AD245" i="26" s="1"/>
  <c r="W245" i="26"/>
  <c r="AC245" i="26" s="1"/>
  <c r="V245" i="26"/>
  <c r="AE244" i="26"/>
  <c r="AD244" i="26"/>
  <c r="X244" i="26"/>
  <c r="W244" i="26"/>
  <c r="AC244" i="26" s="1"/>
  <c r="V244" i="26"/>
  <c r="AB244" i="26" s="1"/>
  <c r="AE243" i="26"/>
  <c r="X243" i="26"/>
  <c r="AD243" i="26" s="1"/>
  <c r="W243" i="26"/>
  <c r="AC243" i="26" s="1"/>
  <c r="V243" i="26"/>
  <c r="AB243" i="26" s="1"/>
  <c r="AE242" i="26"/>
  <c r="AB242" i="26"/>
  <c r="X242" i="26"/>
  <c r="AD242" i="26" s="1"/>
  <c r="W242" i="26"/>
  <c r="AC242" i="26" s="1"/>
  <c r="V242" i="26"/>
  <c r="AE241" i="26"/>
  <c r="X241" i="26"/>
  <c r="AD241" i="26" s="1"/>
  <c r="W241" i="26"/>
  <c r="AC241" i="26" s="1"/>
  <c r="V241" i="26"/>
  <c r="AB241" i="26" s="1"/>
  <c r="AE240" i="26"/>
  <c r="AC240" i="26"/>
  <c r="X240" i="26"/>
  <c r="AD240" i="26" s="1"/>
  <c r="W240" i="26"/>
  <c r="V240" i="26"/>
  <c r="AB240" i="26" s="1"/>
  <c r="AE239" i="26"/>
  <c r="AD239" i="26"/>
  <c r="AB239" i="26"/>
  <c r="X239" i="26"/>
  <c r="W239" i="26"/>
  <c r="AC239" i="26" s="1"/>
  <c r="V239" i="26"/>
  <c r="AE238" i="26"/>
  <c r="AB238" i="26"/>
  <c r="X238" i="26"/>
  <c r="AD238" i="26" s="1"/>
  <c r="W238" i="26"/>
  <c r="AC238" i="26" s="1"/>
  <c r="V238" i="26"/>
  <c r="AE237" i="26"/>
  <c r="X237" i="26"/>
  <c r="AD237" i="26" s="1"/>
  <c r="W237" i="26"/>
  <c r="AC237" i="26" s="1"/>
  <c r="V237" i="26"/>
  <c r="AB237" i="26" s="1"/>
  <c r="AE236" i="26"/>
  <c r="AD236" i="26"/>
  <c r="AC236" i="26"/>
  <c r="X236" i="26"/>
  <c r="W236" i="26"/>
  <c r="V236" i="26"/>
  <c r="AB236" i="26" s="1"/>
  <c r="AE235" i="26"/>
  <c r="AD235" i="26"/>
  <c r="X235" i="26"/>
  <c r="W235" i="26"/>
  <c r="AC235" i="26" s="1"/>
  <c r="V235" i="26"/>
  <c r="AB235" i="26" s="1"/>
  <c r="AE234" i="26"/>
  <c r="X234" i="26"/>
  <c r="AD234" i="26" s="1"/>
  <c r="W234" i="26"/>
  <c r="AC234" i="26" s="1"/>
  <c r="V234" i="26"/>
  <c r="AB234" i="26" s="1"/>
  <c r="AE233" i="26"/>
  <c r="AC233" i="26"/>
  <c r="X233" i="26"/>
  <c r="AD233" i="26" s="1"/>
  <c r="W233" i="26"/>
  <c r="V233" i="26"/>
  <c r="AB233" i="26" s="1"/>
  <c r="AE232" i="26"/>
  <c r="X232" i="26"/>
  <c r="AD232" i="26" s="1"/>
  <c r="W232" i="26"/>
  <c r="AC232" i="26" s="1"/>
  <c r="V232" i="26"/>
  <c r="AB232" i="26" s="1"/>
  <c r="AE231" i="26"/>
  <c r="AD231" i="26"/>
  <c r="X231" i="26"/>
  <c r="W231" i="26"/>
  <c r="AC231" i="26" s="1"/>
  <c r="V231" i="26"/>
  <c r="AB231" i="26" s="1"/>
  <c r="AE230" i="26"/>
  <c r="X230" i="26"/>
  <c r="AD230" i="26" s="1"/>
  <c r="W230" i="26"/>
  <c r="AC230" i="26" s="1"/>
  <c r="V230" i="26"/>
  <c r="AB230" i="26" s="1"/>
  <c r="AG229" i="26"/>
  <c r="AF229" i="26"/>
  <c r="X229" i="26"/>
  <c r="AD229" i="26" s="1"/>
  <c r="W229" i="26"/>
  <c r="AC229" i="26" s="1"/>
  <c r="V229" i="26"/>
  <c r="AB229" i="26" s="1"/>
  <c r="AG228" i="26"/>
  <c r="AF228" i="26"/>
  <c r="AD228" i="26"/>
  <c r="X228" i="26"/>
  <c r="W228" i="26"/>
  <c r="AC228" i="26" s="1"/>
  <c r="V228" i="26"/>
  <c r="AB228" i="26" s="1"/>
  <c r="AG227" i="26"/>
  <c r="AF227" i="26"/>
  <c r="AD227" i="26"/>
  <c r="X227" i="26"/>
  <c r="W227" i="26"/>
  <c r="AC227" i="26" s="1"/>
  <c r="V227" i="26"/>
  <c r="AB227" i="26" s="1"/>
  <c r="AG226" i="26"/>
  <c r="AF226" i="26"/>
  <c r="AB226" i="26"/>
  <c r="X226" i="26"/>
  <c r="AD226" i="26" s="1"/>
  <c r="W226" i="26"/>
  <c r="AC226" i="26" s="1"/>
  <c r="V226" i="26"/>
  <c r="AG225" i="26"/>
  <c r="AF225" i="26"/>
  <c r="AC225" i="26"/>
  <c r="X225" i="26"/>
  <c r="AD225" i="26" s="1"/>
  <c r="W225" i="26"/>
  <c r="V225" i="26"/>
  <c r="AB225" i="26" s="1"/>
  <c r="AG224" i="26"/>
  <c r="AF224" i="26"/>
  <c r="AC224" i="26"/>
  <c r="X224" i="26"/>
  <c r="AD224" i="26" s="1"/>
  <c r="W224" i="26"/>
  <c r="V224" i="26"/>
  <c r="AB224" i="26" s="1"/>
  <c r="AG223" i="26"/>
  <c r="AF223" i="26"/>
  <c r="X223" i="26"/>
  <c r="AD223" i="26" s="1"/>
  <c r="W223" i="26"/>
  <c r="AC223" i="26" s="1"/>
  <c r="V223" i="26"/>
  <c r="AB223" i="26" s="1"/>
  <c r="AG222" i="26"/>
  <c r="AF222" i="26"/>
  <c r="X222" i="26"/>
  <c r="AD222" i="26" s="1"/>
  <c r="W222" i="26"/>
  <c r="AC222" i="26" s="1"/>
  <c r="V222" i="26"/>
  <c r="AB222" i="26" s="1"/>
  <c r="AG221" i="26"/>
  <c r="AF221" i="26"/>
  <c r="AD221" i="26"/>
  <c r="X221" i="26"/>
  <c r="W221" i="26"/>
  <c r="AC221" i="26" s="1"/>
  <c r="V221" i="26"/>
  <c r="AB221" i="26" s="1"/>
  <c r="AG220" i="26"/>
  <c r="AF220" i="26"/>
  <c r="AD220" i="26"/>
  <c r="AC220" i="26"/>
  <c r="X220" i="26"/>
  <c r="W220" i="26"/>
  <c r="V220" i="26"/>
  <c r="AB220" i="26" s="1"/>
  <c r="AG219" i="26"/>
  <c r="AF219" i="26"/>
  <c r="X219" i="26"/>
  <c r="AD219" i="26" s="1"/>
  <c r="W219" i="26"/>
  <c r="AC219" i="26" s="1"/>
  <c r="V219" i="26"/>
  <c r="AB219" i="26" s="1"/>
  <c r="AG218" i="26"/>
  <c r="AF218" i="26"/>
  <c r="AB218" i="26"/>
  <c r="X218" i="26"/>
  <c r="AD218" i="26" s="1"/>
  <c r="W218" i="26"/>
  <c r="AC218" i="26" s="1"/>
  <c r="V218" i="26"/>
  <c r="AG217" i="26"/>
  <c r="AF217" i="26"/>
  <c r="AB217" i="26"/>
  <c r="X217" i="26"/>
  <c r="AD217" i="26" s="1"/>
  <c r="W217" i="26"/>
  <c r="AC217" i="26" s="1"/>
  <c r="V217" i="26"/>
  <c r="AG216" i="26"/>
  <c r="AF216" i="26"/>
  <c r="X216" i="26"/>
  <c r="AD216" i="26" s="1"/>
  <c r="W216" i="26"/>
  <c r="AC216" i="26" s="1"/>
  <c r="V216" i="26"/>
  <c r="AB216" i="26" s="1"/>
  <c r="AG215" i="26"/>
  <c r="AF215" i="26"/>
  <c r="AD215" i="26"/>
  <c r="X215" i="26"/>
  <c r="W215" i="26"/>
  <c r="AC215" i="26" s="1"/>
  <c r="V215" i="26"/>
  <c r="AB215" i="26" s="1"/>
  <c r="AG214" i="26"/>
  <c r="AF214" i="26"/>
  <c r="AC214" i="26"/>
  <c r="X214" i="26"/>
  <c r="AD214" i="26" s="1"/>
  <c r="W214" i="26"/>
  <c r="V214" i="26"/>
  <c r="AB214" i="26" s="1"/>
  <c r="AG213" i="26"/>
  <c r="AF213" i="26"/>
  <c r="AC213" i="26"/>
  <c r="X213" i="26"/>
  <c r="AD213" i="26" s="1"/>
  <c r="W213" i="26"/>
  <c r="V213" i="26"/>
  <c r="AB213" i="26" s="1"/>
  <c r="AG212" i="26"/>
  <c r="AF212" i="26"/>
  <c r="AD212" i="26"/>
  <c r="AC212" i="26"/>
  <c r="X212" i="26"/>
  <c r="W212" i="26"/>
  <c r="V212" i="26"/>
  <c r="AB212" i="26" s="1"/>
  <c r="AG211" i="26"/>
  <c r="AF211" i="26"/>
  <c r="AD211" i="26"/>
  <c r="X211" i="26"/>
  <c r="W211" i="26"/>
  <c r="AC211" i="26" s="1"/>
  <c r="V211" i="26"/>
  <c r="AB211" i="26" s="1"/>
  <c r="AG210" i="26"/>
  <c r="AF210" i="26"/>
  <c r="AB210" i="26"/>
  <c r="X210" i="26"/>
  <c r="AD210" i="26" s="1"/>
  <c r="W210" i="26"/>
  <c r="AC210" i="26" s="1"/>
  <c r="V210" i="26"/>
  <c r="AG209" i="26"/>
  <c r="AF209" i="26"/>
  <c r="X209" i="26"/>
  <c r="AD209" i="26" s="1"/>
  <c r="W209" i="26"/>
  <c r="AC209" i="26" s="1"/>
  <c r="V209" i="26"/>
  <c r="AB209" i="26" s="1"/>
  <c r="AG208" i="26"/>
  <c r="AF208" i="26"/>
  <c r="AD208" i="26"/>
  <c r="X208" i="26"/>
  <c r="W208" i="26"/>
  <c r="AC208" i="26" s="1"/>
  <c r="V208" i="26"/>
  <c r="AB208" i="26" s="1"/>
  <c r="AG207" i="26"/>
  <c r="AF207" i="26"/>
  <c r="AD207" i="26"/>
  <c r="X207" i="26"/>
  <c r="W207" i="26"/>
  <c r="AC207" i="26" s="1"/>
  <c r="V207" i="26"/>
  <c r="AB207" i="26" s="1"/>
  <c r="AG206" i="26"/>
  <c r="AF206" i="26"/>
  <c r="AB206" i="26"/>
  <c r="X206" i="26"/>
  <c r="AD206" i="26" s="1"/>
  <c r="W206" i="26"/>
  <c r="AC206" i="26" s="1"/>
  <c r="V206" i="26"/>
  <c r="AE205" i="26"/>
  <c r="AD205" i="26"/>
  <c r="AC205" i="26"/>
  <c r="X205" i="26"/>
  <c r="W205" i="26"/>
  <c r="V205" i="26"/>
  <c r="AB205" i="26" s="1"/>
  <c r="AE204" i="26"/>
  <c r="AD204" i="26"/>
  <c r="AC204" i="26"/>
  <c r="X204" i="26"/>
  <c r="W204" i="26"/>
  <c r="V204" i="26"/>
  <c r="AB204" i="26" s="1"/>
  <c r="AE203" i="26"/>
  <c r="AD203" i="26"/>
  <c r="X203" i="26"/>
  <c r="W203" i="26"/>
  <c r="AC203" i="26" s="1"/>
  <c r="V203" i="26"/>
  <c r="AB203" i="26" s="1"/>
  <c r="AE202" i="26"/>
  <c r="X202" i="26"/>
  <c r="AD202" i="26" s="1"/>
  <c r="W202" i="26"/>
  <c r="AC202" i="26" s="1"/>
  <c r="V202" i="26"/>
  <c r="AB202" i="26" s="1"/>
  <c r="AE201" i="26"/>
  <c r="AC201" i="26"/>
  <c r="AB201" i="26"/>
  <c r="X201" i="26"/>
  <c r="AD201" i="26" s="1"/>
  <c r="W201" i="26"/>
  <c r="V201" i="26"/>
  <c r="AE200" i="26"/>
  <c r="X200" i="26"/>
  <c r="AD200" i="26" s="1"/>
  <c r="W200" i="26"/>
  <c r="AC200" i="26" s="1"/>
  <c r="V200" i="26"/>
  <c r="AB200" i="26" s="1"/>
  <c r="AE199" i="26"/>
  <c r="AD199" i="26"/>
  <c r="X199" i="26"/>
  <c r="W199" i="26"/>
  <c r="AC199" i="26" s="1"/>
  <c r="V199" i="26"/>
  <c r="AB199" i="26" s="1"/>
  <c r="AE198" i="26"/>
  <c r="AC198" i="26"/>
  <c r="X198" i="26"/>
  <c r="AD198" i="26" s="1"/>
  <c r="W198" i="26"/>
  <c r="V198" i="26"/>
  <c r="AB198" i="26" s="1"/>
  <c r="AE197" i="26"/>
  <c r="AD197" i="26"/>
  <c r="AB197" i="26"/>
  <c r="X197" i="26"/>
  <c r="W197" i="26"/>
  <c r="AC197" i="26" s="1"/>
  <c r="V197" i="26"/>
  <c r="AE196" i="26"/>
  <c r="AC196" i="26"/>
  <c r="X196" i="26"/>
  <c r="AD196" i="26" s="1"/>
  <c r="W196" i="26"/>
  <c r="V196" i="26"/>
  <c r="AB196" i="26" s="1"/>
  <c r="AE195" i="26"/>
  <c r="X195" i="26"/>
  <c r="AD195" i="26" s="1"/>
  <c r="W195" i="26"/>
  <c r="AC195" i="26" s="1"/>
  <c r="V195" i="26"/>
  <c r="AB195" i="26" s="1"/>
  <c r="AE194" i="26"/>
  <c r="AB194" i="26"/>
  <c r="X194" i="26"/>
  <c r="AD194" i="26" s="1"/>
  <c r="W194" i="26"/>
  <c r="AC194" i="26" s="1"/>
  <c r="V194" i="26"/>
  <c r="AE193" i="26"/>
  <c r="AB193" i="26"/>
  <c r="X193" i="26"/>
  <c r="AD193" i="26" s="1"/>
  <c r="W193" i="26"/>
  <c r="AC193" i="26" s="1"/>
  <c r="V193" i="26"/>
  <c r="AE192" i="26"/>
  <c r="X192" i="26"/>
  <c r="AD192" i="26" s="1"/>
  <c r="W192" i="26"/>
  <c r="AC192" i="26" s="1"/>
  <c r="V192" i="26"/>
  <c r="AB192" i="26" s="1"/>
  <c r="AE191" i="26"/>
  <c r="AD191" i="26"/>
  <c r="AB191" i="26"/>
  <c r="X191" i="26"/>
  <c r="W191" i="26"/>
  <c r="AC191" i="26" s="1"/>
  <c r="V191" i="26"/>
  <c r="AE190" i="26"/>
  <c r="AC190" i="26"/>
  <c r="AB190" i="26"/>
  <c r="X190" i="26"/>
  <c r="AD190" i="26" s="1"/>
  <c r="W190" i="26"/>
  <c r="V190" i="26"/>
  <c r="AE189" i="26"/>
  <c r="AC189" i="26"/>
  <c r="AB189" i="26"/>
  <c r="X189" i="26"/>
  <c r="AD189" i="26" s="1"/>
  <c r="W189" i="26"/>
  <c r="V189" i="26"/>
  <c r="AE188" i="26"/>
  <c r="X188" i="26"/>
  <c r="AD188" i="26" s="1"/>
  <c r="W188" i="26"/>
  <c r="AC188" i="26" s="1"/>
  <c r="V188" i="26"/>
  <c r="AB188" i="26" s="1"/>
  <c r="AE187" i="26"/>
  <c r="AD187" i="26"/>
  <c r="X187" i="26"/>
  <c r="W187" i="26"/>
  <c r="AC187" i="26" s="1"/>
  <c r="V187" i="26"/>
  <c r="AB187" i="26" s="1"/>
  <c r="AE186" i="26"/>
  <c r="AB186" i="26"/>
  <c r="X186" i="26"/>
  <c r="AD186" i="26" s="1"/>
  <c r="W186" i="26"/>
  <c r="AC186" i="26" s="1"/>
  <c r="V186" i="26"/>
  <c r="AE185" i="26"/>
  <c r="X185" i="26"/>
  <c r="AD185" i="26" s="1"/>
  <c r="W185" i="26"/>
  <c r="AC185" i="26" s="1"/>
  <c r="V185" i="26"/>
  <c r="AB185" i="26" s="1"/>
  <c r="AE184" i="26"/>
  <c r="AD184" i="26"/>
  <c r="AC184" i="26"/>
  <c r="X184" i="26"/>
  <c r="W184" i="26"/>
  <c r="V184" i="26"/>
  <c r="AB184" i="26" s="1"/>
  <c r="AE183" i="26"/>
  <c r="X183" i="26"/>
  <c r="AD183" i="26" s="1"/>
  <c r="W183" i="26"/>
  <c r="AC183" i="26" s="1"/>
  <c r="V183" i="26"/>
  <c r="AB183" i="26" s="1"/>
  <c r="AE182" i="26"/>
  <c r="AC182" i="26"/>
  <c r="X182" i="26"/>
  <c r="AD182" i="26" s="1"/>
  <c r="W182" i="26"/>
  <c r="V182" i="26"/>
  <c r="AB182" i="26" s="1"/>
  <c r="AG181" i="26"/>
  <c r="AE181" i="26"/>
  <c r="AC181" i="26"/>
  <c r="X181" i="26"/>
  <c r="AD181" i="26" s="1"/>
  <c r="W181" i="26"/>
  <c r="V181" i="26"/>
  <c r="AB181" i="26" s="1"/>
  <c r="AG180" i="26"/>
  <c r="AE180" i="26"/>
  <c r="AC180" i="26"/>
  <c r="X180" i="26"/>
  <c r="AD180" i="26" s="1"/>
  <c r="W180" i="26"/>
  <c r="V180" i="26"/>
  <c r="AB180" i="26" s="1"/>
  <c r="AG179" i="26"/>
  <c r="AE179" i="26"/>
  <c r="AD179" i="26"/>
  <c r="X179" i="26"/>
  <c r="W179" i="26"/>
  <c r="AC179" i="26" s="1"/>
  <c r="V179" i="26"/>
  <c r="AB179" i="26" s="1"/>
  <c r="AG178" i="26"/>
  <c r="AE178" i="26"/>
  <c r="AB178" i="26"/>
  <c r="X178" i="26"/>
  <c r="AD178" i="26" s="1"/>
  <c r="W178" i="26"/>
  <c r="AC178" i="26" s="1"/>
  <c r="V178" i="26"/>
  <c r="AG177" i="26"/>
  <c r="AE177" i="26"/>
  <c r="AC177" i="26"/>
  <c r="X177" i="26"/>
  <c r="AD177" i="26" s="1"/>
  <c r="W177" i="26"/>
  <c r="V177" i="26"/>
  <c r="AB177" i="26" s="1"/>
  <c r="AG176" i="26"/>
  <c r="AE176" i="26"/>
  <c r="AC176" i="26"/>
  <c r="X176" i="26"/>
  <c r="AD176" i="26" s="1"/>
  <c r="W176" i="26"/>
  <c r="V176" i="26"/>
  <c r="AB176" i="26" s="1"/>
  <c r="AG175" i="26"/>
  <c r="AE175" i="26"/>
  <c r="AB175" i="26"/>
  <c r="X175" i="26"/>
  <c r="AD175" i="26" s="1"/>
  <c r="W175" i="26"/>
  <c r="AC175" i="26" s="1"/>
  <c r="V175" i="26"/>
  <c r="AG174" i="26"/>
  <c r="AE174" i="26"/>
  <c r="X174" i="26"/>
  <c r="AD174" i="26" s="1"/>
  <c r="W174" i="26"/>
  <c r="AC174" i="26" s="1"/>
  <c r="V174" i="26"/>
  <c r="AB174" i="26" s="1"/>
  <c r="AG173" i="26"/>
  <c r="AE173" i="26"/>
  <c r="X173" i="26"/>
  <c r="AD173" i="26" s="1"/>
  <c r="W173" i="26"/>
  <c r="AC173" i="26" s="1"/>
  <c r="V173" i="26"/>
  <c r="AB173" i="26" s="1"/>
  <c r="AG172" i="26"/>
  <c r="AE172" i="26"/>
  <c r="AD172" i="26"/>
  <c r="X172" i="26"/>
  <c r="W172" i="26"/>
  <c r="AC172" i="26" s="1"/>
  <c r="V172" i="26"/>
  <c r="AB172" i="26" s="1"/>
  <c r="AG171" i="26"/>
  <c r="AE171" i="26"/>
  <c r="AD171" i="26"/>
  <c r="X171" i="26"/>
  <c r="W171" i="26"/>
  <c r="AC171" i="26" s="1"/>
  <c r="V171" i="26"/>
  <c r="AB171" i="26" s="1"/>
  <c r="AG170" i="26"/>
  <c r="AE170" i="26"/>
  <c r="AB170" i="26"/>
  <c r="X170" i="26"/>
  <c r="AD170" i="26" s="1"/>
  <c r="W170" i="26"/>
  <c r="AC170" i="26" s="1"/>
  <c r="V170" i="26"/>
  <c r="AG169" i="26"/>
  <c r="AF169" i="26"/>
  <c r="AC169" i="26"/>
  <c r="X169" i="26"/>
  <c r="AD169" i="26" s="1"/>
  <c r="W169" i="26"/>
  <c r="V169" i="26"/>
  <c r="AB169" i="26" s="1"/>
  <c r="AG168" i="26"/>
  <c r="AF168" i="26"/>
  <c r="X168" i="26"/>
  <c r="AD168" i="26" s="1"/>
  <c r="W168" i="26"/>
  <c r="AC168" i="26" s="1"/>
  <c r="V168" i="26"/>
  <c r="AB168" i="26" s="1"/>
  <c r="AG167" i="26"/>
  <c r="AF167" i="26"/>
  <c r="AD167" i="26"/>
  <c r="X167" i="26"/>
  <c r="W167" i="26"/>
  <c r="AC167" i="26" s="1"/>
  <c r="V167" i="26"/>
  <c r="AB167" i="26" s="1"/>
  <c r="AG166" i="26"/>
  <c r="AF166" i="26"/>
  <c r="AC166" i="26"/>
  <c r="X166" i="26"/>
  <c r="AD166" i="26" s="1"/>
  <c r="W166" i="26"/>
  <c r="V166" i="26"/>
  <c r="AB166" i="26" s="1"/>
  <c r="AG165" i="26"/>
  <c r="AF165" i="26"/>
  <c r="AC165" i="26"/>
  <c r="X165" i="26"/>
  <c r="AD165" i="26" s="1"/>
  <c r="W165" i="26"/>
  <c r="V165" i="26"/>
  <c r="AB165" i="26" s="1"/>
  <c r="AG164" i="26"/>
  <c r="AF164" i="26"/>
  <c r="AD164" i="26"/>
  <c r="AC164" i="26"/>
  <c r="X164" i="26"/>
  <c r="W164" i="26"/>
  <c r="V164" i="26"/>
  <c r="AB164" i="26" s="1"/>
  <c r="AG163" i="26"/>
  <c r="AF163" i="26"/>
  <c r="AD163" i="26"/>
  <c r="X163" i="26"/>
  <c r="W163" i="26"/>
  <c r="AC163" i="26" s="1"/>
  <c r="V163" i="26"/>
  <c r="AB163" i="26" s="1"/>
  <c r="AG162" i="26"/>
  <c r="AF162" i="26"/>
  <c r="AB162" i="26"/>
  <c r="X162" i="26"/>
  <c r="AD162" i="26" s="1"/>
  <c r="W162" i="26"/>
  <c r="AC162" i="26" s="1"/>
  <c r="V162" i="26"/>
  <c r="AG161" i="26"/>
  <c r="AF161" i="26"/>
  <c r="X161" i="26"/>
  <c r="AD161" i="26" s="1"/>
  <c r="W161" i="26"/>
  <c r="AC161" i="26" s="1"/>
  <c r="V161" i="26"/>
  <c r="AB161" i="26" s="1"/>
  <c r="AG160" i="26"/>
  <c r="AF160" i="26"/>
  <c r="X160" i="26"/>
  <c r="AD160" i="26" s="1"/>
  <c r="W160" i="26"/>
  <c r="AC160" i="26" s="1"/>
  <c r="V160" i="26"/>
  <c r="AB160" i="26" s="1"/>
  <c r="AG159" i="26"/>
  <c r="AF159" i="26"/>
  <c r="AD159" i="26"/>
  <c r="AB159" i="26"/>
  <c r="X159" i="26"/>
  <c r="W159" i="26"/>
  <c r="AC159" i="26" s="1"/>
  <c r="V159" i="26"/>
  <c r="AG158" i="26"/>
  <c r="AF158" i="26"/>
  <c r="AC158" i="26"/>
  <c r="X158" i="26"/>
  <c r="AD158" i="26" s="1"/>
  <c r="W158" i="26"/>
  <c r="V158" i="26"/>
  <c r="AB158" i="26" s="1"/>
  <c r="AG157" i="26"/>
  <c r="AE157" i="26"/>
  <c r="AC157" i="26"/>
  <c r="X157" i="26"/>
  <c r="AD157" i="26" s="1"/>
  <c r="W157" i="26"/>
  <c r="V157" i="26"/>
  <c r="AB157" i="26" s="1"/>
  <c r="AG156" i="26"/>
  <c r="AE156" i="26"/>
  <c r="AD156" i="26"/>
  <c r="X156" i="26"/>
  <c r="W156" i="26"/>
  <c r="AC156" i="26" s="1"/>
  <c r="V156" i="26"/>
  <c r="AB156" i="26" s="1"/>
  <c r="AG155" i="26"/>
  <c r="AE155" i="26"/>
  <c r="AD155" i="26"/>
  <c r="X155" i="26"/>
  <c r="W155" i="26"/>
  <c r="AC155" i="26" s="1"/>
  <c r="V155" i="26"/>
  <c r="AB155" i="26" s="1"/>
  <c r="AG154" i="26"/>
  <c r="AE154" i="26"/>
  <c r="X154" i="26"/>
  <c r="AD154" i="26" s="1"/>
  <c r="W154" i="26"/>
  <c r="AC154" i="26" s="1"/>
  <c r="V154" i="26"/>
  <c r="AB154" i="26" s="1"/>
  <c r="AG153" i="26"/>
  <c r="AE153" i="26"/>
  <c r="AC153" i="26"/>
  <c r="X153" i="26"/>
  <c r="AD153" i="26" s="1"/>
  <c r="W153" i="26"/>
  <c r="V153" i="26"/>
  <c r="AB153" i="26" s="1"/>
  <c r="AG152" i="26"/>
  <c r="AE152" i="26"/>
  <c r="X152" i="26"/>
  <c r="AD152" i="26" s="1"/>
  <c r="W152" i="26"/>
  <c r="AC152" i="26" s="1"/>
  <c r="V152" i="26"/>
  <c r="AB152" i="26" s="1"/>
  <c r="AG151" i="26"/>
  <c r="AE151" i="26"/>
  <c r="AD151" i="26"/>
  <c r="AB151" i="26"/>
  <c r="X151" i="26"/>
  <c r="W151" i="26"/>
  <c r="AC151" i="26" s="1"/>
  <c r="V151" i="26"/>
  <c r="AG150" i="26"/>
  <c r="AE150" i="26"/>
  <c r="AC150" i="26"/>
  <c r="X150" i="26"/>
  <c r="AD150" i="26" s="1"/>
  <c r="W150" i="26"/>
  <c r="V150" i="26"/>
  <c r="AB150" i="26" s="1"/>
  <c r="AG149" i="26"/>
  <c r="AE149" i="26"/>
  <c r="AC149" i="26"/>
  <c r="AB149" i="26"/>
  <c r="X149" i="26"/>
  <c r="AD149" i="26" s="1"/>
  <c r="W149" i="26"/>
  <c r="V149" i="26"/>
  <c r="AG148" i="26"/>
  <c r="AE148" i="26"/>
  <c r="AC148" i="26"/>
  <c r="X148" i="26"/>
  <c r="AD148" i="26" s="1"/>
  <c r="W148" i="26"/>
  <c r="V148" i="26"/>
  <c r="AB148" i="26" s="1"/>
  <c r="AG147" i="26"/>
  <c r="AE147" i="26"/>
  <c r="AD147" i="26"/>
  <c r="X147" i="26"/>
  <c r="W147" i="26"/>
  <c r="AC147" i="26" s="1"/>
  <c r="V147" i="26"/>
  <c r="AB147" i="26" s="1"/>
  <c r="AG146" i="26"/>
  <c r="AE146" i="26"/>
  <c r="AB146" i="26"/>
  <c r="X146" i="26"/>
  <c r="AD146" i="26" s="1"/>
  <c r="W146" i="26"/>
  <c r="AC146" i="26" s="1"/>
  <c r="V146" i="26"/>
  <c r="AE145" i="26"/>
  <c r="AB145" i="26"/>
  <c r="X145" i="26"/>
  <c r="AD145" i="26" s="1"/>
  <c r="W145" i="26"/>
  <c r="AC145" i="26" s="1"/>
  <c r="V145" i="26"/>
  <c r="AE144" i="26"/>
  <c r="X144" i="26"/>
  <c r="AD144" i="26" s="1"/>
  <c r="W144" i="26"/>
  <c r="AC144" i="26" s="1"/>
  <c r="V144" i="26"/>
  <c r="AB144" i="26" s="1"/>
  <c r="AE143" i="26"/>
  <c r="AD143" i="26"/>
  <c r="X143" i="26"/>
  <c r="W143" i="26"/>
  <c r="AC143" i="26" s="1"/>
  <c r="V143" i="26"/>
  <c r="AB143" i="26" s="1"/>
  <c r="AE142" i="26"/>
  <c r="AC142" i="26"/>
  <c r="X142" i="26"/>
  <c r="AD142" i="26" s="1"/>
  <c r="W142" i="26"/>
  <c r="V142" i="26"/>
  <c r="AB142" i="26" s="1"/>
  <c r="AE141" i="26"/>
  <c r="AD141" i="26"/>
  <c r="AC141" i="26"/>
  <c r="AB141" i="26"/>
  <c r="X141" i="26"/>
  <c r="W141" i="26"/>
  <c r="V141" i="26"/>
  <c r="AE140" i="26"/>
  <c r="AC140" i="26"/>
  <c r="X140" i="26"/>
  <c r="AD140" i="26" s="1"/>
  <c r="W140" i="26"/>
  <c r="V140" i="26"/>
  <c r="AB140" i="26" s="1"/>
  <c r="AE139" i="26"/>
  <c r="X139" i="26"/>
  <c r="AD139" i="26" s="1"/>
  <c r="W139" i="26"/>
  <c r="AC139" i="26" s="1"/>
  <c r="V139" i="26"/>
  <c r="AB139" i="26" s="1"/>
  <c r="AE138" i="26"/>
  <c r="AB138" i="26"/>
  <c r="X138" i="26"/>
  <c r="AD138" i="26" s="1"/>
  <c r="W138" i="26"/>
  <c r="AC138" i="26" s="1"/>
  <c r="V138" i="26"/>
  <c r="AE137" i="26"/>
  <c r="AB137" i="26"/>
  <c r="X137" i="26"/>
  <c r="AD137" i="26" s="1"/>
  <c r="W137" i="26"/>
  <c r="AC137" i="26" s="1"/>
  <c r="V137" i="26"/>
  <c r="AE136" i="26"/>
  <c r="AC136" i="26"/>
  <c r="X136" i="26"/>
  <c r="AD136" i="26" s="1"/>
  <c r="W136" i="26"/>
  <c r="V136" i="26"/>
  <c r="AB136" i="26" s="1"/>
  <c r="AE135" i="26"/>
  <c r="X135" i="26"/>
  <c r="AD135" i="26" s="1"/>
  <c r="W135" i="26"/>
  <c r="AC135" i="26" s="1"/>
  <c r="V135" i="26"/>
  <c r="AB135" i="26" s="1"/>
  <c r="AE134" i="26"/>
  <c r="AC134" i="26"/>
  <c r="X134" i="26"/>
  <c r="AD134" i="26" s="1"/>
  <c r="W134" i="26"/>
  <c r="V134" i="26"/>
  <c r="AB134" i="26" s="1"/>
  <c r="AE133" i="26"/>
  <c r="AB133" i="26"/>
  <c r="X133" i="26"/>
  <c r="AD133" i="26" s="1"/>
  <c r="W133" i="26"/>
  <c r="AC133" i="26" s="1"/>
  <c r="V133" i="26"/>
  <c r="AE132" i="26"/>
  <c r="AD132" i="26"/>
  <c r="X132" i="26"/>
  <c r="W132" i="26"/>
  <c r="AC132" i="26" s="1"/>
  <c r="V132" i="26"/>
  <c r="AB132" i="26" s="1"/>
  <c r="AE131" i="26"/>
  <c r="X131" i="26"/>
  <c r="AD131" i="26" s="1"/>
  <c r="W131" i="26"/>
  <c r="AC131" i="26" s="1"/>
  <c r="V131" i="26"/>
  <c r="AB131" i="26" s="1"/>
  <c r="AE130" i="26"/>
  <c r="AB130" i="26"/>
  <c r="X130" i="26"/>
  <c r="AD130" i="26" s="1"/>
  <c r="W130" i="26"/>
  <c r="AC130" i="26" s="1"/>
  <c r="V130" i="26"/>
  <c r="AE129" i="26"/>
  <c r="X129" i="26"/>
  <c r="AD129" i="26" s="1"/>
  <c r="W129" i="26"/>
  <c r="AC129" i="26" s="1"/>
  <c r="V129" i="26"/>
  <c r="AB129" i="26" s="1"/>
  <c r="AE128" i="26"/>
  <c r="AC128" i="26"/>
  <c r="X128" i="26"/>
  <c r="AD128" i="26" s="1"/>
  <c r="W128" i="26"/>
  <c r="V128" i="26"/>
  <c r="AB128" i="26" s="1"/>
  <c r="AE127" i="26"/>
  <c r="AB127" i="26"/>
  <c r="X127" i="26"/>
  <c r="AD127" i="26" s="1"/>
  <c r="W127" i="26"/>
  <c r="AC127" i="26" s="1"/>
  <c r="V127" i="26"/>
  <c r="AE126" i="26"/>
  <c r="X126" i="26"/>
  <c r="AD126" i="26" s="1"/>
  <c r="W126" i="26"/>
  <c r="AC126" i="26" s="1"/>
  <c r="V126" i="26"/>
  <c r="AB126" i="26" s="1"/>
  <c r="AE125" i="26"/>
  <c r="AC125" i="26"/>
  <c r="X125" i="26"/>
  <c r="AD125" i="26" s="1"/>
  <c r="W125" i="26"/>
  <c r="V125" i="26"/>
  <c r="AB125" i="26" s="1"/>
  <c r="AE124" i="26"/>
  <c r="AD124" i="26"/>
  <c r="X124" i="26"/>
  <c r="W124" i="26"/>
  <c r="AC124" i="26" s="1"/>
  <c r="V124" i="26"/>
  <c r="AB124" i="26" s="1"/>
  <c r="AE123" i="26"/>
  <c r="X123" i="26"/>
  <c r="AD123" i="26" s="1"/>
  <c r="W123" i="26"/>
  <c r="AC123" i="26" s="1"/>
  <c r="V123" i="26"/>
  <c r="AB123" i="26" s="1"/>
  <c r="AE122" i="26"/>
  <c r="AC122" i="26"/>
  <c r="X122" i="26"/>
  <c r="AD122" i="26" s="1"/>
  <c r="W122" i="26"/>
  <c r="V122" i="26"/>
  <c r="AB122" i="26" s="1"/>
  <c r="AG121" i="26"/>
  <c r="AF121" i="26"/>
  <c r="AC121" i="26"/>
  <c r="X121" i="26"/>
  <c r="AD121" i="26" s="1"/>
  <c r="W121" i="26"/>
  <c r="V121" i="26"/>
  <c r="AB121" i="26" s="1"/>
  <c r="AG120" i="26"/>
  <c r="AF120" i="26"/>
  <c r="AD120" i="26"/>
  <c r="AC120" i="26"/>
  <c r="X120" i="26"/>
  <c r="W120" i="26"/>
  <c r="V120" i="26"/>
  <c r="AB120" i="26" s="1"/>
  <c r="AG119" i="26"/>
  <c r="AF119" i="26"/>
  <c r="AD119" i="26"/>
  <c r="X119" i="26"/>
  <c r="W119" i="26"/>
  <c r="AC119" i="26" s="1"/>
  <c r="V119" i="26"/>
  <c r="AB119" i="26" s="1"/>
  <c r="AG118" i="26"/>
  <c r="AF118" i="26"/>
  <c r="AB118" i="26"/>
  <c r="X118" i="26"/>
  <c r="AD118" i="26" s="1"/>
  <c r="W118" i="26"/>
  <c r="AC118" i="26" s="1"/>
  <c r="V118" i="26"/>
  <c r="AG117" i="26"/>
  <c r="AF117" i="26"/>
  <c r="X117" i="26"/>
  <c r="AD117" i="26" s="1"/>
  <c r="W117" i="26"/>
  <c r="AC117" i="26" s="1"/>
  <c r="V117" i="26"/>
  <c r="AB117" i="26" s="1"/>
  <c r="AG116" i="26"/>
  <c r="AF116" i="26"/>
  <c r="AD116" i="26"/>
  <c r="X116" i="26"/>
  <c r="W116" i="26"/>
  <c r="AC116" i="26" s="1"/>
  <c r="V116" i="26"/>
  <c r="AB116" i="26" s="1"/>
  <c r="AG115" i="26"/>
  <c r="AF115" i="26"/>
  <c r="AB115" i="26"/>
  <c r="X115" i="26"/>
  <c r="AD115" i="26" s="1"/>
  <c r="W115" i="26"/>
  <c r="AC115" i="26" s="1"/>
  <c r="V115" i="26"/>
  <c r="AG114" i="26"/>
  <c r="AF114" i="26"/>
  <c r="AC114" i="26"/>
  <c r="AB114" i="26"/>
  <c r="X114" i="26"/>
  <c r="AD114" i="26" s="1"/>
  <c r="W114" i="26"/>
  <c r="V114" i="26"/>
  <c r="AG113" i="26"/>
  <c r="AF113" i="26"/>
  <c r="AC113" i="26"/>
  <c r="X113" i="26"/>
  <c r="AD113" i="26" s="1"/>
  <c r="W113" i="26"/>
  <c r="V113" i="26"/>
  <c r="AB113" i="26" s="1"/>
  <c r="AG112" i="26"/>
  <c r="AF112" i="26"/>
  <c r="AC112" i="26"/>
  <c r="X112" i="26"/>
  <c r="AD112" i="26" s="1"/>
  <c r="W112" i="26"/>
  <c r="V112" i="26"/>
  <c r="AB112" i="26" s="1"/>
  <c r="AG111" i="26"/>
  <c r="AF111" i="26"/>
  <c r="AD111" i="26"/>
  <c r="X111" i="26"/>
  <c r="W111" i="26"/>
  <c r="AC111" i="26" s="1"/>
  <c r="V111" i="26"/>
  <c r="AB111" i="26" s="1"/>
  <c r="AG110" i="26"/>
  <c r="AF110" i="26"/>
  <c r="AB110" i="26"/>
  <c r="X110" i="26"/>
  <c r="AD110" i="26" s="1"/>
  <c r="W110" i="26"/>
  <c r="AC110" i="26" s="1"/>
  <c r="V110" i="26"/>
  <c r="AG109" i="26"/>
  <c r="AF109" i="26"/>
  <c r="X109" i="26"/>
  <c r="AD109" i="26" s="1"/>
  <c r="W109" i="26"/>
  <c r="AC109" i="26" s="1"/>
  <c r="V109" i="26"/>
  <c r="AB109" i="26" s="1"/>
  <c r="AG108" i="26"/>
  <c r="AF108" i="26"/>
  <c r="AD108" i="26"/>
  <c r="X108" i="26"/>
  <c r="W108" i="26"/>
  <c r="AC108" i="26" s="1"/>
  <c r="V108" i="26"/>
  <c r="AB108" i="26" s="1"/>
  <c r="AG107" i="26"/>
  <c r="AF107" i="26"/>
  <c r="X107" i="26"/>
  <c r="AD107" i="26" s="1"/>
  <c r="W107" i="26"/>
  <c r="AC107" i="26" s="1"/>
  <c r="V107" i="26"/>
  <c r="AB107" i="26" s="1"/>
  <c r="AG106" i="26"/>
  <c r="AF106" i="26"/>
  <c r="AC106" i="26"/>
  <c r="X106" i="26"/>
  <c r="AD106" i="26" s="1"/>
  <c r="W106" i="26"/>
  <c r="V106" i="26"/>
  <c r="AB106" i="26" s="1"/>
  <c r="AG105" i="26"/>
  <c r="AF105" i="26"/>
  <c r="AC105" i="26"/>
  <c r="X105" i="26"/>
  <c r="AD105" i="26" s="1"/>
  <c r="W105" i="26"/>
  <c r="V105" i="26"/>
  <c r="AB105" i="26" s="1"/>
  <c r="AG104" i="26"/>
  <c r="AF104" i="26"/>
  <c r="AD104" i="26"/>
  <c r="X104" i="26"/>
  <c r="W104" i="26"/>
  <c r="AC104" i="26" s="1"/>
  <c r="V104" i="26"/>
  <c r="AB104" i="26" s="1"/>
  <c r="AG103" i="26"/>
  <c r="AF103" i="26"/>
  <c r="AD103" i="26"/>
  <c r="X103" i="26"/>
  <c r="W103" i="26"/>
  <c r="AC103" i="26" s="1"/>
  <c r="V103" i="26"/>
  <c r="AB103" i="26" s="1"/>
  <c r="AG102" i="26"/>
  <c r="AF102" i="26"/>
  <c r="AB102" i="26"/>
  <c r="X102" i="26"/>
  <c r="AD102" i="26" s="1"/>
  <c r="W102" i="26"/>
  <c r="AC102" i="26" s="1"/>
  <c r="V102" i="26"/>
  <c r="AG101" i="26"/>
  <c r="AF101" i="26"/>
  <c r="X101" i="26"/>
  <c r="AD101" i="26" s="1"/>
  <c r="W101" i="26"/>
  <c r="AC101" i="26" s="1"/>
  <c r="V101" i="26"/>
  <c r="AB101" i="26" s="1"/>
  <c r="AG100" i="26"/>
  <c r="AF100" i="26"/>
  <c r="AD100" i="26"/>
  <c r="X100" i="26"/>
  <c r="W100" i="26"/>
  <c r="AC100" i="26" s="1"/>
  <c r="V100" i="26"/>
  <c r="AB100" i="26" s="1"/>
  <c r="AG99" i="26"/>
  <c r="AF99" i="26"/>
  <c r="AB99" i="26"/>
  <c r="X99" i="26"/>
  <c r="AD99" i="26" s="1"/>
  <c r="W99" i="26"/>
  <c r="AC99" i="26" s="1"/>
  <c r="V99" i="26"/>
  <c r="AG98" i="26"/>
  <c r="AF98" i="26"/>
  <c r="AC98" i="26"/>
  <c r="X98" i="26"/>
  <c r="AD98" i="26" s="1"/>
  <c r="W98" i="26"/>
  <c r="V98" i="26"/>
  <c r="AB98" i="26" s="1"/>
  <c r="AE97" i="26"/>
  <c r="AD97" i="26"/>
  <c r="AB97" i="26"/>
  <c r="X97" i="26"/>
  <c r="W97" i="26"/>
  <c r="AC97" i="26" s="1"/>
  <c r="V97" i="26"/>
  <c r="AE96" i="26"/>
  <c r="AC96" i="26"/>
  <c r="X96" i="26"/>
  <c r="AD96" i="26" s="1"/>
  <c r="W96" i="26"/>
  <c r="V96" i="26"/>
  <c r="AB96" i="26" s="1"/>
  <c r="AE95" i="26"/>
  <c r="X95" i="26"/>
  <c r="AD95" i="26" s="1"/>
  <c r="W95" i="26"/>
  <c r="AC95" i="26" s="1"/>
  <c r="V95" i="26"/>
  <c r="AB95" i="26" s="1"/>
  <c r="AE94" i="26"/>
  <c r="AB94" i="26"/>
  <c r="X94" i="26"/>
  <c r="AD94" i="26" s="1"/>
  <c r="W94" i="26"/>
  <c r="AC94" i="26" s="1"/>
  <c r="V94" i="26"/>
  <c r="AE93" i="26"/>
  <c r="AC93" i="26"/>
  <c r="X93" i="26"/>
  <c r="AD93" i="26" s="1"/>
  <c r="W93" i="26"/>
  <c r="V93" i="26"/>
  <c r="AB93" i="26" s="1"/>
  <c r="AE92" i="26"/>
  <c r="AD92" i="26"/>
  <c r="X92" i="26"/>
  <c r="W92" i="26"/>
  <c r="AC92" i="26" s="1"/>
  <c r="V92" i="26"/>
  <c r="AB92" i="26" s="1"/>
  <c r="AE91" i="26"/>
  <c r="AB91" i="26"/>
  <c r="X91" i="26"/>
  <c r="AD91" i="26" s="1"/>
  <c r="W91" i="26"/>
  <c r="AC91" i="26" s="1"/>
  <c r="V91" i="26"/>
  <c r="AE90" i="26"/>
  <c r="AB90" i="26"/>
  <c r="X90" i="26"/>
  <c r="AD90" i="26" s="1"/>
  <c r="W90" i="26"/>
  <c r="AC90" i="26" s="1"/>
  <c r="V90" i="26"/>
  <c r="AE89" i="26"/>
  <c r="AC89" i="26"/>
  <c r="X89" i="26"/>
  <c r="AD89" i="26" s="1"/>
  <c r="W89" i="26"/>
  <c r="V89" i="26"/>
  <c r="AB89" i="26" s="1"/>
  <c r="AE88" i="26"/>
  <c r="AD88" i="26"/>
  <c r="X88" i="26"/>
  <c r="W88" i="26"/>
  <c r="AC88" i="26" s="1"/>
  <c r="V88" i="26"/>
  <c r="AB88" i="26" s="1"/>
  <c r="AE87" i="26"/>
  <c r="X87" i="26"/>
  <c r="AD87" i="26" s="1"/>
  <c r="W87" i="26"/>
  <c r="AC87" i="26" s="1"/>
  <c r="V87" i="26"/>
  <c r="AB87" i="26" s="1"/>
  <c r="AE86" i="26"/>
  <c r="AB86" i="26"/>
  <c r="X86" i="26"/>
  <c r="AD86" i="26" s="1"/>
  <c r="W86" i="26"/>
  <c r="AC86" i="26" s="1"/>
  <c r="V86" i="26"/>
  <c r="AE85" i="26"/>
  <c r="X85" i="26"/>
  <c r="AD85" i="26" s="1"/>
  <c r="W85" i="26"/>
  <c r="AC85" i="26" s="1"/>
  <c r="V85" i="26"/>
  <c r="AB85" i="26" s="1"/>
  <c r="AE84" i="26"/>
  <c r="X84" i="26"/>
  <c r="AD84" i="26" s="1"/>
  <c r="W84" i="26"/>
  <c r="AC84" i="26" s="1"/>
  <c r="V84" i="26"/>
  <c r="AB84" i="26" s="1"/>
  <c r="AE83" i="26"/>
  <c r="AB83" i="26"/>
  <c r="X83" i="26"/>
  <c r="AD83" i="26" s="1"/>
  <c r="W83" i="26"/>
  <c r="AC83" i="26" s="1"/>
  <c r="V83" i="26"/>
  <c r="AE82" i="26"/>
  <c r="AB82" i="26"/>
  <c r="X82" i="26"/>
  <c r="AD82" i="26" s="1"/>
  <c r="W82" i="26"/>
  <c r="AC82" i="26" s="1"/>
  <c r="V82" i="26"/>
  <c r="AE81" i="26"/>
  <c r="AC81" i="26"/>
  <c r="X81" i="26"/>
  <c r="AD81" i="26" s="1"/>
  <c r="W81" i="26"/>
  <c r="V81" i="26"/>
  <c r="AB81" i="26" s="1"/>
  <c r="AE80" i="26"/>
  <c r="AC80" i="26"/>
  <c r="X80" i="26"/>
  <c r="AD80" i="26" s="1"/>
  <c r="W80" i="26"/>
  <c r="V80" i="26"/>
  <c r="AB80" i="26" s="1"/>
  <c r="AE79" i="26"/>
  <c r="X79" i="26"/>
  <c r="AD79" i="26" s="1"/>
  <c r="W79" i="26"/>
  <c r="AC79" i="26" s="1"/>
  <c r="V79" i="26"/>
  <c r="AB79" i="26" s="1"/>
  <c r="AE78" i="26"/>
  <c r="AB78" i="26"/>
  <c r="X78" i="26"/>
  <c r="AD78" i="26" s="1"/>
  <c r="W78" i="26"/>
  <c r="AC78" i="26" s="1"/>
  <c r="V78" i="26"/>
  <c r="AE77" i="26"/>
  <c r="AC77" i="26"/>
  <c r="X77" i="26"/>
  <c r="AD77" i="26" s="1"/>
  <c r="W77" i="26"/>
  <c r="V77" i="26"/>
  <c r="AB77" i="26" s="1"/>
  <c r="AE76" i="26"/>
  <c r="AD76" i="26"/>
  <c r="X76" i="26"/>
  <c r="W76" i="26"/>
  <c r="AC76" i="26" s="1"/>
  <c r="V76" i="26"/>
  <c r="AB76" i="26" s="1"/>
  <c r="AE75" i="26"/>
  <c r="AB75" i="26"/>
  <c r="X75" i="26"/>
  <c r="AD75" i="26" s="1"/>
  <c r="W75" i="26"/>
  <c r="AC75" i="26" s="1"/>
  <c r="V75" i="26"/>
  <c r="AE74" i="26"/>
  <c r="AB74" i="26"/>
  <c r="X74" i="26"/>
  <c r="AD74" i="26" s="1"/>
  <c r="W74" i="26"/>
  <c r="AC74" i="26" s="1"/>
  <c r="V74" i="26"/>
  <c r="AG73" i="26"/>
  <c r="AF73" i="26"/>
  <c r="AD73" i="26"/>
  <c r="AB73" i="26"/>
  <c r="X73" i="26"/>
  <c r="W73" i="26"/>
  <c r="AC73" i="26" s="1"/>
  <c r="V73" i="26"/>
  <c r="AG72" i="26"/>
  <c r="AF72" i="26"/>
  <c r="AC72" i="26"/>
  <c r="X72" i="26"/>
  <c r="AD72" i="26" s="1"/>
  <c r="W72" i="26"/>
  <c r="V72" i="26"/>
  <c r="AB72" i="26" s="1"/>
  <c r="AG71" i="26"/>
  <c r="AF71" i="26"/>
  <c r="X71" i="26"/>
  <c r="AD71" i="26" s="1"/>
  <c r="W71" i="26"/>
  <c r="AC71" i="26" s="1"/>
  <c r="V71" i="26"/>
  <c r="AB71" i="26" s="1"/>
  <c r="AG70" i="26"/>
  <c r="AF70" i="26"/>
  <c r="X70" i="26"/>
  <c r="AD70" i="26" s="1"/>
  <c r="W70" i="26"/>
  <c r="AC70" i="26" s="1"/>
  <c r="V70" i="26"/>
  <c r="AB70" i="26" s="1"/>
  <c r="AG69" i="26"/>
  <c r="AF69" i="26"/>
  <c r="AC69" i="26"/>
  <c r="X69" i="26"/>
  <c r="AD69" i="26" s="1"/>
  <c r="W69" i="26"/>
  <c r="V69" i="26"/>
  <c r="AB69" i="26" s="1"/>
  <c r="AG68" i="26"/>
  <c r="AF68" i="26"/>
  <c r="X68" i="26"/>
  <c r="AD68" i="26" s="1"/>
  <c r="W68" i="26"/>
  <c r="AC68" i="26" s="1"/>
  <c r="V68" i="26"/>
  <c r="AB68" i="26" s="1"/>
  <c r="AG67" i="26"/>
  <c r="AF67" i="26"/>
  <c r="X67" i="26"/>
  <c r="AD67" i="26" s="1"/>
  <c r="W67" i="26"/>
  <c r="AC67" i="26" s="1"/>
  <c r="V67" i="26"/>
  <c r="AB67" i="26" s="1"/>
  <c r="AG66" i="26"/>
  <c r="AF66" i="26"/>
  <c r="AB66" i="26"/>
  <c r="X66" i="26"/>
  <c r="AD66" i="26" s="1"/>
  <c r="W66" i="26"/>
  <c r="AC66" i="26" s="1"/>
  <c r="V66" i="26"/>
  <c r="AG65" i="26"/>
  <c r="AF65" i="26"/>
  <c r="AD65" i="26"/>
  <c r="AB65" i="26"/>
  <c r="X65" i="26"/>
  <c r="W65" i="26"/>
  <c r="AC65" i="26" s="1"/>
  <c r="V65" i="26"/>
  <c r="AG64" i="26"/>
  <c r="AF64" i="26"/>
  <c r="X64" i="26"/>
  <c r="AD64" i="26" s="1"/>
  <c r="W64" i="26"/>
  <c r="AC64" i="26" s="1"/>
  <c r="V64" i="26"/>
  <c r="AB64" i="26" s="1"/>
  <c r="AG63" i="26"/>
  <c r="AF63" i="26"/>
  <c r="X63" i="26"/>
  <c r="AD63" i="26" s="1"/>
  <c r="W63" i="26"/>
  <c r="AC63" i="26" s="1"/>
  <c r="V63" i="26"/>
  <c r="AB63" i="26" s="1"/>
  <c r="AG62" i="26"/>
  <c r="AF62" i="26"/>
  <c r="X62" i="26"/>
  <c r="AD62" i="26" s="1"/>
  <c r="W62" i="26"/>
  <c r="AC62" i="26" s="1"/>
  <c r="V62" i="26"/>
  <c r="AB62" i="26" s="1"/>
  <c r="AG61" i="26"/>
  <c r="AF61" i="26"/>
  <c r="X61" i="26"/>
  <c r="AD61" i="26" s="1"/>
  <c r="W61" i="26"/>
  <c r="AC61" i="26" s="1"/>
  <c r="V61" i="26"/>
  <c r="AB61" i="26" s="1"/>
  <c r="AG60" i="26"/>
  <c r="AF60" i="26"/>
  <c r="X60" i="26"/>
  <c r="AD60" i="26" s="1"/>
  <c r="W60" i="26"/>
  <c r="AC60" i="26" s="1"/>
  <c r="V60" i="26"/>
  <c r="AB60" i="26" s="1"/>
  <c r="AG59" i="26"/>
  <c r="AF59" i="26"/>
  <c r="X59" i="26"/>
  <c r="AD59" i="26" s="1"/>
  <c r="W59" i="26"/>
  <c r="AC59" i="26" s="1"/>
  <c r="V59" i="26"/>
  <c r="AB59" i="26" s="1"/>
  <c r="AG58" i="26"/>
  <c r="AF58" i="26"/>
  <c r="AB58" i="26"/>
  <c r="X58" i="26"/>
  <c r="AD58" i="26" s="1"/>
  <c r="W58" i="26"/>
  <c r="AC58" i="26" s="1"/>
  <c r="V58" i="26"/>
  <c r="AG57" i="26"/>
  <c r="AF57" i="26"/>
  <c r="AD57" i="26"/>
  <c r="AB57" i="26"/>
  <c r="X57" i="26"/>
  <c r="W57" i="26"/>
  <c r="AC57" i="26" s="1"/>
  <c r="V57" i="26"/>
  <c r="AG56" i="26"/>
  <c r="AF56" i="26"/>
  <c r="AC56" i="26"/>
  <c r="X56" i="26"/>
  <c r="AD56" i="26" s="1"/>
  <c r="W56" i="26"/>
  <c r="V56" i="26"/>
  <c r="AB56" i="26" s="1"/>
  <c r="AG55" i="26"/>
  <c r="AF55" i="26"/>
  <c r="X55" i="26"/>
  <c r="AD55" i="26" s="1"/>
  <c r="W55" i="26"/>
  <c r="AC55" i="26" s="1"/>
  <c r="V55" i="26"/>
  <c r="AB55" i="26" s="1"/>
  <c r="AG54" i="26"/>
  <c r="AF54" i="26"/>
  <c r="X54" i="26"/>
  <c r="AD54" i="26" s="1"/>
  <c r="W54" i="26"/>
  <c r="AC54" i="26" s="1"/>
  <c r="V54" i="26"/>
  <c r="AB54" i="26" s="1"/>
  <c r="AG53" i="26"/>
  <c r="AF53" i="26"/>
  <c r="AC53" i="26"/>
  <c r="X53" i="26"/>
  <c r="AD53" i="26" s="1"/>
  <c r="W53" i="26"/>
  <c r="V53" i="26"/>
  <c r="AB53" i="26" s="1"/>
  <c r="AG52" i="26"/>
  <c r="AF52" i="26"/>
  <c r="X52" i="26"/>
  <c r="AD52" i="26" s="1"/>
  <c r="W52" i="26"/>
  <c r="AC52" i="26" s="1"/>
  <c r="V52" i="26"/>
  <c r="AB52" i="26" s="1"/>
  <c r="AG51" i="26"/>
  <c r="AF51" i="26"/>
  <c r="X51" i="26"/>
  <c r="AD51" i="26" s="1"/>
  <c r="W51" i="26"/>
  <c r="AC51" i="26" s="1"/>
  <c r="V51" i="26"/>
  <c r="AB51" i="26" s="1"/>
  <c r="AG50" i="26"/>
  <c r="AF50" i="26"/>
  <c r="AB50" i="26"/>
  <c r="X50" i="26"/>
  <c r="AD50" i="26" s="1"/>
  <c r="W50" i="26"/>
  <c r="AC50" i="26" s="1"/>
  <c r="V50" i="26"/>
  <c r="AG49" i="26"/>
  <c r="AC49" i="26"/>
  <c r="X49" i="26"/>
  <c r="AD49" i="26" s="1"/>
  <c r="W49" i="26"/>
  <c r="V49" i="26"/>
  <c r="AB49" i="26" s="1"/>
  <c r="AG48" i="26"/>
  <c r="AC48" i="26"/>
  <c r="X48" i="26"/>
  <c r="AD48" i="26" s="1"/>
  <c r="W48" i="26"/>
  <c r="V48" i="26"/>
  <c r="AB48" i="26" s="1"/>
  <c r="AG47" i="26"/>
  <c r="AD47" i="26"/>
  <c r="X47" i="26"/>
  <c r="W47" i="26"/>
  <c r="AC47" i="26" s="1"/>
  <c r="V47" i="26"/>
  <c r="AB47" i="26" s="1"/>
  <c r="AG46" i="26"/>
  <c r="X46" i="26"/>
  <c r="AD46" i="26" s="1"/>
  <c r="W46" i="26"/>
  <c r="AC46" i="26" s="1"/>
  <c r="V46" i="26"/>
  <c r="AB46" i="26" s="1"/>
  <c r="AG45" i="26"/>
  <c r="X45" i="26"/>
  <c r="AD45" i="26" s="1"/>
  <c r="W45" i="26"/>
  <c r="AC45" i="26" s="1"/>
  <c r="V45" i="26"/>
  <c r="AB45" i="26" s="1"/>
  <c r="AG44" i="26"/>
  <c r="X44" i="26"/>
  <c r="AD44" i="26" s="1"/>
  <c r="W44" i="26"/>
  <c r="AC44" i="26" s="1"/>
  <c r="V44" i="26"/>
  <c r="AB44" i="26" s="1"/>
  <c r="AG43" i="26"/>
  <c r="AB43" i="26"/>
  <c r="X43" i="26"/>
  <c r="AD43" i="26" s="1"/>
  <c r="W43" i="26"/>
  <c r="AC43" i="26" s="1"/>
  <c r="V43" i="26"/>
  <c r="AG42" i="26"/>
  <c r="AB42" i="26"/>
  <c r="X42" i="26"/>
  <c r="AD42" i="26" s="1"/>
  <c r="W42" i="26"/>
  <c r="AC42" i="26" s="1"/>
  <c r="V42" i="26"/>
  <c r="AG41" i="26"/>
  <c r="AC41" i="26"/>
  <c r="X41" i="26"/>
  <c r="AD41" i="26" s="1"/>
  <c r="W41" i="26"/>
  <c r="V41" i="26"/>
  <c r="AB41" i="26" s="1"/>
  <c r="AG40" i="26"/>
  <c r="AD40" i="26"/>
  <c r="X40" i="26"/>
  <c r="W40" i="26"/>
  <c r="AC40" i="26" s="1"/>
  <c r="V40" i="26"/>
  <c r="AB40" i="26" s="1"/>
  <c r="AG39" i="26"/>
  <c r="AD39" i="26"/>
  <c r="X39" i="26"/>
  <c r="W39" i="26"/>
  <c r="AC39" i="26" s="1"/>
  <c r="V39" i="26"/>
  <c r="AB39" i="26" s="1"/>
  <c r="AG38" i="26"/>
  <c r="X38" i="26"/>
  <c r="AD38" i="26" s="1"/>
  <c r="W38" i="26"/>
  <c r="AC38" i="26" s="1"/>
  <c r="V38" i="26"/>
  <c r="AB38" i="26" s="1"/>
  <c r="AG37" i="26"/>
  <c r="AE37" i="26"/>
  <c r="X37" i="26"/>
  <c r="AD37" i="26" s="1"/>
  <c r="W37" i="26"/>
  <c r="AC37" i="26" s="1"/>
  <c r="V37" i="26"/>
  <c r="AB37" i="26" s="1"/>
  <c r="AG36" i="26"/>
  <c r="AE36" i="26"/>
  <c r="X36" i="26"/>
  <c r="AD36" i="26" s="1"/>
  <c r="W36" i="26"/>
  <c r="AC36" i="26" s="1"/>
  <c r="V36" i="26"/>
  <c r="AB36" i="26" s="1"/>
  <c r="AG35" i="26"/>
  <c r="AE35" i="26"/>
  <c r="X35" i="26"/>
  <c r="AD35" i="26" s="1"/>
  <c r="W35" i="26"/>
  <c r="AC35" i="26" s="1"/>
  <c r="V35" i="26"/>
  <c r="AB35" i="26" s="1"/>
  <c r="AG34" i="26"/>
  <c r="AE34" i="26"/>
  <c r="AB34" i="26"/>
  <c r="X34" i="26"/>
  <c r="AD34" i="26" s="1"/>
  <c r="W34" i="26"/>
  <c r="AC34" i="26" s="1"/>
  <c r="V34" i="26"/>
  <c r="AG33" i="26"/>
  <c r="AE33" i="26"/>
  <c r="AD33" i="26"/>
  <c r="AB33" i="26"/>
  <c r="X33" i="26"/>
  <c r="W33" i="26"/>
  <c r="AC33" i="26" s="1"/>
  <c r="V33" i="26"/>
  <c r="AG32" i="26"/>
  <c r="AE32" i="26"/>
  <c r="AC32" i="26"/>
  <c r="X32" i="26"/>
  <c r="AD32" i="26" s="1"/>
  <c r="W32" i="26"/>
  <c r="V32" i="26"/>
  <c r="AB32" i="26" s="1"/>
  <c r="AG31" i="26"/>
  <c r="AE31" i="26"/>
  <c r="X31" i="26"/>
  <c r="AD31" i="26" s="1"/>
  <c r="W31" i="26"/>
  <c r="AC31" i="26" s="1"/>
  <c r="V31" i="26"/>
  <c r="AB31" i="26" s="1"/>
  <c r="AG30" i="26"/>
  <c r="AE30" i="26"/>
  <c r="X30" i="26"/>
  <c r="AD30" i="26" s="1"/>
  <c r="W30" i="26"/>
  <c r="AC30" i="26" s="1"/>
  <c r="V30" i="26"/>
  <c r="AB30" i="26" s="1"/>
  <c r="AG29" i="26"/>
  <c r="AE29" i="26"/>
  <c r="AC29" i="26"/>
  <c r="X29" i="26"/>
  <c r="AD29" i="26" s="1"/>
  <c r="W29" i="26"/>
  <c r="V29" i="26"/>
  <c r="AB29" i="26" s="1"/>
  <c r="AG28" i="26"/>
  <c r="AE28" i="26"/>
  <c r="X28" i="26"/>
  <c r="AD28" i="26" s="1"/>
  <c r="W28" i="26"/>
  <c r="AC28" i="26" s="1"/>
  <c r="V28" i="26"/>
  <c r="AB28" i="26" s="1"/>
  <c r="AG27" i="26"/>
  <c r="AE27" i="26"/>
  <c r="X27" i="26"/>
  <c r="AD27" i="26" s="1"/>
  <c r="W27" i="26"/>
  <c r="AC27" i="26" s="1"/>
  <c r="V27" i="26"/>
  <c r="AB27" i="26" s="1"/>
  <c r="AG26" i="26"/>
  <c r="AE26" i="26"/>
  <c r="AB26" i="26"/>
  <c r="X26" i="26"/>
  <c r="AD26" i="26" s="1"/>
  <c r="W26" i="26"/>
  <c r="AC26" i="26" s="1"/>
  <c r="V26" i="26"/>
  <c r="AG25" i="26"/>
  <c r="AC25" i="26"/>
  <c r="X25" i="26"/>
  <c r="AD25" i="26" s="1"/>
  <c r="W25" i="26"/>
  <c r="V25" i="26"/>
  <c r="AB25" i="26" s="1"/>
  <c r="AG24" i="26"/>
  <c r="AC24" i="26"/>
  <c r="X24" i="26"/>
  <c r="AD24" i="26" s="1"/>
  <c r="W24" i="26"/>
  <c r="V24" i="26"/>
  <c r="AB24" i="26" s="1"/>
  <c r="AG23" i="26"/>
  <c r="AD23" i="26"/>
  <c r="X23" i="26"/>
  <c r="W23" i="26"/>
  <c r="AC23" i="26" s="1"/>
  <c r="V23" i="26"/>
  <c r="AB23" i="26" s="1"/>
  <c r="AG22" i="26"/>
  <c r="X22" i="26"/>
  <c r="AD22" i="26" s="1"/>
  <c r="W22" i="26"/>
  <c r="AC22" i="26" s="1"/>
  <c r="V22" i="26"/>
  <c r="AB22" i="26" s="1"/>
  <c r="AG21" i="26"/>
  <c r="X21" i="26"/>
  <c r="AD21" i="26" s="1"/>
  <c r="W21" i="26"/>
  <c r="AC21" i="26" s="1"/>
  <c r="V21" i="26"/>
  <c r="AB21" i="26" s="1"/>
  <c r="AG20" i="26"/>
  <c r="X20" i="26"/>
  <c r="AD20" i="26" s="1"/>
  <c r="W20" i="26"/>
  <c r="AC20" i="26" s="1"/>
  <c r="V20" i="26"/>
  <c r="AB20" i="26" s="1"/>
  <c r="AG19" i="26"/>
  <c r="AB19" i="26"/>
  <c r="X19" i="26"/>
  <c r="AD19" i="26" s="1"/>
  <c r="W19" i="26"/>
  <c r="AC19" i="26" s="1"/>
  <c r="V19" i="26"/>
  <c r="AG18" i="26"/>
  <c r="AB18" i="26"/>
  <c r="X18" i="26"/>
  <c r="AD18" i="26" s="1"/>
  <c r="W18" i="26"/>
  <c r="AC18" i="26" s="1"/>
  <c r="V18" i="26"/>
  <c r="AG17" i="26"/>
  <c r="AC17" i="26"/>
  <c r="X17" i="26"/>
  <c r="AD17" i="26" s="1"/>
  <c r="W17" i="26"/>
  <c r="V17" i="26"/>
  <c r="AB17" i="26" s="1"/>
  <c r="AG16" i="26"/>
  <c r="AD16" i="26"/>
  <c r="X16" i="26"/>
  <c r="W16" i="26"/>
  <c r="AC16" i="26" s="1"/>
  <c r="V16" i="26"/>
  <c r="AB16" i="26" s="1"/>
  <c r="AG15" i="26"/>
  <c r="AD15" i="26"/>
  <c r="X15" i="26"/>
  <c r="W15" i="26"/>
  <c r="AC15" i="26" s="1"/>
  <c r="V15" i="26"/>
  <c r="AB15" i="26" s="1"/>
  <c r="AG14" i="26"/>
  <c r="X14" i="26"/>
  <c r="AD14" i="26" s="1"/>
  <c r="W14" i="26"/>
  <c r="AC14" i="26" s="1"/>
  <c r="V14" i="26"/>
  <c r="AB14" i="26" s="1"/>
  <c r="AG13" i="26"/>
  <c r="AC13" i="26"/>
  <c r="X13" i="26"/>
  <c r="AD13" i="26" s="1"/>
  <c r="W13" i="26"/>
  <c r="V13" i="26"/>
  <c r="AB13" i="26" s="1"/>
  <c r="AG12" i="26"/>
  <c r="X12" i="26"/>
  <c r="AD12" i="26" s="1"/>
  <c r="W12" i="26"/>
  <c r="AC12" i="26" s="1"/>
  <c r="V12" i="26"/>
  <c r="AB12" i="26" s="1"/>
  <c r="AG11" i="26"/>
  <c r="AB11" i="26"/>
  <c r="X11" i="26"/>
  <c r="AD11" i="26" s="1"/>
  <c r="W11" i="26"/>
  <c r="AC11" i="26" s="1"/>
  <c r="V11" i="26"/>
  <c r="AG10" i="26"/>
  <c r="AC10" i="26"/>
  <c r="X10" i="26"/>
  <c r="AD10" i="26" s="1"/>
  <c r="W10" i="26"/>
  <c r="V10" i="26"/>
  <c r="AB10" i="26" s="1"/>
  <c r="AG9" i="26"/>
  <c r="AE9" i="26"/>
  <c r="X9" i="26"/>
  <c r="AD9" i="26" s="1"/>
  <c r="W9" i="26"/>
  <c r="AC9" i="26" s="1"/>
  <c r="V9" i="26"/>
  <c r="AB9" i="26" s="1"/>
  <c r="AG8" i="26"/>
  <c r="AE8" i="26"/>
  <c r="AC8" i="26"/>
  <c r="X8" i="26"/>
  <c r="AD8" i="26" s="1"/>
  <c r="W8" i="26"/>
  <c r="V8" i="26"/>
  <c r="AB8" i="26" s="1"/>
  <c r="AO7" i="26"/>
  <c r="AG7" i="26"/>
  <c r="AE7" i="26"/>
  <c r="X7" i="26"/>
  <c r="AD7" i="26" s="1"/>
  <c r="W7" i="26"/>
  <c r="AC7" i="26" s="1"/>
  <c r="V7" i="26"/>
  <c r="AB7" i="26" s="1"/>
  <c r="AG6" i="26"/>
  <c r="AE6" i="26"/>
  <c r="X6" i="26"/>
  <c r="AD6" i="26" s="1"/>
  <c r="W6" i="26"/>
  <c r="AC6" i="26" s="1"/>
  <c r="V6" i="26"/>
  <c r="AB6" i="26" s="1"/>
  <c r="AG5" i="26"/>
  <c r="X5" i="26"/>
  <c r="AD5" i="26" s="1"/>
  <c r="W5" i="26"/>
  <c r="AC5" i="26" s="1"/>
  <c r="V5" i="26"/>
  <c r="AB5" i="26" s="1"/>
  <c r="AG4" i="26"/>
  <c r="X4" i="26"/>
  <c r="AD4" i="26" s="1"/>
  <c r="W4" i="26"/>
  <c r="AC4" i="26" s="1"/>
  <c r="V4" i="26"/>
  <c r="AB4" i="26" s="1"/>
  <c r="AG3" i="26"/>
  <c r="AD3" i="26"/>
  <c r="AC3" i="26"/>
  <c r="X3" i="26"/>
  <c r="W3" i="26"/>
  <c r="V3" i="26"/>
  <c r="AB3" i="26" s="1"/>
  <c r="AG2" i="26"/>
  <c r="AD2" i="26"/>
  <c r="AO2" i="26" s="1"/>
  <c r="AB2" i="26"/>
  <c r="X2" i="26"/>
  <c r="W2" i="26"/>
  <c r="AC2" i="26" s="1"/>
  <c r="V2" i="26"/>
  <c r="AG43" i="25"/>
  <c r="AF43" i="25"/>
  <c r="AE43" i="25"/>
  <c r="AG42" i="25"/>
  <c r="AF42" i="25"/>
  <c r="AE42" i="25"/>
  <c r="AD42" i="25"/>
  <c r="AD43" i="25" s="1"/>
  <c r="AC42" i="25"/>
  <c r="AC43" i="25" s="1"/>
  <c r="AG41" i="25"/>
  <c r="AF41" i="25"/>
  <c r="AE41" i="25"/>
  <c r="AD41" i="25"/>
  <c r="AG40" i="25"/>
  <c r="AF40" i="25"/>
  <c r="AE40" i="25"/>
  <c r="AD40" i="25"/>
  <c r="AF38" i="25"/>
  <c r="AF39" i="25" s="1"/>
  <c r="AD38" i="25"/>
  <c r="AD39" i="25" s="1"/>
  <c r="AG37" i="25"/>
  <c r="AG38" i="25" s="1"/>
  <c r="AG39" i="25" s="1"/>
  <c r="AF37" i="25"/>
  <c r="AE37" i="25"/>
  <c r="AE38" i="25" s="1"/>
  <c r="AE39" i="25" s="1"/>
  <c r="AD37" i="25"/>
  <c r="AC37" i="25"/>
  <c r="AC38" i="25" s="1"/>
  <c r="AC39" i="25" s="1"/>
  <c r="AC40" i="25" s="1"/>
  <c r="AC41" i="25" s="1"/>
  <c r="AG36" i="25"/>
  <c r="AF36" i="25"/>
  <c r="AG35" i="25"/>
  <c r="AF35" i="25"/>
  <c r="AE35" i="25"/>
  <c r="AE36" i="25" s="1"/>
  <c r="AG34" i="25"/>
  <c r="AF34" i="25"/>
  <c r="AE34" i="25"/>
  <c r="AD34" i="25"/>
  <c r="AD35" i="25" s="1"/>
  <c r="AD36" i="25" s="1"/>
  <c r="AG33" i="25"/>
  <c r="AF33" i="25"/>
  <c r="AE33" i="25"/>
  <c r="AD33" i="25"/>
  <c r="AE31" i="25"/>
  <c r="AE32" i="25" s="1"/>
  <c r="AD31" i="25"/>
  <c r="AD32" i="25" s="1"/>
  <c r="AG30" i="25"/>
  <c r="AG31" i="25" s="1"/>
  <c r="AG32" i="25" s="1"/>
  <c r="AF30" i="25"/>
  <c r="AF31" i="25" s="1"/>
  <c r="AF32" i="25" s="1"/>
  <c r="AE30" i="25"/>
  <c r="AD30" i="25"/>
  <c r="AG29" i="25"/>
  <c r="AF29" i="25"/>
  <c r="AE29" i="25"/>
  <c r="AD29" i="25"/>
  <c r="AG26" i="25"/>
  <c r="AG27" i="25" s="1"/>
  <c r="AG28" i="25" s="1"/>
  <c r="AF26" i="25"/>
  <c r="AF27" i="25" s="1"/>
  <c r="AF28" i="25" s="1"/>
  <c r="AE26" i="25"/>
  <c r="AE27" i="25" s="1"/>
  <c r="AE28" i="25" s="1"/>
  <c r="AD26" i="25"/>
  <c r="AD27" i="25" s="1"/>
  <c r="AD28" i="25" s="1"/>
  <c r="AG25" i="25"/>
  <c r="AF25" i="25"/>
  <c r="AE25" i="25"/>
  <c r="AD25" i="25"/>
  <c r="AK24" i="25"/>
  <c r="AG22" i="25"/>
  <c r="AG23" i="25" s="1"/>
  <c r="AG24" i="25" s="1"/>
  <c r="AF22" i="25"/>
  <c r="AF23" i="25" s="1"/>
  <c r="AF24" i="25" s="1"/>
  <c r="AE22" i="25"/>
  <c r="AE23" i="25" s="1"/>
  <c r="AE24" i="25" s="1"/>
  <c r="AD22" i="25"/>
  <c r="AD23" i="25" s="1"/>
  <c r="AD24" i="25" s="1"/>
  <c r="AC22" i="25"/>
  <c r="AC23" i="25" s="1"/>
  <c r="AC24" i="25" s="1"/>
  <c r="AC25" i="25" s="1"/>
  <c r="AC26" i="25" s="1"/>
  <c r="AC27" i="25" s="1"/>
  <c r="AC28" i="25" s="1"/>
  <c r="AC29" i="25" s="1"/>
  <c r="AC30" i="25" s="1"/>
  <c r="AC31" i="25" s="1"/>
  <c r="AC32" i="25" s="1"/>
  <c r="AC33" i="25" s="1"/>
  <c r="AC34" i="25" s="1"/>
  <c r="AC35" i="25" s="1"/>
  <c r="AC36" i="25" s="1"/>
  <c r="AG21" i="25"/>
  <c r="AF21" i="25"/>
  <c r="AG20" i="25"/>
  <c r="AF20" i="25"/>
  <c r="AG19" i="25"/>
  <c r="AF19" i="25"/>
  <c r="AG18" i="25"/>
  <c r="AF18" i="25"/>
  <c r="AG17" i="25"/>
  <c r="AF17" i="25"/>
  <c r="AE17" i="25"/>
  <c r="AE18" i="25" s="1"/>
  <c r="AE19" i="25" s="1"/>
  <c r="AE20" i="25" s="1"/>
  <c r="AE21" i="25" s="1"/>
  <c r="AD17" i="25"/>
  <c r="AD18" i="25" s="1"/>
  <c r="AD19" i="25" s="1"/>
  <c r="AD20" i="25" s="1"/>
  <c r="AD21" i="25" s="1"/>
  <c r="AG16" i="25"/>
  <c r="AF16" i="25"/>
  <c r="AG15" i="25"/>
  <c r="AF15" i="25"/>
  <c r="AG14" i="25"/>
  <c r="AF14" i="25"/>
  <c r="AG13" i="25"/>
  <c r="AF13" i="25"/>
  <c r="AD13" i="25"/>
  <c r="AD14" i="25" s="1"/>
  <c r="AD15" i="25" s="1"/>
  <c r="AD16" i="25" s="1"/>
  <c r="AG12" i="25"/>
  <c r="AF12" i="25"/>
  <c r="AE12" i="25"/>
  <c r="AE13" i="25" s="1"/>
  <c r="AE14" i="25" s="1"/>
  <c r="AE15" i="25" s="1"/>
  <c r="AE16" i="25" s="1"/>
  <c r="AD12" i="25"/>
  <c r="AC11" i="25"/>
  <c r="AC12" i="25" s="1"/>
  <c r="AC13" i="25" s="1"/>
  <c r="AC14" i="25" s="1"/>
  <c r="AC15" i="25" s="1"/>
  <c r="AC16" i="25" s="1"/>
  <c r="AC17" i="25" s="1"/>
  <c r="AC18" i="25" s="1"/>
  <c r="AC19" i="25" s="1"/>
  <c r="AC20" i="25" s="1"/>
  <c r="AC21" i="25" s="1"/>
  <c r="AG10" i="25"/>
  <c r="AG11" i="25" s="1"/>
  <c r="AD10" i="25"/>
  <c r="AD11" i="25" s="1"/>
  <c r="AG9" i="25"/>
  <c r="AF9" i="25"/>
  <c r="AF10" i="25" s="1"/>
  <c r="AF11" i="25" s="1"/>
  <c r="AE9" i="25"/>
  <c r="AE10" i="25" s="1"/>
  <c r="AE11" i="25" s="1"/>
  <c r="AD9" i="25"/>
  <c r="AC9" i="25"/>
  <c r="AC10" i="25" s="1"/>
  <c r="AF8" i="25"/>
  <c r="AE8" i="25"/>
  <c r="AG7" i="25"/>
  <c r="AG8" i="25" s="1"/>
  <c r="AF7" i="25"/>
  <c r="AE7" i="25"/>
  <c r="AD7" i="25"/>
  <c r="AD8" i="25" s="1"/>
  <c r="AC7" i="25"/>
  <c r="AC8" i="25" s="1"/>
  <c r="AG6" i="25"/>
  <c r="AE6" i="25"/>
  <c r="AG5" i="25"/>
  <c r="AF5" i="25"/>
  <c r="AF6" i="25" s="1"/>
  <c r="AE5" i="25"/>
  <c r="AD5" i="25"/>
  <c r="AD6" i="25" s="1"/>
  <c r="AC5" i="25"/>
  <c r="AC6" i="25" s="1"/>
  <c r="V50" i="25"/>
  <c r="T50" i="25"/>
  <c r="M50" i="25"/>
  <c r="X48" i="25"/>
  <c r="V48" i="25"/>
  <c r="T48" i="25"/>
  <c r="P48" i="25"/>
  <c r="O48" i="25"/>
  <c r="N48" i="25"/>
  <c r="M48" i="25"/>
  <c r="V47" i="25"/>
  <c r="U47" i="25"/>
  <c r="T47" i="25"/>
  <c r="P47" i="25"/>
  <c r="O47" i="25"/>
  <c r="N47" i="25"/>
  <c r="M47" i="25"/>
  <c r="X46" i="25"/>
  <c r="V46" i="25"/>
  <c r="U46" i="25"/>
  <c r="U50" i="25" s="1"/>
  <c r="T46" i="25"/>
  <c r="P46" i="25"/>
  <c r="P50" i="25" s="1"/>
  <c r="O46" i="25"/>
  <c r="N46" i="25"/>
  <c r="N50" i="25" s="1"/>
  <c r="M46" i="25"/>
  <c r="AU55" i="24"/>
  <c r="AT55" i="24"/>
  <c r="AU54" i="24"/>
  <c r="AT54" i="24"/>
  <c r="AS54" i="24"/>
  <c r="AS55" i="24" s="1"/>
  <c r="AR54" i="24"/>
  <c r="AQ54" i="24"/>
  <c r="AQ55" i="24" s="1"/>
  <c r="AV53" i="24"/>
  <c r="AU53" i="24"/>
  <c r="AT53" i="24"/>
  <c r="AS53" i="24"/>
  <c r="AR53" i="24"/>
  <c r="AV52" i="24"/>
  <c r="AU52" i="24"/>
  <c r="AT52" i="24"/>
  <c r="AS52" i="24"/>
  <c r="AR52" i="24"/>
  <c r="AU50" i="24"/>
  <c r="AU51" i="24" s="1"/>
  <c r="AT50" i="24"/>
  <c r="AT51" i="24" s="1"/>
  <c r="AR50" i="24"/>
  <c r="AU49" i="24"/>
  <c r="AT49" i="24"/>
  <c r="AS49" i="24"/>
  <c r="AS50" i="24" s="1"/>
  <c r="AS51" i="24" s="1"/>
  <c r="AR49" i="24"/>
  <c r="AV49" i="24" s="1"/>
  <c r="AQ49" i="24"/>
  <c r="AQ50" i="24" s="1"/>
  <c r="AQ51" i="24" s="1"/>
  <c r="AQ52" i="24" s="1"/>
  <c r="AQ53" i="24" s="1"/>
  <c r="AU48" i="24"/>
  <c r="AT48" i="24"/>
  <c r="AU47" i="24"/>
  <c r="AT47" i="24"/>
  <c r="AR47" i="24"/>
  <c r="AR48" i="24" s="1"/>
  <c r="AV48" i="24" s="1"/>
  <c r="AU46" i="24"/>
  <c r="AT46" i="24"/>
  <c r="AS46" i="24"/>
  <c r="AS47" i="24" s="1"/>
  <c r="AS48" i="24" s="1"/>
  <c r="AR46" i="24"/>
  <c r="AV46" i="24" s="1"/>
  <c r="AU45" i="24"/>
  <c r="AT45" i="24"/>
  <c r="AS45" i="24"/>
  <c r="AR45" i="24"/>
  <c r="AV45" i="24" s="1"/>
  <c r="AY42" i="24"/>
  <c r="AU42" i="24"/>
  <c r="AU43" i="24" s="1"/>
  <c r="AU44" i="24" s="1"/>
  <c r="AT42" i="24"/>
  <c r="AT43" i="24" s="1"/>
  <c r="AT44" i="24" s="1"/>
  <c r="AS42" i="24"/>
  <c r="AS43" i="24" s="1"/>
  <c r="AS44" i="24" s="1"/>
  <c r="AR42" i="24"/>
  <c r="AV42" i="24" s="1"/>
  <c r="AU41" i="24"/>
  <c r="AT41" i="24"/>
  <c r="AS41" i="24"/>
  <c r="AR41" i="24"/>
  <c r="AV41" i="24" s="1"/>
  <c r="AU38" i="24"/>
  <c r="AU39" i="24" s="1"/>
  <c r="AU40" i="24" s="1"/>
  <c r="AT38" i="24"/>
  <c r="AT39" i="24" s="1"/>
  <c r="AT40" i="24" s="1"/>
  <c r="AS38" i="24"/>
  <c r="AS39" i="24" s="1"/>
  <c r="AS40" i="24" s="1"/>
  <c r="AR38" i="24"/>
  <c r="AV38" i="24" s="1"/>
  <c r="AU37" i="24"/>
  <c r="AT37" i="24"/>
  <c r="AS37" i="24"/>
  <c r="AR37" i="24"/>
  <c r="AV37" i="24" s="1"/>
  <c r="AQ35" i="24"/>
  <c r="AQ36" i="24" s="1"/>
  <c r="AQ37" i="24" s="1"/>
  <c r="AQ38" i="24" s="1"/>
  <c r="AQ39" i="24" s="1"/>
  <c r="AQ40" i="24" s="1"/>
  <c r="AQ41" i="24" s="1"/>
  <c r="AQ42" i="24" s="1"/>
  <c r="AQ43" i="24" s="1"/>
  <c r="AQ44" i="24" s="1"/>
  <c r="AQ45" i="24" s="1"/>
  <c r="AQ46" i="24" s="1"/>
  <c r="AQ47" i="24" s="1"/>
  <c r="AQ48" i="24" s="1"/>
  <c r="AU34" i="24"/>
  <c r="AU35" i="24" s="1"/>
  <c r="AU36" i="24" s="1"/>
  <c r="AT34" i="24"/>
  <c r="AT35" i="24" s="1"/>
  <c r="AT36" i="24" s="1"/>
  <c r="AS34" i="24"/>
  <c r="AS35" i="24" s="1"/>
  <c r="AS36" i="24" s="1"/>
  <c r="AR34" i="24"/>
  <c r="AQ34" i="24"/>
  <c r="AU33" i="24"/>
  <c r="AT33" i="24"/>
  <c r="AU32" i="24"/>
  <c r="AT32" i="24"/>
  <c r="AU31" i="24"/>
  <c r="AT31" i="24"/>
  <c r="AU30" i="24"/>
  <c r="AT30" i="24"/>
  <c r="AS30" i="24"/>
  <c r="AS31" i="24" s="1"/>
  <c r="AS32" i="24" s="1"/>
  <c r="AS33" i="24" s="1"/>
  <c r="AV29" i="24"/>
  <c r="AU29" i="24"/>
  <c r="AT29" i="24"/>
  <c r="AS29" i="24"/>
  <c r="AR29" i="24"/>
  <c r="AR30" i="24" s="1"/>
  <c r="AU28" i="24"/>
  <c r="AT28" i="24"/>
  <c r="AU27" i="24"/>
  <c r="AT27" i="24"/>
  <c r="AU26" i="24"/>
  <c r="AT26" i="24"/>
  <c r="AU25" i="24"/>
  <c r="AT25" i="24"/>
  <c r="AU24" i="24"/>
  <c r="AT24" i="24"/>
  <c r="AS24" i="24"/>
  <c r="AS25" i="24" s="1"/>
  <c r="AS26" i="24" s="1"/>
  <c r="AS27" i="24" s="1"/>
  <c r="AS28" i="24" s="1"/>
  <c r="AR24" i="24"/>
  <c r="AV24" i="24" s="1"/>
  <c r="AT23" i="24"/>
  <c r="AT22" i="24"/>
  <c r="AS22" i="24"/>
  <c r="AS23" i="24" s="1"/>
  <c r="AV21" i="24"/>
  <c r="AU21" i="24"/>
  <c r="AU22" i="24" s="1"/>
  <c r="AU23" i="24" s="1"/>
  <c r="AT21" i="24"/>
  <c r="AS21" i="24"/>
  <c r="AR21" i="24"/>
  <c r="AR22" i="24" s="1"/>
  <c r="AQ21" i="24"/>
  <c r="AQ22" i="24" s="1"/>
  <c r="AQ23" i="24" s="1"/>
  <c r="AQ24" i="24" s="1"/>
  <c r="AQ25" i="24" s="1"/>
  <c r="AQ26" i="24" s="1"/>
  <c r="AQ27" i="24" s="1"/>
  <c r="AQ28" i="24" s="1"/>
  <c r="AQ29" i="24" s="1"/>
  <c r="AQ30" i="24" s="1"/>
  <c r="AQ31" i="24" s="1"/>
  <c r="AQ32" i="24" s="1"/>
  <c r="AQ33" i="24" s="1"/>
  <c r="AU20" i="24"/>
  <c r="AQ20" i="24"/>
  <c r="AU19" i="24"/>
  <c r="AT19" i="24"/>
  <c r="AT20" i="24" s="1"/>
  <c r="AS19" i="24"/>
  <c r="AS20" i="24" s="1"/>
  <c r="AR19" i="24"/>
  <c r="AV19" i="24" s="1"/>
  <c r="AQ19" i="24"/>
  <c r="AU18" i="24"/>
  <c r="AU17" i="24"/>
  <c r="AR16" i="24"/>
  <c r="AV16" i="24" s="1"/>
  <c r="AT15" i="24"/>
  <c r="AT16" i="24" s="1"/>
  <c r="AT17" i="24" s="1"/>
  <c r="AT18" i="24" s="1"/>
  <c r="AR15" i="24"/>
  <c r="AV15" i="24" s="1"/>
  <c r="AU14" i="24"/>
  <c r="AU15" i="24" s="1"/>
  <c r="AU16" i="24" s="1"/>
  <c r="AT14" i="24"/>
  <c r="AS14" i="24"/>
  <c r="AS15" i="24" s="1"/>
  <c r="AS16" i="24" s="1"/>
  <c r="AS17" i="24" s="1"/>
  <c r="AS18" i="24" s="1"/>
  <c r="AR14" i="24"/>
  <c r="AV14" i="24" s="1"/>
  <c r="AV13" i="24"/>
  <c r="AU13" i="24"/>
  <c r="AT13" i="24"/>
  <c r="AS13" i="24"/>
  <c r="AR13" i="24"/>
  <c r="AU12" i="24"/>
  <c r="AU10" i="24"/>
  <c r="AU11" i="24" s="1"/>
  <c r="AU9" i="24"/>
  <c r="AT9" i="24"/>
  <c r="AT10" i="24" s="1"/>
  <c r="AT11" i="24" s="1"/>
  <c r="AT12" i="24" s="1"/>
  <c r="AS9" i="24"/>
  <c r="AS10" i="24" s="1"/>
  <c r="AS11" i="24" s="1"/>
  <c r="AS12" i="24" s="1"/>
  <c r="AR9" i="24"/>
  <c r="AQ9" i="24"/>
  <c r="AQ10" i="24" s="1"/>
  <c r="AU8" i="24"/>
  <c r="AU6" i="24"/>
  <c r="AU7" i="24" s="1"/>
  <c r="AV5" i="24"/>
  <c r="AU5" i="24"/>
  <c r="AT5" i="24"/>
  <c r="AT6" i="24" s="1"/>
  <c r="AT7" i="24" s="1"/>
  <c r="AT8" i="24" s="1"/>
  <c r="AS5" i="24"/>
  <c r="AS6" i="24" s="1"/>
  <c r="AS7" i="24" s="1"/>
  <c r="AS8" i="24" s="1"/>
  <c r="AR5" i="24"/>
  <c r="AR6" i="24" s="1"/>
  <c r="AQ5" i="24"/>
  <c r="AQ6" i="24" s="1"/>
  <c r="AL61" i="24"/>
  <c r="AG61" i="24"/>
  <c r="AD61" i="24"/>
  <c r="AB61" i="24"/>
  <c r="T61" i="24"/>
  <c r="AK60" i="24"/>
  <c r="AF60" i="24"/>
  <c r="AE60" i="24"/>
  <c r="AC60" i="24"/>
  <c r="Y60" i="24"/>
  <c r="X60" i="24"/>
  <c r="W60" i="24"/>
  <c r="S60" i="24"/>
  <c r="R60" i="24"/>
  <c r="Q60" i="24"/>
  <c r="P60" i="24"/>
  <c r="O60" i="24"/>
  <c r="M60" i="24"/>
  <c r="L60" i="24"/>
  <c r="AK59" i="24"/>
  <c r="AF59" i="24"/>
  <c r="AP58" i="24" s="1"/>
  <c r="AC59" i="24"/>
  <c r="AA59" i="24"/>
  <c r="Z59" i="24"/>
  <c r="Y59" i="24"/>
  <c r="X59" i="24"/>
  <c r="W59" i="24"/>
  <c r="V59" i="24"/>
  <c r="U59" i="24"/>
  <c r="S59" i="24"/>
  <c r="R59" i="24"/>
  <c r="Q59" i="24"/>
  <c r="P59" i="24"/>
  <c r="O59" i="24"/>
  <c r="M59" i="24"/>
  <c r="L59" i="24"/>
  <c r="J12" i="23"/>
  <c r="F19" i="23"/>
  <c r="J19" i="23" s="1"/>
  <c r="F18" i="23"/>
  <c r="J18" i="23" s="1"/>
  <c r="F17" i="23"/>
  <c r="J17" i="23" s="1"/>
  <c r="F16" i="23"/>
  <c r="J16" i="23" s="1"/>
  <c r="F15" i="23"/>
  <c r="J15" i="23" s="1"/>
  <c r="F14" i="23"/>
  <c r="J14" i="23" s="1"/>
  <c r="F13" i="23"/>
  <c r="F12" i="23"/>
  <c r="F11" i="23"/>
  <c r="J11" i="23" s="1"/>
  <c r="F10" i="23"/>
  <c r="J10" i="23" s="1"/>
  <c r="E23" i="23" s="1"/>
  <c r="F9" i="23"/>
  <c r="J9" i="23" s="1"/>
  <c r="F8" i="23"/>
  <c r="J8" i="23" s="1"/>
  <c r="F7" i="23"/>
  <c r="J7" i="23" s="1"/>
  <c r="F6" i="23"/>
  <c r="J6" i="23" s="1"/>
  <c r="F5" i="23"/>
  <c r="J5" i="23" s="1"/>
  <c r="E22" i="23" s="1"/>
  <c r="AE13" i="21"/>
  <c r="AD13" i="21"/>
  <c r="AC13" i="21"/>
  <c r="AB13" i="21"/>
  <c r="AA13" i="21"/>
  <c r="W13" i="21"/>
  <c r="V13" i="21"/>
  <c r="U13" i="21"/>
  <c r="AI13" i="21" s="1"/>
  <c r="T13" i="21"/>
  <c r="S13" i="21"/>
  <c r="Y13" i="21" s="1"/>
  <c r="R13" i="21"/>
  <c r="X13" i="21" s="1"/>
  <c r="AE12" i="21"/>
  <c r="AD12" i="21"/>
  <c r="AE8" i="21"/>
  <c r="AD8" i="21"/>
  <c r="AC8" i="21"/>
  <c r="AB8" i="21"/>
  <c r="AA8" i="21"/>
  <c r="W8" i="21"/>
  <c r="V8" i="21"/>
  <c r="U8" i="21"/>
  <c r="AI8" i="21" s="1"/>
  <c r="T8" i="21"/>
  <c r="S8" i="21"/>
  <c r="R8" i="21"/>
  <c r="AE6" i="21"/>
  <c r="AD6" i="21"/>
  <c r="AC6" i="21"/>
  <c r="AB6" i="21"/>
  <c r="AA6" i="21"/>
  <c r="W6" i="21"/>
  <c r="V6" i="21"/>
  <c r="U6" i="21"/>
  <c r="AI6" i="21" s="1"/>
  <c r="T6" i="21"/>
  <c r="S6" i="21"/>
  <c r="R6" i="21"/>
  <c r="X6" i="21" s="1"/>
  <c r="AE4" i="21"/>
  <c r="AD4" i="21"/>
  <c r="AC4" i="21"/>
  <c r="AB4" i="21"/>
  <c r="AA4" i="21"/>
  <c r="W4" i="21"/>
  <c r="V4" i="21"/>
  <c r="U4" i="21"/>
  <c r="AI4" i="21" s="1"/>
  <c r="T4" i="21"/>
  <c r="S4" i="21"/>
  <c r="R4" i="21"/>
  <c r="AE3" i="21"/>
  <c r="AD3" i="21"/>
  <c r="AC3" i="21"/>
  <c r="AB3" i="21"/>
  <c r="AA3" i="21"/>
  <c r="W3" i="21"/>
  <c r="V3" i="21"/>
  <c r="U3" i="21"/>
  <c r="T3" i="21"/>
  <c r="S3" i="21"/>
  <c r="R3" i="21"/>
  <c r="J592" i="21"/>
  <c r="M592" i="21" s="1"/>
  <c r="J591" i="21"/>
  <c r="J590" i="21"/>
  <c r="J589" i="21"/>
  <c r="M589" i="21" s="1"/>
  <c r="J588" i="21"/>
  <c r="M588" i="21" s="1"/>
  <c r="J587" i="21"/>
  <c r="M587" i="21" s="1"/>
  <c r="J586" i="21"/>
  <c r="M586" i="21" s="1"/>
  <c r="J585" i="21"/>
  <c r="M585" i="21" s="1"/>
  <c r="J584" i="21"/>
  <c r="M584" i="21" s="1"/>
  <c r="J583" i="21"/>
  <c r="M583" i="21" s="1"/>
  <c r="J582" i="21"/>
  <c r="M582" i="21" s="1"/>
  <c r="J581" i="21"/>
  <c r="M581" i="21" s="1"/>
  <c r="M604" i="21"/>
  <c r="J604" i="21"/>
  <c r="J603" i="21"/>
  <c r="M603" i="21" s="1"/>
  <c r="J602" i="21"/>
  <c r="M602" i="21" s="1"/>
  <c r="J601" i="21"/>
  <c r="M601" i="21" s="1"/>
  <c r="J600" i="21"/>
  <c r="M600" i="21" s="1"/>
  <c r="J599" i="21"/>
  <c r="M599" i="21" s="1"/>
  <c r="J598" i="21"/>
  <c r="M598" i="21" s="1"/>
  <c r="M597" i="21"/>
  <c r="J597" i="21"/>
  <c r="J596" i="21"/>
  <c r="M596" i="21" s="1"/>
  <c r="J595" i="21"/>
  <c r="M595" i="21" s="1"/>
  <c r="J594" i="21"/>
  <c r="M594" i="21" s="1"/>
  <c r="J593" i="21"/>
  <c r="M591" i="21"/>
  <c r="M590" i="21"/>
  <c r="J580" i="21"/>
  <c r="M580" i="21" s="1"/>
  <c r="J579" i="21"/>
  <c r="M579" i="21" s="1"/>
  <c r="J578" i="21"/>
  <c r="M578" i="21" s="1"/>
  <c r="J577" i="21"/>
  <c r="M577" i="21" s="1"/>
  <c r="J576" i="21"/>
  <c r="M576" i="21" s="1"/>
  <c r="M575" i="21"/>
  <c r="J575" i="21"/>
  <c r="J574" i="21"/>
  <c r="M574" i="21" s="1"/>
  <c r="J573" i="21"/>
  <c r="M573" i="21" s="1"/>
  <c r="J572" i="21"/>
  <c r="M572" i="21" s="1"/>
  <c r="J571" i="21"/>
  <c r="M571" i="21" s="1"/>
  <c r="J570" i="21"/>
  <c r="M570" i="21" s="1"/>
  <c r="M569" i="21"/>
  <c r="J569" i="21"/>
  <c r="J568" i="21"/>
  <c r="M568" i="21" s="1"/>
  <c r="J567" i="21"/>
  <c r="M567" i="21" s="1"/>
  <c r="J566" i="21"/>
  <c r="M566" i="21" s="1"/>
  <c r="J565" i="21"/>
  <c r="M565" i="21" s="1"/>
  <c r="J564" i="21"/>
  <c r="M564" i="21" s="1"/>
  <c r="J563" i="21"/>
  <c r="M563" i="21" s="1"/>
  <c r="J562" i="21"/>
  <c r="M562" i="21" s="1"/>
  <c r="M561" i="21"/>
  <c r="J561" i="21"/>
  <c r="J560" i="21"/>
  <c r="M560" i="21" s="1"/>
  <c r="J559" i="21"/>
  <c r="M559" i="21" s="1"/>
  <c r="J558" i="21"/>
  <c r="M558" i="21" s="1"/>
  <c r="J557" i="21"/>
  <c r="M557" i="21" s="1"/>
  <c r="J556" i="21"/>
  <c r="M556" i="21" s="1"/>
  <c r="J555" i="21"/>
  <c r="M555" i="21" s="1"/>
  <c r="J554" i="21"/>
  <c r="M554" i="21" s="1"/>
  <c r="J553" i="21"/>
  <c r="M553" i="21" s="1"/>
  <c r="J552" i="21"/>
  <c r="M552" i="21" s="1"/>
  <c r="J551" i="21"/>
  <c r="M551" i="21" s="1"/>
  <c r="J550" i="21"/>
  <c r="M550" i="21" s="1"/>
  <c r="J549" i="21"/>
  <c r="M549" i="21" s="1"/>
  <c r="J548" i="21"/>
  <c r="M548" i="21" s="1"/>
  <c r="M547" i="21"/>
  <c r="J547" i="21"/>
  <c r="J546" i="21"/>
  <c r="M546" i="21" s="1"/>
  <c r="J545" i="21"/>
  <c r="M545" i="21" s="1"/>
  <c r="J544" i="21"/>
  <c r="M544" i="21" s="1"/>
  <c r="J543" i="21"/>
  <c r="M543" i="21" s="1"/>
  <c r="J542" i="21"/>
  <c r="M542" i="21" s="1"/>
  <c r="J541" i="21"/>
  <c r="M541" i="21" s="1"/>
  <c r="J540" i="21"/>
  <c r="M540" i="21" s="1"/>
  <c r="J539" i="21"/>
  <c r="M539" i="21" s="1"/>
  <c r="J538" i="21"/>
  <c r="M538" i="21" s="1"/>
  <c r="J537" i="21"/>
  <c r="M537" i="21" s="1"/>
  <c r="J536" i="21"/>
  <c r="M536" i="21" s="1"/>
  <c r="J535" i="21"/>
  <c r="M535" i="21" s="1"/>
  <c r="M534" i="21"/>
  <c r="J534" i="21"/>
  <c r="J533" i="21"/>
  <c r="M533" i="21" s="1"/>
  <c r="J532" i="21"/>
  <c r="M532" i="21" s="1"/>
  <c r="J531" i="21"/>
  <c r="M531" i="21" s="1"/>
  <c r="J530" i="21"/>
  <c r="M530" i="21" s="1"/>
  <c r="J529" i="21"/>
  <c r="M529" i="21" s="1"/>
  <c r="J528" i="21"/>
  <c r="M528" i="21" s="1"/>
  <c r="M527" i="21"/>
  <c r="J527" i="21"/>
  <c r="J526" i="21"/>
  <c r="M526" i="21" s="1"/>
  <c r="J525" i="21"/>
  <c r="M525" i="21" s="1"/>
  <c r="J524" i="21"/>
  <c r="M524" i="21" s="1"/>
  <c r="J523" i="21"/>
  <c r="M523" i="21" s="1"/>
  <c r="J522" i="21"/>
  <c r="M522" i="21" s="1"/>
  <c r="M521" i="21"/>
  <c r="J521" i="21"/>
  <c r="J520" i="21"/>
  <c r="M520" i="21" s="1"/>
  <c r="J519" i="21"/>
  <c r="M519" i="21" s="1"/>
  <c r="J518" i="21"/>
  <c r="M518" i="21" s="1"/>
  <c r="J517" i="21"/>
  <c r="M517" i="21" s="1"/>
  <c r="M516" i="21"/>
  <c r="J516" i="21"/>
  <c r="J515" i="21"/>
  <c r="M515" i="21" s="1"/>
  <c r="J514" i="21"/>
  <c r="M514" i="21" s="1"/>
  <c r="M513" i="21"/>
  <c r="J513" i="21"/>
  <c r="J512" i="21"/>
  <c r="M512" i="21" s="1"/>
  <c r="J511" i="21"/>
  <c r="M511" i="21" s="1"/>
  <c r="M510" i="21"/>
  <c r="J510" i="21"/>
  <c r="M509" i="21"/>
  <c r="J509" i="21"/>
  <c r="J508" i="21"/>
  <c r="M508" i="21" s="1"/>
  <c r="J507" i="21"/>
  <c r="M507" i="21" s="1"/>
  <c r="M506" i="21"/>
  <c r="J506" i="21"/>
  <c r="M505" i="21"/>
  <c r="J505" i="21"/>
  <c r="J504" i="21"/>
  <c r="M504" i="21" s="1"/>
  <c r="J503" i="21"/>
  <c r="M503" i="21" s="1"/>
  <c r="M502" i="21"/>
  <c r="J502" i="21"/>
  <c r="M501" i="21"/>
  <c r="J501" i="21"/>
  <c r="J500" i="21"/>
  <c r="M500" i="21" s="1"/>
  <c r="M499" i="21"/>
  <c r="J499" i="21"/>
  <c r="J498" i="21"/>
  <c r="M498" i="21" s="1"/>
  <c r="J497" i="21"/>
  <c r="M497" i="21" s="1"/>
  <c r="J496" i="21"/>
  <c r="M496" i="21" s="1"/>
  <c r="J495" i="21"/>
  <c r="M495" i="21" s="1"/>
  <c r="J494" i="21"/>
  <c r="M494" i="21" s="1"/>
  <c r="J493" i="21"/>
  <c r="M493" i="21" s="1"/>
  <c r="J492" i="21"/>
  <c r="M492" i="21" s="1"/>
  <c r="M491" i="21"/>
  <c r="J491" i="21"/>
  <c r="M490" i="21"/>
  <c r="J490" i="21"/>
  <c r="J489" i="21"/>
  <c r="M489" i="21" s="1"/>
  <c r="J488" i="21"/>
  <c r="M488" i="21" s="1"/>
  <c r="M487" i="21"/>
  <c r="J487" i="21"/>
  <c r="J486" i="21"/>
  <c r="M486" i="21" s="1"/>
  <c r="J485" i="21"/>
  <c r="M485" i="21" s="1"/>
  <c r="J484" i="21"/>
  <c r="M484" i="21" s="1"/>
  <c r="M483" i="21"/>
  <c r="J483" i="21"/>
  <c r="J482" i="21"/>
  <c r="M482" i="21" s="1"/>
  <c r="M481" i="21"/>
  <c r="J481" i="21"/>
  <c r="J480" i="21"/>
  <c r="M480" i="21" s="1"/>
  <c r="J479" i="21"/>
  <c r="M479" i="21" s="1"/>
  <c r="J478" i="21"/>
  <c r="M478" i="21" s="1"/>
  <c r="J477" i="21"/>
  <c r="M477" i="21" s="1"/>
  <c r="J476" i="21"/>
  <c r="M476" i="21" s="1"/>
  <c r="J475" i="21"/>
  <c r="M475" i="21" s="1"/>
  <c r="M474" i="21"/>
  <c r="J474" i="21"/>
  <c r="J473" i="21"/>
  <c r="M473" i="21" s="1"/>
  <c r="J472" i="21"/>
  <c r="M472" i="21" s="1"/>
  <c r="J471" i="21"/>
  <c r="M471" i="21" s="1"/>
  <c r="M470" i="21"/>
  <c r="J470" i="21"/>
  <c r="M469" i="21"/>
  <c r="J469" i="21"/>
  <c r="J468" i="21"/>
  <c r="M468" i="21" s="1"/>
  <c r="J467" i="21"/>
  <c r="M467" i="21" s="1"/>
  <c r="J466" i="21"/>
  <c r="M466" i="21" s="1"/>
  <c r="J465" i="21"/>
  <c r="M465" i="21" s="1"/>
  <c r="J464" i="21"/>
  <c r="M464" i="21" s="1"/>
  <c r="J463" i="21"/>
  <c r="M463" i="21" s="1"/>
  <c r="J462" i="21"/>
  <c r="M462" i="21" s="1"/>
  <c r="J461" i="21"/>
  <c r="M461" i="21" s="1"/>
  <c r="J460" i="21"/>
  <c r="M460" i="21" s="1"/>
  <c r="J459" i="21"/>
  <c r="M459" i="21" s="1"/>
  <c r="J458" i="21"/>
  <c r="M458" i="21" s="1"/>
  <c r="J457" i="21"/>
  <c r="M457" i="21" s="1"/>
  <c r="J456" i="21"/>
  <c r="M456" i="21" s="1"/>
  <c r="J455" i="21"/>
  <c r="M455" i="21" s="1"/>
  <c r="M454" i="21"/>
  <c r="J454" i="21"/>
  <c r="M453" i="21"/>
  <c r="J453" i="21"/>
  <c r="J452" i="21"/>
  <c r="M452" i="21" s="1"/>
  <c r="J451" i="21"/>
  <c r="M451" i="21" s="1"/>
  <c r="J450" i="21"/>
  <c r="M450" i="21" s="1"/>
  <c r="M449" i="21"/>
  <c r="J449" i="21"/>
  <c r="J448" i="21"/>
  <c r="M448" i="21" s="1"/>
  <c r="J447" i="21"/>
  <c r="M447" i="21" s="1"/>
  <c r="J446" i="21"/>
  <c r="M446" i="21" s="1"/>
  <c r="J445" i="21"/>
  <c r="M445" i="21" s="1"/>
  <c r="J444" i="21"/>
  <c r="M444" i="21" s="1"/>
  <c r="J443" i="21"/>
  <c r="M443" i="21" s="1"/>
  <c r="M442" i="21"/>
  <c r="J442" i="21"/>
  <c r="J441" i="21"/>
  <c r="M441" i="21" s="1"/>
  <c r="J440" i="21"/>
  <c r="M440" i="21" s="1"/>
  <c r="J439" i="21"/>
  <c r="M439" i="21" s="1"/>
  <c r="M438" i="21"/>
  <c r="J438" i="21"/>
  <c r="M437" i="21"/>
  <c r="J437" i="21"/>
  <c r="J436" i="21"/>
  <c r="M436" i="21" s="1"/>
  <c r="J435" i="21"/>
  <c r="M435" i="21" s="1"/>
  <c r="J434" i="21"/>
  <c r="M434" i="21" s="1"/>
  <c r="J433" i="21"/>
  <c r="M433" i="21" s="1"/>
  <c r="J432" i="21"/>
  <c r="M432" i="21" s="1"/>
  <c r="J431" i="21"/>
  <c r="M431" i="21" s="1"/>
  <c r="J430" i="21"/>
  <c r="M430" i="21" s="1"/>
  <c r="J429" i="21"/>
  <c r="M429" i="21" s="1"/>
  <c r="J428" i="21"/>
  <c r="M428" i="21" s="1"/>
  <c r="J427" i="21"/>
  <c r="M427" i="21" s="1"/>
  <c r="J426" i="21"/>
  <c r="M426" i="21" s="1"/>
  <c r="J425" i="21"/>
  <c r="J424" i="21"/>
  <c r="M424" i="21" s="1"/>
  <c r="J423" i="21"/>
  <c r="M423" i="21" s="1"/>
  <c r="M422" i="21"/>
  <c r="J422" i="21"/>
  <c r="M421" i="21"/>
  <c r="J421" i="21"/>
  <c r="J420" i="21"/>
  <c r="M420" i="21" s="1"/>
  <c r="J419" i="21"/>
  <c r="M419" i="21" s="1"/>
  <c r="J418" i="21"/>
  <c r="M418" i="21" s="1"/>
  <c r="J417" i="21"/>
  <c r="M417" i="21" s="1"/>
  <c r="J416" i="21"/>
  <c r="M416" i="21" s="1"/>
  <c r="J415" i="21"/>
  <c r="M415" i="21" s="1"/>
  <c r="J414" i="21"/>
  <c r="M414" i="21" s="1"/>
  <c r="J413" i="21"/>
  <c r="M413" i="21" s="1"/>
  <c r="J412" i="21"/>
  <c r="M412" i="21" s="1"/>
  <c r="J411" i="21"/>
  <c r="M411" i="21" s="1"/>
  <c r="J410" i="21"/>
  <c r="M410" i="21" s="1"/>
  <c r="J409" i="21"/>
  <c r="M409" i="21" s="1"/>
  <c r="J408" i="21"/>
  <c r="M408" i="21" s="1"/>
  <c r="J407" i="21"/>
  <c r="M407" i="21" s="1"/>
  <c r="J406" i="21"/>
  <c r="M406" i="21" s="1"/>
  <c r="J405" i="21"/>
  <c r="M405" i="21" s="1"/>
  <c r="J404" i="21"/>
  <c r="M404" i="21" s="1"/>
  <c r="J403" i="21"/>
  <c r="M403" i="21" s="1"/>
  <c r="J402" i="21"/>
  <c r="M402" i="21" s="1"/>
  <c r="M401" i="21"/>
  <c r="J401" i="21"/>
  <c r="J400" i="21"/>
  <c r="M400" i="21" s="1"/>
  <c r="J399" i="21"/>
  <c r="M399" i="21" s="1"/>
  <c r="J398" i="21"/>
  <c r="M398" i="21" s="1"/>
  <c r="J397" i="21"/>
  <c r="M397" i="21" s="1"/>
  <c r="J396" i="21"/>
  <c r="M396" i="21" s="1"/>
  <c r="J395" i="21"/>
  <c r="M395" i="21" s="1"/>
  <c r="J394" i="21"/>
  <c r="M394" i="21" s="1"/>
  <c r="M393" i="21"/>
  <c r="J393" i="21"/>
  <c r="J392" i="21"/>
  <c r="M392" i="21" s="1"/>
  <c r="J391" i="21"/>
  <c r="M391" i="21" s="1"/>
  <c r="J390" i="21"/>
  <c r="M390" i="21" s="1"/>
  <c r="J389" i="21"/>
  <c r="M389" i="21" s="1"/>
  <c r="M388" i="21"/>
  <c r="J388" i="21"/>
  <c r="J387" i="21"/>
  <c r="M387" i="21" s="1"/>
  <c r="J386" i="21"/>
  <c r="M386" i="21" s="1"/>
  <c r="M385" i="21"/>
  <c r="J385" i="21"/>
  <c r="M384" i="21"/>
  <c r="J384" i="21"/>
  <c r="J383" i="21"/>
  <c r="M383" i="21" s="1"/>
  <c r="M382" i="21"/>
  <c r="J382" i="21"/>
  <c r="J381" i="21"/>
  <c r="M381" i="21" s="1"/>
  <c r="J380" i="21"/>
  <c r="M380" i="21" s="1"/>
  <c r="J379" i="21"/>
  <c r="M379" i="21" s="1"/>
  <c r="J378" i="21"/>
  <c r="M378" i="21" s="1"/>
  <c r="J377" i="21"/>
  <c r="M377" i="21" s="1"/>
  <c r="M376" i="21"/>
  <c r="J376" i="21"/>
  <c r="J375" i="21"/>
  <c r="M375" i="21" s="1"/>
  <c r="J374" i="21"/>
  <c r="M374" i="21" s="1"/>
  <c r="J373" i="21"/>
  <c r="M373" i="21" s="1"/>
  <c r="J372" i="21"/>
  <c r="M372" i="21" s="1"/>
  <c r="J371" i="21"/>
  <c r="M371" i="21" s="1"/>
  <c r="M370" i="21"/>
  <c r="J370" i="21"/>
  <c r="J369" i="21"/>
  <c r="M369" i="21" s="1"/>
  <c r="J368" i="21"/>
  <c r="M368" i="21" s="1"/>
  <c r="J367" i="21"/>
  <c r="M367" i="21" s="1"/>
  <c r="J366" i="21"/>
  <c r="M366" i="21" s="1"/>
  <c r="M365" i="21"/>
  <c r="J365" i="21"/>
  <c r="M364" i="21"/>
  <c r="J364" i="21"/>
  <c r="J363" i="21"/>
  <c r="M363" i="21" s="1"/>
  <c r="M362" i="21"/>
  <c r="J362" i="21"/>
  <c r="M361" i="21"/>
  <c r="J361" i="21"/>
  <c r="J360" i="21"/>
  <c r="M360" i="21" s="1"/>
  <c r="M359" i="21"/>
  <c r="J359" i="21"/>
  <c r="J358" i="21"/>
  <c r="M358" i="21" s="1"/>
  <c r="M357" i="21"/>
  <c r="J357" i="21"/>
  <c r="J356" i="21"/>
  <c r="M356" i="21" s="1"/>
  <c r="M355" i="21"/>
  <c r="J355" i="21"/>
  <c r="J354" i="21"/>
  <c r="M354" i="21" s="1"/>
  <c r="J353" i="21"/>
  <c r="M353" i="21" s="1"/>
  <c r="J352" i="21"/>
  <c r="M352" i="21" s="1"/>
  <c r="J351" i="21"/>
  <c r="M351" i="21" s="1"/>
  <c r="J350" i="21"/>
  <c r="M350" i="21" s="1"/>
  <c r="J349" i="21"/>
  <c r="M349" i="21" s="1"/>
  <c r="J348" i="21"/>
  <c r="M348" i="21" s="1"/>
  <c r="J347" i="21"/>
  <c r="M347" i="21" s="1"/>
  <c r="J346" i="21"/>
  <c r="M346" i="21" s="1"/>
  <c r="M345" i="21"/>
  <c r="J345" i="21"/>
  <c r="J344" i="21"/>
  <c r="M344" i="21" s="1"/>
  <c r="J343" i="21"/>
  <c r="M343" i="21" s="1"/>
  <c r="J342" i="21"/>
  <c r="M342" i="21" s="1"/>
  <c r="M341" i="21"/>
  <c r="J341" i="21"/>
  <c r="J340" i="21"/>
  <c r="M340" i="21" s="1"/>
  <c r="J339" i="21"/>
  <c r="M339" i="21" s="1"/>
  <c r="J338" i="21"/>
  <c r="M338" i="21" s="1"/>
  <c r="J337" i="21"/>
  <c r="M337" i="21" s="1"/>
  <c r="J336" i="21"/>
  <c r="M336" i="21" s="1"/>
  <c r="J335" i="21"/>
  <c r="M335" i="21" s="1"/>
  <c r="J334" i="21"/>
  <c r="M334" i="21" s="1"/>
  <c r="J333" i="21"/>
  <c r="M333" i="21" s="1"/>
  <c r="J332" i="21"/>
  <c r="M332" i="21" s="1"/>
  <c r="J331" i="21"/>
  <c r="M331" i="21" s="1"/>
  <c r="J330" i="21"/>
  <c r="M330" i="21" s="1"/>
  <c r="M329" i="21"/>
  <c r="J329" i="21"/>
  <c r="J328" i="21"/>
  <c r="M328" i="21" s="1"/>
  <c r="M327" i="21"/>
  <c r="J327" i="21"/>
  <c r="J326" i="21"/>
  <c r="M326" i="21" s="1"/>
  <c r="M325" i="21"/>
  <c r="J325" i="21"/>
  <c r="J324" i="21"/>
  <c r="M324" i="21" s="1"/>
  <c r="M323" i="21"/>
  <c r="J323" i="21"/>
  <c r="J322" i="21"/>
  <c r="M322" i="21" s="1"/>
  <c r="J321" i="21"/>
  <c r="M321" i="21" s="1"/>
  <c r="J320" i="21"/>
  <c r="M320" i="21" s="1"/>
  <c r="J319" i="21"/>
  <c r="M319" i="21" s="1"/>
  <c r="J318" i="21"/>
  <c r="M318" i="21" s="1"/>
  <c r="J317" i="21"/>
  <c r="M317" i="21" s="1"/>
  <c r="J316" i="21"/>
  <c r="M316" i="21" s="1"/>
  <c r="J315" i="21"/>
  <c r="M315" i="21" s="1"/>
  <c r="J314" i="21"/>
  <c r="M314" i="21" s="1"/>
  <c r="M313" i="21"/>
  <c r="J313" i="21"/>
  <c r="J312" i="21"/>
  <c r="M312" i="21" s="1"/>
  <c r="J311" i="21"/>
  <c r="M311" i="21" s="1"/>
  <c r="J310" i="21"/>
  <c r="M310" i="21" s="1"/>
  <c r="M309" i="21"/>
  <c r="J309" i="21"/>
  <c r="M308" i="21"/>
  <c r="J308" i="21"/>
  <c r="J307" i="21"/>
  <c r="M307" i="21" s="1"/>
  <c r="J306" i="21"/>
  <c r="M306" i="21" s="1"/>
  <c r="J305" i="21"/>
  <c r="M305" i="21" s="1"/>
  <c r="M304" i="21"/>
  <c r="J304" i="21"/>
  <c r="J303" i="21"/>
  <c r="M303" i="21" s="1"/>
  <c r="J302" i="21"/>
  <c r="M302" i="21" s="1"/>
  <c r="J301" i="21"/>
  <c r="M301" i="21" s="1"/>
  <c r="J300" i="21"/>
  <c r="M300" i="21" s="1"/>
  <c r="J299" i="21"/>
  <c r="M299" i="21" s="1"/>
  <c r="J298" i="21"/>
  <c r="M298" i="21" s="1"/>
  <c r="M297" i="21"/>
  <c r="J297" i="21"/>
  <c r="J296" i="21"/>
  <c r="M296" i="21" s="1"/>
  <c r="J295" i="21"/>
  <c r="M295" i="21" s="1"/>
  <c r="J294" i="21"/>
  <c r="M294" i="21" s="1"/>
  <c r="J293" i="21"/>
  <c r="M293" i="21" s="1"/>
  <c r="J292" i="21"/>
  <c r="M292" i="21" s="1"/>
  <c r="J291" i="21"/>
  <c r="M291" i="21" s="1"/>
  <c r="M290" i="21"/>
  <c r="J290" i="21"/>
  <c r="J289" i="21"/>
  <c r="M289" i="21" s="1"/>
  <c r="J288" i="21"/>
  <c r="M288" i="21" s="1"/>
  <c r="J287" i="21"/>
  <c r="M287" i="21" s="1"/>
  <c r="J286" i="21"/>
  <c r="M286" i="21" s="1"/>
  <c r="M285" i="21"/>
  <c r="J285" i="21"/>
  <c r="J284" i="21"/>
  <c r="M284" i="21" s="1"/>
  <c r="J283" i="21"/>
  <c r="M283" i="21" s="1"/>
  <c r="M282" i="21"/>
  <c r="J282" i="21"/>
  <c r="J281" i="21"/>
  <c r="M281" i="21" s="1"/>
  <c r="J280" i="21"/>
  <c r="M280" i="21" s="1"/>
  <c r="J279" i="21"/>
  <c r="M279" i="21" s="1"/>
  <c r="J278" i="21"/>
  <c r="M278" i="21" s="1"/>
  <c r="O277" i="21"/>
  <c r="L277" i="21"/>
  <c r="K277" i="21"/>
  <c r="N277" i="21" s="1"/>
  <c r="L276" i="21"/>
  <c r="O276" i="21" s="1"/>
  <c r="K276" i="21"/>
  <c r="N276" i="21" s="1"/>
  <c r="L275" i="21"/>
  <c r="O275" i="21" s="1"/>
  <c r="K275" i="21"/>
  <c r="N275" i="21" s="1"/>
  <c r="O274" i="21"/>
  <c r="L274" i="21"/>
  <c r="K274" i="21"/>
  <c r="N274" i="21" s="1"/>
  <c r="L273" i="21"/>
  <c r="O273" i="21" s="1"/>
  <c r="K273" i="21"/>
  <c r="N273" i="21" s="1"/>
  <c r="L272" i="21"/>
  <c r="O272" i="21" s="1"/>
  <c r="K272" i="21"/>
  <c r="N272" i="21" s="1"/>
  <c r="O271" i="21"/>
  <c r="L271" i="21"/>
  <c r="K271" i="21"/>
  <c r="N271" i="21" s="1"/>
  <c r="N270" i="21"/>
  <c r="L270" i="21"/>
  <c r="O270" i="21" s="1"/>
  <c r="K270" i="21"/>
  <c r="O269" i="21"/>
  <c r="L269" i="21"/>
  <c r="K269" i="21"/>
  <c r="N269" i="21" s="1"/>
  <c r="L268" i="21"/>
  <c r="O268" i="21" s="1"/>
  <c r="K268" i="21"/>
  <c r="N268" i="21" s="1"/>
  <c r="L267" i="21"/>
  <c r="O267" i="21" s="1"/>
  <c r="K267" i="21"/>
  <c r="N267" i="21" s="1"/>
  <c r="L266" i="21"/>
  <c r="O266" i="21" s="1"/>
  <c r="K266" i="21"/>
  <c r="N266" i="21" s="1"/>
  <c r="J265" i="21"/>
  <c r="M265" i="21" s="1"/>
  <c r="J264" i="21"/>
  <c r="M264" i="21" s="1"/>
  <c r="M263" i="21"/>
  <c r="J263" i="21"/>
  <c r="M262" i="21"/>
  <c r="J262" i="21"/>
  <c r="J261" i="21"/>
  <c r="M261" i="21" s="1"/>
  <c r="J260" i="21"/>
  <c r="M260" i="21" s="1"/>
  <c r="J259" i="21"/>
  <c r="M259" i="21" s="1"/>
  <c r="M258" i="21"/>
  <c r="J258" i="21"/>
  <c r="J257" i="21"/>
  <c r="M257" i="21" s="1"/>
  <c r="J256" i="21"/>
  <c r="M256" i="21" s="1"/>
  <c r="J255" i="21"/>
  <c r="M255" i="21" s="1"/>
  <c r="J254" i="21"/>
  <c r="M254" i="21" s="1"/>
  <c r="J253" i="21"/>
  <c r="M253" i="21" s="1"/>
  <c r="J252" i="21"/>
  <c r="M252" i="21" s="1"/>
  <c r="M251" i="21"/>
  <c r="J251" i="21"/>
  <c r="J250" i="21"/>
  <c r="M250" i="21" s="1"/>
  <c r="J249" i="21"/>
  <c r="M249" i="21" s="1"/>
  <c r="J248" i="21"/>
  <c r="M248" i="21" s="1"/>
  <c r="M247" i="21"/>
  <c r="J247" i="21"/>
  <c r="M246" i="21"/>
  <c r="J246" i="21"/>
  <c r="J245" i="21"/>
  <c r="M245" i="21" s="1"/>
  <c r="J244" i="21"/>
  <c r="M244" i="21" s="1"/>
  <c r="J243" i="21"/>
  <c r="M243" i="21" s="1"/>
  <c r="J242" i="21"/>
  <c r="M242" i="21" s="1"/>
  <c r="J241" i="21"/>
  <c r="M241" i="21" s="1"/>
  <c r="J240" i="21"/>
  <c r="M240" i="21" s="1"/>
  <c r="J239" i="21"/>
  <c r="M239" i="21" s="1"/>
  <c r="J238" i="21"/>
  <c r="M238" i="21" s="1"/>
  <c r="J237" i="21"/>
  <c r="M237" i="21" s="1"/>
  <c r="J236" i="21"/>
  <c r="M236" i="21" s="1"/>
  <c r="J235" i="21"/>
  <c r="M235" i="21" s="1"/>
  <c r="J234" i="21"/>
  <c r="M234" i="21" s="1"/>
  <c r="J233" i="21"/>
  <c r="M233" i="21" s="1"/>
  <c r="J232" i="21"/>
  <c r="M232" i="21" s="1"/>
  <c r="M231" i="21"/>
  <c r="J231" i="21"/>
  <c r="M230" i="21"/>
  <c r="J230" i="21"/>
  <c r="L229" i="21"/>
  <c r="O229" i="21" s="1"/>
  <c r="K229" i="21"/>
  <c r="N229" i="21" s="1"/>
  <c r="L228" i="21"/>
  <c r="O228" i="21" s="1"/>
  <c r="K228" i="21"/>
  <c r="N228" i="21" s="1"/>
  <c r="N227" i="21"/>
  <c r="L227" i="21"/>
  <c r="O227" i="21" s="1"/>
  <c r="K227" i="21"/>
  <c r="L226" i="21"/>
  <c r="O226" i="21" s="1"/>
  <c r="K226" i="21"/>
  <c r="N226" i="21" s="1"/>
  <c r="L225" i="21"/>
  <c r="O225" i="21" s="1"/>
  <c r="K225" i="21"/>
  <c r="N225" i="21" s="1"/>
  <c r="L224" i="21"/>
  <c r="O224" i="21" s="1"/>
  <c r="K224" i="21"/>
  <c r="N224" i="21" s="1"/>
  <c r="N223" i="21"/>
  <c r="L223" i="21"/>
  <c r="O223" i="21" s="1"/>
  <c r="K223" i="21"/>
  <c r="L222" i="21"/>
  <c r="O222" i="21" s="1"/>
  <c r="K222" i="21"/>
  <c r="N222" i="21" s="1"/>
  <c r="L221" i="21"/>
  <c r="O221" i="21" s="1"/>
  <c r="K221" i="21"/>
  <c r="N221" i="21" s="1"/>
  <c r="L220" i="21"/>
  <c r="O220" i="21" s="1"/>
  <c r="K220" i="21"/>
  <c r="N220" i="21" s="1"/>
  <c r="L219" i="21"/>
  <c r="O219" i="21" s="1"/>
  <c r="K219" i="21"/>
  <c r="N219" i="21" s="1"/>
  <c r="L218" i="21"/>
  <c r="O218" i="21" s="1"/>
  <c r="K218" i="21"/>
  <c r="N218" i="21" s="1"/>
  <c r="L217" i="21"/>
  <c r="O217" i="21" s="1"/>
  <c r="K217" i="21"/>
  <c r="N217" i="21" s="1"/>
  <c r="L216" i="21"/>
  <c r="O216" i="21" s="1"/>
  <c r="K216" i="21"/>
  <c r="N216" i="21" s="1"/>
  <c r="L215" i="21"/>
  <c r="O215" i="21" s="1"/>
  <c r="K215" i="21"/>
  <c r="N215" i="21" s="1"/>
  <c r="L214" i="21"/>
  <c r="O214" i="21" s="1"/>
  <c r="K214" i="21"/>
  <c r="N214" i="21" s="1"/>
  <c r="L213" i="21"/>
  <c r="O213" i="21" s="1"/>
  <c r="K213" i="21"/>
  <c r="N213" i="21" s="1"/>
  <c r="O212" i="21"/>
  <c r="L212" i="21"/>
  <c r="K212" i="21"/>
  <c r="N212" i="21" s="1"/>
  <c r="N211" i="21"/>
  <c r="L211" i="21"/>
  <c r="O211" i="21" s="1"/>
  <c r="K211" i="21"/>
  <c r="L210" i="21"/>
  <c r="O210" i="21" s="1"/>
  <c r="K210" i="21"/>
  <c r="N210" i="21" s="1"/>
  <c r="L209" i="21"/>
  <c r="O209" i="21" s="1"/>
  <c r="K209" i="21"/>
  <c r="N209" i="21" s="1"/>
  <c r="N208" i="21"/>
  <c r="L208" i="21"/>
  <c r="O208" i="21" s="1"/>
  <c r="K208" i="21"/>
  <c r="O207" i="21"/>
  <c r="L207" i="21"/>
  <c r="K207" i="21"/>
  <c r="N207" i="21" s="1"/>
  <c r="L206" i="21"/>
  <c r="O206" i="21" s="1"/>
  <c r="K206" i="21"/>
  <c r="N206" i="21" s="1"/>
  <c r="J205" i="21"/>
  <c r="M205" i="21" s="1"/>
  <c r="J204" i="21"/>
  <c r="M204" i="21" s="1"/>
  <c r="M203" i="21"/>
  <c r="J203" i="21"/>
  <c r="J202" i="21"/>
  <c r="M202" i="21" s="1"/>
  <c r="J201" i="21"/>
  <c r="M201" i="21" s="1"/>
  <c r="J200" i="21"/>
  <c r="M200" i="21" s="1"/>
  <c r="J199" i="21"/>
  <c r="M199" i="21" s="1"/>
  <c r="M198" i="21"/>
  <c r="J198" i="21"/>
  <c r="J197" i="21"/>
  <c r="M197" i="21" s="1"/>
  <c r="J196" i="21"/>
  <c r="M196" i="21" s="1"/>
  <c r="J195" i="21"/>
  <c r="M195" i="21" s="1"/>
  <c r="M194" i="21"/>
  <c r="J194" i="21"/>
  <c r="J193" i="21"/>
  <c r="M193" i="21" s="1"/>
  <c r="J192" i="21"/>
  <c r="M192" i="21" s="1"/>
  <c r="J191" i="21"/>
  <c r="M191" i="21" s="1"/>
  <c r="J190" i="21"/>
  <c r="M190" i="21" s="1"/>
  <c r="J189" i="21"/>
  <c r="M189" i="21" s="1"/>
  <c r="J188" i="21"/>
  <c r="M188" i="21" s="1"/>
  <c r="M187" i="21"/>
  <c r="J187" i="21"/>
  <c r="J186" i="21"/>
  <c r="M186" i="21" s="1"/>
  <c r="J185" i="21"/>
  <c r="M185" i="21" s="1"/>
  <c r="J184" i="21"/>
  <c r="M184" i="21" s="1"/>
  <c r="M183" i="21"/>
  <c r="J183" i="21"/>
  <c r="J182" i="21"/>
  <c r="M182" i="21" s="1"/>
  <c r="L181" i="21"/>
  <c r="O181" i="21" s="1"/>
  <c r="J181" i="21"/>
  <c r="M181" i="21" s="1"/>
  <c r="L180" i="21"/>
  <c r="O180" i="21" s="1"/>
  <c r="J180" i="21"/>
  <c r="M180" i="21" s="1"/>
  <c r="M179" i="21"/>
  <c r="L179" i="21"/>
  <c r="O179" i="21" s="1"/>
  <c r="J179" i="21"/>
  <c r="L178" i="21"/>
  <c r="O178" i="21" s="1"/>
  <c r="J178" i="21"/>
  <c r="M178" i="21" s="1"/>
  <c r="O177" i="21"/>
  <c r="L177" i="21"/>
  <c r="J177" i="21"/>
  <c r="M177" i="21" s="1"/>
  <c r="L176" i="21"/>
  <c r="O176" i="21" s="1"/>
  <c r="J176" i="21"/>
  <c r="M176" i="21" s="1"/>
  <c r="L175" i="21"/>
  <c r="O175" i="21" s="1"/>
  <c r="J175" i="21"/>
  <c r="M175" i="21" s="1"/>
  <c r="L174" i="21"/>
  <c r="O174" i="21" s="1"/>
  <c r="J174" i="21"/>
  <c r="M174" i="21" s="1"/>
  <c r="L173" i="21"/>
  <c r="O173" i="21" s="1"/>
  <c r="J173" i="21"/>
  <c r="M173" i="21" s="1"/>
  <c r="L172" i="21"/>
  <c r="O172" i="21" s="1"/>
  <c r="J172" i="21"/>
  <c r="M172" i="21" s="1"/>
  <c r="O171" i="21"/>
  <c r="L171" i="21"/>
  <c r="J171" i="21"/>
  <c r="M171" i="21" s="1"/>
  <c r="L170" i="21"/>
  <c r="O170" i="21" s="1"/>
  <c r="J170" i="21"/>
  <c r="M170" i="21" s="1"/>
  <c r="L169" i="21"/>
  <c r="O169" i="21" s="1"/>
  <c r="K169" i="21"/>
  <c r="N169" i="21" s="1"/>
  <c r="N168" i="21"/>
  <c r="L168" i="21"/>
  <c r="O168" i="21" s="1"/>
  <c r="K168" i="21"/>
  <c r="O167" i="21"/>
  <c r="L167" i="21"/>
  <c r="K167" i="21"/>
  <c r="N167" i="21" s="1"/>
  <c r="L166" i="21"/>
  <c r="O166" i="21" s="1"/>
  <c r="K166" i="21"/>
  <c r="N166" i="21" s="1"/>
  <c r="L165" i="21"/>
  <c r="O165" i="21" s="1"/>
  <c r="K165" i="21"/>
  <c r="N165" i="21" s="1"/>
  <c r="O164" i="21"/>
  <c r="L164" i="21"/>
  <c r="K164" i="21"/>
  <c r="N164" i="21" s="1"/>
  <c r="L163" i="21"/>
  <c r="O163" i="21" s="1"/>
  <c r="K163" i="21"/>
  <c r="N163" i="21" s="1"/>
  <c r="L162" i="21"/>
  <c r="O162" i="21" s="1"/>
  <c r="K162" i="21"/>
  <c r="N162" i="21" s="1"/>
  <c r="L161" i="21"/>
  <c r="O161" i="21" s="1"/>
  <c r="K161" i="21"/>
  <c r="N161" i="21" s="1"/>
  <c r="O160" i="21"/>
  <c r="L160" i="21"/>
  <c r="K160" i="21"/>
  <c r="N160" i="21" s="1"/>
  <c r="L159" i="21"/>
  <c r="O159" i="21" s="1"/>
  <c r="K159" i="21"/>
  <c r="N159" i="21" s="1"/>
  <c r="L158" i="21"/>
  <c r="O158" i="21" s="1"/>
  <c r="K158" i="21"/>
  <c r="N158" i="21" s="1"/>
  <c r="L157" i="21"/>
  <c r="O157" i="21" s="1"/>
  <c r="J157" i="21"/>
  <c r="M157" i="21" s="1"/>
  <c r="O156" i="21"/>
  <c r="L156" i="21"/>
  <c r="J156" i="21"/>
  <c r="M156" i="21" s="1"/>
  <c r="L155" i="21"/>
  <c r="O155" i="21" s="1"/>
  <c r="J155" i="21"/>
  <c r="M155" i="21" s="1"/>
  <c r="M154" i="21"/>
  <c r="L154" i="21"/>
  <c r="O154" i="21" s="1"/>
  <c r="J154" i="21"/>
  <c r="L153" i="21"/>
  <c r="O153" i="21" s="1"/>
  <c r="J153" i="21"/>
  <c r="M153" i="21" s="1"/>
  <c r="L152" i="21"/>
  <c r="O152" i="21" s="1"/>
  <c r="J152" i="21"/>
  <c r="M152" i="21" s="1"/>
  <c r="O151" i="21"/>
  <c r="M151" i="21"/>
  <c r="L151" i="21"/>
  <c r="J151" i="21"/>
  <c r="L150" i="21"/>
  <c r="O150" i="21" s="1"/>
  <c r="J150" i="21"/>
  <c r="M150" i="21" s="1"/>
  <c r="L149" i="21"/>
  <c r="O149" i="21" s="1"/>
  <c r="J149" i="21"/>
  <c r="M149" i="21" s="1"/>
  <c r="O148" i="21"/>
  <c r="L148" i="21"/>
  <c r="J148" i="21"/>
  <c r="M148" i="21" s="1"/>
  <c r="L147" i="21"/>
  <c r="O147" i="21" s="1"/>
  <c r="J147" i="21"/>
  <c r="M147" i="21" s="1"/>
  <c r="L146" i="21"/>
  <c r="O146" i="21" s="1"/>
  <c r="J146" i="21"/>
  <c r="M146" i="21" s="1"/>
  <c r="J145" i="21"/>
  <c r="M145" i="21" s="1"/>
  <c r="J144" i="21"/>
  <c r="M144" i="21" s="1"/>
  <c r="J143" i="21"/>
  <c r="M143" i="21" s="1"/>
  <c r="J142" i="21"/>
  <c r="M142" i="21" s="1"/>
  <c r="J141" i="21"/>
  <c r="M141" i="21" s="1"/>
  <c r="J140" i="21"/>
  <c r="M140" i="21" s="1"/>
  <c r="M139" i="21"/>
  <c r="J139" i="21"/>
  <c r="J138" i="21"/>
  <c r="M138" i="21" s="1"/>
  <c r="M137" i="21"/>
  <c r="J137" i="21"/>
  <c r="J136" i="21"/>
  <c r="M136" i="21" s="1"/>
  <c r="M135" i="21"/>
  <c r="J135" i="21"/>
  <c r="J134" i="21"/>
  <c r="M134" i="21" s="1"/>
  <c r="J133" i="21"/>
  <c r="M133" i="21" s="1"/>
  <c r="J132" i="21"/>
  <c r="M132" i="21" s="1"/>
  <c r="M131" i="21"/>
  <c r="J131" i="21"/>
  <c r="J130" i="21"/>
  <c r="M130" i="21" s="1"/>
  <c r="J129" i="21"/>
  <c r="M129" i="21" s="1"/>
  <c r="J128" i="21"/>
  <c r="M128" i="21" s="1"/>
  <c r="M127" i="21"/>
  <c r="J127" i="21"/>
  <c r="J126" i="21"/>
  <c r="M126" i="21" s="1"/>
  <c r="J125" i="21"/>
  <c r="M125" i="21" s="1"/>
  <c r="J124" i="21"/>
  <c r="M124" i="21" s="1"/>
  <c r="J123" i="21"/>
  <c r="M123" i="21" s="1"/>
  <c r="J122" i="21"/>
  <c r="M122" i="21" s="1"/>
  <c r="L121" i="21"/>
  <c r="O121" i="21" s="1"/>
  <c r="K121" i="21"/>
  <c r="N121" i="21" s="1"/>
  <c r="N120" i="21"/>
  <c r="L120" i="21"/>
  <c r="O120" i="21" s="1"/>
  <c r="K120" i="21"/>
  <c r="L119" i="21"/>
  <c r="O119" i="21" s="1"/>
  <c r="K119" i="21"/>
  <c r="N119" i="21" s="1"/>
  <c r="L118" i="21"/>
  <c r="O118" i="21" s="1"/>
  <c r="K118" i="21"/>
  <c r="N118" i="21" s="1"/>
  <c r="L117" i="21"/>
  <c r="O117" i="21" s="1"/>
  <c r="K117" i="21"/>
  <c r="N117" i="21" s="1"/>
  <c r="N116" i="21"/>
  <c r="L116" i="21"/>
  <c r="O116" i="21" s="1"/>
  <c r="K116" i="21"/>
  <c r="L115" i="21"/>
  <c r="O115" i="21" s="1"/>
  <c r="K115" i="21"/>
  <c r="N115" i="21" s="1"/>
  <c r="L114" i="21"/>
  <c r="O114" i="21" s="1"/>
  <c r="K114" i="21"/>
  <c r="N114" i="21" s="1"/>
  <c r="L113" i="21"/>
  <c r="O113" i="21" s="1"/>
  <c r="K113" i="21"/>
  <c r="N113" i="21" s="1"/>
  <c r="O112" i="21"/>
  <c r="L112" i="21"/>
  <c r="K112" i="21"/>
  <c r="N112" i="21" s="1"/>
  <c r="L111" i="21"/>
  <c r="O111" i="21" s="1"/>
  <c r="K111" i="21"/>
  <c r="N111" i="21" s="1"/>
  <c r="L110" i="21"/>
  <c r="O110" i="21" s="1"/>
  <c r="K110" i="21"/>
  <c r="N110" i="21" s="1"/>
  <c r="L109" i="21"/>
  <c r="O109" i="21" s="1"/>
  <c r="K109" i="21"/>
  <c r="N109" i="21" s="1"/>
  <c r="O108" i="21"/>
  <c r="L108" i="21"/>
  <c r="K108" i="21"/>
  <c r="N108" i="21" s="1"/>
  <c r="L107" i="21"/>
  <c r="O107" i="21" s="1"/>
  <c r="K107" i="21"/>
  <c r="N107" i="21" s="1"/>
  <c r="L106" i="21"/>
  <c r="O106" i="21" s="1"/>
  <c r="K106" i="21"/>
  <c r="N106" i="21" s="1"/>
  <c r="L105" i="21"/>
  <c r="O105" i="21" s="1"/>
  <c r="K105" i="21"/>
  <c r="N105" i="21" s="1"/>
  <c r="L104" i="21"/>
  <c r="O104" i="21" s="1"/>
  <c r="K104" i="21"/>
  <c r="N104" i="21" s="1"/>
  <c r="N103" i="21"/>
  <c r="L103" i="21"/>
  <c r="O103" i="21" s="1"/>
  <c r="K103" i="21"/>
  <c r="L102" i="21"/>
  <c r="O102" i="21" s="1"/>
  <c r="K102" i="21"/>
  <c r="N102" i="21" s="1"/>
  <c r="L101" i="21"/>
  <c r="O101" i="21" s="1"/>
  <c r="K101" i="21"/>
  <c r="N101" i="21" s="1"/>
  <c r="N100" i="21"/>
  <c r="L100" i="21"/>
  <c r="O100" i="21" s="1"/>
  <c r="K100" i="21"/>
  <c r="L99" i="21"/>
  <c r="O99" i="21" s="1"/>
  <c r="K99" i="21"/>
  <c r="N99" i="21" s="1"/>
  <c r="L98" i="21"/>
  <c r="O98" i="21" s="1"/>
  <c r="K98" i="21"/>
  <c r="N98" i="21" s="1"/>
  <c r="J97" i="21"/>
  <c r="M97" i="21" s="1"/>
  <c r="J96" i="21"/>
  <c r="M96" i="21" s="1"/>
  <c r="M95" i="21"/>
  <c r="J95" i="21"/>
  <c r="J94" i="21"/>
  <c r="M94" i="21" s="1"/>
  <c r="J93" i="21"/>
  <c r="M93" i="21" s="1"/>
  <c r="J92" i="21"/>
  <c r="M92" i="21" s="1"/>
  <c r="J91" i="21"/>
  <c r="M91" i="21" s="1"/>
  <c r="J90" i="21"/>
  <c r="M90" i="21" s="1"/>
  <c r="J89" i="21"/>
  <c r="M89" i="21" s="1"/>
  <c r="J88" i="21"/>
  <c r="M88" i="21" s="1"/>
  <c r="J87" i="21"/>
  <c r="M87" i="21" s="1"/>
  <c r="J86" i="21"/>
  <c r="M86" i="21" s="1"/>
  <c r="J85" i="21"/>
  <c r="M85" i="21" s="1"/>
  <c r="J84" i="21"/>
  <c r="M84" i="21" s="1"/>
  <c r="J83" i="21"/>
  <c r="M83" i="21" s="1"/>
  <c r="J82" i="21"/>
  <c r="M82" i="21" s="1"/>
  <c r="J81" i="21"/>
  <c r="M81" i="21" s="1"/>
  <c r="J80" i="21"/>
  <c r="M80" i="21" s="1"/>
  <c r="J79" i="21"/>
  <c r="M79" i="21" s="1"/>
  <c r="J78" i="21"/>
  <c r="M78" i="21" s="1"/>
  <c r="J77" i="21"/>
  <c r="M77" i="21" s="1"/>
  <c r="J76" i="21"/>
  <c r="M76" i="21" s="1"/>
  <c r="M75" i="21"/>
  <c r="J75" i="21"/>
  <c r="J74" i="21"/>
  <c r="M74" i="21" s="1"/>
  <c r="L73" i="21"/>
  <c r="O73" i="21" s="1"/>
  <c r="K73" i="21"/>
  <c r="N73" i="21" s="1"/>
  <c r="O72" i="21"/>
  <c r="L72" i="21"/>
  <c r="K72" i="21"/>
  <c r="N72" i="21" s="1"/>
  <c r="L71" i="21"/>
  <c r="O71" i="21" s="1"/>
  <c r="K71" i="21"/>
  <c r="N71" i="21" s="1"/>
  <c r="L70" i="21"/>
  <c r="O70" i="21" s="1"/>
  <c r="K70" i="21"/>
  <c r="N70" i="21" s="1"/>
  <c r="L69" i="21"/>
  <c r="O69" i="21" s="1"/>
  <c r="K69" i="21"/>
  <c r="N69" i="21" s="1"/>
  <c r="L68" i="21"/>
  <c r="O68" i="21" s="1"/>
  <c r="K68" i="21"/>
  <c r="N68" i="21" s="1"/>
  <c r="L67" i="21"/>
  <c r="O67" i="21" s="1"/>
  <c r="K67" i="21"/>
  <c r="N67" i="21" s="1"/>
  <c r="L66" i="21"/>
  <c r="O66" i="21" s="1"/>
  <c r="K66" i="21"/>
  <c r="N66" i="21" s="1"/>
  <c r="L65" i="21"/>
  <c r="O65" i="21" s="1"/>
  <c r="K65" i="21"/>
  <c r="N65" i="21" s="1"/>
  <c r="N64" i="21"/>
  <c r="L64" i="21"/>
  <c r="O64" i="21" s="1"/>
  <c r="K64" i="21"/>
  <c r="N63" i="21"/>
  <c r="L63" i="21"/>
  <c r="O63" i="21" s="1"/>
  <c r="K63" i="21"/>
  <c r="L62" i="21"/>
  <c r="O62" i="21" s="1"/>
  <c r="K62" i="21"/>
  <c r="N62" i="21" s="1"/>
  <c r="L61" i="21"/>
  <c r="O61" i="21" s="1"/>
  <c r="K61" i="21"/>
  <c r="N61" i="21" s="1"/>
  <c r="L60" i="21"/>
  <c r="O60" i="21" s="1"/>
  <c r="K60" i="21"/>
  <c r="N60" i="21" s="1"/>
  <c r="N59" i="21"/>
  <c r="L59" i="21"/>
  <c r="O59" i="21" s="1"/>
  <c r="K59" i="21"/>
  <c r="L58" i="21"/>
  <c r="O58" i="21" s="1"/>
  <c r="K58" i="21"/>
  <c r="N58" i="21" s="1"/>
  <c r="L57" i="21"/>
  <c r="O57" i="21" s="1"/>
  <c r="K57" i="21"/>
  <c r="N57" i="21" s="1"/>
  <c r="N56" i="21"/>
  <c r="L56" i="21"/>
  <c r="O56" i="21" s="1"/>
  <c r="K56" i="21"/>
  <c r="L55" i="21"/>
  <c r="O55" i="21" s="1"/>
  <c r="K55" i="21"/>
  <c r="N55" i="21" s="1"/>
  <c r="L54" i="21"/>
  <c r="O54" i="21" s="1"/>
  <c r="K54" i="21"/>
  <c r="N54" i="21" s="1"/>
  <c r="L53" i="21"/>
  <c r="O53" i="21" s="1"/>
  <c r="K53" i="21"/>
  <c r="N53" i="21" s="1"/>
  <c r="O52" i="21"/>
  <c r="L52" i="21"/>
  <c r="K52" i="21"/>
  <c r="N52" i="21" s="1"/>
  <c r="L51" i="21"/>
  <c r="O51" i="21" s="1"/>
  <c r="K51" i="21"/>
  <c r="N51" i="21" s="1"/>
  <c r="L50" i="21"/>
  <c r="O50" i="21" s="1"/>
  <c r="K50" i="21"/>
  <c r="N50" i="21" s="1"/>
  <c r="L49" i="21"/>
  <c r="O49" i="21" s="1"/>
  <c r="L48" i="21"/>
  <c r="O48" i="21" s="1"/>
  <c r="L47" i="21"/>
  <c r="O47" i="21" s="1"/>
  <c r="L46" i="21"/>
  <c r="O46" i="21" s="1"/>
  <c r="L45" i="21"/>
  <c r="O45" i="21" s="1"/>
  <c r="L44" i="21"/>
  <c r="O44" i="21" s="1"/>
  <c r="L43" i="21"/>
  <c r="O43" i="21" s="1"/>
  <c r="L42" i="21"/>
  <c r="O42" i="21" s="1"/>
  <c r="L41" i="21"/>
  <c r="O41" i="21" s="1"/>
  <c r="O40" i="21"/>
  <c r="L40" i="21"/>
  <c r="L39" i="21"/>
  <c r="O39" i="21" s="1"/>
  <c r="L38" i="21"/>
  <c r="O38" i="21" s="1"/>
  <c r="L37" i="21"/>
  <c r="O37" i="21" s="1"/>
  <c r="J37" i="21"/>
  <c r="M37" i="21" s="1"/>
  <c r="L36" i="21"/>
  <c r="O36" i="21" s="1"/>
  <c r="J36" i="21"/>
  <c r="M36" i="21" s="1"/>
  <c r="L35" i="21"/>
  <c r="O35" i="21" s="1"/>
  <c r="J35" i="21"/>
  <c r="M35" i="21" s="1"/>
  <c r="L34" i="21"/>
  <c r="O34" i="21" s="1"/>
  <c r="J34" i="21"/>
  <c r="M34" i="21" s="1"/>
  <c r="L33" i="21"/>
  <c r="O33" i="21" s="1"/>
  <c r="J33" i="21"/>
  <c r="M33" i="21" s="1"/>
  <c r="O32" i="21"/>
  <c r="L32" i="21"/>
  <c r="J32" i="21"/>
  <c r="M32" i="21" s="1"/>
  <c r="L31" i="21"/>
  <c r="O31" i="21" s="1"/>
  <c r="J31" i="21"/>
  <c r="M31" i="21" s="1"/>
  <c r="L30" i="21"/>
  <c r="O30" i="21" s="1"/>
  <c r="J30" i="21"/>
  <c r="M30" i="21" s="1"/>
  <c r="L29" i="21"/>
  <c r="O29" i="21" s="1"/>
  <c r="J29" i="21"/>
  <c r="M29" i="21" s="1"/>
  <c r="L28" i="21"/>
  <c r="O28" i="21" s="1"/>
  <c r="J28" i="21"/>
  <c r="M28" i="21" s="1"/>
  <c r="L27" i="21"/>
  <c r="O27" i="21" s="1"/>
  <c r="J27" i="21"/>
  <c r="M27" i="21" s="1"/>
  <c r="L26" i="21"/>
  <c r="O26" i="21" s="1"/>
  <c r="J26" i="21"/>
  <c r="M26" i="21" s="1"/>
  <c r="L25" i="21"/>
  <c r="O25" i="21" s="1"/>
  <c r="L24" i="21"/>
  <c r="O24" i="21" s="1"/>
  <c r="L23" i="21"/>
  <c r="O23" i="21" s="1"/>
  <c r="L22" i="21"/>
  <c r="O22" i="21" s="1"/>
  <c r="L21" i="21"/>
  <c r="O21" i="21" s="1"/>
  <c r="L20" i="21"/>
  <c r="O20" i="21" s="1"/>
  <c r="L19" i="21"/>
  <c r="O19" i="21" s="1"/>
  <c r="O18" i="21"/>
  <c r="L18" i="21"/>
  <c r="L17" i="21"/>
  <c r="O17" i="21" s="1"/>
  <c r="L16" i="21"/>
  <c r="O16" i="21" s="1"/>
  <c r="L15" i="21"/>
  <c r="O15" i="21" s="1"/>
  <c r="L14" i="21"/>
  <c r="O14" i="21" s="1"/>
  <c r="O13" i="21"/>
  <c r="L13" i="21"/>
  <c r="L12" i="21"/>
  <c r="O12" i="21" s="1"/>
  <c r="L11" i="21"/>
  <c r="O11" i="21" s="1"/>
  <c r="L10" i="21"/>
  <c r="O10" i="21" s="1"/>
  <c r="L9" i="21"/>
  <c r="O9" i="21" s="1"/>
  <c r="J9" i="21"/>
  <c r="M9" i="21" s="1"/>
  <c r="M8" i="21"/>
  <c r="L8" i="21"/>
  <c r="O8" i="21" s="1"/>
  <c r="J8" i="21"/>
  <c r="L7" i="21"/>
  <c r="O7" i="21" s="1"/>
  <c r="J7" i="21"/>
  <c r="M7" i="21" s="1"/>
  <c r="L6" i="21"/>
  <c r="O6" i="21" s="1"/>
  <c r="J6" i="21"/>
  <c r="M6" i="21" s="1"/>
  <c r="L5" i="21"/>
  <c r="O5" i="21" s="1"/>
  <c r="L4" i="21"/>
  <c r="O4" i="21" s="1"/>
  <c r="L3" i="21"/>
  <c r="O3" i="21" s="1"/>
  <c r="O2" i="21"/>
  <c r="L2" i="21"/>
  <c r="X592" i="16"/>
  <c r="W592" i="16"/>
  <c r="X591" i="16"/>
  <c r="AD591" i="16" s="1"/>
  <c r="W591" i="16"/>
  <c r="X590" i="16"/>
  <c r="AD590" i="16" s="1"/>
  <c r="W590" i="16"/>
  <c r="AC590" i="16" s="1"/>
  <c r="X589" i="16"/>
  <c r="W589" i="16"/>
  <c r="X588" i="16"/>
  <c r="W588" i="16"/>
  <c r="X587" i="16"/>
  <c r="AD587" i="16" s="1"/>
  <c r="W587" i="16"/>
  <c r="X586" i="16"/>
  <c r="AD586" i="16" s="1"/>
  <c r="W586" i="16"/>
  <c r="AC586" i="16" s="1"/>
  <c r="X585" i="16"/>
  <c r="AD585" i="16" s="1"/>
  <c r="W585" i="16"/>
  <c r="X584" i="16"/>
  <c r="W584" i="16"/>
  <c r="X583" i="16"/>
  <c r="AD583" i="16" s="1"/>
  <c r="W583" i="16"/>
  <c r="X582" i="16"/>
  <c r="AD582" i="16" s="1"/>
  <c r="W582" i="16"/>
  <c r="X581" i="16"/>
  <c r="AD581" i="16" s="1"/>
  <c r="W581" i="16"/>
  <c r="AD233" i="17"/>
  <c r="X233" i="17"/>
  <c r="W233" i="17"/>
  <c r="AC233" i="17" s="1"/>
  <c r="AD232" i="17"/>
  <c r="X232" i="17"/>
  <c r="W232" i="17"/>
  <c r="AD231" i="17"/>
  <c r="X231" i="17"/>
  <c r="W231" i="17"/>
  <c r="AC231" i="17" s="1"/>
  <c r="AD230" i="17"/>
  <c r="X230" i="17"/>
  <c r="W230" i="17"/>
  <c r="AD229" i="17"/>
  <c r="AB229" i="17"/>
  <c r="X229" i="17"/>
  <c r="W229" i="17"/>
  <c r="AC229" i="17" s="1"/>
  <c r="AD228" i="17"/>
  <c r="X228" i="17"/>
  <c r="W228" i="17"/>
  <c r="AD227" i="17"/>
  <c r="AB227" i="17"/>
  <c r="X227" i="17"/>
  <c r="W227" i="17"/>
  <c r="AC227" i="17" s="1"/>
  <c r="AD226" i="17"/>
  <c r="AB226" i="17"/>
  <c r="X226" i="17"/>
  <c r="W226" i="17"/>
  <c r="AD225" i="17"/>
  <c r="X225" i="17"/>
  <c r="W225" i="17"/>
  <c r="AC225" i="17" s="1"/>
  <c r="AD224" i="17"/>
  <c r="X224" i="17"/>
  <c r="W224" i="17"/>
  <c r="AD223" i="17"/>
  <c r="X223" i="17"/>
  <c r="W223" i="17"/>
  <c r="AC223" i="17" s="1"/>
  <c r="AD222" i="17"/>
  <c r="X222" i="17"/>
  <c r="W222" i="17"/>
  <c r="M40" i="5"/>
  <c r="M39" i="5"/>
  <c r="M38" i="5"/>
  <c r="AY35" i="24" s="1"/>
  <c r="AJ9" i="17"/>
  <c r="AI9" i="17"/>
  <c r="AJ4" i="17"/>
  <c r="AI4" i="17"/>
  <c r="AD221" i="17"/>
  <c r="AD220" i="17"/>
  <c r="AD219" i="17"/>
  <c r="AD218" i="17"/>
  <c r="AD217" i="17"/>
  <c r="AD216" i="17"/>
  <c r="AD215" i="17"/>
  <c r="AD214" i="17"/>
  <c r="AD213" i="17"/>
  <c r="AD212" i="17"/>
  <c r="AD211" i="17"/>
  <c r="AD210" i="17"/>
  <c r="AD209" i="17"/>
  <c r="AD208" i="17"/>
  <c r="AD207" i="17"/>
  <c r="AD206" i="17"/>
  <c r="AD205" i="17"/>
  <c r="AD204" i="17"/>
  <c r="AD203" i="17"/>
  <c r="AD202" i="17"/>
  <c r="AD201" i="17"/>
  <c r="AD200" i="17"/>
  <c r="AD199" i="17"/>
  <c r="AD198" i="17"/>
  <c r="AD197" i="17"/>
  <c r="AD196" i="17"/>
  <c r="AD195" i="17"/>
  <c r="AD194" i="17"/>
  <c r="AD193" i="17"/>
  <c r="AD192" i="17"/>
  <c r="AD191" i="17"/>
  <c r="AD190" i="17"/>
  <c r="AD189" i="17"/>
  <c r="AD188" i="17"/>
  <c r="AD187" i="17"/>
  <c r="AD186" i="17"/>
  <c r="AD185" i="17"/>
  <c r="AD184" i="17"/>
  <c r="AD183" i="17"/>
  <c r="AD182" i="17"/>
  <c r="AD181" i="17"/>
  <c r="AD180" i="17"/>
  <c r="AD179" i="17"/>
  <c r="AD178" i="17"/>
  <c r="AD177" i="17"/>
  <c r="AD176" i="17"/>
  <c r="AD175" i="17"/>
  <c r="AD174" i="17"/>
  <c r="AD173" i="17"/>
  <c r="AD172" i="17"/>
  <c r="AD171" i="17"/>
  <c r="AD170" i="17"/>
  <c r="AD169" i="17"/>
  <c r="AD168" i="17"/>
  <c r="AD167" i="17"/>
  <c r="AD166" i="17"/>
  <c r="AD165" i="17"/>
  <c r="AD164" i="17"/>
  <c r="AD163" i="17"/>
  <c r="AD162" i="17"/>
  <c r="AD161" i="17"/>
  <c r="AD10" i="21" s="1"/>
  <c r="AD160" i="17"/>
  <c r="AD159" i="17"/>
  <c r="AD158" i="17"/>
  <c r="AD157" i="17"/>
  <c r="AD156" i="17"/>
  <c r="AD155" i="17"/>
  <c r="AD154" i="17"/>
  <c r="AD153" i="17"/>
  <c r="AD152" i="17"/>
  <c r="AD151" i="17"/>
  <c r="AD150" i="17"/>
  <c r="AD149" i="17"/>
  <c r="AD148" i="17"/>
  <c r="AD147" i="17"/>
  <c r="AD146" i="17"/>
  <c r="AD145" i="17"/>
  <c r="AD144" i="17"/>
  <c r="AD143" i="17"/>
  <c r="AD142" i="17"/>
  <c r="AD141" i="17"/>
  <c r="AD140" i="17"/>
  <c r="AD139" i="17"/>
  <c r="AD138" i="17"/>
  <c r="AD137" i="17"/>
  <c r="AD136" i="17"/>
  <c r="AD135" i="17"/>
  <c r="AD134" i="17"/>
  <c r="AD133" i="17"/>
  <c r="AD132" i="17"/>
  <c r="AD131" i="17"/>
  <c r="AD130" i="17"/>
  <c r="AD129" i="17"/>
  <c r="AD128" i="17"/>
  <c r="AD127" i="17"/>
  <c r="AD126" i="17"/>
  <c r="AD125" i="17"/>
  <c r="AD124" i="17"/>
  <c r="AD123" i="17"/>
  <c r="AD122" i="17"/>
  <c r="AD121" i="17"/>
  <c r="AD120" i="17"/>
  <c r="AD119" i="17"/>
  <c r="AD118" i="17"/>
  <c r="AD117" i="17"/>
  <c r="AD116" i="17"/>
  <c r="AD115" i="17"/>
  <c r="AD114" i="17"/>
  <c r="AD113" i="17"/>
  <c r="AD112" i="17"/>
  <c r="AD111" i="17"/>
  <c r="AD110" i="17"/>
  <c r="AD9" i="21" s="1"/>
  <c r="AD109" i="17"/>
  <c r="AD108" i="17"/>
  <c r="AD107" i="17"/>
  <c r="AD106" i="17"/>
  <c r="AD105" i="17"/>
  <c r="AD104" i="17"/>
  <c r="AD103" i="17"/>
  <c r="AD102" i="17"/>
  <c r="AD101" i="17"/>
  <c r="AD100" i="17"/>
  <c r="AD99" i="17"/>
  <c r="AD98" i="17"/>
  <c r="AE97" i="17"/>
  <c r="AE96" i="17"/>
  <c r="AE95" i="17"/>
  <c r="AE94" i="17"/>
  <c r="AE93" i="17"/>
  <c r="AE92" i="17"/>
  <c r="AE91" i="17"/>
  <c r="AE90" i="17"/>
  <c r="AE89" i="17"/>
  <c r="AE88" i="17"/>
  <c r="AE87" i="17"/>
  <c r="AE86" i="17"/>
  <c r="AD85" i="17"/>
  <c r="AD84" i="17"/>
  <c r="AD83" i="17"/>
  <c r="AD82" i="17"/>
  <c r="AD81" i="17"/>
  <c r="AD80" i="17"/>
  <c r="AD79" i="17"/>
  <c r="AD78" i="17"/>
  <c r="AD77" i="17"/>
  <c r="AD76" i="17"/>
  <c r="AD75" i="17"/>
  <c r="AD74" i="17"/>
  <c r="AE73" i="17"/>
  <c r="AE72" i="17"/>
  <c r="AE71" i="17"/>
  <c r="AE70" i="17"/>
  <c r="AE69" i="17"/>
  <c r="AE68" i="17"/>
  <c r="AE67" i="17"/>
  <c r="AE66" i="17"/>
  <c r="AE65" i="17"/>
  <c r="AE64" i="17"/>
  <c r="AE63" i="17"/>
  <c r="AE62" i="17"/>
  <c r="AE61" i="17"/>
  <c r="AE60" i="17"/>
  <c r="AE59" i="17"/>
  <c r="AE58" i="17"/>
  <c r="AE57" i="17"/>
  <c r="AE56" i="17"/>
  <c r="AE55" i="17"/>
  <c r="AE54" i="17"/>
  <c r="AE53" i="17"/>
  <c r="AE52" i="17"/>
  <c r="AE51" i="17"/>
  <c r="AE50" i="17"/>
  <c r="AD37" i="17"/>
  <c r="AD36" i="17"/>
  <c r="AD35" i="17"/>
  <c r="AD34" i="17"/>
  <c r="AD33" i="17"/>
  <c r="AD32" i="17"/>
  <c r="AD31" i="17"/>
  <c r="AD30" i="17"/>
  <c r="AD29" i="17"/>
  <c r="AD28" i="17"/>
  <c r="AD27" i="17"/>
  <c r="AD26" i="17"/>
  <c r="AD9" i="17"/>
  <c r="AD8" i="17"/>
  <c r="AD7" i="17"/>
  <c r="AD6" i="17"/>
  <c r="V233" i="17"/>
  <c r="AB233" i="17" s="1"/>
  <c r="V232" i="17"/>
  <c r="AB232" i="17" s="1"/>
  <c r="V231" i="17"/>
  <c r="AB231" i="17" s="1"/>
  <c r="V230" i="17"/>
  <c r="AB230" i="17" s="1"/>
  <c r="V229" i="17"/>
  <c r="V228" i="17"/>
  <c r="AB228" i="17" s="1"/>
  <c r="V227" i="17"/>
  <c r="V226" i="17"/>
  <c r="V225" i="17"/>
  <c r="AB225" i="17" s="1"/>
  <c r="V224" i="17"/>
  <c r="AB224" i="17" s="1"/>
  <c r="V223" i="17"/>
  <c r="AB223" i="17" s="1"/>
  <c r="V222" i="17"/>
  <c r="AB222" i="17" s="1"/>
  <c r="X221" i="17"/>
  <c r="W221" i="17"/>
  <c r="V221" i="17"/>
  <c r="AB221" i="17" s="1"/>
  <c r="X220" i="17"/>
  <c r="W220" i="17"/>
  <c r="V220" i="17"/>
  <c r="AB220" i="17" s="1"/>
  <c r="X219" i="17"/>
  <c r="W219" i="17"/>
  <c r="V219" i="17"/>
  <c r="AB219" i="17" s="1"/>
  <c r="X218" i="17"/>
  <c r="W218" i="17"/>
  <c r="V218" i="17"/>
  <c r="AB218" i="17" s="1"/>
  <c r="X217" i="17"/>
  <c r="W217" i="17"/>
  <c r="V217" i="17"/>
  <c r="AB217" i="17" s="1"/>
  <c r="X216" i="17"/>
  <c r="W216" i="17"/>
  <c r="V216" i="17"/>
  <c r="AB216" i="17" s="1"/>
  <c r="X215" i="17"/>
  <c r="W215" i="17"/>
  <c r="V215" i="17"/>
  <c r="AB215" i="17" s="1"/>
  <c r="X214" i="17"/>
  <c r="W214" i="17"/>
  <c r="V214" i="17"/>
  <c r="AB214" i="17" s="1"/>
  <c r="X213" i="17"/>
  <c r="W213" i="17"/>
  <c r="V213" i="17"/>
  <c r="AB213" i="17" s="1"/>
  <c r="X212" i="17"/>
  <c r="W212" i="17"/>
  <c r="V212" i="17"/>
  <c r="AB212" i="17" s="1"/>
  <c r="X211" i="17"/>
  <c r="W211" i="17"/>
  <c r="V211" i="17"/>
  <c r="AB211" i="17" s="1"/>
  <c r="X210" i="17"/>
  <c r="W210" i="17"/>
  <c r="V210" i="17"/>
  <c r="AB210" i="17" s="1"/>
  <c r="X209" i="17"/>
  <c r="W209" i="17"/>
  <c r="V209" i="17"/>
  <c r="AB209" i="17" s="1"/>
  <c r="X208" i="17"/>
  <c r="W208" i="17"/>
  <c r="V208" i="17"/>
  <c r="AB208" i="17" s="1"/>
  <c r="X207" i="17"/>
  <c r="W207" i="17"/>
  <c r="V207" i="17"/>
  <c r="AB207" i="17" s="1"/>
  <c r="X206" i="17"/>
  <c r="W206" i="17"/>
  <c r="V206" i="17"/>
  <c r="AB206" i="17" s="1"/>
  <c r="X205" i="17"/>
  <c r="W205" i="17"/>
  <c r="V205" i="17"/>
  <c r="AB205" i="17" s="1"/>
  <c r="X204" i="17"/>
  <c r="W204" i="17"/>
  <c r="V204" i="17"/>
  <c r="AB204" i="17" s="1"/>
  <c r="X203" i="17"/>
  <c r="W203" i="17"/>
  <c r="V203" i="17"/>
  <c r="AB203" i="17" s="1"/>
  <c r="X202" i="17"/>
  <c r="W202" i="17"/>
  <c r="V202" i="17"/>
  <c r="AB202" i="17" s="1"/>
  <c r="X201" i="17"/>
  <c r="W201" i="17"/>
  <c r="V201" i="17"/>
  <c r="AB201" i="17" s="1"/>
  <c r="X200" i="17"/>
  <c r="W200" i="17"/>
  <c r="V200" i="17"/>
  <c r="AB200" i="17" s="1"/>
  <c r="X199" i="17"/>
  <c r="W199" i="17"/>
  <c r="V199" i="17"/>
  <c r="AB199" i="17" s="1"/>
  <c r="X198" i="17"/>
  <c r="W198" i="17"/>
  <c r="V198" i="17"/>
  <c r="AB198" i="17" s="1"/>
  <c r="X197" i="17"/>
  <c r="W197" i="17"/>
  <c r="V197" i="17"/>
  <c r="AB197" i="17" s="1"/>
  <c r="X196" i="17"/>
  <c r="W196" i="17"/>
  <c r="V196" i="17"/>
  <c r="AB196" i="17" s="1"/>
  <c r="X195" i="17"/>
  <c r="W195" i="17"/>
  <c r="V195" i="17"/>
  <c r="AB195" i="17" s="1"/>
  <c r="X194" i="17"/>
  <c r="W194" i="17"/>
  <c r="V194" i="17"/>
  <c r="AB194" i="17" s="1"/>
  <c r="X193" i="17"/>
  <c r="W193" i="17"/>
  <c r="V193" i="17"/>
  <c r="AB193" i="17" s="1"/>
  <c r="X192" i="17"/>
  <c r="W192" i="17"/>
  <c r="V192" i="17"/>
  <c r="AB192" i="17" s="1"/>
  <c r="X191" i="17"/>
  <c r="W191" i="17"/>
  <c r="V191" i="17"/>
  <c r="AB191" i="17" s="1"/>
  <c r="X190" i="17"/>
  <c r="W190" i="17"/>
  <c r="V190" i="17"/>
  <c r="AB190" i="17" s="1"/>
  <c r="X189" i="17"/>
  <c r="W189" i="17"/>
  <c r="V189" i="17"/>
  <c r="AB189" i="17" s="1"/>
  <c r="X188" i="17"/>
  <c r="W188" i="17"/>
  <c r="V188" i="17"/>
  <c r="AB188" i="17" s="1"/>
  <c r="X187" i="17"/>
  <c r="W187" i="17"/>
  <c r="V187" i="17"/>
  <c r="AB187" i="17" s="1"/>
  <c r="X186" i="17"/>
  <c r="W186" i="17"/>
  <c r="V186" i="17"/>
  <c r="AB186" i="17" s="1"/>
  <c r="X185" i="17"/>
  <c r="W185" i="17"/>
  <c r="V185" i="17"/>
  <c r="AB185" i="17" s="1"/>
  <c r="X184" i="17"/>
  <c r="W184" i="17"/>
  <c r="V184" i="17"/>
  <c r="AB184" i="17" s="1"/>
  <c r="X183" i="17"/>
  <c r="W183" i="17"/>
  <c r="V183" i="17"/>
  <c r="AB183" i="17" s="1"/>
  <c r="X182" i="17"/>
  <c r="W182" i="17"/>
  <c r="V182" i="17"/>
  <c r="AB182" i="17" s="1"/>
  <c r="X181" i="17"/>
  <c r="W181" i="17"/>
  <c r="V181" i="17"/>
  <c r="AB181" i="17" s="1"/>
  <c r="X180" i="17"/>
  <c r="W180" i="17"/>
  <c r="V180" i="17"/>
  <c r="AB180" i="17" s="1"/>
  <c r="X179" i="17"/>
  <c r="W179" i="17"/>
  <c r="V179" i="17"/>
  <c r="AB179" i="17" s="1"/>
  <c r="X178" i="17"/>
  <c r="W178" i="17"/>
  <c r="V178" i="17"/>
  <c r="AB178" i="17" s="1"/>
  <c r="X177" i="17"/>
  <c r="W177" i="17"/>
  <c r="V177" i="17"/>
  <c r="AB177" i="17" s="1"/>
  <c r="X176" i="17"/>
  <c r="W176" i="17"/>
  <c r="V176" i="17"/>
  <c r="AB176" i="17" s="1"/>
  <c r="X175" i="17"/>
  <c r="W175" i="17"/>
  <c r="V175" i="17"/>
  <c r="AB175" i="17" s="1"/>
  <c r="X174" i="17"/>
  <c r="W174" i="17"/>
  <c r="V174" i="17"/>
  <c r="AB174" i="17" s="1"/>
  <c r="X173" i="17"/>
  <c r="W173" i="17"/>
  <c r="V173" i="17"/>
  <c r="AB173" i="17" s="1"/>
  <c r="X172" i="17"/>
  <c r="W172" i="17"/>
  <c r="V172" i="17"/>
  <c r="AB172" i="17" s="1"/>
  <c r="X171" i="17"/>
  <c r="W171" i="17"/>
  <c r="V171" i="17"/>
  <c r="AB171" i="17" s="1"/>
  <c r="X170" i="17"/>
  <c r="W170" i="17"/>
  <c r="V170" i="17"/>
  <c r="AB170" i="17" s="1"/>
  <c r="X169" i="17"/>
  <c r="W169" i="17"/>
  <c r="V169" i="17"/>
  <c r="AB169" i="17" s="1"/>
  <c r="X168" i="17"/>
  <c r="W168" i="17"/>
  <c r="V168" i="17"/>
  <c r="AB168" i="17" s="1"/>
  <c r="X167" i="17"/>
  <c r="W167" i="17"/>
  <c r="V167" i="17"/>
  <c r="AB167" i="17" s="1"/>
  <c r="X166" i="17"/>
  <c r="W166" i="17"/>
  <c r="V166" i="17"/>
  <c r="AB166" i="17" s="1"/>
  <c r="X165" i="17"/>
  <c r="W165" i="17"/>
  <c r="V165" i="17"/>
  <c r="AB165" i="17" s="1"/>
  <c r="X164" i="17"/>
  <c r="W164" i="17"/>
  <c r="V164" i="17"/>
  <c r="AB164" i="17" s="1"/>
  <c r="X163" i="17"/>
  <c r="W163" i="17"/>
  <c r="V163" i="17"/>
  <c r="AB163" i="17" s="1"/>
  <c r="X162" i="17"/>
  <c r="W162" i="17"/>
  <c r="V162" i="17"/>
  <c r="AB162" i="17" s="1"/>
  <c r="X161" i="17"/>
  <c r="W161" i="17"/>
  <c r="V161" i="17"/>
  <c r="AB161" i="17" s="1"/>
  <c r="X160" i="17"/>
  <c r="W160" i="17"/>
  <c r="V160" i="17"/>
  <c r="AB160" i="17" s="1"/>
  <c r="X159" i="17"/>
  <c r="W159" i="17"/>
  <c r="V159" i="17"/>
  <c r="AB159" i="17" s="1"/>
  <c r="X158" i="17"/>
  <c r="W158" i="17"/>
  <c r="V158" i="17"/>
  <c r="AB158" i="17" s="1"/>
  <c r="X157" i="17"/>
  <c r="W157" i="17"/>
  <c r="V157" i="17"/>
  <c r="AB157" i="17" s="1"/>
  <c r="X156" i="17"/>
  <c r="W156" i="17"/>
  <c r="V156" i="17"/>
  <c r="AB156" i="17" s="1"/>
  <c r="X155" i="17"/>
  <c r="W155" i="17"/>
  <c r="V155" i="17"/>
  <c r="AB155" i="17" s="1"/>
  <c r="X154" i="17"/>
  <c r="W154" i="17"/>
  <c r="V154" i="17"/>
  <c r="AB154" i="17" s="1"/>
  <c r="X153" i="17"/>
  <c r="W153" i="17"/>
  <c r="V153" i="17"/>
  <c r="AB153" i="17" s="1"/>
  <c r="X152" i="17"/>
  <c r="W152" i="17"/>
  <c r="V152" i="17"/>
  <c r="AB152" i="17" s="1"/>
  <c r="X151" i="17"/>
  <c r="W151" i="17"/>
  <c r="V151" i="17"/>
  <c r="AB151" i="17" s="1"/>
  <c r="X150" i="17"/>
  <c r="W150" i="17"/>
  <c r="V150" i="17"/>
  <c r="AB150" i="17" s="1"/>
  <c r="X149" i="17"/>
  <c r="W149" i="17"/>
  <c r="V149" i="17"/>
  <c r="AB149" i="17" s="1"/>
  <c r="X148" i="17"/>
  <c r="W148" i="17"/>
  <c r="V148" i="17"/>
  <c r="AB148" i="17" s="1"/>
  <c r="X147" i="17"/>
  <c r="W147" i="17"/>
  <c r="V147" i="17"/>
  <c r="AB147" i="17" s="1"/>
  <c r="X146" i="17"/>
  <c r="W146" i="17"/>
  <c r="V146" i="17"/>
  <c r="AB146" i="17" s="1"/>
  <c r="X145" i="17"/>
  <c r="W145" i="17"/>
  <c r="V145" i="17"/>
  <c r="AB145" i="17" s="1"/>
  <c r="X144" i="17"/>
  <c r="W144" i="17"/>
  <c r="V144" i="17"/>
  <c r="AB144" i="17" s="1"/>
  <c r="X143" i="17"/>
  <c r="W143" i="17"/>
  <c r="V143" i="17"/>
  <c r="AB143" i="17" s="1"/>
  <c r="X142" i="17"/>
  <c r="W142" i="17"/>
  <c r="V142" i="17"/>
  <c r="AB142" i="17" s="1"/>
  <c r="X141" i="17"/>
  <c r="W141" i="17"/>
  <c r="V141" i="17"/>
  <c r="AB141" i="17" s="1"/>
  <c r="X140" i="17"/>
  <c r="W140" i="17"/>
  <c r="V140" i="17"/>
  <c r="AB140" i="17" s="1"/>
  <c r="X139" i="17"/>
  <c r="W139" i="17"/>
  <c r="V139" i="17"/>
  <c r="AB139" i="17" s="1"/>
  <c r="X138" i="17"/>
  <c r="W138" i="17"/>
  <c r="V138" i="17"/>
  <c r="AB138" i="17" s="1"/>
  <c r="X137" i="17"/>
  <c r="W137" i="17"/>
  <c r="V137" i="17"/>
  <c r="AB137" i="17" s="1"/>
  <c r="X136" i="17"/>
  <c r="W136" i="17"/>
  <c r="V136" i="17"/>
  <c r="AB136" i="17" s="1"/>
  <c r="X135" i="17"/>
  <c r="W135" i="17"/>
  <c r="V135" i="17"/>
  <c r="AB135" i="17" s="1"/>
  <c r="X134" i="17"/>
  <c r="W134" i="17"/>
  <c r="V134" i="17"/>
  <c r="AB134" i="17" s="1"/>
  <c r="X133" i="17"/>
  <c r="W133" i="17"/>
  <c r="V133" i="17"/>
  <c r="AB133" i="17" s="1"/>
  <c r="X132" i="17"/>
  <c r="W132" i="17"/>
  <c r="V132" i="17"/>
  <c r="AB132" i="17" s="1"/>
  <c r="X131" i="17"/>
  <c r="W131" i="17"/>
  <c r="V131" i="17"/>
  <c r="AB131" i="17" s="1"/>
  <c r="X130" i="17"/>
  <c r="W130" i="17"/>
  <c r="V130" i="17"/>
  <c r="AB130" i="17" s="1"/>
  <c r="X129" i="17"/>
  <c r="W129" i="17"/>
  <c r="V129" i="17"/>
  <c r="AB129" i="17" s="1"/>
  <c r="X128" i="17"/>
  <c r="W128" i="17"/>
  <c r="V128" i="17"/>
  <c r="AB128" i="17" s="1"/>
  <c r="X127" i="17"/>
  <c r="W127" i="17"/>
  <c r="V127" i="17"/>
  <c r="AB127" i="17" s="1"/>
  <c r="X126" i="17"/>
  <c r="W126" i="17"/>
  <c r="V126" i="17"/>
  <c r="AB126" i="17" s="1"/>
  <c r="X125" i="17"/>
  <c r="W125" i="17"/>
  <c r="V125" i="17"/>
  <c r="AB125" i="17" s="1"/>
  <c r="X124" i="17"/>
  <c r="W124" i="17"/>
  <c r="V124" i="17"/>
  <c r="AB124" i="17" s="1"/>
  <c r="X123" i="17"/>
  <c r="W123" i="17"/>
  <c r="V123" i="17"/>
  <c r="AB123" i="17" s="1"/>
  <c r="X122" i="17"/>
  <c r="W122" i="17"/>
  <c r="V122" i="17"/>
  <c r="AB122" i="17" s="1"/>
  <c r="X121" i="17"/>
  <c r="W121" i="17"/>
  <c r="V121" i="17"/>
  <c r="AB121" i="17" s="1"/>
  <c r="X120" i="17"/>
  <c r="W120" i="17"/>
  <c r="V120" i="17"/>
  <c r="AB120" i="17" s="1"/>
  <c r="X119" i="17"/>
  <c r="W119" i="17"/>
  <c r="V119" i="17"/>
  <c r="AB119" i="17" s="1"/>
  <c r="X118" i="17"/>
  <c r="W118" i="17"/>
  <c r="V118" i="17"/>
  <c r="AB118" i="17" s="1"/>
  <c r="X117" i="17"/>
  <c r="W117" i="17"/>
  <c r="V117" i="17"/>
  <c r="AB117" i="17" s="1"/>
  <c r="X116" i="17"/>
  <c r="W116" i="17"/>
  <c r="AC116" i="17" s="1"/>
  <c r="V116" i="17"/>
  <c r="AB116" i="17" s="1"/>
  <c r="X115" i="17"/>
  <c r="W115" i="17"/>
  <c r="V115" i="17"/>
  <c r="AB115" i="17" s="1"/>
  <c r="X114" i="17"/>
  <c r="W114" i="17"/>
  <c r="V114" i="17"/>
  <c r="AB114" i="17" s="1"/>
  <c r="X113" i="17"/>
  <c r="W113" i="17"/>
  <c r="V113" i="17"/>
  <c r="AB113" i="17" s="1"/>
  <c r="X112" i="17"/>
  <c r="W112" i="17"/>
  <c r="V112" i="17"/>
  <c r="AB112" i="17" s="1"/>
  <c r="X111" i="17"/>
  <c r="W111" i="17"/>
  <c r="V111" i="17"/>
  <c r="AB111" i="17" s="1"/>
  <c r="X110" i="17"/>
  <c r="W110" i="17"/>
  <c r="V110" i="17"/>
  <c r="AB110" i="17" s="1"/>
  <c r="X109" i="17"/>
  <c r="W109" i="17"/>
  <c r="V109" i="17"/>
  <c r="AB109" i="17" s="1"/>
  <c r="X108" i="17"/>
  <c r="W108" i="17"/>
  <c r="V108" i="17"/>
  <c r="AB108" i="17" s="1"/>
  <c r="X107" i="17"/>
  <c r="W107" i="17"/>
  <c r="V107" i="17"/>
  <c r="AB107" i="17" s="1"/>
  <c r="X106" i="17"/>
  <c r="W106" i="17"/>
  <c r="V106" i="17"/>
  <c r="AB106" i="17" s="1"/>
  <c r="X105" i="17"/>
  <c r="W105" i="17"/>
  <c r="V105" i="17"/>
  <c r="AB105" i="17" s="1"/>
  <c r="X104" i="17"/>
  <c r="W104" i="17"/>
  <c r="V104" i="17"/>
  <c r="AB104" i="17" s="1"/>
  <c r="X103" i="17"/>
  <c r="W103" i="17"/>
  <c r="V103" i="17"/>
  <c r="AB103" i="17" s="1"/>
  <c r="X102" i="17"/>
  <c r="W102" i="17"/>
  <c r="V102" i="17"/>
  <c r="AB102" i="17" s="1"/>
  <c r="X101" i="17"/>
  <c r="W101" i="17"/>
  <c r="V101" i="17"/>
  <c r="AB101" i="17" s="1"/>
  <c r="X100" i="17"/>
  <c r="W100" i="17"/>
  <c r="V100" i="17"/>
  <c r="AB100" i="17" s="1"/>
  <c r="X99" i="17"/>
  <c r="W99" i="17"/>
  <c r="V99" i="17"/>
  <c r="AB99" i="17" s="1"/>
  <c r="X98" i="17"/>
  <c r="W98" i="17"/>
  <c r="V98" i="17"/>
  <c r="AB98" i="17" s="1"/>
  <c r="X97" i="17"/>
  <c r="W97" i="17"/>
  <c r="V97" i="17"/>
  <c r="AB97" i="17" s="1"/>
  <c r="X96" i="17"/>
  <c r="W96" i="17"/>
  <c r="V96" i="17"/>
  <c r="AB96" i="17" s="1"/>
  <c r="X95" i="17"/>
  <c r="W95" i="17"/>
  <c r="V95" i="17"/>
  <c r="AB95" i="17" s="1"/>
  <c r="X94" i="17"/>
  <c r="W94" i="17"/>
  <c r="V94" i="17"/>
  <c r="AB94" i="17" s="1"/>
  <c r="X93" i="17"/>
  <c r="W93" i="17"/>
  <c r="V93" i="17"/>
  <c r="AB93" i="17" s="1"/>
  <c r="X92" i="17"/>
  <c r="W92" i="17"/>
  <c r="V92" i="17"/>
  <c r="AB92" i="17" s="1"/>
  <c r="X91" i="17"/>
  <c r="W91" i="17"/>
  <c r="V91" i="17"/>
  <c r="AB91" i="17" s="1"/>
  <c r="X90" i="17"/>
  <c r="W90" i="17"/>
  <c r="V90" i="17"/>
  <c r="AB90" i="17" s="1"/>
  <c r="X89" i="17"/>
  <c r="W89" i="17"/>
  <c r="V89" i="17"/>
  <c r="AB89" i="17" s="1"/>
  <c r="X88" i="17"/>
  <c r="W88" i="17"/>
  <c r="V88" i="17"/>
  <c r="AB88" i="17" s="1"/>
  <c r="X87" i="17"/>
  <c r="W87" i="17"/>
  <c r="V87" i="17"/>
  <c r="AB87" i="17" s="1"/>
  <c r="X86" i="17"/>
  <c r="W86" i="17"/>
  <c r="V86" i="17"/>
  <c r="AB86" i="17" s="1"/>
  <c r="X85" i="17"/>
  <c r="W85" i="17"/>
  <c r="V85" i="17"/>
  <c r="AB85" i="17" s="1"/>
  <c r="X84" i="17"/>
  <c r="W84" i="17"/>
  <c r="V84" i="17"/>
  <c r="AB84" i="17" s="1"/>
  <c r="X83" i="17"/>
  <c r="W83" i="17"/>
  <c r="V83" i="17"/>
  <c r="AB83" i="17" s="1"/>
  <c r="X82" i="17"/>
  <c r="W82" i="17"/>
  <c r="V82" i="17"/>
  <c r="AB82" i="17" s="1"/>
  <c r="X81" i="17"/>
  <c r="W81" i="17"/>
  <c r="V81" i="17"/>
  <c r="AB81" i="17" s="1"/>
  <c r="X80" i="17"/>
  <c r="W80" i="17"/>
  <c r="V80" i="17"/>
  <c r="AB80" i="17" s="1"/>
  <c r="X79" i="17"/>
  <c r="W79" i="17"/>
  <c r="V79" i="17"/>
  <c r="AB79" i="17" s="1"/>
  <c r="X78" i="17"/>
  <c r="W78" i="17"/>
  <c r="V78" i="17"/>
  <c r="AB78" i="17" s="1"/>
  <c r="X77" i="17"/>
  <c r="W77" i="17"/>
  <c r="V77" i="17"/>
  <c r="AB77" i="17" s="1"/>
  <c r="X76" i="17"/>
  <c r="W76" i="17"/>
  <c r="V76" i="17"/>
  <c r="AB76" i="17" s="1"/>
  <c r="X75" i="17"/>
  <c r="W75" i="17"/>
  <c r="V75" i="17"/>
  <c r="AB75" i="17" s="1"/>
  <c r="X74" i="17"/>
  <c r="W74" i="17"/>
  <c r="V74" i="17"/>
  <c r="AB74" i="17" s="1"/>
  <c r="X73" i="17"/>
  <c r="W73" i="17"/>
  <c r="V73" i="17"/>
  <c r="AB73" i="17" s="1"/>
  <c r="X72" i="17"/>
  <c r="W72" i="17"/>
  <c r="V72" i="17"/>
  <c r="AB72" i="17" s="1"/>
  <c r="X71" i="17"/>
  <c r="W71" i="17"/>
  <c r="V71" i="17"/>
  <c r="AB71" i="17" s="1"/>
  <c r="X70" i="17"/>
  <c r="W70" i="17"/>
  <c r="V70" i="17"/>
  <c r="AB70" i="17" s="1"/>
  <c r="X69" i="17"/>
  <c r="W69" i="17"/>
  <c r="V69" i="17"/>
  <c r="AB69" i="17" s="1"/>
  <c r="X68" i="17"/>
  <c r="W68" i="17"/>
  <c r="V68" i="17"/>
  <c r="AB68" i="17" s="1"/>
  <c r="X67" i="17"/>
  <c r="W67" i="17"/>
  <c r="V67" i="17"/>
  <c r="AB67" i="17" s="1"/>
  <c r="X66" i="17"/>
  <c r="W66" i="17"/>
  <c r="V66" i="17"/>
  <c r="AB66" i="17" s="1"/>
  <c r="X65" i="17"/>
  <c r="W65" i="17"/>
  <c r="V65" i="17"/>
  <c r="AB65" i="17" s="1"/>
  <c r="X64" i="17"/>
  <c r="W64" i="17"/>
  <c r="V64" i="17"/>
  <c r="AB64" i="17" s="1"/>
  <c r="X63" i="17"/>
  <c r="W63" i="17"/>
  <c r="V63" i="17"/>
  <c r="AB63" i="17" s="1"/>
  <c r="X62" i="17"/>
  <c r="W62" i="17"/>
  <c r="V62" i="17"/>
  <c r="AB62" i="17" s="1"/>
  <c r="X61" i="17"/>
  <c r="W61" i="17"/>
  <c r="V61" i="17"/>
  <c r="AB61" i="17" s="1"/>
  <c r="X60" i="17"/>
  <c r="W60" i="17"/>
  <c r="V60" i="17"/>
  <c r="AB60" i="17" s="1"/>
  <c r="X59" i="17"/>
  <c r="W59" i="17"/>
  <c r="V59" i="17"/>
  <c r="AB59" i="17" s="1"/>
  <c r="X58" i="17"/>
  <c r="W58" i="17"/>
  <c r="V58" i="17"/>
  <c r="AB58" i="17" s="1"/>
  <c r="X57" i="17"/>
  <c r="W57" i="17"/>
  <c r="V57" i="17"/>
  <c r="AB57" i="17" s="1"/>
  <c r="X56" i="17"/>
  <c r="W56" i="17"/>
  <c r="V56" i="17"/>
  <c r="AB56" i="17" s="1"/>
  <c r="X55" i="17"/>
  <c r="W55" i="17"/>
  <c r="V55" i="17"/>
  <c r="AB55" i="17" s="1"/>
  <c r="X54" i="17"/>
  <c r="W54" i="17"/>
  <c r="V54" i="17"/>
  <c r="AB54" i="17" s="1"/>
  <c r="X53" i="17"/>
  <c r="W53" i="17"/>
  <c r="V53" i="17"/>
  <c r="AB53" i="17" s="1"/>
  <c r="X52" i="17"/>
  <c r="W52" i="17"/>
  <c r="V52" i="17"/>
  <c r="AB52" i="17" s="1"/>
  <c r="X51" i="17"/>
  <c r="W51" i="17"/>
  <c r="V51" i="17"/>
  <c r="AB51" i="17" s="1"/>
  <c r="X50" i="17"/>
  <c r="W50" i="17"/>
  <c r="V50" i="17"/>
  <c r="AB50" i="17" s="1"/>
  <c r="X49" i="17"/>
  <c r="W49" i="17"/>
  <c r="V49" i="17"/>
  <c r="AB49" i="17" s="1"/>
  <c r="X48" i="17"/>
  <c r="W48" i="17"/>
  <c r="V48" i="17"/>
  <c r="AB48" i="17" s="1"/>
  <c r="X47" i="17"/>
  <c r="W47" i="17"/>
  <c r="AC47" i="17" s="1"/>
  <c r="V47" i="17"/>
  <c r="AB47" i="17" s="1"/>
  <c r="X46" i="17"/>
  <c r="W46" i="17"/>
  <c r="V46" i="17"/>
  <c r="AB46" i="17" s="1"/>
  <c r="X45" i="17"/>
  <c r="W45" i="17"/>
  <c r="AC45" i="17" s="1"/>
  <c r="V45" i="17"/>
  <c r="AB45" i="17" s="1"/>
  <c r="X44" i="17"/>
  <c r="W44" i="17"/>
  <c r="AC44" i="17" s="1"/>
  <c r="V44" i="17"/>
  <c r="AB44" i="17" s="1"/>
  <c r="X43" i="17"/>
  <c r="W43" i="17"/>
  <c r="V43" i="17"/>
  <c r="AB43" i="17" s="1"/>
  <c r="X42" i="17"/>
  <c r="W42" i="17"/>
  <c r="V42" i="17"/>
  <c r="AB42" i="17" s="1"/>
  <c r="X41" i="17"/>
  <c r="W41" i="17"/>
  <c r="V41" i="17"/>
  <c r="AB41" i="17" s="1"/>
  <c r="X40" i="17"/>
  <c r="W40" i="17"/>
  <c r="V40" i="17"/>
  <c r="AB40" i="17" s="1"/>
  <c r="X39" i="17"/>
  <c r="W39" i="17"/>
  <c r="AC39" i="17" s="1"/>
  <c r="V39" i="17"/>
  <c r="AB39" i="17" s="1"/>
  <c r="X38" i="17"/>
  <c r="W38" i="17"/>
  <c r="V38" i="17"/>
  <c r="AB38" i="17" s="1"/>
  <c r="X37" i="17"/>
  <c r="W37" i="17"/>
  <c r="V37" i="17"/>
  <c r="AB37" i="17" s="1"/>
  <c r="X36" i="17"/>
  <c r="W36" i="17"/>
  <c r="V36" i="17"/>
  <c r="AB36" i="17" s="1"/>
  <c r="X35" i="17"/>
  <c r="W35" i="17"/>
  <c r="V35" i="17"/>
  <c r="AB35" i="17" s="1"/>
  <c r="X34" i="17"/>
  <c r="W34" i="17"/>
  <c r="V34" i="17"/>
  <c r="AB34" i="17" s="1"/>
  <c r="X33" i="17"/>
  <c r="W33" i="17"/>
  <c r="V33" i="17"/>
  <c r="AB33" i="17" s="1"/>
  <c r="X32" i="17"/>
  <c r="W32" i="17"/>
  <c r="V32" i="17"/>
  <c r="AB32" i="17" s="1"/>
  <c r="X31" i="17"/>
  <c r="W31" i="17"/>
  <c r="V31" i="17"/>
  <c r="AB31" i="17" s="1"/>
  <c r="X30" i="17"/>
  <c r="W30" i="17"/>
  <c r="V30" i="17"/>
  <c r="AB30" i="17" s="1"/>
  <c r="X29" i="17"/>
  <c r="W29" i="17"/>
  <c r="V29" i="17"/>
  <c r="AB29" i="17" s="1"/>
  <c r="X28" i="17"/>
  <c r="W28" i="17"/>
  <c r="V28" i="17"/>
  <c r="AB28" i="17" s="1"/>
  <c r="X27" i="17"/>
  <c r="W27" i="17"/>
  <c r="V27" i="17"/>
  <c r="AB27" i="17" s="1"/>
  <c r="X26" i="17"/>
  <c r="W26" i="17"/>
  <c r="V26" i="17"/>
  <c r="AB26" i="17" s="1"/>
  <c r="X25" i="17"/>
  <c r="W25" i="17"/>
  <c r="AC25" i="17" s="1"/>
  <c r="V25" i="17"/>
  <c r="AB25" i="17" s="1"/>
  <c r="X24" i="17"/>
  <c r="W24" i="17"/>
  <c r="V24" i="17"/>
  <c r="AB24" i="17" s="1"/>
  <c r="X23" i="17"/>
  <c r="W23" i="17"/>
  <c r="AC23" i="17" s="1"/>
  <c r="V23" i="17"/>
  <c r="AB23" i="17" s="1"/>
  <c r="X22" i="17"/>
  <c r="W22" i="17"/>
  <c r="V22" i="17"/>
  <c r="AB22" i="17" s="1"/>
  <c r="X21" i="17"/>
  <c r="W21" i="17"/>
  <c r="V21" i="17"/>
  <c r="AB21" i="17" s="1"/>
  <c r="X20" i="17"/>
  <c r="W20" i="17"/>
  <c r="V20" i="17"/>
  <c r="AB20" i="17" s="1"/>
  <c r="X19" i="17"/>
  <c r="W19" i="17"/>
  <c r="V19" i="17"/>
  <c r="AB19" i="17" s="1"/>
  <c r="X18" i="17"/>
  <c r="W18" i="17"/>
  <c r="V18" i="17"/>
  <c r="AB18" i="17" s="1"/>
  <c r="X17" i="17"/>
  <c r="W17" i="17"/>
  <c r="AC17" i="17" s="1"/>
  <c r="V17" i="17"/>
  <c r="AB17" i="17" s="1"/>
  <c r="X16" i="17"/>
  <c r="W16" i="17"/>
  <c r="V16" i="17"/>
  <c r="AB16" i="17" s="1"/>
  <c r="X15" i="17"/>
  <c r="W15" i="17"/>
  <c r="AC15" i="17" s="1"/>
  <c r="V15" i="17"/>
  <c r="AB15" i="17" s="1"/>
  <c r="X14" i="17"/>
  <c r="W14" i="17"/>
  <c r="V14" i="17"/>
  <c r="AB14" i="17" s="1"/>
  <c r="X13" i="17"/>
  <c r="W13" i="17"/>
  <c r="V13" i="17"/>
  <c r="AB13" i="17" s="1"/>
  <c r="X12" i="17"/>
  <c r="W12" i="17"/>
  <c r="V12" i="17"/>
  <c r="AB12" i="17" s="1"/>
  <c r="X11" i="17"/>
  <c r="W11" i="17"/>
  <c r="V11" i="17"/>
  <c r="AB11" i="17" s="1"/>
  <c r="X10" i="17"/>
  <c r="W10" i="17"/>
  <c r="V10" i="17"/>
  <c r="AB10" i="17" s="1"/>
  <c r="X9" i="17"/>
  <c r="W9" i="17"/>
  <c r="V9" i="17"/>
  <c r="AB9" i="17" s="1"/>
  <c r="X8" i="17"/>
  <c r="W8" i="17"/>
  <c r="V8" i="17"/>
  <c r="AB8" i="17" s="1"/>
  <c r="X7" i="17"/>
  <c r="W7" i="17"/>
  <c r="V7" i="17"/>
  <c r="AB7" i="17" s="1"/>
  <c r="X6" i="17"/>
  <c r="W6" i="17"/>
  <c r="V6" i="17"/>
  <c r="AB6" i="17" s="1"/>
  <c r="X5" i="17"/>
  <c r="W5" i="17"/>
  <c r="AC5" i="17" s="1"/>
  <c r="V5" i="17"/>
  <c r="AB5" i="17" s="1"/>
  <c r="X4" i="17"/>
  <c r="W4" i="17"/>
  <c r="V4" i="17"/>
  <c r="AB4" i="17" s="1"/>
  <c r="X3" i="17"/>
  <c r="W3" i="17"/>
  <c r="V3" i="17"/>
  <c r="AB3" i="17" s="1"/>
  <c r="X2" i="17"/>
  <c r="W2" i="17"/>
  <c r="V2" i="17"/>
  <c r="AB2" i="17" s="1"/>
  <c r="AE604" i="16"/>
  <c r="AB604" i="16"/>
  <c r="AE603" i="16"/>
  <c r="AE602" i="16"/>
  <c r="AE601" i="16"/>
  <c r="AE600" i="16"/>
  <c r="AE599" i="16"/>
  <c r="AE598" i="16"/>
  <c r="AE597" i="16"/>
  <c r="AE596" i="16"/>
  <c r="AE595" i="16"/>
  <c r="AE594" i="16"/>
  <c r="AE593" i="16"/>
  <c r="AE592" i="16"/>
  <c r="AD592" i="16"/>
  <c r="AC592" i="16"/>
  <c r="AE591" i="16"/>
  <c r="AC591" i="16"/>
  <c r="AE590" i="16"/>
  <c r="AE589" i="16"/>
  <c r="AD589" i="16"/>
  <c r="AC589" i="16"/>
  <c r="AE588" i="16"/>
  <c r="AD588" i="16"/>
  <c r="AC588" i="16"/>
  <c r="AE587" i="16"/>
  <c r="AC587" i="16"/>
  <c r="AE586" i="16"/>
  <c r="AE585" i="16"/>
  <c r="AC585" i="16"/>
  <c r="AE584" i="16"/>
  <c r="AD584" i="16"/>
  <c r="AC584" i="16"/>
  <c r="AE583" i="16"/>
  <c r="AC583" i="16"/>
  <c r="AE582" i="16"/>
  <c r="AC582" i="16"/>
  <c r="AE581" i="16"/>
  <c r="AC581" i="16"/>
  <c r="AE580" i="16"/>
  <c r="AE579" i="16"/>
  <c r="AE578" i="16"/>
  <c r="AE577" i="16"/>
  <c r="AE576" i="16"/>
  <c r="AE575" i="16"/>
  <c r="AE574" i="16"/>
  <c r="AE573" i="16"/>
  <c r="AE572" i="16"/>
  <c r="AE571" i="16"/>
  <c r="AE570" i="16"/>
  <c r="AE569" i="16"/>
  <c r="AE568" i="16"/>
  <c r="AE567" i="16"/>
  <c r="AE566" i="16"/>
  <c r="AE565" i="16"/>
  <c r="AE564" i="16"/>
  <c r="AB564" i="16"/>
  <c r="AE563" i="16"/>
  <c r="AE562" i="16"/>
  <c r="AE561" i="16"/>
  <c r="AE560" i="16"/>
  <c r="AE559" i="16"/>
  <c r="AE558" i="16"/>
  <c r="AE557" i="16"/>
  <c r="AE556" i="16"/>
  <c r="AE555" i="16"/>
  <c r="AE554" i="16"/>
  <c r="AE553" i="16"/>
  <c r="AE552" i="16"/>
  <c r="AE551" i="16"/>
  <c r="AE550" i="16"/>
  <c r="AE549" i="16"/>
  <c r="AE548" i="16"/>
  <c r="AE547" i="16"/>
  <c r="AE546" i="16"/>
  <c r="AE545" i="16"/>
  <c r="AE544" i="16"/>
  <c r="AE543" i="16"/>
  <c r="AE542" i="16"/>
  <c r="AE541" i="16"/>
  <c r="AE540" i="16"/>
  <c r="AE539" i="16"/>
  <c r="AE538" i="16"/>
  <c r="AE537" i="16"/>
  <c r="AE536" i="16"/>
  <c r="AE535" i="16"/>
  <c r="AE534" i="16"/>
  <c r="AE533" i="16"/>
  <c r="AE532" i="16"/>
  <c r="AE531" i="16"/>
  <c r="AE530" i="16"/>
  <c r="AE529" i="16"/>
  <c r="AE528" i="16"/>
  <c r="AE527" i="16"/>
  <c r="AE526" i="16"/>
  <c r="AE525" i="16"/>
  <c r="AE524" i="16"/>
  <c r="AE523" i="16"/>
  <c r="AE522" i="16"/>
  <c r="AE521" i="16"/>
  <c r="AE520" i="16"/>
  <c r="AE519" i="16"/>
  <c r="AE518" i="16"/>
  <c r="AE517" i="16"/>
  <c r="AE516" i="16"/>
  <c r="AE515" i="16"/>
  <c r="AE514" i="16"/>
  <c r="AE513" i="16"/>
  <c r="AE512" i="16"/>
  <c r="AE511" i="16"/>
  <c r="AE510" i="16"/>
  <c r="AE509" i="16"/>
  <c r="AE508" i="16"/>
  <c r="AE507" i="16"/>
  <c r="AE506" i="16"/>
  <c r="AE505" i="16"/>
  <c r="AE504" i="16"/>
  <c r="AE503" i="16"/>
  <c r="AE502" i="16"/>
  <c r="AE501" i="16"/>
  <c r="AE500" i="16"/>
  <c r="AE499" i="16"/>
  <c r="AE498" i="16"/>
  <c r="AE497" i="16"/>
  <c r="AE496" i="16"/>
  <c r="AE495" i="16"/>
  <c r="AE494" i="16"/>
  <c r="AE493" i="16"/>
  <c r="AE492" i="16"/>
  <c r="AE491" i="16"/>
  <c r="AE490" i="16"/>
  <c r="AE489" i="16"/>
  <c r="AE488" i="16"/>
  <c r="AE487" i="16"/>
  <c r="AE486" i="16"/>
  <c r="AE485" i="16"/>
  <c r="AE484" i="16"/>
  <c r="AE483" i="16"/>
  <c r="AE482" i="16"/>
  <c r="AE481" i="16"/>
  <c r="AE480" i="16"/>
  <c r="AE479" i="16"/>
  <c r="AE478" i="16"/>
  <c r="AE477" i="16"/>
  <c r="AE476" i="16"/>
  <c r="AE475" i="16"/>
  <c r="AE474" i="16"/>
  <c r="AE473" i="16"/>
  <c r="AE472" i="16"/>
  <c r="AE471" i="16"/>
  <c r="AE470" i="16"/>
  <c r="AE469" i="16"/>
  <c r="AE468" i="16"/>
  <c r="AE467" i="16"/>
  <c r="AE466" i="16"/>
  <c r="AE465" i="16"/>
  <c r="AE464" i="16"/>
  <c r="AE463" i="16"/>
  <c r="AE462" i="16"/>
  <c r="AE461" i="16"/>
  <c r="AE460" i="16"/>
  <c r="AE459" i="16"/>
  <c r="AE458" i="16"/>
  <c r="AE457" i="16"/>
  <c r="AE456" i="16"/>
  <c r="AE455" i="16"/>
  <c r="AE454" i="16"/>
  <c r="AE453" i="16"/>
  <c r="AE452" i="16"/>
  <c r="AE451" i="16"/>
  <c r="AE450" i="16"/>
  <c r="AE449" i="16"/>
  <c r="AE448" i="16"/>
  <c r="AE447" i="16"/>
  <c r="AE446" i="16"/>
  <c r="AE445" i="16"/>
  <c r="AE444" i="16"/>
  <c r="AE443" i="16"/>
  <c r="AE442" i="16"/>
  <c r="AE441" i="16"/>
  <c r="AE440" i="16"/>
  <c r="AB440" i="16"/>
  <c r="AE439" i="16"/>
  <c r="AE438" i="16"/>
  <c r="AE437" i="16"/>
  <c r="AE436" i="16"/>
  <c r="AE435" i="16"/>
  <c r="AE434" i="16"/>
  <c r="AE433" i="16"/>
  <c r="AE432" i="16"/>
  <c r="AE431" i="16"/>
  <c r="AE430" i="16"/>
  <c r="AE429" i="16"/>
  <c r="AE428" i="16"/>
  <c r="AE427" i="16"/>
  <c r="AE426" i="16"/>
  <c r="AE425" i="16"/>
  <c r="AE424" i="16"/>
  <c r="AE423" i="16"/>
  <c r="AE422" i="16"/>
  <c r="AE421" i="16"/>
  <c r="AE420" i="16"/>
  <c r="AE419" i="16"/>
  <c r="AE418" i="16"/>
  <c r="AE417" i="16"/>
  <c r="AE416" i="16"/>
  <c r="AE415" i="16"/>
  <c r="AE414" i="16"/>
  <c r="AE413" i="16"/>
  <c r="AE412" i="16"/>
  <c r="AE411" i="16"/>
  <c r="AE410" i="16"/>
  <c r="AE409" i="16"/>
  <c r="AE408" i="16"/>
  <c r="AE407" i="16"/>
  <c r="AE406" i="16"/>
  <c r="AE405" i="16"/>
  <c r="AE404" i="16"/>
  <c r="AE403" i="16"/>
  <c r="AE402" i="16"/>
  <c r="AE401" i="16"/>
  <c r="AE400" i="16"/>
  <c r="AE399" i="16"/>
  <c r="AE398" i="16"/>
  <c r="AE397" i="16"/>
  <c r="AE396" i="16"/>
  <c r="AE395" i="16"/>
  <c r="AE394" i="16"/>
  <c r="AE393" i="16"/>
  <c r="AC393" i="16"/>
  <c r="AE392" i="16"/>
  <c r="AE391" i="16"/>
  <c r="AE390" i="16"/>
  <c r="AE389" i="16"/>
  <c r="AE388" i="16"/>
  <c r="AE387" i="16"/>
  <c r="AE386" i="16"/>
  <c r="AE385" i="16"/>
  <c r="AE384" i="16"/>
  <c r="AE383" i="16"/>
  <c r="AE382" i="16"/>
  <c r="AE381" i="16"/>
  <c r="AE380" i="16"/>
  <c r="AE379" i="16"/>
  <c r="AE378" i="16"/>
  <c r="AE377" i="16"/>
  <c r="AE376" i="16"/>
  <c r="AE375" i="16"/>
  <c r="AE374" i="16"/>
  <c r="AE373" i="16"/>
  <c r="AE372" i="16"/>
  <c r="AE371" i="16"/>
  <c r="AE370" i="16"/>
  <c r="AE369" i="16"/>
  <c r="AE368" i="16"/>
  <c r="AE367" i="16"/>
  <c r="AE366" i="16"/>
  <c r="AE365" i="16"/>
  <c r="AE364" i="16"/>
  <c r="AE363" i="16"/>
  <c r="AE362" i="16"/>
  <c r="AE361" i="16"/>
  <c r="AE360" i="16"/>
  <c r="AE359" i="16"/>
  <c r="AE358" i="16"/>
  <c r="AE357" i="16"/>
  <c r="AE356" i="16"/>
  <c r="AE355" i="16"/>
  <c r="AE354" i="16"/>
  <c r="AE353" i="16"/>
  <c r="AE352" i="16"/>
  <c r="AE351" i="16"/>
  <c r="AE350" i="16"/>
  <c r="AE349" i="16"/>
  <c r="AE348" i="16"/>
  <c r="AE347" i="16"/>
  <c r="AE346" i="16"/>
  <c r="AE345" i="16"/>
  <c r="AE344" i="16"/>
  <c r="AE343" i="16"/>
  <c r="AE342" i="16"/>
  <c r="AE341" i="16"/>
  <c r="AE340" i="16"/>
  <c r="AE339" i="16"/>
  <c r="AE338" i="16"/>
  <c r="AE337" i="16"/>
  <c r="AE336" i="16"/>
  <c r="AE335" i="16"/>
  <c r="AE334" i="16"/>
  <c r="AE333" i="16"/>
  <c r="AE332" i="16"/>
  <c r="AE331" i="16"/>
  <c r="AE330" i="16"/>
  <c r="AE329" i="16"/>
  <c r="AE328" i="16"/>
  <c r="AE327" i="16"/>
  <c r="AE326" i="16"/>
  <c r="AE325" i="16"/>
  <c r="AE324" i="16"/>
  <c r="AE323" i="16"/>
  <c r="AE322" i="16"/>
  <c r="AE321" i="16"/>
  <c r="AE320" i="16"/>
  <c r="AE319" i="16"/>
  <c r="AE318" i="16"/>
  <c r="AE317" i="16"/>
  <c r="AE316" i="16"/>
  <c r="AE315" i="16"/>
  <c r="AE314" i="16"/>
  <c r="AE313" i="16"/>
  <c r="AE312" i="16"/>
  <c r="AB312" i="16"/>
  <c r="AE311" i="16"/>
  <c r="AE310" i="16"/>
  <c r="AE309" i="16"/>
  <c r="AE308" i="16"/>
  <c r="AE307" i="16"/>
  <c r="AE306" i="16"/>
  <c r="AE305" i="16"/>
  <c r="AE304" i="16"/>
  <c r="AE303" i="16"/>
  <c r="AE302" i="16"/>
  <c r="AE301" i="16"/>
  <c r="AE300" i="16"/>
  <c r="AE299" i="16"/>
  <c r="AE298" i="16"/>
  <c r="AE297" i="16"/>
  <c r="AE296" i="16"/>
  <c r="AE295" i="16"/>
  <c r="AE294" i="16"/>
  <c r="AE293" i="16"/>
  <c r="AE292" i="16"/>
  <c r="AE291" i="16"/>
  <c r="AE290" i="16"/>
  <c r="AE289" i="16"/>
  <c r="AE288" i="16"/>
  <c r="AE287" i="16"/>
  <c r="AE286" i="16"/>
  <c r="AE285" i="16"/>
  <c r="AE284" i="16"/>
  <c r="AE283" i="16"/>
  <c r="AE282" i="16"/>
  <c r="AE281" i="16"/>
  <c r="AE280" i="16"/>
  <c r="AE279" i="16"/>
  <c r="AE278" i="16"/>
  <c r="AG277" i="16"/>
  <c r="AF277" i="16"/>
  <c r="AG276" i="16"/>
  <c r="AF276" i="16"/>
  <c r="AG275" i="16"/>
  <c r="AF275" i="16"/>
  <c r="AG274" i="16"/>
  <c r="AF274" i="16"/>
  <c r="AG273" i="16"/>
  <c r="AF273" i="16"/>
  <c r="AG272" i="16"/>
  <c r="AF272" i="16"/>
  <c r="AG271" i="16"/>
  <c r="AF271" i="16"/>
  <c r="AG270" i="16"/>
  <c r="AF270" i="16"/>
  <c r="AG269" i="16"/>
  <c r="AF269" i="16"/>
  <c r="AG268" i="16"/>
  <c r="AF268" i="16"/>
  <c r="AG267" i="16"/>
  <c r="AF267" i="16"/>
  <c r="AG266" i="16"/>
  <c r="AF266" i="16"/>
  <c r="AE265" i="16"/>
  <c r="AE264" i="16"/>
  <c r="AE263" i="16"/>
  <c r="AE262" i="16"/>
  <c r="AE261" i="16"/>
  <c r="AE260" i="16"/>
  <c r="AE259" i="16"/>
  <c r="AE258" i="16"/>
  <c r="AE257" i="16"/>
  <c r="AE256" i="16"/>
  <c r="AE255" i="16"/>
  <c r="AE254" i="16"/>
  <c r="AE253" i="16"/>
  <c r="AE252" i="16"/>
  <c r="AE251" i="16"/>
  <c r="AE250" i="16"/>
  <c r="AE249" i="16"/>
  <c r="AE248" i="16"/>
  <c r="AE247" i="16"/>
  <c r="AE246" i="16"/>
  <c r="AE245" i="16"/>
  <c r="AE244" i="16"/>
  <c r="AE243" i="16"/>
  <c r="AE242" i="16"/>
  <c r="AE241" i="16"/>
  <c r="AE240" i="16"/>
  <c r="AE239" i="16"/>
  <c r="AE238" i="16"/>
  <c r="AE237" i="16"/>
  <c r="AE236" i="16"/>
  <c r="AE235" i="16"/>
  <c r="AE234" i="16"/>
  <c r="AE233" i="16"/>
  <c r="AE232" i="16"/>
  <c r="AE231" i="16"/>
  <c r="AE230" i="16"/>
  <c r="AG229" i="16"/>
  <c r="AF229" i="16"/>
  <c r="AG228" i="16"/>
  <c r="AF228" i="16"/>
  <c r="AG227" i="16"/>
  <c r="AF227" i="16"/>
  <c r="AG226" i="16"/>
  <c r="AF226" i="16"/>
  <c r="AB226" i="16"/>
  <c r="AG225" i="16"/>
  <c r="AF225" i="16"/>
  <c r="AG224" i="16"/>
  <c r="AF224" i="16"/>
  <c r="AG223" i="16"/>
  <c r="AF223" i="16"/>
  <c r="AG222" i="16"/>
  <c r="AF222" i="16"/>
  <c r="AG221" i="16"/>
  <c r="AF221" i="16"/>
  <c r="AG220" i="16"/>
  <c r="AF220" i="16"/>
  <c r="AG219" i="16"/>
  <c r="AF219" i="16"/>
  <c r="AG218" i="16"/>
  <c r="AF218" i="16"/>
  <c r="AG217" i="16"/>
  <c r="AF217" i="16"/>
  <c r="AG216" i="16"/>
  <c r="AF216" i="16"/>
  <c r="AG215" i="16"/>
  <c r="AF215" i="16"/>
  <c r="AG214" i="16"/>
  <c r="AF214" i="16"/>
  <c r="AG213" i="16"/>
  <c r="AF213" i="16"/>
  <c r="AG212" i="16"/>
  <c r="AF212" i="16"/>
  <c r="AG211" i="16"/>
  <c r="AF211" i="16"/>
  <c r="AG210" i="16"/>
  <c r="AF210" i="16"/>
  <c r="AG209" i="16"/>
  <c r="AF209" i="16"/>
  <c r="AG208" i="16"/>
  <c r="AF208" i="16"/>
  <c r="AG207" i="16"/>
  <c r="AF207" i="16"/>
  <c r="AD207" i="16"/>
  <c r="AG206" i="16"/>
  <c r="AF206" i="16"/>
  <c r="AE205" i="16"/>
  <c r="AE204" i="16"/>
  <c r="AE203" i="16"/>
  <c r="AE202" i="16"/>
  <c r="AE201" i="16"/>
  <c r="AE200" i="16"/>
  <c r="AE199" i="16"/>
  <c r="AE198" i="16"/>
  <c r="AE197" i="16"/>
  <c r="AE196" i="16"/>
  <c r="AE195" i="16"/>
  <c r="AE194" i="16"/>
  <c r="AE193" i="16"/>
  <c r="AE192" i="16"/>
  <c r="AE191" i="16"/>
  <c r="AE190" i="16"/>
  <c r="AE189" i="16"/>
  <c r="AE188" i="16"/>
  <c r="AE187" i="16"/>
  <c r="AE186" i="16"/>
  <c r="AE185" i="16"/>
  <c r="AE184" i="16"/>
  <c r="AE183" i="16"/>
  <c r="AE182" i="16"/>
  <c r="AG181" i="16"/>
  <c r="AE181" i="16"/>
  <c r="AD181" i="16"/>
  <c r="AG180" i="16"/>
  <c r="AE180" i="16"/>
  <c r="AG179" i="16"/>
  <c r="AE179" i="16"/>
  <c r="AG178" i="16"/>
  <c r="AE178" i="16"/>
  <c r="AG177" i="16"/>
  <c r="AE177" i="16"/>
  <c r="AG176" i="16"/>
  <c r="AE176" i="16"/>
  <c r="AG175" i="16"/>
  <c r="AE175" i="16"/>
  <c r="AG174" i="16"/>
  <c r="AE174" i="16"/>
  <c r="AG173" i="16"/>
  <c r="AE173" i="16"/>
  <c r="AG172" i="16"/>
  <c r="AE172" i="16"/>
  <c r="AG171" i="16"/>
  <c r="AE171" i="16"/>
  <c r="AG170" i="16"/>
  <c r="AE170" i="16"/>
  <c r="AG169" i="16"/>
  <c r="AF169" i="16"/>
  <c r="AG168" i="16"/>
  <c r="AF168" i="16"/>
  <c r="AG167" i="16"/>
  <c r="AF167" i="16"/>
  <c r="AG166" i="16"/>
  <c r="AF166" i="16"/>
  <c r="AG165" i="16"/>
  <c r="AF165" i="16"/>
  <c r="AG164" i="16"/>
  <c r="AF164" i="16"/>
  <c r="AG163" i="16"/>
  <c r="AF163" i="16"/>
  <c r="AG162" i="16"/>
  <c r="AF162" i="16"/>
  <c r="AG161" i="16"/>
  <c r="AF161" i="16"/>
  <c r="AG160" i="16"/>
  <c r="AF160" i="16"/>
  <c r="AG159" i="16"/>
  <c r="AF159" i="16"/>
  <c r="AG158" i="16"/>
  <c r="AF158" i="16"/>
  <c r="AG157" i="16"/>
  <c r="AE157" i="16"/>
  <c r="AG156" i="16"/>
  <c r="AE156" i="16"/>
  <c r="AG155" i="16"/>
  <c r="AE155" i="16"/>
  <c r="AG154" i="16"/>
  <c r="AE154" i="16"/>
  <c r="AG153" i="16"/>
  <c r="AE153" i="16"/>
  <c r="AG152" i="16"/>
  <c r="AE152" i="16"/>
  <c r="AG151" i="16"/>
  <c r="AE151" i="16"/>
  <c r="AG150" i="16"/>
  <c r="AE150" i="16"/>
  <c r="AG149" i="16"/>
  <c r="AE149" i="16"/>
  <c r="AG148" i="16"/>
  <c r="AE148" i="16"/>
  <c r="AG147" i="16"/>
  <c r="AE147" i="16"/>
  <c r="AG146" i="16"/>
  <c r="AE146" i="16"/>
  <c r="AE145" i="16"/>
  <c r="AE144" i="16"/>
  <c r="AE143" i="16"/>
  <c r="AE142" i="16"/>
  <c r="AE141" i="16"/>
  <c r="AE140" i="16"/>
  <c r="AE139" i="16"/>
  <c r="AE138" i="16"/>
  <c r="AE137" i="16"/>
  <c r="AE136" i="16"/>
  <c r="AE135" i="16"/>
  <c r="AE134" i="16"/>
  <c r="AE133" i="16"/>
  <c r="AE132" i="16"/>
  <c r="AE131" i="16"/>
  <c r="AE130" i="16"/>
  <c r="AC130" i="16"/>
  <c r="AE129" i="16"/>
  <c r="AE128" i="16"/>
  <c r="AE127" i="16"/>
  <c r="AE126" i="16"/>
  <c r="AE125" i="16"/>
  <c r="AE124" i="16"/>
  <c r="AE123" i="16"/>
  <c r="AE122" i="16"/>
  <c r="AG121" i="16"/>
  <c r="AF121" i="16"/>
  <c r="AG120" i="16"/>
  <c r="AF120" i="16"/>
  <c r="AG119" i="16"/>
  <c r="AF119" i="16"/>
  <c r="AG118" i="16"/>
  <c r="AF118" i="16"/>
  <c r="AG117" i="16"/>
  <c r="AF117" i="16"/>
  <c r="AG116" i="16"/>
  <c r="AF116" i="16"/>
  <c r="AC116" i="16"/>
  <c r="AG115" i="16"/>
  <c r="AF115" i="16"/>
  <c r="AG114" i="16"/>
  <c r="AF114" i="16"/>
  <c r="AG113" i="16"/>
  <c r="AF113" i="16"/>
  <c r="AG112" i="16"/>
  <c r="AF112" i="16"/>
  <c r="AG111" i="16"/>
  <c r="AF111" i="16"/>
  <c r="AG110" i="16"/>
  <c r="AF110" i="16"/>
  <c r="AG109" i="16"/>
  <c r="AF109" i="16"/>
  <c r="AG108" i="16"/>
  <c r="AF108" i="16"/>
  <c r="AG107" i="16"/>
  <c r="AF107" i="16"/>
  <c r="AG106" i="16"/>
  <c r="AF106" i="16"/>
  <c r="AG105" i="16"/>
  <c r="AF105" i="16"/>
  <c r="AG104" i="16"/>
  <c r="AF104" i="16"/>
  <c r="AG103" i="16"/>
  <c r="AF103" i="16"/>
  <c r="AG102" i="16"/>
  <c r="AF102" i="16"/>
  <c r="AG101" i="16"/>
  <c r="AF101" i="16"/>
  <c r="AG100" i="16"/>
  <c r="AF100" i="16"/>
  <c r="AG99" i="16"/>
  <c r="AF99" i="16"/>
  <c r="AG98" i="16"/>
  <c r="AF98" i="16"/>
  <c r="AE97" i="16"/>
  <c r="AB97" i="16"/>
  <c r="AE96" i="16"/>
  <c r="AE95" i="16"/>
  <c r="AE94" i="16"/>
  <c r="AE93" i="16"/>
  <c r="AE92" i="16"/>
  <c r="AE91" i="16"/>
  <c r="AE90" i="16"/>
  <c r="AE89" i="16"/>
  <c r="AE88" i="16"/>
  <c r="AE87" i="16"/>
  <c r="AE86" i="16"/>
  <c r="AE85" i="16"/>
  <c r="AE84" i="16"/>
  <c r="AE83" i="16"/>
  <c r="AE82" i="16"/>
  <c r="AE81" i="16"/>
  <c r="AE80" i="16"/>
  <c r="AE79" i="16"/>
  <c r="AE78" i="16"/>
  <c r="AE77" i="16"/>
  <c r="AE76" i="16"/>
  <c r="AE75" i="16"/>
  <c r="AE74" i="16"/>
  <c r="AB74" i="16"/>
  <c r="AG73" i="16"/>
  <c r="AF73" i="16"/>
  <c r="AG72" i="16"/>
  <c r="AF72" i="16"/>
  <c r="AG71" i="16"/>
  <c r="AF71" i="16"/>
  <c r="AG70" i="16"/>
  <c r="AF70" i="16"/>
  <c r="AG69" i="16"/>
  <c r="AF69" i="16"/>
  <c r="AG68" i="16"/>
  <c r="AF68" i="16"/>
  <c r="AG67" i="16"/>
  <c r="AF67" i="16"/>
  <c r="AG66" i="16"/>
  <c r="AF66" i="16"/>
  <c r="AG65" i="16"/>
  <c r="AF65" i="16"/>
  <c r="AG64" i="16"/>
  <c r="AF64" i="16"/>
  <c r="AG63" i="16"/>
  <c r="AF63" i="16"/>
  <c r="AG62" i="16"/>
  <c r="AF62" i="16"/>
  <c r="AG61" i="16"/>
  <c r="AF61" i="16"/>
  <c r="AG60" i="16"/>
  <c r="AF60" i="16"/>
  <c r="AG59" i="16"/>
  <c r="AF59" i="16"/>
  <c r="AG58" i="16"/>
  <c r="AF58" i="16"/>
  <c r="AG57" i="16"/>
  <c r="AF57" i="16"/>
  <c r="AG56" i="16"/>
  <c r="AF56" i="16"/>
  <c r="AG55" i="16"/>
  <c r="AF55" i="16"/>
  <c r="AG54" i="16"/>
  <c r="AF54" i="16"/>
  <c r="AG53" i="16"/>
  <c r="AF53" i="16"/>
  <c r="AG52" i="16"/>
  <c r="AF52" i="16"/>
  <c r="AG51" i="16"/>
  <c r="AF51" i="16"/>
  <c r="AG50" i="16"/>
  <c r="AF50" i="16"/>
  <c r="AG49" i="16"/>
  <c r="AD49" i="16"/>
  <c r="AG48" i="16"/>
  <c r="AG47" i="16"/>
  <c r="AG46" i="16"/>
  <c r="AG45" i="16"/>
  <c r="AG44" i="16"/>
  <c r="AG43" i="16"/>
  <c r="AG42" i="16"/>
  <c r="AG41" i="16"/>
  <c r="AG40" i="16"/>
  <c r="AG39" i="16"/>
  <c r="AG38" i="16"/>
  <c r="AG37" i="16"/>
  <c r="AE37" i="16"/>
  <c r="AG36" i="16"/>
  <c r="AE36" i="16"/>
  <c r="AG35" i="16"/>
  <c r="AE35" i="16"/>
  <c r="AG34" i="16"/>
  <c r="AE34" i="16"/>
  <c r="AD34" i="16"/>
  <c r="AG33" i="16"/>
  <c r="AE33" i="16"/>
  <c r="AG32" i="16"/>
  <c r="AE32" i="16"/>
  <c r="AG31" i="16"/>
  <c r="AE31" i="16"/>
  <c r="AG30" i="16"/>
  <c r="AE30" i="16"/>
  <c r="AG29" i="16"/>
  <c r="AE29" i="16"/>
  <c r="AG28" i="16"/>
  <c r="AE28" i="16"/>
  <c r="AG27" i="16"/>
  <c r="AE27" i="16"/>
  <c r="AG26" i="16"/>
  <c r="AE26" i="16"/>
  <c r="AG25" i="16"/>
  <c r="AG24" i="16"/>
  <c r="AG23" i="16"/>
  <c r="AG22" i="16"/>
  <c r="AG21" i="16"/>
  <c r="AG20" i="16"/>
  <c r="AG19" i="16"/>
  <c r="AG18" i="16"/>
  <c r="AG17" i="16"/>
  <c r="AG16" i="16"/>
  <c r="AG15" i="16"/>
  <c r="AG14" i="16"/>
  <c r="AG13" i="16"/>
  <c r="AG12" i="16"/>
  <c r="AG11" i="16"/>
  <c r="AG10" i="16"/>
  <c r="AG9" i="16"/>
  <c r="AE9" i="16"/>
  <c r="AG8" i="16"/>
  <c r="AE8" i="16"/>
  <c r="AG7" i="16"/>
  <c r="AE7" i="16"/>
  <c r="AG6" i="16"/>
  <c r="AE6" i="16"/>
  <c r="AG5" i="16"/>
  <c r="AG4" i="16"/>
  <c r="AG3" i="16"/>
  <c r="AG2" i="16"/>
  <c r="X604" i="16"/>
  <c r="AD604" i="16" s="1"/>
  <c r="W604" i="16"/>
  <c r="AC604" i="16" s="1"/>
  <c r="V604" i="16"/>
  <c r="X603" i="16"/>
  <c r="AD603" i="16" s="1"/>
  <c r="W603" i="16"/>
  <c r="AC603" i="16" s="1"/>
  <c r="V603" i="16"/>
  <c r="AB603" i="16" s="1"/>
  <c r="X602" i="16"/>
  <c r="AD602" i="16" s="1"/>
  <c r="W602" i="16"/>
  <c r="AC602" i="16" s="1"/>
  <c r="V602" i="16"/>
  <c r="AB602" i="16" s="1"/>
  <c r="X601" i="16"/>
  <c r="AD601" i="16" s="1"/>
  <c r="W601" i="16"/>
  <c r="AC601" i="16" s="1"/>
  <c r="V601" i="16"/>
  <c r="AB601" i="16" s="1"/>
  <c r="X600" i="16"/>
  <c r="AD600" i="16" s="1"/>
  <c r="W600" i="16"/>
  <c r="AC600" i="16" s="1"/>
  <c r="V600" i="16"/>
  <c r="AB600" i="16" s="1"/>
  <c r="X599" i="16"/>
  <c r="AD599" i="16" s="1"/>
  <c r="W599" i="16"/>
  <c r="AC599" i="16" s="1"/>
  <c r="V599" i="16"/>
  <c r="AB599" i="16" s="1"/>
  <c r="X598" i="16"/>
  <c r="AD598" i="16" s="1"/>
  <c r="W598" i="16"/>
  <c r="AC598" i="16" s="1"/>
  <c r="V598" i="16"/>
  <c r="AB598" i="16" s="1"/>
  <c r="X597" i="16"/>
  <c r="AD597" i="16" s="1"/>
  <c r="W597" i="16"/>
  <c r="AC597" i="16" s="1"/>
  <c r="V597" i="16"/>
  <c r="AB597" i="16" s="1"/>
  <c r="X596" i="16"/>
  <c r="AD596" i="16" s="1"/>
  <c r="W596" i="16"/>
  <c r="AC596" i="16" s="1"/>
  <c r="V596" i="16"/>
  <c r="AB596" i="16" s="1"/>
  <c r="X595" i="16"/>
  <c r="AD595" i="16" s="1"/>
  <c r="W595" i="16"/>
  <c r="AC595" i="16" s="1"/>
  <c r="V595" i="16"/>
  <c r="AB595" i="16" s="1"/>
  <c r="X594" i="16"/>
  <c r="AD594" i="16" s="1"/>
  <c r="W594" i="16"/>
  <c r="AC594" i="16" s="1"/>
  <c r="V594" i="16"/>
  <c r="AB594" i="16" s="1"/>
  <c r="X593" i="16"/>
  <c r="AD593" i="16" s="1"/>
  <c r="W593" i="16"/>
  <c r="AC593" i="16" s="1"/>
  <c r="V593" i="16"/>
  <c r="AB593" i="16" s="1"/>
  <c r="V592" i="16"/>
  <c r="AB592" i="16" s="1"/>
  <c r="V591" i="16"/>
  <c r="AB591" i="16" s="1"/>
  <c r="V590" i="16"/>
  <c r="AB590" i="16" s="1"/>
  <c r="V589" i="16"/>
  <c r="AB589" i="16" s="1"/>
  <c r="V588" i="16"/>
  <c r="AB588" i="16" s="1"/>
  <c r="V587" i="16"/>
  <c r="AB587" i="16" s="1"/>
  <c r="V586" i="16"/>
  <c r="AB586" i="16" s="1"/>
  <c r="V585" i="16"/>
  <c r="AB585" i="16" s="1"/>
  <c r="V584" i="16"/>
  <c r="AB584" i="16" s="1"/>
  <c r="V583" i="16"/>
  <c r="AB583" i="16" s="1"/>
  <c r="V582" i="16"/>
  <c r="AB582" i="16" s="1"/>
  <c r="V581" i="16"/>
  <c r="AB581" i="16" s="1"/>
  <c r="X580" i="16"/>
  <c r="AD580" i="16" s="1"/>
  <c r="W580" i="16"/>
  <c r="AC580" i="16" s="1"/>
  <c r="V580" i="16"/>
  <c r="AB580" i="16" s="1"/>
  <c r="X579" i="16"/>
  <c r="AD579" i="16" s="1"/>
  <c r="W579" i="16"/>
  <c r="AC579" i="16" s="1"/>
  <c r="V579" i="16"/>
  <c r="AB579" i="16" s="1"/>
  <c r="X578" i="16"/>
  <c r="AD578" i="16" s="1"/>
  <c r="W578" i="16"/>
  <c r="AC578" i="16" s="1"/>
  <c r="V578" i="16"/>
  <c r="AB578" i="16" s="1"/>
  <c r="X577" i="16"/>
  <c r="AD577" i="16" s="1"/>
  <c r="W577" i="16"/>
  <c r="AC577" i="16" s="1"/>
  <c r="V577" i="16"/>
  <c r="AB577" i="16" s="1"/>
  <c r="X576" i="16"/>
  <c r="AD576" i="16" s="1"/>
  <c r="W576" i="16"/>
  <c r="AC576" i="16" s="1"/>
  <c r="V576" i="16"/>
  <c r="AB576" i="16" s="1"/>
  <c r="X575" i="16"/>
  <c r="AD575" i="16" s="1"/>
  <c r="W575" i="16"/>
  <c r="AC575" i="16" s="1"/>
  <c r="V575" i="16"/>
  <c r="AB575" i="16" s="1"/>
  <c r="X574" i="16"/>
  <c r="AD574" i="16" s="1"/>
  <c r="W574" i="16"/>
  <c r="AC574" i="16" s="1"/>
  <c r="V574" i="16"/>
  <c r="AB574" i="16" s="1"/>
  <c r="X573" i="16"/>
  <c r="AD573" i="16" s="1"/>
  <c r="W573" i="16"/>
  <c r="AC573" i="16" s="1"/>
  <c r="V573" i="16"/>
  <c r="AB573" i="16" s="1"/>
  <c r="X572" i="16"/>
  <c r="AD572" i="16" s="1"/>
  <c r="W572" i="16"/>
  <c r="AC572" i="16" s="1"/>
  <c r="V572" i="16"/>
  <c r="AB572" i="16" s="1"/>
  <c r="X571" i="16"/>
  <c r="AD571" i="16" s="1"/>
  <c r="W571" i="16"/>
  <c r="AC571" i="16" s="1"/>
  <c r="V571" i="16"/>
  <c r="AB571" i="16" s="1"/>
  <c r="X570" i="16"/>
  <c r="AD570" i="16" s="1"/>
  <c r="W570" i="16"/>
  <c r="AC570" i="16" s="1"/>
  <c r="V570" i="16"/>
  <c r="AB570" i="16" s="1"/>
  <c r="X569" i="16"/>
  <c r="AD569" i="16" s="1"/>
  <c r="W569" i="16"/>
  <c r="AC569" i="16" s="1"/>
  <c r="V569" i="16"/>
  <c r="AB569" i="16" s="1"/>
  <c r="X568" i="16"/>
  <c r="AD568" i="16" s="1"/>
  <c r="W568" i="16"/>
  <c r="AC568" i="16" s="1"/>
  <c r="V568" i="16"/>
  <c r="AB568" i="16" s="1"/>
  <c r="X567" i="16"/>
  <c r="AD567" i="16" s="1"/>
  <c r="W567" i="16"/>
  <c r="AC567" i="16" s="1"/>
  <c r="V567" i="16"/>
  <c r="AB567" i="16" s="1"/>
  <c r="X566" i="16"/>
  <c r="AD566" i="16" s="1"/>
  <c r="W566" i="16"/>
  <c r="AC566" i="16" s="1"/>
  <c r="V566" i="16"/>
  <c r="AB566" i="16" s="1"/>
  <c r="X565" i="16"/>
  <c r="AD565" i="16" s="1"/>
  <c r="W565" i="16"/>
  <c r="AC565" i="16" s="1"/>
  <c r="V565" i="16"/>
  <c r="AB565" i="16" s="1"/>
  <c r="X564" i="16"/>
  <c r="AD564" i="16" s="1"/>
  <c r="W564" i="16"/>
  <c r="AC564" i="16" s="1"/>
  <c r="V564" i="16"/>
  <c r="X563" i="16"/>
  <c r="AD563" i="16" s="1"/>
  <c r="W563" i="16"/>
  <c r="AC563" i="16" s="1"/>
  <c r="V563" i="16"/>
  <c r="AB563" i="16" s="1"/>
  <c r="X562" i="16"/>
  <c r="AD562" i="16" s="1"/>
  <c r="W562" i="16"/>
  <c r="AC562" i="16" s="1"/>
  <c r="V562" i="16"/>
  <c r="AB562" i="16" s="1"/>
  <c r="X561" i="16"/>
  <c r="AD561" i="16" s="1"/>
  <c r="W561" i="16"/>
  <c r="AC561" i="16" s="1"/>
  <c r="V561" i="16"/>
  <c r="AB561" i="16" s="1"/>
  <c r="X560" i="16"/>
  <c r="AD560" i="16" s="1"/>
  <c r="W560" i="16"/>
  <c r="AC560" i="16" s="1"/>
  <c r="V560" i="16"/>
  <c r="AB560" i="16" s="1"/>
  <c r="X559" i="16"/>
  <c r="AD559" i="16" s="1"/>
  <c r="W559" i="16"/>
  <c r="AC559" i="16" s="1"/>
  <c r="V559" i="16"/>
  <c r="AB559" i="16" s="1"/>
  <c r="X558" i="16"/>
  <c r="AD558" i="16" s="1"/>
  <c r="W558" i="16"/>
  <c r="AC558" i="16" s="1"/>
  <c r="V558" i="16"/>
  <c r="AB558" i="16" s="1"/>
  <c r="X557" i="16"/>
  <c r="AD557" i="16" s="1"/>
  <c r="W557" i="16"/>
  <c r="AC557" i="16" s="1"/>
  <c r="V557" i="16"/>
  <c r="AB557" i="16" s="1"/>
  <c r="X556" i="16"/>
  <c r="AD556" i="16" s="1"/>
  <c r="W556" i="16"/>
  <c r="AC556" i="16" s="1"/>
  <c r="V556" i="16"/>
  <c r="AB556" i="16" s="1"/>
  <c r="X555" i="16"/>
  <c r="AD555" i="16" s="1"/>
  <c r="W555" i="16"/>
  <c r="AC555" i="16" s="1"/>
  <c r="V555" i="16"/>
  <c r="AB555" i="16" s="1"/>
  <c r="X554" i="16"/>
  <c r="AD554" i="16" s="1"/>
  <c r="W554" i="16"/>
  <c r="AC554" i="16" s="1"/>
  <c r="V554" i="16"/>
  <c r="AB554" i="16" s="1"/>
  <c r="X553" i="16"/>
  <c r="AD553" i="16" s="1"/>
  <c r="W553" i="16"/>
  <c r="AC553" i="16" s="1"/>
  <c r="V553" i="16"/>
  <c r="AB553" i="16" s="1"/>
  <c r="X552" i="16"/>
  <c r="AD552" i="16" s="1"/>
  <c r="W552" i="16"/>
  <c r="AC552" i="16" s="1"/>
  <c r="V552" i="16"/>
  <c r="AB552" i="16" s="1"/>
  <c r="X551" i="16"/>
  <c r="AD551" i="16" s="1"/>
  <c r="W551" i="16"/>
  <c r="AC551" i="16" s="1"/>
  <c r="V551" i="16"/>
  <c r="AB551" i="16" s="1"/>
  <c r="X550" i="16"/>
  <c r="AD550" i="16" s="1"/>
  <c r="W550" i="16"/>
  <c r="AC550" i="16" s="1"/>
  <c r="V550" i="16"/>
  <c r="AB550" i="16" s="1"/>
  <c r="X549" i="16"/>
  <c r="AD549" i="16" s="1"/>
  <c r="W549" i="16"/>
  <c r="AC549" i="16" s="1"/>
  <c r="V549" i="16"/>
  <c r="AB549" i="16" s="1"/>
  <c r="X548" i="16"/>
  <c r="AD548" i="16" s="1"/>
  <c r="W548" i="16"/>
  <c r="AC548" i="16" s="1"/>
  <c r="V548" i="16"/>
  <c r="AB548" i="16" s="1"/>
  <c r="X547" i="16"/>
  <c r="AD547" i="16" s="1"/>
  <c r="W547" i="16"/>
  <c r="AC547" i="16" s="1"/>
  <c r="V547" i="16"/>
  <c r="AB547" i="16" s="1"/>
  <c r="X546" i="16"/>
  <c r="AD546" i="16" s="1"/>
  <c r="W546" i="16"/>
  <c r="AC546" i="16" s="1"/>
  <c r="V546" i="16"/>
  <c r="AB546" i="16" s="1"/>
  <c r="X545" i="16"/>
  <c r="AD545" i="16" s="1"/>
  <c r="W545" i="16"/>
  <c r="AC545" i="16" s="1"/>
  <c r="V545" i="16"/>
  <c r="AB545" i="16" s="1"/>
  <c r="X544" i="16"/>
  <c r="AD544" i="16" s="1"/>
  <c r="W544" i="16"/>
  <c r="AC544" i="16" s="1"/>
  <c r="V544" i="16"/>
  <c r="AB544" i="16" s="1"/>
  <c r="X543" i="16"/>
  <c r="AD543" i="16" s="1"/>
  <c r="W543" i="16"/>
  <c r="AC543" i="16" s="1"/>
  <c r="V543" i="16"/>
  <c r="AB543" i="16" s="1"/>
  <c r="X542" i="16"/>
  <c r="AD542" i="16" s="1"/>
  <c r="W542" i="16"/>
  <c r="AC542" i="16" s="1"/>
  <c r="V542" i="16"/>
  <c r="AB542" i="16" s="1"/>
  <c r="X541" i="16"/>
  <c r="AD541" i="16" s="1"/>
  <c r="W541" i="16"/>
  <c r="AC541" i="16" s="1"/>
  <c r="V541" i="16"/>
  <c r="AB541" i="16" s="1"/>
  <c r="X540" i="16"/>
  <c r="AD540" i="16" s="1"/>
  <c r="W540" i="16"/>
  <c r="AC540" i="16" s="1"/>
  <c r="V540" i="16"/>
  <c r="AB540" i="16" s="1"/>
  <c r="X539" i="16"/>
  <c r="AD539" i="16" s="1"/>
  <c r="W539" i="16"/>
  <c r="AC539" i="16" s="1"/>
  <c r="V539" i="16"/>
  <c r="AB539" i="16" s="1"/>
  <c r="X538" i="16"/>
  <c r="AD538" i="16" s="1"/>
  <c r="W538" i="16"/>
  <c r="AC538" i="16" s="1"/>
  <c r="V538" i="16"/>
  <c r="AB538" i="16" s="1"/>
  <c r="X537" i="16"/>
  <c r="AD537" i="16" s="1"/>
  <c r="W537" i="16"/>
  <c r="AC537" i="16" s="1"/>
  <c r="V537" i="16"/>
  <c r="AB537" i="16" s="1"/>
  <c r="X536" i="16"/>
  <c r="AD536" i="16" s="1"/>
  <c r="W536" i="16"/>
  <c r="AC536" i="16" s="1"/>
  <c r="V536" i="16"/>
  <c r="AB536" i="16" s="1"/>
  <c r="X535" i="16"/>
  <c r="AD535" i="16" s="1"/>
  <c r="W535" i="16"/>
  <c r="AC535" i="16" s="1"/>
  <c r="V535" i="16"/>
  <c r="AB535" i="16" s="1"/>
  <c r="X534" i="16"/>
  <c r="AD534" i="16" s="1"/>
  <c r="W534" i="16"/>
  <c r="AC534" i="16" s="1"/>
  <c r="V534" i="16"/>
  <c r="AB534" i="16" s="1"/>
  <c r="X533" i="16"/>
  <c r="AD533" i="16" s="1"/>
  <c r="W533" i="16"/>
  <c r="AC533" i="16" s="1"/>
  <c r="V533" i="16"/>
  <c r="AB533" i="16" s="1"/>
  <c r="X532" i="16"/>
  <c r="AD532" i="16" s="1"/>
  <c r="W532" i="16"/>
  <c r="AC532" i="16" s="1"/>
  <c r="V532" i="16"/>
  <c r="AB532" i="16" s="1"/>
  <c r="X531" i="16"/>
  <c r="AD531" i="16" s="1"/>
  <c r="W531" i="16"/>
  <c r="AC531" i="16" s="1"/>
  <c r="V531" i="16"/>
  <c r="AB531" i="16" s="1"/>
  <c r="X530" i="16"/>
  <c r="AD530" i="16" s="1"/>
  <c r="W530" i="16"/>
  <c r="AC530" i="16" s="1"/>
  <c r="V530" i="16"/>
  <c r="AB530" i="16" s="1"/>
  <c r="X529" i="16"/>
  <c r="AD529" i="16" s="1"/>
  <c r="W529" i="16"/>
  <c r="AC529" i="16" s="1"/>
  <c r="V529" i="16"/>
  <c r="AB529" i="16" s="1"/>
  <c r="X528" i="16"/>
  <c r="AD528" i="16" s="1"/>
  <c r="W528" i="16"/>
  <c r="AC528" i="16" s="1"/>
  <c r="V528" i="16"/>
  <c r="AB528" i="16" s="1"/>
  <c r="X527" i="16"/>
  <c r="AD527" i="16" s="1"/>
  <c r="W527" i="16"/>
  <c r="AC527" i="16" s="1"/>
  <c r="V527" i="16"/>
  <c r="AB527" i="16" s="1"/>
  <c r="X526" i="16"/>
  <c r="AD526" i="16" s="1"/>
  <c r="W526" i="16"/>
  <c r="AC526" i="16" s="1"/>
  <c r="V526" i="16"/>
  <c r="AB526" i="16" s="1"/>
  <c r="X525" i="16"/>
  <c r="AD525" i="16" s="1"/>
  <c r="W525" i="16"/>
  <c r="AC525" i="16" s="1"/>
  <c r="V525" i="16"/>
  <c r="AB525" i="16" s="1"/>
  <c r="X524" i="16"/>
  <c r="AD524" i="16" s="1"/>
  <c r="W524" i="16"/>
  <c r="AC524" i="16" s="1"/>
  <c r="V524" i="16"/>
  <c r="AB524" i="16" s="1"/>
  <c r="X523" i="16"/>
  <c r="AD523" i="16" s="1"/>
  <c r="W523" i="16"/>
  <c r="AC523" i="16" s="1"/>
  <c r="V523" i="16"/>
  <c r="AB523" i="16" s="1"/>
  <c r="X522" i="16"/>
  <c r="AD522" i="16" s="1"/>
  <c r="W522" i="16"/>
  <c r="AC522" i="16" s="1"/>
  <c r="V522" i="16"/>
  <c r="AB522" i="16" s="1"/>
  <c r="X521" i="16"/>
  <c r="AD521" i="16" s="1"/>
  <c r="W521" i="16"/>
  <c r="AC521" i="16" s="1"/>
  <c r="V521" i="16"/>
  <c r="AB521" i="16" s="1"/>
  <c r="X520" i="16"/>
  <c r="AD520" i="16" s="1"/>
  <c r="W520" i="16"/>
  <c r="AC520" i="16" s="1"/>
  <c r="V520" i="16"/>
  <c r="AB520" i="16" s="1"/>
  <c r="X519" i="16"/>
  <c r="AD519" i="16" s="1"/>
  <c r="W519" i="16"/>
  <c r="AC519" i="16" s="1"/>
  <c r="V519" i="16"/>
  <c r="AB519" i="16" s="1"/>
  <c r="X518" i="16"/>
  <c r="AD518" i="16" s="1"/>
  <c r="W518" i="16"/>
  <c r="AC518" i="16" s="1"/>
  <c r="V518" i="16"/>
  <c r="AB518" i="16" s="1"/>
  <c r="X517" i="16"/>
  <c r="AD517" i="16" s="1"/>
  <c r="W517" i="16"/>
  <c r="AC517" i="16" s="1"/>
  <c r="V517" i="16"/>
  <c r="AB517" i="16" s="1"/>
  <c r="X516" i="16"/>
  <c r="AD516" i="16" s="1"/>
  <c r="W516" i="16"/>
  <c r="AC516" i="16" s="1"/>
  <c r="V516" i="16"/>
  <c r="AB516" i="16" s="1"/>
  <c r="X515" i="16"/>
  <c r="AD515" i="16" s="1"/>
  <c r="W515" i="16"/>
  <c r="AC515" i="16" s="1"/>
  <c r="V515" i="16"/>
  <c r="AB515" i="16" s="1"/>
  <c r="X514" i="16"/>
  <c r="AD514" i="16" s="1"/>
  <c r="W514" i="16"/>
  <c r="AC514" i="16" s="1"/>
  <c r="V514" i="16"/>
  <c r="AB514" i="16" s="1"/>
  <c r="X513" i="16"/>
  <c r="AD513" i="16" s="1"/>
  <c r="W513" i="16"/>
  <c r="AC513" i="16" s="1"/>
  <c r="V513" i="16"/>
  <c r="AB513" i="16" s="1"/>
  <c r="X512" i="16"/>
  <c r="AD512" i="16" s="1"/>
  <c r="W512" i="16"/>
  <c r="AC512" i="16" s="1"/>
  <c r="V512" i="16"/>
  <c r="AB512" i="16" s="1"/>
  <c r="X511" i="16"/>
  <c r="AD511" i="16" s="1"/>
  <c r="W511" i="16"/>
  <c r="AC511" i="16" s="1"/>
  <c r="V511" i="16"/>
  <c r="AB511" i="16" s="1"/>
  <c r="X510" i="16"/>
  <c r="AD510" i="16" s="1"/>
  <c r="W510" i="16"/>
  <c r="AC510" i="16" s="1"/>
  <c r="V510" i="16"/>
  <c r="AB510" i="16" s="1"/>
  <c r="X509" i="16"/>
  <c r="AD509" i="16" s="1"/>
  <c r="W509" i="16"/>
  <c r="AC509" i="16" s="1"/>
  <c r="V509" i="16"/>
  <c r="AB509" i="16" s="1"/>
  <c r="X508" i="16"/>
  <c r="AD508" i="16" s="1"/>
  <c r="W508" i="16"/>
  <c r="AC508" i="16" s="1"/>
  <c r="V508" i="16"/>
  <c r="AB508" i="16" s="1"/>
  <c r="X507" i="16"/>
  <c r="AD507" i="16" s="1"/>
  <c r="W507" i="16"/>
  <c r="AC507" i="16" s="1"/>
  <c r="V507" i="16"/>
  <c r="AB507" i="16" s="1"/>
  <c r="X506" i="16"/>
  <c r="AD506" i="16" s="1"/>
  <c r="W506" i="16"/>
  <c r="AC506" i="16" s="1"/>
  <c r="V506" i="16"/>
  <c r="AB506" i="16" s="1"/>
  <c r="X505" i="16"/>
  <c r="AD505" i="16" s="1"/>
  <c r="W505" i="16"/>
  <c r="AC505" i="16" s="1"/>
  <c r="V505" i="16"/>
  <c r="AB505" i="16" s="1"/>
  <c r="X504" i="16"/>
  <c r="AD504" i="16" s="1"/>
  <c r="W504" i="16"/>
  <c r="AC504" i="16" s="1"/>
  <c r="V504" i="16"/>
  <c r="AB504" i="16" s="1"/>
  <c r="X503" i="16"/>
  <c r="AD503" i="16" s="1"/>
  <c r="W503" i="16"/>
  <c r="AC503" i="16" s="1"/>
  <c r="V503" i="16"/>
  <c r="AB503" i="16" s="1"/>
  <c r="X502" i="16"/>
  <c r="AD502" i="16" s="1"/>
  <c r="W502" i="16"/>
  <c r="AC502" i="16" s="1"/>
  <c r="V502" i="16"/>
  <c r="AB502" i="16" s="1"/>
  <c r="X501" i="16"/>
  <c r="AD501" i="16" s="1"/>
  <c r="W501" i="16"/>
  <c r="AC501" i="16" s="1"/>
  <c r="V501" i="16"/>
  <c r="AB501" i="16" s="1"/>
  <c r="X500" i="16"/>
  <c r="AD500" i="16" s="1"/>
  <c r="W500" i="16"/>
  <c r="AC500" i="16" s="1"/>
  <c r="V500" i="16"/>
  <c r="AB500" i="16" s="1"/>
  <c r="X499" i="16"/>
  <c r="AD499" i="16" s="1"/>
  <c r="W499" i="16"/>
  <c r="AC499" i="16" s="1"/>
  <c r="V499" i="16"/>
  <c r="AB499" i="16" s="1"/>
  <c r="X498" i="16"/>
  <c r="AD498" i="16" s="1"/>
  <c r="W498" i="16"/>
  <c r="AC498" i="16" s="1"/>
  <c r="V498" i="16"/>
  <c r="AB498" i="16" s="1"/>
  <c r="X497" i="16"/>
  <c r="AD497" i="16" s="1"/>
  <c r="W497" i="16"/>
  <c r="AC497" i="16" s="1"/>
  <c r="V497" i="16"/>
  <c r="AB497" i="16" s="1"/>
  <c r="X496" i="16"/>
  <c r="AD496" i="16" s="1"/>
  <c r="W496" i="16"/>
  <c r="AC496" i="16" s="1"/>
  <c r="V496" i="16"/>
  <c r="AB496" i="16" s="1"/>
  <c r="X495" i="16"/>
  <c r="AD495" i="16" s="1"/>
  <c r="W495" i="16"/>
  <c r="AC495" i="16" s="1"/>
  <c r="V495" i="16"/>
  <c r="AB495" i="16" s="1"/>
  <c r="X494" i="16"/>
  <c r="AD494" i="16" s="1"/>
  <c r="W494" i="16"/>
  <c r="AC494" i="16" s="1"/>
  <c r="V494" i="16"/>
  <c r="AB494" i="16" s="1"/>
  <c r="X493" i="16"/>
  <c r="AD493" i="16" s="1"/>
  <c r="W493" i="16"/>
  <c r="AC493" i="16" s="1"/>
  <c r="V493" i="16"/>
  <c r="AB493" i="16" s="1"/>
  <c r="X492" i="16"/>
  <c r="AD492" i="16" s="1"/>
  <c r="W492" i="16"/>
  <c r="AC492" i="16" s="1"/>
  <c r="V492" i="16"/>
  <c r="AB492" i="16" s="1"/>
  <c r="X491" i="16"/>
  <c r="AD491" i="16" s="1"/>
  <c r="W491" i="16"/>
  <c r="AC491" i="16" s="1"/>
  <c r="V491" i="16"/>
  <c r="AB491" i="16" s="1"/>
  <c r="X490" i="16"/>
  <c r="AD490" i="16" s="1"/>
  <c r="W490" i="16"/>
  <c r="AC490" i="16" s="1"/>
  <c r="V490" i="16"/>
  <c r="AB490" i="16" s="1"/>
  <c r="X489" i="16"/>
  <c r="AD489" i="16" s="1"/>
  <c r="W489" i="16"/>
  <c r="AC489" i="16" s="1"/>
  <c r="V489" i="16"/>
  <c r="AB489" i="16" s="1"/>
  <c r="X488" i="16"/>
  <c r="AD488" i="16" s="1"/>
  <c r="W488" i="16"/>
  <c r="AC488" i="16" s="1"/>
  <c r="V488" i="16"/>
  <c r="AB488" i="16" s="1"/>
  <c r="X487" i="16"/>
  <c r="AD487" i="16" s="1"/>
  <c r="W487" i="16"/>
  <c r="AC487" i="16" s="1"/>
  <c r="V487" i="16"/>
  <c r="AB487" i="16" s="1"/>
  <c r="X486" i="16"/>
  <c r="AD486" i="16" s="1"/>
  <c r="W486" i="16"/>
  <c r="AC486" i="16" s="1"/>
  <c r="V486" i="16"/>
  <c r="AB486" i="16" s="1"/>
  <c r="X485" i="16"/>
  <c r="AD485" i="16" s="1"/>
  <c r="W485" i="16"/>
  <c r="AC485" i="16" s="1"/>
  <c r="V485" i="16"/>
  <c r="AB485" i="16" s="1"/>
  <c r="X484" i="16"/>
  <c r="AD484" i="16" s="1"/>
  <c r="W484" i="16"/>
  <c r="AC484" i="16" s="1"/>
  <c r="V484" i="16"/>
  <c r="AB484" i="16" s="1"/>
  <c r="X483" i="16"/>
  <c r="AD483" i="16" s="1"/>
  <c r="W483" i="16"/>
  <c r="AC483" i="16" s="1"/>
  <c r="V483" i="16"/>
  <c r="AB483" i="16" s="1"/>
  <c r="X482" i="16"/>
  <c r="AD482" i="16" s="1"/>
  <c r="W482" i="16"/>
  <c r="AC482" i="16" s="1"/>
  <c r="V482" i="16"/>
  <c r="AB482" i="16" s="1"/>
  <c r="X481" i="16"/>
  <c r="AD481" i="16" s="1"/>
  <c r="W481" i="16"/>
  <c r="AC481" i="16" s="1"/>
  <c r="V481" i="16"/>
  <c r="AB481" i="16" s="1"/>
  <c r="X480" i="16"/>
  <c r="AD480" i="16" s="1"/>
  <c r="W480" i="16"/>
  <c r="AC480" i="16" s="1"/>
  <c r="V480" i="16"/>
  <c r="AB480" i="16" s="1"/>
  <c r="X479" i="16"/>
  <c r="AD479" i="16" s="1"/>
  <c r="W479" i="16"/>
  <c r="AC479" i="16" s="1"/>
  <c r="V479" i="16"/>
  <c r="AB479" i="16" s="1"/>
  <c r="X478" i="16"/>
  <c r="AD478" i="16" s="1"/>
  <c r="W478" i="16"/>
  <c r="AC478" i="16" s="1"/>
  <c r="V478" i="16"/>
  <c r="AB478" i="16" s="1"/>
  <c r="X477" i="16"/>
  <c r="AD477" i="16" s="1"/>
  <c r="W477" i="16"/>
  <c r="AC477" i="16" s="1"/>
  <c r="V477" i="16"/>
  <c r="AB477" i="16" s="1"/>
  <c r="X476" i="16"/>
  <c r="AD476" i="16" s="1"/>
  <c r="W476" i="16"/>
  <c r="AC476" i="16" s="1"/>
  <c r="V476" i="16"/>
  <c r="AB476" i="16" s="1"/>
  <c r="X475" i="16"/>
  <c r="AD475" i="16" s="1"/>
  <c r="W475" i="16"/>
  <c r="AC475" i="16" s="1"/>
  <c r="V475" i="16"/>
  <c r="AB475" i="16" s="1"/>
  <c r="X474" i="16"/>
  <c r="AD474" i="16" s="1"/>
  <c r="W474" i="16"/>
  <c r="AC474" i="16" s="1"/>
  <c r="V474" i="16"/>
  <c r="AB474" i="16" s="1"/>
  <c r="X473" i="16"/>
  <c r="AD473" i="16" s="1"/>
  <c r="W473" i="16"/>
  <c r="AC473" i="16" s="1"/>
  <c r="V473" i="16"/>
  <c r="AB473" i="16" s="1"/>
  <c r="X472" i="16"/>
  <c r="AD472" i="16" s="1"/>
  <c r="W472" i="16"/>
  <c r="AC472" i="16" s="1"/>
  <c r="V472" i="16"/>
  <c r="AB472" i="16" s="1"/>
  <c r="X471" i="16"/>
  <c r="AD471" i="16" s="1"/>
  <c r="W471" i="16"/>
  <c r="AC471" i="16" s="1"/>
  <c r="V471" i="16"/>
  <c r="AB471" i="16" s="1"/>
  <c r="X470" i="16"/>
  <c r="AD470" i="16" s="1"/>
  <c r="W470" i="16"/>
  <c r="AC470" i="16" s="1"/>
  <c r="V470" i="16"/>
  <c r="AB470" i="16" s="1"/>
  <c r="X469" i="16"/>
  <c r="AD469" i="16" s="1"/>
  <c r="W469" i="16"/>
  <c r="AC469" i="16" s="1"/>
  <c r="V469" i="16"/>
  <c r="AB469" i="16" s="1"/>
  <c r="X468" i="16"/>
  <c r="AD468" i="16" s="1"/>
  <c r="W468" i="16"/>
  <c r="AC468" i="16" s="1"/>
  <c r="V468" i="16"/>
  <c r="AB468" i="16" s="1"/>
  <c r="X467" i="16"/>
  <c r="AD467" i="16" s="1"/>
  <c r="W467" i="16"/>
  <c r="AC467" i="16" s="1"/>
  <c r="V467" i="16"/>
  <c r="AB467" i="16" s="1"/>
  <c r="X466" i="16"/>
  <c r="AD466" i="16" s="1"/>
  <c r="W466" i="16"/>
  <c r="AC466" i="16" s="1"/>
  <c r="V466" i="16"/>
  <c r="AB466" i="16" s="1"/>
  <c r="X465" i="16"/>
  <c r="AD465" i="16" s="1"/>
  <c r="W465" i="16"/>
  <c r="AC465" i="16" s="1"/>
  <c r="V465" i="16"/>
  <c r="AB465" i="16" s="1"/>
  <c r="X464" i="16"/>
  <c r="AD464" i="16" s="1"/>
  <c r="W464" i="16"/>
  <c r="AC464" i="16" s="1"/>
  <c r="V464" i="16"/>
  <c r="AB464" i="16" s="1"/>
  <c r="X463" i="16"/>
  <c r="AD463" i="16" s="1"/>
  <c r="W463" i="16"/>
  <c r="AC463" i="16" s="1"/>
  <c r="V463" i="16"/>
  <c r="AB463" i="16" s="1"/>
  <c r="X462" i="16"/>
  <c r="AD462" i="16" s="1"/>
  <c r="W462" i="16"/>
  <c r="AC462" i="16" s="1"/>
  <c r="V462" i="16"/>
  <c r="AB462" i="16" s="1"/>
  <c r="X461" i="16"/>
  <c r="AD461" i="16" s="1"/>
  <c r="W461" i="16"/>
  <c r="AC461" i="16" s="1"/>
  <c r="V461" i="16"/>
  <c r="AB461" i="16" s="1"/>
  <c r="X460" i="16"/>
  <c r="AD460" i="16" s="1"/>
  <c r="W460" i="16"/>
  <c r="AC460" i="16" s="1"/>
  <c r="V460" i="16"/>
  <c r="AB460" i="16" s="1"/>
  <c r="X459" i="16"/>
  <c r="AD459" i="16" s="1"/>
  <c r="W459" i="16"/>
  <c r="AC459" i="16" s="1"/>
  <c r="V459" i="16"/>
  <c r="AB459" i="16" s="1"/>
  <c r="X458" i="16"/>
  <c r="AD458" i="16" s="1"/>
  <c r="W458" i="16"/>
  <c r="AC458" i="16" s="1"/>
  <c r="V458" i="16"/>
  <c r="AB458" i="16" s="1"/>
  <c r="X457" i="16"/>
  <c r="AD457" i="16" s="1"/>
  <c r="W457" i="16"/>
  <c r="AC457" i="16" s="1"/>
  <c r="V457" i="16"/>
  <c r="AB457" i="16" s="1"/>
  <c r="X456" i="16"/>
  <c r="AD456" i="16" s="1"/>
  <c r="W456" i="16"/>
  <c r="AC456" i="16" s="1"/>
  <c r="V456" i="16"/>
  <c r="AB456" i="16" s="1"/>
  <c r="X455" i="16"/>
  <c r="AD455" i="16" s="1"/>
  <c r="W455" i="16"/>
  <c r="AC455" i="16" s="1"/>
  <c r="V455" i="16"/>
  <c r="AB455" i="16" s="1"/>
  <c r="X454" i="16"/>
  <c r="AD454" i="16" s="1"/>
  <c r="W454" i="16"/>
  <c r="AC454" i="16" s="1"/>
  <c r="V454" i="16"/>
  <c r="AB454" i="16" s="1"/>
  <c r="X453" i="16"/>
  <c r="AD453" i="16" s="1"/>
  <c r="W453" i="16"/>
  <c r="AC453" i="16" s="1"/>
  <c r="V453" i="16"/>
  <c r="AB453" i="16" s="1"/>
  <c r="X452" i="16"/>
  <c r="AD452" i="16" s="1"/>
  <c r="W452" i="16"/>
  <c r="AC452" i="16" s="1"/>
  <c r="V452" i="16"/>
  <c r="AB452" i="16" s="1"/>
  <c r="X451" i="16"/>
  <c r="AD451" i="16" s="1"/>
  <c r="W451" i="16"/>
  <c r="AC451" i="16" s="1"/>
  <c r="V451" i="16"/>
  <c r="AB451" i="16" s="1"/>
  <c r="X450" i="16"/>
  <c r="AD450" i="16" s="1"/>
  <c r="W450" i="16"/>
  <c r="AC450" i="16" s="1"/>
  <c r="V450" i="16"/>
  <c r="AB450" i="16" s="1"/>
  <c r="X449" i="16"/>
  <c r="AD449" i="16" s="1"/>
  <c r="W449" i="16"/>
  <c r="AC449" i="16" s="1"/>
  <c r="V449" i="16"/>
  <c r="AB449" i="16" s="1"/>
  <c r="X448" i="16"/>
  <c r="AD448" i="16" s="1"/>
  <c r="W448" i="16"/>
  <c r="AC448" i="16" s="1"/>
  <c r="V448" i="16"/>
  <c r="AB448" i="16" s="1"/>
  <c r="X447" i="16"/>
  <c r="AD447" i="16" s="1"/>
  <c r="W447" i="16"/>
  <c r="AC447" i="16" s="1"/>
  <c r="V447" i="16"/>
  <c r="AB447" i="16" s="1"/>
  <c r="X446" i="16"/>
  <c r="AD446" i="16" s="1"/>
  <c r="W446" i="16"/>
  <c r="AC446" i="16" s="1"/>
  <c r="V446" i="16"/>
  <c r="AB446" i="16" s="1"/>
  <c r="X445" i="16"/>
  <c r="AD445" i="16" s="1"/>
  <c r="W445" i="16"/>
  <c r="AC445" i="16" s="1"/>
  <c r="V445" i="16"/>
  <c r="AB445" i="16" s="1"/>
  <c r="X444" i="16"/>
  <c r="AD444" i="16" s="1"/>
  <c r="W444" i="16"/>
  <c r="AC444" i="16" s="1"/>
  <c r="V444" i="16"/>
  <c r="AB444" i="16" s="1"/>
  <c r="X443" i="16"/>
  <c r="AD443" i="16" s="1"/>
  <c r="W443" i="16"/>
  <c r="AC443" i="16" s="1"/>
  <c r="V443" i="16"/>
  <c r="AB443" i="16" s="1"/>
  <c r="X442" i="16"/>
  <c r="AD442" i="16" s="1"/>
  <c r="W442" i="16"/>
  <c r="AC442" i="16" s="1"/>
  <c r="V442" i="16"/>
  <c r="AB442" i="16" s="1"/>
  <c r="X441" i="16"/>
  <c r="AD441" i="16" s="1"/>
  <c r="W441" i="16"/>
  <c r="AC441" i="16" s="1"/>
  <c r="V441" i="16"/>
  <c r="AB441" i="16" s="1"/>
  <c r="X440" i="16"/>
  <c r="AD440" i="16" s="1"/>
  <c r="W440" i="16"/>
  <c r="AC440" i="16" s="1"/>
  <c r="V440" i="16"/>
  <c r="X439" i="16"/>
  <c r="AD439" i="16" s="1"/>
  <c r="W439" i="16"/>
  <c r="AC439" i="16" s="1"/>
  <c r="V439" i="16"/>
  <c r="AB439" i="16" s="1"/>
  <c r="X438" i="16"/>
  <c r="AD438" i="16" s="1"/>
  <c r="W438" i="16"/>
  <c r="AC438" i="16" s="1"/>
  <c r="V438" i="16"/>
  <c r="AB438" i="16" s="1"/>
  <c r="X437" i="16"/>
  <c r="AD437" i="16" s="1"/>
  <c r="W437" i="16"/>
  <c r="AC437" i="16" s="1"/>
  <c r="V437" i="16"/>
  <c r="AB437" i="16" s="1"/>
  <c r="X436" i="16"/>
  <c r="AD436" i="16" s="1"/>
  <c r="W436" i="16"/>
  <c r="AC436" i="16" s="1"/>
  <c r="V436" i="16"/>
  <c r="AB436" i="16" s="1"/>
  <c r="X435" i="16"/>
  <c r="AD435" i="16" s="1"/>
  <c r="W435" i="16"/>
  <c r="AC435" i="16" s="1"/>
  <c r="V435" i="16"/>
  <c r="AB435" i="16" s="1"/>
  <c r="X434" i="16"/>
  <c r="AD434" i="16" s="1"/>
  <c r="W434" i="16"/>
  <c r="AC434" i="16" s="1"/>
  <c r="V434" i="16"/>
  <c r="AB434" i="16" s="1"/>
  <c r="X433" i="16"/>
  <c r="AD433" i="16" s="1"/>
  <c r="W433" i="16"/>
  <c r="AC433" i="16" s="1"/>
  <c r="V433" i="16"/>
  <c r="AB433" i="16" s="1"/>
  <c r="X432" i="16"/>
  <c r="AD432" i="16" s="1"/>
  <c r="W432" i="16"/>
  <c r="AC432" i="16" s="1"/>
  <c r="V432" i="16"/>
  <c r="AB432" i="16" s="1"/>
  <c r="X431" i="16"/>
  <c r="AD431" i="16" s="1"/>
  <c r="W431" i="16"/>
  <c r="AC431" i="16" s="1"/>
  <c r="V431" i="16"/>
  <c r="AB431" i="16" s="1"/>
  <c r="X430" i="16"/>
  <c r="AD430" i="16" s="1"/>
  <c r="W430" i="16"/>
  <c r="AC430" i="16" s="1"/>
  <c r="V430" i="16"/>
  <c r="AB430" i="16" s="1"/>
  <c r="X429" i="16"/>
  <c r="AD429" i="16" s="1"/>
  <c r="W429" i="16"/>
  <c r="AC429" i="16" s="1"/>
  <c r="V429" i="16"/>
  <c r="AB429" i="16" s="1"/>
  <c r="X428" i="16"/>
  <c r="AD428" i="16" s="1"/>
  <c r="W428" i="16"/>
  <c r="AC428" i="16" s="1"/>
  <c r="V428" i="16"/>
  <c r="AB428" i="16" s="1"/>
  <c r="X427" i="16"/>
  <c r="AD427" i="16" s="1"/>
  <c r="W427" i="16"/>
  <c r="AC427" i="16" s="1"/>
  <c r="V427" i="16"/>
  <c r="AB427" i="16" s="1"/>
  <c r="X426" i="16"/>
  <c r="AD426" i="16" s="1"/>
  <c r="W426" i="16"/>
  <c r="AC426" i="16" s="1"/>
  <c r="V426" i="16"/>
  <c r="AB426" i="16" s="1"/>
  <c r="X425" i="16"/>
  <c r="AD425" i="16" s="1"/>
  <c r="W425" i="16"/>
  <c r="AC425" i="16" s="1"/>
  <c r="V425" i="16"/>
  <c r="AB425" i="16" s="1"/>
  <c r="X424" i="16"/>
  <c r="AD424" i="16" s="1"/>
  <c r="W424" i="16"/>
  <c r="AC424" i="16" s="1"/>
  <c r="V424" i="16"/>
  <c r="AB424" i="16" s="1"/>
  <c r="X423" i="16"/>
  <c r="AD423" i="16" s="1"/>
  <c r="W423" i="16"/>
  <c r="AC423" i="16" s="1"/>
  <c r="V423" i="16"/>
  <c r="AB423" i="16" s="1"/>
  <c r="X422" i="16"/>
  <c r="AD422" i="16" s="1"/>
  <c r="W422" i="16"/>
  <c r="AC422" i="16" s="1"/>
  <c r="V422" i="16"/>
  <c r="AB422" i="16" s="1"/>
  <c r="X421" i="16"/>
  <c r="AD421" i="16" s="1"/>
  <c r="W421" i="16"/>
  <c r="AC421" i="16" s="1"/>
  <c r="V421" i="16"/>
  <c r="AB421" i="16" s="1"/>
  <c r="X420" i="16"/>
  <c r="AD420" i="16" s="1"/>
  <c r="W420" i="16"/>
  <c r="AC420" i="16" s="1"/>
  <c r="V420" i="16"/>
  <c r="AB420" i="16" s="1"/>
  <c r="X419" i="16"/>
  <c r="AD419" i="16" s="1"/>
  <c r="W419" i="16"/>
  <c r="AC419" i="16" s="1"/>
  <c r="V419" i="16"/>
  <c r="AB419" i="16" s="1"/>
  <c r="X418" i="16"/>
  <c r="AD418" i="16" s="1"/>
  <c r="W418" i="16"/>
  <c r="AC418" i="16" s="1"/>
  <c r="V418" i="16"/>
  <c r="AB418" i="16" s="1"/>
  <c r="X417" i="16"/>
  <c r="AD417" i="16" s="1"/>
  <c r="W417" i="16"/>
  <c r="AC417" i="16" s="1"/>
  <c r="V417" i="16"/>
  <c r="AB417" i="16" s="1"/>
  <c r="X416" i="16"/>
  <c r="AD416" i="16" s="1"/>
  <c r="W416" i="16"/>
  <c r="AC416" i="16" s="1"/>
  <c r="V416" i="16"/>
  <c r="AB416" i="16" s="1"/>
  <c r="X415" i="16"/>
  <c r="AD415" i="16" s="1"/>
  <c r="W415" i="16"/>
  <c r="AC415" i="16" s="1"/>
  <c r="V415" i="16"/>
  <c r="AB415" i="16" s="1"/>
  <c r="X414" i="16"/>
  <c r="AD414" i="16" s="1"/>
  <c r="W414" i="16"/>
  <c r="AC414" i="16" s="1"/>
  <c r="V414" i="16"/>
  <c r="AB414" i="16" s="1"/>
  <c r="X413" i="16"/>
  <c r="AD413" i="16" s="1"/>
  <c r="W413" i="16"/>
  <c r="AC413" i="16" s="1"/>
  <c r="V413" i="16"/>
  <c r="AB413" i="16" s="1"/>
  <c r="X412" i="16"/>
  <c r="AD412" i="16" s="1"/>
  <c r="W412" i="16"/>
  <c r="AC412" i="16" s="1"/>
  <c r="V412" i="16"/>
  <c r="AB412" i="16" s="1"/>
  <c r="X411" i="16"/>
  <c r="AD411" i="16" s="1"/>
  <c r="W411" i="16"/>
  <c r="AC411" i="16" s="1"/>
  <c r="V411" i="16"/>
  <c r="AB411" i="16" s="1"/>
  <c r="X410" i="16"/>
  <c r="AD410" i="16" s="1"/>
  <c r="W410" i="16"/>
  <c r="AC410" i="16" s="1"/>
  <c r="V410" i="16"/>
  <c r="AB410" i="16" s="1"/>
  <c r="X409" i="16"/>
  <c r="AD409" i="16" s="1"/>
  <c r="W409" i="16"/>
  <c r="AC409" i="16" s="1"/>
  <c r="V409" i="16"/>
  <c r="AB409" i="16" s="1"/>
  <c r="X408" i="16"/>
  <c r="AD408" i="16" s="1"/>
  <c r="W408" i="16"/>
  <c r="AC408" i="16" s="1"/>
  <c r="V408" i="16"/>
  <c r="AB408" i="16" s="1"/>
  <c r="X407" i="16"/>
  <c r="AD407" i="16" s="1"/>
  <c r="W407" i="16"/>
  <c r="AC407" i="16" s="1"/>
  <c r="V407" i="16"/>
  <c r="AB407" i="16" s="1"/>
  <c r="X406" i="16"/>
  <c r="AD406" i="16" s="1"/>
  <c r="W406" i="16"/>
  <c r="AC406" i="16" s="1"/>
  <c r="V406" i="16"/>
  <c r="AB406" i="16" s="1"/>
  <c r="X405" i="16"/>
  <c r="AD405" i="16" s="1"/>
  <c r="W405" i="16"/>
  <c r="AC405" i="16" s="1"/>
  <c r="V405" i="16"/>
  <c r="AB405" i="16" s="1"/>
  <c r="X404" i="16"/>
  <c r="AD404" i="16" s="1"/>
  <c r="W404" i="16"/>
  <c r="AC404" i="16" s="1"/>
  <c r="V404" i="16"/>
  <c r="AB404" i="16" s="1"/>
  <c r="X403" i="16"/>
  <c r="AD403" i="16" s="1"/>
  <c r="W403" i="16"/>
  <c r="AC403" i="16" s="1"/>
  <c r="V403" i="16"/>
  <c r="AB403" i="16" s="1"/>
  <c r="X402" i="16"/>
  <c r="AD402" i="16" s="1"/>
  <c r="W402" i="16"/>
  <c r="AC402" i="16" s="1"/>
  <c r="V402" i="16"/>
  <c r="AB402" i="16" s="1"/>
  <c r="X401" i="16"/>
  <c r="AD401" i="16" s="1"/>
  <c r="W401" i="16"/>
  <c r="AC401" i="16" s="1"/>
  <c r="V401" i="16"/>
  <c r="AB401" i="16" s="1"/>
  <c r="X400" i="16"/>
  <c r="AD400" i="16" s="1"/>
  <c r="W400" i="16"/>
  <c r="AC400" i="16" s="1"/>
  <c r="V400" i="16"/>
  <c r="AB400" i="16" s="1"/>
  <c r="X399" i="16"/>
  <c r="AD399" i="16" s="1"/>
  <c r="W399" i="16"/>
  <c r="AC399" i="16" s="1"/>
  <c r="V399" i="16"/>
  <c r="AB399" i="16" s="1"/>
  <c r="X398" i="16"/>
  <c r="AD398" i="16" s="1"/>
  <c r="W398" i="16"/>
  <c r="AC398" i="16" s="1"/>
  <c r="V398" i="16"/>
  <c r="AB398" i="16" s="1"/>
  <c r="X397" i="16"/>
  <c r="AD397" i="16" s="1"/>
  <c r="W397" i="16"/>
  <c r="AC397" i="16" s="1"/>
  <c r="V397" i="16"/>
  <c r="AB397" i="16" s="1"/>
  <c r="X396" i="16"/>
  <c r="AD396" i="16" s="1"/>
  <c r="W396" i="16"/>
  <c r="AC396" i="16" s="1"/>
  <c r="V396" i="16"/>
  <c r="AB396" i="16" s="1"/>
  <c r="X395" i="16"/>
  <c r="AD395" i="16" s="1"/>
  <c r="W395" i="16"/>
  <c r="AC395" i="16" s="1"/>
  <c r="V395" i="16"/>
  <c r="AB395" i="16" s="1"/>
  <c r="X394" i="16"/>
  <c r="AD394" i="16" s="1"/>
  <c r="W394" i="16"/>
  <c r="AC394" i="16" s="1"/>
  <c r="V394" i="16"/>
  <c r="AB394" i="16" s="1"/>
  <c r="X393" i="16"/>
  <c r="AD393" i="16" s="1"/>
  <c r="W393" i="16"/>
  <c r="V393" i="16"/>
  <c r="AB393" i="16" s="1"/>
  <c r="X392" i="16"/>
  <c r="AD392" i="16" s="1"/>
  <c r="W392" i="16"/>
  <c r="AC392" i="16" s="1"/>
  <c r="V392" i="16"/>
  <c r="AB392" i="16" s="1"/>
  <c r="X391" i="16"/>
  <c r="AD391" i="16" s="1"/>
  <c r="W391" i="16"/>
  <c r="AC391" i="16" s="1"/>
  <c r="V391" i="16"/>
  <c r="AB391" i="16" s="1"/>
  <c r="X390" i="16"/>
  <c r="AD390" i="16" s="1"/>
  <c r="W390" i="16"/>
  <c r="AC390" i="16" s="1"/>
  <c r="V390" i="16"/>
  <c r="AB390" i="16" s="1"/>
  <c r="X389" i="16"/>
  <c r="AD389" i="16" s="1"/>
  <c r="W389" i="16"/>
  <c r="AC389" i="16" s="1"/>
  <c r="V389" i="16"/>
  <c r="AB389" i="16" s="1"/>
  <c r="X388" i="16"/>
  <c r="AD388" i="16" s="1"/>
  <c r="W388" i="16"/>
  <c r="AC388" i="16" s="1"/>
  <c r="V388" i="16"/>
  <c r="AB388" i="16" s="1"/>
  <c r="X387" i="16"/>
  <c r="AD387" i="16" s="1"/>
  <c r="W387" i="16"/>
  <c r="AC387" i="16" s="1"/>
  <c r="V387" i="16"/>
  <c r="AB387" i="16" s="1"/>
  <c r="X386" i="16"/>
  <c r="AD386" i="16" s="1"/>
  <c r="W386" i="16"/>
  <c r="AC386" i="16" s="1"/>
  <c r="V386" i="16"/>
  <c r="AB386" i="16" s="1"/>
  <c r="X385" i="16"/>
  <c r="AD385" i="16" s="1"/>
  <c r="W385" i="16"/>
  <c r="AC385" i="16" s="1"/>
  <c r="V385" i="16"/>
  <c r="AB385" i="16" s="1"/>
  <c r="X384" i="16"/>
  <c r="AD384" i="16" s="1"/>
  <c r="W384" i="16"/>
  <c r="AC384" i="16" s="1"/>
  <c r="V384" i="16"/>
  <c r="AB384" i="16" s="1"/>
  <c r="X383" i="16"/>
  <c r="AD383" i="16" s="1"/>
  <c r="W383" i="16"/>
  <c r="AC383" i="16" s="1"/>
  <c r="V383" i="16"/>
  <c r="AB383" i="16" s="1"/>
  <c r="X382" i="16"/>
  <c r="AD382" i="16" s="1"/>
  <c r="W382" i="16"/>
  <c r="AC382" i="16" s="1"/>
  <c r="V382" i="16"/>
  <c r="AB382" i="16" s="1"/>
  <c r="X381" i="16"/>
  <c r="AD381" i="16" s="1"/>
  <c r="W381" i="16"/>
  <c r="AC381" i="16" s="1"/>
  <c r="V381" i="16"/>
  <c r="AB381" i="16" s="1"/>
  <c r="X380" i="16"/>
  <c r="AD380" i="16" s="1"/>
  <c r="W380" i="16"/>
  <c r="AC380" i="16" s="1"/>
  <c r="V380" i="16"/>
  <c r="AB380" i="16" s="1"/>
  <c r="X379" i="16"/>
  <c r="AD379" i="16" s="1"/>
  <c r="W379" i="16"/>
  <c r="AC379" i="16" s="1"/>
  <c r="V379" i="16"/>
  <c r="AB379" i="16" s="1"/>
  <c r="X378" i="16"/>
  <c r="AD378" i="16" s="1"/>
  <c r="W378" i="16"/>
  <c r="AC378" i="16" s="1"/>
  <c r="V378" i="16"/>
  <c r="AB378" i="16" s="1"/>
  <c r="X377" i="16"/>
  <c r="AD377" i="16" s="1"/>
  <c r="W377" i="16"/>
  <c r="AC377" i="16" s="1"/>
  <c r="V377" i="16"/>
  <c r="AB377" i="16" s="1"/>
  <c r="X376" i="16"/>
  <c r="AD376" i="16" s="1"/>
  <c r="W376" i="16"/>
  <c r="AC376" i="16" s="1"/>
  <c r="V376" i="16"/>
  <c r="AB376" i="16" s="1"/>
  <c r="X375" i="16"/>
  <c r="AD375" i="16" s="1"/>
  <c r="W375" i="16"/>
  <c r="AC375" i="16" s="1"/>
  <c r="V375" i="16"/>
  <c r="AB375" i="16" s="1"/>
  <c r="X374" i="16"/>
  <c r="AD374" i="16" s="1"/>
  <c r="W374" i="16"/>
  <c r="AC374" i="16" s="1"/>
  <c r="V374" i="16"/>
  <c r="AB374" i="16" s="1"/>
  <c r="X373" i="16"/>
  <c r="AD373" i="16" s="1"/>
  <c r="W373" i="16"/>
  <c r="AC373" i="16" s="1"/>
  <c r="V373" i="16"/>
  <c r="AB373" i="16" s="1"/>
  <c r="X372" i="16"/>
  <c r="AD372" i="16" s="1"/>
  <c r="W372" i="16"/>
  <c r="AC372" i="16" s="1"/>
  <c r="V372" i="16"/>
  <c r="AB372" i="16" s="1"/>
  <c r="X371" i="16"/>
  <c r="AD371" i="16" s="1"/>
  <c r="W371" i="16"/>
  <c r="AC371" i="16" s="1"/>
  <c r="V371" i="16"/>
  <c r="AB371" i="16" s="1"/>
  <c r="X370" i="16"/>
  <c r="AD370" i="16" s="1"/>
  <c r="W370" i="16"/>
  <c r="AC370" i="16" s="1"/>
  <c r="V370" i="16"/>
  <c r="AB370" i="16" s="1"/>
  <c r="X369" i="16"/>
  <c r="AD369" i="16" s="1"/>
  <c r="W369" i="16"/>
  <c r="AC369" i="16" s="1"/>
  <c r="V369" i="16"/>
  <c r="AB369" i="16" s="1"/>
  <c r="X368" i="16"/>
  <c r="AD368" i="16" s="1"/>
  <c r="W368" i="16"/>
  <c r="AC368" i="16" s="1"/>
  <c r="V368" i="16"/>
  <c r="AB368" i="16" s="1"/>
  <c r="X367" i="16"/>
  <c r="AD367" i="16" s="1"/>
  <c r="W367" i="16"/>
  <c r="AC367" i="16" s="1"/>
  <c r="V367" i="16"/>
  <c r="AB367" i="16" s="1"/>
  <c r="X366" i="16"/>
  <c r="AD366" i="16" s="1"/>
  <c r="W366" i="16"/>
  <c r="AC366" i="16" s="1"/>
  <c r="V366" i="16"/>
  <c r="AB366" i="16" s="1"/>
  <c r="X365" i="16"/>
  <c r="AD365" i="16" s="1"/>
  <c r="W365" i="16"/>
  <c r="AC365" i="16" s="1"/>
  <c r="V365" i="16"/>
  <c r="AB365" i="16" s="1"/>
  <c r="X364" i="16"/>
  <c r="AD364" i="16" s="1"/>
  <c r="W364" i="16"/>
  <c r="AC364" i="16" s="1"/>
  <c r="V364" i="16"/>
  <c r="AB364" i="16" s="1"/>
  <c r="X363" i="16"/>
  <c r="AD363" i="16" s="1"/>
  <c r="W363" i="16"/>
  <c r="AC363" i="16" s="1"/>
  <c r="V363" i="16"/>
  <c r="AB363" i="16" s="1"/>
  <c r="X362" i="16"/>
  <c r="AD362" i="16" s="1"/>
  <c r="W362" i="16"/>
  <c r="AC362" i="16" s="1"/>
  <c r="V362" i="16"/>
  <c r="AB362" i="16" s="1"/>
  <c r="X361" i="16"/>
  <c r="AD361" i="16" s="1"/>
  <c r="W361" i="16"/>
  <c r="AC361" i="16" s="1"/>
  <c r="V361" i="16"/>
  <c r="AB361" i="16" s="1"/>
  <c r="X360" i="16"/>
  <c r="AD360" i="16" s="1"/>
  <c r="W360" i="16"/>
  <c r="AC360" i="16" s="1"/>
  <c r="V360" i="16"/>
  <c r="AB360" i="16" s="1"/>
  <c r="X359" i="16"/>
  <c r="AD359" i="16" s="1"/>
  <c r="W359" i="16"/>
  <c r="AC359" i="16" s="1"/>
  <c r="V359" i="16"/>
  <c r="AB359" i="16" s="1"/>
  <c r="X358" i="16"/>
  <c r="AD358" i="16" s="1"/>
  <c r="W358" i="16"/>
  <c r="AC358" i="16" s="1"/>
  <c r="V358" i="16"/>
  <c r="AB358" i="16" s="1"/>
  <c r="X357" i="16"/>
  <c r="AD357" i="16" s="1"/>
  <c r="W357" i="16"/>
  <c r="AC357" i="16" s="1"/>
  <c r="V357" i="16"/>
  <c r="AB357" i="16" s="1"/>
  <c r="X356" i="16"/>
  <c r="AD356" i="16" s="1"/>
  <c r="W356" i="16"/>
  <c r="AC356" i="16" s="1"/>
  <c r="V356" i="16"/>
  <c r="AB356" i="16" s="1"/>
  <c r="X355" i="16"/>
  <c r="AD355" i="16" s="1"/>
  <c r="W355" i="16"/>
  <c r="AC355" i="16" s="1"/>
  <c r="V355" i="16"/>
  <c r="AB355" i="16" s="1"/>
  <c r="X354" i="16"/>
  <c r="AD354" i="16" s="1"/>
  <c r="W354" i="16"/>
  <c r="AC354" i="16" s="1"/>
  <c r="V354" i="16"/>
  <c r="AB354" i="16" s="1"/>
  <c r="X353" i="16"/>
  <c r="AD353" i="16" s="1"/>
  <c r="W353" i="16"/>
  <c r="AC353" i="16" s="1"/>
  <c r="V353" i="16"/>
  <c r="AB353" i="16" s="1"/>
  <c r="X352" i="16"/>
  <c r="AD352" i="16" s="1"/>
  <c r="W352" i="16"/>
  <c r="AC352" i="16" s="1"/>
  <c r="V352" i="16"/>
  <c r="AB352" i="16" s="1"/>
  <c r="X351" i="16"/>
  <c r="AD351" i="16" s="1"/>
  <c r="W351" i="16"/>
  <c r="AC351" i="16" s="1"/>
  <c r="V351" i="16"/>
  <c r="AB351" i="16" s="1"/>
  <c r="X350" i="16"/>
  <c r="AD350" i="16" s="1"/>
  <c r="W350" i="16"/>
  <c r="AC350" i="16" s="1"/>
  <c r="V350" i="16"/>
  <c r="AB350" i="16" s="1"/>
  <c r="X349" i="16"/>
  <c r="AD349" i="16" s="1"/>
  <c r="W349" i="16"/>
  <c r="AC349" i="16" s="1"/>
  <c r="V349" i="16"/>
  <c r="AB349" i="16" s="1"/>
  <c r="X348" i="16"/>
  <c r="AD348" i="16" s="1"/>
  <c r="W348" i="16"/>
  <c r="AC348" i="16" s="1"/>
  <c r="V348" i="16"/>
  <c r="AB348" i="16" s="1"/>
  <c r="X347" i="16"/>
  <c r="AD347" i="16" s="1"/>
  <c r="W347" i="16"/>
  <c r="AC347" i="16" s="1"/>
  <c r="V347" i="16"/>
  <c r="AB347" i="16" s="1"/>
  <c r="X346" i="16"/>
  <c r="AD346" i="16" s="1"/>
  <c r="W346" i="16"/>
  <c r="AC346" i="16" s="1"/>
  <c r="V346" i="16"/>
  <c r="AB346" i="16" s="1"/>
  <c r="X345" i="16"/>
  <c r="AD345" i="16" s="1"/>
  <c r="W345" i="16"/>
  <c r="AC345" i="16" s="1"/>
  <c r="V345" i="16"/>
  <c r="AB345" i="16" s="1"/>
  <c r="X344" i="16"/>
  <c r="AD344" i="16" s="1"/>
  <c r="W344" i="16"/>
  <c r="AC344" i="16" s="1"/>
  <c r="V344" i="16"/>
  <c r="AB344" i="16" s="1"/>
  <c r="X343" i="16"/>
  <c r="AD343" i="16" s="1"/>
  <c r="W343" i="16"/>
  <c r="AC343" i="16" s="1"/>
  <c r="V343" i="16"/>
  <c r="AB343" i="16" s="1"/>
  <c r="X342" i="16"/>
  <c r="AD342" i="16" s="1"/>
  <c r="W342" i="16"/>
  <c r="AC342" i="16" s="1"/>
  <c r="V342" i="16"/>
  <c r="AB342" i="16" s="1"/>
  <c r="X341" i="16"/>
  <c r="AD341" i="16" s="1"/>
  <c r="W341" i="16"/>
  <c r="AC341" i="16" s="1"/>
  <c r="V341" i="16"/>
  <c r="AB341" i="16" s="1"/>
  <c r="X340" i="16"/>
  <c r="AD340" i="16" s="1"/>
  <c r="W340" i="16"/>
  <c r="AC340" i="16" s="1"/>
  <c r="V340" i="16"/>
  <c r="AB340" i="16" s="1"/>
  <c r="X339" i="16"/>
  <c r="AD339" i="16" s="1"/>
  <c r="W339" i="16"/>
  <c r="AC339" i="16" s="1"/>
  <c r="V339" i="16"/>
  <c r="AB339" i="16" s="1"/>
  <c r="X338" i="16"/>
  <c r="AD338" i="16" s="1"/>
  <c r="W338" i="16"/>
  <c r="AC338" i="16" s="1"/>
  <c r="V338" i="16"/>
  <c r="AB338" i="16" s="1"/>
  <c r="X337" i="16"/>
  <c r="AD337" i="16" s="1"/>
  <c r="W337" i="16"/>
  <c r="AC337" i="16" s="1"/>
  <c r="V337" i="16"/>
  <c r="AB337" i="16" s="1"/>
  <c r="X336" i="16"/>
  <c r="AD336" i="16" s="1"/>
  <c r="W336" i="16"/>
  <c r="AC336" i="16" s="1"/>
  <c r="V336" i="16"/>
  <c r="AB336" i="16" s="1"/>
  <c r="X335" i="16"/>
  <c r="AD335" i="16" s="1"/>
  <c r="W335" i="16"/>
  <c r="AC335" i="16" s="1"/>
  <c r="V335" i="16"/>
  <c r="AB335" i="16" s="1"/>
  <c r="X334" i="16"/>
  <c r="AD334" i="16" s="1"/>
  <c r="W334" i="16"/>
  <c r="AC334" i="16" s="1"/>
  <c r="V334" i="16"/>
  <c r="AB334" i="16" s="1"/>
  <c r="X333" i="16"/>
  <c r="AD333" i="16" s="1"/>
  <c r="W333" i="16"/>
  <c r="AC333" i="16" s="1"/>
  <c r="V333" i="16"/>
  <c r="AB333" i="16" s="1"/>
  <c r="X332" i="16"/>
  <c r="AD332" i="16" s="1"/>
  <c r="W332" i="16"/>
  <c r="AC332" i="16" s="1"/>
  <c r="V332" i="16"/>
  <c r="AB332" i="16" s="1"/>
  <c r="X331" i="16"/>
  <c r="AD331" i="16" s="1"/>
  <c r="W331" i="16"/>
  <c r="AC331" i="16" s="1"/>
  <c r="V331" i="16"/>
  <c r="AB331" i="16" s="1"/>
  <c r="X330" i="16"/>
  <c r="AD330" i="16" s="1"/>
  <c r="W330" i="16"/>
  <c r="AC330" i="16" s="1"/>
  <c r="V330" i="16"/>
  <c r="AB330" i="16" s="1"/>
  <c r="X329" i="16"/>
  <c r="AD329" i="16" s="1"/>
  <c r="W329" i="16"/>
  <c r="AC329" i="16" s="1"/>
  <c r="V329" i="16"/>
  <c r="AB329" i="16" s="1"/>
  <c r="X328" i="16"/>
  <c r="AD328" i="16" s="1"/>
  <c r="W328" i="16"/>
  <c r="AC328" i="16" s="1"/>
  <c r="V328" i="16"/>
  <c r="AB328" i="16" s="1"/>
  <c r="X327" i="16"/>
  <c r="AD327" i="16" s="1"/>
  <c r="W327" i="16"/>
  <c r="AC327" i="16" s="1"/>
  <c r="V327" i="16"/>
  <c r="AB327" i="16" s="1"/>
  <c r="X326" i="16"/>
  <c r="AD326" i="16" s="1"/>
  <c r="W326" i="16"/>
  <c r="AC326" i="16" s="1"/>
  <c r="V326" i="16"/>
  <c r="AB326" i="16" s="1"/>
  <c r="X325" i="16"/>
  <c r="AD325" i="16" s="1"/>
  <c r="W325" i="16"/>
  <c r="AC325" i="16" s="1"/>
  <c r="V325" i="16"/>
  <c r="AB325" i="16" s="1"/>
  <c r="X324" i="16"/>
  <c r="AD324" i="16" s="1"/>
  <c r="W324" i="16"/>
  <c r="AC324" i="16" s="1"/>
  <c r="V324" i="16"/>
  <c r="AB324" i="16" s="1"/>
  <c r="X323" i="16"/>
  <c r="AD323" i="16" s="1"/>
  <c r="W323" i="16"/>
  <c r="AC323" i="16" s="1"/>
  <c r="V323" i="16"/>
  <c r="AB323" i="16" s="1"/>
  <c r="X322" i="16"/>
  <c r="AD322" i="16" s="1"/>
  <c r="W322" i="16"/>
  <c r="AC322" i="16" s="1"/>
  <c r="V322" i="16"/>
  <c r="AB322" i="16" s="1"/>
  <c r="X321" i="16"/>
  <c r="AD321" i="16" s="1"/>
  <c r="W321" i="16"/>
  <c r="AC321" i="16" s="1"/>
  <c r="V321" i="16"/>
  <c r="AB321" i="16" s="1"/>
  <c r="X320" i="16"/>
  <c r="AD320" i="16" s="1"/>
  <c r="W320" i="16"/>
  <c r="AC320" i="16" s="1"/>
  <c r="V320" i="16"/>
  <c r="AB320" i="16" s="1"/>
  <c r="X319" i="16"/>
  <c r="AD319" i="16" s="1"/>
  <c r="W319" i="16"/>
  <c r="AC319" i="16" s="1"/>
  <c r="V319" i="16"/>
  <c r="AB319" i="16" s="1"/>
  <c r="X318" i="16"/>
  <c r="AD318" i="16" s="1"/>
  <c r="W318" i="16"/>
  <c r="AC318" i="16" s="1"/>
  <c r="V318" i="16"/>
  <c r="AB318" i="16" s="1"/>
  <c r="X317" i="16"/>
  <c r="AD317" i="16" s="1"/>
  <c r="W317" i="16"/>
  <c r="AC317" i="16" s="1"/>
  <c r="V317" i="16"/>
  <c r="AB317" i="16" s="1"/>
  <c r="X316" i="16"/>
  <c r="AD316" i="16" s="1"/>
  <c r="W316" i="16"/>
  <c r="AC316" i="16" s="1"/>
  <c r="V316" i="16"/>
  <c r="AB316" i="16" s="1"/>
  <c r="X315" i="16"/>
  <c r="AD315" i="16" s="1"/>
  <c r="W315" i="16"/>
  <c r="AC315" i="16" s="1"/>
  <c r="V315" i="16"/>
  <c r="AB315" i="16" s="1"/>
  <c r="X314" i="16"/>
  <c r="AD314" i="16" s="1"/>
  <c r="W314" i="16"/>
  <c r="AC314" i="16" s="1"/>
  <c r="V314" i="16"/>
  <c r="AB314" i="16" s="1"/>
  <c r="X313" i="16"/>
  <c r="AD313" i="16" s="1"/>
  <c r="W313" i="16"/>
  <c r="AC313" i="16" s="1"/>
  <c r="V313" i="16"/>
  <c r="AB313" i="16" s="1"/>
  <c r="X312" i="16"/>
  <c r="AD312" i="16" s="1"/>
  <c r="W312" i="16"/>
  <c r="AC312" i="16" s="1"/>
  <c r="V312" i="16"/>
  <c r="X311" i="16"/>
  <c r="AD311" i="16" s="1"/>
  <c r="W311" i="16"/>
  <c r="AC311" i="16" s="1"/>
  <c r="V311" i="16"/>
  <c r="AB311" i="16" s="1"/>
  <c r="X310" i="16"/>
  <c r="AD310" i="16" s="1"/>
  <c r="W310" i="16"/>
  <c r="AC310" i="16" s="1"/>
  <c r="V310" i="16"/>
  <c r="AB310" i="16" s="1"/>
  <c r="X309" i="16"/>
  <c r="AD309" i="16" s="1"/>
  <c r="W309" i="16"/>
  <c r="AC309" i="16" s="1"/>
  <c r="V309" i="16"/>
  <c r="AB309" i="16" s="1"/>
  <c r="X308" i="16"/>
  <c r="AD308" i="16" s="1"/>
  <c r="W308" i="16"/>
  <c r="AC308" i="16" s="1"/>
  <c r="V308" i="16"/>
  <c r="AB308" i="16" s="1"/>
  <c r="X307" i="16"/>
  <c r="AD307" i="16" s="1"/>
  <c r="W307" i="16"/>
  <c r="AC307" i="16" s="1"/>
  <c r="V307" i="16"/>
  <c r="AB307" i="16" s="1"/>
  <c r="X306" i="16"/>
  <c r="AD306" i="16" s="1"/>
  <c r="W306" i="16"/>
  <c r="AC306" i="16" s="1"/>
  <c r="V306" i="16"/>
  <c r="AB306" i="16" s="1"/>
  <c r="X305" i="16"/>
  <c r="AD305" i="16" s="1"/>
  <c r="W305" i="16"/>
  <c r="AC305" i="16" s="1"/>
  <c r="V305" i="16"/>
  <c r="AB305" i="16" s="1"/>
  <c r="X304" i="16"/>
  <c r="AD304" i="16" s="1"/>
  <c r="W304" i="16"/>
  <c r="AC304" i="16" s="1"/>
  <c r="V304" i="16"/>
  <c r="AB304" i="16" s="1"/>
  <c r="X303" i="16"/>
  <c r="AD303" i="16" s="1"/>
  <c r="W303" i="16"/>
  <c r="AC303" i="16" s="1"/>
  <c r="V303" i="16"/>
  <c r="AB303" i="16" s="1"/>
  <c r="X302" i="16"/>
  <c r="AD302" i="16" s="1"/>
  <c r="W302" i="16"/>
  <c r="AC302" i="16" s="1"/>
  <c r="V302" i="16"/>
  <c r="AB302" i="16" s="1"/>
  <c r="X301" i="16"/>
  <c r="AD301" i="16" s="1"/>
  <c r="W301" i="16"/>
  <c r="AC301" i="16" s="1"/>
  <c r="V301" i="16"/>
  <c r="AB301" i="16" s="1"/>
  <c r="X300" i="16"/>
  <c r="AD300" i="16" s="1"/>
  <c r="W300" i="16"/>
  <c r="AC300" i="16" s="1"/>
  <c r="V300" i="16"/>
  <c r="AB300" i="16" s="1"/>
  <c r="X299" i="16"/>
  <c r="AD299" i="16" s="1"/>
  <c r="W299" i="16"/>
  <c r="AC299" i="16" s="1"/>
  <c r="V299" i="16"/>
  <c r="AB299" i="16" s="1"/>
  <c r="X298" i="16"/>
  <c r="AD298" i="16" s="1"/>
  <c r="W298" i="16"/>
  <c r="AC298" i="16" s="1"/>
  <c r="V298" i="16"/>
  <c r="AB298" i="16" s="1"/>
  <c r="X297" i="16"/>
  <c r="AD297" i="16" s="1"/>
  <c r="W297" i="16"/>
  <c r="AC297" i="16" s="1"/>
  <c r="V297" i="16"/>
  <c r="AB297" i="16" s="1"/>
  <c r="X296" i="16"/>
  <c r="AD296" i="16" s="1"/>
  <c r="W296" i="16"/>
  <c r="AC296" i="16" s="1"/>
  <c r="V296" i="16"/>
  <c r="AB296" i="16" s="1"/>
  <c r="X295" i="16"/>
  <c r="AD295" i="16" s="1"/>
  <c r="W295" i="16"/>
  <c r="AC295" i="16" s="1"/>
  <c r="V295" i="16"/>
  <c r="AB295" i="16" s="1"/>
  <c r="X294" i="16"/>
  <c r="AD294" i="16" s="1"/>
  <c r="W294" i="16"/>
  <c r="AC294" i="16" s="1"/>
  <c r="V294" i="16"/>
  <c r="AB294" i="16" s="1"/>
  <c r="X293" i="16"/>
  <c r="AD293" i="16" s="1"/>
  <c r="W293" i="16"/>
  <c r="AC293" i="16" s="1"/>
  <c r="V293" i="16"/>
  <c r="AB293" i="16" s="1"/>
  <c r="X292" i="16"/>
  <c r="AD292" i="16" s="1"/>
  <c r="W292" i="16"/>
  <c r="AC292" i="16" s="1"/>
  <c r="V292" i="16"/>
  <c r="AB292" i="16" s="1"/>
  <c r="X291" i="16"/>
  <c r="AD291" i="16" s="1"/>
  <c r="W291" i="16"/>
  <c r="AC291" i="16" s="1"/>
  <c r="V291" i="16"/>
  <c r="AB291" i="16" s="1"/>
  <c r="X290" i="16"/>
  <c r="AD290" i="16" s="1"/>
  <c r="W290" i="16"/>
  <c r="AC290" i="16" s="1"/>
  <c r="V290" i="16"/>
  <c r="AB290" i="16" s="1"/>
  <c r="X289" i="16"/>
  <c r="AD289" i="16" s="1"/>
  <c r="W289" i="16"/>
  <c r="AC289" i="16" s="1"/>
  <c r="V289" i="16"/>
  <c r="AB289" i="16" s="1"/>
  <c r="X288" i="16"/>
  <c r="AD288" i="16" s="1"/>
  <c r="W288" i="16"/>
  <c r="AC288" i="16" s="1"/>
  <c r="V288" i="16"/>
  <c r="AB288" i="16" s="1"/>
  <c r="X287" i="16"/>
  <c r="AD287" i="16" s="1"/>
  <c r="W287" i="16"/>
  <c r="AC287" i="16" s="1"/>
  <c r="V287" i="16"/>
  <c r="AB287" i="16" s="1"/>
  <c r="X286" i="16"/>
  <c r="AD286" i="16" s="1"/>
  <c r="W286" i="16"/>
  <c r="AC286" i="16" s="1"/>
  <c r="V286" i="16"/>
  <c r="AB286" i="16" s="1"/>
  <c r="X285" i="16"/>
  <c r="AD285" i="16" s="1"/>
  <c r="W285" i="16"/>
  <c r="AC285" i="16" s="1"/>
  <c r="V285" i="16"/>
  <c r="AB285" i="16" s="1"/>
  <c r="X284" i="16"/>
  <c r="AD284" i="16" s="1"/>
  <c r="W284" i="16"/>
  <c r="AC284" i="16" s="1"/>
  <c r="V284" i="16"/>
  <c r="AB284" i="16" s="1"/>
  <c r="X283" i="16"/>
  <c r="AD283" i="16" s="1"/>
  <c r="W283" i="16"/>
  <c r="AC283" i="16" s="1"/>
  <c r="V283" i="16"/>
  <c r="AB283" i="16" s="1"/>
  <c r="X282" i="16"/>
  <c r="AD282" i="16" s="1"/>
  <c r="W282" i="16"/>
  <c r="AC282" i="16" s="1"/>
  <c r="V282" i="16"/>
  <c r="AB282" i="16" s="1"/>
  <c r="X281" i="16"/>
  <c r="AD281" i="16" s="1"/>
  <c r="W281" i="16"/>
  <c r="AC281" i="16" s="1"/>
  <c r="V281" i="16"/>
  <c r="AB281" i="16" s="1"/>
  <c r="X280" i="16"/>
  <c r="AD280" i="16" s="1"/>
  <c r="W280" i="16"/>
  <c r="AC280" i="16" s="1"/>
  <c r="V280" i="16"/>
  <c r="AB280" i="16" s="1"/>
  <c r="X279" i="16"/>
  <c r="AD279" i="16" s="1"/>
  <c r="W279" i="16"/>
  <c r="AC279" i="16" s="1"/>
  <c r="V279" i="16"/>
  <c r="AB279" i="16" s="1"/>
  <c r="X278" i="16"/>
  <c r="AD278" i="16" s="1"/>
  <c r="W278" i="16"/>
  <c r="AC278" i="16" s="1"/>
  <c r="V278" i="16"/>
  <c r="AB278" i="16" s="1"/>
  <c r="X277" i="16"/>
  <c r="AD277" i="16" s="1"/>
  <c r="W277" i="16"/>
  <c r="AC277" i="16" s="1"/>
  <c r="V277" i="16"/>
  <c r="AB277" i="16" s="1"/>
  <c r="X276" i="16"/>
  <c r="AD276" i="16" s="1"/>
  <c r="W276" i="16"/>
  <c r="AC276" i="16" s="1"/>
  <c r="V276" i="16"/>
  <c r="AB276" i="16" s="1"/>
  <c r="X275" i="16"/>
  <c r="AD275" i="16" s="1"/>
  <c r="W275" i="16"/>
  <c r="AC275" i="16" s="1"/>
  <c r="V275" i="16"/>
  <c r="AB275" i="16" s="1"/>
  <c r="X274" i="16"/>
  <c r="AD274" i="16" s="1"/>
  <c r="W274" i="16"/>
  <c r="AC274" i="16" s="1"/>
  <c r="V274" i="16"/>
  <c r="AB274" i="16" s="1"/>
  <c r="X273" i="16"/>
  <c r="AD273" i="16" s="1"/>
  <c r="W273" i="16"/>
  <c r="AC273" i="16" s="1"/>
  <c r="V273" i="16"/>
  <c r="AB273" i="16" s="1"/>
  <c r="X272" i="16"/>
  <c r="AD272" i="16" s="1"/>
  <c r="W272" i="16"/>
  <c r="AC272" i="16" s="1"/>
  <c r="V272" i="16"/>
  <c r="AB272" i="16" s="1"/>
  <c r="X271" i="16"/>
  <c r="AD271" i="16" s="1"/>
  <c r="W271" i="16"/>
  <c r="AC271" i="16" s="1"/>
  <c r="V271" i="16"/>
  <c r="AB271" i="16" s="1"/>
  <c r="X270" i="16"/>
  <c r="AD270" i="16" s="1"/>
  <c r="W270" i="16"/>
  <c r="AC270" i="16" s="1"/>
  <c r="V270" i="16"/>
  <c r="AB270" i="16" s="1"/>
  <c r="X269" i="16"/>
  <c r="AD269" i="16" s="1"/>
  <c r="W269" i="16"/>
  <c r="AC269" i="16" s="1"/>
  <c r="V269" i="16"/>
  <c r="AB269" i="16" s="1"/>
  <c r="X268" i="16"/>
  <c r="AD268" i="16" s="1"/>
  <c r="W268" i="16"/>
  <c r="AC268" i="16" s="1"/>
  <c r="V268" i="16"/>
  <c r="AB268" i="16" s="1"/>
  <c r="X267" i="16"/>
  <c r="AD267" i="16" s="1"/>
  <c r="W267" i="16"/>
  <c r="AC267" i="16" s="1"/>
  <c r="V267" i="16"/>
  <c r="AB267" i="16" s="1"/>
  <c r="X266" i="16"/>
  <c r="AD266" i="16" s="1"/>
  <c r="W266" i="16"/>
  <c r="AC266" i="16" s="1"/>
  <c r="V266" i="16"/>
  <c r="AB266" i="16" s="1"/>
  <c r="X265" i="16"/>
  <c r="AD265" i="16" s="1"/>
  <c r="W265" i="16"/>
  <c r="AC265" i="16" s="1"/>
  <c r="V265" i="16"/>
  <c r="AB265" i="16" s="1"/>
  <c r="X264" i="16"/>
  <c r="AD264" i="16" s="1"/>
  <c r="W264" i="16"/>
  <c r="AC264" i="16" s="1"/>
  <c r="V264" i="16"/>
  <c r="AB264" i="16" s="1"/>
  <c r="X263" i="16"/>
  <c r="AD263" i="16" s="1"/>
  <c r="W263" i="16"/>
  <c r="AC263" i="16" s="1"/>
  <c r="V263" i="16"/>
  <c r="AB263" i="16" s="1"/>
  <c r="X262" i="16"/>
  <c r="AD262" i="16" s="1"/>
  <c r="W262" i="16"/>
  <c r="AC262" i="16" s="1"/>
  <c r="V262" i="16"/>
  <c r="AB262" i="16" s="1"/>
  <c r="X261" i="16"/>
  <c r="AD261" i="16" s="1"/>
  <c r="W261" i="16"/>
  <c r="AC261" i="16" s="1"/>
  <c r="V261" i="16"/>
  <c r="AB261" i="16" s="1"/>
  <c r="X260" i="16"/>
  <c r="AD260" i="16" s="1"/>
  <c r="W260" i="16"/>
  <c r="AC260" i="16" s="1"/>
  <c r="V260" i="16"/>
  <c r="AB260" i="16" s="1"/>
  <c r="X259" i="16"/>
  <c r="AD259" i="16" s="1"/>
  <c r="W259" i="16"/>
  <c r="AC259" i="16" s="1"/>
  <c r="V259" i="16"/>
  <c r="AB259" i="16" s="1"/>
  <c r="X258" i="16"/>
  <c r="AD258" i="16" s="1"/>
  <c r="W258" i="16"/>
  <c r="AC258" i="16" s="1"/>
  <c r="V258" i="16"/>
  <c r="AB258" i="16" s="1"/>
  <c r="X257" i="16"/>
  <c r="AD257" i="16" s="1"/>
  <c r="W257" i="16"/>
  <c r="AC257" i="16" s="1"/>
  <c r="V257" i="16"/>
  <c r="AB257" i="16" s="1"/>
  <c r="X256" i="16"/>
  <c r="AD256" i="16" s="1"/>
  <c r="W256" i="16"/>
  <c r="AC256" i="16" s="1"/>
  <c r="V256" i="16"/>
  <c r="AB256" i="16" s="1"/>
  <c r="X255" i="16"/>
  <c r="AD255" i="16" s="1"/>
  <c r="W255" i="16"/>
  <c r="AC255" i="16" s="1"/>
  <c r="V255" i="16"/>
  <c r="AB255" i="16" s="1"/>
  <c r="X254" i="16"/>
  <c r="AD254" i="16" s="1"/>
  <c r="W254" i="16"/>
  <c r="AC254" i="16" s="1"/>
  <c r="V254" i="16"/>
  <c r="AB254" i="16" s="1"/>
  <c r="X253" i="16"/>
  <c r="AD253" i="16" s="1"/>
  <c r="W253" i="16"/>
  <c r="AC253" i="16" s="1"/>
  <c r="V253" i="16"/>
  <c r="AB253" i="16" s="1"/>
  <c r="X252" i="16"/>
  <c r="AD252" i="16" s="1"/>
  <c r="W252" i="16"/>
  <c r="AC252" i="16" s="1"/>
  <c r="V252" i="16"/>
  <c r="AB252" i="16" s="1"/>
  <c r="X251" i="16"/>
  <c r="AD251" i="16" s="1"/>
  <c r="W251" i="16"/>
  <c r="AC251" i="16" s="1"/>
  <c r="V251" i="16"/>
  <c r="AB251" i="16" s="1"/>
  <c r="X250" i="16"/>
  <c r="AD250" i="16" s="1"/>
  <c r="W250" i="16"/>
  <c r="AC250" i="16" s="1"/>
  <c r="V250" i="16"/>
  <c r="AB250" i="16" s="1"/>
  <c r="X249" i="16"/>
  <c r="AD249" i="16" s="1"/>
  <c r="W249" i="16"/>
  <c r="AC249" i="16" s="1"/>
  <c r="V249" i="16"/>
  <c r="AB249" i="16" s="1"/>
  <c r="X248" i="16"/>
  <c r="AD248" i="16" s="1"/>
  <c r="W248" i="16"/>
  <c r="AC248" i="16" s="1"/>
  <c r="V248" i="16"/>
  <c r="AB248" i="16" s="1"/>
  <c r="X247" i="16"/>
  <c r="AD247" i="16" s="1"/>
  <c r="W247" i="16"/>
  <c r="AC247" i="16" s="1"/>
  <c r="V247" i="16"/>
  <c r="AB247" i="16" s="1"/>
  <c r="X246" i="16"/>
  <c r="AD246" i="16" s="1"/>
  <c r="W246" i="16"/>
  <c r="AC246" i="16" s="1"/>
  <c r="V246" i="16"/>
  <c r="AB246" i="16" s="1"/>
  <c r="X245" i="16"/>
  <c r="AD245" i="16" s="1"/>
  <c r="W245" i="16"/>
  <c r="AC245" i="16" s="1"/>
  <c r="V245" i="16"/>
  <c r="AB245" i="16" s="1"/>
  <c r="X244" i="16"/>
  <c r="AD244" i="16" s="1"/>
  <c r="W244" i="16"/>
  <c r="AC244" i="16" s="1"/>
  <c r="V244" i="16"/>
  <c r="AB244" i="16" s="1"/>
  <c r="X243" i="16"/>
  <c r="AD243" i="16" s="1"/>
  <c r="W243" i="16"/>
  <c r="AC243" i="16" s="1"/>
  <c r="V243" i="16"/>
  <c r="AB243" i="16" s="1"/>
  <c r="X242" i="16"/>
  <c r="AD242" i="16" s="1"/>
  <c r="W242" i="16"/>
  <c r="AC242" i="16" s="1"/>
  <c r="V242" i="16"/>
  <c r="AB242" i="16" s="1"/>
  <c r="X241" i="16"/>
  <c r="AD241" i="16" s="1"/>
  <c r="W241" i="16"/>
  <c r="AC241" i="16" s="1"/>
  <c r="V241" i="16"/>
  <c r="AB241" i="16" s="1"/>
  <c r="X240" i="16"/>
  <c r="AD240" i="16" s="1"/>
  <c r="W240" i="16"/>
  <c r="AC240" i="16" s="1"/>
  <c r="V240" i="16"/>
  <c r="AB240" i="16" s="1"/>
  <c r="X239" i="16"/>
  <c r="AD239" i="16" s="1"/>
  <c r="W239" i="16"/>
  <c r="AC239" i="16" s="1"/>
  <c r="V239" i="16"/>
  <c r="AB239" i="16" s="1"/>
  <c r="X238" i="16"/>
  <c r="AD238" i="16" s="1"/>
  <c r="W238" i="16"/>
  <c r="AC238" i="16" s="1"/>
  <c r="V238" i="16"/>
  <c r="AB238" i="16" s="1"/>
  <c r="X237" i="16"/>
  <c r="AD237" i="16" s="1"/>
  <c r="W237" i="16"/>
  <c r="AC237" i="16" s="1"/>
  <c r="V237" i="16"/>
  <c r="AB237" i="16" s="1"/>
  <c r="X236" i="16"/>
  <c r="AD236" i="16" s="1"/>
  <c r="W236" i="16"/>
  <c r="AC236" i="16" s="1"/>
  <c r="V236" i="16"/>
  <c r="AB236" i="16" s="1"/>
  <c r="X235" i="16"/>
  <c r="AD235" i="16" s="1"/>
  <c r="W235" i="16"/>
  <c r="AC235" i="16" s="1"/>
  <c r="V235" i="16"/>
  <c r="AB235" i="16" s="1"/>
  <c r="X234" i="16"/>
  <c r="AD234" i="16" s="1"/>
  <c r="W234" i="16"/>
  <c r="AC234" i="16" s="1"/>
  <c r="V234" i="16"/>
  <c r="AB234" i="16" s="1"/>
  <c r="X233" i="16"/>
  <c r="AD233" i="16" s="1"/>
  <c r="W233" i="16"/>
  <c r="AC233" i="16" s="1"/>
  <c r="V233" i="16"/>
  <c r="AB233" i="16" s="1"/>
  <c r="X232" i="16"/>
  <c r="AD232" i="16" s="1"/>
  <c r="W232" i="16"/>
  <c r="AC232" i="16" s="1"/>
  <c r="V232" i="16"/>
  <c r="AB232" i="16" s="1"/>
  <c r="X231" i="16"/>
  <c r="AD231" i="16" s="1"/>
  <c r="W231" i="16"/>
  <c r="AC231" i="16" s="1"/>
  <c r="V231" i="16"/>
  <c r="AB231" i="16" s="1"/>
  <c r="X230" i="16"/>
  <c r="AD230" i="16" s="1"/>
  <c r="W230" i="16"/>
  <c r="AC230" i="16" s="1"/>
  <c r="V230" i="16"/>
  <c r="AB230" i="16" s="1"/>
  <c r="X229" i="16"/>
  <c r="AD229" i="16" s="1"/>
  <c r="W229" i="16"/>
  <c r="AC229" i="16" s="1"/>
  <c r="V229" i="16"/>
  <c r="AB229" i="16" s="1"/>
  <c r="X228" i="16"/>
  <c r="AD228" i="16" s="1"/>
  <c r="W228" i="16"/>
  <c r="AC228" i="16" s="1"/>
  <c r="V228" i="16"/>
  <c r="AB228" i="16" s="1"/>
  <c r="X227" i="16"/>
  <c r="AD227" i="16" s="1"/>
  <c r="W227" i="16"/>
  <c r="AC227" i="16" s="1"/>
  <c r="V227" i="16"/>
  <c r="AB227" i="16" s="1"/>
  <c r="X226" i="16"/>
  <c r="AD226" i="16" s="1"/>
  <c r="W226" i="16"/>
  <c r="AC226" i="16" s="1"/>
  <c r="V226" i="16"/>
  <c r="X225" i="16"/>
  <c r="AD225" i="16" s="1"/>
  <c r="W225" i="16"/>
  <c r="AC225" i="16" s="1"/>
  <c r="V225" i="16"/>
  <c r="AB225" i="16" s="1"/>
  <c r="X224" i="16"/>
  <c r="AD224" i="16" s="1"/>
  <c r="W224" i="16"/>
  <c r="AC224" i="16" s="1"/>
  <c r="V224" i="16"/>
  <c r="AB224" i="16" s="1"/>
  <c r="X223" i="16"/>
  <c r="AD223" i="16" s="1"/>
  <c r="W223" i="16"/>
  <c r="AC223" i="16" s="1"/>
  <c r="V223" i="16"/>
  <c r="AB223" i="16" s="1"/>
  <c r="X222" i="16"/>
  <c r="AD222" i="16" s="1"/>
  <c r="W222" i="16"/>
  <c r="AC222" i="16" s="1"/>
  <c r="V222" i="16"/>
  <c r="AB222" i="16" s="1"/>
  <c r="X221" i="16"/>
  <c r="AD221" i="16" s="1"/>
  <c r="W221" i="16"/>
  <c r="AC221" i="16" s="1"/>
  <c r="V221" i="16"/>
  <c r="AB221" i="16" s="1"/>
  <c r="X220" i="16"/>
  <c r="AD220" i="16" s="1"/>
  <c r="W220" i="16"/>
  <c r="AC220" i="16" s="1"/>
  <c r="V220" i="16"/>
  <c r="AB220" i="16" s="1"/>
  <c r="X219" i="16"/>
  <c r="AD219" i="16" s="1"/>
  <c r="W219" i="16"/>
  <c r="AC219" i="16" s="1"/>
  <c r="V219" i="16"/>
  <c r="AB219" i="16" s="1"/>
  <c r="X218" i="16"/>
  <c r="AD218" i="16" s="1"/>
  <c r="W218" i="16"/>
  <c r="AC218" i="16" s="1"/>
  <c r="V218" i="16"/>
  <c r="AB218" i="16" s="1"/>
  <c r="X217" i="16"/>
  <c r="AD217" i="16" s="1"/>
  <c r="W217" i="16"/>
  <c r="AC217" i="16" s="1"/>
  <c r="V217" i="16"/>
  <c r="AB217" i="16" s="1"/>
  <c r="X216" i="16"/>
  <c r="AD216" i="16" s="1"/>
  <c r="W216" i="16"/>
  <c r="AC216" i="16" s="1"/>
  <c r="V216" i="16"/>
  <c r="AB216" i="16" s="1"/>
  <c r="X215" i="16"/>
  <c r="AD215" i="16" s="1"/>
  <c r="W215" i="16"/>
  <c r="AC215" i="16" s="1"/>
  <c r="V215" i="16"/>
  <c r="AB215" i="16" s="1"/>
  <c r="X214" i="16"/>
  <c r="AD214" i="16" s="1"/>
  <c r="W214" i="16"/>
  <c r="AC214" i="16" s="1"/>
  <c r="V214" i="16"/>
  <c r="AB214" i="16" s="1"/>
  <c r="X213" i="16"/>
  <c r="AD213" i="16" s="1"/>
  <c r="W213" i="16"/>
  <c r="AC213" i="16" s="1"/>
  <c r="V213" i="16"/>
  <c r="AB213" i="16" s="1"/>
  <c r="X212" i="16"/>
  <c r="AD212" i="16" s="1"/>
  <c r="W212" i="16"/>
  <c r="AC212" i="16" s="1"/>
  <c r="V212" i="16"/>
  <c r="AB212" i="16" s="1"/>
  <c r="X211" i="16"/>
  <c r="AD211" i="16" s="1"/>
  <c r="W211" i="16"/>
  <c r="AC211" i="16" s="1"/>
  <c r="V211" i="16"/>
  <c r="AB211" i="16" s="1"/>
  <c r="X210" i="16"/>
  <c r="AD210" i="16" s="1"/>
  <c r="W210" i="16"/>
  <c r="AC210" i="16" s="1"/>
  <c r="V210" i="16"/>
  <c r="AB210" i="16" s="1"/>
  <c r="X209" i="16"/>
  <c r="AD209" i="16" s="1"/>
  <c r="W209" i="16"/>
  <c r="AC209" i="16" s="1"/>
  <c r="V209" i="16"/>
  <c r="AB209" i="16" s="1"/>
  <c r="X208" i="16"/>
  <c r="AD208" i="16" s="1"/>
  <c r="W208" i="16"/>
  <c r="AC208" i="16" s="1"/>
  <c r="V208" i="16"/>
  <c r="AB208" i="16" s="1"/>
  <c r="X207" i="16"/>
  <c r="W207" i="16"/>
  <c r="AC207" i="16" s="1"/>
  <c r="V207" i="16"/>
  <c r="AB207" i="16" s="1"/>
  <c r="X206" i="16"/>
  <c r="AD206" i="16" s="1"/>
  <c r="W206" i="16"/>
  <c r="AC206" i="16" s="1"/>
  <c r="V206" i="16"/>
  <c r="AB206" i="16" s="1"/>
  <c r="X205" i="16"/>
  <c r="AD205" i="16" s="1"/>
  <c r="W205" i="16"/>
  <c r="AC205" i="16" s="1"/>
  <c r="V205" i="16"/>
  <c r="AB205" i="16" s="1"/>
  <c r="X204" i="16"/>
  <c r="AD204" i="16" s="1"/>
  <c r="W204" i="16"/>
  <c r="AC204" i="16" s="1"/>
  <c r="V204" i="16"/>
  <c r="AB204" i="16" s="1"/>
  <c r="X203" i="16"/>
  <c r="AD203" i="16" s="1"/>
  <c r="W203" i="16"/>
  <c r="AC203" i="16" s="1"/>
  <c r="V203" i="16"/>
  <c r="AB203" i="16" s="1"/>
  <c r="X202" i="16"/>
  <c r="AD202" i="16" s="1"/>
  <c r="W202" i="16"/>
  <c r="AC202" i="16" s="1"/>
  <c r="V202" i="16"/>
  <c r="AB202" i="16" s="1"/>
  <c r="X201" i="16"/>
  <c r="AD201" i="16" s="1"/>
  <c r="W201" i="16"/>
  <c r="AC201" i="16" s="1"/>
  <c r="V201" i="16"/>
  <c r="AB201" i="16" s="1"/>
  <c r="X200" i="16"/>
  <c r="AD200" i="16" s="1"/>
  <c r="W200" i="16"/>
  <c r="AC200" i="16" s="1"/>
  <c r="V200" i="16"/>
  <c r="AB200" i="16" s="1"/>
  <c r="X199" i="16"/>
  <c r="AD199" i="16" s="1"/>
  <c r="W199" i="16"/>
  <c r="AC199" i="16" s="1"/>
  <c r="V199" i="16"/>
  <c r="AB199" i="16" s="1"/>
  <c r="X198" i="16"/>
  <c r="AD198" i="16" s="1"/>
  <c r="W198" i="16"/>
  <c r="AC198" i="16" s="1"/>
  <c r="V198" i="16"/>
  <c r="AB198" i="16" s="1"/>
  <c r="X197" i="16"/>
  <c r="AD197" i="16" s="1"/>
  <c r="W197" i="16"/>
  <c r="AC197" i="16" s="1"/>
  <c r="V197" i="16"/>
  <c r="AB197" i="16" s="1"/>
  <c r="X196" i="16"/>
  <c r="AD196" i="16" s="1"/>
  <c r="W196" i="16"/>
  <c r="AC196" i="16" s="1"/>
  <c r="V196" i="16"/>
  <c r="AB196" i="16" s="1"/>
  <c r="X195" i="16"/>
  <c r="AD195" i="16" s="1"/>
  <c r="W195" i="16"/>
  <c r="AC195" i="16" s="1"/>
  <c r="V195" i="16"/>
  <c r="AB195" i="16" s="1"/>
  <c r="X194" i="16"/>
  <c r="AD194" i="16" s="1"/>
  <c r="W194" i="16"/>
  <c r="AC194" i="16" s="1"/>
  <c r="V194" i="16"/>
  <c r="AB194" i="16" s="1"/>
  <c r="X193" i="16"/>
  <c r="AD193" i="16" s="1"/>
  <c r="W193" i="16"/>
  <c r="AC193" i="16" s="1"/>
  <c r="V193" i="16"/>
  <c r="AB193" i="16" s="1"/>
  <c r="X192" i="16"/>
  <c r="AD192" i="16" s="1"/>
  <c r="W192" i="16"/>
  <c r="AC192" i="16" s="1"/>
  <c r="V192" i="16"/>
  <c r="AB192" i="16" s="1"/>
  <c r="X191" i="16"/>
  <c r="AD191" i="16" s="1"/>
  <c r="W191" i="16"/>
  <c r="AC191" i="16" s="1"/>
  <c r="V191" i="16"/>
  <c r="AB191" i="16" s="1"/>
  <c r="X190" i="16"/>
  <c r="AD190" i="16" s="1"/>
  <c r="W190" i="16"/>
  <c r="AC190" i="16" s="1"/>
  <c r="V190" i="16"/>
  <c r="AB190" i="16" s="1"/>
  <c r="X189" i="16"/>
  <c r="AD189" i="16" s="1"/>
  <c r="W189" i="16"/>
  <c r="AC189" i="16" s="1"/>
  <c r="V189" i="16"/>
  <c r="AB189" i="16" s="1"/>
  <c r="X188" i="16"/>
  <c r="AD188" i="16" s="1"/>
  <c r="W188" i="16"/>
  <c r="AC188" i="16" s="1"/>
  <c r="V188" i="16"/>
  <c r="AB188" i="16" s="1"/>
  <c r="X187" i="16"/>
  <c r="AD187" i="16" s="1"/>
  <c r="W187" i="16"/>
  <c r="AC187" i="16" s="1"/>
  <c r="V187" i="16"/>
  <c r="AB187" i="16" s="1"/>
  <c r="X186" i="16"/>
  <c r="AD186" i="16" s="1"/>
  <c r="W186" i="16"/>
  <c r="AC186" i="16" s="1"/>
  <c r="V186" i="16"/>
  <c r="AB186" i="16" s="1"/>
  <c r="X185" i="16"/>
  <c r="AD185" i="16" s="1"/>
  <c r="W185" i="16"/>
  <c r="AC185" i="16" s="1"/>
  <c r="V185" i="16"/>
  <c r="AB185" i="16" s="1"/>
  <c r="X184" i="16"/>
  <c r="AD184" i="16" s="1"/>
  <c r="W184" i="16"/>
  <c r="AC184" i="16" s="1"/>
  <c r="V184" i="16"/>
  <c r="AB184" i="16" s="1"/>
  <c r="X183" i="16"/>
  <c r="AD183" i="16" s="1"/>
  <c r="W183" i="16"/>
  <c r="AC183" i="16" s="1"/>
  <c r="V183" i="16"/>
  <c r="AB183" i="16" s="1"/>
  <c r="X182" i="16"/>
  <c r="AD182" i="16" s="1"/>
  <c r="W182" i="16"/>
  <c r="AC182" i="16" s="1"/>
  <c r="V182" i="16"/>
  <c r="AB182" i="16" s="1"/>
  <c r="X181" i="16"/>
  <c r="W181" i="16"/>
  <c r="AC181" i="16" s="1"/>
  <c r="V181" i="16"/>
  <c r="AB181" i="16" s="1"/>
  <c r="X180" i="16"/>
  <c r="AD180" i="16" s="1"/>
  <c r="W180" i="16"/>
  <c r="AC180" i="16" s="1"/>
  <c r="V180" i="16"/>
  <c r="AB180" i="16" s="1"/>
  <c r="X179" i="16"/>
  <c r="AD179" i="16" s="1"/>
  <c r="W179" i="16"/>
  <c r="AC179" i="16" s="1"/>
  <c r="V179" i="16"/>
  <c r="AB179" i="16" s="1"/>
  <c r="X178" i="16"/>
  <c r="AD178" i="16" s="1"/>
  <c r="W178" i="16"/>
  <c r="AC178" i="16" s="1"/>
  <c r="V178" i="16"/>
  <c r="AB178" i="16" s="1"/>
  <c r="X177" i="16"/>
  <c r="AD177" i="16" s="1"/>
  <c r="W177" i="16"/>
  <c r="AC177" i="16" s="1"/>
  <c r="V177" i="16"/>
  <c r="AB177" i="16" s="1"/>
  <c r="X176" i="16"/>
  <c r="AD176" i="16" s="1"/>
  <c r="W176" i="16"/>
  <c r="AC176" i="16" s="1"/>
  <c r="V176" i="16"/>
  <c r="AB176" i="16" s="1"/>
  <c r="X175" i="16"/>
  <c r="AD175" i="16" s="1"/>
  <c r="W175" i="16"/>
  <c r="AC175" i="16" s="1"/>
  <c r="V175" i="16"/>
  <c r="AB175" i="16" s="1"/>
  <c r="X174" i="16"/>
  <c r="AD174" i="16" s="1"/>
  <c r="W174" i="16"/>
  <c r="AC174" i="16" s="1"/>
  <c r="V174" i="16"/>
  <c r="AB174" i="16" s="1"/>
  <c r="X173" i="16"/>
  <c r="AD173" i="16" s="1"/>
  <c r="W173" i="16"/>
  <c r="AC173" i="16" s="1"/>
  <c r="V173" i="16"/>
  <c r="AB173" i="16" s="1"/>
  <c r="X172" i="16"/>
  <c r="AD172" i="16" s="1"/>
  <c r="W172" i="16"/>
  <c r="AC172" i="16" s="1"/>
  <c r="V172" i="16"/>
  <c r="AB172" i="16" s="1"/>
  <c r="X171" i="16"/>
  <c r="AD171" i="16" s="1"/>
  <c r="W171" i="16"/>
  <c r="AC171" i="16" s="1"/>
  <c r="V171" i="16"/>
  <c r="AB171" i="16" s="1"/>
  <c r="X170" i="16"/>
  <c r="AD170" i="16" s="1"/>
  <c r="W170" i="16"/>
  <c r="AC170" i="16" s="1"/>
  <c r="V170" i="16"/>
  <c r="AB170" i="16" s="1"/>
  <c r="X169" i="16"/>
  <c r="AD169" i="16" s="1"/>
  <c r="W169" i="16"/>
  <c r="AC169" i="16" s="1"/>
  <c r="V169" i="16"/>
  <c r="AB169" i="16" s="1"/>
  <c r="X168" i="16"/>
  <c r="AD168" i="16" s="1"/>
  <c r="W168" i="16"/>
  <c r="AC168" i="16" s="1"/>
  <c r="V168" i="16"/>
  <c r="AB168" i="16" s="1"/>
  <c r="X167" i="16"/>
  <c r="AD167" i="16" s="1"/>
  <c r="W167" i="16"/>
  <c r="AC167" i="16" s="1"/>
  <c r="V167" i="16"/>
  <c r="AB167" i="16" s="1"/>
  <c r="X166" i="16"/>
  <c r="AD166" i="16" s="1"/>
  <c r="W166" i="16"/>
  <c r="AC166" i="16" s="1"/>
  <c r="V166" i="16"/>
  <c r="AB166" i="16" s="1"/>
  <c r="X165" i="16"/>
  <c r="AD165" i="16" s="1"/>
  <c r="W165" i="16"/>
  <c r="AC165" i="16" s="1"/>
  <c r="V165" i="16"/>
  <c r="AB165" i="16" s="1"/>
  <c r="X164" i="16"/>
  <c r="AD164" i="16" s="1"/>
  <c r="W164" i="16"/>
  <c r="AC164" i="16" s="1"/>
  <c r="V164" i="16"/>
  <c r="AB164" i="16" s="1"/>
  <c r="X163" i="16"/>
  <c r="AD163" i="16" s="1"/>
  <c r="W163" i="16"/>
  <c r="AC163" i="16" s="1"/>
  <c r="V163" i="16"/>
  <c r="AB163" i="16" s="1"/>
  <c r="X162" i="16"/>
  <c r="AD162" i="16" s="1"/>
  <c r="W162" i="16"/>
  <c r="AC162" i="16" s="1"/>
  <c r="V162" i="16"/>
  <c r="AB162" i="16" s="1"/>
  <c r="X161" i="16"/>
  <c r="AD161" i="16" s="1"/>
  <c r="W161" i="16"/>
  <c r="AC161" i="16" s="1"/>
  <c r="V161" i="16"/>
  <c r="AB161" i="16" s="1"/>
  <c r="X160" i="16"/>
  <c r="AD160" i="16" s="1"/>
  <c r="W160" i="16"/>
  <c r="AC160" i="16" s="1"/>
  <c r="V160" i="16"/>
  <c r="AB160" i="16" s="1"/>
  <c r="X159" i="16"/>
  <c r="AD159" i="16" s="1"/>
  <c r="W159" i="16"/>
  <c r="AC159" i="16" s="1"/>
  <c r="V159" i="16"/>
  <c r="AB159" i="16" s="1"/>
  <c r="X158" i="16"/>
  <c r="AD158" i="16" s="1"/>
  <c r="W158" i="16"/>
  <c r="AC158" i="16" s="1"/>
  <c r="V158" i="16"/>
  <c r="AB158" i="16" s="1"/>
  <c r="X157" i="16"/>
  <c r="AD157" i="16" s="1"/>
  <c r="W157" i="16"/>
  <c r="AC157" i="16" s="1"/>
  <c r="V157" i="16"/>
  <c r="AB157" i="16" s="1"/>
  <c r="X156" i="16"/>
  <c r="AD156" i="16" s="1"/>
  <c r="W156" i="16"/>
  <c r="AC156" i="16" s="1"/>
  <c r="V156" i="16"/>
  <c r="AB156" i="16" s="1"/>
  <c r="X155" i="16"/>
  <c r="AD155" i="16" s="1"/>
  <c r="W155" i="16"/>
  <c r="AC155" i="16" s="1"/>
  <c r="V155" i="16"/>
  <c r="AB155" i="16" s="1"/>
  <c r="X154" i="16"/>
  <c r="AD154" i="16" s="1"/>
  <c r="W154" i="16"/>
  <c r="AC154" i="16" s="1"/>
  <c r="V154" i="16"/>
  <c r="AB154" i="16" s="1"/>
  <c r="X153" i="16"/>
  <c r="AD153" i="16" s="1"/>
  <c r="W153" i="16"/>
  <c r="AC153" i="16" s="1"/>
  <c r="V153" i="16"/>
  <c r="AB153" i="16" s="1"/>
  <c r="X152" i="16"/>
  <c r="AD152" i="16" s="1"/>
  <c r="W152" i="16"/>
  <c r="AC152" i="16" s="1"/>
  <c r="V152" i="16"/>
  <c r="AB152" i="16" s="1"/>
  <c r="X151" i="16"/>
  <c r="AD151" i="16" s="1"/>
  <c r="W151" i="16"/>
  <c r="AC151" i="16" s="1"/>
  <c r="V151" i="16"/>
  <c r="AB151" i="16" s="1"/>
  <c r="X150" i="16"/>
  <c r="AD150" i="16" s="1"/>
  <c r="W150" i="16"/>
  <c r="AC150" i="16" s="1"/>
  <c r="V150" i="16"/>
  <c r="AB150" i="16" s="1"/>
  <c r="X149" i="16"/>
  <c r="AD149" i="16" s="1"/>
  <c r="W149" i="16"/>
  <c r="AC149" i="16" s="1"/>
  <c r="V149" i="16"/>
  <c r="AB149" i="16" s="1"/>
  <c r="X148" i="16"/>
  <c r="AD148" i="16" s="1"/>
  <c r="W148" i="16"/>
  <c r="AC148" i="16" s="1"/>
  <c r="V148" i="16"/>
  <c r="AB148" i="16" s="1"/>
  <c r="X147" i="16"/>
  <c r="AD147" i="16" s="1"/>
  <c r="W147" i="16"/>
  <c r="AC147" i="16" s="1"/>
  <c r="V147" i="16"/>
  <c r="AB147" i="16" s="1"/>
  <c r="X146" i="16"/>
  <c r="AD146" i="16" s="1"/>
  <c r="W146" i="16"/>
  <c r="AC146" i="16" s="1"/>
  <c r="V146" i="16"/>
  <c r="AB146" i="16" s="1"/>
  <c r="X145" i="16"/>
  <c r="AD145" i="16" s="1"/>
  <c r="W145" i="16"/>
  <c r="AC145" i="16" s="1"/>
  <c r="V145" i="16"/>
  <c r="AB145" i="16" s="1"/>
  <c r="X144" i="16"/>
  <c r="AD144" i="16" s="1"/>
  <c r="W144" i="16"/>
  <c r="AC144" i="16" s="1"/>
  <c r="V144" i="16"/>
  <c r="AB144" i="16" s="1"/>
  <c r="X143" i="16"/>
  <c r="AD143" i="16" s="1"/>
  <c r="W143" i="16"/>
  <c r="AC143" i="16" s="1"/>
  <c r="V143" i="16"/>
  <c r="AB143" i="16" s="1"/>
  <c r="X142" i="16"/>
  <c r="AD142" i="16" s="1"/>
  <c r="W142" i="16"/>
  <c r="AC142" i="16" s="1"/>
  <c r="V142" i="16"/>
  <c r="AB142" i="16" s="1"/>
  <c r="X141" i="16"/>
  <c r="AD141" i="16" s="1"/>
  <c r="W141" i="16"/>
  <c r="AC141" i="16" s="1"/>
  <c r="V141" i="16"/>
  <c r="AB141" i="16" s="1"/>
  <c r="X140" i="16"/>
  <c r="AD140" i="16" s="1"/>
  <c r="W140" i="16"/>
  <c r="AC140" i="16" s="1"/>
  <c r="V140" i="16"/>
  <c r="AB140" i="16" s="1"/>
  <c r="X139" i="16"/>
  <c r="AD139" i="16" s="1"/>
  <c r="W139" i="16"/>
  <c r="AC139" i="16" s="1"/>
  <c r="V139" i="16"/>
  <c r="AB139" i="16" s="1"/>
  <c r="X138" i="16"/>
  <c r="AD138" i="16" s="1"/>
  <c r="W138" i="16"/>
  <c r="AC138" i="16" s="1"/>
  <c r="V138" i="16"/>
  <c r="AB138" i="16" s="1"/>
  <c r="X137" i="16"/>
  <c r="AD137" i="16" s="1"/>
  <c r="W137" i="16"/>
  <c r="AC137" i="16" s="1"/>
  <c r="V137" i="16"/>
  <c r="AB137" i="16" s="1"/>
  <c r="X136" i="16"/>
  <c r="AD136" i="16" s="1"/>
  <c r="W136" i="16"/>
  <c r="AC136" i="16" s="1"/>
  <c r="V136" i="16"/>
  <c r="AB136" i="16" s="1"/>
  <c r="X135" i="16"/>
  <c r="AD135" i="16" s="1"/>
  <c r="W135" i="16"/>
  <c r="AC135" i="16" s="1"/>
  <c r="V135" i="16"/>
  <c r="AB135" i="16" s="1"/>
  <c r="X134" i="16"/>
  <c r="AD134" i="16" s="1"/>
  <c r="W134" i="16"/>
  <c r="AC134" i="16" s="1"/>
  <c r="V134" i="16"/>
  <c r="AB134" i="16" s="1"/>
  <c r="X133" i="16"/>
  <c r="AD133" i="16" s="1"/>
  <c r="W133" i="16"/>
  <c r="AC133" i="16" s="1"/>
  <c r="V133" i="16"/>
  <c r="AB133" i="16" s="1"/>
  <c r="X132" i="16"/>
  <c r="AD132" i="16" s="1"/>
  <c r="W132" i="16"/>
  <c r="AC132" i="16" s="1"/>
  <c r="V132" i="16"/>
  <c r="AB132" i="16" s="1"/>
  <c r="X131" i="16"/>
  <c r="AD131" i="16" s="1"/>
  <c r="W131" i="16"/>
  <c r="AC131" i="16" s="1"/>
  <c r="V131" i="16"/>
  <c r="AB131" i="16" s="1"/>
  <c r="X130" i="16"/>
  <c r="AD130" i="16" s="1"/>
  <c r="W130" i="16"/>
  <c r="V130" i="16"/>
  <c r="AB130" i="16" s="1"/>
  <c r="X129" i="16"/>
  <c r="AD129" i="16" s="1"/>
  <c r="W129" i="16"/>
  <c r="AC129" i="16" s="1"/>
  <c r="V129" i="16"/>
  <c r="AB129" i="16" s="1"/>
  <c r="X128" i="16"/>
  <c r="AD128" i="16" s="1"/>
  <c r="W128" i="16"/>
  <c r="AC128" i="16" s="1"/>
  <c r="V128" i="16"/>
  <c r="AB128" i="16" s="1"/>
  <c r="X127" i="16"/>
  <c r="AD127" i="16" s="1"/>
  <c r="W127" i="16"/>
  <c r="AC127" i="16" s="1"/>
  <c r="V127" i="16"/>
  <c r="AB127" i="16" s="1"/>
  <c r="X126" i="16"/>
  <c r="AD126" i="16" s="1"/>
  <c r="W126" i="16"/>
  <c r="AC126" i="16" s="1"/>
  <c r="V126" i="16"/>
  <c r="AB126" i="16" s="1"/>
  <c r="X125" i="16"/>
  <c r="AD125" i="16" s="1"/>
  <c r="W125" i="16"/>
  <c r="AC125" i="16" s="1"/>
  <c r="V125" i="16"/>
  <c r="AB125" i="16" s="1"/>
  <c r="X124" i="16"/>
  <c r="AD124" i="16" s="1"/>
  <c r="W124" i="16"/>
  <c r="AC124" i="16" s="1"/>
  <c r="V124" i="16"/>
  <c r="AB124" i="16" s="1"/>
  <c r="X123" i="16"/>
  <c r="AD123" i="16" s="1"/>
  <c r="W123" i="16"/>
  <c r="AC123" i="16" s="1"/>
  <c r="V123" i="16"/>
  <c r="AB123" i="16" s="1"/>
  <c r="X122" i="16"/>
  <c r="AD122" i="16" s="1"/>
  <c r="W122" i="16"/>
  <c r="AC122" i="16" s="1"/>
  <c r="V122" i="16"/>
  <c r="AB122" i="16" s="1"/>
  <c r="X121" i="16"/>
  <c r="AD121" i="16" s="1"/>
  <c r="W121" i="16"/>
  <c r="AC121" i="16" s="1"/>
  <c r="V121" i="16"/>
  <c r="AB121" i="16" s="1"/>
  <c r="X120" i="16"/>
  <c r="AD120" i="16" s="1"/>
  <c r="W120" i="16"/>
  <c r="AC120" i="16" s="1"/>
  <c r="V120" i="16"/>
  <c r="AB120" i="16" s="1"/>
  <c r="X119" i="16"/>
  <c r="AD119" i="16" s="1"/>
  <c r="W119" i="16"/>
  <c r="AC119" i="16" s="1"/>
  <c r="V119" i="16"/>
  <c r="AB119" i="16" s="1"/>
  <c r="X118" i="16"/>
  <c r="AD118" i="16" s="1"/>
  <c r="W118" i="16"/>
  <c r="AC118" i="16" s="1"/>
  <c r="V118" i="16"/>
  <c r="AB118" i="16" s="1"/>
  <c r="X117" i="16"/>
  <c r="AD117" i="16" s="1"/>
  <c r="W117" i="16"/>
  <c r="AC117" i="16" s="1"/>
  <c r="V117" i="16"/>
  <c r="AB117" i="16" s="1"/>
  <c r="X116" i="16"/>
  <c r="AD116" i="16" s="1"/>
  <c r="W116" i="16"/>
  <c r="V116" i="16"/>
  <c r="AB116" i="16" s="1"/>
  <c r="X115" i="16"/>
  <c r="AD115" i="16" s="1"/>
  <c r="W115" i="16"/>
  <c r="AC115" i="16" s="1"/>
  <c r="V115" i="16"/>
  <c r="AB115" i="16" s="1"/>
  <c r="X114" i="16"/>
  <c r="AD114" i="16" s="1"/>
  <c r="W114" i="16"/>
  <c r="AC114" i="16" s="1"/>
  <c r="V114" i="16"/>
  <c r="AB114" i="16" s="1"/>
  <c r="X113" i="16"/>
  <c r="AD113" i="16" s="1"/>
  <c r="W113" i="16"/>
  <c r="AC113" i="16" s="1"/>
  <c r="V113" i="16"/>
  <c r="AB113" i="16" s="1"/>
  <c r="X112" i="16"/>
  <c r="AD112" i="16" s="1"/>
  <c r="W112" i="16"/>
  <c r="AC112" i="16" s="1"/>
  <c r="V112" i="16"/>
  <c r="AB112" i="16" s="1"/>
  <c r="X111" i="16"/>
  <c r="AD111" i="16" s="1"/>
  <c r="W111" i="16"/>
  <c r="AC111" i="16" s="1"/>
  <c r="V111" i="16"/>
  <c r="AB111" i="16" s="1"/>
  <c r="X110" i="16"/>
  <c r="AD110" i="16" s="1"/>
  <c r="W110" i="16"/>
  <c r="AC110" i="16" s="1"/>
  <c r="V110" i="16"/>
  <c r="AB110" i="16" s="1"/>
  <c r="X109" i="16"/>
  <c r="AD109" i="16" s="1"/>
  <c r="W109" i="16"/>
  <c r="AC109" i="16" s="1"/>
  <c r="V109" i="16"/>
  <c r="AB109" i="16" s="1"/>
  <c r="X108" i="16"/>
  <c r="AD108" i="16" s="1"/>
  <c r="W108" i="16"/>
  <c r="AC108" i="16" s="1"/>
  <c r="V108" i="16"/>
  <c r="AB108" i="16" s="1"/>
  <c r="X107" i="16"/>
  <c r="AD107" i="16" s="1"/>
  <c r="W107" i="16"/>
  <c r="AC107" i="16" s="1"/>
  <c r="V107" i="16"/>
  <c r="AB107" i="16" s="1"/>
  <c r="X106" i="16"/>
  <c r="AD106" i="16" s="1"/>
  <c r="W106" i="16"/>
  <c r="AC106" i="16" s="1"/>
  <c r="V106" i="16"/>
  <c r="AB106" i="16" s="1"/>
  <c r="X105" i="16"/>
  <c r="AD105" i="16" s="1"/>
  <c r="W105" i="16"/>
  <c r="AC105" i="16" s="1"/>
  <c r="V105" i="16"/>
  <c r="AB105" i="16" s="1"/>
  <c r="X104" i="16"/>
  <c r="AD104" i="16" s="1"/>
  <c r="W104" i="16"/>
  <c r="AC104" i="16" s="1"/>
  <c r="V104" i="16"/>
  <c r="AB104" i="16" s="1"/>
  <c r="X103" i="16"/>
  <c r="AD103" i="16" s="1"/>
  <c r="W103" i="16"/>
  <c r="AC103" i="16" s="1"/>
  <c r="V103" i="16"/>
  <c r="AB103" i="16" s="1"/>
  <c r="X102" i="16"/>
  <c r="AD102" i="16" s="1"/>
  <c r="W102" i="16"/>
  <c r="AC102" i="16" s="1"/>
  <c r="V102" i="16"/>
  <c r="AB102" i="16" s="1"/>
  <c r="X101" i="16"/>
  <c r="AD101" i="16" s="1"/>
  <c r="W101" i="16"/>
  <c r="AC101" i="16" s="1"/>
  <c r="V101" i="16"/>
  <c r="AB101" i="16" s="1"/>
  <c r="X100" i="16"/>
  <c r="AD100" i="16" s="1"/>
  <c r="W100" i="16"/>
  <c r="AC100" i="16" s="1"/>
  <c r="V100" i="16"/>
  <c r="AB100" i="16" s="1"/>
  <c r="X99" i="16"/>
  <c r="AD99" i="16" s="1"/>
  <c r="W99" i="16"/>
  <c r="AC99" i="16" s="1"/>
  <c r="V99" i="16"/>
  <c r="AB99" i="16" s="1"/>
  <c r="X98" i="16"/>
  <c r="AD98" i="16" s="1"/>
  <c r="W98" i="16"/>
  <c r="AC98" i="16" s="1"/>
  <c r="V98" i="16"/>
  <c r="AB98" i="16" s="1"/>
  <c r="X97" i="16"/>
  <c r="AD97" i="16" s="1"/>
  <c r="W97" i="16"/>
  <c r="AC97" i="16" s="1"/>
  <c r="V97" i="16"/>
  <c r="X96" i="16"/>
  <c r="AD96" i="16" s="1"/>
  <c r="W96" i="16"/>
  <c r="AC96" i="16" s="1"/>
  <c r="V96" i="16"/>
  <c r="AB96" i="16" s="1"/>
  <c r="X95" i="16"/>
  <c r="AD95" i="16" s="1"/>
  <c r="W95" i="16"/>
  <c r="AC95" i="16" s="1"/>
  <c r="V95" i="16"/>
  <c r="AB95" i="16" s="1"/>
  <c r="X94" i="16"/>
  <c r="AD94" i="16" s="1"/>
  <c r="W94" i="16"/>
  <c r="AC94" i="16" s="1"/>
  <c r="V94" i="16"/>
  <c r="AB94" i="16" s="1"/>
  <c r="X93" i="16"/>
  <c r="AD93" i="16" s="1"/>
  <c r="W93" i="16"/>
  <c r="AC93" i="16" s="1"/>
  <c r="V93" i="16"/>
  <c r="AB93" i="16" s="1"/>
  <c r="X92" i="16"/>
  <c r="AD92" i="16" s="1"/>
  <c r="W92" i="16"/>
  <c r="AC92" i="16" s="1"/>
  <c r="V92" i="16"/>
  <c r="AB92" i="16" s="1"/>
  <c r="X91" i="16"/>
  <c r="AD91" i="16" s="1"/>
  <c r="W91" i="16"/>
  <c r="AC91" i="16" s="1"/>
  <c r="V91" i="16"/>
  <c r="AB91" i="16" s="1"/>
  <c r="X90" i="16"/>
  <c r="AD90" i="16" s="1"/>
  <c r="W90" i="16"/>
  <c r="AC90" i="16" s="1"/>
  <c r="V90" i="16"/>
  <c r="AB90" i="16" s="1"/>
  <c r="X89" i="16"/>
  <c r="AD89" i="16" s="1"/>
  <c r="W89" i="16"/>
  <c r="AC89" i="16" s="1"/>
  <c r="V89" i="16"/>
  <c r="AB89" i="16" s="1"/>
  <c r="X88" i="16"/>
  <c r="AD88" i="16" s="1"/>
  <c r="W88" i="16"/>
  <c r="AC88" i="16" s="1"/>
  <c r="V88" i="16"/>
  <c r="AB88" i="16" s="1"/>
  <c r="X87" i="16"/>
  <c r="AD87" i="16" s="1"/>
  <c r="W87" i="16"/>
  <c r="AC87" i="16" s="1"/>
  <c r="V87" i="16"/>
  <c r="AB87" i="16" s="1"/>
  <c r="X86" i="16"/>
  <c r="AD86" i="16" s="1"/>
  <c r="W86" i="16"/>
  <c r="AC86" i="16" s="1"/>
  <c r="V86" i="16"/>
  <c r="AB86" i="16" s="1"/>
  <c r="X85" i="16"/>
  <c r="AD85" i="16" s="1"/>
  <c r="W85" i="16"/>
  <c r="AC85" i="16" s="1"/>
  <c r="V85" i="16"/>
  <c r="AB85" i="16" s="1"/>
  <c r="X84" i="16"/>
  <c r="AD84" i="16" s="1"/>
  <c r="W84" i="16"/>
  <c r="AC84" i="16" s="1"/>
  <c r="V84" i="16"/>
  <c r="AB84" i="16" s="1"/>
  <c r="X83" i="16"/>
  <c r="AD83" i="16" s="1"/>
  <c r="W83" i="16"/>
  <c r="AC83" i="16" s="1"/>
  <c r="V83" i="16"/>
  <c r="AB83" i="16" s="1"/>
  <c r="X82" i="16"/>
  <c r="AD82" i="16" s="1"/>
  <c r="W82" i="16"/>
  <c r="AC82" i="16" s="1"/>
  <c r="V82" i="16"/>
  <c r="AB82" i="16" s="1"/>
  <c r="X81" i="16"/>
  <c r="AD81" i="16" s="1"/>
  <c r="W81" i="16"/>
  <c r="AC81" i="16" s="1"/>
  <c r="V81" i="16"/>
  <c r="AB81" i="16" s="1"/>
  <c r="X80" i="16"/>
  <c r="AD80" i="16" s="1"/>
  <c r="W80" i="16"/>
  <c r="AC80" i="16" s="1"/>
  <c r="V80" i="16"/>
  <c r="AB80" i="16" s="1"/>
  <c r="X79" i="16"/>
  <c r="AD79" i="16" s="1"/>
  <c r="W79" i="16"/>
  <c r="AC79" i="16" s="1"/>
  <c r="V79" i="16"/>
  <c r="AB79" i="16" s="1"/>
  <c r="X78" i="16"/>
  <c r="AD78" i="16" s="1"/>
  <c r="W78" i="16"/>
  <c r="AC78" i="16" s="1"/>
  <c r="V78" i="16"/>
  <c r="AB78" i="16" s="1"/>
  <c r="X77" i="16"/>
  <c r="AD77" i="16" s="1"/>
  <c r="W77" i="16"/>
  <c r="AC77" i="16" s="1"/>
  <c r="V77" i="16"/>
  <c r="AB77" i="16" s="1"/>
  <c r="X76" i="16"/>
  <c r="AD76" i="16" s="1"/>
  <c r="W76" i="16"/>
  <c r="AC76" i="16" s="1"/>
  <c r="V76" i="16"/>
  <c r="AB76" i="16" s="1"/>
  <c r="X75" i="16"/>
  <c r="AD75" i="16" s="1"/>
  <c r="W75" i="16"/>
  <c r="AC75" i="16" s="1"/>
  <c r="V75" i="16"/>
  <c r="AB75" i="16" s="1"/>
  <c r="X74" i="16"/>
  <c r="AD74" i="16" s="1"/>
  <c r="W74" i="16"/>
  <c r="AC74" i="16" s="1"/>
  <c r="V74" i="16"/>
  <c r="X73" i="16"/>
  <c r="AD73" i="16" s="1"/>
  <c r="W73" i="16"/>
  <c r="AC73" i="16" s="1"/>
  <c r="V73" i="16"/>
  <c r="AB73" i="16" s="1"/>
  <c r="X72" i="16"/>
  <c r="AD72" i="16" s="1"/>
  <c r="W72" i="16"/>
  <c r="AC72" i="16" s="1"/>
  <c r="V72" i="16"/>
  <c r="AB72" i="16" s="1"/>
  <c r="X71" i="16"/>
  <c r="AD71" i="16" s="1"/>
  <c r="W71" i="16"/>
  <c r="AC71" i="16" s="1"/>
  <c r="V71" i="16"/>
  <c r="AB71" i="16" s="1"/>
  <c r="X70" i="16"/>
  <c r="AD70" i="16" s="1"/>
  <c r="W70" i="16"/>
  <c r="AC70" i="16" s="1"/>
  <c r="V70" i="16"/>
  <c r="AB70" i="16" s="1"/>
  <c r="X69" i="16"/>
  <c r="AD69" i="16" s="1"/>
  <c r="W69" i="16"/>
  <c r="AC69" i="16" s="1"/>
  <c r="V69" i="16"/>
  <c r="AB69" i="16" s="1"/>
  <c r="X68" i="16"/>
  <c r="AD68" i="16" s="1"/>
  <c r="W68" i="16"/>
  <c r="AC68" i="16" s="1"/>
  <c r="V68" i="16"/>
  <c r="AB68" i="16" s="1"/>
  <c r="X67" i="16"/>
  <c r="AD67" i="16" s="1"/>
  <c r="W67" i="16"/>
  <c r="AC67" i="16" s="1"/>
  <c r="V67" i="16"/>
  <c r="AB67" i="16" s="1"/>
  <c r="X66" i="16"/>
  <c r="AD66" i="16" s="1"/>
  <c r="W66" i="16"/>
  <c r="AC66" i="16" s="1"/>
  <c r="V66" i="16"/>
  <c r="AB66" i="16" s="1"/>
  <c r="X65" i="16"/>
  <c r="AD65" i="16" s="1"/>
  <c r="W65" i="16"/>
  <c r="AC65" i="16" s="1"/>
  <c r="V65" i="16"/>
  <c r="AB65" i="16" s="1"/>
  <c r="X64" i="16"/>
  <c r="AD64" i="16" s="1"/>
  <c r="W64" i="16"/>
  <c r="AC64" i="16" s="1"/>
  <c r="V64" i="16"/>
  <c r="AB64" i="16" s="1"/>
  <c r="X63" i="16"/>
  <c r="AD63" i="16" s="1"/>
  <c r="W63" i="16"/>
  <c r="AC63" i="16" s="1"/>
  <c r="V63" i="16"/>
  <c r="AB63" i="16" s="1"/>
  <c r="X62" i="16"/>
  <c r="AD62" i="16" s="1"/>
  <c r="W62" i="16"/>
  <c r="AC62" i="16" s="1"/>
  <c r="V62" i="16"/>
  <c r="AB62" i="16" s="1"/>
  <c r="X61" i="16"/>
  <c r="AD61" i="16" s="1"/>
  <c r="W61" i="16"/>
  <c r="AC61" i="16" s="1"/>
  <c r="V61" i="16"/>
  <c r="AB61" i="16" s="1"/>
  <c r="X60" i="16"/>
  <c r="AD60" i="16" s="1"/>
  <c r="W60" i="16"/>
  <c r="AC60" i="16" s="1"/>
  <c r="V60" i="16"/>
  <c r="AB60" i="16" s="1"/>
  <c r="X59" i="16"/>
  <c r="AD59" i="16" s="1"/>
  <c r="W59" i="16"/>
  <c r="AC59" i="16" s="1"/>
  <c r="V59" i="16"/>
  <c r="AB59" i="16" s="1"/>
  <c r="X58" i="16"/>
  <c r="AD58" i="16" s="1"/>
  <c r="W58" i="16"/>
  <c r="AC58" i="16" s="1"/>
  <c r="V58" i="16"/>
  <c r="AB58" i="16" s="1"/>
  <c r="X57" i="16"/>
  <c r="AD57" i="16" s="1"/>
  <c r="W57" i="16"/>
  <c r="AC57" i="16" s="1"/>
  <c r="V57" i="16"/>
  <c r="AB57" i="16" s="1"/>
  <c r="X56" i="16"/>
  <c r="AD56" i="16" s="1"/>
  <c r="W56" i="16"/>
  <c r="AC56" i="16" s="1"/>
  <c r="V56" i="16"/>
  <c r="AB56" i="16" s="1"/>
  <c r="X55" i="16"/>
  <c r="AD55" i="16" s="1"/>
  <c r="W55" i="16"/>
  <c r="AC55" i="16" s="1"/>
  <c r="V55" i="16"/>
  <c r="AB55" i="16" s="1"/>
  <c r="X54" i="16"/>
  <c r="AD54" i="16" s="1"/>
  <c r="W54" i="16"/>
  <c r="AC54" i="16" s="1"/>
  <c r="V54" i="16"/>
  <c r="AB54" i="16" s="1"/>
  <c r="X53" i="16"/>
  <c r="AD53" i="16" s="1"/>
  <c r="W53" i="16"/>
  <c r="AC53" i="16" s="1"/>
  <c r="V53" i="16"/>
  <c r="AB53" i="16" s="1"/>
  <c r="X52" i="16"/>
  <c r="AD52" i="16" s="1"/>
  <c r="W52" i="16"/>
  <c r="AC52" i="16" s="1"/>
  <c r="V52" i="16"/>
  <c r="AB52" i="16" s="1"/>
  <c r="X51" i="16"/>
  <c r="AD51" i="16" s="1"/>
  <c r="W51" i="16"/>
  <c r="AC51" i="16" s="1"/>
  <c r="V51" i="16"/>
  <c r="AB51" i="16" s="1"/>
  <c r="X50" i="16"/>
  <c r="AD50" i="16" s="1"/>
  <c r="W50" i="16"/>
  <c r="AC50" i="16" s="1"/>
  <c r="V50" i="16"/>
  <c r="AB50" i="16" s="1"/>
  <c r="X49" i="16"/>
  <c r="W49" i="16"/>
  <c r="AC49" i="16" s="1"/>
  <c r="V49" i="16"/>
  <c r="AB49" i="16" s="1"/>
  <c r="X48" i="16"/>
  <c r="AD48" i="16" s="1"/>
  <c r="W48" i="16"/>
  <c r="AC48" i="16" s="1"/>
  <c r="V48" i="16"/>
  <c r="AB48" i="16" s="1"/>
  <c r="X47" i="16"/>
  <c r="AD47" i="16" s="1"/>
  <c r="W47" i="16"/>
  <c r="AC47" i="16" s="1"/>
  <c r="V47" i="16"/>
  <c r="AB47" i="16" s="1"/>
  <c r="X46" i="16"/>
  <c r="AD46" i="16" s="1"/>
  <c r="W46" i="16"/>
  <c r="AC46" i="16" s="1"/>
  <c r="V46" i="16"/>
  <c r="AB46" i="16" s="1"/>
  <c r="X45" i="16"/>
  <c r="AD45" i="16" s="1"/>
  <c r="W45" i="16"/>
  <c r="AC45" i="16" s="1"/>
  <c r="V45" i="16"/>
  <c r="AB45" i="16" s="1"/>
  <c r="X44" i="16"/>
  <c r="AD44" i="16" s="1"/>
  <c r="W44" i="16"/>
  <c r="AC44" i="16" s="1"/>
  <c r="V44" i="16"/>
  <c r="AB44" i="16" s="1"/>
  <c r="X43" i="16"/>
  <c r="AD43" i="16" s="1"/>
  <c r="W43" i="16"/>
  <c r="AC43" i="16" s="1"/>
  <c r="V43" i="16"/>
  <c r="AB43" i="16" s="1"/>
  <c r="X42" i="16"/>
  <c r="AD42" i="16" s="1"/>
  <c r="W42" i="16"/>
  <c r="AC42" i="16" s="1"/>
  <c r="V42" i="16"/>
  <c r="AB42" i="16" s="1"/>
  <c r="X41" i="16"/>
  <c r="AD41" i="16" s="1"/>
  <c r="W41" i="16"/>
  <c r="AC41" i="16" s="1"/>
  <c r="V41" i="16"/>
  <c r="AB41" i="16" s="1"/>
  <c r="X40" i="16"/>
  <c r="AD40" i="16" s="1"/>
  <c r="W40" i="16"/>
  <c r="AC40" i="16" s="1"/>
  <c r="V40" i="16"/>
  <c r="AB40" i="16" s="1"/>
  <c r="X39" i="16"/>
  <c r="AD39" i="16" s="1"/>
  <c r="W39" i="16"/>
  <c r="AC39" i="16" s="1"/>
  <c r="V39" i="16"/>
  <c r="AB39" i="16" s="1"/>
  <c r="X38" i="16"/>
  <c r="AD38" i="16" s="1"/>
  <c r="W38" i="16"/>
  <c r="AC38" i="16" s="1"/>
  <c r="V38" i="16"/>
  <c r="AB38" i="16" s="1"/>
  <c r="X37" i="16"/>
  <c r="AD37" i="16" s="1"/>
  <c r="W37" i="16"/>
  <c r="AC37" i="16" s="1"/>
  <c r="V37" i="16"/>
  <c r="AB37" i="16" s="1"/>
  <c r="X36" i="16"/>
  <c r="AD36" i="16" s="1"/>
  <c r="W36" i="16"/>
  <c r="AC36" i="16" s="1"/>
  <c r="V36" i="16"/>
  <c r="AB36" i="16" s="1"/>
  <c r="X35" i="16"/>
  <c r="AD35" i="16" s="1"/>
  <c r="W35" i="16"/>
  <c r="AC35" i="16" s="1"/>
  <c r="V35" i="16"/>
  <c r="AB35" i="16" s="1"/>
  <c r="X34" i="16"/>
  <c r="W34" i="16"/>
  <c r="AC34" i="16" s="1"/>
  <c r="V34" i="16"/>
  <c r="AB34" i="16" s="1"/>
  <c r="X33" i="16"/>
  <c r="AD33" i="16" s="1"/>
  <c r="W33" i="16"/>
  <c r="AC33" i="16" s="1"/>
  <c r="V33" i="16"/>
  <c r="AB33" i="16" s="1"/>
  <c r="X32" i="16"/>
  <c r="AD32" i="16" s="1"/>
  <c r="W32" i="16"/>
  <c r="AC32" i="16" s="1"/>
  <c r="V32" i="16"/>
  <c r="AB32" i="16" s="1"/>
  <c r="X31" i="16"/>
  <c r="AD31" i="16" s="1"/>
  <c r="W31" i="16"/>
  <c r="AC31" i="16" s="1"/>
  <c r="V31" i="16"/>
  <c r="AB31" i="16" s="1"/>
  <c r="X30" i="16"/>
  <c r="AD30" i="16" s="1"/>
  <c r="W30" i="16"/>
  <c r="AC30" i="16" s="1"/>
  <c r="V30" i="16"/>
  <c r="AB30" i="16" s="1"/>
  <c r="X29" i="16"/>
  <c r="AD29" i="16" s="1"/>
  <c r="W29" i="16"/>
  <c r="AC29" i="16" s="1"/>
  <c r="V29" i="16"/>
  <c r="AB29" i="16" s="1"/>
  <c r="X28" i="16"/>
  <c r="AD28" i="16" s="1"/>
  <c r="W28" i="16"/>
  <c r="AC28" i="16" s="1"/>
  <c r="V28" i="16"/>
  <c r="AB28" i="16" s="1"/>
  <c r="X27" i="16"/>
  <c r="AD27" i="16" s="1"/>
  <c r="W27" i="16"/>
  <c r="AC27" i="16" s="1"/>
  <c r="V27" i="16"/>
  <c r="AB27" i="16" s="1"/>
  <c r="X26" i="16"/>
  <c r="AD26" i="16" s="1"/>
  <c r="W26" i="16"/>
  <c r="AC26" i="16" s="1"/>
  <c r="V26" i="16"/>
  <c r="AB26" i="16" s="1"/>
  <c r="X25" i="16"/>
  <c r="AD25" i="16" s="1"/>
  <c r="W25" i="16"/>
  <c r="AC25" i="16" s="1"/>
  <c r="V25" i="16"/>
  <c r="AB25" i="16" s="1"/>
  <c r="X24" i="16"/>
  <c r="AD24" i="16" s="1"/>
  <c r="W24" i="16"/>
  <c r="AC24" i="16" s="1"/>
  <c r="V24" i="16"/>
  <c r="AB24" i="16" s="1"/>
  <c r="X23" i="16"/>
  <c r="AD23" i="16" s="1"/>
  <c r="W23" i="16"/>
  <c r="AC23" i="16" s="1"/>
  <c r="V23" i="16"/>
  <c r="AB23" i="16" s="1"/>
  <c r="X22" i="16"/>
  <c r="AD22" i="16" s="1"/>
  <c r="W22" i="16"/>
  <c r="AC22" i="16" s="1"/>
  <c r="V22" i="16"/>
  <c r="AB22" i="16" s="1"/>
  <c r="X21" i="16"/>
  <c r="AD21" i="16" s="1"/>
  <c r="W21" i="16"/>
  <c r="AC21" i="16" s="1"/>
  <c r="V21" i="16"/>
  <c r="AB21" i="16" s="1"/>
  <c r="X20" i="16"/>
  <c r="AD20" i="16" s="1"/>
  <c r="W20" i="16"/>
  <c r="AC20" i="16" s="1"/>
  <c r="V20" i="16"/>
  <c r="AB20" i="16" s="1"/>
  <c r="X19" i="16"/>
  <c r="AD19" i="16" s="1"/>
  <c r="W19" i="16"/>
  <c r="AC19" i="16" s="1"/>
  <c r="V19" i="16"/>
  <c r="AB19" i="16" s="1"/>
  <c r="X18" i="16"/>
  <c r="AD18" i="16" s="1"/>
  <c r="W18" i="16"/>
  <c r="AC18" i="16" s="1"/>
  <c r="V18" i="16"/>
  <c r="AB18" i="16" s="1"/>
  <c r="X17" i="16"/>
  <c r="AD17" i="16" s="1"/>
  <c r="W17" i="16"/>
  <c r="AC17" i="16" s="1"/>
  <c r="V17" i="16"/>
  <c r="AB17" i="16" s="1"/>
  <c r="X16" i="16"/>
  <c r="AD16" i="16" s="1"/>
  <c r="W16" i="16"/>
  <c r="AC16" i="16" s="1"/>
  <c r="V16" i="16"/>
  <c r="AB16" i="16" s="1"/>
  <c r="X15" i="16"/>
  <c r="AD15" i="16" s="1"/>
  <c r="W15" i="16"/>
  <c r="AC15" i="16" s="1"/>
  <c r="V15" i="16"/>
  <c r="AB15" i="16" s="1"/>
  <c r="X14" i="16"/>
  <c r="AD14" i="16" s="1"/>
  <c r="W14" i="16"/>
  <c r="AC14" i="16" s="1"/>
  <c r="V14" i="16"/>
  <c r="AB14" i="16" s="1"/>
  <c r="X13" i="16"/>
  <c r="AD13" i="16" s="1"/>
  <c r="W13" i="16"/>
  <c r="AC13" i="16" s="1"/>
  <c r="V13" i="16"/>
  <c r="AB13" i="16" s="1"/>
  <c r="X12" i="16"/>
  <c r="AD12" i="16" s="1"/>
  <c r="W12" i="16"/>
  <c r="AC12" i="16" s="1"/>
  <c r="V12" i="16"/>
  <c r="AB12" i="16" s="1"/>
  <c r="X11" i="16"/>
  <c r="AD11" i="16" s="1"/>
  <c r="W11" i="16"/>
  <c r="AC11" i="16" s="1"/>
  <c r="V11" i="16"/>
  <c r="AB11" i="16" s="1"/>
  <c r="X10" i="16"/>
  <c r="AD10" i="16" s="1"/>
  <c r="W10" i="16"/>
  <c r="AC10" i="16" s="1"/>
  <c r="V10" i="16"/>
  <c r="AB10" i="16" s="1"/>
  <c r="X9" i="16"/>
  <c r="AD9" i="16" s="1"/>
  <c r="W9" i="16"/>
  <c r="AC9" i="16" s="1"/>
  <c r="V9" i="16"/>
  <c r="AB9" i="16" s="1"/>
  <c r="X8" i="16"/>
  <c r="AD8" i="16" s="1"/>
  <c r="W8" i="16"/>
  <c r="AC8" i="16" s="1"/>
  <c r="V8" i="16"/>
  <c r="AB8" i="16" s="1"/>
  <c r="X7" i="16"/>
  <c r="AD7" i="16" s="1"/>
  <c r="W7" i="16"/>
  <c r="AC7" i="16" s="1"/>
  <c r="V7" i="16"/>
  <c r="AB7" i="16" s="1"/>
  <c r="X6" i="16"/>
  <c r="AD6" i="16" s="1"/>
  <c r="W6" i="16"/>
  <c r="AC6" i="16" s="1"/>
  <c r="V6" i="16"/>
  <c r="AB6" i="16" s="1"/>
  <c r="X5" i="16"/>
  <c r="AD5" i="16" s="1"/>
  <c r="W5" i="16"/>
  <c r="AC5" i="16" s="1"/>
  <c r="V5" i="16"/>
  <c r="AB5" i="16" s="1"/>
  <c r="X4" i="16"/>
  <c r="AD4" i="16" s="1"/>
  <c r="W4" i="16"/>
  <c r="AC4" i="16" s="1"/>
  <c r="V4" i="16"/>
  <c r="AB4" i="16" s="1"/>
  <c r="X3" i="16"/>
  <c r="AD3" i="16" s="1"/>
  <c r="W3" i="16"/>
  <c r="AC3" i="16" s="1"/>
  <c r="V3" i="16"/>
  <c r="AB3" i="16" s="1"/>
  <c r="X2" i="16"/>
  <c r="AD2" i="16" s="1"/>
  <c r="W2" i="16"/>
  <c r="AC2" i="16" s="1"/>
  <c r="V2" i="16"/>
  <c r="AB2" i="16" s="1"/>
  <c r="AD55" i="6"/>
  <c r="AB55" i="6"/>
  <c r="AA55" i="6"/>
  <c r="Z55" i="6"/>
  <c r="X55" i="6"/>
  <c r="W55" i="6"/>
  <c r="V55" i="6"/>
  <c r="U55" i="6"/>
  <c r="AD54" i="6"/>
  <c r="AB54" i="6"/>
  <c r="AA54" i="6"/>
  <c r="Z54" i="6"/>
  <c r="Y54" i="6"/>
  <c r="X54" i="6"/>
  <c r="W54" i="6"/>
  <c r="V54" i="6"/>
  <c r="U54" i="6"/>
  <c r="AD53" i="6"/>
  <c r="AB53" i="6"/>
  <c r="AA53" i="6"/>
  <c r="AA53" i="7" s="1"/>
  <c r="Z53" i="6"/>
  <c r="Z53" i="7" s="1"/>
  <c r="X53" i="6"/>
  <c r="W53" i="6"/>
  <c r="V53" i="6"/>
  <c r="U53" i="6"/>
  <c r="AD52" i="6"/>
  <c r="AC52" i="6"/>
  <c r="AB52" i="6"/>
  <c r="AA52" i="6"/>
  <c r="Z52" i="6"/>
  <c r="X52" i="6"/>
  <c r="W52" i="6"/>
  <c r="V52" i="6"/>
  <c r="U52" i="6"/>
  <c r="AD51" i="6"/>
  <c r="AB51" i="6"/>
  <c r="AA51" i="6"/>
  <c r="AA51" i="7" s="1"/>
  <c r="Z51" i="6"/>
  <c r="X51" i="6"/>
  <c r="W51" i="6"/>
  <c r="V51" i="6"/>
  <c r="U51" i="6"/>
  <c r="AD50" i="6"/>
  <c r="AB50" i="6"/>
  <c r="AA50" i="6"/>
  <c r="AA50" i="7" s="1"/>
  <c r="Z50" i="6"/>
  <c r="Y50" i="6"/>
  <c r="X50" i="6"/>
  <c r="W50" i="6"/>
  <c r="V50" i="6"/>
  <c r="U50" i="6"/>
  <c r="AD49" i="6"/>
  <c r="AB49" i="6"/>
  <c r="AA49" i="6"/>
  <c r="AA49" i="7" s="1"/>
  <c r="Z49" i="6"/>
  <c r="X49" i="6"/>
  <c r="W49" i="6"/>
  <c r="V49" i="6"/>
  <c r="U49" i="6"/>
  <c r="AD48" i="6"/>
  <c r="AC48" i="6"/>
  <c r="AB48" i="6"/>
  <c r="AA48" i="6"/>
  <c r="Z48" i="6"/>
  <c r="X48" i="6"/>
  <c r="W48" i="6"/>
  <c r="V48" i="6"/>
  <c r="U48" i="6"/>
  <c r="AD47" i="6"/>
  <c r="AB47" i="6"/>
  <c r="AA47" i="6"/>
  <c r="Z47" i="6"/>
  <c r="X47" i="6"/>
  <c r="W47" i="6"/>
  <c r="V47" i="6"/>
  <c r="U47" i="6"/>
  <c r="AD46" i="6"/>
  <c r="AB46" i="6"/>
  <c r="AA46" i="6"/>
  <c r="Z46" i="6"/>
  <c r="Y46" i="6"/>
  <c r="X46" i="6"/>
  <c r="W46" i="6"/>
  <c r="V46" i="6"/>
  <c r="U46" i="6"/>
  <c r="AD45" i="6"/>
  <c r="AB45" i="6"/>
  <c r="AA45" i="6"/>
  <c r="AA45" i="7" s="1"/>
  <c r="Z45" i="6"/>
  <c r="X45" i="6"/>
  <c r="W45" i="6"/>
  <c r="V45" i="6"/>
  <c r="U45" i="6"/>
  <c r="AD44" i="6"/>
  <c r="AB44" i="6"/>
  <c r="AA44" i="6"/>
  <c r="Z44" i="6"/>
  <c r="X44" i="6"/>
  <c r="W44" i="6"/>
  <c r="V44" i="6"/>
  <c r="U44" i="6"/>
  <c r="AD43" i="6"/>
  <c r="AB43" i="6"/>
  <c r="AA43" i="6"/>
  <c r="Z43" i="6"/>
  <c r="X43" i="6"/>
  <c r="W43" i="6"/>
  <c r="V43" i="6"/>
  <c r="U43" i="6"/>
  <c r="AD42" i="6"/>
  <c r="AB42" i="6"/>
  <c r="AA42" i="6"/>
  <c r="Z42" i="6"/>
  <c r="Y42" i="6"/>
  <c r="X42" i="6"/>
  <c r="W42" i="6"/>
  <c r="V42" i="6"/>
  <c r="U42" i="6"/>
  <c r="AD41" i="6"/>
  <c r="AB41" i="6"/>
  <c r="AA41" i="6"/>
  <c r="AA41" i="7" s="1"/>
  <c r="Z41" i="6"/>
  <c r="X41" i="6"/>
  <c r="W41" i="6"/>
  <c r="V41" i="6"/>
  <c r="U41" i="6"/>
  <c r="AD40" i="6"/>
  <c r="AB40" i="6"/>
  <c r="AA40" i="6"/>
  <c r="Z40" i="6"/>
  <c r="X40" i="6"/>
  <c r="W40" i="6"/>
  <c r="V40" i="6"/>
  <c r="U40" i="6"/>
  <c r="AD39" i="6"/>
  <c r="AB39" i="6"/>
  <c r="AA39" i="6"/>
  <c r="AA39" i="7" s="1"/>
  <c r="Z39" i="6"/>
  <c r="X39" i="6"/>
  <c r="W39" i="6"/>
  <c r="V39" i="6"/>
  <c r="U39" i="6"/>
  <c r="AD38" i="6"/>
  <c r="AB38" i="6"/>
  <c r="AA38" i="6"/>
  <c r="Z38" i="6"/>
  <c r="Y38" i="6"/>
  <c r="X38" i="6"/>
  <c r="W38" i="6"/>
  <c r="V38" i="6"/>
  <c r="U38" i="6"/>
  <c r="AD37" i="6"/>
  <c r="AB37" i="6"/>
  <c r="AA37" i="6"/>
  <c r="AA37" i="7" s="1"/>
  <c r="Z37" i="6"/>
  <c r="Z37" i="7" s="1"/>
  <c r="X37" i="6"/>
  <c r="W37" i="6"/>
  <c r="V37" i="6"/>
  <c r="U37" i="6"/>
  <c r="AD36" i="6"/>
  <c r="AC36" i="6"/>
  <c r="AB36" i="6"/>
  <c r="AA36" i="6"/>
  <c r="AA36" i="7" s="1"/>
  <c r="Z36" i="6"/>
  <c r="X36" i="6"/>
  <c r="W36" i="6"/>
  <c r="V36" i="6"/>
  <c r="U36" i="6"/>
  <c r="AD35" i="6"/>
  <c r="AB35" i="6"/>
  <c r="AA35" i="6"/>
  <c r="Z35" i="6"/>
  <c r="X35" i="6"/>
  <c r="W35" i="6"/>
  <c r="V35" i="6"/>
  <c r="U35" i="6"/>
  <c r="AD34" i="6"/>
  <c r="AB34" i="6"/>
  <c r="AA34" i="6"/>
  <c r="AA34" i="7" s="1"/>
  <c r="Z34" i="6"/>
  <c r="Y34" i="6"/>
  <c r="X34" i="6"/>
  <c r="W34" i="6"/>
  <c r="V34" i="6"/>
  <c r="U34" i="6"/>
  <c r="AD33" i="6"/>
  <c r="AB33" i="6"/>
  <c r="AA33" i="6"/>
  <c r="AA33" i="7" s="1"/>
  <c r="Z33" i="6"/>
  <c r="X33" i="6"/>
  <c r="W33" i="6"/>
  <c r="V33" i="6"/>
  <c r="U33" i="6"/>
  <c r="AD32" i="6"/>
  <c r="AB32" i="6"/>
  <c r="AA32" i="6"/>
  <c r="Z32" i="6"/>
  <c r="X32" i="6"/>
  <c r="W32" i="6"/>
  <c r="V32" i="6"/>
  <c r="U32" i="6"/>
  <c r="AD31" i="6"/>
  <c r="AB31" i="6"/>
  <c r="AA31" i="6"/>
  <c r="AA31" i="7" s="1"/>
  <c r="Z31" i="6"/>
  <c r="X31" i="6"/>
  <c r="W31" i="6"/>
  <c r="V31" i="6"/>
  <c r="U31" i="6"/>
  <c r="AD30" i="6"/>
  <c r="AB30" i="6"/>
  <c r="AA30" i="6"/>
  <c r="Z30" i="6"/>
  <c r="Y30" i="6"/>
  <c r="X30" i="6"/>
  <c r="W30" i="6"/>
  <c r="V30" i="6"/>
  <c r="U30" i="6"/>
  <c r="AD29" i="6"/>
  <c r="AC29" i="6"/>
  <c r="AB29" i="6"/>
  <c r="AA29" i="6"/>
  <c r="AA29" i="7" s="1"/>
  <c r="Z29" i="6"/>
  <c r="Y29" i="6"/>
  <c r="X29" i="6"/>
  <c r="W29" i="6"/>
  <c r="V29" i="6"/>
  <c r="U29" i="6"/>
  <c r="AD28" i="6"/>
  <c r="AB28" i="6"/>
  <c r="AA28" i="6"/>
  <c r="AA28" i="7" s="1"/>
  <c r="Z28" i="6"/>
  <c r="X28" i="6"/>
  <c r="W28" i="6"/>
  <c r="V28" i="6"/>
  <c r="U28" i="6"/>
  <c r="AD27" i="6"/>
  <c r="AB27" i="6"/>
  <c r="AA27" i="6"/>
  <c r="AA27" i="7" s="1"/>
  <c r="Z27" i="6"/>
  <c r="X27" i="6"/>
  <c r="W27" i="6"/>
  <c r="V27" i="6"/>
  <c r="U27" i="6"/>
  <c r="AD26" i="6"/>
  <c r="AB26" i="6"/>
  <c r="AA26" i="6"/>
  <c r="AA26" i="7" s="1"/>
  <c r="Z26" i="6"/>
  <c r="Y26" i="6"/>
  <c r="X26" i="6"/>
  <c r="W26" i="6"/>
  <c r="V26" i="6"/>
  <c r="U26" i="6"/>
  <c r="AD25" i="6"/>
  <c r="AB25" i="6"/>
  <c r="AA25" i="6"/>
  <c r="AA25" i="7" s="1"/>
  <c r="Z25" i="6"/>
  <c r="X25" i="6"/>
  <c r="W25" i="6"/>
  <c r="V25" i="6"/>
  <c r="U25" i="6"/>
  <c r="AD24" i="6"/>
  <c r="AC24" i="6"/>
  <c r="AB24" i="6"/>
  <c r="AA24" i="6"/>
  <c r="Z24" i="6"/>
  <c r="Y24" i="6"/>
  <c r="X24" i="6"/>
  <c r="W24" i="6"/>
  <c r="V24" i="6"/>
  <c r="U24" i="6"/>
  <c r="AD23" i="6"/>
  <c r="AC23" i="6"/>
  <c r="AB23" i="6"/>
  <c r="AA23" i="6"/>
  <c r="AA23" i="7" s="1"/>
  <c r="Z23" i="6"/>
  <c r="Y23" i="6"/>
  <c r="X23" i="6"/>
  <c r="W23" i="6"/>
  <c r="V23" i="6"/>
  <c r="U23" i="6"/>
  <c r="AD22" i="6"/>
  <c r="AC22" i="6"/>
  <c r="AB22" i="6"/>
  <c r="AA22" i="6"/>
  <c r="Z22" i="6"/>
  <c r="Y22" i="6"/>
  <c r="X22" i="6"/>
  <c r="W22" i="6"/>
  <c r="V22" i="6"/>
  <c r="U22" i="6"/>
  <c r="AD21" i="6"/>
  <c r="AC21" i="6"/>
  <c r="AB21" i="6"/>
  <c r="AA21" i="6"/>
  <c r="AA21" i="7" s="1"/>
  <c r="Z21" i="6"/>
  <c r="Y21" i="6"/>
  <c r="X21" i="6"/>
  <c r="W21" i="6"/>
  <c r="V21" i="6"/>
  <c r="U21" i="6"/>
  <c r="AD20" i="6"/>
  <c r="AC20" i="6"/>
  <c r="AB20" i="6"/>
  <c r="AA20" i="6"/>
  <c r="Z20" i="6"/>
  <c r="Y20" i="6"/>
  <c r="X20" i="6"/>
  <c r="W20" i="6"/>
  <c r="V20" i="6"/>
  <c r="U20" i="6"/>
  <c r="AD19" i="6"/>
  <c r="AC19" i="6"/>
  <c r="AB19" i="6"/>
  <c r="AA19" i="6"/>
  <c r="AA19" i="7" s="1"/>
  <c r="Z19" i="6"/>
  <c r="Y19" i="6"/>
  <c r="X19" i="6"/>
  <c r="W19" i="6"/>
  <c r="V19" i="6"/>
  <c r="U19" i="6"/>
  <c r="AD18" i="6"/>
  <c r="AC18" i="6"/>
  <c r="AB18" i="6"/>
  <c r="AA18" i="6"/>
  <c r="Z18" i="6"/>
  <c r="Y18" i="6"/>
  <c r="X18" i="6"/>
  <c r="W18" i="6"/>
  <c r="V18" i="6"/>
  <c r="U18" i="6"/>
  <c r="AD17" i="6"/>
  <c r="AC17" i="6"/>
  <c r="AB17" i="6"/>
  <c r="AA17" i="6"/>
  <c r="AA17" i="7" s="1"/>
  <c r="Z17" i="6"/>
  <c r="Y17" i="6"/>
  <c r="X17" i="6"/>
  <c r="W17" i="6"/>
  <c r="V17" i="6"/>
  <c r="U17" i="6"/>
  <c r="AD16" i="6"/>
  <c r="AC16" i="6"/>
  <c r="AB16" i="6"/>
  <c r="AA16" i="6"/>
  <c r="Z16" i="6"/>
  <c r="Z16" i="7" s="1"/>
  <c r="Y16" i="6"/>
  <c r="X16" i="6"/>
  <c r="W16" i="6"/>
  <c r="V16" i="6"/>
  <c r="U16" i="6"/>
  <c r="AD15" i="6"/>
  <c r="AC15" i="6"/>
  <c r="AB15" i="6"/>
  <c r="AA15" i="6"/>
  <c r="AA15" i="7" s="1"/>
  <c r="Z15" i="6"/>
  <c r="Y15" i="6"/>
  <c r="X15" i="6"/>
  <c r="W15" i="6"/>
  <c r="V15" i="6"/>
  <c r="U15" i="6"/>
  <c r="AD14" i="6"/>
  <c r="AC14" i="6"/>
  <c r="AB14" i="6"/>
  <c r="AA14" i="6"/>
  <c r="Z14" i="6"/>
  <c r="Y14" i="6"/>
  <c r="X14" i="6"/>
  <c r="W14" i="6"/>
  <c r="V14" i="6"/>
  <c r="U14" i="6"/>
  <c r="AD13" i="6"/>
  <c r="AC13" i="6"/>
  <c r="AB13" i="6"/>
  <c r="AA13" i="6"/>
  <c r="AA13" i="7" s="1"/>
  <c r="Z13" i="6"/>
  <c r="Y13" i="6"/>
  <c r="X13" i="6"/>
  <c r="W13" i="6"/>
  <c r="V13" i="6"/>
  <c r="U13" i="6"/>
  <c r="AD12" i="6"/>
  <c r="AC12" i="6"/>
  <c r="AB12" i="6"/>
  <c r="AA12" i="6"/>
  <c r="Z12" i="6"/>
  <c r="Y12" i="6"/>
  <c r="X12" i="6"/>
  <c r="W12" i="6"/>
  <c r="V12" i="6"/>
  <c r="U12" i="6"/>
  <c r="AD11" i="6"/>
  <c r="AC11" i="6"/>
  <c r="AB11" i="6"/>
  <c r="AA11" i="6"/>
  <c r="AA11" i="7" s="1"/>
  <c r="Z11" i="6"/>
  <c r="Y11" i="6"/>
  <c r="X11" i="6"/>
  <c r="W11" i="6"/>
  <c r="V11" i="6"/>
  <c r="U11" i="6"/>
  <c r="AD10" i="6"/>
  <c r="AC10" i="6"/>
  <c r="AB10" i="6"/>
  <c r="AA10" i="6"/>
  <c r="Z10" i="6"/>
  <c r="Y10" i="6"/>
  <c r="X10" i="6"/>
  <c r="W10" i="6"/>
  <c r="V10" i="6"/>
  <c r="U10" i="6"/>
  <c r="AD9" i="6"/>
  <c r="AC9" i="6"/>
  <c r="AB9" i="6"/>
  <c r="AA9" i="6"/>
  <c r="AA9" i="7" s="1"/>
  <c r="Z9" i="6"/>
  <c r="Y9" i="6"/>
  <c r="X9" i="6"/>
  <c r="W9" i="6"/>
  <c r="V9" i="6"/>
  <c r="U9" i="6"/>
  <c r="AD8" i="6"/>
  <c r="AC8" i="6"/>
  <c r="AB8" i="6"/>
  <c r="AA8" i="6"/>
  <c r="Z8" i="6"/>
  <c r="Z8" i="7" s="1"/>
  <c r="Y8" i="6"/>
  <c r="X8" i="6"/>
  <c r="W8" i="6"/>
  <c r="V8" i="6"/>
  <c r="U8" i="6"/>
  <c r="AD7" i="6"/>
  <c r="AC7" i="6"/>
  <c r="AB7" i="6"/>
  <c r="AA7" i="6"/>
  <c r="AA7" i="7" s="1"/>
  <c r="Z7" i="6"/>
  <c r="Y7" i="6"/>
  <c r="X7" i="6"/>
  <c r="W7" i="6"/>
  <c r="V7" i="6"/>
  <c r="U7" i="6"/>
  <c r="AD6" i="6"/>
  <c r="AC6" i="6"/>
  <c r="AB6" i="6"/>
  <c r="AA6" i="6"/>
  <c r="Z6" i="6"/>
  <c r="Y6" i="6"/>
  <c r="X6" i="6"/>
  <c r="W6" i="6"/>
  <c r="V6" i="6"/>
  <c r="U6" i="6"/>
  <c r="AD5" i="6"/>
  <c r="AC5" i="6"/>
  <c r="AB5" i="6"/>
  <c r="AA5" i="6"/>
  <c r="AA5" i="7" s="1"/>
  <c r="Z5" i="6"/>
  <c r="Y5" i="6"/>
  <c r="X5" i="6"/>
  <c r="W5" i="6"/>
  <c r="V5" i="6"/>
  <c r="U5" i="6"/>
  <c r="AP55" i="14"/>
  <c r="AC55" i="14"/>
  <c r="AC55" i="6" s="1"/>
  <c r="Y55" i="14"/>
  <c r="Y55" i="6" s="1"/>
  <c r="AP54" i="14"/>
  <c r="AC54" i="14"/>
  <c r="AC54" i="6" s="1"/>
  <c r="Y54" i="14"/>
  <c r="AP53" i="14"/>
  <c r="AC53" i="14"/>
  <c r="AC53" i="6" s="1"/>
  <c r="Y53" i="14"/>
  <c r="Y53" i="6" s="1"/>
  <c r="AP52" i="14"/>
  <c r="AC52" i="14"/>
  <c r="Y52" i="14"/>
  <c r="Y52" i="6" s="1"/>
  <c r="AP51" i="14"/>
  <c r="AC51" i="14"/>
  <c r="AC51" i="6" s="1"/>
  <c r="Y51" i="14"/>
  <c r="Y51" i="6" s="1"/>
  <c r="AP50" i="14"/>
  <c r="AC50" i="14"/>
  <c r="AC50" i="6" s="1"/>
  <c r="Y50" i="14"/>
  <c r="AP49" i="14"/>
  <c r="AC49" i="14"/>
  <c r="AC49" i="6" s="1"/>
  <c r="Y49" i="14"/>
  <c r="Y49" i="6" s="1"/>
  <c r="AP48" i="14"/>
  <c r="AC48" i="14"/>
  <c r="Y48" i="14"/>
  <c r="Y48" i="6" s="1"/>
  <c r="AP47" i="14"/>
  <c r="AC47" i="14"/>
  <c r="AC47" i="6" s="1"/>
  <c r="Y47" i="14"/>
  <c r="Y47" i="6" s="1"/>
  <c r="AP46" i="14"/>
  <c r="AC46" i="14"/>
  <c r="AC46" i="6" s="1"/>
  <c r="Y46" i="14"/>
  <c r="AP45" i="14"/>
  <c r="AC45" i="14"/>
  <c r="AC45" i="6" s="1"/>
  <c r="Y45" i="14"/>
  <c r="Y45" i="6" s="1"/>
  <c r="AP44" i="14"/>
  <c r="AC44" i="14"/>
  <c r="AC44" i="6" s="1"/>
  <c r="Y44" i="14"/>
  <c r="Y44" i="6" s="1"/>
  <c r="AP43" i="14"/>
  <c r="AC43" i="14"/>
  <c r="AC43" i="6" s="1"/>
  <c r="Y43" i="14"/>
  <c r="Y43" i="6" s="1"/>
  <c r="AP42" i="14"/>
  <c r="AC42" i="14"/>
  <c r="AC42" i="6" s="1"/>
  <c r="Y42" i="14"/>
  <c r="AP41" i="14"/>
  <c r="AC41" i="14"/>
  <c r="AC41" i="6" s="1"/>
  <c r="Y41" i="14"/>
  <c r="Y41" i="6" s="1"/>
  <c r="AP40" i="14"/>
  <c r="AC40" i="14"/>
  <c r="AC40" i="6" s="1"/>
  <c r="Y40" i="14"/>
  <c r="Y40" i="6" s="1"/>
  <c r="AP39" i="14"/>
  <c r="AC39" i="14"/>
  <c r="AC39" i="6" s="1"/>
  <c r="Y39" i="14"/>
  <c r="Y39" i="6" s="1"/>
  <c r="AP38" i="14"/>
  <c r="AC38" i="14"/>
  <c r="AC38" i="6" s="1"/>
  <c r="Y38" i="14"/>
  <c r="AP37" i="14"/>
  <c r="AC37" i="14"/>
  <c r="AC37" i="6" s="1"/>
  <c r="Y37" i="14"/>
  <c r="Y37" i="6" s="1"/>
  <c r="AP36" i="14"/>
  <c r="AC36" i="14"/>
  <c r="Y36" i="14"/>
  <c r="Y36" i="6" s="1"/>
  <c r="AP35" i="14"/>
  <c r="AC35" i="14"/>
  <c r="AC35" i="6" s="1"/>
  <c r="Y35" i="14"/>
  <c r="Y35" i="6" s="1"/>
  <c r="AP34" i="14"/>
  <c r="AC34" i="14"/>
  <c r="AC34" i="6" s="1"/>
  <c r="Y34" i="14"/>
  <c r="AP33" i="14"/>
  <c r="AC33" i="14"/>
  <c r="AC33" i="6" s="1"/>
  <c r="Y33" i="14"/>
  <c r="Y33" i="6" s="1"/>
  <c r="AP32" i="14"/>
  <c r="AC32" i="14"/>
  <c r="AC32" i="6" s="1"/>
  <c r="Y32" i="14"/>
  <c r="Y32" i="6" s="1"/>
  <c r="AP31" i="14"/>
  <c r="AC31" i="14"/>
  <c r="AC31" i="6" s="1"/>
  <c r="Y31" i="14"/>
  <c r="Y31" i="6" s="1"/>
  <c r="AP30" i="14"/>
  <c r="AC30" i="14"/>
  <c r="AC30" i="6" s="1"/>
  <c r="Y30" i="14"/>
  <c r="AP28" i="14"/>
  <c r="AC28" i="14"/>
  <c r="AC28" i="6" s="1"/>
  <c r="Y28" i="14"/>
  <c r="Y28" i="6" s="1"/>
  <c r="AP27" i="14"/>
  <c r="AC27" i="14"/>
  <c r="AC27" i="6" s="1"/>
  <c r="Y27" i="14"/>
  <c r="Y27" i="6" s="1"/>
  <c r="AP26" i="14"/>
  <c r="AC26" i="14"/>
  <c r="AC26" i="6" s="1"/>
  <c r="Y26" i="14"/>
  <c r="AP25" i="14"/>
  <c r="AC25" i="14"/>
  <c r="AC25" i="6" s="1"/>
  <c r="Y25" i="14"/>
  <c r="Y25" i="6" s="1"/>
  <c r="X48" i="13"/>
  <c r="V48" i="13"/>
  <c r="T48" i="13"/>
  <c r="P48" i="13"/>
  <c r="O48" i="13"/>
  <c r="N48" i="13"/>
  <c r="M48" i="13"/>
  <c r="V47" i="13"/>
  <c r="U47" i="13"/>
  <c r="T47" i="13"/>
  <c r="P47" i="13"/>
  <c r="O47" i="13"/>
  <c r="N47" i="13"/>
  <c r="M47" i="13"/>
  <c r="X46" i="13"/>
  <c r="V46" i="13"/>
  <c r="U46" i="13"/>
  <c r="T46" i="13"/>
  <c r="P46" i="13"/>
  <c r="O46" i="13"/>
  <c r="N46" i="13"/>
  <c r="M46" i="13"/>
  <c r="X48" i="12"/>
  <c r="V48" i="12"/>
  <c r="T48" i="12"/>
  <c r="P48" i="12"/>
  <c r="O48" i="12"/>
  <c r="N48" i="12"/>
  <c r="M48" i="12"/>
  <c r="V47" i="12"/>
  <c r="U47" i="12"/>
  <c r="T47" i="12"/>
  <c r="P47" i="12"/>
  <c r="O47" i="12"/>
  <c r="N47" i="12"/>
  <c r="M47" i="12"/>
  <c r="X46" i="12"/>
  <c r="V46" i="12"/>
  <c r="V50" i="12" s="1"/>
  <c r="U46" i="12"/>
  <c r="U50" i="12" s="1"/>
  <c r="T46" i="12"/>
  <c r="T50" i="12" s="1"/>
  <c r="P46" i="12"/>
  <c r="P50" i="12" s="1"/>
  <c r="O46" i="12"/>
  <c r="N46" i="12"/>
  <c r="N50" i="12" s="1"/>
  <c r="M46" i="12"/>
  <c r="M50" i="12" s="1"/>
  <c r="Y43" i="11"/>
  <c r="Y42" i="11"/>
  <c r="Y41" i="11"/>
  <c r="Y40" i="11"/>
  <c r="Y39" i="11"/>
  <c r="Y38" i="11"/>
  <c r="Y37" i="11"/>
  <c r="Y36" i="11"/>
  <c r="Y35" i="11"/>
  <c r="Y34" i="11"/>
  <c r="Y33" i="11"/>
  <c r="Y32" i="11"/>
  <c r="Y31" i="11"/>
  <c r="Y30" i="11"/>
  <c r="Y29" i="11"/>
  <c r="Y28" i="11"/>
  <c r="Y27" i="11"/>
  <c r="Y26" i="11"/>
  <c r="Y25" i="11"/>
  <c r="Y24" i="11"/>
  <c r="Y23" i="11"/>
  <c r="Y22" i="11"/>
  <c r="Y21" i="11"/>
  <c r="Y20" i="11"/>
  <c r="Y19" i="11"/>
  <c r="Y18" i="11"/>
  <c r="Y17" i="11"/>
  <c r="Y16" i="11"/>
  <c r="Y15" i="11"/>
  <c r="Y14" i="11"/>
  <c r="Y13" i="11"/>
  <c r="Y12" i="11"/>
  <c r="Y11" i="11"/>
  <c r="Y10" i="11"/>
  <c r="Y9" i="11"/>
  <c r="Y8" i="11"/>
  <c r="Y7" i="11"/>
  <c r="Y6" i="11"/>
  <c r="Y5" i="11"/>
  <c r="X48" i="11"/>
  <c r="V48" i="11"/>
  <c r="T48" i="11"/>
  <c r="P48" i="11"/>
  <c r="O48" i="11"/>
  <c r="N48" i="11"/>
  <c r="M48" i="11"/>
  <c r="V47" i="11"/>
  <c r="U47" i="11"/>
  <c r="T47" i="11"/>
  <c r="P47" i="11"/>
  <c r="O47" i="11"/>
  <c r="N47" i="11"/>
  <c r="M47" i="11"/>
  <c r="X46" i="11"/>
  <c r="V46" i="11"/>
  <c r="V50" i="11" s="1"/>
  <c r="U46" i="11"/>
  <c r="U50" i="11" s="1"/>
  <c r="T46" i="11"/>
  <c r="T50" i="11" s="1"/>
  <c r="P46" i="11"/>
  <c r="P50" i="11" s="1"/>
  <c r="O46" i="11"/>
  <c r="O50" i="11" s="1"/>
  <c r="N46" i="11"/>
  <c r="N50" i="11" s="1"/>
  <c r="M46" i="11"/>
  <c r="M50" i="11" s="1"/>
  <c r="X48" i="10"/>
  <c r="X46" i="10"/>
  <c r="V48" i="10"/>
  <c r="V47" i="10"/>
  <c r="V46" i="10"/>
  <c r="U47" i="10"/>
  <c r="U46" i="10"/>
  <c r="T48" i="10"/>
  <c r="T47" i="10"/>
  <c r="T46" i="10"/>
  <c r="R49" i="10"/>
  <c r="P48" i="10"/>
  <c r="P47" i="10"/>
  <c r="P46" i="10"/>
  <c r="O48" i="10"/>
  <c r="O47" i="10"/>
  <c r="O46" i="10"/>
  <c r="N48" i="10"/>
  <c r="N47" i="10"/>
  <c r="N46" i="10"/>
  <c r="M48" i="10"/>
  <c r="M47" i="10"/>
  <c r="M46" i="10"/>
  <c r="Z43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6" i="10"/>
  <c r="Z15" i="10"/>
  <c r="Z14" i="10"/>
  <c r="Z13" i="10"/>
  <c r="V43" i="10"/>
  <c r="V42" i="10"/>
  <c r="V41" i="10"/>
  <c r="V40" i="10"/>
  <c r="V39" i="10"/>
  <c r="V38" i="10"/>
  <c r="V37" i="10"/>
  <c r="V36" i="10"/>
  <c r="V35" i="10"/>
  <c r="V34" i="10"/>
  <c r="V33" i="10"/>
  <c r="V32" i="10"/>
  <c r="V31" i="10"/>
  <c r="V30" i="10"/>
  <c r="V29" i="10"/>
  <c r="V28" i="10"/>
  <c r="V27" i="10"/>
  <c r="V26" i="10"/>
  <c r="V25" i="10"/>
  <c r="V24" i="10"/>
  <c r="V23" i="10"/>
  <c r="V22" i="10"/>
  <c r="V21" i="10"/>
  <c r="V20" i="10"/>
  <c r="V19" i="10"/>
  <c r="V18" i="10"/>
  <c r="V16" i="10"/>
  <c r="V15" i="10"/>
  <c r="V14" i="10"/>
  <c r="V13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8" i="10"/>
  <c r="U16" i="10"/>
  <c r="U15" i="10"/>
  <c r="U14" i="10"/>
  <c r="U13" i="10"/>
  <c r="T43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6" i="10"/>
  <c r="T15" i="10"/>
  <c r="T14" i="10"/>
  <c r="T13" i="10"/>
  <c r="R43" i="10"/>
  <c r="R42" i="10"/>
  <c r="R41" i="10"/>
  <c r="R40" i="10"/>
  <c r="R39" i="10"/>
  <c r="R38" i="10"/>
  <c r="R37" i="10"/>
  <c r="R36" i="10"/>
  <c r="R35" i="10"/>
  <c r="R34" i="10"/>
  <c r="R33" i="10"/>
  <c r="R32" i="10"/>
  <c r="R31" i="10"/>
  <c r="R30" i="10"/>
  <c r="R29" i="10"/>
  <c r="R28" i="10"/>
  <c r="R27" i="10"/>
  <c r="R26" i="10"/>
  <c r="R25" i="10"/>
  <c r="R24" i="10"/>
  <c r="R23" i="10"/>
  <c r="R22" i="10"/>
  <c r="R21" i="10"/>
  <c r="R20" i="10"/>
  <c r="R19" i="10"/>
  <c r="R18" i="10"/>
  <c r="R16" i="10"/>
  <c r="R15" i="10"/>
  <c r="R14" i="10"/>
  <c r="R13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6" i="10"/>
  <c r="P15" i="10"/>
  <c r="P14" i="10"/>
  <c r="P13" i="10"/>
  <c r="O43" i="10"/>
  <c r="O42" i="10"/>
  <c r="O41" i="10"/>
  <c r="O40" i="10"/>
  <c r="O39" i="10"/>
  <c r="O38" i="10"/>
  <c r="O37" i="10"/>
  <c r="O36" i="10"/>
  <c r="O35" i="10"/>
  <c r="O34" i="10"/>
  <c r="O33" i="10"/>
  <c r="O32" i="10"/>
  <c r="O31" i="10"/>
  <c r="O30" i="10"/>
  <c r="O29" i="10"/>
  <c r="O28" i="10"/>
  <c r="O27" i="10"/>
  <c r="O26" i="10"/>
  <c r="O25" i="10"/>
  <c r="O24" i="10"/>
  <c r="O23" i="10"/>
  <c r="O22" i="10"/>
  <c r="O21" i="10"/>
  <c r="O20" i="10"/>
  <c r="O19" i="10"/>
  <c r="O18" i="10"/>
  <c r="O16" i="10"/>
  <c r="O15" i="10"/>
  <c r="O14" i="10"/>
  <c r="O13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8" i="10"/>
  <c r="N16" i="10"/>
  <c r="N15" i="10"/>
  <c r="N14" i="10"/>
  <c r="N13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6" i="10"/>
  <c r="M15" i="10"/>
  <c r="M14" i="10"/>
  <c r="M13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6" i="10"/>
  <c r="L15" i="10"/>
  <c r="L14" i="10"/>
  <c r="L13" i="10"/>
  <c r="AK60" i="9"/>
  <c r="AF60" i="9"/>
  <c r="AP58" i="9" s="1"/>
  <c r="AE60" i="9"/>
  <c r="AO58" i="9" s="1"/>
  <c r="AC60" i="9"/>
  <c r="Y60" i="9"/>
  <c r="X60" i="9"/>
  <c r="W60" i="9"/>
  <c r="S60" i="9"/>
  <c r="R60" i="9"/>
  <c r="Q60" i="9"/>
  <c r="P60" i="9"/>
  <c r="O60" i="9"/>
  <c r="M60" i="9"/>
  <c r="L60" i="9"/>
  <c r="AK59" i="9"/>
  <c r="AF59" i="9"/>
  <c r="AC59" i="9"/>
  <c r="AA59" i="9"/>
  <c r="Z59" i="9"/>
  <c r="Y59" i="9"/>
  <c r="X59" i="9"/>
  <c r="W59" i="9"/>
  <c r="V59" i="9"/>
  <c r="U59" i="9"/>
  <c r="S59" i="9"/>
  <c r="R59" i="9"/>
  <c r="Q59" i="9"/>
  <c r="P59" i="9"/>
  <c r="O59" i="9"/>
  <c r="M59" i="9"/>
  <c r="L59" i="9"/>
  <c r="AL61" i="8"/>
  <c r="AG61" i="8"/>
  <c r="AD61" i="8"/>
  <c r="AB61" i="8"/>
  <c r="T61" i="8"/>
  <c r="AK60" i="8"/>
  <c r="AF60" i="8"/>
  <c r="AE60" i="8"/>
  <c r="AC60" i="8"/>
  <c r="Y60" i="8"/>
  <c r="X60" i="8"/>
  <c r="W60" i="8"/>
  <c r="S60" i="8"/>
  <c r="R60" i="8"/>
  <c r="Q60" i="8"/>
  <c r="P60" i="8"/>
  <c r="O60" i="8"/>
  <c r="M60" i="8"/>
  <c r="L60" i="8"/>
  <c r="AK59" i="8"/>
  <c r="AF59" i="8"/>
  <c r="AP58" i="8" s="1"/>
  <c r="AC59" i="8"/>
  <c r="AA59" i="8"/>
  <c r="Z59" i="8"/>
  <c r="Y59" i="8"/>
  <c r="X59" i="8"/>
  <c r="W59" i="8"/>
  <c r="V59" i="8"/>
  <c r="U59" i="8"/>
  <c r="S59" i="8"/>
  <c r="R59" i="8"/>
  <c r="Q59" i="8"/>
  <c r="P59" i="8"/>
  <c r="O59" i="8"/>
  <c r="M59" i="8"/>
  <c r="L59" i="8"/>
  <c r="AL61" i="7"/>
  <c r="AG61" i="7"/>
  <c r="AD61" i="7"/>
  <c r="AB61" i="7"/>
  <c r="T61" i="7"/>
  <c r="AG55" i="7"/>
  <c r="AA55" i="7"/>
  <c r="Z55" i="7"/>
  <c r="AG54" i="7"/>
  <c r="AA54" i="7"/>
  <c r="Z54" i="7"/>
  <c r="AG53" i="7"/>
  <c r="AG52" i="7"/>
  <c r="AA52" i="7"/>
  <c r="Z52" i="7"/>
  <c r="AG51" i="7"/>
  <c r="Z51" i="7"/>
  <c r="AG50" i="7"/>
  <c r="Z50" i="7"/>
  <c r="AG49" i="7"/>
  <c r="Z49" i="7"/>
  <c r="AG48" i="7"/>
  <c r="AA48" i="7"/>
  <c r="Z48" i="7"/>
  <c r="AG47" i="7"/>
  <c r="AA47" i="7"/>
  <c r="Z47" i="7"/>
  <c r="AG46" i="7"/>
  <c r="AA46" i="7"/>
  <c r="Z46" i="7"/>
  <c r="AG45" i="7"/>
  <c r="Z45" i="7"/>
  <c r="AG44" i="7"/>
  <c r="AA44" i="7"/>
  <c r="Z44" i="7"/>
  <c r="AG43" i="7"/>
  <c r="AA43" i="7"/>
  <c r="Z43" i="7"/>
  <c r="AG42" i="7"/>
  <c r="AA42" i="7"/>
  <c r="Z42" i="7"/>
  <c r="AG41" i="7"/>
  <c r="Z41" i="7"/>
  <c r="AG40" i="7"/>
  <c r="AA40" i="7"/>
  <c r="Z40" i="7"/>
  <c r="AG39" i="7"/>
  <c r="Z39" i="7"/>
  <c r="AG38" i="7"/>
  <c r="AA38" i="7"/>
  <c r="Z38" i="7"/>
  <c r="AG37" i="7"/>
  <c r="AG36" i="7"/>
  <c r="Z36" i="7"/>
  <c r="AG35" i="7"/>
  <c r="AA35" i="7"/>
  <c r="Z35" i="7"/>
  <c r="AG34" i="7"/>
  <c r="Z34" i="7"/>
  <c r="AG33" i="7"/>
  <c r="Z33" i="7"/>
  <c r="AG32" i="7"/>
  <c r="AA32" i="7"/>
  <c r="Z32" i="7"/>
  <c r="AG31" i="7"/>
  <c r="Z31" i="7"/>
  <c r="AG30" i="7"/>
  <c r="AA30" i="7"/>
  <c r="Z30" i="7"/>
  <c r="AG29" i="7"/>
  <c r="Z29" i="7"/>
  <c r="AG28" i="7"/>
  <c r="Z28" i="7"/>
  <c r="AG27" i="7"/>
  <c r="Z27" i="7"/>
  <c r="AG26" i="7"/>
  <c r="Z26" i="7"/>
  <c r="AG25" i="7"/>
  <c r="Z25" i="7"/>
  <c r="AG24" i="7"/>
  <c r="AA24" i="7"/>
  <c r="Z24" i="7"/>
  <c r="AG23" i="7"/>
  <c r="Z23" i="7"/>
  <c r="AG22" i="7"/>
  <c r="AA22" i="7"/>
  <c r="Z22" i="7"/>
  <c r="AG21" i="7"/>
  <c r="Z21" i="7"/>
  <c r="AG20" i="7"/>
  <c r="AA20" i="7"/>
  <c r="Z20" i="7"/>
  <c r="AG19" i="7"/>
  <c r="Z19" i="7"/>
  <c r="AG18" i="7"/>
  <c r="AA18" i="7"/>
  <c r="Z18" i="7"/>
  <c r="AG17" i="7"/>
  <c r="Z17" i="7"/>
  <c r="AG16" i="7"/>
  <c r="AA16" i="7"/>
  <c r="AG15" i="7"/>
  <c r="Z15" i="7"/>
  <c r="AG14" i="7"/>
  <c r="AA14" i="7"/>
  <c r="Z14" i="7"/>
  <c r="AG13" i="7"/>
  <c r="Z13" i="7"/>
  <c r="AG12" i="7"/>
  <c r="AA12" i="7"/>
  <c r="Z12" i="7"/>
  <c r="AG11" i="7"/>
  <c r="Z11" i="7"/>
  <c r="AG10" i="7"/>
  <c r="AA10" i="7"/>
  <c r="Z10" i="7"/>
  <c r="AG9" i="7"/>
  <c r="Z9" i="7"/>
  <c r="AG8" i="7"/>
  <c r="AA8" i="7"/>
  <c r="AG7" i="7"/>
  <c r="Z7" i="7"/>
  <c r="AG6" i="7"/>
  <c r="AA6" i="7"/>
  <c r="Z6" i="7"/>
  <c r="AG5" i="7"/>
  <c r="Z5" i="7"/>
  <c r="AK60" i="7"/>
  <c r="AF60" i="7"/>
  <c r="AE60" i="7"/>
  <c r="AC60" i="7"/>
  <c r="Y60" i="7"/>
  <c r="X60" i="7"/>
  <c r="W60" i="7"/>
  <c r="S60" i="7"/>
  <c r="R60" i="7"/>
  <c r="Q60" i="7"/>
  <c r="P60" i="7"/>
  <c r="O60" i="7"/>
  <c r="M60" i="7"/>
  <c r="L60" i="7"/>
  <c r="AK59" i="7"/>
  <c r="AF59" i="7"/>
  <c r="AC59" i="7"/>
  <c r="AA59" i="7"/>
  <c r="Z59" i="7"/>
  <c r="Y59" i="7"/>
  <c r="X59" i="7"/>
  <c r="W59" i="7"/>
  <c r="V59" i="7"/>
  <c r="U59" i="7"/>
  <c r="S59" i="7"/>
  <c r="R59" i="7"/>
  <c r="Q59" i="7"/>
  <c r="P59" i="7"/>
  <c r="O59" i="7"/>
  <c r="M59" i="7"/>
  <c r="L59" i="7"/>
  <c r="AP55" i="7"/>
  <c r="AP54" i="7"/>
  <c r="AP53" i="7"/>
  <c r="AP52" i="7"/>
  <c r="AP51" i="7"/>
  <c r="AP50" i="7"/>
  <c r="AP49" i="7"/>
  <c r="AP48" i="7"/>
  <c r="AP47" i="7"/>
  <c r="AP46" i="7"/>
  <c r="AP45" i="7"/>
  <c r="AP44" i="7"/>
  <c r="AP43" i="7"/>
  <c r="AP42" i="7"/>
  <c r="AP41" i="7"/>
  <c r="AP40" i="7"/>
  <c r="AP39" i="7"/>
  <c r="AP38" i="7"/>
  <c r="AP37" i="7"/>
  <c r="AP36" i="7"/>
  <c r="AP35" i="7"/>
  <c r="AP34" i="7"/>
  <c r="AP33" i="7"/>
  <c r="AP32" i="7"/>
  <c r="AP31" i="7"/>
  <c r="AP30" i="7"/>
  <c r="AP28" i="7"/>
  <c r="AP27" i="7"/>
  <c r="AP26" i="7"/>
  <c r="AP25" i="7"/>
  <c r="AA60" i="6"/>
  <c r="AA58" i="24" s="1"/>
  <c r="AA62" i="24" s="1"/>
  <c r="Z60" i="6"/>
  <c r="Z58" i="24" s="1"/>
  <c r="Z62" i="24" s="1"/>
  <c r="AK62" i="6"/>
  <c r="AK61" i="6"/>
  <c r="AK60" i="6"/>
  <c r="AK58" i="24" s="1"/>
  <c r="AK62" i="24" s="1"/>
  <c r="AF62" i="6"/>
  <c r="AF61" i="6"/>
  <c r="AF60" i="6"/>
  <c r="AF58" i="24" s="1"/>
  <c r="AE62" i="6"/>
  <c r="AE60" i="6"/>
  <c r="AE58" i="24" s="1"/>
  <c r="AC62" i="6"/>
  <c r="AC61" i="6"/>
  <c r="AC60" i="6"/>
  <c r="AC58" i="24" s="1"/>
  <c r="AC62" i="24" s="1"/>
  <c r="AA61" i="6"/>
  <c r="Z61" i="6"/>
  <c r="Y62" i="6"/>
  <c r="Y61" i="6"/>
  <c r="X62" i="6"/>
  <c r="X61" i="6"/>
  <c r="X60" i="6"/>
  <c r="X58" i="24" s="1"/>
  <c r="X62" i="24" s="1"/>
  <c r="W62" i="6"/>
  <c r="W61" i="6"/>
  <c r="V61" i="6"/>
  <c r="U61" i="6"/>
  <c r="U60" i="6"/>
  <c r="U58" i="24" s="1"/>
  <c r="U62" i="24" s="1"/>
  <c r="S62" i="6"/>
  <c r="S61" i="6"/>
  <c r="S60" i="6"/>
  <c r="S58" i="24" s="1"/>
  <c r="R62" i="6"/>
  <c r="R61" i="6"/>
  <c r="R60" i="6"/>
  <c r="R58" i="24" s="1"/>
  <c r="R62" i="24" s="1"/>
  <c r="Q62" i="6"/>
  <c r="Q61" i="6"/>
  <c r="Q60" i="6"/>
  <c r="Q58" i="24" s="1"/>
  <c r="Q62" i="24" s="1"/>
  <c r="P62" i="6"/>
  <c r="P61" i="6"/>
  <c r="P60" i="6"/>
  <c r="P58" i="24" s="1"/>
  <c r="P62" i="24" s="1"/>
  <c r="O62" i="6"/>
  <c r="O61" i="6"/>
  <c r="O60" i="6"/>
  <c r="O58" i="24" s="1"/>
  <c r="O62" i="24" s="1"/>
  <c r="M62" i="6"/>
  <c r="M61" i="6"/>
  <c r="M60" i="6"/>
  <c r="M58" i="24" s="1"/>
  <c r="M62" i="24" s="1"/>
  <c r="L62" i="6"/>
  <c r="L61" i="6"/>
  <c r="L60" i="6"/>
  <c r="L58" i="24" s="1"/>
  <c r="L62" i="24" s="1"/>
  <c r="AK20" i="6"/>
  <c r="AK19" i="6"/>
  <c r="AK14" i="6"/>
  <c r="AK13" i="6"/>
  <c r="AK10" i="6"/>
  <c r="AK9" i="6"/>
  <c r="AK6" i="6"/>
  <c r="AK5" i="6"/>
  <c r="AI55" i="6"/>
  <c r="AI54" i="6"/>
  <c r="AI53" i="6"/>
  <c r="AI52" i="6"/>
  <c r="AI51" i="6"/>
  <c r="AI50" i="6"/>
  <c r="AI49" i="6"/>
  <c r="AI48" i="6"/>
  <c r="AI47" i="6"/>
  <c r="AI46" i="6"/>
  <c r="AI45" i="6"/>
  <c r="AI44" i="6"/>
  <c r="AI43" i="6"/>
  <c r="AI42" i="6"/>
  <c r="AI41" i="6"/>
  <c r="AI40" i="6"/>
  <c r="AI39" i="6"/>
  <c r="AI38" i="6"/>
  <c r="AI37" i="6"/>
  <c r="AI36" i="6"/>
  <c r="AI35" i="6"/>
  <c r="AI34" i="6"/>
  <c r="AI33" i="6"/>
  <c r="AI32" i="6"/>
  <c r="AI31" i="6"/>
  <c r="AI30" i="6"/>
  <c r="AI28" i="6"/>
  <c r="AI27" i="6"/>
  <c r="AI26" i="6"/>
  <c r="AI25" i="6"/>
  <c r="AH55" i="6"/>
  <c r="AH54" i="6"/>
  <c r="AH53" i="6"/>
  <c r="AH52" i="6"/>
  <c r="AH51" i="6"/>
  <c r="AH50" i="6"/>
  <c r="AH49" i="6"/>
  <c r="AH48" i="6"/>
  <c r="AH47" i="6"/>
  <c r="AH46" i="6"/>
  <c r="AH45" i="6"/>
  <c r="AH44" i="6"/>
  <c r="AH43" i="6"/>
  <c r="AH42" i="6"/>
  <c r="AH41" i="6"/>
  <c r="AH40" i="6"/>
  <c r="AH39" i="6"/>
  <c r="AH38" i="6"/>
  <c r="AH37" i="6"/>
  <c r="AH36" i="6"/>
  <c r="AH35" i="6"/>
  <c r="AH34" i="6"/>
  <c r="AH33" i="6"/>
  <c r="AH32" i="6"/>
  <c r="AH31" i="6"/>
  <c r="AH30" i="6"/>
  <c r="AH28" i="6"/>
  <c r="AH27" i="6"/>
  <c r="AH26" i="6"/>
  <c r="AH25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8" i="6"/>
  <c r="S27" i="6"/>
  <c r="S26" i="6"/>
  <c r="S25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4" i="6"/>
  <c r="Q29" i="6"/>
  <c r="Q24" i="6"/>
  <c r="Q23" i="6"/>
  <c r="Q22" i="6"/>
  <c r="Q21" i="6"/>
  <c r="Q16" i="6"/>
  <c r="Q15" i="6"/>
  <c r="Q11" i="6"/>
  <c r="Q7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30" i="6"/>
  <c r="O28" i="6"/>
  <c r="O27" i="6"/>
  <c r="O26" i="6"/>
  <c r="O25" i="6"/>
  <c r="N20" i="6"/>
  <c r="N19" i="6"/>
  <c r="N13" i="6"/>
  <c r="AP55" i="6"/>
  <c r="AP54" i="6"/>
  <c r="AP53" i="6"/>
  <c r="AP52" i="6"/>
  <c r="AP51" i="6"/>
  <c r="AP50" i="6"/>
  <c r="AP49" i="6"/>
  <c r="AP48" i="6"/>
  <c r="AP47" i="6"/>
  <c r="AP46" i="6"/>
  <c r="AP45" i="6"/>
  <c r="AP44" i="6"/>
  <c r="AP43" i="6"/>
  <c r="AP42" i="6"/>
  <c r="AP41" i="6"/>
  <c r="AP40" i="6"/>
  <c r="AP39" i="6"/>
  <c r="AP38" i="6"/>
  <c r="AP37" i="6"/>
  <c r="AP36" i="6"/>
  <c r="AP35" i="6"/>
  <c r="AP34" i="6"/>
  <c r="AP33" i="6"/>
  <c r="AP32" i="6"/>
  <c r="AP31" i="6"/>
  <c r="AP30" i="6"/>
  <c r="AP28" i="6"/>
  <c r="AP27" i="6"/>
  <c r="AP26" i="6"/>
  <c r="AP25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29" i="6"/>
  <c r="L24" i="6"/>
  <c r="L23" i="6"/>
  <c r="L22" i="6"/>
  <c r="L21" i="6"/>
  <c r="L16" i="6"/>
  <c r="L15" i="6"/>
  <c r="L11" i="6"/>
  <c r="L7" i="6"/>
  <c r="P11" i="5"/>
  <c r="R11" i="5" s="1"/>
  <c r="P10" i="5"/>
  <c r="R10" i="5" s="1"/>
  <c r="P9" i="5"/>
  <c r="R9" i="5" s="1"/>
  <c r="F44" i="5"/>
  <c r="E44" i="5"/>
  <c r="Z47" i="25" s="1"/>
  <c r="D44" i="5"/>
  <c r="Z46" i="25" s="1"/>
  <c r="Z50" i="25" s="1"/>
  <c r="F26" i="5"/>
  <c r="E26" i="5"/>
  <c r="AJ59" i="24" s="1"/>
  <c r="D26" i="5"/>
  <c r="AJ60" i="6" s="1"/>
  <c r="AJ58" i="24" s="1"/>
  <c r="F25" i="5"/>
  <c r="AI60" i="24" s="1"/>
  <c r="E25" i="5"/>
  <c r="D25" i="5"/>
  <c r="AI60" i="6" s="1"/>
  <c r="AI58" i="24" s="1"/>
  <c r="AI62" i="24" s="1"/>
  <c r="F24" i="5"/>
  <c r="E24" i="5"/>
  <c r="D24" i="5"/>
  <c r="AH60" i="6" s="1"/>
  <c r="AH58" i="24" s="1"/>
  <c r="D13" i="5"/>
  <c r="W60" i="6" s="1"/>
  <c r="W58" i="24" s="1"/>
  <c r="W62" i="24" s="1"/>
  <c r="F39" i="5"/>
  <c r="U48" i="25" s="1"/>
  <c r="F17" i="5"/>
  <c r="AA60" i="24" s="1"/>
  <c r="F16" i="5"/>
  <c r="F12" i="5"/>
  <c r="F11" i="5"/>
  <c r="M15" i="5"/>
  <c r="M7" i="5"/>
  <c r="D36" i="5" s="1"/>
  <c r="R46" i="25" s="1"/>
  <c r="E45" i="5"/>
  <c r="AA47" i="25" s="1"/>
  <c r="D45" i="5"/>
  <c r="AA46" i="25" s="1"/>
  <c r="F43" i="5"/>
  <c r="Y48" i="25" s="1"/>
  <c r="D43" i="5"/>
  <c r="Y46" i="25" s="1"/>
  <c r="E41" i="5"/>
  <c r="W47" i="25" s="1"/>
  <c r="D41" i="5"/>
  <c r="W46" i="25" s="1"/>
  <c r="F23" i="5"/>
  <c r="AG60" i="24" s="1"/>
  <c r="D23" i="5"/>
  <c r="AG60" i="6" s="1"/>
  <c r="AG58" i="24" s="1"/>
  <c r="F20" i="5"/>
  <c r="E20" i="5"/>
  <c r="AD59" i="24" s="1"/>
  <c r="D20" i="5"/>
  <c r="AD60" i="6" s="1"/>
  <c r="AD58" i="24" s="1"/>
  <c r="E18" i="5"/>
  <c r="T40" i="4"/>
  <c r="S40" i="4"/>
  <c r="R40" i="4"/>
  <c r="Q40" i="4"/>
  <c r="P40" i="4"/>
  <c r="O40" i="4"/>
  <c r="N40" i="4"/>
  <c r="M40" i="4"/>
  <c r="L40" i="4"/>
  <c r="K40" i="4"/>
  <c r="J40" i="4"/>
  <c r="I40" i="4"/>
  <c r="U40" i="4" s="1"/>
  <c r="T39" i="4"/>
  <c r="S39" i="4"/>
  <c r="R39" i="4"/>
  <c r="Q39" i="4"/>
  <c r="P39" i="4"/>
  <c r="O39" i="4"/>
  <c r="N39" i="4"/>
  <c r="M39" i="4"/>
  <c r="L39" i="4"/>
  <c r="K39" i="4"/>
  <c r="J39" i="4"/>
  <c r="I39" i="4"/>
  <c r="U39" i="4" s="1"/>
  <c r="T38" i="4"/>
  <c r="S38" i="4"/>
  <c r="R38" i="4"/>
  <c r="Q38" i="4"/>
  <c r="P38" i="4"/>
  <c r="O38" i="4"/>
  <c r="N38" i="4"/>
  <c r="M38" i="4"/>
  <c r="L38" i="4"/>
  <c r="K38" i="4"/>
  <c r="J38" i="4"/>
  <c r="I38" i="4"/>
  <c r="U38" i="4" s="1"/>
  <c r="T37" i="4"/>
  <c r="S37" i="4"/>
  <c r="R37" i="4"/>
  <c r="Q37" i="4"/>
  <c r="P37" i="4"/>
  <c r="O37" i="4"/>
  <c r="N37" i="4"/>
  <c r="M37" i="4"/>
  <c r="U37" i="4" s="1"/>
  <c r="L37" i="4"/>
  <c r="K37" i="4"/>
  <c r="J37" i="4"/>
  <c r="I37" i="4"/>
  <c r="T36" i="4"/>
  <c r="S36" i="4"/>
  <c r="R36" i="4"/>
  <c r="Q36" i="4"/>
  <c r="P36" i="4"/>
  <c r="O36" i="4"/>
  <c r="N36" i="4"/>
  <c r="M36" i="4"/>
  <c r="U36" i="4" s="1"/>
  <c r="L36" i="4"/>
  <c r="K36" i="4"/>
  <c r="J36" i="4"/>
  <c r="I36" i="4"/>
  <c r="T35" i="4"/>
  <c r="S35" i="4"/>
  <c r="R35" i="4"/>
  <c r="Q35" i="4"/>
  <c r="P35" i="4"/>
  <c r="O35" i="4"/>
  <c r="N35" i="4"/>
  <c r="M35" i="4"/>
  <c r="L35" i="4"/>
  <c r="K35" i="4"/>
  <c r="J35" i="4"/>
  <c r="I35" i="4"/>
  <c r="U35" i="4" s="1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L31" i="4"/>
  <c r="K31" i="4"/>
  <c r="J31" i="4"/>
  <c r="I31" i="4"/>
  <c r="U31" i="4" s="1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U29" i="4" s="1"/>
  <c r="L29" i="4"/>
  <c r="K29" i="4"/>
  <c r="J29" i="4"/>
  <c r="I29" i="4"/>
  <c r="T28" i="4"/>
  <c r="S28" i="4"/>
  <c r="R28" i="4"/>
  <c r="Q28" i="4"/>
  <c r="P28" i="4"/>
  <c r="O28" i="4"/>
  <c r="N28" i="4"/>
  <c r="M28" i="4"/>
  <c r="U28" i="4" s="1"/>
  <c r="L28" i="4"/>
  <c r="K28" i="4"/>
  <c r="J28" i="4"/>
  <c r="I28" i="4"/>
  <c r="T27" i="4"/>
  <c r="S27" i="4"/>
  <c r="R27" i="4"/>
  <c r="Q27" i="4"/>
  <c r="P27" i="4"/>
  <c r="O27" i="4"/>
  <c r="N27" i="4"/>
  <c r="M27" i="4"/>
  <c r="L27" i="4"/>
  <c r="K27" i="4"/>
  <c r="J27" i="4"/>
  <c r="I27" i="4"/>
  <c r="U27" i="4" s="1"/>
  <c r="T26" i="4"/>
  <c r="S26" i="4"/>
  <c r="R26" i="4"/>
  <c r="Q26" i="4"/>
  <c r="P26" i="4"/>
  <c r="O26" i="4"/>
  <c r="N26" i="4"/>
  <c r="M26" i="4"/>
  <c r="L26" i="4"/>
  <c r="K26" i="4"/>
  <c r="J26" i="4"/>
  <c r="I26" i="4"/>
  <c r="U26" i="4" s="1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L23" i="4"/>
  <c r="K23" i="4"/>
  <c r="J23" i="4"/>
  <c r="I23" i="4"/>
  <c r="U23" i="4" s="1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U21" i="4" s="1"/>
  <c r="L21" i="4"/>
  <c r="K21" i="4"/>
  <c r="J21" i="4"/>
  <c r="I21" i="4"/>
  <c r="T20" i="4"/>
  <c r="S20" i="4"/>
  <c r="R20" i="4"/>
  <c r="Q20" i="4"/>
  <c r="P20" i="4"/>
  <c r="O20" i="4"/>
  <c r="N20" i="4"/>
  <c r="M20" i="4"/>
  <c r="U20" i="4" s="1"/>
  <c r="L20" i="4"/>
  <c r="K20" i="4"/>
  <c r="J20" i="4"/>
  <c r="I20" i="4"/>
  <c r="T19" i="4"/>
  <c r="S19" i="4"/>
  <c r="R19" i="4"/>
  <c r="Q19" i="4"/>
  <c r="P19" i="4"/>
  <c r="O19" i="4"/>
  <c r="N19" i="4"/>
  <c r="M19" i="4"/>
  <c r="L19" i="4"/>
  <c r="K19" i="4"/>
  <c r="J19" i="4"/>
  <c r="I19" i="4"/>
  <c r="U19" i="4" s="1"/>
  <c r="T18" i="4"/>
  <c r="S18" i="4"/>
  <c r="R18" i="4"/>
  <c r="Q18" i="4"/>
  <c r="P18" i="4"/>
  <c r="O18" i="4"/>
  <c r="N18" i="4"/>
  <c r="M18" i="4"/>
  <c r="L18" i="4"/>
  <c r="K18" i="4"/>
  <c r="J18" i="4"/>
  <c r="I18" i="4"/>
  <c r="U18" i="4" s="1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T15" i="4"/>
  <c r="S15" i="4"/>
  <c r="R15" i="4"/>
  <c r="Q15" i="4"/>
  <c r="P15" i="4"/>
  <c r="O15" i="4"/>
  <c r="N15" i="4"/>
  <c r="M15" i="4"/>
  <c r="L15" i="4"/>
  <c r="K15" i="4"/>
  <c r="J15" i="4"/>
  <c r="I15" i="4"/>
  <c r="U15" i="4" s="1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U13" i="4" s="1"/>
  <c r="L13" i="4"/>
  <c r="K13" i="4"/>
  <c r="J13" i="4"/>
  <c r="I13" i="4"/>
  <c r="T12" i="4"/>
  <c r="S12" i="4"/>
  <c r="R12" i="4"/>
  <c r="Q12" i="4"/>
  <c r="P12" i="4"/>
  <c r="O12" i="4"/>
  <c r="N12" i="4"/>
  <c r="M12" i="4"/>
  <c r="U12" i="4" s="1"/>
  <c r="L12" i="4"/>
  <c r="K12" i="4"/>
  <c r="J12" i="4"/>
  <c r="I12" i="4"/>
  <c r="T11" i="4"/>
  <c r="S11" i="4"/>
  <c r="R11" i="4"/>
  <c r="Q11" i="4"/>
  <c r="P11" i="4"/>
  <c r="O11" i="4"/>
  <c r="N11" i="4"/>
  <c r="M11" i="4"/>
  <c r="L11" i="4"/>
  <c r="K11" i="4"/>
  <c r="J11" i="4"/>
  <c r="I11" i="4"/>
  <c r="U11" i="4" s="1"/>
  <c r="T10" i="4"/>
  <c r="S10" i="4"/>
  <c r="R10" i="4"/>
  <c r="Q10" i="4"/>
  <c r="P10" i="4"/>
  <c r="O10" i="4"/>
  <c r="N10" i="4"/>
  <c r="M10" i="4"/>
  <c r="L10" i="4"/>
  <c r="K10" i="4"/>
  <c r="J10" i="4"/>
  <c r="I10" i="4"/>
  <c r="U10" i="4" s="1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L7" i="4"/>
  <c r="K7" i="4"/>
  <c r="J7" i="4"/>
  <c r="I7" i="4"/>
  <c r="U7" i="4" s="1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U5" i="4" s="1"/>
  <c r="L5" i="4"/>
  <c r="K5" i="4"/>
  <c r="J5" i="4"/>
  <c r="I5" i="4"/>
  <c r="T4" i="4"/>
  <c r="S4" i="4"/>
  <c r="R4" i="4"/>
  <c r="Q4" i="4"/>
  <c r="P4" i="4"/>
  <c r="O4" i="4"/>
  <c r="N4" i="4"/>
  <c r="M4" i="4"/>
  <c r="U4" i="4" s="1"/>
  <c r="L4" i="4"/>
  <c r="K4" i="4"/>
  <c r="J4" i="4"/>
  <c r="I4" i="4"/>
  <c r="T3" i="4"/>
  <c r="S3" i="4"/>
  <c r="R3" i="4"/>
  <c r="Q3" i="4"/>
  <c r="P3" i="4"/>
  <c r="O3" i="4"/>
  <c r="N3" i="4"/>
  <c r="M3" i="4"/>
  <c r="L3" i="4"/>
  <c r="K3" i="4"/>
  <c r="J3" i="4"/>
  <c r="I3" i="4"/>
  <c r="U3" i="4" s="1"/>
  <c r="T2" i="4"/>
  <c r="S2" i="4"/>
  <c r="R2" i="4"/>
  <c r="Q2" i="4"/>
  <c r="P2" i="4"/>
  <c r="O2" i="4"/>
  <c r="N2" i="4"/>
  <c r="M2" i="4"/>
  <c r="L2" i="4"/>
  <c r="K2" i="4"/>
  <c r="J2" i="4"/>
  <c r="I2" i="4"/>
  <c r="U2" i="4" s="1"/>
  <c r="T52" i="3"/>
  <c r="S52" i="3"/>
  <c r="R52" i="3"/>
  <c r="Q52" i="3"/>
  <c r="P52" i="3"/>
  <c r="O52" i="3"/>
  <c r="N52" i="3"/>
  <c r="M52" i="3"/>
  <c r="L52" i="3"/>
  <c r="K52" i="3"/>
  <c r="J52" i="3"/>
  <c r="I52" i="3"/>
  <c r="U52" i="3" s="1"/>
  <c r="T51" i="3"/>
  <c r="S51" i="3"/>
  <c r="R51" i="3"/>
  <c r="Q51" i="3"/>
  <c r="P51" i="3"/>
  <c r="O51" i="3"/>
  <c r="N51" i="3"/>
  <c r="M51" i="3"/>
  <c r="L51" i="3"/>
  <c r="K51" i="3"/>
  <c r="J51" i="3"/>
  <c r="I51" i="3"/>
  <c r="U51" i="3" s="1"/>
  <c r="T50" i="3"/>
  <c r="S50" i="3"/>
  <c r="R50" i="3"/>
  <c r="Q50" i="3"/>
  <c r="P50" i="3"/>
  <c r="O50" i="3"/>
  <c r="N50" i="3"/>
  <c r="M50" i="3"/>
  <c r="L50" i="3"/>
  <c r="K50" i="3"/>
  <c r="J50" i="3"/>
  <c r="I50" i="3"/>
  <c r="U50" i="3" s="1"/>
  <c r="T49" i="3"/>
  <c r="S49" i="3"/>
  <c r="R49" i="3"/>
  <c r="Q49" i="3"/>
  <c r="P49" i="3"/>
  <c r="O49" i="3"/>
  <c r="N49" i="3"/>
  <c r="M49" i="3"/>
  <c r="L49" i="3"/>
  <c r="K49" i="3"/>
  <c r="J49" i="3"/>
  <c r="I49" i="3"/>
  <c r="U49" i="3" s="1"/>
  <c r="T48" i="3"/>
  <c r="S48" i="3"/>
  <c r="R48" i="3"/>
  <c r="Q48" i="3"/>
  <c r="P48" i="3"/>
  <c r="O48" i="3"/>
  <c r="N48" i="3"/>
  <c r="M48" i="3"/>
  <c r="L48" i="3"/>
  <c r="K48" i="3"/>
  <c r="U48" i="3" s="1"/>
  <c r="J48" i="3"/>
  <c r="I48" i="3"/>
  <c r="T47" i="3"/>
  <c r="S47" i="3"/>
  <c r="R47" i="3"/>
  <c r="Q47" i="3"/>
  <c r="P47" i="3"/>
  <c r="O47" i="3"/>
  <c r="N47" i="3"/>
  <c r="M47" i="3"/>
  <c r="U47" i="3" s="1"/>
  <c r="L47" i="3"/>
  <c r="K47" i="3"/>
  <c r="J47" i="3"/>
  <c r="I47" i="3"/>
  <c r="T46" i="3"/>
  <c r="S46" i="3"/>
  <c r="R46" i="3"/>
  <c r="Q46" i="3"/>
  <c r="P46" i="3"/>
  <c r="O46" i="3"/>
  <c r="N46" i="3"/>
  <c r="M46" i="3"/>
  <c r="L46" i="3"/>
  <c r="K46" i="3"/>
  <c r="J46" i="3"/>
  <c r="U46" i="3" s="1"/>
  <c r="I46" i="3"/>
  <c r="T45" i="3"/>
  <c r="S45" i="3"/>
  <c r="R45" i="3"/>
  <c r="Q45" i="3"/>
  <c r="P45" i="3"/>
  <c r="O45" i="3"/>
  <c r="N45" i="3"/>
  <c r="M45" i="3"/>
  <c r="L45" i="3"/>
  <c r="K45" i="3"/>
  <c r="J45" i="3"/>
  <c r="I45" i="3"/>
  <c r="U45" i="3" s="1"/>
  <c r="T44" i="3"/>
  <c r="S44" i="3"/>
  <c r="R44" i="3"/>
  <c r="Q44" i="3"/>
  <c r="P44" i="3"/>
  <c r="O44" i="3"/>
  <c r="N44" i="3"/>
  <c r="M44" i="3"/>
  <c r="L44" i="3"/>
  <c r="K44" i="3"/>
  <c r="J44" i="3"/>
  <c r="I44" i="3"/>
  <c r="U44" i="3" s="1"/>
  <c r="T43" i="3"/>
  <c r="S43" i="3"/>
  <c r="R43" i="3"/>
  <c r="Q43" i="3"/>
  <c r="P43" i="3"/>
  <c r="O43" i="3"/>
  <c r="N43" i="3"/>
  <c r="M43" i="3"/>
  <c r="L43" i="3"/>
  <c r="K43" i="3"/>
  <c r="J43" i="3"/>
  <c r="I43" i="3"/>
  <c r="U43" i="3" s="1"/>
  <c r="T42" i="3"/>
  <c r="S42" i="3"/>
  <c r="R42" i="3"/>
  <c r="Q42" i="3"/>
  <c r="P42" i="3"/>
  <c r="O42" i="3"/>
  <c r="N42" i="3"/>
  <c r="M42" i="3"/>
  <c r="L42" i="3"/>
  <c r="K42" i="3"/>
  <c r="J42" i="3"/>
  <c r="I42" i="3"/>
  <c r="U42" i="3" s="1"/>
  <c r="T41" i="3"/>
  <c r="S41" i="3"/>
  <c r="R41" i="3"/>
  <c r="Q41" i="3"/>
  <c r="P41" i="3"/>
  <c r="O41" i="3"/>
  <c r="N41" i="3"/>
  <c r="M41" i="3"/>
  <c r="L41" i="3"/>
  <c r="K41" i="3"/>
  <c r="J41" i="3"/>
  <c r="I41" i="3"/>
  <c r="U41" i="3" s="1"/>
  <c r="T40" i="3"/>
  <c r="S40" i="3"/>
  <c r="R40" i="3"/>
  <c r="Q40" i="3"/>
  <c r="P40" i="3"/>
  <c r="O40" i="3"/>
  <c r="N40" i="3"/>
  <c r="M40" i="3"/>
  <c r="L40" i="3"/>
  <c r="K40" i="3"/>
  <c r="U40" i="3" s="1"/>
  <c r="J40" i="3"/>
  <c r="I40" i="3"/>
  <c r="T39" i="3"/>
  <c r="S39" i="3"/>
  <c r="R39" i="3"/>
  <c r="Q39" i="3"/>
  <c r="P39" i="3"/>
  <c r="O39" i="3"/>
  <c r="N39" i="3"/>
  <c r="M39" i="3"/>
  <c r="U39" i="3" s="1"/>
  <c r="L39" i="3"/>
  <c r="K39" i="3"/>
  <c r="J39" i="3"/>
  <c r="I39" i="3"/>
  <c r="T38" i="3"/>
  <c r="S38" i="3"/>
  <c r="R38" i="3"/>
  <c r="Q38" i="3"/>
  <c r="P38" i="3"/>
  <c r="O38" i="3"/>
  <c r="N38" i="3"/>
  <c r="M38" i="3"/>
  <c r="L38" i="3"/>
  <c r="K38" i="3"/>
  <c r="J38" i="3"/>
  <c r="U38" i="3" s="1"/>
  <c r="I38" i="3"/>
  <c r="T37" i="3"/>
  <c r="S37" i="3"/>
  <c r="R37" i="3"/>
  <c r="Q37" i="3"/>
  <c r="P37" i="3"/>
  <c r="O37" i="3"/>
  <c r="N37" i="3"/>
  <c r="M37" i="3"/>
  <c r="L37" i="3"/>
  <c r="K37" i="3"/>
  <c r="J37" i="3"/>
  <c r="U37" i="3" s="1"/>
  <c r="I37" i="3"/>
  <c r="T36" i="3"/>
  <c r="S36" i="3"/>
  <c r="R36" i="3"/>
  <c r="Q36" i="3"/>
  <c r="P36" i="3"/>
  <c r="O36" i="3"/>
  <c r="N36" i="3"/>
  <c r="M36" i="3"/>
  <c r="L36" i="3"/>
  <c r="K36" i="3"/>
  <c r="J36" i="3"/>
  <c r="I36" i="3"/>
  <c r="U36" i="3" s="1"/>
  <c r="T35" i="3"/>
  <c r="S35" i="3"/>
  <c r="R35" i="3"/>
  <c r="Q35" i="3"/>
  <c r="P35" i="3"/>
  <c r="O35" i="3"/>
  <c r="N35" i="3"/>
  <c r="M35" i="3"/>
  <c r="L35" i="3"/>
  <c r="K35" i="3"/>
  <c r="J35" i="3"/>
  <c r="I35" i="3"/>
  <c r="U35" i="3" s="1"/>
  <c r="T34" i="3"/>
  <c r="S34" i="3"/>
  <c r="R34" i="3"/>
  <c r="Q34" i="3"/>
  <c r="P34" i="3"/>
  <c r="O34" i="3"/>
  <c r="N34" i="3"/>
  <c r="M34" i="3"/>
  <c r="L34" i="3"/>
  <c r="K34" i="3"/>
  <c r="J34" i="3"/>
  <c r="I34" i="3"/>
  <c r="U34" i="3" s="1"/>
  <c r="T33" i="3"/>
  <c r="S33" i="3"/>
  <c r="R33" i="3"/>
  <c r="Q33" i="3"/>
  <c r="P33" i="3"/>
  <c r="O33" i="3"/>
  <c r="N33" i="3"/>
  <c r="M33" i="3"/>
  <c r="L33" i="3"/>
  <c r="K33" i="3"/>
  <c r="J33" i="3"/>
  <c r="I33" i="3"/>
  <c r="U33" i="3" s="1"/>
  <c r="T32" i="3"/>
  <c r="S32" i="3"/>
  <c r="R32" i="3"/>
  <c r="Q32" i="3"/>
  <c r="P32" i="3"/>
  <c r="O32" i="3"/>
  <c r="N32" i="3"/>
  <c r="M32" i="3"/>
  <c r="L32" i="3"/>
  <c r="K32" i="3"/>
  <c r="U32" i="3" s="1"/>
  <c r="J32" i="3"/>
  <c r="I32" i="3"/>
  <c r="T31" i="3"/>
  <c r="S31" i="3"/>
  <c r="R31" i="3"/>
  <c r="Q31" i="3"/>
  <c r="P31" i="3"/>
  <c r="O31" i="3"/>
  <c r="N31" i="3"/>
  <c r="M31" i="3"/>
  <c r="U31" i="3" s="1"/>
  <c r="L31" i="3"/>
  <c r="K31" i="3"/>
  <c r="J31" i="3"/>
  <c r="I31" i="3"/>
  <c r="T30" i="3"/>
  <c r="S30" i="3"/>
  <c r="R30" i="3"/>
  <c r="Q30" i="3"/>
  <c r="P30" i="3"/>
  <c r="O30" i="3"/>
  <c r="N30" i="3"/>
  <c r="M30" i="3"/>
  <c r="L30" i="3"/>
  <c r="K30" i="3"/>
  <c r="J30" i="3"/>
  <c r="U30" i="3" s="1"/>
  <c r="I30" i="3"/>
  <c r="T29" i="3"/>
  <c r="S29" i="3"/>
  <c r="R29" i="3"/>
  <c r="Q29" i="3"/>
  <c r="P29" i="3"/>
  <c r="O29" i="3"/>
  <c r="N29" i="3"/>
  <c r="M29" i="3"/>
  <c r="L29" i="3"/>
  <c r="K29" i="3"/>
  <c r="J29" i="3"/>
  <c r="I29" i="3"/>
  <c r="U29" i="3" s="1"/>
  <c r="T28" i="3"/>
  <c r="S28" i="3"/>
  <c r="R28" i="3"/>
  <c r="Q28" i="3"/>
  <c r="P28" i="3"/>
  <c r="O28" i="3"/>
  <c r="N28" i="3"/>
  <c r="M28" i="3"/>
  <c r="L28" i="3"/>
  <c r="K28" i="3"/>
  <c r="J28" i="3"/>
  <c r="I28" i="3"/>
  <c r="U28" i="3" s="1"/>
  <c r="T27" i="3"/>
  <c r="S27" i="3"/>
  <c r="R27" i="3"/>
  <c r="Q27" i="3"/>
  <c r="P27" i="3"/>
  <c r="O27" i="3"/>
  <c r="N27" i="3"/>
  <c r="M27" i="3"/>
  <c r="L27" i="3"/>
  <c r="K27" i="3"/>
  <c r="J27" i="3"/>
  <c r="I27" i="3"/>
  <c r="U27" i="3" s="1"/>
  <c r="T26" i="3"/>
  <c r="S26" i="3"/>
  <c r="R26" i="3"/>
  <c r="Q26" i="3"/>
  <c r="P26" i="3"/>
  <c r="O26" i="3"/>
  <c r="N26" i="3"/>
  <c r="M26" i="3"/>
  <c r="L26" i="3"/>
  <c r="K26" i="3"/>
  <c r="J26" i="3"/>
  <c r="I26" i="3"/>
  <c r="U26" i="3" s="1"/>
  <c r="T25" i="3"/>
  <c r="S25" i="3"/>
  <c r="R25" i="3"/>
  <c r="Q25" i="3"/>
  <c r="P25" i="3"/>
  <c r="O25" i="3"/>
  <c r="N25" i="3"/>
  <c r="M25" i="3"/>
  <c r="L25" i="3"/>
  <c r="K25" i="3"/>
  <c r="J25" i="3"/>
  <c r="I25" i="3"/>
  <c r="U25" i="3" s="1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S23" i="3"/>
  <c r="R23" i="3"/>
  <c r="Q23" i="3"/>
  <c r="P23" i="3"/>
  <c r="O23" i="3"/>
  <c r="N23" i="3"/>
  <c r="M23" i="3"/>
  <c r="U23" i="3" s="1"/>
  <c r="L23" i="3"/>
  <c r="K23" i="3"/>
  <c r="J23" i="3"/>
  <c r="I23" i="3"/>
  <c r="T22" i="3"/>
  <c r="S22" i="3"/>
  <c r="R22" i="3"/>
  <c r="Q22" i="3"/>
  <c r="P22" i="3"/>
  <c r="O22" i="3"/>
  <c r="N22" i="3"/>
  <c r="M22" i="3"/>
  <c r="L22" i="3"/>
  <c r="K22" i="3"/>
  <c r="J22" i="3"/>
  <c r="U22" i="3" s="1"/>
  <c r="I22" i="3"/>
  <c r="T21" i="3"/>
  <c r="S21" i="3"/>
  <c r="R21" i="3"/>
  <c r="Q21" i="3"/>
  <c r="P21" i="3"/>
  <c r="O21" i="3"/>
  <c r="N21" i="3"/>
  <c r="M21" i="3"/>
  <c r="L21" i="3"/>
  <c r="K21" i="3"/>
  <c r="J21" i="3"/>
  <c r="I21" i="3"/>
  <c r="U21" i="3" s="1"/>
  <c r="T20" i="3"/>
  <c r="S20" i="3"/>
  <c r="R20" i="3"/>
  <c r="Q20" i="3"/>
  <c r="P20" i="3"/>
  <c r="O20" i="3"/>
  <c r="N20" i="3"/>
  <c r="M20" i="3"/>
  <c r="L20" i="3"/>
  <c r="K20" i="3"/>
  <c r="J20" i="3"/>
  <c r="I20" i="3"/>
  <c r="U20" i="3" s="1"/>
  <c r="T19" i="3"/>
  <c r="S19" i="3"/>
  <c r="R19" i="3"/>
  <c r="Q19" i="3"/>
  <c r="P19" i="3"/>
  <c r="O19" i="3"/>
  <c r="N19" i="3"/>
  <c r="M19" i="3"/>
  <c r="L19" i="3"/>
  <c r="K19" i="3"/>
  <c r="J19" i="3"/>
  <c r="I19" i="3"/>
  <c r="U19" i="3" s="1"/>
  <c r="T18" i="3"/>
  <c r="S18" i="3"/>
  <c r="R18" i="3"/>
  <c r="Q18" i="3"/>
  <c r="P18" i="3"/>
  <c r="O18" i="3"/>
  <c r="N18" i="3"/>
  <c r="M18" i="3"/>
  <c r="L18" i="3"/>
  <c r="K18" i="3"/>
  <c r="J18" i="3"/>
  <c r="I18" i="3"/>
  <c r="U18" i="3" s="1"/>
  <c r="T17" i="3"/>
  <c r="S17" i="3"/>
  <c r="R17" i="3"/>
  <c r="Q17" i="3"/>
  <c r="P17" i="3"/>
  <c r="O17" i="3"/>
  <c r="N17" i="3"/>
  <c r="M17" i="3"/>
  <c r="L17" i="3"/>
  <c r="K17" i="3"/>
  <c r="J17" i="3"/>
  <c r="I17" i="3"/>
  <c r="U17" i="3" s="1"/>
  <c r="T16" i="3"/>
  <c r="S16" i="3"/>
  <c r="R16" i="3"/>
  <c r="Q16" i="3"/>
  <c r="P16" i="3"/>
  <c r="O16" i="3"/>
  <c r="N16" i="3"/>
  <c r="M16" i="3"/>
  <c r="L16" i="3"/>
  <c r="K16" i="3"/>
  <c r="J16" i="3"/>
  <c r="I16" i="3"/>
  <c r="U16" i="3" s="1"/>
  <c r="T15" i="3"/>
  <c r="S15" i="3"/>
  <c r="R15" i="3"/>
  <c r="Q15" i="3"/>
  <c r="P15" i="3"/>
  <c r="O15" i="3"/>
  <c r="N15" i="3"/>
  <c r="M15" i="3"/>
  <c r="U15" i="3" s="1"/>
  <c r="L15" i="3"/>
  <c r="K15" i="3"/>
  <c r="J15" i="3"/>
  <c r="I15" i="3"/>
  <c r="T14" i="3"/>
  <c r="S14" i="3"/>
  <c r="R14" i="3"/>
  <c r="Q14" i="3"/>
  <c r="P14" i="3"/>
  <c r="O14" i="3"/>
  <c r="N14" i="3"/>
  <c r="M14" i="3"/>
  <c r="L14" i="3"/>
  <c r="K14" i="3"/>
  <c r="J14" i="3"/>
  <c r="U14" i="3" s="1"/>
  <c r="I14" i="3"/>
  <c r="T13" i="3"/>
  <c r="S13" i="3"/>
  <c r="R13" i="3"/>
  <c r="Q13" i="3"/>
  <c r="P13" i="3"/>
  <c r="O13" i="3"/>
  <c r="N13" i="3"/>
  <c r="M13" i="3"/>
  <c r="L13" i="3"/>
  <c r="K13" i="3"/>
  <c r="J13" i="3"/>
  <c r="I13" i="3"/>
  <c r="U13" i="3" s="1"/>
  <c r="T12" i="3"/>
  <c r="S12" i="3"/>
  <c r="R12" i="3"/>
  <c r="Q12" i="3"/>
  <c r="P12" i="3"/>
  <c r="O12" i="3"/>
  <c r="N12" i="3"/>
  <c r="M12" i="3"/>
  <c r="L12" i="3"/>
  <c r="K12" i="3"/>
  <c r="J12" i="3"/>
  <c r="I12" i="3"/>
  <c r="U12" i="3" s="1"/>
  <c r="T11" i="3"/>
  <c r="S11" i="3"/>
  <c r="R11" i="3"/>
  <c r="Q11" i="3"/>
  <c r="P11" i="3"/>
  <c r="O11" i="3"/>
  <c r="N11" i="3"/>
  <c r="M11" i="3"/>
  <c r="L11" i="3"/>
  <c r="K11" i="3"/>
  <c r="J11" i="3"/>
  <c r="I11" i="3"/>
  <c r="U11" i="3" s="1"/>
  <c r="T10" i="3"/>
  <c r="S10" i="3"/>
  <c r="R10" i="3"/>
  <c r="Q10" i="3"/>
  <c r="P10" i="3"/>
  <c r="O10" i="3"/>
  <c r="N10" i="3"/>
  <c r="M10" i="3"/>
  <c r="L10" i="3"/>
  <c r="K10" i="3"/>
  <c r="J10" i="3"/>
  <c r="I10" i="3"/>
  <c r="U10" i="3" s="1"/>
  <c r="T9" i="3"/>
  <c r="S9" i="3"/>
  <c r="R9" i="3"/>
  <c r="Q9" i="3"/>
  <c r="P9" i="3"/>
  <c r="O9" i="3"/>
  <c r="N9" i="3"/>
  <c r="M9" i="3"/>
  <c r="L9" i="3"/>
  <c r="K9" i="3"/>
  <c r="J9" i="3"/>
  <c r="I9" i="3"/>
  <c r="U9" i="3" s="1"/>
  <c r="T8" i="3"/>
  <c r="S8" i="3"/>
  <c r="R8" i="3"/>
  <c r="Q8" i="3"/>
  <c r="P8" i="3"/>
  <c r="O8" i="3"/>
  <c r="N8" i="3"/>
  <c r="M8" i="3"/>
  <c r="L8" i="3"/>
  <c r="K8" i="3"/>
  <c r="J8" i="3"/>
  <c r="I8" i="3"/>
  <c r="U8" i="3" s="1"/>
  <c r="T7" i="3"/>
  <c r="S7" i="3"/>
  <c r="R7" i="3"/>
  <c r="Q7" i="3"/>
  <c r="P7" i="3"/>
  <c r="O7" i="3"/>
  <c r="N7" i="3"/>
  <c r="M7" i="3"/>
  <c r="U7" i="3" s="1"/>
  <c r="L7" i="3"/>
  <c r="K7" i="3"/>
  <c r="J7" i="3"/>
  <c r="I7" i="3"/>
  <c r="T6" i="3"/>
  <c r="S6" i="3"/>
  <c r="R6" i="3"/>
  <c r="Q6" i="3"/>
  <c r="P6" i="3"/>
  <c r="O6" i="3"/>
  <c r="N6" i="3"/>
  <c r="M6" i="3"/>
  <c r="L6" i="3"/>
  <c r="K6" i="3"/>
  <c r="J6" i="3"/>
  <c r="U6" i="3" s="1"/>
  <c r="I6" i="3"/>
  <c r="T5" i="3"/>
  <c r="S5" i="3"/>
  <c r="R5" i="3"/>
  <c r="Q5" i="3"/>
  <c r="P5" i="3"/>
  <c r="O5" i="3"/>
  <c r="N5" i="3"/>
  <c r="M5" i="3"/>
  <c r="L5" i="3"/>
  <c r="K5" i="3"/>
  <c r="J5" i="3"/>
  <c r="I5" i="3"/>
  <c r="U5" i="3" s="1"/>
  <c r="T4" i="3"/>
  <c r="S4" i="3"/>
  <c r="R4" i="3"/>
  <c r="Q4" i="3"/>
  <c r="P4" i="3"/>
  <c r="O4" i="3"/>
  <c r="N4" i="3"/>
  <c r="M4" i="3"/>
  <c r="L4" i="3"/>
  <c r="K4" i="3"/>
  <c r="J4" i="3"/>
  <c r="I4" i="3"/>
  <c r="U4" i="3" s="1"/>
  <c r="T3" i="3"/>
  <c r="S3" i="3"/>
  <c r="R3" i="3"/>
  <c r="Q3" i="3"/>
  <c r="P3" i="3"/>
  <c r="O3" i="3"/>
  <c r="N3" i="3"/>
  <c r="M3" i="3"/>
  <c r="L3" i="3"/>
  <c r="K3" i="3"/>
  <c r="J3" i="3"/>
  <c r="I3" i="3"/>
  <c r="U3" i="3" s="1"/>
  <c r="T2" i="3"/>
  <c r="S2" i="3"/>
  <c r="R2" i="3"/>
  <c r="Q2" i="3"/>
  <c r="P2" i="3"/>
  <c r="O2" i="3"/>
  <c r="N2" i="3"/>
  <c r="M2" i="3"/>
  <c r="L2" i="3"/>
  <c r="K2" i="3"/>
  <c r="J2" i="3"/>
  <c r="I2" i="3"/>
  <c r="U2" i="3" s="1"/>
  <c r="H1" i="2"/>
  <c r="AF6" i="21" l="1"/>
  <c r="AF13" i="21"/>
  <c r="Y4" i="21"/>
  <c r="AG4" i="21" s="1"/>
  <c r="X3" i="21"/>
  <c r="Y3" i="21"/>
  <c r="AG3" i="21" s="1"/>
  <c r="I5" i="29"/>
  <c r="I5" i="24"/>
  <c r="I5" i="9"/>
  <c r="I5" i="14"/>
  <c r="I5" i="6"/>
  <c r="I5" i="8"/>
  <c r="I5" i="7"/>
  <c r="AA57" i="7" s="1"/>
  <c r="AA62" i="7" s="1"/>
  <c r="P12" i="5"/>
  <c r="I10" i="29"/>
  <c r="I10" i="24"/>
  <c r="I10" i="14"/>
  <c r="I10" i="8"/>
  <c r="I10" i="6"/>
  <c r="I10" i="7"/>
  <c r="I10" i="9"/>
  <c r="I15" i="29"/>
  <c r="I15" i="24"/>
  <c r="I15" i="14"/>
  <c r="I15" i="9"/>
  <c r="I15" i="6"/>
  <c r="I15" i="7"/>
  <c r="I15" i="8"/>
  <c r="I18" i="29"/>
  <c r="I18" i="24"/>
  <c r="I18" i="14"/>
  <c r="I18" i="8"/>
  <c r="I18" i="7"/>
  <c r="I18" i="9"/>
  <c r="I18" i="6"/>
  <c r="I23" i="29"/>
  <c r="I23" i="24"/>
  <c r="I23" i="14"/>
  <c r="I23" i="8"/>
  <c r="I23" i="6"/>
  <c r="I23" i="9"/>
  <c r="I23" i="7"/>
  <c r="I26" i="29"/>
  <c r="I26" i="24"/>
  <c r="I26" i="8"/>
  <c r="I26" i="6"/>
  <c r="I26" i="9"/>
  <c r="I26" i="7"/>
  <c r="I26" i="14"/>
  <c r="I29" i="29"/>
  <c r="I29" i="24"/>
  <c r="I29" i="9"/>
  <c r="I29" i="14"/>
  <c r="I29" i="7"/>
  <c r="I29" i="8"/>
  <c r="I29" i="6"/>
  <c r="I34" i="29"/>
  <c r="I34" i="24"/>
  <c r="I34" i="14"/>
  <c r="I34" i="8"/>
  <c r="I34" i="6"/>
  <c r="M21" i="6" s="1"/>
  <c r="I34" i="7"/>
  <c r="I34" i="9"/>
  <c r="I39" i="29"/>
  <c r="I39" i="24"/>
  <c r="I39" i="14"/>
  <c r="I39" i="7"/>
  <c r="I39" i="9"/>
  <c r="I39" i="6"/>
  <c r="I39" i="8"/>
  <c r="I47" i="29"/>
  <c r="I47" i="24"/>
  <c r="I47" i="7"/>
  <c r="I47" i="8"/>
  <c r="I47" i="6"/>
  <c r="I47" i="14"/>
  <c r="I47" i="9"/>
  <c r="I53" i="29"/>
  <c r="I53" i="24"/>
  <c r="I53" i="9"/>
  <c r="I53" i="7"/>
  <c r="I53" i="6"/>
  <c r="I53" i="8"/>
  <c r="I53" i="14"/>
  <c r="I6" i="30"/>
  <c r="I6" i="25"/>
  <c r="I6" i="13"/>
  <c r="I6" i="12"/>
  <c r="I6" i="11"/>
  <c r="I6" i="10"/>
  <c r="I10" i="30"/>
  <c r="AB54" i="30" s="1"/>
  <c r="I10" i="25"/>
  <c r="I10" i="10"/>
  <c r="P49" i="10" s="1"/>
  <c r="I10" i="13"/>
  <c r="I10" i="12"/>
  <c r="I10" i="11"/>
  <c r="I9" i="29"/>
  <c r="BD65" i="29" s="1"/>
  <c r="I9" i="24"/>
  <c r="I9" i="14"/>
  <c r="I9" i="8"/>
  <c r="I9" i="7"/>
  <c r="I9" i="9"/>
  <c r="I9" i="6"/>
  <c r="I17" i="29"/>
  <c r="I17" i="24"/>
  <c r="I17" i="14"/>
  <c r="I17" i="7"/>
  <c r="I17" i="8"/>
  <c r="I17" i="9"/>
  <c r="I17" i="6"/>
  <c r="I25" i="29"/>
  <c r="I25" i="24"/>
  <c r="I25" i="14"/>
  <c r="I25" i="6"/>
  <c r="I25" i="9"/>
  <c r="I25" i="7"/>
  <c r="I25" i="8"/>
  <c r="I33" i="29"/>
  <c r="I33" i="24"/>
  <c r="I33" i="8"/>
  <c r="I33" i="6"/>
  <c r="I33" i="7"/>
  <c r="I33" i="14"/>
  <c r="I33" i="9"/>
  <c r="I41" i="29"/>
  <c r="BA97" i="29" s="1"/>
  <c r="I41" i="24"/>
  <c r="I41" i="9"/>
  <c r="I41" i="14"/>
  <c r="I41" i="6"/>
  <c r="I41" i="8"/>
  <c r="I41" i="7"/>
  <c r="I49" i="29"/>
  <c r="I49" i="24"/>
  <c r="I49" i="6"/>
  <c r="I49" i="9"/>
  <c r="I49" i="7"/>
  <c r="I49" i="14"/>
  <c r="I49" i="8"/>
  <c r="I12" i="29"/>
  <c r="AZ68" i="29" s="1"/>
  <c r="I12" i="24"/>
  <c r="I12" i="8"/>
  <c r="I12" i="9"/>
  <c r="I12" i="7"/>
  <c r="I12" i="6"/>
  <c r="I12" i="14"/>
  <c r="I16" i="29"/>
  <c r="I16" i="24"/>
  <c r="I16" i="9"/>
  <c r="I16" i="6"/>
  <c r="I16" i="14"/>
  <c r="I16" i="8"/>
  <c r="I16" i="7"/>
  <c r="I20" i="29"/>
  <c r="I20" i="24"/>
  <c r="I20" i="8"/>
  <c r="I20" i="9"/>
  <c r="I20" i="7"/>
  <c r="I20" i="14"/>
  <c r="I20" i="6"/>
  <c r="I22" i="29"/>
  <c r="I22" i="24"/>
  <c r="I22" i="8"/>
  <c r="I22" i="6"/>
  <c r="I22" i="9"/>
  <c r="I22" i="7"/>
  <c r="I22" i="14"/>
  <c r="I30" i="29"/>
  <c r="I30" i="24"/>
  <c r="I30" i="14"/>
  <c r="I30" i="9"/>
  <c r="I30" i="7"/>
  <c r="I30" i="8"/>
  <c r="I30" i="6"/>
  <c r="I36" i="29"/>
  <c r="I36" i="24"/>
  <c r="I36" i="8"/>
  <c r="I36" i="14"/>
  <c r="I36" i="9"/>
  <c r="I36" i="7"/>
  <c r="I36" i="6"/>
  <c r="I44" i="29"/>
  <c r="I44" i="24"/>
  <c r="I44" i="8"/>
  <c r="I44" i="14"/>
  <c r="I44" i="9"/>
  <c r="I44" i="6"/>
  <c r="I44" i="7"/>
  <c r="I48" i="29"/>
  <c r="I48" i="24"/>
  <c r="I48" i="14"/>
  <c r="I48" i="8"/>
  <c r="I48" i="6"/>
  <c r="I48" i="7"/>
  <c r="I48" i="9"/>
  <c r="I54" i="24"/>
  <c r="I54" i="29"/>
  <c r="I54" i="14"/>
  <c r="I54" i="9"/>
  <c r="I54" i="7"/>
  <c r="I54" i="6"/>
  <c r="I54" i="8"/>
  <c r="I9" i="30"/>
  <c r="AH53" i="30" s="1"/>
  <c r="I9" i="25"/>
  <c r="I9" i="11"/>
  <c r="I9" i="10"/>
  <c r="I9" i="12"/>
  <c r="I9" i="13"/>
  <c r="I13" i="30"/>
  <c r="AH57" i="30" s="1"/>
  <c r="I13" i="25"/>
  <c r="I13" i="12"/>
  <c r="I13" i="11"/>
  <c r="I13" i="10"/>
  <c r="I13" i="13"/>
  <c r="I16" i="30"/>
  <c r="AF60" i="30" s="1"/>
  <c r="I16" i="25"/>
  <c r="I16" i="13"/>
  <c r="I16" i="11"/>
  <c r="I16" i="10"/>
  <c r="I16" i="12"/>
  <c r="I17" i="30"/>
  <c r="AH61" i="30" s="1"/>
  <c r="I17" i="25"/>
  <c r="I17" i="11"/>
  <c r="I17" i="10"/>
  <c r="I17" i="12"/>
  <c r="I17" i="13"/>
  <c r="I21" i="30"/>
  <c r="AH65" i="30" s="1"/>
  <c r="I21" i="25"/>
  <c r="I21" i="12"/>
  <c r="I21" i="11"/>
  <c r="I21" i="13"/>
  <c r="I21" i="10"/>
  <c r="I24" i="30"/>
  <c r="AF68" i="30" s="1"/>
  <c r="I24" i="25"/>
  <c r="I24" i="13"/>
  <c r="I24" i="11"/>
  <c r="I24" i="12"/>
  <c r="I24" i="10"/>
  <c r="I25" i="30"/>
  <c r="AH69" i="30" s="1"/>
  <c r="I25" i="25"/>
  <c r="I25" i="11"/>
  <c r="I25" i="10"/>
  <c r="I25" i="12"/>
  <c r="I25" i="13"/>
  <c r="I27" i="30"/>
  <c r="AD71" i="30" s="1"/>
  <c r="I27" i="25"/>
  <c r="I27" i="10"/>
  <c r="I27" i="12"/>
  <c r="I27" i="11"/>
  <c r="I27" i="13"/>
  <c r="I29" i="30"/>
  <c r="AE73" i="30" s="1"/>
  <c r="I29" i="25"/>
  <c r="I29" i="12"/>
  <c r="I29" i="11"/>
  <c r="I29" i="10"/>
  <c r="I29" i="13"/>
  <c r="I32" i="30"/>
  <c r="I32" i="25"/>
  <c r="I32" i="13"/>
  <c r="I32" i="11"/>
  <c r="I32" i="10"/>
  <c r="I32" i="12"/>
  <c r="I33" i="30"/>
  <c r="AF77" i="30" s="1"/>
  <c r="I33" i="25"/>
  <c r="I33" i="11"/>
  <c r="I33" i="10"/>
  <c r="I33" i="12"/>
  <c r="I33" i="13"/>
  <c r="I35" i="30"/>
  <c r="AH79" i="30" s="1"/>
  <c r="I35" i="25"/>
  <c r="I35" i="10"/>
  <c r="I35" i="12"/>
  <c r="I35" i="13"/>
  <c r="I35" i="11"/>
  <c r="I37" i="30"/>
  <c r="AD81" i="30" s="1"/>
  <c r="I37" i="25"/>
  <c r="I37" i="12"/>
  <c r="I37" i="11"/>
  <c r="I37" i="13"/>
  <c r="I37" i="10"/>
  <c r="I40" i="30"/>
  <c r="I40" i="25"/>
  <c r="I40" i="13"/>
  <c r="I40" i="11"/>
  <c r="I40" i="10"/>
  <c r="I40" i="12"/>
  <c r="I41" i="30"/>
  <c r="I41" i="25"/>
  <c r="I41" i="11"/>
  <c r="I41" i="10"/>
  <c r="I41" i="12"/>
  <c r="I41" i="13"/>
  <c r="I43" i="30"/>
  <c r="I43" i="25"/>
  <c r="I43" i="10"/>
  <c r="I43" i="12"/>
  <c r="I43" i="11"/>
  <c r="I43" i="13"/>
  <c r="I43" i="29"/>
  <c r="I43" i="24"/>
  <c r="I43" i="8"/>
  <c r="I43" i="9"/>
  <c r="I43" i="7"/>
  <c r="I43" i="14"/>
  <c r="I43" i="6"/>
  <c r="I6" i="29"/>
  <c r="AJ62" i="29" s="1"/>
  <c r="I6" i="24"/>
  <c r="I6" i="8"/>
  <c r="I6" i="6"/>
  <c r="I6" i="14"/>
  <c r="I6" i="9"/>
  <c r="I6" i="7"/>
  <c r="I8" i="29"/>
  <c r="I8" i="24"/>
  <c r="I8" i="6"/>
  <c r="I8" i="14"/>
  <c r="I8" i="8"/>
  <c r="I8" i="7"/>
  <c r="I8" i="9"/>
  <c r="I14" i="29"/>
  <c r="I14" i="24"/>
  <c r="I14" i="8"/>
  <c r="I14" i="9"/>
  <c r="I14" i="6"/>
  <c r="I14" i="14"/>
  <c r="I14" i="7"/>
  <c r="I24" i="29"/>
  <c r="I24" i="24"/>
  <c r="I24" i="8"/>
  <c r="I24" i="6"/>
  <c r="I24" i="9"/>
  <c r="I24" i="7"/>
  <c r="I24" i="14"/>
  <c r="I28" i="29"/>
  <c r="I28" i="24"/>
  <c r="I28" i="8"/>
  <c r="I28" i="9"/>
  <c r="I28" i="14"/>
  <c r="I28" i="6"/>
  <c r="I28" i="7"/>
  <c r="I32" i="29"/>
  <c r="I32" i="24"/>
  <c r="I32" i="14"/>
  <c r="I32" i="7"/>
  <c r="I32" i="8"/>
  <c r="I32" i="6"/>
  <c r="I32" i="9"/>
  <c r="I38" i="29"/>
  <c r="I38" i="24"/>
  <c r="I38" i="14"/>
  <c r="I38" i="7"/>
  <c r="I38" i="9"/>
  <c r="I38" i="6"/>
  <c r="I38" i="8"/>
  <c r="I46" i="29"/>
  <c r="I46" i="24"/>
  <c r="I46" i="14"/>
  <c r="I46" i="8"/>
  <c r="I46" i="7"/>
  <c r="I46" i="9"/>
  <c r="I46" i="6"/>
  <c r="I52" i="29"/>
  <c r="I52" i="24"/>
  <c r="I52" i="8"/>
  <c r="I52" i="14"/>
  <c r="I52" i="9"/>
  <c r="I52" i="6"/>
  <c r="I52" i="7"/>
  <c r="I5" i="30"/>
  <c r="AH49" i="30" s="1"/>
  <c r="I5" i="25"/>
  <c r="I5" i="12"/>
  <c r="I5" i="10"/>
  <c r="I5" i="13"/>
  <c r="P14" i="5"/>
  <c r="I5" i="11"/>
  <c r="I8" i="30"/>
  <c r="I8" i="25"/>
  <c r="I8" i="13"/>
  <c r="I8" i="11"/>
  <c r="I8" i="12"/>
  <c r="I8" i="10"/>
  <c r="I11" i="30"/>
  <c r="AD55" i="30" s="1"/>
  <c r="I11" i="25"/>
  <c r="I11" i="10"/>
  <c r="I11" i="12"/>
  <c r="I11" i="11"/>
  <c r="I11" i="13"/>
  <c r="I19" i="30"/>
  <c r="AD63" i="30" s="1"/>
  <c r="I19" i="25"/>
  <c r="I19" i="10"/>
  <c r="I19" i="12"/>
  <c r="I19" i="11"/>
  <c r="I19" i="13"/>
  <c r="I40" i="29"/>
  <c r="I40" i="24"/>
  <c r="I40" i="14"/>
  <c r="I40" i="9"/>
  <c r="I40" i="6"/>
  <c r="I40" i="7"/>
  <c r="I40" i="8"/>
  <c r="I35" i="29"/>
  <c r="I35" i="24"/>
  <c r="I35" i="8"/>
  <c r="I35" i="9"/>
  <c r="I35" i="7"/>
  <c r="I35" i="14"/>
  <c r="I35" i="6"/>
  <c r="I51" i="29"/>
  <c r="I51" i="24"/>
  <c r="I51" i="8"/>
  <c r="I51" i="9"/>
  <c r="I51" i="7"/>
  <c r="I51" i="14"/>
  <c r="I51" i="6"/>
  <c r="I7" i="29"/>
  <c r="BD63" i="29" s="1"/>
  <c r="I7" i="24"/>
  <c r="I7" i="14"/>
  <c r="I7" i="6"/>
  <c r="I7" i="8"/>
  <c r="I7" i="7"/>
  <c r="P13" i="5"/>
  <c r="I7" i="9"/>
  <c r="I11" i="29"/>
  <c r="AV67" i="29" s="1"/>
  <c r="I11" i="24"/>
  <c r="I11" i="14"/>
  <c r="I11" i="9"/>
  <c r="I11" i="7"/>
  <c r="I11" i="8"/>
  <c r="I11" i="6"/>
  <c r="I13" i="29"/>
  <c r="I13" i="24"/>
  <c r="I13" i="9"/>
  <c r="I13" i="8"/>
  <c r="I13" i="6"/>
  <c r="I13" i="14"/>
  <c r="I13" i="7"/>
  <c r="I19" i="29"/>
  <c r="I19" i="24"/>
  <c r="I19" i="14"/>
  <c r="I19" i="9"/>
  <c r="I19" i="7"/>
  <c r="I19" i="6"/>
  <c r="I19" i="8"/>
  <c r="I21" i="29"/>
  <c r="I21" i="24"/>
  <c r="I21" i="9"/>
  <c r="I21" i="14"/>
  <c r="I21" i="8"/>
  <c r="I21" i="6"/>
  <c r="I21" i="7"/>
  <c r="I27" i="29"/>
  <c r="I27" i="24"/>
  <c r="I27" i="14"/>
  <c r="I27" i="9"/>
  <c r="I27" i="8"/>
  <c r="I27" i="7"/>
  <c r="I27" i="6"/>
  <c r="I31" i="29"/>
  <c r="I31" i="24"/>
  <c r="I31" i="7"/>
  <c r="M71" i="6" s="1"/>
  <c r="I31" i="8"/>
  <c r="I31" i="6"/>
  <c r="I31" i="14"/>
  <c r="I31" i="9"/>
  <c r="I37" i="29"/>
  <c r="I37" i="24"/>
  <c r="I37" i="9"/>
  <c r="I37" i="8"/>
  <c r="I37" i="7"/>
  <c r="I37" i="6"/>
  <c r="I37" i="14"/>
  <c r="I42" i="29"/>
  <c r="I42" i="24"/>
  <c r="I42" i="14"/>
  <c r="I42" i="8"/>
  <c r="I42" i="6"/>
  <c r="I42" i="7"/>
  <c r="I42" i="9"/>
  <c r="I45" i="29"/>
  <c r="I45" i="24"/>
  <c r="I45" i="9"/>
  <c r="I45" i="14"/>
  <c r="I45" i="8"/>
  <c r="I45" i="7"/>
  <c r="I45" i="6"/>
  <c r="I50" i="29"/>
  <c r="I50" i="24"/>
  <c r="I50" i="14"/>
  <c r="I50" i="8"/>
  <c r="I50" i="6"/>
  <c r="I50" i="9"/>
  <c r="I50" i="7"/>
  <c r="M73" i="6" s="1"/>
  <c r="I55" i="29"/>
  <c r="I55" i="24"/>
  <c r="I55" i="14"/>
  <c r="I55" i="9"/>
  <c r="I55" i="7"/>
  <c r="I55" i="6"/>
  <c r="I55" i="8"/>
  <c r="I7" i="30"/>
  <c r="AB51" i="30" s="1"/>
  <c r="I7" i="25"/>
  <c r="I7" i="13"/>
  <c r="I7" i="11"/>
  <c r="I7" i="12"/>
  <c r="I7" i="10"/>
  <c r="I12" i="30"/>
  <c r="AF56" i="30" s="1"/>
  <c r="I12" i="25"/>
  <c r="I12" i="12"/>
  <c r="I12" i="13"/>
  <c r="I12" i="11"/>
  <c r="I12" i="10"/>
  <c r="I14" i="30"/>
  <c r="AB58" i="30" s="1"/>
  <c r="I14" i="25"/>
  <c r="I14" i="13"/>
  <c r="I14" i="12"/>
  <c r="I14" i="11"/>
  <c r="X45" i="11" s="1"/>
  <c r="I14" i="10"/>
  <c r="I15" i="30"/>
  <c r="AD59" i="30" s="1"/>
  <c r="I15" i="25"/>
  <c r="I15" i="13"/>
  <c r="I15" i="11"/>
  <c r="I15" i="10"/>
  <c r="I15" i="12"/>
  <c r="I18" i="30"/>
  <c r="X62" i="30" s="1"/>
  <c r="I18" i="25"/>
  <c r="I18" i="10"/>
  <c r="I18" i="13"/>
  <c r="I18" i="12"/>
  <c r="I18" i="11"/>
  <c r="I20" i="30"/>
  <c r="AF64" i="30" s="1"/>
  <c r="I20" i="25"/>
  <c r="I20" i="12"/>
  <c r="I20" i="13"/>
  <c r="I20" i="11"/>
  <c r="I20" i="10"/>
  <c r="I22" i="30"/>
  <c r="AB66" i="30" s="1"/>
  <c r="I22" i="25"/>
  <c r="I22" i="13"/>
  <c r="I22" i="12"/>
  <c r="I22" i="11"/>
  <c r="I22" i="10"/>
  <c r="I23" i="30"/>
  <c r="AD67" i="30" s="1"/>
  <c r="I23" i="25"/>
  <c r="I23" i="13"/>
  <c r="I23" i="11"/>
  <c r="I23" i="12"/>
  <c r="I23" i="10"/>
  <c r="I26" i="30"/>
  <c r="I26" i="25"/>
  <c r="I26" i="10"/>
  <c r="I26" i="13"/>
  <c r="I26" i="12"/>
  <c r="I26" i="11"/>
  <c r="I28" i="30"/>
  <c r="AF72" i="30" s="1"/>
  <c r="I28" i="25"/>
  <c r="I28" i="12"/>
  <c r="I28" i="13"/>
  <c r="I28" i="11"/>
  <c r="I28" i="10"/>
  <c r="I30" i="30"/>
  <c r="Z74" i="30" s="1"/>
  <c r="I30" i="25"/>
  <c r="I30" i="13"/>
  <c r="I30" i="12"/>
  <c r="I30" i="11"/>
  <c r="I30" i="10"/>
  <c r="I31" i="30"/>
  <c r="I31" i="25"/>
  <c r="I31" i="13"/>
  <c r="I31" i="11"/>
  <c r="I31" i="12"/>
  <c r="I31" i="10"/>
  <c r="I34" i="30"/>
  <c r="AB78" i="30" s="1"/>
  <c r="I34" i="25"/>
  <c r="I34" i="10"/>
  <c r="I34" i="13"/>
  <c r="I34" i="12"/>
  <c r="I34" i="11"/>
  <c r="I36" i="30"/>
  <c r="I36" i="25"/>
  <c r="I36" i="12"/>
  <c r="I36" i="13"/>
  <c r="I36" i="11"/>
  <c r="I36" i="10"/>
  <c r="I38" i="30"/>
  <c r="AF82" i="30" s="1"/>
  <c r="I38" i="25"/>
  <c r="I38" i="13"/>
  <c r="I38" i="10"/>
  <c r="I38" i="12"/>
  <c r="I38" i="11"/>
  <c r="I39" i="30"/>
  <c r="I39" i="25"/>
  <c r="I39" i="13"/>
  <c r="I39" i="11"/>
  <c r="I39" i="10"/>
  <c r="I39" i="12"/>
  <c r="I42" i="30"/>
  <c r="I42" i="25"/>
  <c r="I42" i="10"/>
  <c r="I42" i="13"/>
  <c r="I42" i="12"/>
  <c r="I42" i="11"/>
  <c r="AJ62" i="24"/>
  <c r="AO3" i="16"/>
  <c r="AD60" i="7"/>
  <c r="AD60" i="24"/>
  <c r="AJ62" i="6"/>
  <c r="AJ60" i="24"/>
  <c r="AT2" i="16"/>
  <c r="AJ2" i="16"/>
  <c r="AH59" i="7"/>
  <c r="AH59" i="24"/>
  <c r="AO2" i="16"/>
  <c r="U62" i="6"/>
  <c r="U60" i="24"/>
  <c r="AH62" i="6"/>
  <c r="AH60" i="24"/>
  <c r="AH62" i="24" s="1"/>
  <c r="V62" i="6"/>
  <c r="V60" i="24"/>
  <c r="F45" i="5"/>
  <c r="AA48" i="25" s="1"/>
  <c r="Z48" i="25"/>
  <c r="AB61" i="6"/>
  <c r="AB59" i="24"/>
  <c r="Z60" i="7"/>
  <c r="Z60" i="24"/>
  <c r="AI61" i="6"/>
  <c r="AI59" i="24"/>
  <c r="AM61" i="7"/>
  <c r="AT3" i="16"/>
  <c r="AJ3" i="16"/>
  <c r="AA9" i="21"/>
  <c r="AO4" i="16"/>
  <c r="AO5" i="16"/>
  <c r="AC5" i="21"/>
  <c r="AP2" i="16"/>
  <c r="AJ7" i="16"/>
  <c r="AT7" i="16"/>
  <c r="AA10" i="21"/>
  <c r="AJ6" i="16"/>
  <c r="AO7" i="16"/>
  <c r="AT4" i="16"/>
  <c r="AJ4" i="16"/>
  <c r="AJ5" i="16"/>
  <c r="AJ9" i="16" s="1"/>
  <c r="AT5" i="16"/>
  <c r="AT6" i="16"/>
  <c r="AT9" i="16" s="1"/>
  <c r="AA12" i="21"/>
  <c r="AC3" i="17"/>
  <c r="AC11" i="17"/>
  <c r="AC19" i="17"/>
  <c r="AC43" i="17"/>
  <c r="AC121" i="17"/>
  <c r="AC129" i="17"/>
  <c r="AC131" i="17"/>
  <c r="AA11" i="21"/>
  <c r="AR35" i="24"/>
  <c r="AV35" i="24" s="1"/>
  <c r="AV34" i="24"/>
  <c r="AD11" i="21"/>
  <c r="AO6" i="16"/>
  <c r="R9" i="21"/>
  <c r="AF3" i="21"/>
  <c r="Y6" i="21"/>
  <c r="AG6" i="21" s="1"/>
  <c r="AG13" i="21"/>
  <c r="AR10" i="24"/>
  <c r="AV9" i="24"/>
  <c r="AK23" i="25"/>
  <c r="AC111" i="17"/>
  <c r="AC222" i="17"/>
  <c r="AC224" i="17"/>
  <c r="AC226" i="17"/>
  <c r="AC228" i="17"/>
  <c r="AC230" i="17"/>
  <c r="AC232" i="17"/>
  <c r="T5" i="21"/>
  <c r="J13" i="23"/>
  <c r="E25" i="23" s="1"/>
  <c r="E27" i="23" s="1"/>
  <c r="AV30" i="24"/>
  <c r="AR31" i="24"/>
  <c r="AR43" i="24"/>
  <c r="AK26" i="25"/>
  <c r="AC122" i="17"/>
  <c r="R12" i="21"/>
  <c r="AI3" i="21"/>
  <c r="D24" i="23"/>
  <c r="AY43" i="24"/>
  <c r="AJ6" i="21"/>
  <c r="Y8" i="21"/>
  <c r="AG8" i="21" s="1"/>
  <c r="E24" i="23"/>
  <c r="E26" i="23" s="1"/>
  <c r="AC112" i="17"/>
  <c r="AC120" i="17"/>
  <c r="AC128" i="17"/>
  <c r="AC144" i="17"/>
  <c r="R10" i="21"/>
  <c r="AV54" i="24"/>
  <c r="AR55" i="24"/>
  <c r="AV55" i="24" s="1"/>
  <c r="R11" i="21"/>
  <c r="AR23" i="24"/>
  <c r="AV23" i="24" s="1"/>
  <c r="AV22" i="24"/>
  <c r="O50" i="25"/>
  <c r="AK32" i="25"/>
  <c r="AK27" i="25"/>
  <c r="AK31" i="25"/>
  <c r="AK22" i="25"/>
  <c r="AY34" i="24"/>
  <c r="AY40" i="24"/>
  <c r="AK30" i="25"/>
  <c r="AY44" i="24"/>
  <c r="AK28" i="25"/>
  <c r="AY39" i="24"/>
  <c r="AY38" i="24"/>
  <c r="M425" i="21"/>
  <c r="U11" i="21" s="1"/>
  <c r="AI11" i="21" s="1"/>
  <c r="AY36" i="24"/>
  <c r="AV50" i="24"/>
  <c r="AR51" i="24"/>
  <c r="AV51" i="24" s="1"/>
  <c r="AO3" i="26"/>
  <c r="AO8" i="26" s="1"/>
  <c r="AR20" i="24"/>
  <c r="AV20" i="24" s="1"/>
  <c r="AJ4" i="26"/>
  <c r="AT4" i="26"/>
  <c r="AT5" i="26"/>
  <c r="AJ5" i="26"/>
  <c r="AJ6" i="26"/>
  <c r="AT6" i="26"/>
  <c r="AJ7" i="26"/>
  <c r="AT7" i="26"/>
  <c r="AP2" i="26"/>
  <c r="BB61" i="29"/>
  <c r="AT61" i="29"/>
  <c r="AL61" i="29"/>
  <c r="BA61" i="29"/>
  <c r="AS61" i="29"/>
  <c r="AK61" i="29"/>
  <c r="AZ61" i="29"/>
  <c r="AR61" i="29"/>
  <c r="AJ61" i="29"/>
  <c r="AY61" i="29"/>
  <c r="AQ61" i="29"/>
  <c r="AI61" i="29"/>
  <c r="AX61" i="29"/>
  <c r="AP61" i="29"/>
  <c r="AW61" i="29"/>
  <c r="AO61" i="29"/>
  <c r="BC61" i="29"/>
  <c r="AU61" i="29"/>
  <c r="AM61" i="29"/>
  <c r="AY69" i="29"/>
  <c r="AX69" i="29"/>
  <c r="BD69" i="29"/>
  <c r="BC69" i="29"/>
  <c r="BB69" i="29"/>
  <c r="BA69" i="29"/>
  <c r="AT69" i="29"/>
  <c r="AL69" i="29"/>
  <c r="AS69" i="29"/>
  <c r="AK69" i="29"/>
  <c r="AR69" i="29"/>
  <c r="AJ69" i="29"/>
  <c r="AQ69" i="29"/>
  <c r="AI69" i="29"/>
  <c r="AZ69" i="29"/>
  <c r="AP69" i="29"/>
  <c r="AW69" i="29"/>
  <c r="AO69" i="29"/>
  <c r="AU69" i="29"/>
  <c r="AM69" i="29"/>
  <c r="BC85" i="29"/>
  <c r="AU85" i="29"/>
  <c r="AM85" i="29"/>
  <c r="BB85" i="29"/>
  <c r="AT85" i="29"/>
  <c r="AL85" i="29"/>
  <c r="AZ85" i="29"/>
  <c r="AR85" i="29"/>
  <c r="AJ85" i="29"/>
  <c r="AY85" i="29"/>
  <c r="AQ85" i="29"/>
  <c r="AI85" i="29"/>
  <c r="AX85" i="29"/>
  <c r="AP85" i="29"/>
  <c r="AW85" i="29"/>
  <c r="AO85" i="29"/>
  <c r="AN85" i="29"/>
  <c r="AK85" i="29"/>
  <c r="BD85" i="29"/>
  <c r="BA85" i="29"/>
  <c r="AV85" i="29"/>
  <c r="AS85" i="29"/>
  <c r="BC93" i="29"/>
  <c r="AU93" i="29"/>
  <c r="AM93" i="29"/>
  <c r="BB93" i="29"/>
  <c r="AT93" i="29"/>
  <c r="AL93" i="29"/>
  <c r="BA93" i="29"/>
  <c r="AS93" i="29"/>
  <c r="AK93" i="29"/>
  <c r="AZ93" i="29"/>
  <c r="AR93" i="29"/>
  <c r="AJ93" i="29"/>
  <c r="AY93" i="29"/>
  <c r="AQ93" i="29"/>
  <c r="AI93" i="29"/>
  <c r="AX93" i="29"/>
  <c r="AP93" i="29"/>
  <c r="AW93" i="29"/>
  <c r="AO93" i="29"/>
  <c r="BD93" i="29"/>
  <c r="AV93" i="29"/>
  <c r="AN93" i="29"/>
  <c r="BC101" i="29"/>
  <c r="AU101" i="29"/>
  <c r="AM101" i="29"/>
  <c r="BB101" i="29"/>
  <c r="AT101" i="29"/>
  <c r="AL101" i="29"/>
  <c r="BA101" i="29"/>
  <c r="AS101" i="29"/>
  <c r="AK101" i="29"/>
  <c r="AZ101" i="29"/>
  <c r="AR101" i="29"/>
  <c r="AJ101" i="29"/>
  <c r="AY101" i="29"/>
  <c r="AQ101" i="29"/>
  <c r="AI101" i="29"/>
  <c r="AX101" i="29"/>
  <c r="AP101" i="29"/>
  <c r="AW101" i="29"/>
  <c r="AO101" i="29"/>
  <c r="AV101" i="29"/>
  <c r="AN101" i="29"/>
  <c r="BD101" i="29"/>
  <c r="BC109" i="29"/>
  <c r="AU109" i="29"/>
  <c r="AM109" i="29"/>
  <c r="BB109" i="29"/>
  <c r="AT109" i="29"/>
  <c r="AL109" i="29"/>
  <c r="BA109" i="29"/>
  <c r="AS109" i="29"/>
  <c r="AK109" i="29"/>
  <c r="AZ109" i="29"/>
  <c r="AR109" i="29"/>
  <c r="AJ109" i="29"/>
  <c r="AY109" i="29"/>
  <c r="AQ109" i="29"/>
  <c r="AI109" i="29"/>
  <c r="AX109" i="29"/>
  <c r="AP109" i="29"/>
  <c r="AW109" i="29"/>
  <c r="AO109" i="29"/>
  <c r="BD109" i="29"/>
  <c r="AV109" i="29"/>
  <c r="AN109" i="29"/>
  <c r="AZ66" i="29"/>
  <c r="AV69" i="29"/>
  <c r="AX62" i="29"/>
  <c r="AP62" i="29"/>
  <c r="AW62" i="29"/>
  <c r="AO62" i="29"/>
  <c r="BD62" i="29"/>
  <c r="AV62" i="29"/>
  <c r="AN62" i="29"/>
  <c r="BC62" i="29"/>
  <c r="AU62" i="29"/>
  <c r="AM62" i="29"/>
  <c r="BB62" i="29"/>
  <c r="U8" i="31" s="1"/>
  <c r="AT62" i="29"/>
  <c r="AL62" i="29"/>
  <c r="BA62" i="29"/>
  <c r="AS62" i="29"/>
  <c r="AK62" i="29"/>
  <c r="AY62" i="29"/>
  <c r="AQ62" i="29"/>
  <c r="AI62" i="29"/>
  <c r="AU70" i="29"/>
  <c r="AJ70" i="29"/>
  <c r="AX70" i="29"/>
  <c r="BD70" i="29"/>
  <c r="BC78" i="29"/>
  <c r="AU78" i="29"/>
  <c r="AM78" i="29"/>
  <c r="BB78" i="29"/>
  <c r="AT78" i="29"/>
  <c r="AL78" i="29"/>
  <c r="BA78" i="29"/>
  <c r="AS78" i="29"/>
  <c r="AK78" i="29"/>
  <c r="AZ78" i="29"/>
  <c r="AR78" i="29"/>
  <c r="AJ78" i="29"/>
  <c r="AY78" i="29"/>
  <c r="AQ78" i="29"/>
  <c r="AI78" i="29"/>
  <c r="AX78" i="29"/>
  <c r="AP78" i="29"/>
  <c r="AW78" i="29"/>
  <c r="AO78" i="29"/>
  <c r="BD78" i="29"/>
  <c r="AV78" i="29"/>
  <c r="AN78" i="29"/>
  <c r="AY86" i="29"/>
  <c r="AQ86" i="29"/>
  <c r="AI86" i="29"/>
  <c r="R86" i="29"/>
  <c r="AX86" i="29"/>
  <c r="AP86" i="29"/>
  <c r="BD86" i="29"/>
  <c r="AV86" i="29"/>
  <c r="AN86" i="29"/>
  <c r="BC86" i="29"/>
  <c r="AU86" i="29"/>
  <c r="AM86" i="29"/>
  <c r="BB86" i="29"/>
  <c r="AT86" i="29"/>
  <c r="AL86" i="29"/>
  <c r="BA86" i="29"/>
  <c r="AS86" i="29"/>
  <c r="AK86" i="29"/>
  <c r="AZ86" i="29"/>
  <c r="AW86" i="29"/>
  <c r="P86" i="29"/>
  <c r="AR86" i="29"/>
  <c r="AO86" i="29"/>
  <c r="AJ86" i="29"/>
  <c r="AY94" i="29"/>
  <c r="AQ94" i="29"/>
  <c r="AI94" i="29"/>
  <c r="AX94" i="29"/>
  <c r="AP94" i="29"/>
  <c r="AW94" i="29"/>
  <c r="AO94" i="29"/>
  <c r="BD94" i="29"/>
  <c r="AV94" i="29"/>
  <c r="AN94" i="29"/>
  <c r="BC94" i="29"/>
  <c r="AU94" i="29"/>
  <c r="AM94" i="29"/>
  <c r="BB94" i="29"/>
  <c r="AT94" i="29"/>
  <c r="AL94" i="29"/>
  <c r="BA94" i="29"/>
  <c r="AS94" i="29"/>
  <c r="AK94" i="29"/>
  <c r="AZ94" i="29"/>
  <c r="AR94" i="29"/>
  <c r="AJ94" i="29"/>
  <c r="AY102" i="29"/>
  <c r="AQ102" i="29"/>
  <c r="AI102" i="29"/>
  <c r="AX102" i="29"/>
  <c r="AP102" i="29"/>
  <c r="AW102" i="29"/>
  <c r="AO102" i="29"/>
  <c r="BD102" i="29"/>
  <c r="AV102" i="29"/>
  <c r="AN102" i="29"/>
  <c r="BC102" i="29"/>
  <c r="AU102" i="29"/>
  <c r="AM102" i="29"/>
  <c r="BB102" i="29"/>
  <c r="AT102" i="29"/>
  <c r="AL102" i="29"/>
  <c r="BA102" i="29"/>
  <c r="AS102" i="29"/>
  <c r="AK102" i="29"/>
  <c r="AZ102" i="29"/>
  <c r="AR102" i="29"/>
  <c r="AJ102" i="29"/>
  <c r="BB110" i="29"/>
  <c r="BA110" i="29"/>
  <c r="AS110" i="29"/>
  <c r="AK110" i="29"/>
  <c r="AZ110" i="29"/>
  <c r="AR110" i="29"/>
  <c r="AY110" i="29"/>
  <c r="AQ110" i="29"/>
  <c r="BD110" i="29"/>
  <c r="AV110" i="29"/>
  <c r="AN110" i="29"/>
  <c r="BC110" i="29"/>
  <c r="AW110" i="29"/>
  <c r="AI110" i="29"/>
  <c r="AU110" i="29"/>
  <c r="AT110" i="29"/>
  <c r="AP110" i="29"/>
  <c r="AO110" i="29"/>
  <c r="AM110" i="29"/>
  <c r="AL110" i="29"/>
  <c r="AJ110" i="29"/>
  <c r="AX110" i="29"/>
  <c r="AR62" i="29"/>
  <c r="AN65" i="29"/>
  <c r="AJ68" i="29"/>
  <c r="BB63" i="29"/>
  <c r="AT63" i="29"/>
  <c r="AL63" i="29"/>
  <c r="BA63" i="29"/>
  <c r="AS63" i="29"/>
  <c r="AK63" i="29"/>
  <c r="AZ63" i="29"/>
  <c r="AR63" i="29"/>
  <c r="AJ63" i="29"/>
  <c r="AY63" i="29"/>
  <c r="AQ63" i="29"/>
  <c r="AI63" i="29"/>
  <c r="B8" i="31" s="1"/>
  <c r="AX63" i="29"/>
  <c r="AP63" i="29"/>
  <c r="AW63" i="29"/>
  <c r="AO63" i="29"/>
  <c r="BC63" i="29"/>
  <c r="AU63" i="29"/>
  <c r="AM63" i="29"/>
  <c r="AY71" i="29"/>
  <c r="AQ71" i="29"/>
  <c r="AI71" i="29"/>
  <c r="AX71" i="29"/>
  <c r="AP71" i="29"/>
  <c r="AW71" i="29"/>
  <c r="AO71" i="29"/>
  <c r="BD71" i="29"/>
  <c r="AV71" i="29"/>
  <c r="AN71" i="29"/>
  <c r="BC71" i="29"/>
  <c r="AU71" i="29"/>
  <c r="AM71" i="29"/>
  <c r="BB71" i="29"/>
  <c r="AT71" i="29"/>
  <c r="AL71" i="29"/>
  <c r="BA71" i="29"/>
  <c r="AS71" i="29"/>
  <c r="AK71" i="29"/>
  <c r="AZ71" i="29"/>
  <c r="AR71" i="29"/>
  <c r="AJ71" i="29"/>
  <c r="AY79" i="29"/>
  <c r="AQ79" i="29"/>
  <c r="AI79" i="29"/>
  <c r="AX79" i="29"/>
  <c r="AP79" i="29"/>
  <c r="AW79" i="29"/>
  <c r="AO79" i="29"/>
  <c r="BD79" i="29"/>
  <c r="AV79" i="29"/>
  <c r="AN79" i="29"/>
  <c r="BC79" i="29"/>
  <c r="AU79" i="29"/>
  <c r="AM79" i="29"/>
  <c r="BB79" i="29"/>
  <c r="AT79" i="29"/>
  <c r="AL79" i="29"/>
  <c r="BA79" i="29"/>
  <c r="AS79" i="29"/>
  <c r="AK79" i="29"/>
  <c r="AZ79" i="29"/>
  <c r="AR79" i="29"/>
  <c r="AJ79" i="29"/>
  <c r="BC87" i="29"/>
  <c r="AU87" i="29"/>
  <c r="AM87" i="29"/>
  <c r="BB87" i="29"/>
  <c r="AT87" i="29"/>
  <c r="AL87" i="29"/>
  <c r="AZ87" i="29"/>
  <c r="AR87" i="29"/>
  <c r="AJ87" i="29"/>
  <c r="AY87" i="29"/>
  <c r="AQ87" i="29"/>
  <c r="AI87" i="29"/>
  <c r="R87" i="29"/>
  <c r="AX87" i="29"/>
  <c r="AP87" i="29"/>
  <c r="AW87" i="29"/>
  <c r="AO87" i="29"/>
  <c r="P87" i="29"/>
  <c r="AV87" i="29"/>
  <c r="AS87" i="29"/>
  <c r="AN87" i="29"/>
  <c r="AK87" i="29"/>
  <c r="BD87" i="29"/>
  <c r="BA87" i="29"/>
  <c r="BC95" i="29"/>
  <c r="AU95" i="29"/>
  <c r="AM95" i="29"/>
  <c r="BB95" i="29"/>
  <c r="AT95" i="29"/>
  <c r="AL95" i="29"/>
  <c r="BA95" i="29"/>
  <c r="AS95" i="29"/>
  <c r="AK95" i="29"/>
  <c r="AZ95" i="29"/>
  <c r="AR95" i="29"/>
  <c r="AJ95" i="29"/>
  <c r="AY95" i="29"/>
  <c r="AQ95" i="29"/>
  <c r="AI95" i="29"/>
  <c r="AW95" i="29"/>
  <c r="AO95" i="29"/>
  <c r="AV95" i="29"/>
  <c r="AP95" i="29"/>
  <c r="AN95" i="29"/>
  <c r="BD95" i="29"/>
  <c r="AX95" i="29"/>
  <c r="BC103" i="29"/>
  <c r="AU103" i="29"/>
  <c r="AM103" i="29"/>
  <c r="BB103" i="29"/>
  <c r="AT103" i="29"/>
  <c r="AL103" i="29"/>
  <c r="BA103" i="29"/>
  <c r="AS103" i="29"/>
  <c r="AK103" i="29"/>
  <c r="AZ103" i="29"/>
  <c r="AR103" i="29"/>
  <c r="AJ103" i="29"/>
  <c r="AY103" i="29"/>
  <c r="AQ103" i="29"/>
  <c r="AI103" i="29"/>
  <c r="AX103" i="29"/>
  <c r="AP103" i="29"/>
  <c r="AW103" i="29"/>
  <c r="AO103" i="29"/>
  <c r="BD103" i="29"/>
  <c r="AV103" i="29"/>
  <c r="AN103" i="29"/>
  <c r="AX111" i="29"/>
  <c r="AP111" i="29"/>
  <c r="AW111" i="29"/>
  <c r="AO111" i="29"/>
  <c r="BD111" i="29"/>
  <c r="AV111" i="29"/>
  <c r="AN111" i="29"/>
  <c r="BC111" i="29"/>
  <c r="AU111" i="29"/>
  <c r="AM111" i="29"/>
  <c r="BB111" i="29"/>
  <c r="AT111" i="29"/>
  <c r="AL111" i="29"/>
  <c r="BA111" i="29"/>
  <c r="AS111" i="29"/>
  <c r="AK111" i="29"/>
  <c r="AZ111" i="29"/>
  <c r="AR111" i="29"/>
  <c r="AJ111" i="29"/>
  <c r="AY111" i="29"/>
  <c r="AQ111" i="29"/>
  <c r="AI111" i="29"/>
  <c r="AZ62" i="29"/>
  <c r="AV65" i="29"/>
  <c r="AR68" i="29"/>
  <c r="AX64" i="29"/>
  <c r="AP64" i="29"/>
  <c r="I8" i="31" s="1"/>
  <c r="AW64" i="29"/>
  <c r="AO64" i="29"/>
  <c r="BD64" i="29"/>
  <c r="AV64" i="29"/>
  <c r="AN64" i="29"/>
  <c r="BC64" i="29"/>
  <c r="AU64" i="29"/>
  <c r="AM64" i="29"/>
  <c r="BB64" i="29"/>
  <c r="AT64" i="29"/>
  <c r="AL64" i="29"/>
  <c r="BA64" i="29"/>
  <c r="AS64" i="29"/>
  <c r="AK64" i="29"/>
  <c r="AY64" i="29"/>
  <c r="AQ64" i="29"/>
  <c r="AI64" i="29"/>
  <c r="BC72" i="29"/>
  <c r="AU72" i="29"/>
  <c r="AM72" i="29"/>
  <c r="BB72" i="29"/>
  <c r="AT72" i="29"/>
  <c r="AL72" i="29"/>
  <c r="BA72" i="29"/>
  <c r="AS72" i="29"/>
  <c r="AK72" i="29"/>
  <c r="AZ72" i="29"/>
  <c r="AR72" i="29"/>
  <c r="AJ72" i="29"/>
  <c r="AY72" i="29"/>
  <c r="AQ72" i="29"/>
  <c r="AI72" i="29"/>
  <c r="AX72" i="29"/>
  <c r="AP72" i="29"/>
  <c r="AW72" i="29"/>
  <c r="AO72" i="29"/>
  <c r="BD72" i="29"/>
  <c r="AV72" i="29"/>
  <c r="AN72" i="29"/>
  <c r="BC80" i="29"/>
  <c r="AU80" i="29"/>
  <c r="AM80" i="29"/>
  <c r="BB80" i="29"/>
  <c r="AT80" i="29"/>
  <c r="AL80" i="29"/>
  <c r="BA80" i="29"/>
  <c r="AS80" i="29"/>
  <c r="AK80" i="29"/>
  <c r="AZ80" i="29"/>
  <c r="AR80" i="29"/>
  <c r="AJ80" i="29"/>
  <c r="AY80" i="29"/>
  <c r="AQ80" i="29"/>
  <c r="AI80" i="29"/>
  <c r="AX80" i="29"/>
  <c r="AP80" i="29"/>
  <c r="AW80" i="29"/>
  <c r="AO80" i="29"/>
  <c r="BD80" i="29"/>
  <c r="AV80" i="29"/>
  <c r="AN80" i="29"/>
  <c r="AY88" i="29"/>
  <c r="AQ88" i="29"/>
  <c r="AI88" i="29"/>
  <c r="R88" i="29"/>
  <c r="AX88" i="29"/>
  <c r="AP88" i="29"/>
  <c r="AW88" i="29"/>
  <c r="AO88" i="29"/>
  <c r="P88" i="29"/>
  <c r="BD88" i="29"/>
  <c r="AV88" i="29"/>
  <c r="AN88" i="29"/>
  <c r="BC88" i="29"/>
  <c r="AU88" i="29"/>
  <c r="AM88" i="29"/>
  <c r="BB88" i="29"/>
  <c r="AT88" i="29"/>
  <c r="AL88" i="29"/>
  <c r="BA88" i="29"/>
  <c r="AS88" i="29"/>
  <c r="AK88" i="29"/>
  <c r="AZ88" i="29"/>
  <c r="AR88" i="29"/>
  <c r="AJ88" i="29"/>
  <c r="AY96" i="29"/>
  <c r="AQ96" i="29"/>
  <c r="AI96" i="29"/>
  <c r="AX96" i="29"/>
  <c r="AP96" i="29"/>
  <c r="AW96" i="29"/>
  <c r="AO96" i="29"/>
  <c r="BD96" i="29"/>
  <c r="AV96" i="29"/>
  <c r="AN96" i="29"/>
  <c r="BC96" i="29"/>
  <c r="AU96" i="29"/>
  <c r="AM96" i="29"/>
  <c r="BA96" i="29"/>
  <c r="AS96" i="29"/>
  <c r="AK96" i="29"/>
  <c r="AJ96" i="29"/>
  <c r="BB96" i="29"/>
  <c r="AZ96" i="29"/>
  <c r="AT96" i="29"/>
  <c r="AR96" i="29"/>
  <c r="AL96" i="29"/>
  <c r="AY104" i="29"/>
  <c r="AQ104" i="29"/>
  <c r="AI104" i="29"/>
  <c r="AX104" i="29"/>
  <c r="AP104" i="29"/>
  <c r="AW104" i="29"/>
  <c r="AO104" i="29"/>
  <c r="BD104" i="29"/>
  <c r="AV104" i="29"/>
  <c r="AN104" i="29"/>
  <c r="BC104" i="29"/>
  <c r="AU104" i="29"/>
  <c r="AM104" i="29"/>
  <c r="BB104" i="29"/>
  <c r="AT104" i="29"/>
  <c r="AL104" i="29"/>
  <c r="BA104" i="29"/>
  <c r="AS104" i="29"/>
  <c r="AK104" i="29"/>
  <c r="AR104" i="29"/>
  <c r="AJ104" i="29"/>
  <c r="AZ104" i="29"/>
  <c r="AN61" i="29"/>
  <c r="AJ64" i="29"/>
  <c r="BB65" i="29"/>
  <c r="AT65" i="29"/>
  <c r="AL65" i="29"/>
  <c r="BA65" i="29"/>
  <c r="AS65" i="29"/>
  <c r="AK65" i="29"/>
  <c r="AZ65" i="29"/>
  <c r="AR65" i="29"/>
  <c r="AJ65" i="29"/>
  <c r="AY65" i="29"/>
  <c r="AQ65" i="29"/>
  <c r="AI65" i="29"/>
  <c r="AX65" i="29"/>
  <c r="AP65" i="29"/>
  <c r="AW65" i="29"/>
  <c r="AO65" i="29"/>
  <c r="BC65" i="29"/>
  <c r="AU65" i="29"/>
  <c r="AM65" i="29"/>
  <c r="AY73" i="29"/>
  <c r="AQ73" i="29"/>
  <c r="AI73" i="29"/>
  <c r="AX73" i="29"/>
  <c r="AP73" i="29"/>
  <c r="AW73" i="29"/>
  <c r="AO73" i="29"/>
  <c r="BD73" i="29"/>
  <c r="AV73" i="29"/>
  <c r="AN73" i="29"/>
  <c r="BC73" i="29"/>
  <c r="AU73" i="29"/>
  <c r="AM73" i="29"/>
  <c r="BB73" i="29"/>
  <c r="AT73" i="29"/>
  <c r="AL73" i="29"/>
  <c r="BA73" i="29"/>
  <c r="AS73" i="29"/>
  <c r="AK73" i="29"/>
  <c r="AZ73" i="29"/>
  <c r="AR73" i="29"/>
  <c r="AJ73" i="29"/>
  <c r="AY81" i="29"/>
  <c r="AQ81" i="29"/>
  <c r="AI81" i="29"/>
  <c r="R81" i="29"/>
  <c r="AX81" i="29"/>
  <c r="AP81" i="29"/>
  <c r="AW81" i="29"/>
  <c r="AO81" i="29"/>
  <c r="P81" i="29"/>
  <c r="BD81" i="29"/>
  <c r="AV81" i="29"/>
  <c r="AN81" i="29"/>
  <c r="BC81" i="29"/>
  <c r="AU81" i="29"/>
  <c r="AM81" i="29"/>
  <c r="BB81" i="29"/>
  <c r="AT81" i="29"/>
  <c r="AL81" i="29"/>
  <c r="BA81" i="29"/>
  <c r="AS81" i="29"/>
  <c r="AK81" i="29"/>
  <c r="AZ81" i="29"/>
  <c r="AR81" i="29"/>
  <c r="AJ81" i="29"/>
  <c r="BC89" i="29"/>
  <c r="AU89" i="29"/>
  <c r="AM89" i="29"/>
  <c r="BB89" i="29"/>
  <c r="AT89" i="29"/>
  <c r="AL89" i="29"/>
  <c r="BA89" i="29"/>
  <c r="AS89" i="29"/>
  <c r="AK89" i="29"/>
  <c r="AZ89" i="29"/>
  <c r="AR89" i="29"/>
  <c r="AJ89" i="29"/>
  <c r="AY89" i="29"/>
  <c r="AQ89" i="29"/>
  <c r="AI89" i="29"/>
  <c r="R89" i="29"/>
  <c r="AX89" i="29"/>
  <c r="AP89" i="29"/>
  <c r="AW89" i="29"/>
  <c r="AO89" i="29"/>
  <c r="P89" i="29"/>
  <c r="BD89" i="29"/>
  <c r="AV89" i="29"/>
  <c r="AN89" i="29"/>
  <c r="BC105" i="29"/>
  <c r="AU105" i="29"/>
  <c r="AM105" i="29"/>
  <c r="BB105" i="29"/>
  <c r="AT105" i="29"/>
  <c r="AL105" i="29"/>
  <c r="BA105" i="29"/>
  <c r="AS105" i="29"/>
  <c r="AK105" i="29"/>
  <c r="AZ105" i="29"/>
  <c r="AR105" i="29"/>
  <c r="AJ105" i="29"/>
  <c r="AY105" i="29"/>
  <c r="AQ105" i="29"/>
  <c r="AI105" i="29"/>
  <c r="AX105" i="29"/>
  <c r="AP105" i="29"/>
  <c r="AW105" i="29"/>
  <c r="AO105" i="29"/>
  <c r="BD105" i="29"/>
  <c r="AV105" i="29"/>
  <c r="AN105" i="29"/>
  <c r="AV61" i="29"/>
  <c r="AR64" i="29"/>
  <c r="AN67" i="29"/>
  <c r="AX66" i="29"/>
  <c r="AP66" i="29"/>
  <c r="AW66" i="29"/>
  <c r="AO66" i="29"/>
  <c r="BD66" i="29"/>
  <c r="AV66" i="29"/>
  <c r="AN66" i="29"/>
  <c r="BC66" i="29"/>
  <c r="AU66" i="29"/>
  <c r="AM66" i="29"/>
  <c r="BB66" i="29"/>
  <c r="AT66" i="29"/>
  <c r="AL66" i="29"/>
  <c r="BA66" i="29"/>
  <c r="AS66" i="29"/>
  <c r="AK66" i="29"/>
  <c r="AY66" i="29"/>
  <c r="AQ66" i="29"/>
  <c r="AI66" i="29"/>
  <c r="AY82" i="29"/>
  <c r="AQ82" i="29"/>
  <c r="AI82" i="29"/>
  <c r="AX82" i="29"/>
  <c r="AP82" i="29"/>
  <c r="BD82" i="29"/>
  <c r="AV82" i="29"/>
  <c r="AN82" i="29"/>
  <c r="BC82" i="29"/>
  <c r="AU82" i="29"/>
  <c r="AM82" i="29"/>
  <c r="AT82" i="29"/>
  <c r="AS82" i="29"/>
  <c r="AR82" i="29"/>
  <c r="AO82" i="29"/>
  <c r="BB82" i="29"/>
  <c r="AL82" i="29"/>
  <c r="R82" i="29"/>
  <c r="BA82" i="29"/>
  <c r="AK82" i="29"/>
  <c r="AZ82" i="29"/>
  <c r="AJ82" i="29"/>
  <c r="P82" i="29"/>
  <c r="AW82" i="29"/>
  <c r="AY90" i="29"/>
  <c r="AQ90" i="29"/>
  <c r="AI90" i="29"/>
  <c r="AX90" i="29"/>
  <c r="AP90" i="29"/>
  <c r="AW90" i="29"/>
  <c r="AO90" i="29"/>
  <c r="BD90" i="29"/>
  <c r="AV90" i="29"/>
  <c r="AN90" i="29"/>
  <c r="BC90" i="29"/>
  <c r="AU90" i="29"/>
  <c r="AM90" i="29"/>
  <c r="BB90" i="29"/>
  <c r="AT90" i="29"/>
  <c r="AL90" i="29"/>
  <c r="BA90" i="29"/>
  <c r="AS90" i="29"/>
  <c r="AK90" i="29"/>
  <c r="AJ90" i="29"/>
  <c r="AZ90" i="29"/>
  <c r="AR90" i="29"/>
  <c r="AY98" i="29"/>
  <c r="AQ98" i="29"/>
  <c r="AI98" i="29"/>
  <c r="AX98" i="29"/>
  <c r="AP98" i="29"/>
  <c r="AW98" i="29"/>
  <c r="AO98" i="29"/>
  <c r="BD98" i="29"/>
  <c r="AV98" i="29"/>
  <c r="AN98" i="29"/>
  <c r="BC98" i="29"/>
  <c r="AU98" i="29"/>
  <c r="AM98" i="29"/>
  <c r="BA98" i="29"/>
  <c r="AS98" i="29"/>
  <c r="AK98" i="29"/>
  <c r="AR98" i="29"/>
  <c r="AL98" i="29"/>
  <c r="AJ98" i="29"/>
  <c r="BB98" i="29"/>
  <c r="AZ98" i="29"/>
  <c r="AT98" i="29"/>
  <c r="AY106" i="29"/>
  <c r="AQ106" i="29"/>
  <c r="AI106" i="29"/>
  <c r="AX106" i="29"/>
  <c r="AP106" i="29"/>
  <c r="AW106" i="29"/>
  <c r="AO106" i="29"/>
  <c r="BD106" i="29"/>
  <c r="AV106" i="29"/>
  <c r="AN106" i="29"/>
  <c r="BC106" i="29"/>
  <c r="AU106" i="29"/>
  <c r="AM106" i="29"/>
  <c r="BB106" i="29"/>
  <c r="AT106" i="29"/>
  <c r="AL106" i="29"/>
  <c r="BA106" i="29"/>
  <c r="AS106" i="29"/>
  <c r="AK106" i="29"/>
  <c r="AZ106" i="29"/>
  <c r="AR106" i="29"/>
  <c r="AJ106" i="29"/>
  <c r="BD61" i="29"/>
  <c r="AZ64" i="29"/>
  <c r="BB67" i="29"/>
  <c r="AT67" i="29"/>
  <c r="AL67" i="29"/>
  <c r="BA67" i="29"/>
  <c r="AS67" i="29"/>
  <c r="AK67" i="29"/>
  <c r="AZ67" i="29"/>
  <c r="AR67" i="29"/>
  <c r="AJ67" i="29"/>
  <c r="AY67" i="29"/>
  <c r="AQ67" i="29"/>
  <c r="AI67" i="29"/>
  <c r="AX67" i="29"/>
  <c r="AP67" i="29"/>
  <c r="AW67" i="29"/>
  <c r="AO67" i="29"/>
  <c r="BC67" i="29"/>
  <c r="AU67" i="29"/>
  <c r="AM67" i="29"/>
  <c r="AY75" i="29"/>
  <c r="AQ75" i="29"/>
  <c r="AI75" i="29"/>
  <c r="AX75" i="29"/>
  <c r="AP75" i="29"/>
  <c r="AW75" i="29"/>
  <c r="AO75" i="29"/>
  <c r="BD75" i="29"/>
  <c r="AV75" i="29"/>
  <c r="AN75" i="29"/>
  <c r="BC75" i="29"/>
  <c r="AU75" i="29"/>
  <c r="AM75" i="29"/>
  <c r="BB75" i="29"/>
  <c r="AT75" i="29"/>
  <c r="AL75" i="29"/>
  <c r="BA75" i="29"/>
  <c r="AS75" i="29"/>
  <c r="AK75" i="29"/>
  <c r="AZ75" i="29"/>
  <c r="AR75" i="29"/>
  <c r="AJ75" i="29"/>
  <c r="BC83" i="29"/>
  <c r="AU83" i="29"/>
  <c r="AM83" i="29"/>
  <c r="BB83" i="29"/>
  <c r="AT83" i="29"/>
  <c r="AL83" i="29"/>
  <c r="AZ83" i="29"/>
  <c r="AR83" i="29"/>
  <c r="AJ83" i="29"/>
  <c r="AY83" i="29"/>
  <c r="AQ83" i="29"/>
  <c r="AI83" i="29"/>
  <c r="R83" i="29"/>
  <c r="AX83" i="29"/>
  <c r="AP83" i="29"/>
  <c r="AW83" i="29"/>
  <c r="AO83" i="29"/>
  <c r="P83" i="29"/>
  <c r="BD83" i="29"/>
  <c r="BA83" i="29"/>
  <c r="AV83" i="29"/>
  <c r="AS83" i="29"/>
  <c r="AN83" i="29"/>
  <c r="AK83" i="29"/>
  <c r="BC91" i="29"/>
  <c r="AU91" i="29"/>
  <c r="AM91" i="29"/>
  <c r="BB91" i="29"/>
  <c r="AT91" i="29"/>
  <c r="AL91" i="29"/>
  <c r="BA91" i="29"/>
  <c r="AS91" i="29"/>
  <c r="AK91" i="29"/>
  <c r="AZ91" i="29"/>
  <c r="AR91" i="29"/>
  <c r="AJ91" i="29"/>
  <c r="AY91" i="29"/>
  <c r="AQ91" i="29"/>
  <c r="AI91" i="29"/>
  <c r="AX91" i="29"/>
  <c r="AP91" i="29"/>
  <c r="AW91" i="29"/>
  <c r="AO91" i="29"/>
  <c r="BD91" i="29"/>
  <c r="AV91" i="29"/>
  <c r="AN91" i="29"/>
  <c r="BC99" i="29"/>
  <c r="AU99" i="29"/>
  <c r="AM99" i="29"/>
  <c r="BB99" i="29"/>
  <c r="AT99" i="29"/>
  <c r="AL99" i="29"/>
  <c r="BA99" i="29"/>
  <c r="AS99" i="29"/>
  <c r="AK99" i="29"/>
  <c r="AZ99" i="29"/>
  <c r="AR99" i="29"/>
  <c r="AJ99" i="29"/>
  <c r="AY99" i="29"/>
  <c r="AQ99" i="29"/>
  <c r="AI99" i="29"/>
  <c r="AW99" i="29"/>
  <c r="AO99" i="29"/>
  <c r="BD99" i="29"/>
  <c r="AX99" i="29"/>
  <c r="AV99" i="29"/>
  <c r="AP99" i="29"/>
  <c r="AN99" i="29"/>
  <c r="BC107" i="29"/>
  <c r="AU107" i="29"/>
  <c r="AM107" i="29"/>
  <c r="BB107" i="29"/>
  <c r="AT107" i="29"/>
  <c r="AL107" i="29"/>
  <c r="BA107" i="29"/>
  <c r="AS107" i="29"/>
  <c r="AK107" i="29"/>
  <c r="AZ107" i="29"/>
  <c r="AR107" i="29"/>
  <c r="AJ107" i="29"/>
  <c r="AY107" i="29"/>
  <c r="AQ107" i="29"/>
  <c r="AI107" i="29"/>
  <c r="AX107" i="29"/>
  <c r="AP107" i="29"/>
  <c r="AW107" i="29"/>
  <c r="AO107" i="29"/>
  <c r="AN107" i="29"/>
  <c r="BD107" i="29"/>
  <c r="AV107" i="29"/>
  <c r="AN63" i="29"/>
  <c r="AJ66" i="29"/>
  <c r="BD67" i="29"/>
  <c r="AX68" i="29"/>
  <c r="AP68" i="29"/>
  <c r="AW68" i="29"/>
  <c r="AO68" i="29"/>
  <c r="BD68" i="29"/>
  <c r="AV68" i="29"/>
  <c r="AN68" i="29"/>
  <c r="BC68" i="29"/>
  <c r="AU68" i="29"/>
  <c r="AM68" i="29"/>
  <c r="BB68" i="29"/>
  <c r="AT68" i="29"/>
  <c r="AL68" i="29"/>
  <c r="BA68" i="29"/>
  <c r="AS68" i="29"/>
  <c r="AK68" i="29"/>
  <c r="AY68" i="29"/>
  <c r="AQ68" i="29"/>
  <c r="AI68" i="29"/>
  <c r="BC76" i="29"/>
  <c r="AU76" i="29"/>
  <c r="AM76" i="29"/>
  <c r="BB76" i="29"/>
  <c r="AT76" i="29"/>
  <c r="AL76" i="29"/>
  <c r="BA76" i="29"/>
  <c r="AS76" i="29"/>
  <c r="AK76" i="29"/>
  <c r="AZ76" i="29"/>
  <c r="AR76" i="29"/>
  <c r="AJ76" i="29"/>
  <c r="AY76" i="29"/>
  <c r="AQ76" i="29"/>
  <c r="AI76" i="29"/>
  <c r="AX76" i="29"/>
  <c r="AP76" i="29"/>
  <c r="AW76" i="29"/>
  <c r="AO76" i="29"/>
  <c r="BD76" i="29"/>
  <c r="AV76" i="29"/>
  <c r="AN76" i="29"/>
  <c r="AY84" i="29"/>
  <c r="AQ84" i="29"/>
  <c r="AI84" i="29"/>
  <c r="R84" i="29"/>
  <c r="AX84" i="29"/>
  <c r="AP84" i="29"/>
  <c r="BD84" i="29"/>
  <c r="AV84" i="29"/>
  <c r="AN84" i="29"/>
  <c r="BC84" i="29"/>
  <c r="AU84" i="29"/>
  <c r="AM84" i="29"/>
  <c r="BB84" i="29"/>
  <c r="AT84" i="29"/>
  <c r="AL84" i="29"/>
  <c r="BA84" i="29"/>
  <c r="AS84" i="29"/>
  <c r="AK84" i="29"/>
  <c r="AZ84" i="29"/>
  <c r="AW84" i="29"/>
  <c r="P84" i="29"/>
  <c r="AR84" i="29"/>
  <c r="AO84" i="29"/>
  <c r="AJ84" i="29"/>
  <c r="AY92" i="29"/>
  <c r="AQ92" i="29"/>
  <c r="AI92" i="29"/>
  <c r="AX92" i="29"/>
  <c r="AP92" i="29"/>
  <c r="AW92" i="29"/>
  <c r="AO92" i="29"/>
  <c r="BD92" i="29"/>
  <c r="AV92" i="29"/>
  <c r="AN92" i="29"/>
  <c r="BC92" i="29"/>
  <c r="AU92" i="29"/>
  <c r="AM92" i="29"/>
  <c r="BB92" i="29"/>
  <c r="AT92" i="29"/>
  <c r="AL92" i="29"/>
  <c r="BA92" i="29"/>
  <c r="AS92" i="29"/>
  <c r="AK92" i="29"/>
  <c r="AZ92" i="29"/>
  <c r="AR92" i="29"/>
  <c r="AJ92" i="29"/>
  <c r="AU100" i="29"/>
  <c r="AY108" i="29"/>
  <c r="AQ108" i="29"/>
  <c r="AI108" i="29"/>
  <c r="AX108" i="29"/>
  <c r="AP108" i="29"/>
  <c r="AW108" i="29"/>
  <c r="AO108" i="29"/>
  <c r="BD108" i="29"/>
  <c r="AV108" i="29"/>
  <c r="AN108" i="29"/>
  <c r="BC108" i="29"/>
  <c r="AU108" i="29"/>
  <c r="AM108" i="29"/>
  <c r="BB108" i="29"/>
  <c r="AT108" i="29"/>
  <c r="AL108" i="29"/>
  <c r="BA108" i="29"/>
  <c r="AS108" i="29"/>
  <c r="AK108" i="29"/>
  <c r="AZ108" i="29"/>
  <c r="AR108" i="29"/>
  <c r="AJ108" i="29"/>
  <c r="AV63" i="29"/>
  <c r="AR66" i="29"/>
  <c r="AN69" i="29"/>
  <c r="AF75" i="30"/>
  <c r="X75" i="30"/>
  <c r="AE75" i="30"/>
  <c r="AD75" i="30"/>
  <c r="AC75" i="30"/>
  <c r="AA75" i="30"/>
  <c r="AG75" i="30"/>
  <c r="Y75" i="30"/>
  <c r="AF83" i="30"/>
  <c r="X83" i="30"/>
  <c r="AE83" i="30"/>
  <c r="AD83" i="30"/>
  <c r="AC83" i="30"/>
  <c r="AB83" i="30"/>
  <c r="AA83" i="30"/>
  <c r="AG83" i="30"/>
  <c r="Y83" i="30"/>
  <c r="AA49" i="30"/>
  <c r="AA53" i="30"/>
  <c r="AC54" i="30"/>
  <c r="AE55" i="30"/>
  <c r="Y56" i="30"/>
  <c r="AG56" i="30"/>
  <c r="AA57" i="30"/>
  <c r="AC58" i="30"/>
  <c r="AE59" i="30"/>
  <c r="Y60" i="30"/>
  <c r="AG60" i="30"/>
  <c r="AA61" i="30"/>
  <c r="AE63" i="30"/>
  <c r="Y64" i="30"/>
  <c r="AG64" i="30"/>
  <c r="AA65" i="30"/>
  <c r="AC66" i="30"/>
  <c r="AE67" i="30"/>
  <c r="Y68" i="30"/>
  <c r="AG68" i="30"/>
  <c r="AA69" i="30"/>
  <c r="AE71" i="30"/>
  <c r="Y72" i="30"/>
  <c r="AG72" i="30"/>
  <c r="AH74" i="30"/>
  <c r="AH76" i="30"/>
  <c r="Z76" i="30"/>
  <c r="AG76" i="30"/>
  <c r="Y76" i="30"/>
  <c r="AF76" i="30"/>
  <c r="X76" i="30"/>
  <c r="AE76" i="30"/>
  <c r="AC76" i="30"/>
  <c r="AA76" i="30"/>
  <c r="AH84" i="30"/>
  <c r="Z84" i="30"/>
  <c r="AG84" i="30"/>
  <c r="Y84" i="30"/>
  <c r="AF84" i="30"/>
  <c r="X84" i="30"/>
  <c r="AE84" i="30"/>
  <c r="AD84" i="30"/>
  <c r="AC84" i="30"/>
  <c r="AA84" i="30"/>
  <c r="AB49" i="30"/>
  <c r="AH52" i="30"/>
  <c r="AB53" i="30"/>
  <c r="AD54" i="30"/>
  <c r="X55" i="30"/>
  <c r="AF55" i="30"/>
  <c r="Z56" i="30"/>
  <c r="AH56" i="30"/>
  <c r="AB57" i="30"/>
  <c r="AD58" i="30"/>
  <c r="X59" i="30"/>
  <c r="AF59" i="30"/>
  <c r="Z60" i="30"/>
  <c r="AH60" i="30"/>
  <c r="AB61" i="30"/>
  <c r="X63" i="30"/>
  <c r="AF63" i="30"/>
  <c r="Z64" i="30"/>
  <c r="AH64" i="30"/>
  <c r="AB65" i="30"/>
  <c r="AD66" i="30"/>
  <c r="X67" i="30"/>
  <c r="AF67" i="30"/>
  <c r="Z68" i="30"/>
  <c r="AH68" i="30"/>
  <c r="AB69" i="30"/>
  <c r="X71" i="30"/>
  <c r="AF71" i="30"/>
  <c r="Z72" i="30"/>
  <c r="AH72" i="30"/>
  <c r="AB76" i="30"/>
  <c r="Z79" i="30"/>
  <c r="AB84" i="30"/>
  <c r="AB77" i="30"/>
  <c r="AA77" i="30"/>
  <c r="AH77" i="30"/>
  <c r="Z77" i="30"/>
  <c r="AG77" i="30"/>
  <c r="Y77" i="30"/>
  <c r="AE77" i="30"/>
  <c r="AC77" i="30"/>
  <c r="AB85" i="30"/>
  <c r="AA85" i="30"/>
  <c r="AH85" i="30"/>
  <c r="Z85" i="30"/>
  <c r="AG85" i="30"/>
  <c r="Y85" i="30"/>
  <c r="AF85" i="30"/>
  <c r="X85" i="30"/>
  <c r="AE85" i="30"/>
  <c r="AC85" i="30"/>
  <c r="AC49" i="30"/>
  <c r="AA52" i="30"/>
  <c r="AC53" i="30"/>
  <c r="AE54" i="30"/>
  <c r="Y55" i="30"/>
  <c r="AG55" i="30"/>
  <c r="AA56" i="30"/>
  <c r="AC57" i="30"/>
  <c r="AE58" i="30"/>
  <c r="Y59" i="30"/>
  <c r="AG59" i="30"/>
  <c r="AA60" i="30"/>
  <c r="AC61" i="30"/>
  <c r="Y63" i="30"/>
  <c r="AG63" i="30"/>
  <c r="AA64" i="30"/>
  <c r="AC65" i="30"/>
  <c r="AE66" i="30"/>
  <c r="Y67" i="30"/>
  <c r="AG67" i="30"/>
  <c r="AA68" i="30"/>
  <c r="AC69" i="30"/>
  <c r="Y71" i="30"/>
  <c r="AG71" i="30"/>
  <c r="AA72" i="30"/>
  <c r="X73" i="30"/>
  <c r="AD76" i="30"/>
  <c r="AB79" i="30"/>
  <c r="AD78" i="30"/>
  <c r="AH86" i="30"/>
  <c r="AD49" i="30"/>
  <c r="AF50" i="30"/>
  <c r="J8" i="32" s="1"/>
  <c r="AB52" i="30"/>
  <c r="AD53" i="30"/>
  <c r="X54" i="30"/>
  <c r="AF54" i="30"/>
  <c r="Z55" i="30"/>
  <c r="AH55" i="30"/>
  <c r="AB56" i="30"/>
  <c r="AD57" i="30"/>
  <c r="X58" i="30"/>
  <c r="AF58" i="30"/>
  <c r="Z59" i="30"/>
  <c r="AH59" i="30"/>
  <c r="AB60" i="30"/>
  <c r="AD61" i="30"/>
  <c r="Z63" i="30"/>
  <c r="AH63" i="30"/>
  <c r="AB64" i="30"/>
  <c r="AD65" i="30"/>
  <c r="X66" i="30"/>
  <c r="AF66" i="30"/>
  <c r="Z67" i="30"/>
  <c r="AH67" i="30"/>
  <c r="AB68" i="30"/>
  <c r="AD69" i="30"/>
  <c r="Z71" i="30"/>
  <c r="AH71" i="30"/>
  <c r="AB72" i="30"/>
  <c r="AC73" i="30"/>
  <c r="Z75" i="30"/>
  <c r="X82" i="30"/>
  <c r="AF79" i="30"/>
  <c r="X79" i="30"/>
  <c r="AE79" i="30"/>
  <c r="AD79" i="30"/>
  <c r="AC79" i="30"/>
  <c r="AA79" i="30"/>
  <c r="AG79" i="30"/>
  <c r="Y79" i="30"/>
  <c r="AF87" i="30"/>
  <c r="X87" i="30"/>
  <c r="AE87" i="30"/>
  <c r="AD87" i="30"/>
  <c r="AC87" i="30"/>
  <c r="AB87" i="30"/>
  <c r="AA87" i="30"/>
  <c r="AH87" i="30"/>
  <c r="Z87" i="30"/>
  <c r="AG87" i="30"/>
  <c r="Y87" i="30"/>
  <c r="AE49" i="30"/>
  <c r="Y50" i="30"/>
  <c r="C8" i="32" s="1"/>
  <c r="AC52" i="30"/>
  <c r="AE53" i="30"/>
  <c r="Y54" i="30"/>
  <c r="AG54" i="30"/>
  <c r="AA55" i="30"/>
  <c r="AC56" i="30"/>
  <c r="AE57" i="30"/>
  <c r="Y58" i="30"/>
  <c r="AG58" i="30"/>
  <c r="AA59" i="30"/>
  <c r="AC60" i="30"/>
  <c r="AE61" i="30"/>
  <c r="AA63" i="30"/>
  <c r="AC64" i="30"/>
  <c r="AE65" i="30"/>
  <c r="Y66" i="30"/>
  <c r="AG66" i="30"/>
  <c r="AA67" i="30"/>
  <c r="AC68" i="30"/>
  <c r="AE69" i="30"/>
  <c r="AG70" i="30"/>
  <c r="AA71" i="30"/>
  <c r="AC72" i="30"/>
  <c r="AD73" i="30"/>
  <c r="X74" i="30"/>
  <c r="AB75" i="30"/>
  <c r="AD85" i="30"/>
  <c r="AH80" i="30"/>
  <c r="Z80" i="30"/>
  <c r="AG80" i="30"/>
  <c r="Y80" i="30"/>
  <c r="AF80" i="30"/>
  <c r="X80" i="30"/>
  <c r="AE80" i="30"/>
  <c r="AD80" i="30"/>
  <c r="AC80" i="30"/>
  <c r="AA80" i="30"/>
  <c r="X49" i="30"/>
  <c r="AF49" i="30"/>
  <c r="AD52" i="30"/>
  <c r="X53" i="30"/>
  <c r="AF53" i="30"/>
  <c r="Z54" i="30"/>
  <c r="AH54" i="30"/>
  <c r="AB55" i="30"/>
  <c r="AD56" i="30"/>
  <c r="X57" i="30"/>
  <c r="AF57" i="30"/>
  <c r="Z58" i="30"/>
  <c r="AH58" i="30"/>
  <c r="AB59" i="30"/>
  <c r="AD60" i="30"/>
  <c r="X61" i="30"/>
  <c r="AF61" i="30"/>
  <c r="AB63" i="30"/>
  <c r="AD64" i="30"/>
  <c r="X65" i="30"/>
  <c r="AF65" i="30"/>
  <c r="Z66" i="30"/>
  <c r="AH66" i="30"/>
  <c r="AB67" i="30"/>
  <c r="AD68" i="30"/>
  <c r="X69" i="30"/>
  <c r="AF69" i="30"/>
  <c r="AB71" i="30"/>
  <c r="AD72" i="30"/>
  <c r="Y74" i="30"/>
  <c r="AH75" i="30"/>
  <c r="AB73" i="30"/>
  <c r="AA73" i="30"/>
  <c r="AH73" i="30"/>
  <c r="Z73" i="30"/>
  <c r="AG73" i="30"/>
  <c r="Y73" i="30"/>
  <c r="AB81" i="30"/>
  <c r="AA81" i="30"/>
  <c r="AH81" i="30"/>
  <c r="Z81" i="30"/>
  <c r="AG81" i="30"/>
  <c r="Y81" i="30"/>
  <c r="AF81" i="30"/>
  <c r="X81" i="30"/>
  <c r="AE81" i="30"/>
  <c r="AC81" i="30"/>
  <c r="Y49" i="30"/>
  <c r="AG49" i="30"/>
  <c r="AE52" i="30"/>
  <c r="Y53" i="30"/>
  <c r="AG53" i="30"/>
  <c r="AA54" i="30"/>
  <c r="AC55" i="30"/>
  <c r="AE56" i="30"/>
  <c r="Y57" i="30"/>
  <c r="AG57" i="30"/>
  <c r="AA58" i="30"/>
  <c r="AC59" i="30"/>
  <c r="AE60" i="30"/>
  <c r="Y61" i="30"/>
  <c r="AG61" i="30"/>
  <c r="AC63" i="30"/>
  <c r="AE64" i="30"/>
  <c r="Y65" i="30"/>
  <c r="AG65" i="30"/>
  <c r="AA66" i="30"/>
  <c r="AC67" i="30"/>
  <c r="AE68" i="30"/>
  <c r="Y69" i="30"/>
  <c r="AG69" i="30"/>
  <c r="AA70" i="30"/>
  <c r="AC71" i="30"/>
  <c r="AE72" i="30"/>
  <c r="AF73" i="30"/>
  <c r="X77" i="30"/>
  <c r="AB80" i="30"/>
  <c r="Z83" i="30"/>
  <c r="AD74" i="30"/>
  <c r="AC74" i="30"/>
  <c r="AB74" i="30"/>
  <c r="AA74" i="30"/>
  <c r="AG74" i="30"/>
  <c r="AE74" i="30"/>
  <c r="AD82" i="30"/>
  <c r="AC82" i="30"/>
  <c r="AB82" i="30"/>
  <c r="AA82" i="30"/>
  <c r="AH82" i="30"/>
  <c r="Z82" i="30"/>
  <c r="AG82" i="30"/>
  <c r="Y82" i="30"/>
  <c r="AE82" i="30"/>
  <c r="Z49" i="30"/>
  <c r="X52" i="30"/>
  <c r="Z53" i="30"/>
  <c r="X56" i="30"/>
  <c r="Z57" i="30"/>
  <c r="X60" i="30"/>
  <c r="Z61" i="30"/>
  <c r="X64" i="30"/>
  <c r="Z65" i="30"/>
  <c r="X68" i="30"/>
  <c r="Z69" i="30"/>
  <c r="X72" i="30"/>
  <c r="AF74" i="30"/>
  <c r="AD77" i="30"/>
  <c r="AH83" i="30"/>
  <c r="C8" i="31"/>
  <c r="G8" i="31"/>
  <c r="K8" i="31"/>
  <c r="O8" i="31"/>
  <c r="S8" i="31"/>
  <c r="W8" i="31"/>
  <c r="D8" i="31"/>
  <c r="H8" i="31"/>
  <c r="L8" i="31"/>
  <c r="P8" i="31"/>
  <c r="T8" i="31"/>
  <c r="E8" i="31"/>
  <c r="M8" i="31"/>
  <c r="Q8" i="31"/>
  <c r="F8" i="31"/>
  <c r="J8" i="31"/>
  <c r="N8" i="31"/>
  <c r="R8" i="31"/>
  <c r="V8" i="31"/>
  <c r="AQ7" i="24"/>
  <c r="AV6" i="24"/>
  <c r="AR7" i="24"/>
  <c r="AQ11" i="24"/>
  <c r="AR17" i="24"/>
  <c r="AR25" i="24"/>
  <c r="AR36" i="24"/>
  <c r="AV36" i="24" s="1"/>
  <c r="AR39" i="24"/>
  <c r="AV47" i="24"/>
  <c r="AQ2" i="26"/>
  <c r="AO10" i="26"/>
  <c r="AJ3" i="26"/>
  <c r="AT3" i="26"/>
  <c r="AT2" i="26"/>
  <c r="AJ2" i="26"/>
  <c r="AJ13" i="21"/>
  <c r="Z3" i="21"/>
  <c r="AH3" i="21" s="1"/>
  <c r="Z6" i="21"/>
  <c r="AH6" i="21" s="1"/>
  <c r="Z8" i="21"/>
  <c r="AH8" i="21" s="1"/>
  <c r="Z4" i="21"/>
  <c r="AH4" i="21" s="1"/>
  <c r="AJ8" i="21"/>
  <c r="AJ3" i="21"/>
  <c r="Z13" i="21"/>
  <c r="AH13" i="21" s="1"/>
  <c r="W5" i="21"/>
  <c r="Z5" i="21" s="1"/>
  <c r="AH5" i="21" s="1"/>
  <c r="U9" i="21"/>
  <c r="AI9" i="21" s="1"/>
  <c r="U10" i="21"/>
  <c r="AI10" i="21" s="1"/>
  <c r="X4" i="21"/>
  <c r="AF4" i="21" s="1"/>
  <c r="M593" i="21"/>
  <c r="U12" i="21" s="1"/>
  <c r="AI12" i="21" s="1"/>
  <c r="AJ4" i="21"/>
  <c r="X8" i="21"/>
  <c r="AF8" i="21" s="1"/>
  <c r="AO8" i="16"/>
  <c r="AC115" i="17"/>
  <c r="AC136" i="17"/>
  <c r="AC143" i="17"/>
  <c r="AC152" i="17"/>
  <c r="AC163" i="17"/>
  <c r="AC211" i="17"/>
  <c r="AC4" i="17"/>
  <c r="AC16" i="17"/>
  <c r="AC24" i="17"/>
  <c r="AC219" i="17"/>
  <c r="AT8" i="16"/>
  <c r="AC13" i="17"/>
  <c r="AC21" i="17"/>
  <c r="AC41" i="17"/>
  <c r="AC49" i="17"/>
  <c r="AC119" i="17"/>
  <c r="AC124" i="17"/>
  <c r="AC138" i="17"/>
  <c r="AC156" i="17"/>
  <c r="AC171" i="17"/>
  <c r="AC6" i="17"/>
  <c r="AC8" i="17"/>
  <c r="AC10" i="17"/>
  <c r="AC18" i="17"/>
  <c r="AC26" i="17"/>
  <c r="AC28" i="17"/>
  <c r="AC30" i="17"/>
  <c r="AC32" i="17"/>
  <c r="AC34" i="17"/>
  <c r="AC36" i="17"/>
  <c r="AC38" i="17"/>
  <c r="AC46" i="17"/>
  <c r="AC51" i="17"/>
  <c r="AC53" i="17"/>
  <c r="AC55" i="17"/>
  <c r="AC57" i="17"/>
  <c r="AC59" i="17"/>
  <c r="AC61" i="17"/>
  <c r="AC63" i="17"/>
  <c r="AC65" i="17"/>
  <c r="AC67" i="17"/>
  <c r="AC69" i="17"/>
  <c r="AC71" i="17"/>
  <c r="AC73" i="17"/>
  <c r="AC75" i="17"/>
  <c r="AC77" i="17"/>
  <c r="AC79" i="17"/>
  <c r="AC81" i="17"/>
  <c r="AC83" i="17"/>
  <c r="AC85" i="17"/>
  <c r="AC87" i="17"/>
  <c r="AC89" i="17"/>
  <c r="AC91" i="17"/>
  <c r="AC93" i="17"/>
  <c r="AC95" i="17"/>
  <c r="AC97" i="17"/>
  <c r="AC99" i="17"/>
  <c r="AC101" i="17"/>
  <c r="AC103" i="17"/>
  <c r="AC105" i="17"/>
  <c r="AC107" i="17"/>
  <c r="AC109" i="17"/>
  <c r="AC114" i="17"/>
  <c r="AC140" i="17"/>
  <c r="AC147" i="17"/>
  <c r="AC160" i="17"/>
  <c r="AC135" i="17"/>
  <c r="AC151" i="17"/>
  <c r="AC179" i="17"/>
  <c r="AC12" i="17"/>
  <c r="AC20" i="17"/>
  <c r="AC40" i="17"/>
  <c r="AC48" i="17"/>
  <c r="AC168" i="17"/>
  <c r="AC187" i="17"/>
  <c r="AC113" i="17"/>
  <c r="AC123" i="17"/>
  <c r="AC130" i="17"/>
  <c r="AC146" i="17"/>
  <c r="AC155" i="17"/>
  <c r="AC195" i="17"/>
  <c r="AC2" i="17"/>
  <c r="AI2" i="17" s="1"/>
  <c r="AC7" i="17"/>
  <c r="AC9" i="17"/>
  <c r="AC14" i="17"/>
  <c r="AC22" i="17"/>
  <c r="AC27" i="17"/>
  <c r="AC29" i="17"/>
  <c r="AC31" i="17"/>
  <c r="AC33" i="17"/>
  <c r="AC35" i="17"/>
  <c r="AC37" i="17"/>
  <c r="AC42" i="17"/>
  <c r="AC50" i="17"/>
  <c r="AC52" i="17"/>
  <c r="AC54" i="17"/>
  <c r="AC56" i="17"/>
  <c r="AC58" i="17"/>
  <c r="AC60" i="17"/>
  <c r="AC62" i="17"/>
  <c r="AC64" i="17"/>
  <c r="AC66" i="17"/>
  <c r="AC68" i="17"/>
  <c r="AC70" i="17"/>
  <c r="AC72" i="17"/>
  <c r="AC74" i="17"/>
  <c r="AC76" i="17"/>
  <c r="AC78" i="17"/>
  <c r="AC80" i="17"/>
  <c r="AC82" i="17"/>
  <c r="AC84" i="17"/>
  <c r="AC86" i="17"/>
  <c r="AC88" i="17"/>
  <c r="AC90" i="17"/>
  <c r="AC92" i="17"/>
  <c r="AC94" i="17"/>
  <c r="AC96" i="17"/>
  <c r="AC98" i="17"/>
  <c r="AC100" i="17"/>
  <c r="AC127" i="17"/>
  <c r="AC132" i="17"/>
  <c r="AC139" i="17"/>
  <c r="AC148" i="17"/>
  <c r="AC176" i="17"/>
  <c r="AC203" i="17"/>
  <c r="AC102" i="17"/>
  <c r="AC104" i="17"/>
  <c r="AC106" i="17"/>
  <c r="AC108" i="17"/>
  <c r="AC110" i="17"/>
  <c r="AC118" i="17"/>
  <c r="AC126" i="17"/>
  <c r="AC134" i="17"/>
  <c r="AC142" i="17"/>
  <c r="AC150" i="17"/>
  <c r="AC158" i="17"/>
  <c r="AC166" i="17"/>
  <c r="AC174" i="17"/>
  <c r="AC182" i="17"/>
  <c r="AC190" i="17"/>
  <c r="AC198" i="17"/>
  <c r="AC206" i="17"/>
  <c r="AC214" i="17"/>
  <c r="AQ2" i="16"/>
  <c r="AC184" i="17"/>
  <c r="AC192" i="17"/>
  <c r="AC200" i="17"/>
  <c r="AC208" i="17"/>
  <c r="AC216" i="17"/>
  <c r="AC117" i="17"/>
  <c r="AC125" i="17"/>
  <c r="AC133" i="17"/>
  <c r="AC141" i="17"/>
  <c r="AC149" i="17"/>
  <c r="AC157" i="17"/>
  <c r="AC165" i="17"/>
  <c r="AC173" i="17"/>
  <c r="AC181" i="17"/>
  <c r="AC189" i="17"/>
  <c r="AC197" i="17"/>
  <c r="AC205" i="17"/>
  <c r="AC213" i="17"/>
  <c r="AC221" i="17"/>
  <c r="AC154" i="17"/>
  <c r="AC162" i="17"/>
  <c r="AC170" i="17"/>
  <c r="AC178" i="17"/>
  <c r="AC186" i="17"/>
  <c r="AC194" i="17"/>
  <c r="AC202" i="17"/>
  <c r="AC210" i="17"/>
  <c r="AC218" i="17"/>
  <c r="AC159" i="17"/>
  <c r="AI6" i="17" s="1"/>
  <c r="AC167" i="17"/>
  <c r="AC175" i="17"/>
  <c r="AC183" i="17"/>
  <c r="AC191" i="17"/>
  <c r="AC199" i="17"/>
  <c r="AC207" i="17"/>
  <c r="AC215" i="17"/>
  <c r="AC164" i="17"/>
  <c r="AC172" i="17"/>
  <c r="AC180" i="17"/>
  <c r="AC188" i="17"/>
  <c r="AC196" i="17"/>
  <c r="AC204" i="17"/>
  <c r="AC212" i="17"/>
  <c r="AC220" i="17"/>
  <c r="AC137" i="17"/>
  <c r="AC145" i="17"/>
  <c r="AC153" i="17"/>
  <c r="AC161" i="17"/>
  <c r="AC169" i="17"/>
  <c r="AC177" i="17"/>
  <c r="AC185" i="17"/>
  <c r="AC193" i="17"/>
  <c r="AC201" i="17"/>
  <c r="AC209" i="17"/>
  <c r="AC217" i="17"/>
  <c r="M18" i="6"/>
  <c r="AI58" i="9"/>
  <c r="AI58" i="8"/>
  <c r="AI62" i="8" s="1"/>
  <c r="AI58" i="7"/>
  <c r="AA48" i="12"/>
  <c r="AA48" i="13"/>
  <c r="AA48" i="10"/>
  <c r="AA48" i="11"/>
  <c r="AD58" i="8"/>
  <c r="AD58" i="9"/>
  <c r="AD58" i="7"/>
  <c r="AJ58" i="8"/>
  <c r="AJ58" i="9"/>
  <c r="AJ58" i="7"/>
  <c r="W58" i="8"/>
  <c r="W62" i="8" s="1"/>
  <c r="W58" i="9"/>
  <c r="W58" i="7"/>
  <c r="AG58" i="8"/>
  <c r="AG58" i="9"/>
  <c r="AG58" i="7"/>
  <c r="AH58" i="8"/>
  <c r="AH58" i="9"/>
  <c r="AH58" i="7"/>
  <c r="O58" i="8"/>
  <c r="O62" i="8" s="1"/>
  <c r="O58" i="9"/>
  <c r="O58" i="7"/>
  <c r="AD62" i="6"/>
  <c r="AA58" i="9"/>
  <c r="AA58" i="8"/>
  <c r="AA62" i="8" s="1"/>
  <c r="AA58" i="7"/>
  <c r="U60" i="7"/>
  <c r="AA46" i="13"/>
  <c r="AA46" i="11"/>
  <c r="AA46" i="12"/>
  <c r="AA46" i="10"/>
  <c r="AA60" i="9"/>
  <c r="AA60" i="8"/>
  <c r="AI60" i="9"/>
  <c r="AI60" i="8"/>
  <c r="D18" i="5"/>
  <c r="AB60" i="6" s="1"/>
  <c r="AB58" i="24" s="1"/>
  <c r="D28" i="5"/>
  <c r="AL60" i="6" s="1"/>
  <c r="AL58" i="24" s="1"/>
  <c r="AA47" i="13"/>
  <c r="AA47" i="12"/>
  <c r="AA47" i="11"/>
  <c r="AA47" i="10"/>
  <c r="U48" i="12"/>
  <c r="U48" i="13"/>
  <c r="U48" i="11"/>
  <c r="U48" i="10"/>
  <c r="R58" i="8"/>
  <c r="R62" i="8" s="1"/>
  <c r="R58" i="9"/>
  <c r="R58" i="7"/>
  <c r="AE58" i="8"/>
  <c r="AE58" i="9"/>
  <c r="AE58" i="7"/>
  <c r="AH61" i="6"/>
  <c r="AK58" i="8"/>
  <c r="AK62" i="8" s="1"/>
  <c r="AK58" i="9"/>
  <c r="AK58" i="7"/>
  <c r="V60" i="7"/>
  <c r="L58" i="9"/>
  <c r="L58" i="8"/>
  <c r="L62" i="8" s="1"/>
  <c r="L58" i="7"/>
  <c r="AI59" i="7"/>
  <c r="AG60" i="9"/>
  <c r="AG60" i="8"/>
  <c r="AB59" i="9"/>
  <c r="AB59" i="8"/>
  <c r="F28" i="5"/>
  <c r="AL60" i="24" s="1"/>
  <c r="E28" i="5"/>
  <c r="AL59" i="24" s="1"/>
  <c r="AJ59" i="9"/>
  <c r="AJ59" i="8"/>
  <c r="F18" i="5"/>
  <c r="AB60" i="24" s="1"/>
  <c r="R46" i="13"/>
  <c r="R46" i="12"/>
  <c r="R46" i="10"/>
  <c r="R46" i="11"/>
  <c r="AJ60" i="9"/>
  <c r="AJ60" i="8"/>
  <c r="P58" i="8"/>
  <c r="P62" i="8" s="1"/>
  <c r="P58" i="9"/>
  <c r="P58" i="7"/>
  <c r="AC58" i="8"/>
  <c r="AC62" i="8" s="1"/>
  <c r="AC58" i="9"/>
  <c r="AC58" i="7"/>
  <c r="AF58" i="8"/>
  <c r="AF58" i="9"/>
  <c r="AF58" i="7"/>
  <c r="AB59" i="7"/>
  <c r="AJ59" i="7"/>
  <c r="S58" i="9"/>
  <c r="S58" i="8"/>
  <c r="S58" i="7"/>
  <c r="AG60" i="7"/>
  <c r="W46" i="12"/>
  <c r="W46" i="13"/>
  <c r="W46" i="10"/>
  <c r="W46" i="11"/>
  <c r="W47" i="12"/>
  <c r="W47" i="13"/>
  <c r="W47" i="10"/>
  <c r="W47" i="11"/>
  <c r="AH59" i="9"/>
  <c r="AH59" i="8"/>
  <c r="Z46" i="13"/>
  <c r="Z46" i="12"/>
  <c r="Z50" i="12" s="1"/>
  <c r="Z46" i="10"/>
  <c r="Z46" i="11"/>
  <c r="Z50" i="11" s="1"/>
  <c r="AD59" i="9"/>
  <c r="AD59" i="8"/>
  <c r="F41" i="5"/>
  <c r="W48" i="25" s="1"/>
  <c r="U60" i="9"/>
  <c r="U60" i="8"/>
  <c r="AH60" i="9"/>
  <c r="AH60" i="8"/>
  <c r="Z47" i="13"/>
  <c r="Z47" i="11"/>
  <c r="Z47" i="12"/>
  <c r="Z47" i="10"/>
  <c r="P15" i="5"/>
  <c r="M58" i="8"/>
  <c r="M62" i="8" s="1"/>
  <c r="M58" i="9"/>
  <c r="M58" i="7"/>
  <c r="Z62" i="6"/>
  <c r="AI62" i="6"/>
  <c r="AD59" i="7"/>
  <c r="AH60" i="7"/>
  <c r="V60" i="9"/>
  <c r="V60" i="8"/>
  <c r="Z48" i="13"/>
  <c r="Z48" i="12"/>
  <c r="Z48" i="10"/>
  <c r="Z48" i="11"/>
  <c r="Q58" i="8"/>
  <c r="Q62" i="8" s="1"/>
  <c r="Q58" i="9"/>
  <c r="Q58" i="7"/>
  <c r="AA60" i="7"/>
  <c r="AI60" i="7"/>
  <c r="AD60" i="9"/>
  <c r="AD60" i="8"/>
  <c r="Y46" i="13"/>
  <c r="Y46" i="12"/>
  <c r="Y46" i="11"/>
  <c r="Y46" i="10"/>
  <c r="P16" i="5"/>
  <c r="Y48" i="13"/>
  <c r="Y48" i="12"/>
  <c r="Y48" i="11"/>
  <c r="Y48" i="10"/>
  <c r="Z60" i="9"/>
  <c r="Z60" i="8"/>
  <c r="AI59" i="9"/>
  <c r="AI59" i="8"/>
  <c r="P17" i="5"/>
  <c r="U58" i="8"/>
  <c r="U62" i="8" s="1"/>
  <c r="U58" i="9"/>
  <c r="U58" i="7"/>
  <c r="X58" i="8"/>
  <c r="X62" i="8" s="1"/>
  <c r="X58" i="9"/>
  <c r="X58" i="7"/>
  <c r="AA62" i="6"/>
  <c r="AD61" i="6"/>
  <c r="AG62" i="6"/>
  <c r="AJ61" i="6"/>
  <c r="Z58" i="8"/>
  <c r="Z62" i="8" s="1"/>
  <c r="Z58" i="9"/>
  <c r="Z58" i="7"/>
  <c r="AJ60" i="7"/>
  <c r="O50" i="12"/>
  <c r="V45" i="10"/>
  <c r="AA45" i="10"/>
  <c r="T49" i="10"/>
  <c r="Z55" i="9"/>
  <c r="Z51" i="9"/>
  <c r="Z47" i="9"/>
  <c r="Z43" i="9"/>
  <c r="Z39" i="9"/>
  <c r="Z35" i="9"/>
  <c r="Z52" i="9"/>
  <c r="Z48" i="9"/>
  <c r="Z44" i="9"/>
  <c r="Z40" i="9"/>
  <c r="Z36" i="9"/>
  <c r="Z53" i="9"/>
  <c r="Z49" i="9"/>
  <c r="Z45" i="9"/>
  <c r="Z41" i="9"/>
  <c r="Z37" i="9"/>
  <c r="Z54" i="9"/>
  <c r="Z50" i="9"/>
  <c r="Z46" i="9"/>
  <c r="Z42" i="9"/>
  <c r="Z38" i="9"/>
  <c r="Z31" i="9"/>
  <c r="Z27" i="9"/>
  <c r="Z23" i="9"/>
  <c r="Z32" i="9"/>
  <c r="Z28" i="9"/>
  <c r="Z24" i="9"/>
  <c r="Z20" i="9"/>
  <c r="Z33" i="9"/>
  <c r="Z29" i="9"/>
  <c r="Z25" i="9"/>
  <c r="Z21" i="9"/>
  <c r="Z34" i="9"/>
  <c r="Z30" i="9"/>
  <c r="Z26" i="9"/>
  <c r="Z22" i="9"/>
  <c r="Z18" i="9"/>
  <c r="Z16" i="9"/>
  <c r="Z15" i="9"/>
  <c r="Z11" i="9"/>
  <c r="Z7" i="9"/>
  <c r="Z19" i="9"/>
  <c r="Z17" i="9"/>
  <c r="Z12" i="9"/>
  <c r="Z8" i="9"/>
  <c r="Z13" i="9"/>
  <c r="Z9" i="9"/>
  <c r="Z5" i="9"/>
  <c r="Z14" i="9"/>
  <c r="Z10" i="9"/>
  <c r="Z6" i="9"/>
  <c r="AA55" i="9"/>
  <c r="AA51" i="9"/>
  <c r="AA47" i="9"/>
  <c r="AA43" i="9"/>
  <c r="AA52" i="9"/>
  <c r="AA48" i="9"/>
  <c r="AA44" i="9"/>
  <c r="AA53" i="9"/>
  <c r="AA49" i="9"/>
  <c r="AA45" i="9"/>
  <c r="AA41" i="9"/>
  <c r="AA54" i="9"/>
  <c r="AA50" i="9"/>
  <c r="AA46" i="9"/>
  <c r="AA42" i="9"/>
  <c r="AA37" i="9"/>
  <c r="AA31" i="9"/>
  <c r="AA27" i="9"/>
  <c r="AA23" i="9"/>
  <c r="AA19" i="9"/>
  <c r="AA38" i="9"/>
  <c r="AA39" i="9"/>
  <c r="AA32" i="9"/>
  <c r="AA28" i="9"/>
  <c r="AA24" i="9"/>
  <c r="AA40" i="9"/>
  <c r="AA33" i="9"/>
  <c r="AA29" i="9"/>
  <c r="AA25" i="9"/>
  <c r="AA21" i="9"/>
  <c r="AA35" i="9"/>
  <c r="AA34" i="9"/>
  <c r="AA30" i="9"/>
  <c r="AA26" i="9"/>
  <c r="AA22" i="9"/>
  <c r="AA18" i="9"/>
  <c r="AA36" i="9"/>
  <c r="AA20" i="9"/>
  <c r="AA16" i="9"/>
  <c r="AA15" i="9"/>
  <c r="AA11" i="9"/>
  <c r="AA7" i="9"/>
  <c r="AA17" i="9"/>
  <c r="AA12" i="9"/>
  <c r="AA8" i="9"/>
  <c r="AA13" i="9"/>
  <c r="AA9" i="9"/>
  <c r="AA5" i="9"/>
  <c r="AA14" i="9"/>
  <c r="AA10" i="9"/>
  <c r="AA6" i="9"/>
  <c r="M67" i="6"/>
  <c r="M68" i="6"/>
  <c r="M47" i="6"/>
  <c r="M32" i="6"/>
  <c r="AF59" i="6"/>
  <c r="AF64" i="6" s="1"/>
  <c r="M16" i="6"/>
  <c r="Z59" i="6"/>
  <c r="M30" i="6"/>
  <c r="W59" i="6"/>
  <c r="W64" i="6" s="1"/>
  <c r="D37" i="5"/>
  <c r="S46" i="25" s="1"/>
  <c r="E36" i="5"/>
  <c r="R47" i="25" s="1"/>
  <c r="F36" i="5"/>
  <c r="R48" i="25" s="1"/>
  <c r="R50" i="25" s="1"/>
  <c r="R49" i="25" s="1"/>
  <c r="AJ8" i="16" l="1"/>
  <c r="AO9" i="16"/>
  <c r="AA26" i="24"/>
  <c r="AA43" i="24"/>
  <c r="AA28" i="24"/>
  <c r="AA21" i="24"/>
  <c r="AA22" i="24"/>
  <c r="AA13" i="24"/>
  <c r="AA54" i="24"/>
  <c r="AA25" i="24"/>
  <c r="AA29" i="24"/>
  <c r="AA55" i="24"/>
  <c r="AA36" i="24"/>
  <c r="AA8" i="24"/>
  <c r="AA27" i="24"/>
  <c r="AA46" i="24"/>
  <c r="AA39" i="24"/>
  <c r="AA31" i="24"/>
  <c r="AA35" i="24"/>
  <c r="AA9" i="24"/>
  <c r="AA33" i="24"/>
  <c r="AA37" i="24"/>
  <c r="AA19" i="24"/>
  <c r="AA11" i="24"/>
  <c r="AA17" i="24"/>
  <c r="AA12" i="24"/>
  <c r="AA38" i="24"/>
  <c r="AA14" i="24"/>
  <c r="AA32" i="24"/>
  <c r="AA49" i="24"/>
  <c r="AA53" i="24"/>
  <c r="AA10" i="24"/>
  <c r="AA42" i="24"/>
  <c r="AA50" i="24"/>
  <c r="AA15" i="24"/>
  <c r="AA18" i="24"/>
  <c r="AA24" i="24"/>
  <c r="AA6" i="24"/>
  <c r="AA44" i="24"/>
  <c r="AA20" i="24"/>
  <c r="AA51" i="24"/>
  <c r="AA23" i="24"/>
  <c r="AA47" i="24"/>
  <c r="AA34" i="24"/>
  <c r="AA30" i="24"/>
  <c r="AA45" i="24"/>
  <c r="AA41" i="24"/>
  <c r="AA40" i="24"/>
  <c r="AA5" i="24"/>
  <c r="AA16" i="24"/>
  <c r="AA7" i="24"/>
  <c r="AA48" i="24"/>
  <c r="AA52" i="24"/>
  <c r="P49" i="11"/>
  <c r="P49" i="25"/>
  <c r="P59" i="6"/>
  <c r="P64" i="6" s="1"/>
  <c r="M53" i="6"/>
  <c r="AA59" i="6"/>
  <c r="M34" i="6"/>
  <c r="M29" i="6"/>
  <c r="M24" i="6"/>
  <c r="AH59" i="6"/>
  <c r="AH64" i="6" s="1"/>
  <c r="M36" i="6"/>
  <c r="M51" i="6"/>
  <c r="Z49" i="10"/>
  <c r="O49" i="10"/>
  <c r="Y45" i="10"/>
  <c r="M49" i="10"/>
  <c r="M26" i="6"/>
  <c r="AA50" i="30"/>
  <c r="E8" i="32" s="1"/>
  <c r="Z62" i="30"/>
  <c r="Y62" i="30"/>
  <c r="AG50" i="30"/>
  <c r="K8" i="32" s="1"/>
  <c r="X70" i="30"/>
  <c r="B6" i="32" s="1"/>
  <c r="AE86" i="30"/>
  <c r="Z86" i="30"/>
  <c r="AC86" i="30"/>
  <c r="AG78" i="30"/>
  <c r="AD70" i="30"/>
  <c r="AR77" i="29"/>
  <c r="AP100" i="29"/>
  <c r="AV100" i="29"/>
  <c r="Y100" i="29"/>
  <c r="AN100" i="29"/>
  <c r="AT100" i="29"/>
  <c r="AY100" i="29"/>
  <c r="BA100" i="29"/>
  <c r="AQ100" i="29"/>
  <c r="AW100" i="29"/>
  <c r="AS100" i="29"/>
  <c r="AR100" i="29"/>
  <c r="AI100" i="29"/>
  <c r="AO100" i="29"/>
  <c r="AK100" i="29"/>
  <c r="AL100" i="29"/>
  <c r="BC100" i="29"/>
  <c r="AJ100" i="29"/>
  <c r="AX100" i="29"/>
  <c r="BD100" i="29"/>
  <c r="AM100" i="29"/>
  <c r="AZ100" i="29"/>
  <c r="BB100" i="29"/>
  <c r="V59" i="6"/>
  <c r="X45" i="10"/>
  <c r="X50" i="10" s="1"/>
  <c r="Y70" i="30"/>
  <c r="X50" i="30"/>
  <c r="B8" i="32" s="1"/>
  <c r="AA78" i="30"/>
  <c r="AO97" i="29"/>
  <c r="BC77" i="29"/>
  <c r="M17" i="6"/>
  <c r="M49" i="6"/>
  <c r="Q59" i="6"/>
  <c r="Q64" i="6" s="1"/>
  <c r="L59" i="6"/>
  <c r="L64" i="6" s="1"/>
  <c r="M12" i="6"/>
  <c r="M39" i="6"/>
  <c r="AE57" i="7"/>
  <c r="Z45" i="10"/>
  <c r="U45" i="10"/>
  <c r="P45" i="10"/>
  <c r="P50" i="10" s="1"/>
  <c r="AF78" i="30"/>
  <c r="AH70" i="30"/>
  <c r="AF62" i="30"/>
  <c r="AF86" i="30"/>
  <c r="AA86" i="30"/>
  <c r="AW74" i="29"/>
  <c r="AI8" i="17"/>
  <c r="T49" i="11"/>
  <c r="T49" i="25"/>
  <c r="AB70" i="30"/>
  <c r="AC70" i="30"/>
  <c r="AD51" i="30"/>
  <c r="AE51" i="30"/>
  <c r="AF51" i="30"/>
  <c r="AG51" i="30"/>
  <c r="AB50" i="30"/>
  <c r="F8" i="32" s="1"/>
  <c r="AC50" i="30"/>
  <c r="G8" i="32" s="1"/>
  <c r="AD50" i="30"/>
  <c r="H8" i="32" s="1"/>
  <c r="AE50" i="30"/>
  <c r="I8" i="32" s="1"/>
  <c r="M22" i="6"/>
  <c r="S45" i="10"/>
  <c r="M54" i="6"/>
  <c r="M50" i="6"/>
  <c r="AE59" i="6"/>
  <c r="AE64" i="6" s="1"/>
  <c r="M45" i="6"/>
  <c r="M28" i="6"/>
  <c r="M52" i="6"/>
  <c r="O59" i="6"/>
  <c r="O64" i="6" s="1"/>
  <c r="M35" i="6"/>
  <c r="AF57" i="7"/>
  <c r="T45" i="10"/>
  <c r="R45" i="10"/>
  <c r="R50" i="10" s="1"/>
  <c r="L45" i="10"/>
  <c r="Z70" i="30"/>
  <c r="X78" i="30"/>
  <c r="Y51" i="30"/>
  <c r="C6" i="32" s="1"/>
  <c r="AQ74" i="29"/>
  <c r="AB62" i="30"/>
  <c r="AC62" i="30"/>
  <c r="AX77" i="29"/>
  <c r="Q6" i="31" s="1"/>
  <c r="BD77" i="29"/>
  <c r="AM77" i="29"/>
  <c r="BA77" i="29"/>
  <c r="AP77" i="29"/>
  <c r="AV77" i="29"/>
  <c r="AS77" i="29"/>
  <c r="L6" i="31" s="1"/>
  <c r="AN77" i="29"/>
  <c r="AK77" i="29"/>
  <c r="AY77" i="29"/>
  <c r="BB77" i="29"/>
  <c r="AQ77" i="29"/>
  <c r="AW77" i="29"/>
  <c r="AT77" i="29"/>
  <c r="AI77" i="29"/>
  <c r="B6" i="31" s="1"/>
  <c r="AO77" i="29"/>
  <c r="AL77" i="29"/>
  <c r="AZ77" i="29"/>
  <c r="AU77" i="29"/>
  <c r="AJ77" i="29"/>
  <c r="AK97" i="29"/>
  <c r="AY97" i="29"/>
  <c r="AN97" i="29"/>
  <c r="BB97" i="29"/>
  <c r="AQ97" i="29"/>
  <c r="BD97" i="29"/>
  <c r="AT97" i="29"/>
  <c r="AI97" i="29"/>
  <c r="AL97" i="29"/>
  <c r="AZ97" i="29"/>
  <c r="AX97" i="29"/>
  <c r="BC97" i="29"/>
  <c r="AR97" i="29"/>
  <c r="AU97" i="29"/>
  <c r="AJ97" i="29"/>
  <c r="AW97" i="29"/>
  <c r="AV97" i="29"/>
  <c r="AS97" i="29"/>
  <c r="AP97" i="29"/>
  <c r="M25" i="6"/>
  <c r="M43" i="6"/>
  <c r="M46" i="6"/>
  <c r="Y59" i="6"/>
  <c r="M31" i="6"/>
  <c r="AG57" i="7"/>
  <c r="W45" i="10"/>
  <c r="N45" i="10"/>
  <c r="O45" i="10"/>
  <c r="Y45" i="11"/>
  <c r="M7" i="6"/>
  <c r="AI3" i="17"/>
  <c r="AC51" i="30"/>
  <c r="AH50" i="30"/>
  <c r="Y86" i="30"/>
  <c r="AB86" i="30"/>
  <c r="AE78" i="30"/>
  <c r="AE62" i="30"/>
  <c r="AD62" i="30"/>
  <c r="X51" i="30"/>
  <c r="AM97" i="29"/>
  <c r="AF52" i="30"/>
  <c r="Y52" i="30"/>
  <c r="Z52" i="30"/>
  <c r="AG52" i="30"/>
  <c r="AS70" i="29"/>
  <c r="Y70" i="29"/>
  <c r="AK70" i="29"/>
  <c r="AY70" i="29"/>
  <c r="BB70" i="29"/>
  <c r="AQ70" i="29"/>
  <c r="AW70" i="29"/>
  <c r="AT70" i="29"/>
  <c r="AI70" i="29"/>
  <c r="AO70" i="29"/>
  <c r="AV70" i="29"/>
  <c r="O6" i="31" s="1"/>
  <c r="AL70" i="29"/>
  <c r="AZ70" i="29"/>
  <c r="BC70" i="29"/>
  <c r="AR70" i="29"/>
  <c r="AM70" i="29"/>
  <c r="BA70" i="29"/>
  <c r="AP70" i="29"/>
  <c r="AN70" i="29"/>
  <c r="AL74" i="29"/>
  <c r="AZ74" i="29"/>
  <c r="S6" i="31" s="1"/>
  <c r="BC74" i="29"/>
  <c r="AR74" i="29"/>
  <c r="AU74" i="29"/>
  <c r="AJ74" i="29"/>
  <c r="AX74" i="29"/>
  <c r="BD74" i="29"/>
  <c r="AM74" i="29"/>
  <c r="BA74" i="29"/>
  <c r="AP74" i="29"/>
  <c r="I6" i="31" s="1"/>
  <c r="AV74" i="29"/>
  <c r="AS74" i="29"/>
  <c r="AN74" i="29"/>
  <c r="AK74" i="29"/>
  <c r="D6" i="31" s="1"/>
  <c r="AY74" i="29"/>
  <c r="AT74" i="29"/>
  <c r="AI74" i="29"/>
  <c r="AO74" i="29"/>
  <c r="U59" i="6"/>
  <c r="U64" i="6" s="1"/>
  <c r="M15" i="6"/>
  <c r="M44" i="6"/>
  <c r="M8" i="6"/>
  <c r="X49" i="10"/>
  <c r="V49" i="10"/>
  <c r="M11" i="6"/>
  <c r="AH78" i="30"/>
  <c r="Z50" i="30"/>
  <c r="D8" i="32" s="1"/>
  <c r="Z78" i="30"/>
  <c r="AA51" i="30"/>
  <c r="AH51" i="30"/>
  <c r="AG86" i="30"/>
  <c r="BB74" i="29"/>
  <c r="X59" i="6"/>
  <c r="X64" i="6" s="1"/>
  <c r="N49" i="10"/>
  <c r="X86" i="30"/>
  <c r="AD86" i="30"/>
  <c r="AC59" i="6"/>
  <c r="AC64" i="6" s="1"/>
  <c r="M41" i="6"/>
  <c r="M23" i="6"/>
  <c r="M48" i="6"/>
  <c r="M42" i="6"/>
  <c r="M37" i="6"/>
  <c r="R59" i="6"/>
  <c r="R64" i="6" s="1"/>
  <c r="Z57" i="7"/>
  <c r="Z62" i="7" s="1"/>
  <c r="Q45" i="10"/>
  <c r="M38" i="6"/>
  <c r="S59" i="6"/>
  <c r="S64" i="6" s="1"/>
  <c r="M33" i="6"/>
  <c r="M27" i="6"/>
  <c r="M40" i="6"/>
  <c r="M55" i="6"/>
  <c r="M45" i="10"/>
  <c r="M50" i="10" s="1"/>
  <c r="U49" i="10"/>
  <c r="AI7" i="17"/>
  <c r="AA62" i="30"/>
  <c r="E6" i="32" s="1"/>
  <c r="AH62" i="30"/>
  <c r="AG62" i="30"/>
  <c r="K6" i="32" s="1"/>
  <c r="AF70" i="30"/>
  <c r="Z51" i="30"/>
  <c r="Y78" i="30"/>
  <c r="AC78" i="30"/>
  <c r="AE70" i="30"/>
  <c r="M72" i="6"/>
  <c r="AT9" i="26"/>
  <c r="AV10" i="24"/>
  <c r="AR11" i="24"/>
  <c r="AJ9" i="26"/>
  <c r="AI59" i="6"/>
  <c r="AI64" i="6" s="1"/>
  <c r="AV43" i="24"/>
  <c r="AR44" i="24"/>
  <c r="AV44" i="24" s="1"/>
  <c r="AV31" i="24"/>
  <c r="AR32" i="24"/>
  <c r="AB45" i="10"/>
  <c r="AI5" i="17"/>
  <c r="M74" i="6"/>
  <c r="W6" i="31"/>
  <c r="W10" i="31"/>
  <c r="O10" i="31"/>
  <c r="I10" i="31"/>
  <c r="L10" i="31"/>
  <c r="I10" i="32"/>
  <c r="I6" i="32"/>
  <c r="L10" i="32"/>
  <c r="Q10" i="31"/>
  <c r="C6" i="31"/>
  <c r="C10" i="31"/>
  <c r="T10" i="31"/>
  <c r="T6" i="31"/>
  <c r="H6" i="32"/>
  <c r="H10" i="32"/>
  <c r="G10" i="32"/>
  <c r="K6" i="31"/>
  <c r="K10" i="31"/>
  <c r="E10" i="32"/>
  <c r="H10" i="31"/>
  <c r="H6" i="31"/>
  <c r="S10" i="31"/>
  <c r="J10" i="32"/>
  <c r="J6" i="32"/>
  <c r="P10" i="31"/>
  <c r="P6" i="31"/>
  <c r="B10" i="31"/>
  <c r="B10" i="32"/>
  <c r="F6" i="31"/>
  <c r="F10" i="31"/>
  <c r="J6" i="31"/>
  <c r="J10" i="31"/>
  <c r="E10" i="31"/>
  <c r="E6" i="31"/>
  <c r="K10" i="32"/>
  <c r="G6" i="31"/>
  <c r="G10" i="31"/>
  <c r="N6" i="31"/>
  <c r="N10" i="31"/>
  <c r="R6" i="31"/>
  <c r="R10" i="31"/>
  <c r="M10" i="31"/>
  <c r="M6" i="31"/>
  <c r="X8" i="31"/>
  <c r="D6" i="32"/>
  <c r="D10" i="32"/>
  <c r="C10" i="32"/>
  <c r="F10" i="32"/>
  <c r="F6" i="32"/>
  <c r="V6" i="31"/>
  <c r="V10" i="31"/>
  <c r="D10" i="31"/>
  <c r="U10" i="31"/>
  <c r="U6" i="31"/>
  <c r="AJ8" i="26"/>
  <c r="AQ8" i="24"/>
  <c r="AV39" i="24"/>
  <c r="AR40" i="24"/>
  <c r="AV40" i="24" s="1"/>
  <c r="AV25" i="24"/>
  <c r="AR26" i="24"/>
  <c r="AR8" i="24"/>
  <c r="AV8" i="24" s="1"/>
  <c r="AV7" i="24"/>
  <c r="AV17" i="24"/>
  <c r="AR18" i="24"/>
  <c r="AV18" i="24" s="1"/>
  <c r="AT8" i="26"/>
  <c r="AQ12" i="24"/>
  <c r="AA57" i="9"/>
  <c r="X10" i="21"/>
  <c r="AF10" i="21" s="1"/>
  <c r="X9" i="21"/>
  <c r="AF9" i="21" s="1"/>
  <c r="X12" i="21"/>
  <c r="AF12" i="21" s="1"/>
  <c r="X11" i="21"/>
  <c r="AF11" i="21" s="1"/>
  <c r="AT10" i="16"/>
  <c r="AO10" i="16"/>
  <c r="AJ10" i="16"/>
  <c r="AI27" i="7"/>
  <c r="AI35" i="7"/>
  <c r="AI50" i="7"/>
  <c r="AI41" i="7"/>
  <c r="AI34" i="7"/>
  <c r="AI46" i="7"/>
  <c r="M49" i="12"/>
  <c r="AI25" i="7"/>
  <c r="AI55" i="7"/>
  <c r="F37" i="5"/>
  <c r="S48" i="25" s="1"/>
  <c r="R48" i="13"/>
  <c r="R48" i="12"/>
  <c r="R48" i="11"/>
  <c r="R48" i="10"/>
  <c r="U53" i="7"/>
  <c r="U49" i="7"/>
  <c r="U45" i="7"/>
  <c r="U41" i="7"/>
  <c r="U37" i="7"/>
  <c r="U33" i="7"/>
  <c r="U29" i="7"/>
  <c r="U25" i="7"/>
  <c r="U21" i="7"/>
  <c r="U17" i="7"/>
  <c r="U52" i="7"/>
  <c r="U48" i="7"/>
  <c r="U44" i="7"/>
  <c r="U40" i="7"/>
  <c r="U36" i="7"/>
  <c r="U32" i="7"/>
  <c r="U28" i="7"/>
  <c r="U24" i="7"/>
  <c r="U20" i="7"/>
  <c r="U55" i="7"/>
  <c r="U51" i="7"/>
  <c r="U47" i="7"/>
  <c r="U43" i="7"/>
  <c r="U39" i="7"/>
  <c r="U35" i="7"/>
  <c r="U31" i="7"/>
  <c r="U27" i="7"/>
  <c r="U23" i="7"/>
  <c r="U19" i="7"/>
  <c r="U54" i="7"/>
  <c r="U50" i="7"/>
  <c r="U46" i="7"/>
  <c r="U42" i="7"/>
  <c r="U38" i="7"/>
  <c r="U34" i="7"/>
  <c r="U30" i="7"/>
  <c r="U26" i="7"/>
  <c r="U22" i="7"/>
  <c r="U18" i="7"/>
  <c r="U14" i="7"/>
  <c r="U10" i="7"/>
  <c r="U6" i="7"/>
  <c r="U13" i="7"/>
  <c r="U9" i="7"/>
  <c r="U16" i="7"/>
  <c r="U12" i="7"/>
  <c r="U8" i="7"/>
  <c r="U5" i="7"/>
  <c r="U15" i="7"/>
  <c r="U11" i="7"/>
  <c r="U7" i="7"/>
  <c r="R30" i="7"/>
  <c r="R26" i="7"/>
  <c r="R22" i="7"/>
  <c r="R18" i="7"/>
  <c r="R33" i="7"/>
  <c r="R29" i="7"/>
  <c r="R25" i="7"/>
  <c r="R21" i="7"/>
  <c r="R32" i="7"/>
  <c r="R28" i="7"/>
  <c r="R24" i="7"/>
  <c r="R20" i="7"/>
  <c r="R31" i="7"/>
  <c r="R27" i="7"/>
  <c r="R23" i="7"/>
  <c r="R19" i="7"/>
  <c r="R15" i="7"/>
  <c r="R11" i="7"/>
  <c r="R7" i="7"/>
  <c r="R14" i="7"/>
  <c r="R10" i="7"/>
  <c r="R6" i="7"/>
  <c r="R17" i="7"/>
  <c r="R13" i="7"/>
  <c r="R9" i="7"/>
  <c r="R16" i="7"/>
  <c r="R12" i="7"/>
  <c r="R8" i="7"/>
  <c r="R5" i="7"/>
  <c r="R44" i="7"/>
  <c r="R46" i="7"/>
  <c r="R43" i="7"/>
  <c r="R52" i="7"/>
  <c r="R54" i="7"/>
  <c r="R40" i="7"/>
  <c r="R41" i="7"/>
  <c r="R34" i="7"/>
  <c r="R51" i="7"/>
  <c r="R37" i="7"/>
  <c r="R48" i="7"/>
  <c r="R49" i="7"/>
  <c r="R42" i="7"/>
  <c r="R45" i="7"/>
  <c r="R50" i="7"/>
  <c r="R53" i="7"/>
  <c r="R39" i="7"/>
  <c r="R47" i="7"/>
  <c r="R55" i="7"/>
  <c r="R36" i="7"/>
  <c r="R38" i="7"/>
  <c r="R35" i="7"/>
  <c r="E37" i="5"/>
  <c r="S47" i="25" s="1"/>
  <c r="R47" i="13"/>
  <c r="R47" i="12"/>
  <c r="R47" i="10"/>
  <c r="R47" i="11"/>
  <c r="S29" i="7"/>
  <c r="S21" i="7"/>
  <c r="S23" i="7"/>
  <c r="S15" i="7"/>
  <c r="S11" i="7"/>
  <c r="S7" i="7"/>
  <c r="S20" i="7"/>
  <c r="S14" i="7"/>
  <c r="S10" i="7"/>
  <c r="S22" i="7"/>
  <c r="S19" i="7"/>
  <c r="S6" i="7"/>
  <c r="S17" i="7"/>
  <c r="S13" i="7"/>
  <c r="S9" i="7"/>
  <c r="S24" i="7"/>
  <c r="S18" i="7"/>
  <c r="S16" i="7"/>
  <c r="S12" i="7"/>
  <c r="S8" i="7"/>
  <c r="S5" i="7"/>
  <c r="S55" i="7"/>
  <c r="S41" i="7"/>
  <c r="S26" i="7"/>
  <c r="S49" i="7"/>
  <c r="S30" i="7"/>
  <c r="S32" i="7"/>
  <c r="S28" i="7"/>
  <c r="S38" i="7"/>
  <c r="S40" i="7"/>
  <c r="S25" i="7"/>
  <c r="S35" i="7"/>
  <c r="S37" i="7"/>
  <c r="S46" i="7"/>
  <c r="S48" i="7"/>
  <c r="S34" i="7"/>
  <c r="S43" i="7"/>
  <c r="S27" i="7"/>
  <c r="S45" i="7"/>
  <c r="S54" i="7"/>
  <c r="S31" i="7"/>
  <c r="S42" i="7"/>
  <c r="S51" i="7"/>
  <c r="S36" i="7"/>
  <c r="S53" i="7"/>
  <c r="S39" i="7"/>
  <c r="S50" i="7"/>
  <c r="S44" i="7"/>
  <c r="S47" i="7"/>
  <c r="S33" i="7"/>
  <c r="S52" i="7"/>
  <c r="AH29" i="7"/>
  <c r="AH24" i="7"/>
  <c r="AH20" i="7"/>
  <c r="AH22" i="7"/>
  <c r="AH14" i="7"/>
  <c r="AH10" i="7"/>
  <c r="AH6" i="7"/>
  <c r="AH13" i="7"/>
  <c r="AH9" i="7"/>
  <c r="AH5" i="7"/>
  <c r="AH17" i="7"/>
  <c r="AH16" i="7"/>
  <c r="AH12" i="7"/>
  <c r="AH8" i="7"/>
  <c r="AH21" i="7"/>
  <c r="AH19" i="7"/>
  <c r="AH15" i="7"/>
  <c r="AH11" i="7"/>
  <c r="AH7" i="7"/>
  <c r="AH23" i="7"/>
  <c r="AH18" i="7"/>
  <c r="AH37" i="7"/>
  <c r="AH54" i="7"/>
  <c r="AH40" i="7"/>
  <c r="AH49" i="7"/>
  <c r="AH42" i="7"/>
  <c r="AH51" i="7"/>
  <c r="AH25" i="7"/>
  <c r="AH45" i="7"/>
  <c r="AH48" i="7"/>
  <c r="AH50" i="7"/>
  <c r="AH53" i="7"/>
  <c r="AH31" i="7"/>
  <c r="AH27" i="7"/>
  <c r="AH39" i="7"/>
  <c r="AH47" i="7"/>
  <c r="AH36" i="7"/>
  <c r="AH30" i="7"/>
  <c r="AH55" i="7"/>
  <c r="AH26" i="7"/>
  <c r="AH44" i="7"/>
  <c r="AH38" i="7"/>
  <c r="AH33" i="7"/>
  <c r="AH35" i="7"/>
  <c r="AH52" i="7"/>
  <c r="AH28" i="7"/>
  <c r="AH46" i="7"/>
  <c r="AH32" i="7"/>
  <c r="AH41" i="7"/>
  <c r="AH34" i="7"/>
  <c r="AH43" i="7"/>
  <c r="D30" i="5"/>
  <c r="L46" i="25" s="1"/>
  <c r="S46" i="13"/>
  <c r="S46" i="11"/>
  <c r="S46" i="12"/>
  <c r="S46" i="10"/>
  <c r="W52" i="7"/>
  <c r="W48" i="7"/>
  <c r="W44" i="7"/>
  <c r="W40" i="7"/>
  <c r="W36" i="7"/>
  <c r="W32" i="7"/>
  <c r="W28" i="7"/>
  <c r="W24" i="7"/>
  <c r="W20" i="7"/>
  <c r="W55" i="7"/>
  <c r="W51" i="7"/>
  <c r="W47" i="7"/>
  <c r="W43" i="7"/>
  <c r="W39" i="7"/>
  <c r="W35" i="7"/>
  <c r="W31" i="7"/>
  <c r="W27" i="7"/>
  <c r="W23" i="7"/>
  <c r="W19" i="7"/>
  <c r="W54" i="7"/>
  <c r="W50" i="7"/>
  <c r="W46" i="7"/>
  <c r="W42" i="7"/>
  <c r="W38" i="7"/>
  <c r="W34" i="7"/>
  <c r="W30" i="7"/>
  <c r="W26" i="7"/>
  <c r="W22" i="7"/>
  <c r="W18" i="7"/>
  <c r="W53" i="7"/>
  <c r="W49" i="7"/>
  <c r="W45" i="7"/>
  <c r="W41" i="7"/>
  <c r="W37" i="7"/>
  <c r="W33" i="7"/>
  <c r="W29" i="7"/>
  <c r="W25" i="7"/>
  <c r="W21" i="7"/>
  <c r="W6" i="7"/>
  <c r="W13" i="7"/>
  <c r="W9" i="7"/>
  <c r="W17" i="7"/>
  <c r="W16" i="7"/>
  <c r="W12" i="7"/>
  <c r="W8" i="7"/>
  <c r="W5" i="7"/>
  <c r="W15" i="7"/>
  <c r="W11" i="7"/>
  <c r="W7" i="7"/>
  <c r="W14" i="7"/>
  <c r="W10" i="7"/>
  <c r="AC29" i="7"/>
  <c r="AC21" i="7"/>
  <c r="AC23" i="7"/>
  <c r="AC19" i="7"/>
  <c r="AC15" i="7"/>
  <c r="AC11" i="7"/>
  <c r="AC7" i="7"/>
  <c r="AC24" i="7"/>
  <c r="AC18" i="7"/>
  <c r="AC14" i="7"/>
  <c r="AC10" i="7"/>
  <c r="AC6" i="7"/>
  <c r="AC13" i="7"/>
  <c r="AC9" i="7"/>
  <c r="AC20" i="7"/>
  <c r="AC17" i="7"/>
  <c r="AC16" i="7"/>
  <c r="AC12" i="7"/>
  <c r="AC8" i="7"/>
  <c r="AC5" i="7"/>
  <c r="AC22" i="7"/>
  <c r="AC45" i="7"/>
  <c r="AC25" i="7"/>
  <c r="AC27" i="7"/>
  <c r="AC53" i="7"/>
  <c r="AC34" i="7"/>
  <c r="AC36" i="7"/>
  <c r="AC31" i="7"/>
  <c r="AC33" i="7"/>
  <c r="AC42" i="7"/>
  <c r="AC44" i="7"/>
  <c r="AC30" i="7"/>
  <c r="AC39" i="7"/>
  <c r="AC41" i="7"/>
  <c r="AC50" i="7"/>
  <c r="AC35" i="7"/>
  <c r="AC52" i="7"/>
  <c r="AC38" i="7"/>
  <c r="AC47" i="7"/>
  <c r="AC32" i="7"/>
  <c r="AC49" i="7"/>
  <c r="AC26" i="7"/>
  <c r="AC43" i="7"/>
  <c r="AC46" i="7"/>
  <c r="AC55" i="7"/>
  <c r="AC40" i="7"/>
  <c r="AC51" i="7"/>
  <c r="AC28" i="7"/>
  <c r="AC54" i="7"/>
  <c r="AC48" i="7"/>
  <c r="AC37" i="7"/>
  <c r="P31" i="7"/>
  <c r="P27" i="7"/>
  <c r="P23" i="7"/>
  <c r="P19" i="7"/>
  <c r="P30" i="7"/>
  <c r="P26" i="7"/>
  <c r="P22" i="7"/>
  <c r="P33" i="7"/>
  <c r="P29" i="7"/>
  <c r="P25" i="7"/>
  <c r="P21" i="7"/>
  <c r="P32" i="7"/>
  <c r="P28" i="7"/>
  <c r="P24" i="7"/>
  <c r="P20" i="7"/>
  <c r="P18" i="7"/>
  <c r="P16" i="7"/>
  <c r="P12" i="7"/>
  <c r="P8" i="7"/>
  <c r="P5" i="7"/>
  <c r="P15" i="7"/>
  <c r="P11" i="7"/>
  <c r="P7" i="7"/>
  <c r="P14" i="7"/>
  <c r="P10" i="7"/>
  <c r="P6" i="7"/>
  <c r="P17" i="7"/>
  <c r="P13" i="7"/>
  <c r="P9" i="7"/>
  <c r="P52" i="7"/>
  <c r="P35" i="7"/>
  <c r="P41" i="7"/>
  <c r="P43" i="7"/>
  <c r="P37" i="7"/>
  <c r="P40" i="7"/>
  <c r="P49" i="7"/>
  <c r="P51" i="7"/>
  <c r="P45" i="7"/>
  <c r="P38" i="7"/>
  <c r="P39" i="7"/>
  <c r="P48" i="7"/>
  <c r="P34" i="7"/>
  <c r="P53" i="7"/>
  <c r="P46" i="7"/>
  <c r="P47" i="7"/>
  <c r="P42" i="7"/>
  <c r="P54" i="7"/>
  <c r="P55" i="7"/>
  <c r="P50" i="7"/>
  <c r="P36" i="7"/>
  <c r="P44" i="7"/>
  <c r="X52" i="7"/>
  <c r="X48" i="7"/>
  <c r="X44" i="7"/>
  <c r="X40" i="7"/>
  <c r="X36" i="7"/>
  <c r="X32" i="7"/>
  <c r="X28" i="7"/>
  <c r="X55" i="7"/>
  <c r="X51" i="7"/>
  <c r="X47" i="7"/>
  <c r="X43" i="7"/>
  <c r="X39" i="7"/>
  <c r="X35" i="7"/>
  <c r="X31" i="7"/>
  <c r="X27" i="7"/>
  <c r="X23" i="7"/>
  <c r="X54" i="7"/>
  <c r="X50" i="7"/>
  <c r="X46" i="7"/>
  <c r="X42" i="7"/>
  <c r="X38" i="7"/>
  <c r="X34" i="7"/>
  <c r="X30" i="7"/>
  <c r="X53" i="7"/>
  <c r="X49" i="7"/>
  <c r="X45" i="7"/>
  <c r="X41" i="7"/>
  <c r="X37" i="7"/>
  <c r="X33" i="7"/>
  <c r="X29" i="7"/>
  <c r="X25" i="7"/>
  <c r="X21" i="7"/>
  <c r="X20" i="7"/>
  <c r="X13" i="7"/>
  <c r="X9" i="7"/>
  <c r="X19" i="7"/>
  <c r="X17" i="7"/>
  <c r="X22" i="7"/>
  <c r="X16" i="7"/>
  <c r="X12" i="7"/>
  <c r="X8" i="7"/>
  <c r="X5" i="7"/>
  <c r="X24" i="7"/>
  <c r="X18" i="7"/>
  <c r="X15" i="7"/>
  <c r="X11" i="7"/>
  <c r="X7" i="7"/>
  <c r="X26" i="7"/>
  <c r="X14" i="7"/>
  <c r="X10" i="7"/>
  <c r="X6" i="7"/>
  <c r="Q31" i="7"/>
  <c r="Q30" i="7"/>
  <c r="Q26" i="7"/>
  <c r="Q33" i="7"/>
  <c r="Q32" i="7"/>
  <c r="Q28" i="7"/>
  <c r="Q20" i="7"/>
  <c r="Q27" i="7"/>
  <c r="Q12" i="7"/>
  <c r="Q8" i="7"/>
  <c r="Q5" i="7"/>
  <c r="Q19" i="7"/>
  <c r="Q14" i="7"/>
  <c r="Q10" i="7"/>
  <c r="Q6" i="7"/>
  <c r="Q25" i="7"/>
  <c r="Q17" i="7"/>
  <c r="Q13" i="7"/>
  <c r="Q9" i="7"/>
  <c r="Q18" i="7"/>
  <c r="Q23" i="7"/>
  <c r="Q43" i="7"/>
  <c r="Q54" i="7"/>
  <c r="Q55" i="7"/>
  <c r="Q48" i="7"/>
  <c r="Q7" i="7"/>
  <c r="Q16" i="7"/>
  <c r="Q51" i="7"/>
  <c r="Q37" i="7"/>
  <c r="Q11" i="7"/>
  <c r="Q45" i="7"/>
  <c r="Q53" i="7"/>
  <c r="Q15" i="7"/>
  <c r="Q34" i="7"/>
  <c r="Q36" i="7"/>
  <c r="Q29" i="7"/>
  <c r="Q42" i="7"/>
  <c r="Q44" i="7"/>
  <c r="Q22" i="7"/>
  <c r="Q41" i="7"/>
  <c r="Q21" i="7"/>
  <c r="Q50" i="7"/>
  <c r="Q52" i="7"/>
  <c r="Q38" i="7"/>
  <c r="Q39" i="7"/>
  <c r="Q24" i="7"/>
  <c r="Q49" i="7"/>
  <c r="Q35" i="7"/>
  <c r="Q46" i="7"/>
  <c r="Q47" i="7"/>
  <c r="Q40" i="7"/>
  <c r="L33" i="7"/>
  <c r="L32" i="7"/>
  <c r="L28" i="7"/>
  <c r="L31" i="7"/>
  <c r="L30" i="7"/>
  <c r="L26" i="7"/>
  <c r="L14" i="7"/>
  <c r="L10" i="7"/>
  <c r="L27" i="7"/>
  <c r="L6" i="7"/>
  <c r="L18" i="7"/>
  <c r="L17" i="7"/>
  <c r="L13" i="7"/>
  <c r="L9" i="7"/>
  <c r="L20" i="7"/>
  <c r="L12" i="7"/>
  <c r="L8" i="7"/>
  <c r="L5" i="7"/>
  <c r="L19" i="7"/>
  <c r="L25" i="7"/>
  <c r="L23" i="7"/>
  <c r="L11" i="7"/>
  <c r="L49" i="7"/>
  <c r="L43" i="7"/>
  <c r="L51" i="7"/>
  <c r="L16" i="7"/>
  <c r="L7" i="7"/>
  <c r="L24" i="7"/>
  <c r="L34" i="7"/>
  <c r="L39" i="7"/>
  <c r="L40" i="7"/>
  <c r="L42" i="7"/>
  <c r="L36" i="7"/>
  <c r="L37" i="7"/>
  <c r="L22" i="7"/>
  <c r="L47" i="7"/>
  <c r="L15" i="7"/>
  <c r="L48" i="7"/>
  <c r="L50" i="7"/>
  <c r="L44" i="7"/>
  <c r="L45" i="7"/>
  <c r="L38" i="7"/>
  <c r="L55" i="7"/>
  <c r="L29" i="7"/>
  <c r="L52" i="7"/>
  <c r="L53" i="7"/>
  <c r="L46" i="7"/>
  <c r="L21" i="7"/>
  <c r="L41" i="7"/>
  <c r="L35" i="7"/>
  <c r="L54" i="7"/>
  <c r="O23" i="7"/>
  <c r="O29" i="7"/>
  <c r="O21" i="7"/>
  <c r="O17" i="7"/>
  <c r="O13" i="7"/>
  <c r="O9" i="7"/>
  <c r="O18" i="7"/>
  <c r="O16" i="7"/>
  <c r="O12" i="7"/>
  <c r="O8" i="7"/>
  <c r="O5" i="7"/>
  <c r="O20" i="7"/>
  <c r="O22" i="7"/>
  <c r="O15" i="7"/>
  <c r="O11" i="7"/>
  <c r="O7" i="7"/>
  <c r="O19" i="7"/>
  <c r="O24" i="7"/>
  <c r="O14" i="7"/>
  <c r="O10" i="7"/>
  <c r="O6" i="7"/>
  <c r="O28" i="7"/>
  <c r="O47" i="7"/>
  <c r="O49" i="7"/>
  <c r="O43" i="7"/>
  <c r="O36" i="7"/>
  <c r="O37" i="7"/>
  <c r="O46" i="7"/>
  <c r="O55" i="7"/>
  <c r="O32" i="7"/>
  <c r="O51" i="7"/>
  <c r="O44" i="7"/>
  <c r="O45" i="7"/>
  <c r="O54" i="7"/>
  <c r="O40" i="7"/>
  <c r="O25" i="7"/>
  <c r="O52" i="7"/>
  <c r="O53" i="7"/>
  <c r="O26" i="7"/>
  <c r="O48" i="7"/>
  <c r="O34" i="7"/>
  <c r="O42" i="7"/>
  <c r="O50" i="7"/>
  <c r="O31" i="7"/>
  <c r="O33" i="7"/>
  <c r="O30" i="7"/>
  <c r="O39" i="7"/>
  <c r="O41" i="7"/>
  <c r="O35" i="7"/>
  <c r="O27" i="7"/>
  <c r="O38" i="7"/>
  <c r="M11" i="11"/>
  <c r="M17" i="11"/>
  <c r="M9" i="11"/>
  <c r="M12" i="11"/>
  <c r="M7" i="11"/>
  <c r="M10" i="11"/>
  <c r="M5" i="11"/>
  <c r="M8" i="11"/>
  <c r="M14" i="11"/>
  <c r="M23" i="11"/>
  <c r="M35" i="11"/>
  <c r="M6" i="11"/>
  <c r="M31" i="11"/>
  <c r="M22" i="11"/>
  <c r="M34" i="11"/>
  <c r="M27" i="11"/>
  <c r="M38" i="11"/>
  <c r="M30" i="11"/>
  <c r="M42" i="11"/>
  <c r="M36" i="11"/>
  <c r="M16" i="11"/>
  <c r="M37" i="11"/>
  <c r="M25" i="11"/>
  <c r="M43" i="11"/>
  <c r="M40" i="11"/>
  <c r="M15" i="11"/>
  <c r="M33" i="11"/>
  <c r="M21" i="11"/>
  <c r="M24" i="11"/>
  <c r="M41" i="11"/>
  <c r="M18" i="11"/>
  <c r="M20" i="11"/>
  <c r="M29" i="11"/>
  <c r="M39" i="11"/>
  <c r="M32" i="11"/>
  <c r="M26" i="11"/>
  <c r="M28" i="11"/>
  <c r="M13" i="11"/>
  <c r="M19" i="11"/>
  <c r="Z52" i="8"/>
  <c r="Y52" i="29" s="1"/>
  <c r="Y108" i="29" s="1"/>
  <c r="Z47" i="8"/>
  <c r="Y47" i="29" s="1"/>
  <c r="Y103" i="29" s="1"/>
  <c r="Z42" i="8"/>
  <c r="Y42" i="29" s="1"/>
  <c r="Y98" i="29" s="1"/>
  <c r="Z51" i="8"/>
  <c r="Y51" i="29" s="1"/>
  <c r="Y107" i="29" s="1"/>
  <c r="Z55" i="8"/>
  <c r="Y55" i="29" s="1"/>
  <c r="Y111" i="29" s="1"/>
  <c r="Z46" i="8"/>
  <c r="Y46" i="29" s="1"/>
  <c r="Y102" i="29" s="1"/>
  <c r="Z41" i="8"/>
  <c r="Y41" i="29" s="1"/>
  <c r="Y97" i="29" s="1"/>
  <c r="Z54" i="8"/>
  <c r="Y54" i="29" s="1"/>
  <c r="Y110" i="29" s="1"/>
  <c r="Z45" i="8"/>
  <c r="Y45" i="29" s="1"/>
  <c r="Y101" i="29" s="1"/>
  <c r="Z49" i="8"/>
  <c r="Y49" i="29" s="1"/>
  <c r="Y105" i="29" s="1"/>
  <c r="Z53" i="8"/>
  <c r="Y53" i="29" s="1"/>
  <c r="Y109" i="29" s="1"/>
  <c r="Z44" i="8"/>
  <c r="Y44" i="29" s="1"/>
  <c r="Z33" i="8"/>
  <c r="Y33" i="29" s="1"/>
  <c r="Y89" i="29" s="1"/>
  <c r="Z24" i="8"/>
  <c r="Y24" i="29" s="1"/>
  <c r="Y80" i="29" s="1"/>
  <c r="Z19" i="8"/>
  <c r="Y19" i="29" s="1"/>
  <c r="Y75" i="29" s="1"/>
  <c r="Z37" i="8"/>
  <c r="Y37" i="29" s="1"/>
  <c r="Y93" i="29" s="1"/>
  <c r="Z28" i="8"/>
  <c r="Y28" i="29" s="1"/>
  <c r="Y84" i="29" s="1"/>
  <c r="Z18" i="8"/>
  <c r="Y18" i="29" s="1"/>
  <c r="Y74" i="29" s="1"/>
  <c r="Z13" i="8"/>
  <c r="Y13" i="29" s="1"/>
  <c r="Y69" i="29" s="1"/>
  <c r="Z43" i="8"/>
  <c r="Y43" i="29" s="1"/>
  <c r="Y99" i="29" s="1"/>
  <c r="Z32" i="8"/>
  <c r="Y32" i="29" s="1"/>
  <c r="Y88" i="29" s="1"/>
  <c r="Z23" i="8"/>
  <c r="Y23" i="29" s="1"/>
  <c r="Y79" i="29" s="1"/>
  <c r="Z12" i="8"/>
  <c r="Y12" i="29" s="1"/>
  <c r="Y68" i="29" s="1"/>
  <c r="Z50" i="8"/>
  <c r="Y50" i="29" s="1"/>
  <c r="Y106" i="29" s="1"/>
  <c r="Z36" i="8"/>
  <c r="Y36" i="29" s="1"/>
  <c r="Y92" i="29" s="1"/>
  <c r="Z27" i="8"/>
  <c r="Y27" i="29" s="1"/>
  <c r="Y83" i="29" s="1"/>
  <c r="Z17" i="8"/>
  <c r="Y17" i="29" s="1"/>
  <c r="Y73" i="29" s="1"/>
  <c r="Z11" i="8"/>
  <c r="Y11" i="29" s="1"/>
  <c r="Y67" i="29" s="1"/>
  <c r="Z48" i="8"/>
  <c r="Y48" i="29" s="1"/>
  <c r="Y104" i="29" s="1"/>
  <c r="Z31" i="8"/>
  <c r="Y31" i="29" s="1"/>
  <c r="Y87" i="29" s="1"/>
  <c r="Z26" i="8"/>
  <c r="Y26" i="29" s="1"/>
  <c r="Y82" i="29" s="1"/>
  <c r="Z22" i="8"/>
  <c r="Y22" i="29" s="1"/>
  <c r="Y78" i="29" s="1"/>
  <c r="Z16" i="8"/>
  <c r="Y16" i="29" s="1"/>
  <c r="Y72" i="29" s="1"/>
  <c r="Z40" i="8"/>
  <c r="Y40" i="29" s="1"/>
  <c r="Y96" i="29" s="1"/>
  <c r="Z35" i="8"/>
  <c r="Y35" i="29" s="1"/>
  <c r="Y91" i="29" s="1"/>
  <c r="Z30" i="8"/>
  <c r="Y30" i="29" s="1"/>
  <c r="Y86" i="29" s="1"/>
  <c r="Z15" i="8"/>
  <c r="Y15" i="29" s="1"/>
  <c r="Y71" i="29" s="1"/>
  <c r="Z10" i="8"/>
  <c r="Y10" i="29" s="1"/>
  <c r="Y66" i="29" s="1"/>
  <c r="Z39" i="8"/>
  <c r="Y39" i="29" s="1"/>
  <c r="Y95" i="29" s="1"/>
  <c r="Z34" i="8"/>
  <c r="Y34" i="29" s="1"/>
  <c r="Y90" i="29" s="1"/>
  <c r="Z25" i="8"/>
  <c r="Y25" i="29" s="1"/>
  <c r="Y81" i="29" s="1"/>
  <c r="Z21" i="8"/>
  <c r="Y21" i="29" s="1"/>
  <c r="Y77" i="29" s="1"/>
  <c r="Z14" i="8"/>
  <c r="Y14" i="29" s="1"/>
  <c r="Z38" i="8"/>
  <c r="Y38" i="29" s="1"/>
  <c r="Y94" i="29" s="1"/>
  <c r="Z29" i="8"/>
  <c r="Y29" i="29" s="1"/>
  <c r="Y85" i="29" s="1"/>
  <c r="Z20" i="8"/>
  <c r="Y20" i="29" s="1"/>
  <c r="Y76" i="29" s="1"/>
  <c r="Z7" i="8"/>
  <c r="Y7" i="29" s="1"/>
  <c r="Y63" i="29" s="1"/>
  <c r="Z8" i="8"/>
  <c r="Y8" i="29" s="1"/>
  <c r="Y64" i="29" s="1"/>
  <c r="Z6" i="8"/>
  <c r="Y6" i="29" s="1"/>
  <c r="Y62" i="29" s="1"/>
  <c r="Z5" i="8"/>
  <c r="Y5" i="29" s="1"/>
  <c r="Y61" i="29" s="1"/>
  <c r="Z9" i="8"/>
  <c r="Y9" i="29" s="1"/>
  <c r="Y65" i="29" s="1"/>
  <c r="Z57" i="9"/>
  <c r="AA51" i="8"/>
  <c r="Z51" i="29" s="1"/>
  <c r="Z107" i="29" s="1"/>
  <c r="AA55" i="8"/>
  <c r="Z55" i="29" s="1"/>
  <c r="Z111" i="29" s="1"/>
  <c r="AA46" i="8"/>
  <c r="Z46" i="29" s="1"/>
  <c r="Z102" i="29" s="1"/>
  <c r="AA50" i="8"/>
  <c r="Z50" i="29" s="1"/>
  <c r="Z106" i="29" s="1"/>
  <c r="AA49" i="8"/>
  <c r="Z49" i="29" s="1"/>
  <c r="Z105" i="29" s="1"/>
  <c r="AA53" i="8"/>
  <c r="Z53" i="29" s="1"/>
  <c r="Z109" i="29" s="1"/>
  <c r="AA44" i="8"/>
  <c r="Z44" i="29" s="1"/>
  <c r="Z100" i="29" s="1"/>
  <c r="AA48" i="8"/>
  <c r="Z48" i="29" s="1"/>
  <c r="Z104" i="29" s="1"/>
  <c r="AA43" i="8"/>
  <c r="Z43" i="29" s="1"/>
  <c r="Z99" i="29" s="1"/>
  <c r="AA47" i="8"/>
  <c r="Z47" i="29" s="1"/>
  <c r="Z103" i="29" s="1"/>
  <c r="AA37" i="8"/>
  <c r="Z37" i="29" s="1"/>
  <c r="Z93" i="29" s="1"/>
  <c r="AA28" i="8"/>
  <c r="Z28" i="29" s="1"/>
  <c r="Z84" i="29" s="1"/>
  <c r="AA18" i="8"/>
  <c r="Z18" i="29" s="1"/>
  <c r="Z74" i="29" s="1"/>
  <c r="AA13" i="8"/>
  <c r="Z13" i="29" s="1"/>
  <c r="Z69" i="29" s="1"/>
  <c r="AA54" i="8"/>
  <c r="Z54" i="29" s="1"/>
  <c r="Z110" i="29" s="1"/>
  <c r="AA45" i="8"/>
  <c r="Z45" i="29" s="1"/>
  <c r="Z101" i="29" s="1"/>
  <c r="AA42" i="8"/>
  <c r="Z42" i="29" s="1"/>
  <c r="Z98" i="29" s="1"/>
  <c r="AA32" i="8"/>
  <c r="Z32" i="29" s="1"/>
  <c r="Z88" i="29" s="1"/>
  <c r="AA23" i="8"/>
  <c r="Z23" i="29" s="1"/>
  <c r="Z79" i="29" s="1"/>
  <c r="AA12" i="8"/>
  <c r="Z12" i="29" s="1"/>
  <c r="Z68" i="29" s="1"/>
  <c r="AA52" i="8"/>
  <c r="Z52" i="29" s="1"/>
  <c r="Z108" i="29" s="1"/>
  <c r="AA36" i="8"/>
  <c r="Z36" i="29" s="1"/>
  <c r="Z92" i="29" s="1"/>
  <c r="AA27" i="8"/>
  <c r="Z27" i="29" s="1"/>
  <c r="Z83" i="29" s="1"/>
  <c r="AA17" i="8"/>
  <c r="Z17" i="29" s="1"/>
  <c r="Z73" i="29" s="1"/>
  <c r="AA11" i="8"/>
  <c r="Z11" i="29" s="1"/>
  <c r="Z67" i="29" s="1"/>
  <c r="AA31" i="8"/>
  <c r="Z31" i="29" s="1"/>
  <c r="Z87" i="29" s="1"/>
  <c r="AA26" i="8"/>
  <c r="Z26" i="29" s="1"/>
  <c r="Z82" i="29" s="1"/>
  <c r="AA22" i="8"/>
  <c r="Z22" i="29" s="1"/>
  <c r="Z78" i="29" s="1"/>
  <c r="AA16" i="8"/>
  <c r="Z16" i="29" s="1"/>
  <c r="Z72" i="29" s="1"/>
  <c r="AA41" i="8"/>
  <c r="Z41" i="29" s="1"/>
  <c r="Z97" i="29" s="1"/>
  <c r="AA40" i="8"/>
  <c r="Z40" i="29" s="1"/>
  <c r="Z96" i="29" s="1"/>
  <c r="AA35" i="8"/>
  <c r="Z35" i="29" s="1"/>
  <c r="Z91" i="29" s="1"/>
  <c r="AA30" i="8"/>
  <c r="Z30" i="29" s="1"/>
  <c r="Z86" i="29" s="1"/>
  <c r="AA15" i="8"/>
  <c r="Z15" i="29" s="1"/>
  <c r="Z71" i="29" s="1"/>
  <c r="AA10" i="8"/>
  <c r="Z10" i="29" s="1"/>
  <c r="Z66" i="29" s="1"/>
  <c r="AA39" i="8"/>
  <c r="Z39" i="29" s="1"/>
  <c r="Z95" i="29" s="1"/>
  <c r="AA34" i="8"/>
  <c r="Z34" i="29" s="1"/>
  <c r="Z90" i="29" s="1"/>
  <c r="AA25" i="8"/>
  <c r="Z25" i="29" s="1"/>
  <c r="Z81" i="29" s="1"/>
  <c r="AA21" i="8"/>
  <c r="Z21" i="29" s="1"/>
  <c r="Z77" i="29" s="1"/>
  <c r="AA14" i="8"/>
  <c r="Z14" i="29" s="1"/>
  <c r="Z70" i="29" s="1"/>
  <c r="AA38" i="8"/>
  <c r="Z38" i="29" s="1"/>
  <c r="Z94" i="29" s="1"/>
  <c r="AA29" i="8"/>
  <c r="Z29" i="29" s="1"/>
  <c r="Z85" i="29" s="1"/>
  <c r="AA20" i="8"/>
  <c r="Z20" i="29" s="1"/>
  <c r="Z76" i="29" s="1"/>
  <c r="AA9" i="8"/>
  <c r="Z9" i="29" s="1"/>
  <c r="Z65" i="29" s="1"/>
  <c r="AA33" i="8"/>
  <c r="Z33" i="29" s="1"/>
  <c r="Z89" i="29" s="1"/>
  <c r="AA24" i="8"/>
  <c r="Z24" i="29" s="1"/>
  <c r="Z80" i="29" s="1"/>
  <c r="AA19" i="8"/>
  <c r="Z19" i="29" s="1"/>
  <c r="Z75" i="29" s="1"/>
  <c r="AA8" i="8"/>
  <c r="Z8" i="29" s="1"/>
  <c r="Z64" i="29" s="1"/>
  <c r="AA6" i="8"/>
  <c r="Z6" i="29" s="1"/>
  <c r="Z62" i="29" s="1"/>
  <c r="AA5" i="8"/>
  <c r="Z5" i="29" s="1"/>
  <c r="Z61" i="29" s="1"/>
  <c r="P9" i="31" s="1"/>
  <c r="AA7" i="8"/>
  <c r="Z7" i="29" s="1"/>
  <c r="Z63" i="29" s="1"/>
  <c r="O49" i="12"/>
  <c r="V49" i="12"/>
  <c r="T49" i="12"/>
  <c r="R7" i="11"/>
  <c r="R5" i="11"/>
  <c r="R8" i="11"/>
  <c r="R11" i="11"/>
  <c r="R6" i="11"/>
  <c r="R17" i="11"/>
  <c r="R9" i="11"/>
  <c r="R12" i="11"/>
  <c r="R10" i="11"/>
  <c r="R39" i="11"/>
  <c r="R27" i="11"/>
  <c r="R24" i="11"/>
  <c r="R32" i="11"/>
  <c r="R16" i="11"/>
  <c r="R26" i="11"/>
  <c r="R18" i="11"/>
  <c r="R25" i="11"/>
  <c r="R34" i="11"/>
  <c r="R20" i="11"/>
  <c r="R13" i="11"/>
  <c r="R33" i="11"/>
  <c r="R42" i="11"/>
  <c r="R19" i="11"/>
  <c r="R28" i="11"/>
  <c r="R22" i="11"/>
  <c r="R14" i="11"/>
  <c r="R41" i="11"/>
  <c r="R43" i="11"/>
  <c r="R36" i="11"/>
  <c r="R29" i="11"/>
  <c r="R30" i="11"/>
  <c r="R23" i="11"/>
  <c r="R37" i="11"/>
  <c r="R38" i="11"/>
  <c r="R31" i="11"/>
  <c r="R35" i="11"/>
  <c r="P49" i="12"/>
  <c r="N49" i="12"/>
  <c r="R15" i="11"/>
  <c r="U49" i="12"/>
  <c r="R40" i="11"/>
  <c r="R21" i="11"/>
  <c r="Z49" i="11"/>
  <c r="AJ62" i="8"/>
  <c r="AL59" i="9"/>
  <c r="AL59" i="8"/>
  <c r="AL59" i="7"/>
  <c r="AL61" i="6"/>
  <c r="AL58" i="8"/>
  <c r="AL58" i="9"/>
  <c r="AL58" i="7"/>
  <c r="AH62" i="8"/>
  <c r="R50" i="11"/>
  <c r="R49" i="11" s="1"/>
  <c r="AL60" i="9"/>
  <c r="AL60" i="8"/>
  <c r="AL62" i="6"/>
  <c r="AL60" i="7"/>
  <c r="AB58" i="8"/>
  <c r="AB58" i="9"/>
  <c r="AB58" i="7"/>
  <c r="W48" i="13"/>
  <c r="W48" i="12"/>
  <c r="W48" i="11"/>
  <c r="W48" i="10"/>
  <c r="R50" i="12"/>
  <c r="R49" i="12" s="1"/>
  <c r="AI24" i="7"/>
  <c r="AI20" i="7"/>
  <c r="AI23" i="7"/>
  <c r="AI19" i="7"/>
  <c r="AI22" i="7"/>
  <c r="AI18" i="7"/>
  <c r="AI29" i="7"/>
  <c r="AI21" i="7"/>
  <c r="AI13" i="7"/>
  <c r="AI9" i="7"/>
  <c r="AI5" i="7"/>
  <c r="AI17" i="7"/>
  <c r="AI16" i="7"/>
  <c r="AI12" i="7"/>
  <c r="AI8" i="7"/>
  <c r="AI15" i="7"/>
  <c r="AI11" i="7"/>
  <c r="AI7" i="7"/>
  <c r="AI14" i="7"/>
  <c r="AI10" i="7"/>
  <c r="AI6" i="7"/>
  <c r="AI38" i="7"/>
  <c r="AB60" i="9"/>
  <c r="AB60" i="8"/>
  <c r="AB60" i="7"/>
  <c r="AB62" i="6"/>
  <c r="V50" i="10"/>
  <c r="Z50" i="10"/>
  <c r="U50" i="10"/>
  <c r="T50" i="10"/>
  <c r="N50" i="10"/>
  <c r="O50" i="10"/>
  <c r="M69" i="6"/>
  <c r="M75" i="6" s="1"/>
  <c r="M59" i="6"/>
  <c r="M64" i="6" s="1"/>
  <c r="M48" i="7" s="1"/>
  <c r="Y60" i="6"/>
  <c r="Y58" i="24" s="1"/>
  <c r="Y62" i="24" s="1"/>
  <c r="V60" i="6"/>
  <c r="V58" i="24" s="1"/>
  <c r="V62" i="24" s="1"/>
  <c r="V64" i="6"/>
  <c r="D35" i="5"/>
  <c r="Q46" i="25" s="1"/>
  <c r="D4" i="5"/>
  <c r="N60" i="6" s="1"/>
  <c r="N58" i="24" s="1"/>
  <c r="R11" i="25" l="1"/>
  <c r="S11" i="25" s="1"/>
  <c r="M31" i="25"/>
  <c r="R36" i="25"/>
  <c r="S36" i="25" s="1"/>
  <c r="R33" i="25"/>
  <c r="S33" i="25" s="1"/>
  <c r="R32" i="25"/>
  <c r="S32" i="25" s="1"/>
  <c r="R6" i="25"/>
  <c r="S6" i="25" s="1"/>
  <c r="M13" i="25"/>
  <c r="M41" i="25"/>
  <c r="M37" i="25"/>
  <c r="M22" i="25"/>
  <c r="M10" i="25"/>
  <c r="Q45" i="24"/>
  <c r="P51" i="24"/>
  <c r="W33" i="24"/>
  <c r="W44" i="24"/>
  <c r="AH51" i="24"/>
  <c r="M49" i="11"/>
  <c r="M49" i="25"/>
  <c r="AA57" i="24"/>
  <c r="R43" i="25"/>
  <c r="S43" i="25" s="1"/>
  <c r="M16" i="25"/>
  <c r="P46" i="24"/>
  <c r="R31" i="25"/>
  <c r="S31" i="25" s="1"/>
  <c r="R41" i="25"/>
  <c r="S41" i="25" s="1"/>
  <c r="R20" i="25"/>
  <c r="S20" i="25" s="1"/>
  <c r="R27" i="25"/>
  <c r="S27" i="25" s="1"/>
  <c r="R8" i="25"/>
  <c r="S8" i="25" s="1"/>
  <c r="M26" i="25"/>
  <c r="M21" i="25"/>
  <c r="M36" i="25"/>
  <c r="M6" i="25"/>
  <c r="M12" i="25"/>
  <c r="P53" i="24"/>
  <c r="P21" i="24"/>
  <c r="W7" i="24"/>
  <c r="W27" i="24"/>
  <c r="AI34" i="9"/>
  <c r="G6" i="32"/>
  <c r="AV11" i="24"/>
  <c r="AR12" i="24"/>
  <c r="AV12" i="24" s="1"/>
  <c r="N49" i="11"/>
  <c r="N49" i="25"/>
  <c r="O49" i="11"/>
  <c r="O49" i="25"/>
  <c r="R21" i="25"/>
  <c r="S21" i="25" s="1"/>
  <c r="R38" i="25"/>
  <c r="S38" i="25" s="1"/>
  <c r="R14" i="25"/>
  <c r="S14" i="25" s="1"/>
  <c r="R34" i="25"/>
  <c r="S34" i="25" s="1"/>
  <c r="R39" i="25"/>
  <c r="S39" i="25" s="1"/>
  <c r="R5" i="25"/>
  <c r="M32" i="25"/>
  <c r="M33" i="25"/>
  <c r="M42" i="25"/>
  <c r="M35" i="25"/>
  <c r="M9" i="25"/>
  <c r="P25" i="24"/>
  <c r="AI41" i="9"/>
  <c r="AV32" i="24"/>
  <c r="AR33" i="24"/>
  <c r="AV33" i="24" s="1"/>
  <c r="V49" i="11"/>
  <c r="V49" i="25"/>
  <c r="Z49" i="12"/>
  <c r="Z49" i="25"/>
  <c r="R35" i="25"/>
  <c r="S35" i="25" s="1"/>
  <c r="M7" i="25"/>
  <c r="P19" i="24"/>
  <c r="R37" i="25"/>
  <c r="S37" i="25" s="1"/>
  <c r="R7" i="25"/>
  <c r="S7" i="25" s="1"/>
  <c r="M15" i="25"/>
  <c r="M17" i="25"/>
  <c r="O52" i="24"/>
  <c r="P10" i="24"/>
  <c r="AI50" i="9"/>
  <c r="P7" i="31"/>
  <c r="M28" i="25"/>
  <c r="R40" i="25"/>
  <c r="S40" i="25" s="1"/>
  <c r="Q25" i="30"/>
  <c r="Q69" i="30" s="1"/>
  <c r="R25" i="25"/>
  <c r="S25" i="25" s="1"/>
  <c r="R10" i="25"/>
  <c r="S10" i="25" s="1"/>
  <c r="M39" i="25"/>
  <c r="M23" i="25"/>
  <c r="R18" i="25"/>
  <c r="S18" i="25" s="1"/>
  <c r="M38" i="25"/>
  <c r="P33" i="24"/>
  <c r="W5" i="24"/>
  <c r="W39" i="24"/>
  <c r="AI35" i="9"/>
  <c r="P11" i="31"/>
  <c r="R13" i="25"/>
  <c r="S13" i="25" s="1"/>
  <c r="P49" i="24"/>
  <c r="AI46" i="9"/>
  <c r="R22" i="25"/>
  <c r="S22" i="25" s="1"/>
  <c r="O9" i="31"/>
  <c r="O15" i="31" s="1"/>
  <c r="M40" i="25"/>
  <c r="M11" i="25"/>
  <c r="O46" i="24"/>
  <c r="R15" i="25"/>
  <c r="S15" i="25" s="1"/>
  <c r="R30" i="25"/>
  <c r="S30" i="25" s="1"/>
  <c r="R19" i="25"/>
  <c r="S19" i="25" s="1"/>
  <c r="R26" i="25"/>
  <c r="S26" i="25" s="1"/>
  <c r="R9" i="25"/>
  <c r="S9" i="25" s="1"/>
  <c r="M20" i="25"/>
  <c r="M43" i="25"/>
  <c r="M27" i="25"/>
  <c r="M8" i="25"/>
  <c r="Q48" i="24"/>
  <c r="P35" i="24"/>
  <c r="W25" i="24"/>
  <c r="W36" i="24"/>
  <c r="AH18" i="24"/>
  <c r="AI55" i="9"/>
  <c r="AI27" i="9"/>
  <c r="O11" i="31"/>
  <c r="U49" i="11"/>
  <c r="U49" i="25"/>
  <c r="L6" i="32"/>
  <c r="L8" i="32"/>
  <c r="M8" i="32" s="1"/>
  <c r="G15" i="32" s="1"/>
  <c r="R24" i="25"/>
  <c r="S24" i="25" s="1"/>
  <c r="M24" i="25"/>
  <c r="M30" i="25"/>
  <c r="R23" i="25"/>
  <c r="S23" i="25" s="1"/>
  <c r="R28" i="25"/>
  <c r="S28" i="25" s="1"/>
  <c r="R12" i="25"/>
  <c r="S12" i="25" s="1"/>
  <c r="M29" i="25"/>
  <c r="M14" i="25"/>
  <c r="R29" i="25"/>
  <c r="S29" i="25" s="1"/>
  <c r="R42" i="25"/>
  <c r="S42" i="25" s="1"/>
  <c r="R16" i="25"/>
  <c r="S16" i="25" s="1"/>
  <c r="R17" i="25"/>
  <c r="S17" i="25" s="1"/>
  <c r="M19" i="25"/>
  <c r="M18" i="25"/>
  <c r="M25" i="25"/>
  <c r="M34" i="25"/>
  <c r="M5" i="25"/>
  <c r="L23" i="24"/>
  <c r="P42" i="24"/>
  <c r="P24" i="24"/>
  <c r="AI25" i="9"/>
  <c r="O7" i="31"/>
  <c r="AI30" i="7"/>
  <c r="AI53" i="7"/>
  <c r="AI48" i="7"/>
  <c r="AI39" i="7"/>
  <c r="AI44" i="7"/>
  <c r="AI33" i="7"/>
  <c r="AI54" i="7"/>
  <c r="AI49" i="7"/>
  <c r="AI32" i="7"/>
  <c r="AI31" i="7"/>
  <c r="AI26" i="7"/>
  <c r="AI28" i="7"/>
  <c r="AI40" i="7"/>
  <c r="AI36" i="7"/>
  <c r="AI42" i="7"/>
  <c r="AI57" i="7" s="1"/>
  <c r="AI62" i="7" s="1"/>
  <c r="AI43" i="7"/>
  <c r="AI37" i="7"/>
  <c r="AI47" i="7"/>
  <c r="AI51" i="7"/>
  <c r="AI52" i="7"/>
  <c r="AI45" i="7"/>
  <c r="Z18" i="24"/>
  <c r="Z55" i="24"/>
  <c r="Z42" i="24"/>
  <c r="Z32" i="24"/>
  <c r="Z12" i="24"/>
  <c r="Z26" i="24"/>
  <c r="Z19" i="24"/>
  <c r="Z48" i="24"/>
  <c r="Z53" i="24"/>
  <c r="Z6" i="24"/>
  <c r="Z38" i="24"/>
  <c r="Z50" i="24"/>
  <c r="Z31" i="24"/>
  <c r="Z40" i="24"/>
  <c r="Z30" i="24"/>
  <c r="Z24" i="24"/>
  <c r="Z25" i="24"/>
  <c r="Z17" i="24"/>
  <c r="Z29" i="24"/>
  <c r="Z22" i="24"/>
  <c r="Z51" i="24"/>
  <c r="Z41" i="24"/>
  <c r="Z8" i="24"/>
  <c r="Z37" i="24"/>
  <c r="Z5" i="24"/>
  <c r="Z43" i="24"/>
  <c r="Z33" i="24"/>
  <c r="Z49" i="24"/>
  <c r="Z27" i="24"/>
  <c r="Z28" i="24"/>
  <c r="Z9" i="24"/>
  <c r="Z39" i="24"/>
  <c r="Z20" i="24"/>
  <c r="Z54" i="24"/>
  <c r="Z44" i="24"/>
  <c r="Z16" i="24"/>
  <c r="Z11" i="24"/>
  <c r="Z46" i="24"/>
  <c r="Z21" i="24"/>
  <c r="Z34" i="24"/>
  <c r="Z47" i="24"/>
  <c r="Z10" i="24"/>
  <c r="Z36" i="24"/>
  <c r="Z14" i="24"/>
  <c r="Z15" i="24"/>
  <c r="Z35" i="24"/>
  <c r="Z52" i="24"/>
  <c r="Z7" i="24"/>
  <c r="Z23" i="24"/>
  <c r="Z13" i="24"/>
  <c r="Z45" i="24"/>
  <c r="P15" i="31"/>
  <c r="X10" i="31"/>
  <c r="X6" i="31"/>
  <c r="M10" i="32"/>
  <c r="AT10" i="26"/>
  <c r="AQ13" i="24"/>
  <c r="AV26" i="24"/>
  <c r="AR27" i="24"/>
  <c r="AJ10" i="26"/>
  <c r="Z57" i="8"/>
  <c r="M48" i="9"/>
  <c r="Y58" i="8"/>
  <c r="Y62" i="8" s="1"/>
  <c r="Y58" i="9"/>
  <c r="Y58" i="7"/>
  <c r="N58" i="9"/>
  <c r="N58" i="8"/>
  <c r="N58" i="7"/>
  <c r="N6" i="11"/>
  <c r="N12" i="11"/>
  <c r="N7" i="11"/>
  <c r="N10" i="11"/>
  <c r="N5" i="11"/>
  <c r="N8" i="11"/>
  <c r="N11" i="11"/>
  <c r="N17" i="11"/>
  <c r="N26" i="11"/>
  <c r="N9" i="11"/>
  <c r="N38" i="11"/>
  <c r="N34" i="11"/>
  <c r="N18" i="11"/>
  <c r="N27" i="11"/>
  <c r="N13" i="11"/>
  <c r="N23" i="11"/>
  <c r="N35" i="11"/>
  <c r="N21" i="11"/>
  <c r="N22" i="11"/>
  <c r="N31" i="11"/>
  <c r="N15" i="11"/>
  <c r="N43" i="11"/>
  <c r="N28" i="11"/>
  <c r="N29" i="11"/>
  <c r="N30" i="11"/>
  <c r="N39" i="11"/>
  <c r="N24" i="11"/>
  <c r="N37" i="11"/>
  <c r="N32" i="11"/>
  <c r="N40" i="11"/>
  <c r="N16" i="11"/>
  <c r="N20" i="11"/>
  <c r="N25" i="11"/>
  <c r="N36" i="11"/>
  <c r="N42" i="11"/>
  <c r="N19" i="11"/>
  <c r="N14" i="11"/>
  <c r="N41" i="11"/>
  <c r="N33" i="11"/>
  <c r="AI15" i="9"/>
  <c r="AI21" i="9"/>
  <c r="S40" i="11"/>
  <c r="R40" i="12"/>
  <c r="S40" i="12" s="1"/>
  <c r="R40" i="13"/>
  <c r="S40" i="13" s="1"/>
  <c r="S37" i="11"/>
  <c r="R37" i="12"/>
  <c r="S37" i="12" s="1"/>
  <c r="R37" i="13"/>
  <c r="S37" i="13" s="1"/>
  <c r="R22" i="12"/>
  <c r="S22" i="12" s="1"/>
  <c r="S22" i="11"/>
  <c r="R22" i="13"/>
  <c r="S22" i="13" s="1"/>
  <c r="R25" i="12"/>
  <c r="S25" i="12" s="1"/>
  <c r="S25" i="11"/>
  <c r="R25" i="13"/>
  <c r="S25" i="13" s="1"/>
  <c r="R10" i="12"/>
  <c r="S10" i="12" s="1"/>
  <c r="S10" i="11"/>
  <c r="R10" i="13"/>
  <c r="S10" i="13" s="1"/>
  <c r="R7" i="12"/>
  <c r="S7" i="11"/>
  <c r="R7" i="13"/>
  <c r="S7" i="13" s="1"/>
  <c r="M39" i="12"/>
  <c r="M39" i="30" s="1"/>
  <c r="M83" i="30" s="1"/>
  <c r="M39" i="13"/>
  <c r="M15" i="12"/>
  <c r="M15" i="30" s="1"/>
  <c r="M59" i="30" s="1"/>
  <c r="M15" i="13"/>
  <c r="M30" i="12"/>
  <c r="M30" i="13"/>
  <c r="M23" i="12"/>
  <c r="M23" i="30" s="1"/>
  <c r="M67" i="30" s="1"/>
  <c r="M23" i="13"/>
  <c r="M17" i="12"/>
  <c r="M17" i="30" s="1"/>
  <c r="M61" i="30" s="1"/>
  <c r="M17" i="13"/>
  <c r="O30" i="9"/>
  <c r="O53" i="9"/>
  <c r="O32" i="9"/>
  <c r="O28" i="9"/>
  <c r="O15" i="9"/>
  <c r="O9" i="9"/>
  <c r="M45" i="7"/>
  <c r="L53" i="9"/>
  <c r="L48" i="9"/>
  <c r="L39" i="9"/>
  <c r="L11" i="9"/>
  <c r="L9" i="9"/>
  <c r="L26" i="9"/>
  <c r="Q46" i="9"/>
  <c r="Q21" i="9"/>
  <c r="Q15" i="9"/>
  <c r="Q48" i="9"/>
  <c r="Q17" i="9"/>
  <c r="Q12" i="9"/>
  <c r="Q31" i="9"/>
  <c r="X7" i="9"/>
  <c r="X16" i="9"/>
  <c r="X25" i="9"/>
  <c r="X30" i="9"/>
  <c r="X27" i="9"/>
  <c r="X28" i="9"/>
  <c r="M25" i="7"/>
  <c r="P46" i="9"/>
  <c r="P49" i="9"/>
  <c r="P13" i="9"/>
  <c r="P5" i="9"/>
  <c r="P57" i="7"/>
  <c r="P62" i="7" s="1"/>
  <c r="P5" i="8" s="1"/>
  <c r="P5" i="29" s="1"/>
  <c r="P61" i="29" s="1"/>
  <c r="P32" i="9"/>
  <c r="P19" i="9"/>
  <c r="AD51" i="7"/>
  <c r="AC51" i="9"/>
  <c r="AD51" i="9" s="1"/>
  <c r="AD47" i="7"/>
  <c r="AC47" i="9"/>
  <c r="AD47" i="9" s="1"/>
  <c r="AD44" i="7"/>
  <c r="AC44" i="9"/>
  <c r="AD44" i="9" s="1"/>
  <c r="AD25" i="7"/>
  <c r="AC25" i="9"/>
  <c r="AD25" i="9" s="1"/>
  <c r="AD20" i="7"/>
  <c r="AC20" i="9"/>
  <c r="AD20" i="9" s="1"/>
  <c r="AD7" i="7"/>
  <c r="AC7" i="9"/>
  <c r="AD7" i="9" s="1"/>
  <c r="M32" i="7"/>
  <c r="W5" i="9"/>
  <c r="W57" i="7"/>
  <c r="W62" i="7" s="1"/>
  <c r="W53" i="8" s="1"/>
  <c r="V53" i="29" s="1"/>
  <c r="V109" i="29" s="1"/>
  <c r="W21" i="9"/>
  <c r="W53" i="9"/>
  <c r="W46" i="9"/>
  <c r="W39" i="9"/>
  <c r="W32" i="9"/>
  <c r="AH43" i="9"/>
  <c r="AH33" i="9"/>
  <c r="AH39" i="9"/>
  <c r="AH51" i="9"/>
  <c r="AH7" i="9"/>
  <c r="AH17" i="9"/>
  <c r="AH20" i="9"/>
  <c r="M27" i="7"/>
  <c r="S57" i="7"/>
  <c r="R47" i="9"/>
  <c r="R37" i="9"/>
  <c r="R46" i="9"/>
  <c r="R17" i="9"/>
  <c r="R23" i="9"/>
  <c r="R25" i="9"/>
  <c r="M15" i="7"/>
  <c r="U16" i="9"/>
  <c r="U26" i="9"/>
  <c r="U19" i="9"/>
  <c r="U51" i="9"/>
  <c r="U44" i="9"/>
  <c r="U37" i="9"/>
  <c r="AI8" i="9"/>
  <c r="AI29" i="9"/>
  <c r="R23" i="12"/>
  <c r="S23" i="12" s="1"/>
  <c r="S23" i="11"/>
  <c r="R23" i="13"/>
  <c r="S23" i="13" s="1"/>
  <c r="R28" i="12"/>
  <c r="S28" i="12" s="1"/>
  <c r="S28" i="11"/>
  <c r="R28" i="13"/>
  <c r="S28" i="13" s="1"/>
  <c r="R18" i="12"/>
  <c r="S18" i="12" s="1"/>
  <c r="S18" i="11"/>
  <c r="R18" i="13"/>
  <c r="S18" i="13" s="1"/>
  <c r="R12" i="12"/>
  <c r="S12" i="12" s="1"/>
  <c r="S12" i="11"/>
  <c r="R12" i="13"/>
  <c r="S12" i="13" s="1"/>
  <c r="M29" i="12"/>
  <c r="M29" i="13"/>
  <c r="M40" i="12"/>
  <c r="M40" i="30" s="1"/>
  <c r="M84" i="30" s="1"/>
  <c r="M40" i="13"/>
  <c r="M38" i="12"/>
  <c r="M38" i="13"/>
  <c r="M38" i="30" s="1"/>
  <c r="M82" i="30" s="1"/>
  <c r="M14" i="12"/>
  <c r="M14" i="30" s="1"/>
  <c r="M58" i="30" s="1"/>
  <c r="M14" i="13"/>
  <c r="M11" i="12"/>
  <c r="M11" i="13"/>
  <c r="O33" i="9"/>
  <c r="O52" i="9"/>
  <c r="O55" i="9"/>
  <c r="O6" i="9"/>
  <c r="O22" i="9"/>
  <c r="O13" i="9"/>
  <c r="M39" i="7"/>
  <c r="L52" i="9"/>
  <c r="L15" i="9"/>
  <c r="L34" i="9"/>
  <c r="L23" i="9"/>
  <c r="L13" i="9"/>
  <c r="L30" i="9"/>
  <c r="Q35" i="9"/>
  <c r="Q41" i="9"/>
  <c r="Q53" i="9"/>
  <c r="Q55" i="9"/>
  <c r="Q25" i="9"/>
  <c r="Q27" i="9"/>
  <c r="M49" i="7"/>
  <c r="X11" i="9"/>
  <c r="X22" i="9"/>
  <c r="X29" i="9"/>
  <c r="X34" i="9"/>
  <c r="X31" i="9"/>
  <c r="X32" i="9"/>
  <c r="P44" i="9"/>
  <c r="P53" i="9"/>
  <c r="P40" i="8"/>
  <c r="P40" i="29" s="1"/>
  <c r="P96" i="29" s="1"/>
  <c r="P40" i="9"/>
  <c r="P17" i="8"/>
  <c r="P17" i="29" s="1"/>
  <c r="P73" i="29" s="1"/>
  <c r="P17" i="9"/>
  <c r="P8" i="8"/>
  <c r="P8" i="29" s="1"/>
  <c r="P64" i="29" s="1"/>
  <c r="P8" i="9"/>
  <c r="P21" i="9"/>
  <c r="P23" i="8"/>
  <c r="P23" i="29" s="1"/>
  <c r="P79" i="29" s="1"/>
  <c r="P23" i="9"/>
  <c r="AD40" i="7"/>
  <c r="AC40" i="9"/>
  <c r="AD40" i="9" s="1"/>
  <c r="AD38" i="7"/>
  <c r="AC38" i="9"/>
  <c r="AD38" i="9" s="1"/>
  <c r="AD42" i="7"/>
  <c r="AC42" i="9"/>
  <c r="AD42" i="9" s="1"/>
  <c r="AD45" i="7"/>
  <c r="AC45" i="9"/>
  <c r="AD45" i="9" s="1"/>
  <c r="AD9" i="7"/>
  <c r="AC9" i="9"/>
  <c r="AD9" i="9" s="1"/>
  <c r="AD11" i="7"/>
  <c r="AC11" i="9"/>
  <c r="AD11" i="9" s="1"/>
  <c r="M16" i="7"/>
  <c r="W8" i="9"/>
  <c r="W25" i="8"/>
  <c r="V25" i="29" s="1"/>
  <c r="V81" i="29" s="1"/>
  <c r="W25" i="9"/>
  <c r="W18" i="9"/>
  <c r="W50" i="9"/>
  <c r="W43" i="9"/>
  <c r="W36" i="9"/>
  <c r="AH34" i="9"/>
  <c r="AH38" i="9"/>
  <c r="AH27" i="9"/>
  <c r="AH42" i="9"/>
  <c r="AH11" i="9"/>
  <c r="AH5" i="9"/>
  <c r="AH57" i="7"/>
  <c r="AH62" i="7" s="1"/>
  <c r="AH38" i="24" s="1"/>
  <c r="AH24" i="9"/>
  <c r="M33" i="7"/>
  <c r="S47" i="13"/>
  <c r="S47" i="12"/>
  <c r="S47" i="11"/>
  <c r="S47" i="10"/>
  <c r="R39" i="9"/>
  <c r="R51" i="9"/>
  <c r="R44" i="9"/>
  <c r="R6" i="9"/>
  <c r="R27" i="9"/>
  <c r="R29" i="9"/>
  <c r="M37" i="7"/>
  <c r="U9" i="9"/>
  <c r="U30" i="9"/>
  <c r="U23" i="9"/>
  <c r="U55" i="9"/>
  <c r="U48" i="9"/>
  <c r="U41" i="9"/>
  <c r="AI12" i="9"/>
  <c r="AI18" i="9"/>
  <c r="R15" i="12"/>
  <c r="S15" i="11"/>
  <c r="R15" i="13"/>
  <c r="S15" i="13" s="1"/>
  <c r="R30" i="12"/>
  <c r="S30" i="12" s="1"/>
  <c r="S30" i="11"/>
  <c r="R30" i="13"/>
  <c r="S30" i="13" s="1"/>
  <c r="R19" i="12"/>
  <c r="S19" i="11"/>
  <c r="R19" i="13"/>
  <c r="S19" i="13" s="1"/>
  <c r="R26" i="12"/>
  <c r="S26" i="11"/>
  <c r="R26" i="13"/>
  <c r="S26" i="13" s="1"/>
  <c r="R9" i="12"/>
  <c r="S9" i="11"/>
  <c r="R9" i="13"/>
  <c r="S9" i="13" s="1"/>
  <c r="M20" i="12"/>
  <c r="M20" i="30" s="1"/>
  <c r="M64" i="30" s="1"/>
  <c r="M20" i="13"/>
  <c r="M43" i="12"/>
  <c r="M43" i="13"/>
  <c r="M27" i="12"/>
  <c r="M27" i="30" s="1"/>
  <c r="M71" i="30" s="1"/>
  <c r="M27" i="13"/>
  <c r="M8" i="12"/>
  <c r="M8" i="13"/>
  <c r="M35" i="7"/>
  <c r="O31" i="9"/>
  <c r="O25" i="9"/>
  <c r="O46" i="9"/>
  <c r="O10" i="9"/>
  <c r="O20" i="9"/>
  <c r="O17" i="9"/>
  <c r="M12" i="7"/>
  <c r="L29" i="9"/>
  <c r="L47" i="9"/>
  <c r="L24" i="9"/>
  <c r="L25" i="9"/>
  <c r="L17" i="9"/>
  <c r="L31" i="9"/>
  <c r="Q49" i="9"/>
  <c r="Q22" i="9"/>
  <c r="Q45" i="9"/>
  <c r="Q54" i="9"/>
  <c r="Q6" i="9"/>
  <c r="Q20" i="9"/>
  <c r="M43" i="7"/>
  <c r="X15" i="9"/>
  <c r="X17" i="9"/>
  <c r="X33" i="9"/>
  <c r="X38" i="9"/>
  <c r="X35" i="9"/>
  <c r="X36" i="9"/>
  <c r="P36" i="8"/>
  <c r="P36" i="9"/>
  <c r="P34" i="8"/>
  <c r="P34" i="29" s="1"/>
  <c r="P90" i="29" s="1"/>
  <c r="P34" i="9"/>
  <c r="P37" i="8"/>
  <c r="P37" i="9"/>
  <c r="P6" i="8"/>
  <c r="P6" i="9"/>
  <c r="P12" i="8"/>
  <c r="P12" i="9"/>
  <c r="P25" i="8"/>
  <c r="P25" i="9"/>
  <c r="P27" i="8"/>
  <c r="P27" i="9"/>
  <c r="AD55" i="7"/>
  <c r="AC55" i="9"/>
  <c r="AD55" i="9" s="1"/>
  <c r="AD52" i="7"/>
  <c r="AC52" i="9"/>
  <c r="AD52" i="9" s="1"/>
  <c r="AD33" i="7"/>
  <c r="AC33" i="9"/>
  <c r="AD33" i="9" s="1"/>
  <c r="AD22" i="7"/>
  <c r="AC22" i="9"/>
  <c r="AD22" i="9" s="1"/>
  <c r="AD13" i="7"/>
  <c r="AC13" i="9"/>
  <c r="AD13" i="9" s="1"/>
  <c r="AD15" i="7"/>
  <c r="AC15" i="9"/>
  <c r="AD15" i="9" s="1"/>
  <c r="M30" i="7"/>
  <c r="W12" i="9"/>
  <c r="W29" i="9"/>
  <c r="W22" i="8"/>
  <c r="V22" i="29" s="1"/>
  <c r="V78" i="29" s="1"/>
  <c r="W22" i="9"/>
  <c r="W54" i="8"/>
  <c r="W54" i="9"/>
  <c r="W47" i="9"/>
  <c r="W40" i="9"/>
  <c r="AH41" i="9"/>
  <c r="AH44" i="9"/>
  <c r="AH31" i="9"/>
  <c r="AH49" i="9"/>
  <c r="AH15" i="9"/>
  <c r="AH9" i="9"/>
  <c r="AH29" i="9"/>
  <c r="M50" i="7"/>
  <c r="R53" i="9"/>
  <c r="R34" i="9"/>
  <c r="R5" i="9"/>
  <c r="R57" i="7"/>
  <c r="R10" i="9"/>
  <c r="R31" i="9"/>
  <c r="R33" i="9"/>
  <c r="U7" i="9"/>
  <c r="U13" i="9"/>
  <c r="U34" i="9"/>
  <c r="U27" i="9"/>
  <c r="U20" i="9"/>
  <c r="U52" i="9"/>
  <c r="U45" i="9"/>
  <c r="S48" i="12"/>
  <c r="S48" i="13"/>
  <c r="S48" i="10"/>
  <c r="S48" i="11"/>
  <c r="V53" i="7"/>
  <c r="V49" i="7"/>
  <c r="V45" i="7"/>
  <c r="V41" i="7"/>
  <c r="V37" i="7"/>
  <c r="V33" i="7"/>
  <c r="V29" i="7"/>
  <c r="V52" i="7"/>
  <c r="V48" i="7"/>
  <c r="V44" i="7"/>
  <c r="V40" i="7"/>
  <c r="V36" i="7"/>
  <c r="V32" i="7"/>
  <c r="V28" i="7"/>
  <c r="V24" i="7"/>
  <c r="V55" i="7"/>
  <c r="V51" i="7"/>
  <c r="V47" i="7"/>
  <c r="V43" i="7"/>
  <c r="V39" i="7"/>
  <c r="V35" i="7"/>
  <c r="V31" i="7"/>
  <c r="V54" i="7"/>
  <c r="V50" i="7"/>
  <c r="V46" i="7"/>
  <c r="V42" i="7"/>
  <c r="V38" i="7"/>
  <c r="V34" i="7"/>
  <c r="V30" i="7"/>
  <c r="V26" i="7"/>
  <c r="V22" i="7"/>
  <c r="V14" i="7"/>
  <c r="V10" i="7"/>
  <c r="V21" i="7"/>
  <c r="V20" i="7"/>
  <c r="V6" i="7"/>
  <c r="V19" i="7"/>
  <c r="V13" i="7"/>
  <c r="V9" i="7"/>
  <c r="V23" i="7"/>
  <c r="V17" i="7"/>
  <c r="V16" i="7"/>
  <c r="V12" i="7"/>
  <c r="V8" i="7"/>
  <c r="V5" i="7"/>
  <c r="V25" i="7"/>
  <c r="V18" i="7"/>
  <c r="V15" i="7"/>
  <c r="V11" i="7"/>
  <c r="V7" i="7"/>
  <c r="V27" i="7"/>
  <c r="U8" i="11"/>
  <c r="U6" i="11"/>
  <c r="U17" i="11"/>
  <c r="U9" i="11"/>
  <c r="U12" i="11"/>
  <c r="U7" i="11"/>
  <c r="U10" i="11"/>
  <c r="U5" i="11"/>
  <c r="U19" i="11"/>
  <c r="U31" i="11"/>
  <c r="U28" i="11"/>
  <c r="U11" i="11"/>
  <c r="U22" i="11"/>
  <c r="U14" i="11"/>
  <c r="U15" i="11"/>
  <c r="U27" i="11"/>
  <c r="U21" i="11"/>
  <c r="U30" i="11"/>
  <c r="U23" i="11"/>
  <c r="U24" i="11"/>
  <c r="U18" i="11"/>
  <c r="U29" i="11"/>
  <c r="U38" i="11"/>
  <c r="U39" i="11"/>
  <c r="U32" i="11"/>
  <c r="U16" i="11"/>
  <c r="U35" i="11"/>
  <c r="U26" i="11"/>
  <c r="U37" i="11"/>
  <c r="U33" i="11"/>
  <c r="U42" i="11"/>
  <c r="U20" i="11"/>
  <c r="U41" i="11"/>
  <c r="U40" i="11"/>
  <c r="U25" i="11"/>
  <c r="U36" i="11"/>
  <c r="U13" i="11"/>
  <c r="U34" i="11"/>
  <c r="U43" i="11"/>
  <c r="AI6" i="9"/>
  <c r="AI16" i="9"/>
  <c r="AI22" i="9"/>
  <c r="R29" i="12"/>
  <c r="S29" i="11"/>
  <c r="R29" i="13"/>
  <c r="S29" i="13" s="1"/>
  <c r="S42" i="11"/>
  <c r="R42" i="12"/>
  <c r="R42" i="13"/>
  <c r="S42" i="13" s="1"/>
  <c r="R16" i="12"/>
  <c r="S16" i="11"/>
  <c r="R16" i="13"/>
  <c r="S16" i="13" s="1"/>
  <c r="R17" i="12"/>
  <c r="S17" i="11"/>
  <c r="R17" i="13"/>
  <c r="S17" i="13" s="1"/>
  <c r="M19" i="12"/>
  <c r="M19" i="13"/>
  <c r="M18" i="12"/>
  <c r="M18" i="30" s="1"/>
  <c r="M62" i="30" s="1"/>
  <c r="M18" i="13"/>
  <c r="M25" i="12"/>
  <c r="M25" i="30" s="1"/>
  <c r="M69" i="30" s="1"/>
  <c r="M25" i="13"/>
  <c r="M34" i="12"/>
  <c r="M34" i="30" s="1"/>
  <c r="M78" i="30" s="1"/>
  <c r="M34" i="13"/>
  <c r="M5" i="12"/>
  <c r="M5" i="13"/>
  <c r="M45" i="11"/>
  <c r="O38" i="9"/>
  <c r="O50" i="9"/>
  <c r="O40" i="9"/>
  <c r="O37" i="9"/>
  <c r="O14" i="9"/>
  <c r="O5" i="9"/>
  <c r="O57" i="7"/>
  <c r="O62" i="7" s="1"/>
  <c r="O42" i="8" s="1"/>
  <c r="O42" i="29" s="1"/>
  <c r="O98" i="29" s="1"/>
  <c r="O21" i="9"/>
  <c r="L54" i="9"/>
  <c r="L55" i="9"/>
  <c r="L22" i="9"/>
  <c r="L7" i="9"/>
  <c r="L19" i="9"/>
  <c r="L18" i="9"/>
  <c r="L28" i="9"/>
  <c r="Q24" i="9"/>
  <c r="Q44" i="9"/>
  <c r="Q11" i="9"/>
  <c r="Q43" i="9"/>
  <c r="Q10" i="9"/>
  <c r="Q28" i="9"/>
  <c r="M22" i="7"/>
  <c r="X18" i="9"/>
  <c r="X19" i="9"/>
  <c r="X37" i="9"/>
  <c r="X42" i="9"/>
  <c r="X39" i="9"/>
  <c r="X40" i="9"/>
  <c r="P50" i="8"/>
  <c r="P50" i="9"/>
  <c r="P48" i="8"/>
  <c r="P48" i="9"/>
  <c r="P43" i="8"/>
  <c r="P43" i="9"/>
  <c r="P10" i="8"/>
  <c r="P10" i="9"/>
  <c r="P16" i="8"/>
  <c r="P16" i="9"/>
  <c r="P29" i="8"/>
  <c r="P29" i="9"/>
  <c r="P31" i="8"/>
  <c r="P31" i="9"/>
  <c r="AD46" i="7"/>
  <c r="AC46" i="9"/>
  <c r="AD46" i="9" s="1"/>
  <c r="AD35" i="7"/>
  <c r="AC35" i="9"/>
  <c r="AD35" i="9" s="1"/>
  <c r="AD31" i="7"/>
  <c r="AC31" i="9"/>
  <c r="AD31" i="9" s="1"/>
  <c r="AD5" i="7"/>
  <c r="AC5" i="9"/>
  <c r="AC57" i="7"/>
  <c r="AC62" i="7" s="1"/>
  <c r="AC28" i="24" s="1"/>
  <c r="AD28" i="24" s="1"/>
  <c r="AD6" i="7"/>
  <c r="AC6" i="9"/>
  <c r="AD6" i="9" s="1"/>
  <c r="AD19" i="7"/>
  <c r="AC19" i="9"/>
  <c r="AD19" i="9" s="1"/>
  <c r="W10" i="9"/>
  <c r="W16" i="8"/>
  <c r="W16" i="9"/>
  <c r="W33" i="8"/>
  <c r="W33" i="9"/>
  <c r="W26" i="9"/>
  <c r="W19" i="9"/>
  <c r="W51" i="8"/>
  <c r="W51" i="9"/>
  <c r="W44" i="8"/>
  <c r="W44" i="9"/>
  <c r="AH32" i="8"/>
  <c r="AH32" i="9"/>
  <c r="AH26" i="9"/>
  <c r="AH53" i="8"/>
  <c r="AH53" i="9"/>
  <c r="AH40" i="9"/>
  <c r="AH19" i="8"/>
  <c r="AH19" i="9"/>
  <c r="AH13" i="9"/>
  <c r="M29" i="7"/>
  <c r="M8" i="7"/>
  <c r="R50" i="9"/>
  <c r="R41" i="9"/>
  <c r="R8" i="9"/>
  <c r="R14" i="9"/>
  <c r="R20" i="9"/>
  <c r="R18" i="9"/>
  <c r="U11" i="9"/>
  <c r="U6" i="9"/>
  <c r="U38" i="9"/>
  <c r="U31" i="9"/>
  <c r="U24" i="9"/>
  <c r="U17" i="9"/>
  <c r="U49" i="9"/>
  <c r="M17" i="7"/>
  <c r="D46" i="5"/>
  <c r="AB46" i="25" s="1"/>
  <c r="Q46" i="13"/>
  <c r="Q46" i="11"/>
  <c r="Q46" i="12"/>
  <c r="Q46" i="10"/>
  <c r="Y64" i="6"/>
  <c r="T5" i="11"/>
  <c r="T11" i="11"/>
  <c r="T6" i="11"/>
  <c r="T17" i="11"/>
  <c r="T9" i="11"/>
  <c r="T12" i="11"/>
  <c r="T7" i="11"/>
  <c r="T10" i="11"/>
  <c r="T40" i="11"/>
  <c r="T16" i="11"/>
  <c r="T25" i="11"/>
  <c r="T8" i="11"/>
  <c r="T24" i="11"/>
  <c r="T41" i="11"/>
  <c r="T43" i="11"/>
  <c r="T31" i="11"/>
  <c r="T32" i="11"/>
  <c r="T39" i="11"/>
  <c r="T18" i="11"/>
  <c r="T38" i="11"/>
  <c r="T26" i="11"/>
  <c r="T34" i="11"/>
  <c r="T20" i="11"/>
  <c r="T42" i="11"/>
  <c r="T19" i="11"/>
  <c r="T28" i="11"/>
  <c r="T21" i="11"/>
  <c r="T13" i="11"/>
  <c r="T27" i="11"/>
  <c r="T36" i="11"/>
  <c r="T29" i="11"/>
  <c r="T22" i="11"/>
  <c r="T14" i="11"/>
  <c r="T15" i="11"/>
  <c r="T23" i="11"/>
  <c r="T30" i="11"/>
  <c r="T33" i="11"/>
  <c r="T35" i="11"/>
  <c r="T37" i="11"/>
  <c r="V58" i="8"/>
  <c r="V62" i="8" s="1"/>
  <c r="V58" i="9"/>
  <c r="V58" i="7"/>
  <c r="Z17" i="11"/>
  <c r="Z9" i="11"/>
  <c r="Z7" i="11"/>
  <c r="Z10" i="11"/>
  <c r="Z5" i="11"/>
  <c r="Z8" i="11"/>
  <c r="Z11" i="11"/>
  <c r="Z6" i="11"/>
  <c r="Z29" i="11"/>
  <c r="Z12" i="11"/>
  <c r="Z21" i="11"/>
  <c r="Z22" i="11"/>
  <c r="Z39" i="11"/>
  <c r="Z33" i="11"/>
  <c r="Z26" i="11"/>
  <c r="Z35" i="11"/>
  <c r="Z28" i="11"/>
  <c r="Z30" i="11"/>
  <c r="Z41" i="11"/>
  <c r="Z34" i="11"/>
  <c r="Z43" i="11"/>
  <c r="Z36" i="11"/>
  <c r="Z37" i="11"/>
  <c r="Z42" i="11"/>
  <c r="Z15" i="11"/>
  <c r="Z24" i="11"/>
  <c r="Z14" i="11"/>
  <c r="Z32" i="11"/>
  <c r="Z23" i="11"/>
  <c r="Z40" i="11"/>
  <c r="Z16" i="11"/>
  <c r="Z19" i="11"/>
  <c r="Z13" i="11"/>
  <c r="Z31" i="11"/>
  <c r="Z25" i="11"/>
  <c r="Z27" i="11"/>
  <c r="Z18" i="11"/>
  <c r="Z20" i="11"/>
  <c r="Z38" i="11"/>
  <c r="AI10" i="9"/>
  <c r="AI17" i="9"/>
  <c r="AI19" i="9"/>
  <c r="S36" i="11"/>
  <c r="R36" i="12"/>
  <c r="R36" i="13"/>
  <c r="S36" i="13" s="1"/>
  <c r="R33" i="12"/>
  <c r="S33" i="11"/>
  <c r="R33" i="13"/>
  <c r="S33" i="13" s="1"/>
  <c r="R32" i="12"/>
  <c r="S32" i="11"/>
  <c r="R32" i="13"/>
  <c r="S32" i="13" s="1"/>
  <c r="R6" i="12"/>
  <c r="S6" i="11"/>
  <c r="R6" i="13"/>
  <c r="S6" i="13" s="1"/>
  <c r="M13" i="12"/>
  <c r="M13" i="13"/>
  <c r="M41" i="12"/>
  <c r="M41" i="13"/>
  <c r="M37" i="12"/>
  <c r="M37" i="30" s="1"/>
  <c r="M81" i="30" s="1"/>
  <c r="M37" i="13"/>
  <c r="M22" i="12"/>
  <c r="M22" i="13"/>
  <c r="M10" i="12"/>
  <c r="M10" i="13"/>
  <c r="O27" i="8"/>
  <c r="O27" i="9"/>
  <c r="O42" i="9"/>
  <c r="O54" i="9"/>
  <c r="O36" i="9"/>
  <c r="O24" i="9"/>
  <c r="O8" i="8"/>
  <c r="O8" i="29" s="1"/>
  <c r="O64" i="29" s="1"/>
  <c r="O8" i="9"/>
  <c r="O29" i="9"/>
  <c r="L35" i="9"/>
  <c r="L38" i="9"/>
  <c r="L37" i="9"/>
  <c r="L16" i="9"/>
  <c r="L5" i="9"/>
  <c r="L57" i="7"/>
  <c r="L62" i="7" s="1"/>
  <c r="L6" i="9"/>
  <c r="L32" i="9"/>
  <c r="Q39" i="9"/>
  <c r="Q42" i="9"/>
  <c r="Q37" i="9"/>
  <c r="Q23" i="9"/>
  <c r="Q14" i="9"/>
  <c r="Q32" i="9"/>
  <c r="X6" i="9"/>
  <c r="X24" i="9"/>
  <c r="X9" i="9"/>
  <c r="X41" i="9"/>
  <c r="X46" i="9"/>
  <c r="X43" i="9"/>
  <c r="X44" i="9"/>
  <c r="P55" i="8"/>
  <c r="P55" i="29" s="1"/>
  <c r="P111" i="29" s="1"/>
  <c r="P55" i="9"/>
  <c r="P39" i="8"/>
  <c r="P39" i="9"/>
  <c r="P41" i="8"/>
  <c r="P41" i="9"/>
  <c r="P14" i="8"/>
  <c r="P14" i="9"/>
  <c r="P18" i="8"/>
  <c r="P18" i="29" s="1"/>
  <c r="P74" i="29" s="1"/>
  <c r="P18" i="9"/>
  <c r="P33" i="8"/>
  <c r="P33" i="9"/>
  <c r="AD37" i="7"/>
  <c r="AC37" i="9"/>
  <c r="AD37" i="9" s="1"/>
  <c r="AD43" i="7"/>
  <c r="AC43" i="9"/>
  <c r="AD43" i="9" s="1"/>
  <c r="AD50" i="7"/>
  <c r="AC50" i="9"/>
  <c r="AD50" i="9" s="1"/>
  <c r="AD36" i="7"/>
  <c r="AC36" i="9"/>
  <c r="AD36" i="9" s="1"/>
  <c r="AD8" i="7"/>
  <c r="AC8" i="9"/>
  <c r="AD8" i="9" s="1"/>
  <c r="AD10" i="7"/>
  <c r="AC10" i="9"/>
  <c r="AD10" i="9" s="1"/>
  <c r="AD23" i="7"/>
  <c r="AC23" i="9"/>
  <c r="AD23" i="9" s="1"/>
  <c r="W14" i="9"/>
  <c r="W17" i="9"/>
  <c r="W37" i="8"/>
  <c r="W37" i="9"/>
  <c r="W30" i="8"/>
  <c r="W30" i="9"/>
  <c r="W23" i="9"/>
  <c r="W55" i="9"/>
  <c r="W48" i="8"/>
  <c r="W48" i="9"/>
  <c r="L46" i="13"/>
  <c r="L46" i="12"/>
  <c r="L46" i="11"/>
  <c r="L46" i="10"/>
  <c r="AH46" i="8"/>
  <c r="AD46" i="29" s="1"/>
  <c r="AD102" i="29" s="1"/>
  <c r="AH46" i="9"/>
  <c r="AH55" i="8"/>
  <c r="AD55" i="29" s="1"/>
  <c r="AD111" i="29" s="1"/>
  <c r="AH55" i="9"/>
  <c r="AH50" i="8"/>
  <c r="AH50" i="9"/>
  <c r="AH54" i="8"/>
  <c r="AH54" i="9"/>
  <c r="AH21" i="8"/>
  <c r="AD21" i="29" s="1"/>
  <c r="AD77" i="29" s="1"/>
  <c r="AH21" i="9"/>
  <c r="AH6" i="8"/>
  <c r="AD6" i="29" s="1"/>
  <c r="AD62" i="29" s="1"/>
  <c r="AH6" i="9"/>
  <c r="M38" i="7"/>
  <c r="R35" i="9"/>
  <c r="R45" i="9"/>
  <c r="R40" i="9"/>
  <c r="R12" i="9"/>
  <c r="R7" i="9"/>
  <c r="R24" i="9"/>
  <c r="R22" i="9"/>
  <c r="U15" i="9"/>
  <c r="U10" i="9"/>
  <c r="U42" i="9"/>
  <c r="U35" i="9"/>
  <c r="U28" i="9"/>
  <c r="U21" i="9"/>
  <c r="U53" i="9"/>
  <c r="M31" i="7"/>
  <c r="P12" i="11"/>
  <c r="P10" i="11"/>
  <c r="P5" i="11"/>
  <c r="P8" i="11"/>
  <c r="P11" i="11"/>
  <c r="P6" i="11"/>
  <c r="P17" i="11"/>
  <c r="P9" i="11"/>
  <c r="P7" i="11"/>
  <c r="P21" i="11"/>
  <c r="P15" i="11"/>
  <c r="P20" i="11"/>
  <c r="P39" i="11"/>
  <c r="P40" i="11"/>
  <c r="P16" i="11"/>
  <c r="P34" i="11"/>
  <c r="P27" i="11"/>
  <c r="P24" i="11"/>
  <c r="P28" i="11"/>
  <c r="P25" i="11"/>
  <c r="P42" i="11"/>
  <c r="P35" i="11"/>
  <c r="P36" i="11"/>
  <c r="P29" i="11"/>
  <c r="P33" i="11"/>
  <c r="P43" i="11"/>
  <c r="P37" i="11"/>
  <c r="P13" i="11"/>
  <c r="P22" i="11"/>
  <c r="P30" i="11"/>
  <c r="P14" i="11"/>
  <c r="P38" i="11"/>
  <c r="P23" i="11"/>
  <c r="P18" i="11"/>
  <c r="P32" i="11"/>
  <c r="P26" i="11"/>
  <c r="P31" i="11"/>
  <c r="P41" i="11"/>
  <c r="P19" i="11"/>
  <c r="V11" i="11"/>
  <c r="V17" i="11"/>
  <c r="V9" i="11"/>
  <c r="V12" i="11"/>
  <c r="V7" i="11"/>
  <c r="V10" i="11"/>
  <c r="V5" i="11"/>
  <c r="V8" i="11"/>
  <c r="V6" i="11"/>
  <c r="V22" i="11"/>
  <c r="V43" i="11"/>
  <c r="V30" i="11"/>
  <c r="V21" i="11"/>
  <c r="V38" i="11"/>
  <c r="V29" i="11"/>
  <c r="V15" i="11"/>
  <c r="V16" i="11"/>
  <c r="V18" i="11"/>
  <c r="V14" i="11"/>
  <c r="V20" i="11"/>
  <c r="V37" i="11"/>
  <c r="V31" i="11"/>
  <c r="V24" i="11"/>
  <c r="V25" i="11"/>
  <c r="V26" i="11"/>
  <c r="V23" i="11"/>
  <c r="V28" i="11"/>
  <c r="V39" i="11"/>
  <c r="V32" i="11"/>
  <c r="V33" i="11"/>
  <c r="V34" i="11"/>
  <c r="V36" i="11"/>
  <c r="V40" i="11"/>
  <c r="V42" i="11"/>
  <c r="V27" i="11"/>
  <c r="V13" i="11"/>
  <c r="V19" i="11"/>
  <c r="V35" i="11"/>
  <c r="V41" i="11"/>
  <c r="AI14" i="9"/>
  <c r="AI5" i="9"/>
  <c r="AI23" i="9"/>
  <c r="S35" i="11"/>
  <c r="R35" i="12"/>
  <c r="R35" i="13"/>
  <c r="S35" i="13" s="1"/>
  <c r="S43" i="11"/>
  <c r="R43" i="12"/>
  <c r="R43" i="13"/>
  <c r="S43" i="13" s="1"/>
  <c r="R13" i="12"/>
  <c r="S13" i="11"/>
  <c r="R13" i="13"/>
  <c r="S13" i="13" s="1"/>
  <c r="R24" i="12"/>
  <c r="S24" i="11"/>
  <c r="R24" i="13"/>
  <c r="S24" i="13" s="1"/>
  <c r="R11" i="12"/>
  <c r="S11" i="11"/>
  <c r="R11" i="13"/>
  <c r="S11" i="13" s="1"/>
  <c r="AA57" i="8"/>
  <c r="M28" i="12"/>
  <c r="M28" i="13"/>
  <c r="M24" i="12"/>
  <c r="M24" i="30" s="1"/>
  <c r="M68" i="30" s="1"/>
  <c r="M24" i="13"/>
  <c r="M16" i="12"/>
  <c r="M16" i="13"/>
  <c r="M31" i="12"/>
  <c r="M31" i="13"/>
  <c r="M7" i="12"/>
  <c r="M7" i="13"/>
  <c r="O35" i="8"/>
  <c r="O35" i="29" s="1"/>
  <c r="O91" i="29" s="1"/>
  <c r="O35" i="9"/>
  <c r="O34" i="8"/>
  <c r="O34" i="9"/>
  <c r="O45" i="8"/>
  <c r="O45" i="9"/>
  <c r="O43" i="8"/>
  <c r="O43" i="9"/>
  <c r="O19" i="8"/>
  <c r="O19" i="29" s="1"/>
  <c r="O75" i="29" s="1"/>
  <c r="O19" i="9"/>
  <c r="O12" i="8"/>
  <c r="O12" i="9"/>
  <c r="O23" i="8"/>
  <c r="O23" i="9"/>
  <c r="L41" i="9"/>
  <c r="L45" i="9"/>
  <c r="L36" i="9"/>
  <c r="L51" i="9"/>
  <c r="L8" i="9"/>
  <c r="L27" i="9"/>
  <c r="L33" i="9"/>
  <c r="Q38" i="9"/>
  <c r="Q29" i="9"/>
  <c r="Q51" i="9"/>
  <c r="Q18" i="9"/>
  <c r="Q19" i="9"/>
  <c r="Q33" i="9"/>
  <c r="X10" i="9"/>
  <c r="X57" i="7"/>
  <c r="X62" i="7" s="1"/>
  <c r="X53" i="24" s="1"/>
  <c r="X5" i="9"/>
  <c r="X13" i="9"/>
  <c r="X45" i="9"/>
  <c r="X50" i="9"/>
  <c r="X47" i="9"/>
  <c r="X48" i="9"/>
  <c r="P54" i="8"/>
  <c r="P54" i="9"/>
  <c r="P38" i="8"/>
  <c r="P38" i="9"/>
  <c r="P35" i="8"/>
  <c r="P35" i="29" s="1"/>
  <c r="P91" i="29" s="1"/>
  <c r="P35" i="9"/>
  <c r="P7" i="8"/>
  <c r="P7" i="9"/>
  <c r="P20" i="8"/>
  <c r="P20" i="29" s="1"/>
  <c r="P76" i="29" s="1"/>
  <c r="P20" i="9"/>
  <c r="P22" i="8"/>
  <c r="P22" i="9"/>
  <c r="AD48" i="7"/>
  <c r="AC48" i="9"/>
  <c r="AD48" i="9" s="1"/>
  <c r="AD26" i="7"/>
  <c r="AC26" i="9"/>
  <c r="AD26" i="9" s="1"/>
  <c r="AD41" i="7"/>
  <c r="AC41" i="9"/>
  <c r="AD41" i="9" s="1"/>
  <c r="AD34" i="7"/>
  <c r="AC34" i="9"/>
  <c r="AD34" i="9" s="1"/>
  <c r="AD12" i="7"/>
  <c r="AC12" i="9"/>
  <c r="AD12" i="9" s="1"/>
  <c r="AD14" i="7"/>
  <c r="AC14" i="9"/>
  <c r="AD14" i="9" s="1"/>
  <c r="AD21" i="7"/>
  <c r="AC21" i="9"/>
  <c r="AD21" i="9" s="1"/>
  <c r="W7" i="9"/>
  <c r="W9" i="9"/>
  <c r="W41" i="8"/>
  <c r="V41" i="29" s="1"/>
  <c r="V97" i="29" s="1"/>
  <c r="W41" i="9"/>
  <c r="W34" i="8"/>
  <c r="W34" i="9"/>
  <c r="W27" i="9"/>
  <c r="W20" i="9"/>
  <c r="W52" i="8"/>
  <c r="W52" i="9"/>
  <c r="M46" i="7"/>
  <c r="AH28" i="8"/>
  <c r="AD28" i="29" s="1"/>
  <c r="AD84" i="29" s="1"/>
  <c r="AH28" i="9"/>
  <c r="AH30" i="8"/>
  <c r="AH30" i="9"/>
  <c r="AH48" i="8"/>
  <c r="AH48" i="9"/>
  <c r="AH37" i="8"/>
  <c r="AH37" i="9"/>
  <c r="AH8" i="8"/>
  <c r="AD8" i="29" s="1"/>
  <c r="AD64" i="29" s="1"/>
  <c r="AH8" i="9"/>
  <c r="AH10" i="8"/>
  <c r="AH10" i="9"/>
  <c r="M54" i="7"/>
  <c r="R38" i="9"/>
  <c r="R42" i="9"/>
  <c r="R54" i="9"/>
  <c r="R16" i="9"/>
  <c r="R11" i="9"/>
  <c r="R28" i="9"/>
  <c r="R26" i="9"/>
  <c r="U57" i="7"/>
  <c r="U62" i="7" s="1"/>
  <c r="U14" i="24" s="1"/>
  <c r="U5" i="9"/>
  <c r="U14" i="9"/>
  <c r="U46" i="8"/>
  <c r="T46" i="29" s="1"/>
  <c r="T102" i="29" s="1"/>
  <c r="U46" i="9"/>
  <c r="U39" i="9"/>
  <c r="U32" i="9"/>
  <c r="U25" i="9"/>
  <c r="M42" i="7"/>
  <c r="M20" i="7"/>
  <c r="M19" i="7"/>
  <c r="M6" i="7"/>
  <c r="M13" i="7"/>
  <c r="M9" i="7"/>
  <c r="M5" i="7"/>
  <c r="M14" i="7"/>
  <c r="M10" i="7"/>
  <c r="M21" i="7"/>
  <c r="M18" i="7"/>
  <c r="M26" i="7"/>
  <c r="M7" i="7"/>
  <c r="M11" i="7"/>
  <c r="AI7" i="9"/>
  <c r="AI9" i="9"/>
  <c r="AI20" i="9"/>
  <c r="R31" i="12"/>
  <c r="S31" i="11"/>
  <c r="R31" i="13"/>
  <c r="S31" i="13" s="1"/>
  <c r="S41" i="11"/>
  <c r="R41" i="12"/>
  <c r="R41" i="13"/>
  <c r="S41" i="13" s="1"/>
  <c r="R20" i="12"/>
  <c r="S20" i="11"/>
  <c r="R20" i="13"/>
  <c r="S20" i="13" s="1"/>
  <c r="R27" i="12"/>
  <c r="S27" i="11"/>
  <c r="R27" i="13"/>
  <c r="S27" i="13" s="1"/>
  <c r="R8" i="12"/>
  <c r="S8" i="11"/>
  <c r="R8" i="13"/>
  <c r="S8" i="13" s="1"/>
  <c r="M26" i="12"/>
  <c r="M26" i="13"/>
  <c r="M21" i="12"/>
  <c r="M21" i="13"/>
  <c r="M36" i="12"/>
  <c r="M36" i="30" s="1"/>
  <c r="M80" i="30" s="1"/>
  <c r="M36" i="13"/>
  <c r="M6" i="12"/>
  <c r="M6" i="13"/>
  <c r="M12" i="12"/>
  <c r="M12" i="30" s="1"/>
  <c r="M56" i="30" s="1"/>
  <c r="M12" i="13"/>
  <c r="O41" i="8"/>
  <c r="O41" i="9"/>
  <c r="O48" i="8"/>
  <c r="O48" i="29" s="1"/>
  <c r="O104" i="29" s="1"/>
  <c r="O48" i="9"/>
  <c r="O44" i="8"/>
  <c r="O44" i="9"/>
  <c r="O49" i="8"/>
  <c r="O49" i="29" s="1"/>
  <c r="O105" i="29" s="1"/>
  <c r="O49" i="9"/>
  <c r="O7" i="8"/>
  <c r="O7" i="9"/>
  <c r="O16" i="8"/>
  <c r="O16" i="29" s="1"/>
  <c r="O72" i="29" s="1"/>
  <c r="O16" i="9"/>
  <c r="M52" i="7"/>
  <c r="L21" i="9"/>
  <c r="L44" i="9"/>
  <c r="L42" i="9"/>
  <c r="L43" i="8"/>
  <c r="L43" i="9"/>
  <c r="L12" i="9"/>
  <c r="L10" i="9"/>
  <c r="Q40" i="9"/>
  <c r="Q52" i="9"/>
  <c r="Q36" i="9"/>
  <c r="Q16" i="9"/>
  <c r="Q9" i="9"/>
  <c r="Q5" i="9"/>
  <c r="Q57" i="7"/>
  <c r="Q62" i="7" s="1"/>
  <c r="Q26" i="9"/>
  <c r="X14" i="9"/>
  <c r="X8" i="9"/>
  <c r="X20" i="9"/>
  <c r="X49" i="9"/>
  <c r="X54" i="9"/>
  <c r="X51" i="9"/>
  <c r="X52" i="9"/>
  <c r="P42" i="8"/>
  <c r="P42" i="9"/>
  <c r="P45" i="8"/>
  <c r="P45" i="29" s="1"/>
  <c r="P101" i="29" s="1"/>
  <c r="P45" i="9"/>
  <c r="P52" i="8"/>
  <c r="P52" i="9"/>
  <c r="P11" i="8"/>
  <c r="P11" i="29" s="1"/>
  <c r="P67" i="29" s="1"/>
  <c r="P11" i="9"/>
  <c r="P24" i="8"/>
  <c r="P24" i="9"/>
  <c r="P26" i="8"/>
  <c r="P26" i="9"/>
  <c r="AD54" i="7"/>
  <c r="AC54" i="9"/>
  <c r="AD54" i="9" s="1"/>
  <c r="AD49" i="7"/>
  <c r="AC49" i="9"/>
  <c r="AD49" i="9" s="1"/>
  <c r="AD39" i="7"/>
  <c r="AC39" i="9"/>
  <c r="AD39" i="9" s="1"/>
  <c r="AD53" i="7"/>
  <c r="AC53" i="9"/>
  <c r="AD53" i="9" s="1"/>
  <c r="AD16" i="7"/>
  <c r="AC16" i="9"/>
  <c r="AD16" i="9" s="1"/>
  <c r="AD18" i="7"/>
  <c r="AC18" i="9"/>
  <c r="AD18" i="9" s="1"/>
  <c r="AD29" i="7"/>
  <c r="AC29" i="9"/>
  <c r="AD29" i="9" s="1"/>
  <c r="W11" i="8"/>
  <c r="V11" i="29" s="1"/>
  <c r="V67" i="29" s="1"/>
  <c r="W11" i="9"/>
  <c r="W13" i="8"/>
  <c r="V13" i="29" s="1"/>
  <c r="V69" i="29" s="1"/>
  <c r="W13" i="9"/>
  <c r="W45" i="8"/>
  <c r="V45" i="29" s="1"/>
  <c r="V101" i="29" s="1"/>
  <c r="W45" i="9"/>
  <c r="W38" i="8"/>
  <c r="W38" i="9"/>
  <c r="W31" i="8"/>
  <c r="V31" i="29" s="1"/>
  <c r="V87" i="29" s="1"/>
  <c r="W31" i="9"/>
  <c r="W24" i="8"/>
  <c r="V24" i="29" s="1"/>
  <c r="V80" i="29" s="1"/>
  <c r="W24" i="9"/>
  <c r="M24" i="7"/>
  <c r="M51" i="7"/>
  <c r="AH52" i="8"/>
  <c r="AH52" i="9"/>
  <c r="AH36" i="8"/>
  <c r="AD36" i="29" s="1"/>
  <c r="AD92" i="29" s="1"/>
  <c r="AH36" i="9"/>
  <c r="AH45" i="8"/>
  <c r="AH45" i="9"/>
  <c r="AH18" i="8"/>
  <c r="AD18" i="29" s="1"/>
  <c r="AD74" i="29" s="1"/>
  <c r="AH18" i="9"/>
  <c r="AH12" i="8"/>
  <c r="AH12" i="9"/>
  <c r="AH14" i="8"/>
  <c r="AD14" i="29" s="1"/>
  <c r="AD70" i="29" s="1"/>
  <c r="AH14" i="9"/>
  <c r="M55" i="7"/>
  <c r="R36" i="9"/>
  <c r="R49" i="9"/>
  <c r="R52" i="9"/>
  <c r="R9" i="9"/>
  <c r="R15" i="9"/>
  <c r="R32" i="9"/>
  <c r="R30" i="9"/>
  <c r="U8" i="9"/>
  <c r="U18" i="8"/>
  <c r="T18" i="29" s="1"/>
  <c r="T74" i="29" s="1"/>
  <c r="U18" i="9"/>
  <c r="U50" i="9"/>
  <c r="U43" i="9"/>
  <c r="U36" i="8"/>
  <c r="U36" i="9"/>
  <c r="U29" i="9"/>
  <c r="M23" i="7"/>
  <c r="O17" i="11"/>
  <c r="O9" i="11"/>
  <c r="O7" i="11"/>
  <c r="O10" i="11"/>
  <c r="O5" i="11"/>
  <c r="O8" i="11"/>
  <c r="O11" i="11"/>
  <c r="O6" i="11"/>
  <c r="O32" i="11"/>
  <c r="O12" i="11"/>
  <c r="O19" i="11"/>
  <c r="O27" i="11"/>
  <c r="O20" i="11"/>
  <c r="O34" i="11"/>
  <c r="O43" i="11"/>
  <c r="O28" i="11"/>
  <c r="O42" i="11"/>
  <c r="O29" i="11"/>
  <c r="O21" i="11"/>
  <c r="O13" i="11"/>
  <c r="O15" i="11"/>
  <c r="O37" i="11"/>
  <c r="O22" i="11"/>
  <c r="O14" i="11"/>
  <c r="O24" i="11"/>
  <c r="O25" i="11"/>
  <c r="O30" i="11"/>
  <c r="O23" i="11"/>
  <c r="O40" i="11"/>
  <c r="O33" i="11"/>
  <c r="O18" i="11"/>
  <c r="O38" i="11"/>
  <c r="O31" i="11"/>
  <c r="O41" i="11"/>
  <c r="O36" i="11"/>
  <c r="O26" i="11"/>
  <c r="O39" i="11"/>
  <c r="O16" i="11"/>
  <c r="O35" i="11"/>
  <c r="AI38" i="9"/>
  <c r="AI11" i="9"/>
  <c r="AI13" i="9"/>
  <c r="AI24" i="9"/>
  <c r="R21" i="12"/>
  <c r="S21" i="11"/>
  <c r="R21" i="13"/>
  <c r="S21" i="13" s="1"/>
  <c r="S38" i="11"/>
  <c r="R38" i="12"/>
  <c r="S38" i="12" s="1"/>
  <c r="R38" i="13"/>
  <c r="S38" i="13" s="1"/>
  <c r="R14" i="12"/>
  <c r="S14" i="11"/>
  <c r="R14" i="13"/>
  <c r="S14" i="13" s="1"/>
  <c r="S34" i="11"/>
  <c r="R34" i="12"/>
  <c r="R34" i="13"/>
  <c r="S34" i="13" s="1"/>
  <c r="S39" i="11"/>
  <c r="R39" i="12"/>
  <c r="R39" i="13"/>
  <c r="S39" i="13" s="1"/>
  <c r="R5" i="12"/>
  <c r="Q5" i="30" s="1"/>
  <c r="Q49" i="30" s="1"/>
  <c r="S5" i="11"/>
  <c r="R5" i="13"/>
  <c r="R45" i="11"/>
  <c r="M32" i="12"/>
  <c r="M32" i="13"/>
  <c r="M33" i="12"/>
  <c r="M33" i="30" s="1"/>
  <c r="M77" i="30" s="1"/>
  <c r="M33" i="13"/>
  <c r="M42" i="12"/>
  <c r="M42" i="13"/>
  <c r="M35" i="12"/>
  <c r="M35" i="30" s="1"/>
  <c r="M79" i="30" s="1"/>
  <c r="M35" i="13"/>
  <c r="M9" i="12"/>
  <c r="M9" i="13"/>
  <c r="O39" i="8"/>
  <c r="O39" i="29" s="1"/>
  <c r="O95" i="29" s="1"/>
  <c r="O39" i="9"/>
  <c r="O26" i="8"/>
  <c r="O26" i="9"/>
  <c r="O51" i="8"/>
  <c r="O51" i="9"/>
  <c r="O47" i="8"/>
  <c r="O47" i="9"/>
  <c r="O11" i="8"/>
  <c r="O11" i="29" s="1"/>
  <c r="O67" i="29" s="1"/>
  <c r="O11" i="9"/>
  <c r="O18" i="8"/>
  <c r="O18" i="9"/>
  <c r="M28" i="7"/>
  <c r="L46" i="8"/>
  <c r="L46" i="29" s="1"/>
  <c r="L102" i="29" s="1"/>
  <c r="L46" i="9"/>
  <c r="L50" i="9"/>
  <c r="L40" i="9"/>
  <c r="L49" i="8"/>
  <c r="L49" i="29" s="1"/>
  <c r="L105" i="29" s="1"/>
  <c r="L49" i="9"/>
  <c r="L20" i="8"/>
  <c r="L20" i="9"/>
  <c r="L14" i="9"/>
  <c r="Q47" i="8"/>
  <c r="Q47" i="29" s="1"/>
  <c r="Q103" i="29" s="1"/>
  <c r="Q47" i="9"/>
  <c r="Q50" i="8"/>
  <c r="Q50" i="29" s="1"/>
  <c r="Q106" i="29" s="1"/>
  <c r="Q50" i="9"/>
  <c r="Q34" i="9"/>
  <c r="Q7" i="8"/>
  <c r="Q7" i="9"/>
  <c r="Q13" i="8"/>
  <c r="Q13" i="9"/>
  <c r="Q8" i="8"/>
  <c r="Q8" i="29" s="1"/>
  <c r="Q64" i="29" s="1"/>
  <c r="Q8" i="9"/>
  <c r="Q30" i="9"/>
  <c r="X26" i="9"/>
  <c r="X12" i="9"/>
  <c r="X21" i="9"/>
  <c r="X53" i="9"/>
  <c r="X23" i="9"/>
  <c r="X55" i="9"/>
  <c r="M53" i="7"/>
  <c r="P47" i="8"/>
  <c r="P47" i="9"/>
  <c r="P51" i="8"/>
  <c r="P51" i="29" s="1"/>
  <c r="P107" i="29" s="1"/>
  <c r="P51" i="9"/>
  <c r="P9" i="8"/>
  <c r="P9" i="9"/>
  <c r="P15" i="8"/>
  <c r="P15" i="29" s="1"/>
  <c r="P71" i="29" s="1"/>
  <c r="P15" i="9"/>
  <c r="P28" i="8"/>
  <c r="P28" i="9"/>
  <c r="P30" i="8"/>
  <c r="P30" i="9"/>
  <c r="AD28" i="7"/>
  <c r="AC28" i="9"/>
  <c r="AD28" i="9" s="1"/>
  <c r="AD32" i="7"/>
  <c r="AC32" i="9"/>
  <c r="AD32" i="9" s="1"/>
  <c r="AD30" i="7"/>
  <c r="AC30" i="9"/>
  <c r="AD30" i="9" s="1"/>
  <c r="AD27" i="7"/>
  <c r="AC27" i="9"/>
  <c r="AD27" i="9" s="1"/>
  <c r="AD17" i="7"/>
  <c r="AC17" i="9"/>
  <c r="AD17" i="9" s="1"/>
  <c r="AD24" i="7"/>
  <c r="AC24" i="9"/>
  <c r="AD24" i="9" s="1"/>
  <c r="M47" i="7"/>
  <c r="W15" i="8"/>
  <c r="W15" i="9"/>
  <c r="W6" i="8"/>
  <c r="W6" i="9"/>
  <c r="W49" i="8"/>
  <c r="V49" i="29" s="1"/>
  <c r="V105" i="29" s="1"/>
  <c r="W49" i="9"/>
  <c r="W42" i="8"/>
  <c r="V42" i="29" s="1"/>
  <c r="V98" i="29" s="1"/>
  <c r="W42" i="9"/>
  <c r="W35" i="8"/>
  <c r="W35" i="9"/>
  <c r="W28" i="8"/>
  <c r="W28" i="9"/>
  <c r="M34" i="7"/>
  <c r="M36" i="7"/>
  <c r="AH35" i="8"/>
  <c r="AH35" i="9"/>
  <c r="AH47" i="8"/>
  <c r="AH47" i="9"/>
  <c r="AH25" i="8"/>
  <c r="AH25" i="9"/>
  <c r="AH23" i="8"/>
  <c r="AD23" i="29" s="1"/>
  <c r="AD79" i="29" s="1"/>
  <c r="AH23" i="9"/>
  <c r="AH16" i="8"/>
  <c r="AH16" i="9"/>
  <c r="AH22" i="8"/>
  <c r="AH22" i="9"/>
  <c r="M40" i="7"/>
  <c r="R55" i="9"/>
  <c r="R48" i="9"/>
  <c r="R43" i="9"/>
  <c r="R13" i="9"/>
  <c r="R19" i="9"/>
  <c r="R21" i="9"/>
  <c r="M44" i="7"/>
  <c r="U12" i="9"/>
  <c r="U22" i="8"/>
  <c r="U22" i="9"/>
  <c r="U54" i="8"/>
  <c r="T54" i="29" s="1"/>
  <c r="T110" i="29" s="1"/>
  <c r="U54" i="9"/>
  <c r="U47" i="9"/>
  <c r="U40" i="9"/>
  <c r="U33" i="9"/>
  <c r="M41" i="7"/>
  <c r="F4" i="5"/>
  <c r="N60" i="24" s="1"/>
  <c r="N62" i="24" s="1"/>
  <c r="E4" i="5"/>
  <c r="N59" i="24" s="1"/>
  <c r="D10" i="5"/>
  <c r="T60" i="6" s="1"/>
  <c r="T58" i="24" s="1"/>
  <c r="E30" i="5"/>
  <c r="L47" i="25" s="1"/>
  <c r="F30" i="5"/>
  <c r="L48" i="25" s="1"/>
  <c r="L50" i="25" s="1"/>
  <c r="M6" i="32" l="1"/>
  <c r="AI6" i="8"/>
  <c r="AE6" i="29" s="1"/>
  <c r="AE62" i="29" s="1"/>
  <c r="AI10" i="24"/>
  <c r="AI50" i="24"/>
  <c r="AI5" i="24"/>
  <c r="AI46" i="24"/>
  <c r="AI8" i="24"/>
  <c r="AI12" i="24"/>
  <c r="AI13" i="24"/>
  <c r="AI17" i="24"/>
  <c r="AI9" i="24"/>
  <c r="AI18" i="24"/>
  <c r="AI6" i="24"/>
  <c r="AI24" i="24"/>
  <c r="AI21" i="24"/>
  <c r="AI29" i="24"/>
  <c r="AI15" i="24"/>
  <c r="AI55" i="24"/>
  <c r="AI19" i="24"/>
  <c r="AI20" i="24"/>
  <c r="AI16" i="24"/>
  <c r="AI7" i="24"/>
  <c r="AI35" i="24"/>
  <c r="AI34" i="24"/>
  <c r="AI11" i="24"/>
  <c r="AI38" i="24"/>
  <c r="AI22" i="24"/>
  <c r="AI25" i="24"/>
  <c r="AI23" i="24"/>
  <c r="AI41" i="24"/>
  <c r="AI14" i="24"/>
  <c r="AI27" i="24"/>
  <c r="S39" i="12"/>
  <c r="Q39" i="30"/>
  <c r="Q83" i="30" s="1"/>
  <c r="O24" i="30"/>
  <c r="O68" i="30" s="1"/>
  <c r="O24" i="25"/>
  <c r="S24" i="12"/>
  <c r="Q24" i="30"/>
  <c r="Q68" i="30" s="1"/>
  <c r="V21" i="25"/>
  <c r="P20" i="25"/>
  <c r="Z9" i="25"/>
  <c r="AA9" i="25" s="1"/>
  <c r="U21" i="25"/>
  <c r="AI54" i="9"/>
  <c r="AI54" i="24"/>
  <c r="O38" i="25"/>
  <c r="S14" i="12"/>
  <c r="Q14" i="30"/>
  <c r="Q58" i="30" s="1"/>
  <c r="O41" i="25"/>
  <c r="O25" i="25"/>
  <c r="O29" i="30"/>
  <c r="O73" i="30" s="1"/>
  <c r="O29" i="25"/>
  <c r="O12" i="25"/>
  <c r="O9" i="25"/>
  <c r="Q46" i="8"/>
  <c r="Q46" i="29" s="1"/>
  <c r="Q102" i="29" s="1"/>
  <c r="Q54" i="24"/>
  <c r="Q44" i="24"/>
  <c r="Q37" i="24"/>
  <c r="Q10" i="24"/>
  <c r="Q52" i="24"/>
  <c r="Q5" i="24"/>
  <c r="Q50" i="24"/>
  <c r="Q46" i="24"/>
  <c r="Q17" i="24"/>
  <c r="Q53" i="24"/>
  <c r="Q51" i="24"/>
  <c r="Q34" i="24"/>
  <c r="Q49" i="24"/>
  <c r="Q6" i="24"/>
  <c r="Q28" i="24"/>
  <c r="Q23" i="24"/>
  <c r="Q36" i="24"/>
  <c r="Q26" i="24"/>
  <c r="Q43" i="24"/>
  <c r="Q7" i="24"/>
  <c r="Q21" i="24"/>
  <c r="Q12" i="24"/>
  <c r="Q55" i="24"/>
  <c r="Q18" i="24"/>
  <c r="Q13" i="24"/>
  <c r="Q22" i="24"/>
  <c r="Q20" i="24"/>
  <c r="Q39" i="24"/>
  <c r="Q14" i="24"/>
  <c r="Q24" i="24"/>
  <c r="Q16" i="24"/>
  <c r="Q8" i="24"/>
  <c r="Q15" i="24"/>
  <c r="Q31" i="24"/>
  <c r="Q35" i="24"/>
  <c r="Q25" i="24"/>
  <c r="Q38" i="24"/>
  <c r="Q19" i="24"/>
  <c r="Q30" i="24"/>
  <c r="Q11" i="24"/>
  <c r="Q29" i="24"/>
  <c r="Q33" i="24"/>
  <c r="Q47" i="24"/>
  <c r="V35" i="25"/>
  <c r="V33" i="25"/>
  <c r="V31" i="25"/>
  <c r="V38" i="25"/>
  <c r="V10" i="25"/>
  <c r="P31" i="25"/>
  <c r="P22" i="25"/>
  <c r="P42" i="25"/>
  <c r="P39" i="25"/>
  <c r="P11" i="25"/>
  <c r="L39" i="8"/>
  <c r="L39" i="29" s="1"/>
  <c r="L95" i="29" s="1"/>
  <c r="L47" i="24"/>
  <c r="L31" i="24"/>
  <c r="L38" i="24"/>
  <c r="L6" i="24"/>
  <c r="L43" i="24"/>
  <c r="L28" i="24"/>
  <c r="L39" i="24"/>
  <c r="L46" i="24"/>
  <c r="L52" i="24"/>
  <c r="L13" i="24"/>
  <c r="L45" i="24"/>
  <c r="L27" i="24"/>
  <c r="L24" i="24"/>
  <c r="L37" i="24"/>
  <c r="L32" i="24"/>
  <c r="L54" i="24"/>
  <c r="L21" i="24"/>
  <c r="L12" i="24"/>
  <c r="L50" i="24"/>
  <c r="L11" i="24"/>
  <c r="L20" i="24"/>
  <c r="L15" i="24"/>
  <c r="L30" i="24"/>
  <c r="L36" i="24"/>
  <c r="L33" i="24"/>
  <c r="L22" i="24"/>
  <c r="L25" i="24"/>
  <c r="L16" i="24"/>
  <c r="L44" i="24"/>
  <c r="L10" i="24"/>
  <c r="L40" i="24"/>
  <c r="L53" i="24"/>
  <c r="L9" i="24"/>
  <c r="L34" i="24"/>
  <c r="L51" i="24"/>
  <c r="L49" i="24"/>
  <c r="L41" i="24"/>
  <c r="L8" i="24"/>
  <c r="L18" i="24"/>
  <c r="Z25" i="25"/>
  <c r="AA25" i="25" s="1"/>
  <c r="Z14" i="25"/>
  <c r="AA14" i="25" s="1"/>
  <c r="V41" i="30"/>
  <c r="V85" i="30" s="1"/>
  <c r="Z41" i="25"/>
  <c r="AA41" i="25" s="1"/>
  <c r="Z21" i="25"/>
  <c r="AA21" i="25" s="1"/>
  <c r="Z7" i="25"/>
  <c r="AA7" i="25" s="1"/>
  <c r="T33" i="25"/>
  <c r="T27" i="25"/>
  <c r="T26" i="25"/>
  <c r="T24" i="25"/>
  <c r="T9" i="25"/>
  <c r="AH40" i="8"/>
  <c r="AD40" i="29" s="1"/>
  <c r="AD96" i="29" s="1"/>
  <c r="V44" i="29"/>
  <c r="V100" i="29" s="1"/>
  <c r="V16" i="29"/>
  <c r="V72" i="29" s="1"/>
  <c r="P43" i="29"/>
  <c r="P99" i="29" s="1"/>
  <c r="U40" i="25"/>
  <c r="U16" i="25"/>
  <c r="S30" i="30"/>
  <c r="S74" i="30" s="1"/>
  <c r="U30" i="25"/>
  <c r="U31" i="25"/>
  <c r="U6" i="25"/>
  <c r="V5" i="24"/>
  <c r="V32" i="24"/>
  <c r="S9" i="12"/>
  <c r="Q9" i="30"/>
  <c r="Q53" i="30" s="1"/>
  <c r="AH47" i="24"/>
  <c r="Q41" i="24"/>
  <c r="X18" i="24"/>
  <c r="L14" i="24"/>
  <c r="L42" i="24"/>
  <c r="L19" i="24"/>
  <c r="X10" i="24"/>
  <c r="O17" i="25"/>
  <c r="V19" i="25"/>
  <c r="P25" i="25"/>
  <c r="V31" i="30"/>
  <c r="V75" i="30" s="1"/>
  <c r="Z31" i="25"/>
  <c r="AA31" i="25" s="1"/>
  <c r="T13" i="25"/>
  <c r="U19" i="25"/>
  <c r="Q38" i="30"/>
  <c r="Q82" i="30" s="1"/>
  <c r="O6" i="25"/>
  <c r="P52" i="29"/>
  <c r="P108" i="29" s="1"/>
  <c r="M21" i="30"/>
  <c r="M65" i="30" s="1"/>
  <c r="S27" i="12"/>
  <c r="Q27" i="30"/>
  <c r="Q71" i="30" s="1"/>
  <c r="AD37" i="29"/>
  <c r="AD93" i="29" s="1"/>
  <c r="O43" i="29"/>
  <c r="O99" i="29" s="1"/>
  <c r="M7" i="30"/>
  <c r="M51" i="30" s="1"/>
  <c r="M28" i="30"/>
  <c r="M72" i="30" s="1"/>
  <c r="V13" i="25"/>
  <c r="V39" i="25"/>
  <c r="V20" i="25"/>
  <c r="T30" i="30"/>
  <c r="T74" i="30" s="1"/>
  <c r="V30" i="25"/>
  <c r="V12" i="25"/>
  <c r="P32" i="25"/>
  <c r="P37" i="25"/>
  <c r="P28" i="25"/>
  <c r="P15" i="25"/>
  <c r="P5" i="25"/>
  <c r="AD54" i="29"/>
  <c r="AD110" i="29" s="1"/>
  <c r="V30" i="29"/>
  <c r="V86" i="29" s="1"/>
  <c r="P14" i="29"/>
  <c r="P70" i="29" s="1"/>
  <c r="O27" i="29"/>
  <c r="O83" i="29" s="1"/>
  <c r="M41" i="30"/>
  <c r="M85" i="30" s="1"/>
  <c r="S32" i="12"/>
  <c r="Q32" i="30"/>
  <c r="Q76" i="30" s="1"/>
  <c r="Z13" i="25"/>
  <c r="AA13" i="25" s="1"/>
  <c r="Z15" i="25"/>
  <c r="AA15" i="25" s="1"/>
  <c r="Z28" i="25"/>
  <c r="AA28" i="25" s="1"/>
  <c r="Z29" i="25"/>
  <c r="AA29" i="25" s="1"/>
  <c r="Z17" i="25"/>
  <c r="AA17" i="25" s="1"/>
  <c r="R23" i="30"/>
  <c r="R67" i="30" s="1"/>
  <c r="T23" i="25"/>
  <c r="W23" i="25" s="1"/>
  <c r="T21" i="25"/>
  <c r="T18" i="25"/>
  <c r="T25" i="25"/>
  <c r="T6" i="25"/>
  <c r="AD53" i="29"/>
  <c r="AD109" i="29" s="1"/>
  <c r="V51" i="29"/>
  <c r="V107" i="29" s="1"/>
  <c r="P29" i="29"/>
  <c r="P85" i="29" s="1"/>
  <c r="P48" i="29"/>
  <c r="P104" i="29" s="1"/>
  <c r="O31" i="8"/>
  <c r="O31" i="29" s="1"/>
  <c r="O87" i="29" s="1"/>
  <c r="O35" i="24"/>
  <c r="O19" i="24"/>
  <c r="O47" i="24"/>
  <c r="O41" i="24"/>
  <c r="O6" i="24"/>
  <c r="O20" i="24"/>
  <c r="O50" i="24"/>
  <c r="O5" i="24"/>
  <c r="O36" i="24"/>
  <c r="O28" i="24"/>
  <c r="O13" i="24"/>
  <c r="O25" i="24"/>
  <c r="O44" i="24"/>
  <c r="O34" i="24"/>
  <c r="O12" i="24"/>
  <c r="O39" i="24"/>
  <c r="O11" i="24"/>
  <c r="O40" i="24"/>
  <c r="O21" i="24"/>
  <c r="O27" i="24"/>
  <c r="O24" i="24"/>
  <c r="O30" i="24"/>
  <c r="O15" i="24"/>
  <c r="O17" i="24"/>
  <c r="O45" i="24"/>
  <c r="O23" i="24"/>
  <c r="O49" i="24"/>
  <c r="O26" i="24"/>
  <c r="O18" i="24"/>
  <c r="O16" i="24"/>
  <c r="O48" i="24"/>
  <c r="O37" i="24"/>
  <c r="O31" i="24"/>
  <c r="O42" i="24"/>
  <c r="O8" i="24"/>
  <c r="O53" i="24"/>
  <c r="O9" i="24"/>
  <c r="O7" i="24"/>
  <c r="O32" i="24"/>
  <c r="O33" i="24"/>
  <c r="O55" i="24"/>
  <c r="U20" i="25"/>
  <c r="U39" i="25"/>
  <c r="U27" i="25"/>
  <c r="U5" i="25"/>
  <c r="V20" i="24"/>
  <c r="V45" i="24"/>
  <c r="P12" i="29"/>
  <c r="P68" i="29" s="1"/>
  <c r="P36" i="29"/>
  <c r="P92" i="29" s="1"/>
  <c r="AH43" i="8"/>
  <c r="AD43" i="29" s="1"/>
  <c r="AD99" i="29" s="1"/>
  <c r="AH43" i="24"/>
  <c r="AH7" i="24"/>
  <c r="AH24" i="24"/>
  <c r="AH31" i="24"/>
  <c r="AH29" i="24"/>
  <c r="AH37" i="24"/>
  <c r="AH5" i="24"/>
  <c r="AH52" i="24"/>
  <c r="AH12" i="24"/>
  <c r="AH25" i="24"/>
  <c r="AH32" i="24"/>
  <c r="AH19" i="24"/>
  <c r="AH50" i="24"/>
  <c r="AH33" i="24"/>
  <c r="AH17" i="24"/>
  <c r="AH49" i="24"/>
  <c r="AH28" i="24"/>
  <c r="AH8" i="24"/>
  <c r="AH36" i="24"/>
  <c r="AH14" i="24"/>
  <c r="AH23" i="24"/>
  <c r="AH26" i="24"/>
  <c r="AH13" i="24"/>
  <c r="AH54" i="24"/>
  <c r="AH39" i="24"/>
  <c r="AH20" i="24"/>
  <c r="AH41" i="24"/>
  <c r="AH15" i="24"/>
  <c r="AH27" i="24"/>
  <c r="AH30" i="24"/>
  <c r="AH10" i="24"/>
  <c r="AH45" i="24"/>
  <c r="AH35" i="24"/>
  <c r="AH16" i="24"/>
  <c r="AH11" i="24"/>
  <c r="AH53" i="24"/>
  <c r="AH46" i="24"/>
  <c r="AH21" i="24"/>
  <c r="AH40" i="24"/>
  <c r="AH55" i="24"/>
  <c r="AH6" i="24"/>
  <c r="AH42" i="24"/>
  <c r="S7" i="12"/>
  <c r="Q7" i="30"/>
  <c r="Q51" i="30" s="1"/>
  <c r="N25" i="30"/>
  <c r="N69" i="30" s="1"/>
  <c r="N25" i="25"/>
  <c r="N30" i="25"/>
  <c r="N35" i="25"/>
  <c r="N26" i="25"/>
  <c r="N6" i="30"/>
  <c r="N50" i="30" s="1"/>
  <c r="N6" i="25"/>
  <c r="O29" i="24"/>
  <c r="L26" i="24"/>
  <c r="L55" i="24"/>
  <c r="L17" i="24"/>
  <c r="O31" i="25"/>
  <c r="S32" i="30"/>
  <c r="S76" i="30" s="1"/>
  <c r="U32" i="25"/>
  <c r="T22" i="29"/>
  <c r="T78" i="29" s="1"/>
  <c r="V6" i="29"/>
  <c r="V62" i="29" s="1"/>
  <c r="Q13" i="29"/>
  <c r="Q69" i="29" s="1"/>
  <c r="O47" i="29"/>
  <c r="O103" i="29" s="1"/>
  <c r="M9" i="30"/>
  <c r="M53" i="30" s="1"/>
  <c r="M32" i="30"/>
  <c r="M76" i="30" s="1"/>
  <c r="O35" i="25"/>
  <c r="O18" i="25"/>
  <c r="O22" i="30"/>
  <c r="O66" i="30" s="1"/>
  <c r="O22" i="25"/>
  <c r="O43" i="25"/>
  <c r="O11" i="25"/>
  <c r="S31" i="12"/>
  <c r="Q31" i="30"/>
  <c r="Q75" i="30" s="1"/>
  <c r="M21" i="24"/>
  <c r="V52" i="29"/>
  <c r="V108" i="29" s="1"/>
  <c r="P22" i="29"/>
  <c r="P78" i="29" s="1"/>
  <c r="P38" i="29"/>
  <c r="P94" i="29" s="1"/>
  <c r="V27" i="25"/>
  <c r="T28" i="30"/>
  <c r="T72" i="30" s="1"/>
  <c r="V28" i="25"/>
  <c r="V14" i="25"/>
  <c r="V43" i="25"/>
  <c r="V9" i="25"/>
  <c r="P18" i="30"/>
  <c r="P62" i="30" s="1"/>
  <c r="P18" i="25"/>
  <c r="P43" i="25"/>
  <c r="P24" i="25"/>
  <c r="P21" i="25"/>
  <c r="P10" i="30"/>
  <c r="P54" i="30" s="1"/>
  <c r="P10" i="25"/>
  <c r="O24" i="8"/>
  <c r="O24" i="29" s="1"/>
  <c r="O80" i="29" s="1"/>
  <c r="Z19" i="25"/>
  <c r="AA19" i="25" s="1"/>
  <c r="Z42" i="25"/>
  <c r="AA42" i="25" s="1"/>
  <c r="V35" i="30"/>
  <c r="V79" i="30" s="1"/>
  <c r="Z35" i="25"/>
  <c r="AA35" i="25" s="1"/>
  <c r="Z6" i="25"/>
  <c r="AA6" i="25" s="1"/>
  <c r="T15" i="25"/>
  <c r="T28" i="25"/>
  <c r="R39" i="30"/>
  <c r="R83" i="30" s="1"/>
  <c r="T39" i="25"/>
  <c r="W39" i="25" s="1"/>
  <c r="T16" i="25"/>
  <c r="T11" i="25"/>
  <c r="M22" i="24"/>
  <c r="M5" i="30"/>
  <c r="M49" i="30" s="1"/>
  <c r="M19" i="30"/>
  <c r="M63" i="30" s="1"/>
  <c r="S42" i="12"/>
  <c r="Q42" i="30"/>
  <c r="Q86" i="30" s="1"/>
  <c r="U43" i="25"/>
  <c r="S42" i="30"/>
  <c r="S86" i="30" s="1"/>
  <c r="U42" i="25"/>
  <c r="U38" i="25"/>
  <c r="U15" i="25"/>
  <c r="U10" i="25"/>
  <c r="V7" i="24"/>
  <c r="V47" i="24"/>
  <c r="V54" i="29"/>
  <c r="V110" i="29" s="1"/>
  <c r="M43" i="30"/>
  <c r="M87" i="30" s="1"/>
  <c r="S26" i="12"/>
  <c r="Q26" i="30"/>
  <c r="Q70" i="30" s="1"/>
  <c r="M11" i="30"/>
  <c r="M55" i="30" s="1"/>
  <c r="M29" i="30"/>
  <c r="M73" i="30" s="1"/>
  <c r="M30" i="30"/>
  <c r="M74" i="30" s="1"/>
  <c r="O54" i="24"/>
  <c r="L48" i="24"/>
  <c r="AH48" i="24"/>
  <c r="AH9" i="24"/>
  <c r="Q32" i="24"/>
  <c r="AH34" i="24"/>
  <c r="L29" i="24"/>
  <c r="O42" i="25"/>
  <c r="S35" i="12"/>
  <c r="Q35" i="30"/>
  <c r="Q79" i="30" s="1"/>
  <c r="T7" i="30"/>
  <c r="T51" i="30" s="1"/>
  <c r="V7" i="25"/>
  <c r="T30" i="25"/>
  <c r="W30" i="25" s="1"/>
  <c r="O14" i="25"/>
  <c r="M55" i="24"/>
  <c r="O41" i="29"/>
  <c r="O97" i="29" s="1"/>
  <c r="AD25" i="29"/>
  <c r="AD81" i="29" s="1"/>
  <c r="S34" i="12"/>
  <c r="Q34" i="30"/>
  <c r="Q78" i="30" s="1"/>
  <c r="O37" i="30"/>
  <c r="O81" i="30" s="1"/>
  <c r="O37" i="25"/>
  <c r="O34" i="25"/>
  <c r="M26" i="30"/>
  <c r="M70" i="30" s="1"/>
  <c r="U19" i="8"/>
  <c r="T19" i="29" s="1"/>
  <c r="T75" i="29" s="1"/>
  <c r="U25" i="24"/>
  <c r="U43" i="24"/>
  <c r="U9" i="24"/>
  <c r="U48" i="24"/>
  <c r="U34" i="24"/>
  <c r="U45" i="24"/>
  <c r="U42" i="24"/>
  <c r="U53" i="24"/>
  <c r="U12" i="24"/>
  <c r="U40" i="24"/>
  <c r="U51" i="24"/>
  <c r="U6" i="24"/>
  <c r="U17" i="24"/>
  <c r="U8" i="24"/>
  <c r="U36" i="24"/>
  <c r="U30" i="24"/>
  <c r="U41" i="24"/>
  <c r="U27" i="24"/>
  <c r="U39" i="24"/>
  <c r="U35" i="24"/>
  <c r="U5" i="24"/>
  <c r="U22" i="24"/>
  <c r="U33" i="24"/>
  <c r="U16" i="24"/>
  <c r="U44" i="24"/>
  <c r="U38" i="24"/>
  <c r="U49" i="24"/>
  <c r="U18" i="24"/>
  <c r="U29" i="24"/>
  <c r="U32" i="24"/>
  <c r="U23" i="24"/>
  <c r="U7" i="24"/>
  <c r="U20" i="24"/>
  <c r="U15" i="24"/>
  <c r="U28" i="24"/>
  <c r="U54" i="24"/>
  <c r="U26" i="24"/>
  <c r="U37" i="24"/>
  <c r="U46" i="24"/>
  <c r="U31" i="24"/>
  <c r="U10" i="24"/>
  <c r="U21" i="24"/>
  <c r="U47" i="24"/>
  <c r="U19" i="24"/>
  <c r="U11" i="24"/>
  <c r="U24" i="24"/>
  <c r="M54" i="24"/>
  <c r="AD48" i="29"/>
  <c r="AD104" i="29" s="1"/>
  <c r="X16" i="8"/>
  <c r="W16" i="29" s="1"/>
  <c r="W72" i="29" s="1"/>
  <c r="X5" i="24"/>
  <c r="X47" i="24"/>
  <c r="X26" i="24"/>
  <c r="X23" i="24"/>
  <c r="X29" i="24"/>
  <c r="X36" i="24"/>
  <c r="X19" i="24"/>
  <c r="X40" i="24"/>
  <c r="X6" i="24"/>
  <c r="X46" i="24"/>
  <c r="X7" i="24"/>
  <c r="X27" i="24"/>
  <c r="X8" i="24"/>
  <c r="X33" i="24"/>
  <c r="X13" i="24"/>
  <c r="X48" i="24"/>
  <c r="X12" i="24"/>
  <c r="X55" i="24"/>
  <c r="X54" i="24"/>
  <c r="X34" i="24"/>
  <c r="X37" i="24"/>
  <c r="X24" i="24"/>
  <c r="X43" i="24"/>
  <c r="X16" i="24"/>
  <c r="X28" i="24"/>
  <c r="X38" i="24"/>
  <c r="X45" i="24"/>
  <c r="X49" i="24"/>
  <c r="X21" i="24"/>
  <c r="X52" i="24"/>
  <c r="X11" i="24"/>
  <c r="X31" i="24"/>
  <c r="X51" i="24"/>
  <c r="X42" i="24"/>
  <c r="X9" i="24"/>
  <c r="X44" i="24"/>
  <c r="X25" i="24"/>
  <c r="X35" i="24"/>
  <c r="X30" i="24"/>
  <c r="X17" i="24"/>
  <c r="X20" i="24"/>
  <c r="O23" i="29"/>
  <c r="O79" i="29" s="1"/>
  <c r="O45" i="29"/>
  <c r="O101" i="29" s="1"/>
  <c r="M31" i="30"/>
  <c r="M75" i="30" s="1"/>
  <c r="S13" i="12"/>
  <c r="Q13" i="30"/>
  <c r="Q57" i="30" s="1"/>
  <c r="V42" i="25"/>
  <c r="V23" i="25"/>
  <c r="V18" i="25"/>
  <c r="T22" i="30"/>
  <c r="T66" i="30" s="1"/>
  <c r="V22" i="25"/>
  <c r="V17" i="25"/>
  <c r="P23" i="25"/>
  <c r="P33" i="25"/>
  <c r="P27" i="30"/>
  <c r="P71" i="30" s="1"/>
  <c r="P27" i="25"/>
  <c r="P7" i="25"/>
  <c r="P12" i="25"/>
  <c r="AD50" i="29"/>
  <c r="AD106" i="29" s="1"/>
  <c r="V37" i="29"/>
  <c r="V93" i="29" s="1"/>
  <c r="P41" i="29"/>
  <c r="P97" i="29" s="1"/>
  <c r="M10" i="30"/>
  <c r="M54" i="30" s="1"/>
  <c r="M13" i="30"/>
  <c r="M57" i="30" s="1"/>
  <c r="Z38" i="25"/>
  <c r="AA38" i="25" s="1"/>
  <c r="Z16" i="25"/>
  <c r="AA16" i="25" s="1"/>
  <c r="Z37" i="25"/>
  <c r="AA37" i="25" s="1"/>
  <c r="Z26" i="25"/>
  <c r="AA26" i="25" s="1"/>
  <c r="Z11" i="25"/>
  <c r="AA11" i="25" s="1"/>
  <c r="T14" i="25"/>
  <c r="W14" i="25" s="1"/>
  <c r="R19" i="30"/>
  <c r="R63" i="30" s="1"/>
  <c r="T19" i="25"/>
  <c r="W19" i="25" s="1"/>
  <c r="T32" i="25"/>
  <c r="T40" i="25"/>
  <c r="T5" i="25"/>
  <c r="AH13" i="8"/>
  <c r="AD13" i="29" s="1"/>
  <c r="AD69" i="29" s="1"/>
  <c r="AH26" i="8"/>
  <c r="AD26" i="29" s="1"/>
  <c r="AD82" i="29" s="1"/>
  <c r="P16" i="29"/>
  <c r="P72" i="29" s="1"/>
  <c r="P50" i="29"/>
  <c r="P106" i="29" s="1"/>
  <c r="U34" i="25"/>
  <c r="U33" i="25"/>
  <c r="S29" i="30"/>
  <c r="S73" i="30" s="1"/>
  <c r="U29" i="25"/>
  <c r="U14" i="25"/>
  <c r="U7" i="25"/>
  <c r="V11" i="24"/>
  <c r="V51" i="24"/>
  <c r="P6" i="29"/>
  <c r="P62" i="29" s="1"/>
  <c r="S15" i="12"/>
  <c r="Q15" i="30"/>
  <c r="Q59" i="30" s="1"/>
  <c r="J15" i="32"/>
  <c r="M15" i="32"/>
  <c r="F15" i="32"/>
  <c r="L15" i="32"/>
  <c r="B15" i="32"/>
  <c r="H15" i="32"/>
  <c r="I15" i="32"/>
  <c r="D15" i="32"/>
  <c r="E15" i="32"/>
  <c r="K15" i="32"/>
  <c r="C15" i="32"/>
  <c r="U52" i="24"/>
  <c r="AC12" i="24"/>
  <c r="AD12" i="24" s="1"/>
  <c r="O14" i="24"/>
  <c r="X32" i="24"/>
  <c r="AH44" i="24"/>
  <c r="Q42" i="24"/>
  <c r="AC17" i="24"/>
  <c r="AD17" i="24" s="1"/>
  <c r="O43" i="24"/>
  <c r="P26" i="25"/>
  <c r="Z24" i="25"/>
  <c r="AA24" i="25" s="1"/>
  <c r="T17" i="25"/>
  <c r="U8" i="29"/>
  <c r="U64" i="29" s="1"/>
  <c r="O28" i="25"/>
  <c r="O7" i="29"/>
  <c r="O63" i="29" s="1"/>
  <c r="V28" i="29"/>
  <c r="V84" i="29" s="1"/>
  <c r="O16" i="25"/>
  <c r="V35" i="29"/>
  <c r="V91" i="29" s="1"/>
  <c r="Q7" i="29"/>
  <c r="Q63" i="29" s="1"/>
  <c r="O51" i="29"/>
  <c r="O107" i="29" s="1"/>
  <c r="O39" i="25"/>
  <c r="O40" i="25"/>
  <c r="O15" i="25"/>
  <c r="O20" i="30"/>
  <c r="O64" i="30" s="1"/>
  <c r="O20" i="25"/>
  <c r="O5" i="25"/>
  <c r="T36" i="29"/>
  <c r="T92" i="29" s="1"/>
  <c r="S20" i="12"/>
  <c r="Q20" i="30"/>
  <c r="Q64" i="30" s="1"/>
  <c r="P54" i="29"/>
  <c r="P110" i="29" s="1"/>
  <c r="V40" i="25"/>
  <c r="V26" i="25"/>
  <c r="V16" i="25"/>
  <c r="V6" i="25"/>
  <c r="V11" i="25"/>
  <c r="P38" i="25"/>
  <c r="P29" i="25"/>
  <c r="P34" i="30"/>
  <c r="P78" i="30" s="1"/>
  <c r="P34" i="25"/>
  <c r="P9" i="25"/>
  <c r="S33" i="12"/>
  <c r="Q33" i="30"/>
  <c r="Q77" i="30" s="1"/>
  <c r="Z20" i="25"/>
  <c r="AA20" i="25" s="1"/>
  <c r="Z40" i="25"/>
  <c r="AA40" i="25" s="1"/>
  <c r="Z36" i="25"/>
  <c r="AA36" i="25" s="1"/>
  <c r="Z33" i="25"/>
  <c r="AA33" i="25" s="1"/>
  <c r="V8" i="30"/>
  <c r="V52" i="30" s="1"/>
  <c r="Z8" i="25"/>
  <c r="AA8" i="25" s="1"/>
  <c r="T22" i="25"/>
  <c r="T42" i="25"/>
  <c r="T31" i="25"/>
  <c r="W31" i="25" s="1"/>
  <c r="R10" i="30"/>
  <c r="R54" i="30" s="1"/>
  <c r="T10" i="25"/>
  <c r="W10" i="25" s="1"/>
  <c r="U13" i="25"/>
  <c r="W13" i="25" s="1"/>
  <c r="U37" i="25"/>
  <c r="U18" i="25"/>
  <c r="S22" i="30"/>
  <c r="S66" i="30" s="1"/>
  <c r="U22" i="25"/>
  <c r="U12" i="25"/>
  <c r="V14" i="24"/>
  <c r="AH31" i="8"/>
  <c r="AD31" i="29" s="1"/>
  <c r="AD87" i="29" s="1"/>
  <c r="O22" i="24"/>
  <c r="U13" i="24"/>
  <c r="AC48" i="24"/>
  <c r="AD48" i="24" s="1"/>
  <c r="O38" i="24"/>
  <c r="X22" i="24"/>
  <c r="X14" i="24"/>
  <c r="L5" i="24"/>
  <c r="L7" i="24"/>
  <c r="O32" i="25"/>
  <c r="T37" i="30"/>
  <c r="T81" i="30" s="1"/>
  <c r="V37" i="25"/>
  <c r="P8" i="25"/>
  <c r="Z12" i="25"/>
  <c r="AA12" i="25" s="1"/>
  <c r="T8" i="25"/>
  <c r="S41" i="30"/>
  <c r="S85" i="30" s="1"/>
  <c r="U41" i="25"/>
  <c r="AD45" i="29"/>
  <c r="AD101" i="29" s="1"/>
  <c r="L43" i="29"/>
  <c r="L99" i="29" s="1"/>
  <c r="M41" i="24"/>
  <c r="O8" i="25"/>
  <c r="AD22" i="29"/>
  <c r="AD78" i="29" s="1"/>
  <c r="P47" i="29"/>
  <c r="P103" i="29" s="1"/>
  <c r="L20" i="29"/>
  <c r="L76" i="29" s="1"/>
  <c r="S21" i="12"/>
  <c r="Q21" i="30"/>
  <c r="Q65" i="30" s="1"/>
  <c r="O26" i="25"/>
  <c r="O23" i="25"/>
  <c r="O13" i="25"/>
  <c r="O27" i="25"/>
  <c r="O10" i="25"/>
  <c r="AD12" i="29"/>
  <c r="AD68" i="29" s="1"/>
  <c r="AD52" i="29"/>
  <c r="AD108" i="29" s="1"/>
  <c r="V38" i="29"/>
  <c r="V94" i="29" s="1"/>
  <c r="P24" i="29"/>
  <c r="P80" i="29" s="1"/>
  <c r="P42" i="29"/>
  <c r="P98" i="29" s="1"/>
  <c r="O44" i="29"/>
  <c r="O100" i="29" s="1"/>
  <c r="M6" i="30"/>
  <c r="M50" i="30" s="1"/>
  <c r="AD10" i="29"/>
  <c r="AD66" i="29" s="1"/>
  <c r="AD30" i="29"/>
  <c r="AD86" i="29" s="1"/>
  <c r="O12" i="29"/>
  <c r="O68" i="29" s="1"/>
  <c r="O34" i="29"/>
  <c r="O90" i="29" s="1"/>
  <c r="M16" i="30"/>
  <c r="M60" i="30" s="1"/>
  <c r="S11" i="12"/>
  <c r="Q11" i="30"/>
  <c r="Q55" i="30" s="1"/>
  <c r="S43" i="12"/>
  <c r="Q43" i="30"/>
  <c r="Q87" i="30" s="1"/>
  <c r="T36" i="30"/>
  <c r="T80" i="30" s="1"/>
  <c r="V36" i="25"/>
  <c r="V25" i="25"/>
  <c r="V15" i="25"/>
  <c r="V8" i="25"/>
  <c r="P19" i="30"/>
  <c r="P63" i="30" s="1"/>
  <c r="P19" i="25"/>
  <c r="P14" i="25"/>
  <c r="P36" i="25"/>
  <c r="P16" i="25"/>
  <c r="P17" i="30"/>
  <c r="P61" i="30" s="1"/>
  <c r="P17" i="25"/>
  <c r="V48" i="29"/>
  <c r="V104" i="29" s="1"/>
  <c r="P39" i="29"/>
  <c r="P95" i="29" s="1"/>
  <c r="O54" i="8"/>
  <c r="O54" i="29" s="1"/>
  <c r="O110" i="29" s="1"/>
  <c r="M22" i="30"/>
  <c r="M66" i="30" s="1"/>
  <c r="Z18" i="25"/>
  <c r="AA18" i="25" s="1"/>
  <c r="V23" i="30"/>
  <c r="V67" i="30" s="1"/>
  <c r="Z23" i="25"/>
  <c r="AA23" i="25" s="1"/>
  <c r="Z43" i="25"/>
  <c r="AA43" i="25" s="1"/>
  <c r="Z39" i="25"/>
  <c r="AA39" i="25" s="1"/>
  <c r="Z5" i="25"/>
  <c r="R37" i="30"/>
  <c r="R81" i="30" s="1"/>
  <c r="T37" i="25"/>
  <c r="W37" i="25" s="1"/>
  <c r="T29" i="25"/>
  <c r="T20" i="25"/>
  <c r="T43" i="25"/>
  <c r="W43" i="25" s="1"/>
  <c r="T7" i="25"/>
  <c r="AD19" i="29"/>
  <c r="AD75" i="29" s="1"/>
  <c r="AD32" i="29"/>
  <c r="AD88" i="29" s="1"/>
  <c r="V33" i="29"/>
  <c r="V89" i="29" s="1"/>
  <c r="AC7" i="8"/>
  <c r="AC32" i="24"/>
  <c r="AD32" i="24" s="1"/>
  <c r="AC24" i="24"/>
  <c r="AD24" i="24" s="1"/>
  <c r="AC51" i="24"/>
  <c r="AD51" i="24" s="1"/>
  <c r="AC45" i="24"/>
  <c r="AD45" i="24" s="1"/>
  <c r="AC44" i="24"/>
  <c r="AD44" i="24" s="1"/>
  <c r="AC37" i="24"/>
  <c r="AD37" i="24" s="1"/>
  <c r="AC8" i="24"/>
  <c r="AD8" i="24" s="1"/>
  <c r="AC47" i="24"/>
  <c r="AD47" i="24" s="1"/>
  <c r="AC26" i="24"/>
  <c r="AD26" i="24" s="1"/>
  <c r="AC14" i="24"/>
  <c r="AD14" i="24" s="1"/>
  <c r="AC7" i="24"/>
  <c r="AD7" i="24" s="1"/>
  <c r="AC55" i="24"/>
  <c r="AD55" i="24" s="1"/>
  <c r="AC13" i="24"/>
  <c r="AD13" i="24" s="1"/>
  <c r="AC31" i="24"/>
  <c r="AD31" i="24" s="1"/>
  <c r="AC54" i="24"/>
  <c r="AD54" i="24" s="1"/>
  <c r="AC16" i="24"/>
  <c r="AD16" i="24" s="1"/>
  <c r="AC30" i="24"/>
  <c r="AD30" i="24" s="1"/>
  <c r="AC25" i="24"/>
  <c r="AD25" i="24" s="1"/>
  <c r="AC40" i="24"/>
  <c r="AD40" i="24" s="1"/>
  <c r="AC9" i="24"/>
  <c r="AD9" i="24" s="1"/>
  <c r="AC43" i="24"/>
  <c r="AD43" i="24" s="1"/>
  <c r="AC10" i="24"/>
  <c r="AD10" i="24" s="1"/>
  <c r="AC41" i="24"/>
  <c r="AD41" i="24" s="1"/>
  <c r="AC21" i="24"/>
  <c r="AD21" i="24" s="1"/>
  <c r="AC52" i="24"/>
  <c r="AD52" i="24" s="1"/>
  <c r="AC15" i="24"/>
  <c r="AD15" i="24" s="1"/>
  <c r="AC5" i="24"/>
  <c r="AC20" i="24"/>
  <c r="AD20" i="24" s="1"/>
  <c r="AC49" i="24"/>
  <c r="AD49" i="24" s="1"/>
  <c r="AC18" i="24"/>
  <c r="AD18" i="24" s="1"/>
  <c r="AC27" i="24"/>
  <c r="AD27" i="24" s="1"/>
  <c r="AC38" i="24"/>
  <c r="AD38" i="24" s="1"/>
  <c r="AC11" i="24"/>
  <c r="AD11" i="24" s="1"/>
  <c r="AC50" i="24"/>
  <c r="AD50" i="24" s="1"/>
  <c r="AC23" i="24"/>
  <c r="AD23" i="24" s="1"/>
  <c r="AC34" i="24"/>
  <c r="AD34" i="24" s="1"/>
  <c r="AC33" i="24"/>
  <c r="AD33" i="24" s="1"/>
  <c r="AC46" i="24"/>
  <c r="AD46" i="24" s="1"/>
  <c r="AC6" i="24"/>
  <c r="AD6" i="24" s="1"/>
  <c r="AC39" i="24"/>
  <c r="AD39" i="24" s="1"/>
  <c r="AC29" i="24"/>
  <c r="AD29" i="24" s="1"/>
  <c r="AC22" i="24"/>
  <c r="AD22" i="24" s="1"/>
  <c r="AC35" i="24"/>
  <c r="AD35" i="24" s="1"/>
  <c r="AC19" i="24"/>
  <c r="AD19" i="24" s="1"/>
  <c r="AC53" i="24"/>
  <c r="AD53" i="24" s="1"/>
  <c r="P10" i="29"/>
  <c r="P66" i="29" s="1"/>
  <c r="S17" i="12"/>
  <c r="Q17" i="30"/>
  <c r="Q61" i="30" s="1"/>
  <c r="U36" i="25"/>
  <c r="W36" i="25" s="1"/>
  <c r="S26" i="30"/>
  <c r="S70" i="30" s="1"/>
  <c r="U26" i="25"/>
  <c r="U24" i="25"/>
  <c r="U11" i="25"/>
  <c r="U9" i="25"/>
  <c r="V54" i="24"/>
  <c r="P37" i="29"/>
  <c r="P93" i="29" s="1"/>
  <c r="S19" i="12"/>
  <c r="Q19" i="30"/>
  <c r="Q63" i="30" s="1"/>
  <c r="F9" i="31"/>
  <c r="F15" i="31" s="1"/>
  <c r="X41" i="24"/>
  <c r="U55" i="24"/>
  <c r="AC36" i="24"/>
  <c r="AD36" i="24" s="1"/>
  <c r="Q9" i="24"/>
  <c r="L35" i="24"/>
  <c r="V32" i="25"/>
  <c r="P13" i="30"/>
  <c r="P57" i="30" s="1"/>
  <c r="P13" i="25"/>
  <c r="Z30" i="25"/>
  <c r="AA30" i="25" s="1"/>
  <c r="T38" i="25"/>
  <c r="S16" i="12"/>
  <c r="Q16" i="30"/>
  <c r="Q60" i="30" s="1"/>
  <c r="U8" i="25"/>
  <c r="AI42" i="9"/>
  <c r="AI42" i="24"/>
  <c r="P9" i="29"/>
  <c r="P65" i="29" s="1"/>
  <c r="O33" i="25"/>
  <c r="AD47" i="29"/>
  <c r="AD103" i="29" s="1"/>
  <c r="V15" i="29"/>
  <c r="V71" i="29" s="1"/>
  <c r="AD16" i="29"/>
  <c r="AD72" i="29" s="1"/>
  <c r="AD35" i="29"/>
  <c r="AD91" i="29" s="1"/>
  <c r="Q30" i="8"/>
  <c r="Q30" i="29" s="1"/>
  <c r="Q86" i="29" s="1"/>
  <c r="Q34" i="8"/>
  <c r="Q34" i="29" s="1"/>
  <c r="Q90" i="29" s="1"/>
  <c r="O18" i="29"/>
  <c r="O74" i="29" s="1"/>
  <c r="O26" i="29"/>
  <c r="O82" i="29" s="1"/>
  <c r="M42" i="30"/>
  <c r="M86" i="30" s="1"/>
  <c r="O36" i="30"/>
  <c r="O80" i="30" s="1"/>
  <c r="O36" i="25"/>
  <c r="O30" i="25"/>
  <c r="O21" i="25"/>
  <c r="O19" i="25"/>
  <c r="O7" i="30"/>
  <c r="O51" i="30" s="1"/>
  <c r="O7" i="25"/>
  <c r="Q26" i="8"/>
  <c r="Q26" i="29" s="1"/>
  <c r="Q82" i="29" s="1"/>
  <c r="S8" i="12"/>
  <c r="Q8" i="30"/>
  <c r="Q52" i="30" s="1"/>
  <c r="S41" i="12"/>
  <c r="Q41" i="30"/>
  <c r="Q85" i="30" s="1"/>
  <c r="V34" i="29"/>
  <c r="V90" i="29" s="1"/>
  <c r="P7" i="29"/>
  <c r="P63" i="29" s="1"/>
  <c r="F11" i="31" s="1"/>
  <c r="V41" i="25"/>
  <c r="V34" i="25"/>
  <c r="V24" i="25"/>
  <c r="V29" i="25"/>
  <c r="V5" i="25"/>
  <c r="V45" i="25" s="1"/>
  <c r="P41" i="25"/>
  <c r="P30" i="25"/>
  <c r="P35" i="25"/>
  <c r="P40" i="30"/>
  <c r="P84" i="30" s="1"/>
  <c r="P40" i="25"/>
  <c r="P6" i="25"/>
  <c r="O29" i="8"/>
  <c r="O29" i="29" s="1"/>
  <c r="O85" i="29" s="1"/>
  <c r="S6" i="12"/>
  <c r="Q6" i="30"/>
  <c r="Q50" i="30" s="1"/>
  <c r="G9" i="32" s="1"/>
  <c r="S36" i="12"/>
  <c r="Q36" i="30"/>
  <c r="Q80" i="30" s="1"/>
  <c r="V27" i="30"/>
  <c r="V71" i="30" s="1"/>
  <c r="Z27" i="25"/>
  <c r="AA27" i="25" s="1"/>
  <c r="Z32" i="25"/>
  <c r="AA32" i="25" s="1"/>
  <c r="Z34" i="25"/>
  <c r="AA34" i="25" s="1"/>
  <c r="Z22" i="25"/>
  <c r="AA22" i="25" s="1"/>
  <c r="V10" i="30"/>
  <c r="V54" i="30" s="1"/>
  <c r="Z10" i="25"/>
  <c r="AA10" i="25" s="1"/>
  <c r="T35" i="25"/>
  <c r="W35" i="25" s="1"/>
  <c r="T36" i="25"/>
  <c r="T34" i="25"/>
  <c r="W34" i="25" s="1"/>
  <c r="R41" i="30"/>
  <c r="R85" i="30" s="1"/>
  <c r="T41" i="25"/>
  <c r="T12" i="25"/>
  <c r="W12" i="25" s="1"/>
  <c r="S29" i="12"/>
  <c r="Q29" i="30"/>
  <c r="Q73" i="30" s="1"/>
  <c r="U25" i="25"/>
  <c r="S35" i="30"/>
  <c r="S79" i="30" s="1"/>
  <c r="U35" i="25"/>
  <c r="U23" i="25"/>
  <c r="U28" i="25"/>
  <c r="U17" i="25"/>
  <c r="V31" i="24"/>
  <c r="M8" i="30"/>
  <c r="M52" i="30" s="1"/>
  <c r="AH22" i="24"/>
  <c r="Q27" i="24"/>
  <c r="O10" i="24"/>
  <c r="X39" i="24"/>
  <c r="X15" i="24"/>
  <c r="Q40" i="24"/>
  <c r="U50" i="24"/>
  <c r="AC42" i="24"/>
  <c r="AD42" i="24" s="1"/>
  <c r="O51" i="24"/>
  <c r="X50" i="24"/>
  <c r="N36" i="25"/>
  <c r="N39" i="25"/>
  <c r="N21" i="25"/>
  <c r="N9" i="30"/>
  <c r="N53" i="30" s="1"/>
  <c r="N9" i="25"/>
  <c r="N12" i="25"/>
  <c r="AI43" i="24"/>
  <c r="AI43" i="9"/>
  <c r="AI49" i="24"/>
  <c r="AI49" i="9"/>
  <c r="W47" i="24"/>
  <c r="W12" i="24"/>
  <c r="P26" i="24"/>
  <c r="P55" i="24"/>
  <c r="W42" i="24"/>
  <c r="W24" i="24"/>
  <c r="W13" i="24"/>
  <c r="P27" i="24"/>
  <c r="P34" i="24"/>
  <c r="S5" i="25"/>
  <c r="S45" i="25" s="1"/>
  <c r="R45" i="25"/>
  <c r="P32" i="24"/>
  <c r="M37" i="24"/>
  <c r="N20" i="25"/>
  <c r="N29" i="25"/>
  <c r="N23" i="25"/>
  <c r="N17" i="25"/>
  <c r="Z57" i="24"/>
  <c r="AI36" i="24"/>
  <c r="AI36" i="9"/>
  <c r="AI33" i="9"/>
  <c r="AI33" i="24"/>
  <c r="W54" i="24"/>
  <c r="Q12" i="30"/>
  <c r="Q56" i="30" s="1"/>
  <c r="W55" i="24"/>
  <c r="Q30" i="30"/>
  <c r="Q74" i="30" s="1"/>
  <c r="P18" i="24"/>
  <c r="W17" i="24"/>
  <c r="W49" i="24"/>
  <c r="Q37" i="30"/>
  <c r="Q81" i="30" s="1"/>
  <c r="W31" i="24"/>
  <c r="W11" i="24"/>
  <c r="P12" i="24"/>
  <c r="P36" i="24"/>
  <c r="N33" i="30"/>
  <c r="N77" i="30" s="1"/>
  <c r="N33" i="25"/>
  <c r="N16" i="25"/>
  <c r="N28" i="25"/>
  <c r="N13" i="25"/>
  <c r="N11" i="30"/>
  <c r="N55" i="30" s="1"/>
  <c r="N11" i="25"/>
  <c r="AI45" i="24"/>
  <c r="AI45" i="9"/>
  <c r="AI40" i="24"/>
  <c r="AI40" i="9"/>
  <c r="AE44" i="29"/>
  <c r="AE100" i="29" s="1"/>
  <c r="AI44" i="24"/>
  <c r="AI44" i="9"/>
  <c r="P11" i="24"/>
  <c r="P39" i="24"/>
  <c r="W43" i="24"/>
  <c r="W8" i="24"/>
  <c r="P22" i="24"/>
  <c r="P38" i="24"/>
  <c r="Q22" i="30"/>
  <c r="Q66" i="30" s="1"/>
  <c r="W23" i="24"/>
  <c r="W46" i="24"/>
  <c r="Q18" i="30"/>
  <c r="Q62" i="30" s="1"/>
  <c r="Q40" i="30"/>
  <c r="Q84" i="30" s="1"/>
  <c r="P43" i="24"/>
  <c r="W34" i="24"/>
  <c r="P8" i="24"/>
  <c r="P44" i="24"/>
  <c r="W30" i="24"/>
  <c r="W51" i="24"/>
  <c r="W16" i="24"/>
  <c r="P30" i="24"/>
  <c r="P47" i="24"/>
  <c r="N41" i="25"/>
  <c r="N40" i="25"/>
  <c r="N43" i="25"/>
  <c r="N27" i="30"/>
  <c r="N71" i="30" s="1"/>
  <c r="N27" i="25"/>
  <c r="N8" i="25"/>
  <c r="AI52" i="24"/>
  <c r="AI52" i="9"/>
  <c r="AI28" i="24"/>
  <c r="AI28" i="9"/>
  <c r="AI39" i="24"/>
  <c r="AI39" i="9"/>
  <c r="W22" i="24"/>
  <c r="Q28" i="30"/>
  <c r="Q72" i="30" s="1"/>
  <c r="P14" i="24"/>
  <c r="P5" i="24"/>
  <c r="W28" i="24"/>
  <c r="W6" i="24"/>
  <c r="W57" i="24" s="1"/>
  <c r="P31" i="24"/>
  <c r="W38" i="24"/>
  <c r="P6" i="24"/>
  <c r="W48" i="24"/>
  <c r="P28" i="24"/>
  <c r="N14" i="30"/>
  <c r="N58" i="30" s="1"/>
  <c r="N14" i="25"/>
  <c r="N32" i="25"/>
  <c r="N15" i="25"/>
  <c r="N18" i="25"/>
  <c r="N5" i="25"/>
  <c r="N45" i="25" s="1"/>
  <c r="AI51" i="24"/>
  <c r="AI51" i="9"/>
  <c r="AI26" i="9"/>
  <c r="AI26" i="24"/>
  <c r="AE48" i="29"/>
  <c r="AE104" i="29" s="1"/>
  <c r="AI48" i="24"/>
  <c r="AI48" i="9"/>
  <c r="P52" i="24"/>
  <c r="W50" i="24"/>
  <c r="P20" i="24"/>
  <c r="P54" i="24"/>
  <c r="W14" i="24"/>
  <c r="W53" i="24"/>
  <c r="P29" i="24"/>
  <c r="P48" i="24"/>
  <c r="W37" i="24"/>
  <c r="W52" i="24"/>
  <c r="W41" i="24"/>
  <c r="P17" i="24"/>
  <c r="W19" i="24"/>
  <c r="W10" i="24"/>
  <c r="P15" i="24"/>
  <c r="P44" i="8"/>
  <c r="P44" i="29" s="1"/>
  <c r="P100" i="29" s="1"/>
  <c r="N19" i="25"/>
  <c r="N37" i="25"/>
  <c r="N31" i="30"/>
  <c r="N75" i="30" s="1"/>
  <c r="N31" i="25"/>
  <c r="N34" i="25"/>
  <c r="N10" i="25"/>
  <c r="AI47" i="24"/>
  <c r="AI47" i="9"/>
  <c r="AI31" i="24"/>
  <c r="AI31" i="9"/>
  <c r="AI53" i="24"/>
  <c r="AI53" i="9"/>
  <c r="W40" i="24"/>
  <c r="W29" i="24"/>
  <c r="Q23" i="30"/>
  <c r="Q67" i="30" s="1"/>
  <c r="P13" i="24"/>
  <c r="P41" i="24"/>
  <c r="W35" i="24"/>
  <c r="W15" i="24"/>
  <c r="W45" i="24"/>
  <c r="P37" i="24"/>
  <c r="W36" i="8"/>
  <c r="V36" i="29" s="1"/>
  <c r="V92" i="29" s="1"/>
  <c r="N42" i="25"/>
  <c r="N24" i="30"/>
  <c r="N68" i="30" s="1"/>
  <c r="N24" i="25"/>
  <c r="N22" i="25"/>
  <c r="N38" i="25"/>
  <c r="N7" i="25"/>
  <c r="AI37" i="9"/>
  <c r="AE37" i="29"/>
  <c r="AE93" i="29" s="1"/>
  <c r="AI37" i="24"/>
  <c r="AI32" i="24"/>
  <c r="AI32" i="9"/>
  <c r="AI30" i="9"/>
  <c r="AI30" i="24"/>
  <c r="P45" i="24"/>
  <c r="M45" i="25"/>
  <c r="W18" i="24"/>
  <c r="P7" i="24"/>
  <c r="W32" i="24"/>
  <c r="W21" i="24"/>
  <c r="Q10" i="30"/>
  <c r="Q54" i="30" s="1"/>
  <c r="P16" i="24"/>
  <c r="P50" i="24"/>
  <c r="W20" i="24"/>
  <c r="W9" i="24"/>
  <c r="P23" i="24"/>
  <c r="P40" i="24"/>
  <c r="W26" i="24"/>
  <c r="P9" i="24"/>
  <c r="P13" i="31"/>
  <c r="O13" i="31"/>
  <c r="P14" i="31"/>
  <c r="O14" i="31"/>
  <c r="I14" i="32"/>
  <c r="E14" i="32"/>
  <c r="M14" i="32"/>
  <c r="L14" i="32"/>
  <c r="H14" i="32"/>
  <c r="D14" i="32"/>
  <c r="K14" i="32"/>
  <c r="G14" i="32"/>
  <c r="C14" i="32"/>
  <c r="J14" i="32"/>
  <c r="F14" i="32"/>
  <c r="B14" i="32"/>
  <c r="AR28" i="24"/>
  <c r="AV28" i="24" s="1"/>
  <c r="AV27" i="24"/>
  <c r="AQ14" i="24"/>
  <c r="AC54" i="8"/>
  <c r="W43" i="8"/>
  <c r="V43" i="29" s="1"/>
  <c r="V99" i="29" s="1"/>
  <c r="W8" i="8"/>
  <c r="V8" i="29" s="1"/>
  <c r="V64" i="29" s="1"/>
  <c r="U43" i="8"/>
  <c r="T43" i="29" s="1"/>
  <c r="T99" i="29" s="1"/>
  <c r="W20" i="8"/>
  <c r="V20" i="29" s="1"/>
  <c r="V76" i="29" s="1"/>
  <c r="W9" i="8"/>
  <c r="V9" i="29" s="1"/>
  <c r="V65" i="29" s="1"/>
  <c r="W55" i="8"/>
  <c r="V55" i="29" s="1"/>
  <c r="V111" i="29" s="1"/>
  <c r="W17" i="8"/>
  <c r="V17" i="29" s="1"/>
  <c r="V73" i="29" s="1"/>
  <c r="W19" i="8"/>
  <c r="V19" i="29" s="1"/>
  <c r="V75" i="29" s="1"/>
  <c r="W10" i="8"/>
  <c r="V10" i="29" s="1"/>
  <c r="V66" i="29" s="1"/>
  <c r="W40" i="8"/>
  <c r="V40" i="29" s="1"/>
  <c r="V96" i="29" s="1"/>
  <c r="W29" i="8"/>
  <c r="V29" i="29" s="1"/>
  <c r="V85" i="29" s="1"/>
  <c r="W50" i="8"/>
  <c r="V50" i="29" s="1"/>
  <c r="V106" i="29" s="1"/>
  <c r="W27" i="8"/>
  <c r="V27" i="29" s="1"/>
  <c r="V83" i="29" s="1"/>
  <c r="W7" i="8"/>
  <c r="W23" i="8"/>
  <c r="V23" i="29" s="1"/>
  <c r="V79" i="29" s="1"/>
  <c r="W14" i="8"/>
  <c r="V14" i="29" s="1"/>
  <c r="V70" i="29" s="1"/>
  <c r="W26" i="8"/>
  <c r="V26" i="29" s="1"/>
  <c r="V82" i="29" s="1"/>
  <c r="W47" i="8"/>
  <c r="V47" i="29" s="1"/>
  <c r="V103" i="29" s="1"/>
  <c r="W12" i="8"/>
  <c r="V12" i="29" s="1"/>
  <c r="V68" i="29" s="1"/>
  <c r="AC14" i="8"/>
  <c r="W18" i="8"/>
  <c r="V18" i="29" s="1"/>
  <c r="V74" i="29" s="1"/>
  <c r="Q52" i="8"/>
  <c r="Q52" i="29" s="1"/>
  <c r="Q108" i="29" s="1"/>
  <c r="O14" i="8"/>
  <c r="O14" i="29" s="1"/>
  <c r="O70" i="29" s="1"/>
  <c r="U52" i="8"/>
  <c r="T52" i="29" s="1"/>
  <c r="T108" i="29" s="1"/>
  <c r="AH41" i="8"/>
  <c r="AD41" i="29" s="1"/>
  <c r="AD97" i="29" s="1"/>
  <c r="W39" i="8"/>
  <c r="V39" i="29" s="1"/>
  <c r="V95" i="29" s="1"/>
  <c r="Q5" i="8"/>
  <c r="Q5" i="29" s="1"/>
  <c r="Q61" i="29" s="1"/>
  <c r="Q40" i="8"/>
  <c r="Q40" i="29" s="1"/>
  <c r="Q96" i="29" s="1"/>
  <c r="U15" i="8"/>
  <c r="T15" i="29" s="1"/>
  <c r="T71" i="29" s="1"/>
  <c r="L32" i="8"/>
  <c r="L32" i="29" s="1"/>
  <c r="L88" i="29" s="1"/>
  <c r="AH15" i="8"/>
  <c r="AD15" i="29" s="1"/>
  <c r="AD71" i="29" s="1"/>
  <c r="Q54" i="8"/>
  <c r="Q54" i="29" s="1"/>
  <c r="Q110" i="29" s="1"/>
  <c r="P13" i="8"/>
  <c r="P13" i="29" s="1"/>
  <c r="P69" i="29" s="1"/>
  <c r="Q15" i="8"/>
  <c r="Q15" i="29" s="1"/>
  <c r="Q71" i="29" s="1"/>
  <c r="Q9" i="8"/>
  <c r="Q9" i="29" s="1"/>
  <c r="Q65" i="29" s="1"/>
  <c r="Q18" i="8"/>
  <c r="Q18" i="29" s="1"/>
  <c r="Q74" i="29" s="1"/>
  <c r="U24" i="8"/>
  <c r="T24" i="29" s="1"/>
  <c r="T80" i="29" s="1"/>
  <c r="Q24" i="8"/>
  <c r="Q24" i="29" s="1"/>
  <c r="Q80" i="29" s="1"/>
  <c r="O46" i="8"/>
  <c r="O46" i="29" s="1"/>
  <c r="O102" i="29" s="1"/>
  <c r="AH34" i="8"/>
  <c r="AD34" i="29" s="1"/>
  <c r="AD90" i="29" s="1"/>
  <c r="Q55" i="8"/>
  <c r="Q55" i="29" s="1"/>
  <c r="Q111" i="29" s="1"/>
  <c r="AH39" i="8"/>
  <c r="AD39" i="29" s="1"/>
  <c r="AD95" i="29" s="1"/>
  <c r="O30" i="8"/>
  <c r="O30" i="29" s="1"/>
  <c r="O86" i="29" s="1"/>
  <c r="U39" i="8"/>
  <c r="T39" i="29" s="1"/>
  <c r="T95" i="29" s="1"/>
  <c r="O21" i="8"/>
  <c r="O21" i="29" s="1"/>
  <c r="O77" i="29" s="1"/>
  <c r="L47" i="8"/>
  <c r="L47" i="29" s="1"/>
  <c r="L103" i="29" s="1"/>
  <c r="O52" i="8"/>
  <c r="O52" i="29" s="1"/>
  <c r="O108" i="29" s="1"/>
  <c r="Q16" i="8"/>
  <c r="Q16" i="29" s="1"/>
  <c r="Q72" i="29" s="1"/>
  <c r="Q51" i="8"/>
  <c r="Q51" i="29" s="1"/>
  <c r="Q107" i="29" s="1"/>
  <c r="U28" i="8"/>
  <c r="T28" i="29" s="1"/>
  <c r="T84" i="29" s="1"/>
  <c r="Q23" i="8"/>
  <c r="Q23" i="29" s="1"/>
  <c r="Q79" i="29" s="1"/>
  <c r="O38" i="8"/>
  <c r="O38" i="29" s="1"/>
  <c r="O94" i="29" s="1"/>
  <c r="Q31" i="8"/>
  <c r="Q31" i="29" s="1"/>
  <c r="Q87" i="29" s="1"/>
  <c r="Q10" i="8"/>
  <c r="Q10" i="29" s="1"/>
  <c r="Q66" i="29" s="1"/>
  <c r="AH11" i="8"/>
  <c r="AD11" i="29" s="1"/>
  <c r="AD67" i="29" s="1"/>
  <c r="AH20" i="8"/>
  <c r="AD20" i="29" s="1"/>
  <c r="AD76" i="29" s="1"/>
  <c r="W5" i="8"/>
  <c r="V5" i="29" s="1"/>
  <c r="V61" i="29" s="1"/>
  <c r="P32" i="8"/>
  <c r="O15" i="8"/>
  <c r="O15" i="29" s="1"/>
  <c r="O71" i="29" s="1"/>
  <c r="AH29" i="8"/>
  <c r="AD29" i="29" s="1"/>
  <c r="AD85" i="29" s="1"/>
  <c r="L31" i="8"/>
  <c r="L31" i="29" s="1"/>
  <c r="L87" i="29" s="1"/>
  <c r="O13" i="8"/>
  <c r="O13" i="29" s="1"/>
  <c r="O69" i="29" s="1"/>
  <c r="V30" i="12"/>
  <c r="V30" i="13"/>
  <c r="W16" i="11"/>
  <c r="T16" i="12"/>
  <c r="R16" i="30" s="1"/>
  <c r="R60" i="30" s="1"/>
  <c r="T16" i="13"/>
  <c r="AI15" i="8"/>
  <c r="AE15" i="29" s="1"/>
  <c r="AE71" i="29" s="1"/>
  <c r="O41" i="12"/>
  <c r="O41" i="30" s="1"/>
  <c r="O85" i="30" s="1"/>
  <c r="O41" i="13"/>
  <c r="X8" i="8"/>
  <c r="W8" i="29" s="1"/>
  <c r="W64" i="29" s="1"/>
  <c r="M14" i="9"/>
  <c r="X5" i="8"/>
  <c r="W5" i="29" s="1"/>
  <c r="W61" i="29" s="1"/>
  <c r="L33" i="8"/>
  <c r="L33" i="29" s="1"/>
  <c r="L89" i="29" s="1"/>
  <c r="L36" i="8"/>
  <c r="L36" i="29" s="1"/>
  <c r="L92" i="29" s="1"/>
  <c r="AI57" i="9"/>
  <c r="V27" i="12"/>
  <c r="T27" i="30" s="1"/>
  <c r="T71" i="30" s="1"/>
  <c r="V27" i="13"/>
  <c r="V28" i="12"/>
  <c r="V28" i="13"/>
  <c r="V14" i="12"/>
  <c r="T14" i="30" s="1"/>
  <c r="T58" i="30" s="1"/>
  <c r="V14" i="13"/>
  <c r="V43" i="12"/>
  <c r="T43" i="30" s="1"/>
  <c r="T87" i="30" s="1"/>
  <c r="V43" i="13"/>
  <c r="V9" i="12"/>
  <c r="T9" i="30" s="1"/>
  <c r="T53" i="30" s="1"/>
  <c r="V9" i="13"/>
  <c r="P18" i="12"/>
  <c r="P18" i="13"/>
  <c r="P43" i="12"/>
  <c r="P43" i="30" s="1"/>
  <c r="P87" i="30" s="1"/>
  <c r="P43" i="13"/>
  <c r="P24" i="12"/>
  <c r="P24" i="30" s="1"/>
  <c r="P68" i="30" s="1"/>
  <c r="P24" i="13"/>
  <c r="P21" i="12"/>
  <c r="P21" i="30" s="1"/>
  <c r="P65" i="30" s="1"/>
  <c r="P21" i="13"/>
  <c r="P10" i="12"/>
  <c r="P10" i="13"/>
  <c r="U21" i="8"/>
  <c r="T21" i="29" s="1"/>
  <c r="T77" i="29" s="1"/>
  <c r="U42" i="8"/>
  <c r="T42" i="29" s="1"/>
  <c r="T98" i="29" s="1"/>
  <c r="AC50" i="8"/>
  <c r="L37" i="8"/>
  <c r="L37" i="29" s="1"/>
  <c r="L93" i="29" s="1"/>
  <c r="Z38" i="12"/>
  <c r="AA38" i="12" s="1"/>
  <c r="AA38" i="11"/>
  <c r="Z38" i="13"/>
  <c r="AA38" i="13" s="1"/>
  <c r="AA16" i="11"/>
  <c r="Z16" i="12"/>
  <c r="AA16" i="12" s="1"/>
  <c r="Z16" i="13"/>
  <c r="AA16" i="13" s="1"/>
  <c r="AA37" i="11"/>
  <c r="Z37" i="12"/>
  <c r="AA37" i="12" s="1"/>
  <c r="Z37" i="13"/>
  <c r="AA37" i="13" s="1"/>
  <c r="Z26" i="12"/>
  <c r="AA26" i="12" s="1"/>
  <c r="AA26" i="11"/>
  <c r="Z26" i="13"/>
  <c r="AA26" i="13" s="1"/>
  <c r="Z11" i="12"/>
  <c r="AA11" i="12" s="1"/>
  <c r="AA11" i="11"/>
  <c r="Z11" i="13"/>
  <c r="AA11" i="13" s="1"/>
  <c r="W14" i="11"/>
  <c r="T14" i="12"/>
  <c r="R14" i="30" s="1"/>
  <c r="R58" i="30" s="1"/>
  <c r="T14" i="13"/>
  <c r="T19" i="12"/>
  <c r="W19" i="11"/>
  <c r="T19" i="13"/>
  <c r="W32" i="11"/>
  <c r="T32" i="12"/>
  <c r="R32" i="30" s="1"/>
  <c r="R76" i="30" s="1"/>
  <c r="T32" i="13"/>
  <c r="T40" i="12"/>
  <c r="R40" i="30" s="1"/>
  <c r="R84" i="30" s="1"/>
  <c r="W40" i="11"/>
  <c r="T40" i="13"/>
  <c r="W5" i="11"/>
  <c r="T5" i="12"/>
  <c r="R5" i="30" s="1"/>
  <c r="R49" i="30" s="1"/>
  <c r="T45" i="11"/>
  <c r="T5" i="13"/>
  <c r="AD5" i="9"/>
  <c r="AD57" i="9" s="1"/>
  <c r="AC57" i="9"/>
  <c r="Q28" i="8"/>
  <c r="Q28" i="29" s="1"/>
  <c r="Q84" i="29" s="1"/>
  <c r="Q44" i="8"/>
  <c r="Q44" i="29" s="1"/>
  <c r="Q100" i="29" s="1"/>
  <c r="L19" i="8"/>
  <c r="L19" i="29" s="1"/>
  <c r="L75" i="29" s="1"/>
  <c r="L54" i="8"/>
  <c r="L54" i="29" s="1"/>
  <c r="L110" i="29" s="1"/>
  <c r="AI22" i="8"/>
  <c r="AE22" i="29" s="1"/>
  <c r="AE78" i="29" s="1"/>
  <c r="U36" i="12"/>
  <c r="S36" i="30" s="1"/>
  <c r="S80" i="30" s="1"/>
  <c r="U36" i="13"/>
  <c r="U26" i="12"/>
  <c r="U26" i="13"/>
  <c r="U24" i="12"/>
  <c r="S24" i="30" s="1"/>
  <c r="S68" i="30" s="1"/>
  <c r="U24" i="13"/>
  <c r="U11" i="12"/>
  <c r="S11" i="30" s="1"/>
  <c r="S55" i="30" s="1"/>
  <c r="U11" i="13"/>
  <c r="U9" i="12"/>
  <c r="S9" i="30" s="1"/>
  <c r="S53" i="30" s="1"/>
  <c r="U9" i="13"/>
  <c r="V18" i="9"/>
  <c r="V9" i="9"/>
  <c r="V22" i="9"/>
  <c r="V54" i="9"/>
  <c r="V24" i="9"/>
  <c r="V29" i="9"/>
  <c r="U34" i="8"/>
  <c r="T34" i="29" s="1"/>
  <c r="T90" i="29" s="1"/>
  <c r="X35" i="8"/>
  <c r="W35" i="29" s="1"/>
  <c r="W91" i="29" s="1"/>
  <c r="X15" i="8"/>
  <c r="W15" i="29" s="1"/>
  <c r="W71" i="29" s="1"/>
  <c r="O10" i="8"/>
  <c r="O10" i="29" s="1"/>
  <c r="O66" i="29" s="1"/>
  <c r="U48" i="8"/>
  <c r="T48" i="29" s="1"/>
  <c r="T104" i="29" s="1"/>
  <c r="AH5" i="8"/>
  <c r="AD5" i="29" s="1"/>
  <c r="AD61" i="29" s="1"/>
  <c r="AH38" i="8"/>
  <c r="AD38" i="29" s="1"/>
  <c r="AD94" i="29" s="1"/>
  <c r="AC40" i="8"/>
  <c r="Q25" i="8"/>
  <c r="Q25" i="29" s="1"/>
  <c r="Q81" i="29" s="1"/>
  <c r="Q35" i="8"/>
  <c r="Q35" i="29" s="1"/>
  <c r="Q91" i="29" s="1"/>
  <c r="L34" i="8"/>
  <c r="L34" i="29" s="1"/>
  <c r="L90" i="29" s="1"/>
  <c r="U44" i="8"/>
  <c r="T44" i="29" s="1"/>
  <c r="T100" i="29" s="1"/>
  <c r="M27" i="9"/>
  <c r="AH51" i="8"/>
  <c r="AD51" i="29" s="1"/>
  <c r="AD107" i="29" s="1"/>
  <c r="W32" i="8"/>
  <c r="V32" i="29" s="1"/>
  <c r="V88" i="29" s="1"/>
  <c r="W21" i="8"/>
  <c r="V21" i="29" s="1"/>
  <c r="V77" i="29" s="1"/>
  <c r="P19" i="8"/>
  <c r="P19" i="29" s="1"/>
  <c r="P75" i="29" s="1"/>
  <c r="X27" i="8"/>
  <c r="W27" i="29" s="1"/>
  <c r="W83" i="29" s="1"/>
  <c r="X7" i="8"/>
  <c r="W7" i="29" s="1"/>
  <c r="W63" i="29" s="1"/>
  <c r="Q48" i="8"/>
  <c r="Q48" i="29" s="1"/>
  <c r="Q104" i="29" s="1"/>
  <c r="L26" i="8"/>
  <c r="L26" i="29" s="1"/>
  <c r="L82" i="29" s="1"/>
  <c r="L48" i="8"/>
  <c r="L48" i="29" s="1"/>
  <c r="L104" i="29" s="1"/>
  <c r="N33" i="12"/>
  <c r="N33" i="13"/>
  <c r="N16" i="12"/>
  <c r="N16" i="30" s="1"/>
  <c r="N60" i="30" s="1"/>
  <c r="N16" i="13"/>
  <c r="N28" i="12"/>
  <c r="N28" i="30" s="1"/>
  <c r="N72" i="30" s="1"/>
  <c r="N28" i="13"/>
  <c r="N13" i="12"/>
  <c r="N13" i="30" s="1"/>
  <c r="N57" i="30" s="1"/>
  <c r="N13" i="13"/>
  <c r="N11" i="12"/>
  <c r="N11" i="13"/>
  <c r="E35" i="5"/>
  <c r="Q47" i="25" s="1"/>
  <c r="L47" i="12"/>
  <c r="L47" i="13"/>
  <c r="L47" i="10"/>
  <c r="L47" i="11"/>
  <c r="M24" i="9"/>
  <c r="X47" i="8"/>
  <c r="W47" i="29" s="1"/>
  <c r="W103" i="29" s="1"/>
  <c r="V13" i="12"/>
  <c r="T13" i="30" s="1"/>
  <c r="T57" i="30" s="1"/>
  <c r="V13" i="13"/>
  <c r="V12" i="12"/>
  <c r="T12" i="30" s="1"/>
  <c r="T56" i="30" s="1"/>
  <c r="V12" i="13"/>
  <c r="AA35" i="11"/>
  <c r="Z35" i="12"/>
  <c r="AA35" i="12" s="1"/>
  <c r="Z35" i="13"/>
  <c r="AA35" i="13" s="1"/>
  <c r="W28" i="11"/>
  <c r="T28" i="12"/>
  <c r="R28" i="30" s="1"/>
  <c r="R72" i="30" s="1"/>
  <c r="T28" i="13"/>
  <c r="AC35" i="8"/>
  <c r="W22" i="11"/>
  <c r="U22" i="12"/>
  <c r="U22" i="13"/>
  <c r="V14" i="9"/>
  <c r="AC45" i="8"/>
  <c r="N17" i="12"/>
  <c r="N17" i="30" s="1"/>
  <c r="N61" i="30" s="1"/>
  <c r="N17" i="13"/>
  <c r="M40" i="9"/>
  <c r="AC17" i="8"/>
  <c r="X53" i="8"/>
  <c r="W53" i="29" s="1"/>
  <c r="W109" i="29" s="1"/>
  <c r="AI11" i="8"/>
  <c r="AE11" i="29" s="1"/>
  <c r="AE67" i="29" s="1"/>
  <c r="O25" i="12"/>
  <c r="O25" i="30" s="1"/>
  <c r="O69" i="30" s="1"/>
  <c r="O25" i="13"/>
  <c r="O29" i="12"/>
  <c r="O29" i="13"/>
  <c r="O12" i="12"/>
  <c r="O12" i="30" s="1"/>
  <c r="O56" i="30" s="1"/>
  <c r="O12" i="13"/>
  <c r="O9" i="12"/>
  <c r="O9" i="30" s="1"/>
  <c r="O53" i="30" s="1"/>
  <c r="O9" i="13"/>
  <c r="AC18" i="8"/>
  <c r="X51" i="8"/>
  <c r="W51" i="29" s="1"/>
  <c r="W107" i="29" s="1"/>
  <c r="AC41" i="8"/>
  <c r="N59" i="9"/>
  <c r="N59" i="8"/>
  <c r="N59" i="7"/>
  <c r="U40" i="8"/>
  <c r="T40" i="29" s="1"/>
  <c r="T96" i="29" s="1"/>
  <c r="AC32" i="8"/>
  <c r="M28" i="9"/>
  <c r="S5" i="13"/>
  <c r="R45" i="13"/>
  <c r="O31" i="12"/>
  <c r="O31" i="30" s="1"/>
  <c r="O75" i="30" s="1"/>
  <c r="O31" i="13"/>
  <c r="O24" i="12"/>
  <c r="O24" i="13"/>
  <c r="O42" i="12"/>
  <c r="O42" i="30" s="1"/>
  <c r="O86" i="30" s="1"/>
  <c r="O42" i="13"/>
  <c r="O32" i="12"/>
  <c r="O32" i="30" s="1"/>
  <c r="O76" i="30" s="1"/>
  <c r="O32" i="13"/>
  <c r="O17" i="12"/>
  <c r="O17" i="30" s="1"/>
  <c r="O61" i="30" s="1"/>
  <c r="O17" i="13"/>
  <c r="R57" i="9"/>
  <c r="M55" i="9"/>
  <c r="AC39" i="8"/>
  <c r="L42" i="8"/>
  <c r="L42" i="29" s="1"/>
  <c r="L98" i="29" s="1"/>
  <c r="AI7" i="8"/>
  <c r="AE7" i="29" s="1"/>
  <c r="AE63" i="29" s="1"/>
  <c r="M5" i="9"/>
  <c r="M57" i="7"/>
  <c r="M62" i="7" s="1"/>
  <c r="M30" i="24" s="1"/>
  <c r="U25" i="8"/>
  <c r="T25" i="29" s="1"/>
  <c r="T81" i="29" s="1"/>
  <c r="U5" i="8"/>
  <c r="T5" i="29" s="1"/>
  <c r="T61" i="29" s="1"/>
  <c r="X50" i="8"/>
  <c r="W50" i="29" s="1"/>
  <c r="W106" i="29" s="1"/>
  <c r="AI5" i="8"/>
  <c r="AE5" i="29" s="1"/>
  <c r="AE61" i="29" s="1"/>
  <c r="V42" i="12"/>
  <c r="T42" i="30" s="1"/>
  <c r="T86" i="30" s="1"/>
  <c r="V42" i="13"/>
  <c r="V23" i="12"/>
  <c r="T23" i="30" s="1"/>
  <c r="T67" i="30" s="1"/>
  <c r="V23" i="13"/>
  <c r="V18" i="12"/>
  <c r="T18" i="30" s="1"/>
  <c r="T62" i="30" s="1"/>
  <c r="V18" i="13"/>
  <c r="V22" i="12"/>
  <c r="V22" i="13"/>
  <c r="V17" i="12"/>
  <c r="T17" i="30" s="1"/>
  <c r="T61" i="30" s="1"/>
  <c r="V17" i="13"/>
  <c r="P23" i="12"/>
  <c r="P23" i="30" s="1"/>
  <c r="P67" i="30" s="1"/>
  <c r="P23" i="13"/>
  <c r="P33" i="12"/>
  <c r="P33" i="30" s="1"/>
  <c r="P77" i="30" s="1"/>
  <c r="P33" i="13"/>
  <c r="P27" i="12"/>
  <c r="P27" i="13"/>
  <c r="P7" i="12"/>
  <c r="P7" i="30" s="1"/>
  <c r="P51" i="30" s="1"/>
  <c r="P7" i="13"/>
  <c r="P12" i="12"/>
  <c r="P12" i="30" s="1"/>
  <c r="P56" i="30" s="1"/>
  <c r="P12" i="13"/>
  <c r="L49" i="10"/>
  <c r="L49" i="25" s="1"/>
  <c r="X46" i="8"/>
  <c r="W46" i="29" s="1"/>
  <c r="W102" i="29" s="1"/>
  <c r="X6" i="8"/>
  <c r="W6" i="29" s="1"/>
  <c r="W62" i="29" s="1"/>
  <c r="Q37" i="8"/>
  <c r="Q37" i="29" s="1"/>
  <c r="Q93" i="29" s="1"/>
  <c r="L6" i="8"/>
  <c r="L6" i="29" s="1"/>
  <c r="L62" i="29" s="1"/>
  <c r="Z20" i="12"/>
  <c r="AA20" i="12" s="1"/>
  <c r="AA20" i="11"/>
  <c r="Z20" i="13"/>
  <c r="AA20" i="13" s="1"/>
  <c r="AA40" i="11"/>
  <c r="Z40" i="12"/>
  <c r="AA40" i="12" s="1"/>
  <c r="Z40" i="13"/>
  <c r="AA40" i="13" s="1"/>
  <c r="Z36" i="12"/>
  <c r="AA36" i="12" s="1"/>
  <c r="AA36" i="11"/>
  <c r="Z36" i="13"/>
  <c r="AA36" i="13" s="1"/>
  <c r="AA33" i="11"/>
  <c r="Z33" i="12"/>
  <c r="AA33" i="12" s="1"/>
  <c r="Z33" i="13"/>
  <c r="AA33" i="13" s="1"/>
  <c r="Z8" i="12"/>
  <c r="AA8" i="12" s="1"/>
  <c r="AA8" i="11"/>
  <c r="Z8" i="13"/>
  <c r="AA8" i="13" s="1"/>
  <c r="T22" i="12"/>
  <c r="R22" i="30" s="1"/>
  <c r="R66" i="30" s="1"/>
  <c r="T22" i="13"/>
  <c r="W42" i="11"/>
  <c r="T42" i="12"/>
  <c r="R42" i="30" s="1"/>
  <c r="R86" i="30" s="1"/>
  <c r="T42" i="13"/>
  <c r="W31" i="11"/>
  <c r="T31" i="12"/>
  <c r="R31" i="30" s="1"/>
  <c r="R75" i="30" s="1"/>
  <c r="T31" i="13"/>
  <c r="W10" i="11"/>
  <c r="T10" i="12"/>
  <c r="T10" i="13"/>
  <c r="Y23" i="7"/>
  <c r="Y19" i="7"/>
  <c r="Y22" i="7"/>
  <c r="Y18" i="7"/>
  <c r="Y29" i="7"/>
  <c r="Y21" i="7"/>
  <c r="Y17" i="7"/>
  <c r="Y24" i="7"/>
  <c r="Y20" i="7"/>
  <c r="Y16" i="7"/>
  <c r="AB16" i="7" s="1"/>
  <c r="Y12" i="7"/>
  <c r="Y8" i="7"/>
  <c r="Y5" i="7"/>
  <c r="Y15" i="7"/>
  <c r="Y11" i="7"/>
  <c r="Y7" i="7"/>
  <c r="Y14" i="7"/>
  <c r="Y10" i="7"/>
  <c r="Y6" i="7"/>
  <c r="Y13" i="7"/>
  <c r="Y9" i="7"/>
  <c r="Y48" i="7"/>
  <c r="Y50" i="7"/>
  <c r="Y36" i="7"/>
  <c r="Y45" i="7"/>
  <c r="Y30" i="7"/>
  <c r="Y47" i="7"/>
  <c r="Y33" i="7"/>
  <c r="Y44" i="7"/>
  <c r="Y53" i="7"/>
  <c r="Y38" i="7"/>
  <c r="Y55" i="7"/>
  <c r="Y41" i="7"/>
  <c r="Y26" i="7"/>
  <c r="Y52" i="7"/>
  <c r="Y46" i="7"/>
  <c r="Y49" i="7"/>
  <c r="Y35" i="7"/>
  <c r="Y54" i="7"/>
  <c r="Y43" i="7"/>
  <c r="Y25" i="7"/>
  <c r="Y51" i="7"/>
  <c r="Y32" i="7"/>
  <c r="Y34" i="7"/>
  <c r="Y28" i="7"/>
  <c r="Y31" i="7"/>
  <c r="Y40" i="7"/>
  <c r="Y42" i="7"/>
  <c r="Y27" i="7"/>
  <c r="Y37" i="7"/>
  <c r="Y39" i="7"/>
  <c r="U49" i="8"/>
  <c r="T49" i="29" s="1"/>
  <c r="T105" i="29" s="1"/>
  <c r="U6" i="8"/>
  <c r="T6" i="29" s="1"/>
  <c r="T62" i="29" s="1"/>
  <c r="AD57" i="7"/>
  <c r="X37" i="8"/>
  <c r="W37" i="29" s="1"/>
  <c r="W93" i="29" s="1"/>
  <c r="Q57" i="9"/>
  <c r="O37" i="8"/>
  <c r="O37" i="29" s="1"/>
  <c r="O93" i="29" s="1"/>
  <c r="M45" i="13"/>
  <c r="U25" i="12"/>
  <c r="S25" i="30" s="1"/>
  <c r="S69" i="30" s="1"/>
  <c r="U25" i="13"/>
  <c r="U35" i="12"/>
  <c r="U35" i="13"/>
  <c r="U23" i="12"/>
  <c r="S23" i="30" s="1"/>
  <c r="S67" i="30" s="1"/>
  <c r="U23" i="13"/>
  <c r="U28" i="12"/>
  <c r="S28" i="30" s="1"/>
  <c r="S72" i="30" s="1"/>
  <c r="U28" i="13"/>
  <c r="U17" i="12"/>
  <c r="S17" i="30" s="1"/>
  <c r="S61" i="30" s="1"/>
  <c r="U17" i="13"/>
  <c r="V25" i="9"/>
  <c r="V13" i="9"/>
  <c r="V26" i="9"/>
  <c r="V31" i="9"/>
  <c r="V28" i="9"/>
  <c r="V33" i="9"/>
  <c r="M50" i="9"/>
  <c r="AH49" i="8"/>
  <c r="AD49" i="29" s="1"/>
  <c r="AD105" i="29" s="1"/>
  <c r="AC13" i="8"/>
  <c r="M43" i="9"/>
  <c r="Q45" i="8"/>
  <c r="Q45" i="29" s="1"/>
  <c r="Q101" i="29" s="1"/>
  <c r="L17" i="8"/>
  <c r="L17" i="29" s="1"/>
  <c r="L73" i="29" s="1"/>
  <c r="L29" i="8"/>
  <c r="L29" i="29" s="1"/>
  <c r="L85" i="29" s="1"/>
  <c r="AI18" i="8"/>
  <c r="AE18" i="29" s="1"/>
  <c r="AE74" i="29" s="1"/>
  <c r="U30" i="8"/>
  <c r="T30" i="29" s="1"/>
  <c r="T86" i="29" s="1"/>
  <c r="AC11" i="8"/>
  <c r="X32" i="8"/>
  <c r="W32" i="29" s="1"/>
  <c r="W88" i="29" s="1"/>
  <c r="X22" i="8"/>
  <c r="W22" i="29" s="1"/>
  <c r="W78" i="29" s="1"/>
  <c r="O22" i="8"/>
  <c r="O22" i="29" s="1"/>
  <c r="O78" i="29" s="1"/>
  <c r="O33" i="8"/>
  <c r="O33" i="29" s="1"/>
  <c r="O89" i="29" s="1"/>
  <c r="AI29" i="8"/>
  <c r="AE29" i="29" s="1"/>
  <c r="AE85" i="29" s="1"/>
  <c r="U26" i="8"/>
  <c r="T26" i="29" s="1"/>
  <c r="T82" i="29" s="1"/>
  <c r="AC20" i="8"/>
  <c r="P49" i="8"/>
  <c r="P49" i="29" s="1"/>
  <c r="P105" i="29" s="1"/>
  <c r="O28" i="8"/>
  <c r="O28" i="29" s="1"/>
  <c r="O84" i="29" s="1"/>
  <c r="N41" i="12"/>
  <c r="N41" i="30" s="1"/>
  <c r="N85" i="30" s="1"/>
  <c r="N41" i="13"/>
  <c r="N40" i="12"/>
  <c r="N40" i="30" s="1"/>
  <c r="N84" i="30" s="1"/>
  <c r="N40" i="13"/>
  <c r="N43" i="12"/>
  <c r="N43" i="30" s="1"/>
  <c r="N87" i="30" s="1"/>
  <c r="N43" i="13"/>
  <c r="N27" i="12"/>
  <c r="N27" i="13"/>
  <c r="N8" i="12"/>
  <c r="N8" i="30" s="1"/>
  <c r="N52" i="30" s="1"/>
  <c r="N8" i="13"/>
  <c r="O36" i="12"/>
  <c r="O36" i="13"/>
  <c r="O19" i="12"/>
  <c r="O19" i="30" s="1"/>
  <c r="O63" i="30" s="1"/>
  <c r="O19" i="13"/>
  <c r="AI9" i="8"/>
  <c r="AE9" i="29" s="1"/>
  <c r="AE65" i="29" s="1"/>
  <c r="M42" i="9"/>
  <c r="V20" i="12"/>
  <c r="T20" i="30" s="1"/>
  <c r="T64" i="30" s="1"/>
  <c r="V20" i="13"/>
  <c r="P32" i="12"/>
  <c r="P32" i="30" s="1"/>
  <c r="P76" i="30" s="1"/>
  <c r="P32" i="13"/>
  <c r="P5" i="12"/>
  <c r="P5" i="30" s="1"/>
  <c r="P49" i="30" s="1"/>
  <c r="P45" i="11"/>
  <c r="P5" i="13"/>
  <c r="X24" i="8"/>
  <c r="W24" i="29" s="1"/>
  <c r="W80" i="29" s="1"/>
  <c r="AI10" i="8"/>
  <c r="AE10" i="29" s="1"/>
  <c r="AE66" i="29" s="1"/>
  <c r="W15" i="11"/>
  <c r="T15" i="12"/>
  <c r="R15" i="30" s="1"/>
  <c r="R59" i="30" s="1"/>
  <c r="T15" i="13"/>
  <c r="AH57" i="9"/>
  <c r="N23" i="12"/>
  <c r="N23" i="30" s="1"/>
  <c r="N67" i="30" s="1"/>
  <c r="N23" i="13"/>
  <c r="M53" i="9"/>
  <c r="O14" i="12"/>
  <c r="O14" i="30" s="1"/>
  <c r="O58" i="30" s="1"/>
  <c r="O14" i="13"/>
  <c r="M23" i="9"/>
  <c r="Z43" i="12"/>
  <c r="AA43" i="12" s="1"/>
  <c r="AA43" i="11"/>
  <c r="Z43" i="13"/>
  <c r="AA43" i="13" s="1"/>
  <c r="T20" i="12"/>
  <c r="R20" i="30" s="1"/>
  <c r="R64" i="30" s="1"/>
  <c r="W20" i="11"/>
  <c r="T20" i="13"/>
  <c r="AC19" i="8"/>
  <c r="U40" i="12"/>
  <c r="S40" i="30" s="1"/>
  <c r="S84" i="30" s="1"/>
  <c r="U40" i="13"/>
  <c r="O57" i="9"/>
  <c r="N18" i="12"/>
  <c r="N18" i="30" s="1"/>
  <c r="N62" i="30" s="1"/>
  <c r="N18" i="13"/>
  <c r="O22" i="12"/>
  <c r="O22" i="13"/>
  <c r="U8" i="8"/>
  <c r="T8" i="29" s="1"/>
  <c r="T64" i="29" s="1"/>
  <c r="AC16" i="8"/>
  <c r="L10" i="8"/>
  <c r="L10" i="29" s="1"/>
  <c r="L66" i="29" s="1"/>
  <c r="L44" i="8"/>
  <c r="L44" i="29" s="1"/>
  <c r="L100" i="29" s="1"/>
  <c r="M7" i="9"/>
  <c r="M13" i="9"/>
  <c r="AC26" i="8"/>
  <c r="X45" i="8"/>
  <c r="W45" i="29" s="1"/>
  <c r="W101" i="29" s="1"/>
  <c r="AI14" i="8"/>
  <c r="AE14" i="29" s="1"/>
  <c r="AE70" i="29" s="1"/>
  <c r="V36" i="12"/>
  <c r="V36" i="13"/>
  <c r="V25" i="12"/>
  <c r="T25" i="30" s="1"/>
  <c r="T69" i="30" s="1"/>
  <c r="V25" i="13"/>
  <c r="V15" i="12"/>
  <c r="T15" i="30" s="1"/>
  <c r="T59" i="30" s="1"/>
  <c r="V15" i="13"/>
  <c r="V8" i="12"/>
  <c r="T8" i="30" s="1"/>
  <c r="T52" i="30" s="1"/>
  <c r="V8" i="13"/>
  <c r="P19" i="12"/>
  <c r="P19" i="13"/>
  <c r="P14" i="12"/>
  <c r="P14" i="30" s="1"/>
  <c r="P58" i="30" s="1"/>
  <c r="P14" i="13"/>
  <c r="P36" i="12"/>
  <c r="P36" i="30" s="1"/>
  <c r="P80" i="30" s="1"/>
  <c r="P36" i="13"/>
  <c r="P16" i="12"/>
  <c r="P16" i="30" s="1"/>
  <c r="P60" i="30" s="1"/>
  <c r="P16" i="13"/>
  <c r="P17" i="12"/>
  <c r="P17" i="13"/>
  <c r="U10" i="8"/>
  <c r="T10" i="29" s="1"/>
  <c r="T66" i="29" s="1"/>
  <c r="AC43" i="8"/>
  <c r="X41" i="8"/>
  <c r="W41" i="29" s="1"/>
  <c r="W97" i="29" s="1"/>
  <c r="Q32" i="8"/>
  <c r="Q32" i="29" s="1"/>
  <c r="Q88" i="29" s="1"/>
  <c r="Q42" i="8"/>
  <c r="Q42" i="29" s="1"/>
  <c r="Q98" i="29" s="1"/>
  <c r="AI19" i="8"/>
  <c r="AE19" i="29" s="1"/>
  <c r="AE75" i="29" s="1"/>
  <c r="Z27" i="12"/>
  <c r="AA27" i="12" s="1"/>
  <c r="AA27" i="11"/>
  <c r="Z27" i="13"/>
  <c r="AA27" i="13" s="1"/>
  <c r="Z32" i="12"/>
  <c r="AA32" i="12" s="1"/>
  <c r="AA32" i="11"/>
  <c r="Z32" i="13"/>
  <c r="AA32" i="13" s="1"/>
  <c r="Z34" i="12"/>
  <c r="AA34" i="12" s="1"/>
  <c r="AA34" i="11"/>
  <c r="Z34" i="13"/>
  <c r="AA34" i="13" s="1"/>
  <c r="Z22" i="12"/>
  <c r="AA22" i="12" s="1"/>
  <c r="AA22" i="11"/>
  <c r="Z22" i="13"/>
  <c r="AA22" i="13" s="1"/>
  <c r="Z10" i="12"/>
  <c r="AA10" i="12" s="1"/>
  <c r="AA10" i="11"/>
  <c r="Z10" i="13"/>
  <c r="AA10" i="13" s="1"/>
  <c r="W35" i="11"/>
  <c r="T35" i="12"/>
  <c r="R35" i="30" s="1"/>
  <c r="R79" i="30" s="1"/>
  <c r="T35" i="13"/>
  <c r="W36" i="11"/>
  <c r="T36" i="12"/>
  <c r="T36" i="13"/>
  <c r="W34" i="11"/>
  <c r="T34" i="12"/>
  <c r="R34" i="30" s="1"/>
  <c r="R78" i="30" s="1"/>
  <c r="T34" i="13"/>
  <c r="T41" i="12"/>
  <c r="W41" i="11"/>
  <c r="T41" i="13"/>
  <c r="W12" i="11"/>
  <c r="T12" i="12"/>
  <c r="R12" i="30" s="1"/>
  <c r="R56" i="30" s="1"/>
  <c r="T12" i="13"/>
  <c r="X40" i="8"/>
  <c r="W40" i="29" s="1"/>
  <c r="W96" i="29" s="1"/>
  <c r="X19" i="8"/>
  <c r="W19" i="29" s="1"/>
  <c r="W75" i="29" s="1"/>
  <c r="O40" i="8"/>
  <c r="O40" i="29" s="1"/>
  <c r="O96" i="29" s="1"/>
  <c r="U41" i="12"/>
  <c r="U41" i="13"/>
  <c r="U32" i="12"/>
  <c r="U32" i="13"/>
  <c r="U21" i="12"/>
  <c r="S21" i="30" s="1"/>
  <c r="S65" i="30" s="1"/>
  <c r="U21" i="13"/>
  <c r="U19" i="12"/>
  <c r="S19" i="30" s="1"/>
  <c r="S63" i="30" s="1"/>
  <c r="U19" i="13"/>
  <c r="W8" i="11"/>
  <c r="U8" i="12"/>
  <c r="S8" i="30" s="1"/>
  <c r="S52" i="30" s="1"/>
  <c r="U8" i="13"/>
  <c r="V8" i="9"/>
  <c r="V6" i="9"/>
  <c r="V34" i="9"/>
  <c r="V39" i="9"/>
  <c r="V36" i="9"/>
  <c r="V41" i="9"/>
  <c r="U20" i="8"/>
  <c r="T20" i="29" s="1"/>
  <c r="T76" i="29" s="1"/>
  <c r="Q20" i="8"/>
  <c r="Q20" i="29" s="1"/>
  <c r="Q76" i="29" s="1"/>
  <c r="Q22" i="8"/>
  <c r="Q22" i="29" s="1"/>
  <c r="Q78" i="29" s="1"/>
  <c r="L25" i="8"/>
  <c r="L25" i="29" s="1"/>
  <c r="L81" i="29" s="1"/>
  <c r="AI12" i="8"/>
  <c r="AE12" i="29" s="1"/>
  <c r="AE68" i="29" s="1"/>
  <c r="U55" i="8"/>
  <c r="T55" i="29" s="1"/>
  <c r="T111" i="29" s="1"/>
  <c r="AB9" i="7"/>
  <c r="M33" i="9"/>
  <c r="X31" i="8"/>
  <c r="W31" i="29" s="1"/>
  <c r="W87" i="29" s="1"/>
  <c r="X11" i="8"/>
  <c r="W11" i="29" s="1"/>
  <c r="W67" i="29" s="1"/>
  <c r="L57" i="9"/>
  <c r="O6" i="8"/>
  <c r="O6" i="29" s="1"/>
  <c r="O62" i="29" s="1"/>
  <c r="AI8" i="8"/>
  <c r="AE8" i="29" s="1"/>
  <c r="AE64" i="29" s="1"/>
  <c r="U51" i="8"/>
  <c r="T51" i="29" s="1"/>
  <c r="T107" i="29" s="1"/>
  <c r="P46" i="8"/>
  <c r="P46" i="29" s="1"/>
  <c r="P102" i="29" s="1"/>
  <c r="M45" i="9"/>
  <c r="O32" i="8"/>
  <c r="O32" i="29" s="1"/>
  <c r="O88" i="29" s="1"/>
  <c r="N19" i="12"/>
  <c r="N19" i="30" s="1"/>
  <c r="N63" i="30" s="1"/>
  <c r="N19" i="13"/>
  <c r="N37" i="12"/>
  <c r="N37" i="30" s="1"/>
  <c r="N81" i="30" s="1"/>
  <c r="N37" i="13"/>
  <c r="N31" i="12"/>
  <c r="N31" i="13"/>
  <c r="N34" i="12"/>
  <c r="N34" i="30" s="1"/>
  <c r="N78" i="30" s="1"/>
  <c r="N34" i="13"/>
  <c r="N10" i="12"/>
  <c r="N10" i="30" s="1"/>
  <c r="N54" i="30" s="1"/>
  <c r="N10" i="13"/>
  <c r="O21" i="12"/>
  <c r="O21" i="30" s="1"/>
  <c r="O65" i="30" s="1"/>
  <c r="O21" i="13"/>
  <c r="P15" i="12"/>
  <c r="P15" i="30" s="1"/>
  <c r="P59" i="30" s="1"/>
  <c r="P15" i="13"/>
  <c r="U18" i="12"/>
  <c r="S18" i="30" s="1"/>
  <c r="S62" i="30" s="1"/>
  <c r="U18" i="13"/>
  <c r="V15" i="9"/>
  <c r="V55" i="9"/>
  <c r="V52" i="9"/>
  <c r="AC33" i="8"/>
  <c r="M16" i="9"/>
  <c r="N20" i="12"/>
  <c r="N20" i="30" s="1"/>
  <c r="N64" i="30" s="1"/>
  <c r="N20" i="13"/>
  <c r="N60" i="9"/>
  <c r="N60" i="8"/>
  <c r="N62" i="8" s="1"/>
  <c r="N60" i="7"/>
  <c r="X21" i="8"/>
  <c r="W21" i="29" s="1"/>
  <c r="W77" i="29" s="1"/>
  <c r="O38" i="12"/>
  <c r="O38" i="30" s="1"/>
  <c r="O82" i="30" s="1"/>
  <c r="O38" i="13"/>
  <c r="O6" i="12"/>
  <c r="O6" i="30" s="1"/>
  <c r="O50" i="30" s="1"/>
  <c r="O6" i="13"/>
  <c r="X14" i="8"/>
  <c r="W14" i="29" s="1"/>
  <c r="W70" i="29" s="1"/>
  <c r="M11" i="8"/>
  <c r="M11" i="29" s="1"/>
  <c r="M67" i="29" s="1"/>
  <c r="M11" i="9"/>
  <c r="V26" i="12"/>
  <c r="T26" i="30" s="1"/>
  <c r="T70" i="30" s="1"/>
  <c r="V26" i="13"/>
  <c r="V11" i="12"/>
  <c r="T11" i="30" s="1"/>
  <c r="T55" i="30" s="1"/>
  <c r="V11" i="13"/>
  <c r="P34" i="12"/>
  <c r="P34" i="13"/>
  <c r="M31" i="8"/>
  <c r="M31" i="29" s="1"/>
  <c r="M87" i="29" s="1"/>
  <c r="M31" i="9"/>
  <c r="L50" i="11"/>
  <c r="AC8" i="8"/>
  <c r="L38" i="8"/>
  <c r="L38" i="29" s="1"/>
  <c r="L94" i="29" s="1"/>
  <c r="Z18" i="12"/>
  <c r="AA18" i="12" s="1"/>
  <c r="AA18" i="11"/>
  <c r="Z18" i="13"/>
  <c r="AA18" i="13" s="1"/>
  <c r="Z5" i="12"/>
  <c r="V5" i="30" s="1"/>
  <c r="V49" i="30" s="1"/>
  <c r="AA5" i="11"/>
  <c r="Z5" i="13"/>
  <c r="Z45" i="11"/>
  <c r="W29" i="11"/>
  <c r="T29" i="12"/>
  <c r="R29" i="30" s="1"/>
  <c r="R73" i="30" s="1"/>
  <c r="T29" i="13"/>
  <c r="W7" i="11"/>
  <c r="T7" i="12"/>
  <c r="T7" i="13"/>
  <c r="R7" i="30" s="1"/>
  <c r="R51" i="30" s="1"/>
  <c r="AC46" i="8"/>
  <c r="L7" i="8"/>
  <c r="L7" i="29" s="1"/>
  <c r="L63" i="29" s="1"/>
  <c r="U16" i="12"/>
  <c r="S16" i="30" s="1"/>
  <c r="S60" i="30" s="1"/>
  <c r="U16" i="13"/>
  <c r="U6" i="12"/>
  <c r="S6" i="30" s="1"/>
  <c r="S50" i="30" s="1"/>
  <c r="U6" i="13"/>
  <c r="V19" i="9"/>
  <c r="V32" i="9"/>
  <c r="X38" i="8"/>
  <c r="W38" i="29" s="1"/>
  <c r="W94" i="29" s="1"/>
  <c r="L15" i="8"/>
  <c r="L15" i="29" s="1"/>
  <c r="L71" i="29" s="1"/>
  <c r="X30" i="8"/>
  <c r="W30" i="29" s="1"/>
  <c r="W86" i="29" s="1"/>
  <c r="N14" i="12"/>
  <c r="N14" i="13"/>
  <c r="AC27" i="8"/>
  <c r="S5" i="12"/>
  <c r="R45" i="12"/>
  <c r="O35" i="12"/>
  <c r="O35" i="30" s="1"/>
  <c r="O79" i="30" s="1"/>
  <c r="O35" i="13"/>
  <c r="O18" i="12"/>
  <c r="O18" i="30" s="1"/>
  <c r="O62" i="30" s="1"/>
  <c r="O18" i="13"/>
  <c r="O11" i="12"/>
  <c r="O11" i="30" s="1"/>
  <c r="O55" i="30" s="1"/>
  <c r="O11" i="13"/>
  <c r="M41" i="8"/>
  <c r="M41" i="29" s="1"/>
  <c r="M97" i="29" s="1"/>
  <c r="M41" i="9"/>
  <c r="U47" i="8"/>
  <c r="T47" i="29" s="1"/>
  <c r="T103" i="29" s="1"/>
  <c r="AC28" i="8"/>
  <c r="X55" i="8"/>
  <c r="W55" i="29" s="1"/>
  <c r="W111" i="29" s="1"/>
  <c r="X12" i="8"/>
  <c r="W12" i="29" s="1"/>
  <c r="W68" i="29" s="1"/>
  <c r="L40" i="8"/>
  <c r="L40" i="29" s="1"/>
  <c r="L96" i="29" s="1"/>
  <c r="AI24" i="8"/>
  <c r="AE24" i="29" s="1"/>
  <c r="AE80" i="29" s="1"/>
  <c r="O16" i="12"/>
  <c r="O16" i="30" s="1"/>
  <c r="O60" i="30" s="1"/>
  <c r="O16" i="13"/>
  <c r="O33" i="12"/>
  <c r="O33" i="30" s="1"/>
  <c r="O77" i="30" s="1"/>
  <c r="O33" i="13"/>
  <c r="O37" i="12"/>
  <c r="O37" i="13"/>
  <c r="O34" i="12"/>
  <c r="O34" i="30" s="1"/>
  <c r="O78" i="30" s="1"/>
  <c r="O34" i="13"/>
  <c r="O8" i="12"/>
  <c r="O8" i="30" s="1"/>
  <c r="O52" i="30" s="1"/>
  <c r="O8" i="13"/>
  <c r="U29" i="8"/>
  <c r="T29" i="29" s="1"/>
  <c r="T85" i="29" s="1"/>
  <c r="AC49" i="8"/>
  <c r="X49" i="8"/>
  <c r="W49" i="29" s="1"/>
  <c r="W105" i="29" s="1"/>
  <c r="M26" i="9"/>
  <c r="M6" i="9"/>
  <c r="U32" i="8"/>
  <c r="T32" i="29" s="1"/>
  <c r="T88" i="29" s="1"/>
  <c r="M46" i="9"/>
  <c r="AC21" i="8"/>
  <c r="Q33" i="8"/>
  <c r="Q33" i="29" s="1"/>
  <c r="Q89" i="29" s="1"/>
  <c r="Q29" i="8"/>
  <c r="Q29" i="29" s="1"/>
  <c r="Q85" i="29" s="1"/>
  <c r="L8" i="8"/>
  <c r="L8" i="29" s="1"/>
  <c r="L64" i="29" s="1"/>
  <c r="L41" i="8"/>
  <c r="L41" i="29" s="1"/>
  <c r="L97" i="29" s="1"/>
  <c r="V41" i="12"/>
  <c r="T41" i="30" s="1"/>
  <c r="T85" i="30" s="1"/>
  <c r="V41" i="13"/>
  <c r="V34" i="12"/>
  <c r="T34" i="30" s="1"/>
  <c r="T78" i="30" s="1"/>
  <c r="V34" i="13"/>
  <c r="V24" i="12"/>
  <c r="T24" i="30" s="1"/>
  <c r="T68" i="30" s="1"/>
  <c r="V24" i="13"/>
  <c r="V29" i="12"/>
  <c r="T29" i="30" s="1"/>
  <c r="T73" i="30" s="1"/>
  <c r="V29" i="13"/>
  <c r="V5" i="12"/>
  <c r="T5" i="30" s="1"/>
  <c r="T49" i="30" s="1"/>
  <c r="V45" i="11"/>
  <c r="V5" i="13"/>
  <c r="P41" i="12"/>
  <c r="P41" i="30" s="1"/>
  <c r="P85" i="30" s="1"/>
  <c r="P41" i="13"/>
  <c r="P30" i="12"/>
  <c r="P30" i="30" s="1"/>
  <c r="P74" i="30" s="1"/>
  <c r="P30" i="13"/>
  <c r="P35" i="12"/>
  <c r="P35" i="30" s="1"/>
  <c r="P79" i="30" s="1"/>
  <c r="P35" i="13"/>
  <c r="P40" i="12"/>
  <c r="P40" i="13"/>
  <c r="P6" i="12"/>
  <c r="P6" i="30" s="1"/>
  <c r="P50" i="30" s="1"/>
  <c r="P6" i="13"/>
  <c r="U53" i="8"/>
  <c r="T53" i="29" s="1"/>
  <c r="T109" i="29" s="1"/>
  <c r="M38" i="9"/>
  <c r="AC23" i="8"/>
  <c r="X57" i="9"/>
  <c r="L5" i="8"/>
  <c r="L5" i="29" s="1"/>
  <c r="L61" i="29" s="1"/>
  <c r="L35" i="8"/>
  <c r="L35" i="29" s="1"/>
  <c r="L91" i="29" s="1"/>
  <c r="O36" i="8"/>
  <c r="O36" i="29" s="1"/>
  <c r="O92" i="29" s="1"/>
  <c r="Z25" i="12"/>
  <c r="AA25" i="12" s="1"/>
  <c r="AA25" i="11"/>
  <c r="Z25" i="13"/>
  <c r="AA25" i="13" s="1"/>
  <c r="Z14" i="12"/>
  <c r="AA14" i="12" s="1"/>
  <c r="AA14" i="11"/>
  <c r="Z14" i="13"/>
  <c r="AA14" i="13" s="1"/>
  <c r="Z41" i="12"/>
  <c r="AA41" i="12" s="1"/>
  <c r="AA41" i="11"/>
  <c r="Z41" i="13"/>
  <c r="AA41" i="13" s="1"/>
  <c r="AA21" i="11"/>
  <c r="Z21" i="12"/>
  <c r="AA21" i="12" s="1"/>
  <c r="Z21" i="13"/>
  <c r="AA21" i="13" s="1"/>
  <c r="Z7" i="12"/>
  <c r="AA7" i="12" s="1"/>
  <c r="AA7" i="11"/>
  <c r="Z7" i="13"/>
  <c r="AA7" i="13" s="1"/>
  <c r="W33" i="11"/>
  <c r="T33" i="12"/>
  <c r="R33" i="30" s="1"/>
  <c r="R77" i="30" s="1"/>
  <c r="T33" i="13"/>
  <c r="W27" i="11"/>
  <c r="T27" i="12"/>
  <c r="R27" i="30" s="1"/>
  <c r="R71" i="30" s="1"/>
  <c r="T27" i="13"/>
  <c r="W27" i="13" s="1"/>
  <c r="W26" i="11"/>
  <c r="T26" i="12"/>
  <c r="R26" i="30" s="1"/>
  <c r="R70" i="30" s="1"/>
  <c r="T26" i="13"/>
  <c r="W24" i="11"/>
  <c r="T24" i="12"/>
  <c r="R24" i="30" s="1"/>
  <c r="R68" i="30" s="1"/>
  <c r="T24" i="13"/>
  <c r="W9" i="11"/>
  <c r="T9" i="12"/>
  <c r="T9" i="13"/>
  <c r="U17" i="8"/>
  <c r="T17" i="29" s="1"/>
  <c r="T73" i="29" s="1"/>
  <c r="U11" i="8"/>
  <c r="T11" i="29" s="1"/>
  <c r="T67" i="29" s="1"/>
  <c r="AC31" i="8"/>
  <c r="Q43" i="8"/>
  <c r="Q43" i="29" s="1"/>
  <c r="Q99" i="29" s="1"/>
  <c r="L28" i="8"/>
  <c r="L28" i="29" s="1"/>
  <c r="L84" i="29" s="1"/>
  <c r="L22" i="8"/>
  <c r="L22" i="29" s="1"/>
  <c r="L78" i="29" s="1"/>
  <c r="U20" i="12"/>
  <c r="S20" i="30" s="1"/>
  <c r="S64" i="30" s="1"/>
  <c r="U20" i="13"/>
  <c r="U39" i="12"/>
  <c r="S39" i="30" s="1"/>
  <c r="S83" i="30" s="1"/>
  <c r="U39" i="13"/>
  <c r="U27" i="12"/>
  <c r="S27" i="30" s="1"/>
  <c r="S71" i="30" s="1"/>
  <c r="U27" i="13"/>
  <c r="U5" i="12"/>
  <c r="U5" i="13"/>
  <c r="S5" i="30" s="1"/>
  <c r="S49" i="30" s="1"/>
  <c r="U45" i="11"/>
  <c r="V27" i="9"/>
  <c r="V12" i="9"/>
  <c r="V20" i="9"/>
  <c r="V38" i="9"/>
  <c r="V43" i="9"/>
  <c r="V40" i="9"/>
  <c r="V45" i="9"/>
  <c r="U45" i="8"/>
  <c r="T45" i="29" s="1"/>
  <c r="T101" i="29" s="1"/>
  <c r="U13" i="8"/>
  <c r="T13" i="29" s="1"/>
  <c r="T69" i="29" s="1"/>
  <c r="S62" i="7"/>
  <c r="R62" i="7"/>
  <c r="M30" i="9"/>
  <c r="AC22" i="8"/>
  <c r="X33" i="8"/>
  <c r="W33" i="29" s="1"/>
  <c r="W89" i="29" s="1"/>
  <c r="O17" i="8"/>
  <c r="O17" i="29" s="1"/>
  <c r="O73" i="29" s="1"/>
  <c r="O25" i="8"/>
  <c r="O25" i="29" s="1"/>
  <c r="O81" i="29" s="1"/>
  <c r="AB55" i="7"/>
  <c r="AH42" i="8"/>
  <c r="AD42" i="29" s="1"/>
  <c r="AD98" i="29" s="1"/>
  <c r="AC9" i="8"/>
  <c r="M49" i="9"/>
  <c r="Q53" i="8"/>
  <c r="Q53" i="29" s="1"/>
  <c r="Q109" i="29" s="1"/>
  <c r="L13" i="8"/>
  <c r="L13" i="29" s="1"/>
  <c r="L69" i="29" s="1"/>
  <c r="L52" i="8"/>
  <c r="L52" i="29" s="1"/>
  <c r="L108" i="29" s="1"/>
  <c r="U16" i="8"/>
  <c r="T16" i="29" s="1"/>
  <c r="T72" i="29" s="1"/>
  <c r="AH17" i="8"/>
  <c r="AD17" i="29" s="1"/>
  <c r="AD73" i="29" s="1"/>
  <c r="AH33" i="8"/>
  <c r="AD33" i="29" s="1"/>
  <c r="AD89" i="29" s="1"/>
  <c r="W46" i="8"/>
  <c r="V46" i="29" s="1"/>
  <c r="V102" i="29" s="1"/>
  <c r="M32" i="8"/>
  <c r="M32" i="9"/>
  <c r="M32" i="29" s="1"/>
  <c r="M88" i="29" s="1"/>
  <c r="AC25" i="8"/>
  <c r="M25" i="9"/>
  <c r="X25" i="8"/>
  <c r="W25" i="29" s="1"/>
  <c r="W81" i="29" s="1"/>
  <c r="Q12" i="8"/>
  <c r="Q12" i="29" s="1"/>
  <c r="Q68" i="29" s="1"/>
  <c r="Q21" i="8"/>
  <c r="Q21" i="29" s="1"/>
  <c r="Q77" i="29" s="1"/>
  <c r="L11" i="8"/>
  <c r="L11" i="29" s="1"/>
  <c r="L67" i="29" s="1"/>
  <c r="N42" i="12"/>
  <c r="N42" i="30" s="1"/>
  <c r="N86" i="30" s="1"/>
  <c r="N42" i="13"/>
  <c r="N24" i="12"/>
  <c r="N24" i="13"/>
  <c r="N22" i="12"/>
  <c r="N22" i="30" s="1"/>
  <c r="N66" i="30" s="1"/>
  <c r="N22" i="13"/>
  <c r="N38" i="12"/>
  <c r="N38" i="30" s="1"/>
  <c r="N82" i="30" s="1"/>
  <c r="N38" i="13"/>
  <c r="N7" i="12"/>
  <c r="N7" i="30" s="1"/>
  <c r="N51" i="30" s="1"/>
  <c r="N7" i="13"/>
  <c r="AI43" i="8"/>
  <c r="AE43" i="29" s="1"/>
  <c r="AE99" i="29" s="1"/>
  <c r="AI53" i="8"/>
  <c r="AE53" i="29" s="1"/>
  <c r="AE109" i="29" s="1"/>
  <c r="AI34" i="8"/>
  <c r="AE34" i="29" s="1"/>
  <c r="AE90" i="29" s="1"/>
  <c r="AI49" i="8"/>
  <c r="AE49" i="29" s="1"/>
  <c r="AE105" i="29" s="1"/>
  <c r="AI41" i="8"/>
  <c r="AE41" i="29" s="1"/>
  <c r="AE97" i="29" s="1"/>
  <c r="AI44" i="8"/>
  <c r="AI39" i="8"/>
  <c r="AE39" i="29" s="1"/>
  <c r="AE95" i="29" s="1"/>
  <c r="AI48" i="8"/>
  <c r="AI51" i="8"/>
  <c r="AE51" i="29" s="1"/>
  <c r="AE107" i="29" s="1"/>
  <c r="AI31" i="8"/>
  <c r="AE31" i="29" s="1"/>
  <c r="AE87" i="29" s="1"/>
  <c r="AI33" i="8"/>
  <c r="AE33" i="29" s="1"/>
  <c r="AE89" i="29" s="1"/>
  <c r="AI47" i="8"/>
  <c r="AE47" i="29" s="1"/>
  <c r="AE103" i="29" s="1"/>
  <c r="AI42" i="8"/>
  <c r="AE42" i="29" s="1"/>
  <c r="AE98" i="29" s="1"/>
  <c r="AI54" i="8"/>
  <c r="AE54" i="29" s="1"/>
  <c r="AE110" i="29" s="1"/>
  <c r="AI25" i="8"/>
  <c r="AE25" i="29" s="1"/>
  <c r="AE81" i="29" s="1"/>
  <c r="AI55" i="8"/>
  <c r="AE55" i="29" s="1"/>
  <c r="AE111" i="29" s="1"/>
  <c r="AI37" i="8"/>
  <c r="AI28" i="8"/>
  <c r="AE28" i="29" s="1"/>
  <c r="AE84" i="29" s="1"/>
  <c r="AI52" i="8"/>
  <c r="AE52" i="29" s="1"/>
  <c r="AE108" i="29" s="1"/>
  <c r="AI45" i="8"/>
  <c r="AE45" i="29" s="1"/>
  <c r="AE101" i="29" s="1"/>
  <c r="AI27" i="8"/>
  <c r="AE27" i="29" s="1"/>
  <c r="AE83" i="29" s="1"/>
  <c r="AI40" i="8"/>
  <c r="AE40" i="29" s="1"/>
  <c r="AE96" i="29" s="1"/>
  <c r="AI26" i="8"/>
  <c r="AE26" i="29" s="1"/>
  <c r="AE82" i="29" s="1"/>
  <c r="AI30" i="8"/>
  <c r="AE30" i="29" s="1"/>
  <c r="AE86" i="29" s="1"/>
  <c r="AI50" i="8"/>
  <c r="AE50" i="29" s="1"/>
  <c r="AE106" i="29" s="1"/>
  <c r="AI36" i="8"/>
  <c r="AE36" i="29" s="1"/>
  <c r="AE92" i="29" s="1"/>
  <c r="AI35" i="8"/>
  <c r="AE35" i="29" s="1"/>
  <c r="AE91" i="29" s="1"/>
  <c r="AI46" i="8"/>
  <c r="AE46" i="29" s="1"/>
  <c r="AE102" i="29" s="1"/>
  <c r="AI32" i="8"/>
  <c r="AE32" i="29" s="1"/>
  <c r="AE88" i="29" s="1"/>
  <c r="P28" i="12"/>
  <c r="P28" i="13"/>
  <c r="P28" i="30" s="1"/>
  <c r="P72" i="30" s="1"/>
  <c r="AC10" i="8"/>
  <c r="X43" i="8"/>
  <c r="W43" i="29" s="1"/>
  <c r="W99" i="29" s="1"/>
  <c r="AA42" i="11"/>
  <c r="Z42" i="12"/>
  <c r="AA42" i="12" s="1"/>
  <c r="Z42" i="13"/>
  <c r="AA42" i="13" s="1"/>
  <c r="W11" i="11"/>
  <c r="T11" i="12"/>
  <c r="R11" i="30" s="1"/>
  <c r="R55" i="30" s="1"/>
  <c r="T11" i="13"/>
  <c r="W11" i="13" s="1"/>
  <c r="X42" i="8"/>
  <c r="W42" i="29" s="1"/>
  <c r="W98" i="29" s="1"/>
  <c r="U37" i="12"/>
  <c r="S37" i="30" s="1"/>
  <c r="S81" i="30" s="1"/>
  <c r="U37" i="13"/>
  <c r="V23" i="9"/>
  <c r="M35" i="9"/>
  <c r="X29" i="8"/>
  <c r="W29" i="29" s="1"/>
  <c r="W85" i="29" s="1"/>
  <c r="N29" i="12"/>
  <c r="N29" i="30" s="1"/>
  <c r="N73" i="30" s="1"/>
  <c r="N29" i="13"/>
  <c r="AC12" i="8"/>
  <c r="L27" i="8"/>
  <c r="L27" i="29" s="1"/>
  <c r="L83" i="29" s="1"/>
  <c r="V40" i="12"/>
  <c r="T40" i="30" s="1"/>
  <c r="T84" i="30" s="1"/>
  <c r="V40" i="13"/>
  <c r="V6" i="12"/>
  <c r="V6" i="13"/>
  <c r="T6" i="30" s="1"/>
  <c r="T50" i="30" s="1"/>
  <c r="P29" i="12"/>
  <c r="P29" i="30" s="1"/>
  <c r="P73" i="30" s="1"/>
  <c r="P29" i="13"/>
  <c r="Z23" i="12"/>
  <c r="AA23" i="12" s="1"/>
  <c r="AA23" i="11"/>
  <c r="Z23" i="13"/>
  <c r="AA23" i="13" s="1"/>
  <c r="Z39" i="12"/>
  <c r="AA39" i="12" s="1"/>
  <c r="AA39" i="11"/>
  <c r="Z39" i="13"/>
  <c r="AA39" i="13" s="1"/>
  <c r="W37" i="11"/>
  <c r="T37" i="12"/>
  <c r="T37" i="13"/>
  <c r="W43" i="11"/>
  <c r="T43" i="12"/>
  <c r="R43" i="30" s="1"/>
  <c r="R87" i="30" s="1"/>
  <c r="T43" i="13"/>
  <c r="U31" i="8"/>
  <c r="T31" i="29" s="1"/>
  <c r="T87" i="29" s="1"/>
  <c r="AC5" i="8"/>
  <c r="AA5" i="29" s="1"/>
  <c r="AA61" i="29" s="1"/>
  <c r="U31" i="12"/>
  <c r="S31" i="30" s="1"/>
  <c r="S75" i="30" s="1"/>
  <c r="U31" i="13"/>
  <c r="V30" i="9"/>
  <c r="AC52" i="8"/>
  <c r="M12" i="9"/>
  <c r="AC42" i="8"/>
  <c r="L30" i="8"/>
  <c r="L30" i="29" s="1"/>
  <c r="L86" i="29" s="1"/>
  <c r="N5" i="12"/>
  <c r="N5" i="30" s="1"/>
  <c r="N49" i="30" s="1"/>
  <c r="N45" i="11"/>
  <c r="N5" i="13"/>
  <c r="U12" i="8"/>
  <c r="T12" i="29" s="1"/>
  <c r="T68" i="29" s="1"/>
  <c r="M36" i="9"/>
  <c r="AC24" i="8"/>
  <c r="O39" i="12"/>
  <c r="O39" i="30" s="1"/>
  <c r="O83" i="30" s="1"/>
  <c r="O39" i="13"/>
  <c r="O40" i="12"/>
  <c r="O40" i="30" s="1"/>
  <c r="O84" i="30" s="1"/>
  <c r="O40" i="13"/>
  <c r="O15" i="12"/>
  <c r="O15" i="30" s="1"/>
  <c r="O59" i="30" s="1"/>
  <c r="O15" i="13"/>
  <c r="O20" i="12"/>
  <c r="O20" i="13"/>
  <c r="O5" i="12"/>
  <c r="O5" i="30" s="1"/>
  <c r="O49" i="30" s="1"/>
  <c r="O5" i="13"/>
  <c r="O45" i="11"/>
  <c r="U50" i="8"/>
  <c r="T50" i="29" s="1"/>
  <c r="T106" i="29" s="1"/>
  <c r="AC29" i="8"/>
  <c r="Q36" i="8"/>
  <c r="Q36" i="29" s="1"/>
  <c r="Q92" i="29" s="1"/>
  <c r="L12" i="8"/>
  <c r="L12" i="29" s="1"/>
  <c r="L68" i="29" s="1"/>
  <c r="L21" i="8"/>
  <c r="L21" i="29" s="1"/>
  <c r="L77" i="29" s="1"/>
  <c r="AI20" i="8"/>
  <c r="AE20" i="29" s="1"/>
  <c r="AE76" i="29" s="1"/>
  <c r="M18" i="8"/>
  <c r="M18" i="29" s="1"/>
  <c r="M74" i="29" s="1"/>
  <c r="M18" i="9"/>
  <c r="M19" i="9"/>
  <c r="AC34" i="8"/>
  <c r="X48" i="8"/>
  <c r="W48" i="29" s="1"/>
  <c r="W104" i="29" s="1"/>
  <c r="X13" i="8"/>
  <c r="W13" i="29" s="1"/>
  <c r="W69" i="29" s="1"/>
  <c r="V35" i="12"/>
  <c r="T35" i="30" s="1"/>
  <c r="T79" i="30" s="1"/>
  <c r="V35" i="13"/>
  <c r="V33" i="12"/>
  <c r="T33" i="30" s="1"/>
  <c r="T77" i="30" s="1"/>
  <c r="V33" i="13"/>
  <c r="V31" i="12"/>
  <c r="T31" i="30" s="1"/>
  <c r="T75" i="30" s="1"/>
  <c r="V31" i="13"/>
  <c r="V38" i="12"/>
  <c r="T38" i="30" s="1"/>
  <c r="T82" i="30" s="1"/>
  <c r="V38" i="13"/>
  <c r="V10" i="12"/>
  <c r="T10" i="30" s="1"/>
  <c r="T54" i="30" s="1"/>
  <c r="V10" i="13"/>
  <c r="P31" i="12"/>
  <c r="P31" i="30" s="1"/>
  <c r="P75" i="30" s="1"/>
  <c r="P31" i="13"/>
  <c r="P22" i="12"/>
  <c r="P22" i="30" s="1"/>
  <c r="P66" i="30" s="1"/>
  <c r="P22" i="13"/>
  <c r="P42" i="12"/>
  <c r="P42" i="30" s="1"/>
  <c r="P86" i="30" s="1"/>
  <c r="P42" i="13"/>
  <c r="P39" i="12"/>
  <c r="P39" i="30" s="1"/>
  <c r="P83" i="30" s="1"/>
  <c r="P39" i="13"/>
  <c r="P11" i="12"/>
  <c r="P11" i="30" s="1"/>
  <c r="P55" i="30" s="1"/>
  <c r="P11" i="13"/>
  <c r="U35" i="8"/>
  <c r="T35" i="29" s="1"/>
  <c r="T91" i="29" s="1"/>
  <c r="AB15" i="7"/>
  <c r="AC36" i="8"/>
  <c r="X44" i="8"/>
  <c r="W44" i="29" s="1"/>
  <c r="W100" i="29" s="1"/>
  <c r="X9" i="8"/>
  <c r="W9" i="29" s="1"/>
  <c r="W65" i="29" s="1"/>
  <c r="Q14" i="8"/>
  <c r="Q14" i="29" s="1"/>
  <c r="Q70" i="29" s="1"/>
  <c r="Q39" i="8"/>
  <c r="Q39" i="29" s="1"/>
  <c r="Q95" i="29" s="1"/>
  <c r="AI17" i="8"/>
  <c r="AE17" i="29" s="1"/>
  <c r="AE73" i="29" s="1"/>
  <c r="Z31" i="12"/>
  <c r="AA31" i="12" s="1"/>
  <c r="AA31" i="11"/>
  <c r="Z31" i="13"/>
  <c r="AA31" i="13" s="1"/>
  <c r="Z24" i="12"/>
  <c r="AA24" i="12" s="1"/>
  <c r="AA24" i="11"/>
  <c r="Z24" i="13"/>
  <c r="AA24" i="13" s="1"/>
  <c r="Z30" i="12"/>
  <c r="AA30" i="12" s="1"/>
  <c r="AA30" i="11"/>
  <c r="Z30" i="13"/>
  <c r="AA30" i="13" s="1"/>
  <c r="Z12" i="12"/>
  <c r="AA12" i="12" s="1"/>
  <c r="AA12" i="11"/>
  <c r="Z12" i="13"/>
  <c r="AA12" i="13" s="1"/>
  <c r="Z9" i="12"/>
  <c r="AA9" i="12" s="1"/>
  <c r="AA9" i="11"/>
  <c r="Z9" i="13"/>
  <c r="AA9" i="13" s="1"/>
  <c r="W30" i="11"/>
  <c r="T30" i="12"/>
  <c r="R30" i="30" s="1"/>
  <c r="R74" i="30" s="1"/>
  <c r="T30" i="13"/>
  <c r="W13" i="11"/>
  <c r="T13" i="12"/>
  <c r="R13" i="30" s="1"/>
  <c r="R57" i="30" s="1"/>
  <c r="T13" i="13"/>
  <c r="T38" i="12"/>
  <c r="R38" i="30" s="1"/>
  <c r="R82" i="30" s="1"/>
  <c r="W38" i="11"/>
  <c r="T38" i="13"/>
  <c r="T8" i="12"/>
  <c r="R8" i="30" s="1"/>
  <c r="R52" i="30" s="1"/>
  <c r="T8" i="13"/>
  <c r="W17" i="11"/>
  <c r="T17" i="12"/>
  <c r="W17" i="12" s="1"/>
  <c r="T17" i="13"/>
  <c r="W17" i="13" s="1"/>
  <c r="U38" i="8"/>
  <c r="T38" i="29" s="1"/>
  <c r="T94" i="29" s="1"/>
  <c r="M8" i="9"/>
  <c r="AC6" i="8"/>
  <c r="X39" i="8"/>
  <c r="W39" i="29" s="1"/>
  <c r="W95" i="29" s="1"/>
  <c r="X18" i="8"/>
  <c r="W18" i="29" s="1"/>
  <c r="W74" i="29" s="1"/>
  <c r="O5" i="8"/>
  <c r="O5" i="29" s="1"/>
  <c r="O61" i="29" s="1"/>
  <c r="O50" i="8"/>
  <c r="O50" i="29" s="1"/>
  <c r="O106" i="29" s="1"/>
  <c r="U43" i="12"/>
  <c r="S43" i="30" s="1"/>
  <c r="S87" i="30" s="1"/>
  <c r="U43" i="13"/>
  <c r="U42" i="12"/>
  <c r="U42" i="13"/>
  <c r="U38" i="12"/>
  <c r="S38" i="30" s="1"/>
  <c r="S82" i="30" s="1"/>
  <c r="U38" i="13"/>
  <c r="U15" i="12"/>
  <c r="S15" i="30" s="1"/>
  <c r="S59" i="30" s="1"/>
  <c r="U15" i="13"/>
  <c r="U10" i="12"/>
  <c r="S10" i="30" s="1"/>
  <c r="S54" i="30" s="1"/>
  <c r="U10" i="13"/>
  <c r="V7" i="9"/>
  <c r="V16" i="9"/>
  <c r="V21" i="9"/>
  <c r="V42" i="9"/>
  <c r="V47" i="9"/>
  <c r="V44" i="9"/>
  <c r="V49" i="9"/>
  <c r="U27" i="8"/>
  <c r="T27" i="29" s="1"/>
  <c r="T83" i="29" s="1"/>
  <c r="AH9" i="8"/>
  <c r="AD9" i="29" s="1"/>
  <c r="AD65" i="29" s="1"/>
  <c r="AH44" i="8"/>
  <c r="AD44" i="29" s="1"/>
  <c r="AD100" i="29" s="1"/>
  <c r="AC55" i="8"/>
  <c r="Q6" i="8"/>
  <c r="Q6" i="29" s="1"/>
  <c r="Q62" i="29" s="1"/>
  <c r="Q49" i="8"/>
  <c r="Q49" i="29" s="1"/>
  <c r="Q105" i="29" s="1"/>
  <c r="L24" i="8"/>
  <c r="L24" i="29" s="1"/>
  <c r="L80" i="29" s="1"/>
  <c r="S45" i="13"/>
  <c r="U41" i="8"/>
  <c r="T41" i="29" s="1"/>
  <c r="T97" i="29" s="1"/>
  <c r="U9" i="8"/>
  <c r="T9" i="29" s="1"/>
  <c r="T65" i="29" s="1"/>
  <c r="AH24" i="8"/>
  <c r="AD24" i="29" s="1"/>
  <c r="AD80" i="29" s="1"/>
  <c r="AC38" i="8"/>
  <c r="P21" i="8"/>
  <c r="P21" i="29" s="1"/>
  <c r="P77" i="29" s="1"/>
  <c r="P53" i="8"/>
  <c r="P53" i="29" s="1"/>
  <c r="P109" i="29" s="1"/>
  <c r="X34" i="8"/>
  <c r="W34" i="29" s="1"/>
  <c r="W90" i="29" s="1"/>
  <c r="M39" i="9"/>
  <c r="O55" i="8"/>
  <c r="O55" i="29" s="1"/>
  <c r="O111" i="29" s="1"/>
  <c r="U37" i="8"/>
  <c r="T37" i="29" s="1"/>
  <c r="T93" i="29" s="1"/>
  <c r="AC51" i="8"/>
  <c r="O9" i="8"/>
  <c r="O9" i="29" s="1"/>
  <c r="O65" i="29" s="1"/>
  <c r="O53" i="8"/>
  <c r="O53" i="29" s="1"/>
  <c r="O109" i="29" s="1"/>
  <c r="AI21" i="8"/>
  <c r="AE21" i="29" s="1"/>
  <c r="AE77" i="29" s="1"/>
  <c r="N36" i="12"/>
  <c r="N36" i="30" s="1"/>
  <c r="N80" i="30" s="1"/>
  <c r="N36" i="13"/>
  <c r="N39" i="12"/>
  <c r="N39" i="30" s="1"/>
  <c r="N83" i="30" s="1"/>
  <c r="N39" i="13"/>
  <c r="N21" i="12"/>
  <c r="N21" i="30" s="1"/>
  <c r="N65" i="30" s="1"/>
  <c r="N21" i="13"/>
  <c r="N9" i="12"/>
  <c r="N9" i="13"/>
  <c r="N12" i="12"/>
  <c r="N12" i="30" s="1"/>
  <c r="N56" i="30" s="1"/>
  <c r="N12" i="13"/>
  <c r="M44" i="9"/>
  <c r="O30" i="12"/>
  <c r="O30" i="30" s="1"/>
  <c r="O74" i="30" s="1"/>
  <c r="O30" i="13"/>
  <c r="O7" i="12"/>
  <c r="O7" i="13"/>
  <c r="M10" i="9"/>
  <c r="U57" i="9"/>
  <c r="M54" i="9"/>
  <c r="V39" i="12"/>
  <c r="T39" i="30" s="1"/>
  <c r="T83" i="30" s="1"/>
  <c r="V39" i="13"/>
  <c r="P37" i="12"/>
  <c r="P37" i="30" s="1"/>
  <c r="P81" i="30" s="1"/>
  <c r="P37" i="13"/>
  <c r="Z19" i="12"/>
  <c r="AA19" i="12" s="1"/>
  <c r="AA19" i="11"/>
  <c r="Z19" i="13"/>
  <c r="AA19" i="13" s="1"/>
  <c r="Z6" i="12"/>
  <c r="AA6" i="12" s="1"/>
  <c r="AA6" i="11"/>
  <c r="Z6" i="13"/>
  <c r="AA6" i="13" s="1"/>
  <c r="W39" i="11"/>
  <c r="T39" i="12"/>
  <c r="T39" i="13"/>
  <c r="M17" i="9"/>
  <c r="U13" i="12"/>
  <c r="S13" i="30" s="1"/>
  <c r="S57" i="30" s="1"/>
  <c r="U13" i="13"/>
  <c r="U12" i="12"/>
  <c r="S12" i="30" s="1"/>
  <c r="S56" i="30" s="1"/>
  <c r="U12" i="13"/>
  <c r="V50" i="9"/>
  <c r="AC44" i="8"/>
  <c r="T58" i="8"/>
  <c r="T58" i="9"/>
  <c r="T58" i="7"/>
  <c r="S45" i="11"/>
  <c r="AI38" i="8"/>
  <c r="AE38" i="29" s="1"/>
  <c r="AE94" i="29" s="1"/>
  <c r="O28" i="12"/>
  <c r="O28" i="30" s="1"/>
  <c r="O72" i="30" s="1"/>
  <c r="O28" i="13"/>
  <c r="X54" i="8"/>
  <c r="W54" i="29" s="1"/>
  <c r="W110" i="29" s="1"/>
  <c r="M9" i="9"/>
  <c r="X10" i="8"/>
  <c r="W10" i="29" s="1"/>
  <c r="W66" i="29" s="1"/>
  <c r="L45" i="8"/>
  <c r="L45" i="29" s="1"/>
  <c r="L101" i="29" s="1"/>
  <c r="V16" i="12"/>
  <c r="T16" i="30" s="1"/>
  <c r="T60" i="30" s="1"/>
  <c r="V16" i="13"/>
  <c r="P38" i="12"/>
  <c r="P38" i="30" s="1"/>
  <c r="P82" i="30" s="1"/>
  <c r="P38" i="13"/>
  <c r="P9" i="12"/>
  <c r="P9" i="30" s="1"/>
  <c r="P53" i="30" s="1"/>
  <c r="P9" i="13"/>
  <c r="M45" i="12"/>
  <c r="AI16" i="8"/>
  <c r="AE16" i="29" s="1"/>
  <c r="AE72" i="29" s="1"/>
  <c r="U30" i="12"/>
  <c r="U30" i="13"/>
  <c r="V5" i="9"/>
  <c r="V57" i="7"/>
  <c r="V62" i="7" s="1"/>
  <c r="V8" i="8" s="1"/>
  <c r="V35" i="9"/>
  <c r="V37" i="9"/>
  <c r="W57" i="9"/>
  <c r="AC47" i="8"/>
  <c r="L9" i="8"/>
  <c r="L9" i="29" s="1"/>
  <c r="L65" i="29" s="1"/>
  <c r="L53" i="8"/>
  <c r="L53" i="29" s="1"/>
  <c r="L109" i="29" s="1"/>
  <c r="N32" i="12"/>
  <c r="N32" i="30" s="1"/>
  <c r="N76" i="30" s="1"/>
  <c r="N32" i="13"/>
  <c r="N15" i="12"/>
  <c r="N15" i="30" s="1"/>
  <c r="N59" i="30" s="1"/>
  <c r="N15" i="13"/>
  <c r="M47" i="8"/>
  <c r="M47" i="29" s="1"/>
  <c r="M103" i="29" s="1"/>
  <c r="M47" i="9"/>
  <c r="O43" i="12"/>
  <c r="O43" i="30" s="1"/>
  <c r="O87" i="30" s="1"/>
  <c r="O43" i="13"/>
  <c r="F35" i="5"/>
  <c r="Q48" i="25" s="1"/>
  <c r="L48" i="12"/>
  <c r="L50" i="12" s="1"/>
  <c r="L48" i="13"/>
  <c r="L48" i="11"/>
  <c r="L48" i="10"/>
  <c r="U33" i="8"/>
  <c r="T33" i="29" s="1"/>
  <c r="T89" i="29" s="1"/>
  <c r="M34" i="9"/>
  <c r="AC30" i="8"/>
  <c r="X23" i="8"/>
  <c r="W23" i="29" s="1"/>
  <c r="W79" i="29" s="1"/>
  <c r="X26" i="8"/>
  <c r="W26" i="29" s="1"/>
  <c r="W82" i="29" s="1"/>
  <c r="L14" i="8"/>
  <c r="L14" i="29" s="1"/>
  <c r="L70" i="29" s="1"/>
  <c r="L50" i="8"/>
  <c r="L50" i="29" s="1"/>
  <c r="L106" i="29" s="1"/>
  <c r="AI13" i="8"/>
  <c r="AE13" i="29" s="1"/>
  <c r="AE69" i="29" s="1"/>
  <c r="O26" i="12"/>
  <c r="O26" i="30" s="1"/>
  <c r="O70" i="30" s="1"/>
  <c r="O26" i="13"/>
  <c r="O23" i="12"/>
  <c r="O23" i="30" s="1"/>
  <c r="O67" i="30" s="1"/>
  <c r="O23" i="13"/>
  <c r="O13" i="12"/>
  <c r="O13" i="30" s="1"/>
  <c r="O57" i="30" s="1"/>
  <c r="O13" i="13"/>
  <c r="O27" i="12"/>
  <c r="O27" i="30" s="1"/>
  <c r="O71" i="30" s="1"/>
  <c r="O27" i="13"/>
  <c r="O10" i="12"/>
  <c r="O10" i="30" s="1"/>
  <c r="O54" i="30" s="1"/>
  <c r="O10" i="13"/>
  <c r="M51" i="9"/>
  <c r="AC53" i="8"/>
  <c r="X52" i="8"/>
  <c r="W52" i="29" s="1"/>
  <c r="W108" i="29" s="1"/>
  <c r="X20" i="8"/>
  <c r="W20" i="29" s="1"/>
  <c r="W76" i="29" s="1"/>
  <c r="M52" i="9"/>
  <c r="M21" i="9"/>
  <c r="M20" i="9"/>
  <c r="U14" i="8"/>
  <c r="T14" i="29" s="1"/>
  <c r="T70" i="29" s="1"/>
  <c r="AC48" i="8"/>
  <c r="Q19" i="8"/>
  <c r="Q19" i="29" s="1"/>
  <c r="Q75" i="29" s="1"/>
  <c r="Q38" i="8"/>
  <c r="Q38" i="29" s="1"/>
  <c r="Q94" i="29" s="1"/>
  <c r="L51" i="8"/>
  <c r="L51" i="29" s="1"/>
  <c r="L107" i="29" s="1"/>
  <c r="AI23" i="8"/>
  <c r="AE23" i="29" s="1"/>
  <c r="AE79" i="29" s="1"/>
  <c r="V19" i="12"/>
  <c r="T19" i="30" s="1"/>
  <c r="T63" i="30" s="1"/>
  <c r="V19" i="13"/>
  <c r="V32" i="12"/>
  <c r="T32" i="30" s="1"/>
  <c r="T76" i="30" s="1"/>
  <c r="V32" i="13"/>
  <c r="V37" i="12"/>
  <c r="V37" i="13"/>
  <c r="V21" i="12"/>
  <c r="T21" i="30" s="1"/>
  <c r="T65" i="30" s="1"/>
  <c r="V21" i="13"/>
  <c r="V7" i="12"/>
  <c r="V7" i="13"/>
  <c r="P26" i="12"/>
  <c r="P26" i="30" s="1"/>
  <c r="P70" i="30" s="1"/>
  <c r="P26" i="13"/>
  <c r="P13" i="12"/>
  <c r="P13" i="13"/>
  <c r="P25" i="12"/>
  <c r="P25" i="30" s="1"/>
  <c r="P69" i="30" s="1"/>
  <c r="P25" i="13"/>
  <c r="P20" i="12"/>
  <c r="P20" i="30" s="1"/>
  <c r="P64" i="30" s="1"/>
  <c r="P20" i="13"/>
  <c r="P8" i="12"/>
  <c r="P8" i="30" s="1"/>
  <c r="P52" i="30" s="1"/>
  <c r="P8" i="13"/>
  <c r="AB35" i="7"/>
  <c r="AC37" i="8"/>
  <c r="L16" i="8"/>
  <c r="L16" i="29" s="1"/>
  <c r="L72" i="29" s="1"/>
  <c r="Z13" i="12"/>
  <c r="AA13" i="12" s="1"/>
  <c r="AA13" i="11"/>
  <c r="Z13" i="13"/>
  <c r="AA13" i="13" s="1"/>
  <c r="Z15" i="12"/>
  <c r="AA15" i="12" s="1"/>
  <c r="AA15" i="11"/>
  <c r="Z15" i="13"/>
  <c r="AA15" i="13" s="1"/>
  <c r="Z28" i="12"/>
  <c r="AA28" i="12" s="1"/>
  <c r="AA28" i="11"/>
  <c r="Z28" i="13"/>
  <c r="AA28" i="13" s="1"/>
  <c r="Z29" i="12"/>
  <c r="AA29" i="12" s="1"/>
  <c r="AA29" i="11"/>
  <c r="Z29" i="13"/>
  <c r="AA29" i="13" s="1"/>
  <c r="Z17" i="12"/>
  <c r="AA17" i="12" s="1"/>
  <c r="AA17" i="11"/>
  <c r="Z17" i="13"/>
  <c r="AA17" i="13" s="1"/>
  <c r="W23" i="11"/>
  <c r="T23" i="12"/>
  <c r="W23" i="12" s="1"/>
  <c r="T23" i="13"/>
  <c r="T21" i="12"/>
  <c r="R21" i="30" s="1"/>
  <c r="R65" i="30" s="1"/>
  <c r="W21" i="11"/>
  <c r="T21" i="13"/>
  <c r="W21" i="13" s="1"/>
  <c r="W18" i="11"/>
  <c r="T18" i="12"/>
  <c r="R18" i="30" s="1"/>
  <c r="R62" i="30" s="1"/>
  <c r="T18" i="13"/>
  <c r="W18" i="13" s="1"/>
  <c r="W25" i="11"/>
  <c r="T25" i="12"/>
  <c r="R25" i="30" s="1"/>
  <c r="R69" i="30" s="1"/>
  <c r="T25" i="13"/>
  <c r="W25" i="13" s="1"/>
  <c r="W6" i="11"/>
  <c r="T6" i="12"/>
  <c r="W6" i="12" s="1"/>
  <c r="T6" i="13"/>
  <c r="AB46" i="13"/>
  <c r="AB46" i="12"/>
  <c r="AB46" i="11"/>
  <c r="AB46" i="10"/>
  <c r="M29" i="9"/>
  <c r="M22" i="8"/>
  <c r="M22" i="29" s="1"/>
  <c r="M78" i="29" s="1"/>
  <c r="M22" i="9"/>
  <c r="Q11" i="8"/>
  <c r="Q11" i="29" s="1"/>
  <c r="Q67" i="29" s="1"/>
  <c r="L18" i="8"/>
  <c r="L18" i="29" s="1"/>
  <c r="L74" i="29" s="1"/>
  <c r="L55" i="8"/>
  <c r="L55" i="29" s="1"/>
  <c r="L111" i="29" s="1"/>
  <c r="U34" i="12"/>
  <c r="U34" i="13"/>
  <c r="U33" i="12"/>
  <c r="S33" i="30" s="1"/>
  <c r="S77" i="30" s="1"/>
  <c r="U33" i="13"/>
  <c r="U29" i="12"/>
  <c r="U29" i="13"/>
  <c r="U14" i="12"/>
  <c r="S14" i="30" s="1"/>
  <c r="S58" i="30" s="1"/>
  <c r="U14" i="13"/>
  <c r="U7" i="12"/>
  <c r="S7" i="30" s="1"/>
  <c r="S51" i="30" s="1"/>
  <c r="U7" i="13"/>
  <c r="V11" i="9"/>
  <c r="V17" i="9"/>
  <c r="V10" i="9"/>
  <c r="V46" i="9"/>
  <c r="V51" i="9"/>
  <c r="V48" i="9"/>
  <c r="V53" i="9"/>
  <c r="U7" i="8"/>
  <c r="T7" i="29" s="1"/>
  <c r="T63" i="29" s="1"/>
  <c r="AC15" i="8"/>
  <c r="X36" i="8"/>
  <c r="W36" i="29" s="1"/>
  <c r="W92" i="29" s="1"/>
  <c r="X17" i="8"/>
  <c r="W17" i="29" s="1"/>
  <c r="W73" i="29" s="1"/>
  <c r="O20" i="8"/>
  <c r="O20" i="29" s="1"/>
  <c r="O76" i="29" s="1"/>
  <c r="U23" i="8"/>
  <c r="T23" i="29" s="1"/>
  <c r="T79" i="29" s="1"/>
  <c r="M37" i="9"/>
  <c r="AH27" i="8"/>
  <c r="AD27" i="29" s="1"/>
  <c r="AD83" i="29" s="1"/>
  <c r="P57" i="9"/>
  <c r="Q27" i="8"/>
  <c r="Q27" i="29" s="1"/>
  <c r="Q83" i="29" s="1"/>
  <c r="Q41" i="8"/>
  <c r="Q41" i="29" s="1"/>
  <c r="Q97" i="29" s="1"/>
  <c r="L23" i="8"/>
  <c r="L23" i="29" s="1"/>
  <c r="L79" i="29" s="1"/>
  <c r="M15" i="9"/>
  <c r="AH7" i="8"/>
  <c r="AD7" i="29" s="1"/>
  <c r="AD63" i="29" s="1"/>
  <c r="X28" i="8"/>
  <c r="W28" i="29" s="1"/>
  <c r="W84" i="29" s="1"/>
  <c r="Q17" i="8"/>
  <c r="Q17" i="29" s="1"/>
  <c r="Q73" i="29" s="1"/>
  <c r="N25" i="12"/>
  <c r="N25" i="13"/>
  <c r="N30" i="12"/>
  <c r="N30" i="30" s="1"/>
  <c r="N74" i="30" s="1"/>
  <c r="N30" i="13"/>
  <c r="N35" i="12"/>
  <c r="N35" i="30" s="1"/>
  <c r="N79" i="30" s="1"/>
  <c r="N35" i="13"/>
  <c r="N26" i="12"/>
  <c r="N26" i="30" s="1"/>
  <c r="N70" i="30" s="1"/>
  <c r="N26" i="13"/>
  <c r="N6" i="12"/>
  <c r="N6" i="13"/>
  <c r="F10" i="5"/>
  <c r="T60" i="24" s="1"/>
  <c r="N62" i="6"/>
  <c r="E10" i="5"/>
  <c r="T59" i="24" s="1"/>
  <c r="N61" i="6"/>
  <c r="D47" i="5"/>
  <c r="D29" i="5"/>
  <c r="F29" i="5"/>
  <c r="AM60" i="24" s="1"/>
  <c r="F47" i="5"/>
  <c r="F14" i="31" l="1"/>
  <c r="F9" i="32"/>
  <c r="F7" i="32"/>
  <c r="F13" i="32" s="1"/>
  <c r="F11" i="32"/>
  <c r="I9" i="32"/>
  <c r="I11" i="32"/>
  <c r="E9" i="32"/>
  <c r="E11" i="32"/>
  <c r="E7" i="32"/>
  <c r="E13" i="32" s="1"/>
  <c r="J9" i="32"/>
  <c r="J11" i="32"/>
  <c r="J7" i="32"/>
  <c r="J13" i="32" s="1"/>
  <c r="D9" i="32"/>
  <c r="D7" i="32"/>
  <c r="D13" i="32" s="1"/>
  <c r="D11" i="32"/>
  <c r="L11" i="32"/>
  <c r="AD48" i="8"/>
  <c r="AA48" i="29"/>
  <c r="AA104" i="29" s="1"/>
  <c r="W6" i="25"/>
  <c r="AD16" i="8"/>
  <c r="AA16" i="29"/>
  <c r="AA72" i="29" s="1"/>
  <c r="G9" i="31"/>
  <c r="G7" i="31"/>
  <c r="G13" i="31" s="1"/>
  <c r="G11" i="31"/>
  <c r="W6" i="13"/>
  <c r="M52" i="8"/>
  <c r="M52" i="29" s="1"/>
  <c r="M108" i="29" s="1"/>
  <c r="AD47" i="8"/>
  <c r="AA47" i="29"/>
  <c r="AA103" i="29" s="1"/>
  <c r="AD10" i="8"/>
  <c r="AA10" i="29"/>
  <c r="AA66" i="29" s="1"/>
  <c r="AD25" i="8"/>
  <c r="AA25" i="29"/>
  <c r="AA81" i="29" s="1"/>
  <c r="W9" i="12"/>
  <c r="M46" i="8"/>
  <c r="M46" i="29" s="1"/>
  <c r="M102" i="29" s="1"/>
  <c r="AD46" i="8"/>
  <c r="AA46" i="29"/>
  <c r="AA102" i="29" s="1"/>
  <c r="L49" i="11"/>
  <c r="AD33" i="8"/>
  <c r="AA33" i="29"/>
  <c r="AA89" i="29" s="1"/>
  <c r="AD20" i="8"/>
  <c r="AA20" i="29"/>
  <c r="AA76" i="29" s="1"/>
  <c r="AB32" i="7"/>
  <c r="AB52" i="7"/>
  <c r="Y52" i="24"/>
  <c r="AB52" i="24" s="1"/>
  <c r="Y22" i="24"/>
  <c r="AB22" i="24" s="1"/>
  <c r="J9" i="31"/>
  <c r="J7" i="31"/>
  <c r="J13" i="31" s="1"/>
  <c r="J11" i="31"/>
  <c r="AD17" i="8"/>
  <c r="AA17" i="29"/>
  <c r="AA73" i="29" s="1"/>
  <c r="M32" i="24"/>
  <c r="V28" i="24"/>
  <c r="AB28" i="24" s="1"/>
  <c r="V25" i="24"/>
  <c r="W41" i="25"/>
  <c r="V30" i="30"/>
  <c r="V74" i="30" s="1"/>
  <c r="V24" i="24"/>
  <c r="V18" i="24"/>
  <c r="W7" i="25"/>
  <c r="V40" i="30"/>
  <c r="V84" i="30" s="1"/>
  <c r="M44" i="24"/>
  <c r="V8" i="24"/>
  <c r="V48" i="24"/>
  <c r="V17" i="24"/>
  <c r="C9" i="32"/>
  <c r="C7" i="32"/>
  <c r="C13" i="32" s="1"/>
  <c r="C11" i="32"/>
  <c r="V6" i="30"/>
  <c r="V50" i="30" s="1"/>
  <c r="L9" i="32" s="1"/>
  <c r="AH57" i="24"/>
  <c r="V38" i="24"/>
  <c r="W5" i="25"/>
  <c r="U45" i="25"/>
  <c r="X50" i="25"/>
  <c r="V28" i="30"/>
  <c r="V72" i="30" s="1"/>
  <c r="V37" i="24"/>
  <c r="V19" i="24"/>
  <c r="W27" i="25"/>
  <c r="M36" i="24"/>
  <c r="AD35" i="8"/>
  <c r="AA35" i="29"/>
  <c r="AA91" i="29" s="1"/>
  <c r="V37" i="30"/>
  <c r="V81" i="30" s="1"/>
  <c r="AD15" i="8"/>
  <c r="AA15" i="29"/>
  <c r="AA71" i="29" s="1"/>
  <c r="E9" i="31"/>
  <c r="E11" i="31"/>
  <c r="E7" i="31"/>
  <c r="E13" i="31" s="1"/>
  <c r="L57" i="24"/>
  <c r="M14" i="24"/>
  <c r="M28" i="24"/>
  <c r="W9" i="25"/>
  <c r="W33" i="25"/>
  <c r="M13" i="24"/>
  <c r="M24" i="24"/>
  <c r="V9" i="30"/>
  <c r="V53" i="30" s="1"/>
  <c r="M29" i="8"/>
  <c r="M29" i="29" s="1"/>
  <c r="M85" i="29" s="1"/>
  <c r="W21" i="12"/>
  <c r="AD53" i="8"/>
  <c r="AA53" i="29"/>
  <c r="AA109" i="29" s="1"/>
  <c r="M9" i="8"/>
  <c r="M9" i="29" s="1"/>
  <c r="M65" i="29" s="1"/>
  <c r="M54" i="8"/>
  <c r="M54" i="29" s="1"/>
  <c r="M110" i="29" s="1"/>
  <c r="AD38" i="8"/>
  <c r="AA38" i="29"/>
  <c r="AA94" i="29" s="1"/>
  <c r="AD55" i="8"/>
  <c r="AA55" i="29"/>
  <c r="AA111" i="29" s="1"/>
  <c r="AD36" i="8"/>
  <c r="AA36" i="29"/>
  <c r="AA92" i="29" s="1"/>
  <c r="AD24" i="8"/>
  <c r="AA24" i="29"/>
  <c r="AA80" i="29" s="1"/>
  <c r="AD42" i="8"/>
  <c r="AA42" i="29"/>
  <c r="AA98" i="29" s="1"/>
  <c r="M49" i="8"/>
  <c r="M49" i="29" s="1"/>
  <c r="M105" i="29" s="1"/>
  <c r="M38" i="8"/>
  <c r="M38" i="29" s="1"/>
  <c r="M94" i="29" s="1"/>
  <c r="M6" i="8"/>
  <c r="M6" i="29" s="1"/>
  <c r="M62" i="29" s="1"/>
  <c r="AD27" i="8"/>
  <c r="AA27" i="29"/>
  <c r="AA83" i="29" s="1"/>
  <c r="AD26" i="8"/>
  <c r="AA26" i="29"/>
  <c r="AA82" i="29" s="1"/>
  <c r="AD19" i="8"/>
  <c r="AA19" i="29"/>
  <c r="AA75" i="29" s="1"/>
  <c r="Y43" i="24"/>
  <c r="Y24" i="24"/>
  <c r="AB24" i="24" s="1"/>
  <c r="AD41" i="8"/>
  <c r="AA41" i="29"/>
  <c r="AA97" i="29" s="1"/>
  <c r="AD40" i="8"/>
  <c r="AA40" i="29"/>
  <c r="AA96" i="29" s="1"/>
  <c r="M16" i="24"/>
  <c r="M35" i="24"/>
  <c r="V22" i="30"/>
  <c r="V66" i="30" s="1"/>
  <c r="M47" i="24"/>
  <c r="M8" i="24"/>
  <c r="M12" i="24"/>
  <c r="V18" i="30"/>
  <c r="V62" i="30" s="1"/>
  <c r="M5" i="24"/>
  <c r="V52" i="24"/>
  <c r="V23" i="24"/>
  <c r="R17" i="30"/>
  <c r="R61" i="30" s="1"/>
  <c r="V16" i="30"/>
  <c r="V60" i="30" s="1"/>
  <c r="M38" i="24"/>
  <c r="V42" i="24"/>
  <c r="M17" i="24"/>
  <c r="W28" i="25"/>
  <c r="W25" i="25"/>
  <c r="R9" i="30"/>
  <c r="R53" i="30" s="1"/>
  <c r="V14" i="30"/>
  <c r="V58" i="30" s="1"/>
  <c r="Q57" i="24"/>
  <c r="AI57" i="24"/>
  <c r="Y37" i="24"/>
  <c r="AB37" i="24" s="1"/>
  <c r="AB30" i="7"/>
  <c r="AD5" i="24"/>
  <c r="AD57" i="24" s="1"/>
  <c r="AC57" i="24"/>
  <c r="O57" i="24"/>
  <c r="P57" i="24"/>
  <c r="W8" i="25"/>
  <c r="M6" i="24"/>
  <c r="V20" i="30"/>
  <c r="V64" i="30" s="1"/>
  <c r="R6" i="30"/>
  <c r="R50" i="30" s="1"/>
  <c r="H7" i="32" s="1"/>
  <c r="H13" i="32" s="1"/>
  <c r="V15" i="30"/>
  <c r="V59" i="30" s="1"/>
  <c r="M37" i="8"/>
  <c r="M37" i="29" s="1"/>
  <c r="M93" i="29" s="1"/>
  <c r="W34" i="12"/>
  <c r="W23" i="13"/>
  <c r="M20" i="8"/>
  <c r="M20" i="29" s="1"/>
  <c r="M76" i="29" s="1"/>
  <c r="AD44" i="8"/>
  <c r="AA44" i="29"/>
  <c r="AA100" i="29" s="1"/>
  <c r="M17" i="8"/>
  <c r="M17" i="29" s="1"/>
  <c r="M73" i="29" s="1"/>
  <c r="M44" i="8"/>
  <c r="M44" i="29" s="1"/>
  <c r="M100" i="29" s="1"/>
  <c r="W8" i="13"/>
  <c r="AD34" i="8"/>
  <c r="AA34" i="29"/>
  <c r="AA90" i="29" s="1"/>
  <c r="W43" i="13"/>
  <c r="M35" i="8"/>
  <c r="M35" i="29" s="1"/>
  <c r="M91" i="29" s="1"/>
  <c r="AD9" i="8"/>
  <c r="AA9" i="29"/>
  <c r="AA65" i="29" s="1"/>
  <c r="M30" i="8"/>
  <c r="M30" i="29" s="1"/>
  <c r="M86" i="29" s="1"/>
  <c r="AD31" i="8"/>
  <c r="AA31" i="29"/>
  <c r="AA87" i="29" s="1"/>
  <c r="Y50" i="24"/>
  <c r="W22" i="13"/>
  <c r="AD45" i="8"/>
  <c r="AA45" i="29"/>
  <c r="AA101" i="29" s="1"/>
  <c r="M9" i="31"/>
  <c r="M7" i="31"/>
  <c r="M13" i="31" s="1"/>
  <c r="M11" i="31"/>
  <c r="M50" i="24"/>
  <c r="V26" i="24"/>
  <c r="F7" i="31"/>
  <c r="F13" i="31" s="1"/>
  <c r="V22" i="24"/>
  <c r="AD7" i="8"/>
  <c r="AA7" i="29"/>
  <c r="AA63" i="29" s="1"/>
  <c r="W20" i="25"/>
  <c r="V33" i="30"/>
  <c r="V77" i="30" s="1"/>
  <c r="V46" i="24"/>
  <c r="U57" i="24"/>
  <c r="M10" i="24"/>
  <c r="V42" i="30"/>
  <c r="V86" i="30" s="1"/>
  <c r="M23" i="24"/>
  <c r="V40" i="24"/>
  <c r="V12" i="24"/>
  <c r="V17" i="30"/>
  <c r="V61" i="30" s="1"/>
  <c r="V13" i="30"/>
  <c r="V57" i="30" s="1"/>
  <c r="P45" i="25"/>
  <c r="M18" i="24"/>
  <c r="V35" i="24"/>
  <c r="W40" i="25"/>
  <c r="W24" i="25"/>
  <c r="M7" i="24"/>
  <c r="AD23" i="8"/>
  <c r="AA23" i="29"/>
  <c r="AA79" i="29" s="1"/>
  <c r="AB51" i="7"/>
  <c r="S45" i="12"/>
  <c r="W17" i="25"/>
  <c r="M33" i="24"/>
  <c r="M15" i="8"/>
  <c r="M15" i="29" s="1"/>
  <c r="M71" i="29" s="1"/>
  <c r="AB37" i="7"/>
  <c r="M51" i="8"/>
  <c r="M51" i="29" s="1"/>
  <c r="M107" i="29" s="1"/>
  <c r="AD30" i="8"/>
  <c r="AA30" i="29"/>
  <c r="AA86" i="29" s="1"/>
  <c r="AB23" i="7"/>
  <c r="AD6" i="8"/>
  <c r="AA6" i="29"/>
  <c r="AA62" i="29" s="1"/>
  <c r="W30" i="12"/>
  <c r="AB14" i="7"/>
  <c r="M36" i="8"/>
  <c r="M36" i="29" s="1"/>
  <c r="M92" i="29" s="1"/>
  <c r="M12" i="8"/>
  <c r="M12" i="29" s="1"/>
  <c r="M68" i="29" s="1"/>
  <c r="R51" i="24"/>
  <c r="R27" i="24"/>
  <c r="R53" i="24"/>
  <c r="R45" i="24"/>
  <c r="R34" i="24"/>
  <c r="R50" i="24"/>
  <c r="R14" i="24"/>
  <c r="R7" i="24"/>
  <c r="R38" i="24"/>
  <c r="R16" i="24"/>
  <c r="R26" i="24"/>
  <c r="R5" i="24"/>
  <c r="R49" i="24"/>
  <c r="R15" i="24"/>
  <c r="R43" i="24"/>
  <c r="R44" i="24"/>
  <c r="R40" i="24"/>
  <c r="R33" i="24"/>
  <c r="R55" i="24"/>
  <c r="R21" i="24"/>
  <c r="R37" i="24"/>
  <c r="R29" i="24"/>
  <c r="R10" i="24"/>
  <c r="R52" i="24"/>
  <c r="R32" i="24"/>
  <c r="R31" i="24"/>
  <c r="R23" i="24"/>
  <c r="R41" i="24"/>
  <c r="R20" i="24"/>
  <c r="R24" i="24"/>
  <c r="R42" i="24"/>
  <c r="R13" i="24"/>
  <c r="R39" i="24"/>
  <c r="R6" i="24"/>
  <c r="R35" i="24"/>
  <c r="R11" i="24"/>
  <c r="R48" i="24"/>
  <c r="R46" i="24"/>
  <c r="R25" i="24"/>
  <c r="R8" i="24"/>
  <c r="R18" i="24"/>
  <c r="R22" i="24"/>
  <c r="R28" i="24"/>
  <c r="R9" i="24"/>
  <c r="R47" i="24"/>
  <c r="R17" i="24"/>
  <c r="R30" i="24"/>
  <c r="R12" i="24"/>
  <c r="R19" i="24"/>
  <c r="R54" i="24"/>
  <c r="R36" i="24"/>
  <c r="M26" i="8"/>
  <c r="M26" i="29" s="1"/>
  <c r="M82" i="29" s="1"/>
  <c r="W36" i="12"/>
  <c r="AD43" i="8"/>
  <c r="AA43" i="29"/>
  <c r="AA99" i="29" s="1"/>
  <c r="M13" i="8"/>
  <c r="M13" i="29" s="1"/>
  <c r="M69" i="29" s="1"/>
  <c r="X53" i="29"/>
  <c r="X109" i="29" s="1"/>
  <c r="Y53" i="24"/>
  <c r="AD18" i="8"/>
  <c r="AA18" i="29"/>
  <c r="AA74" i="29" s="1"/>
  <c r="T9" i="31"/>
  <c r="T11" i="31"/>
  <c r="T7" i="31"/>
  <c r="T13" i="31" s="1"/>
  <c r="AD54" i="8"/>
  <c r="AA54" i="29"/>
  <c r="AA110" i="29" s="1"/>
  <c r="M27" i="24"/>
  <c r="M43" i="24"/>
  <c r="M25" i="24"/>
  <c r="R36" i="30"/>
  <c r="R80" i="30" s="1"/>
  <c r="V34" i="30"/>
  <c r="V78" i="30" s="1"/>
  <c r="M9" i="24"/>
  <c r="V36" i="24"/>
  <c r="W38" i="25"/>
  <c r="M26" i="24"/>
  <c r="V39" i="30"/>
  <c r="V83" i="30" s="1"/>
  <c r="V12" i="30"/>
  <c r="V56" i="30" s="1"/>
  <c r="V55" i="24"/>
  <c r="V15" i="24"/>
  <c r="W42" i="25"/>
  <c r="M31" i="24"/>
  <c r="V24" i="30"/>
  <c r="V68" i="30" s="1"/>
  <c r="S34" i="30"/>
  <c r="S78" i="30" s="1"/>
  <c r="I7" i="32" s="1"/>
  <c r="I13" i="32" s="1"/>
  <c r="V11" i="30"/>
  <c r="V55" i="30" s="1"/>
  <c r="V38" i="30"/>
  <c r="V82" i="30" s="1"/>
  <c r="V6" i="24"/>
  <c r="V49" i="24"/>
  <c r="V21" i="24"/>
  <c r="W11" i="25"/>
  <c r="W15" i="25"/>
  <c r="W18" i="25"/>
  <c r="V7" i="30"/>
  <c r="V51" i="30" s="1"/>
  <c r="V25" i="30"/>
  <c r="V69" i="30" s="1"/>
  <c r="G11" i="32"/>
  <c r="AD50" i="8"/>
  <c r="AA50" i="29"/>
  <c r="AA106" i="29" s="1"/>
  <c r="AB41" i="7"/>
  <c r="M21" i="8"/>
  <c r="M21" i="29" s="1"/>
  <c r="M77" i="29" s="1"/>
  <c r="W42" i="12"/>
  <c r="AD29" i="8"/>
  <c r="AA29" i="29"/>
  <c r="AA85" i="29" s="1"/>
  <c r="AD52" i="8"/>
  <c r="AA52" i="29"/>
  <c r="AA108" i="29" s="1"/>
  <c r="S50" i="24"/>
  <c r="S18" i="24"/>
  <c r="S7" i="24"/>
  <c r="S38" i="24"/>
  <c r="S26" i="24"/>
  <c r="S5" i="24"/>
  <c r="S49" i="24"/>
  <c r="S43" i="24"/>
  <c r="S17" i="24"/>
  <c r="S53" i="24"/>
  <c r="S33" i="24"/>
  <c r="S21" i="24"/>
  <c r="S37" i="24"/>
  <c r="S29" i="24"/>
  <c r="S14" i="24"/>
  <c r="S16" i="24"/>
  <c r="S15" i="24"/>
  <c r="S31" i="24"/>
  <c r="S23" i="24"/>
  <c r="S44" i="24"/>
  <c r="S41" i="24"/>
  <c r="S40" i="24"/>
  <c r="S24" i="24"/>
  <c r="S42" i="24"/>
  <c r="S55" i="24"/>
  <c r="S13" i="24"/>
  <c r="S39" i="24"/>
  <c r="S10" i="24"/>
  <c r="S35" i="24"/>
  <c r="S11" i="24"/>
  <c r="S52" i="24"/>
  <c r="S32" i="24"/>
  <c r="S46" i="24"/>
  <c r="S25" i="24"/>
  <c r="S20" i="24"/>
  <c r="S12" i="24"/>
  <c r="S36" i="24"/>
  <c r="S30" i="24"/>
  <c r="S51" i="24"/>
  <c r="S27" i="24"/>
  <c r="S45" i="24"/>
  <c r="S34" i="24"/>
  <c r="S54" i="24"/>
  <c r="S19" i="24"/>
  <c r="S48" i="24"/>
  <c r="S6" i="24"/>
  <c r="S47" i="24"/>
  <c r="S22" i="24"/>
  <c r="S28" i="24"/>
  <c r="S8" i="24"/>
  <c r="S9" i="24"/>
  <c r="AD21" i="8"/>
  <c r="AA21" i="29"/>
  <c r="AA77" i="29" s="1"/>
  <c r="M45" i="8"/>
  <c r="M45" i="29" s="1"/>
  <c r="M101" i="29" s="1"/>
  <c r="M53" i="8"/>
  <c r="M53" i="29" s="1"/>
  <c r="M109" i="29" s="1"/>
  <c r="AD13" i="8"/>
  <c r="AA13" i="29"/>
  <c r="AA69" i="29" s="1"/>
  <c r="Y28" i="24"/>
  <c r="Y5" i="24"/>
  <c r="U9" i="31"/>
  <c r="U11" i="31"/>
  <c r="U7" i="31"/>
  <c r="U13" i="31" s="1"/>
  <c r="AD39" i="8"/>
  <c r="AA39" i="29"/>
  <c r="AA95" i="29" s="1"/>
  <c r="AD32" i="8"/>
  <c r="AA32" i="29"/>
  <c r="AA88" i="29" s="1"/>
  <c r="M45" i="24"/>
  <c r="V33" i="24"/>
  <c r="AB33" i="24" s="1"/>
  <c r="V13" i="24"/>
  <c r="M51" i="24"/>
  <c r="V29" i="24"/>
  <c r="V9" i="24"/>
  <c r="W29" i="25"/>
  <c r="V39" i="24"/>
  <c r="M34" i="24"/>
  <c r="V36" i="30"/>
  <c r="V80" i="30" s="1"/>
  <c r="V41" i="24"/>
  <c r="V53" i="24"/>
  <c r="AB53" i="24" s="1"/>
  <c r="V10" i="24"/>
  <c r="W32" i="25"/>
  <c r="X57" i="24"/>
  <c r="M19" i="24"/>
  <c r="V19" i="30"/>
  <c r="V63" i="30" s="1"/>
  <c r="V43" i="24"/>
  <c r="AB43" i="24" s="1"/>
  <c r="V27" i="24"/>
  <c r="M29" i="24"/>
  <c r="V29" i="30"/>
  <c r="V73" i="30" s="1"/>
  <c r="V30" i="24"/>
  <c r="W26" i="25"/>
  <c r="G7" i="32"/>
  <c r="G13" i="32" s="1"/>
  <c r="AD14" i="8"/>
  <c r="AA14" i="29"/>
  <c r="AA70" i="29" s="1"/>
  <c r="AD51" i="8"/>
  <c r="AA51" i="29"/>
  <c r="AA107" i="29" s="1"/>
  <c r="Q11" i="31"/>
  <c r="AD22" i="8"/>
  <c r="AA22" i="29"/>
  <c r="AA78" i="29" s="1"/>
  <c r="M48" i="8"/>
  <c r="M48" i="29" s="1"/>
  <c r="M104" i="29" s="1"/>
  <c r="M48" i="24"/>
  <c r="AA5" i="25"/>
  <c r="AA45" i="25" s="1"/>
  <c r="Z45" i="25"/>
  <c r="T45" i="25"/>
  <c r="M42" i="24"/>
  <c r="X50" i="12"/>
  <c r="M10" i="8"/>
  <c r="M10" i="29" s="1"/>
  <c r="M66" i="29" s="1"/>
  <c r="AD37" i="8"/>
  <c r="AA37" i="29"/>
  <c r="AA93" i="29" s="1"/>
  <c r="M34" i="8"/>
  <c r="M34" i="29" s="1"/>
  <c r="M90" i="29" s="1"/>
  <c r="M39" i="8"/>
  <c r="M39" i="29" s="1"/>
  <c r="M95" i="29" s="1"/>
  <c r="AB45" i="7"/>
  <c r="M8" i="8"/>
  <c r="M8" i="29" s="1"/>
  <c r="M64" i="29" s="1"/>
  <c r="M19" i="8"/>
  <c r="M19" i="29" s="1"/>
  <c r="M75" i="29" s="1"/>
  <c r="AD12" i="8"/>
  <c r="AA12" i="29"/>
  <c r="AA68" i="29" s="1"/>
  <c r="M25" i="8"/>
  <c r="M25" i="29" s="1"/>
  <c r="M81" i="29" s="1"/>
  <c r="W9" i="13"/>
  <c r="B9" i="31"/>
  <c r="B7" i="31"/>
  <c r="B13" i="31" s="1"/>
  <c r="B11" i="31"/>
  <c r="AD49" i="8"/>
  <c r="AA49" i="29"/>
  <c r="AA105" i="29" s="1"/>
  <c r="AD28" i="8"/>
  <c r="AA28" i="29"/>
  <c r="AA84" i="29" s="1"/>
  <c r="AD8" i="8"/>
  <c r="AA8" i="29"/>
  <c r="AA64" i="29" s="1"/>
  <c r="Q9" i="31" s="1"/>
  <c r="M16" i="8"/>
  <c r="M16" i="29" s="1"/>
  <c r="M72" i="29" s="1"/>
  <c r="M33" i="8"/>
  <c r="M33" i="29" s="1"/>
  <c r="M89" i="29" s="1"/>
  <c r="M7" i="8"/>
  <c r="M7" i="29" s="1"/>
  <c r="M63" i="29" s="1"/>
  <c r="AD11" i="8"/>
  <c r="AA11" i="29"/>
  <c r="AA67" i="29" s="1"/>
  <c r="Q7" i="31" s="1"/>
  <c r="Q13" i="31" s="1"/>
  <c r="AB34" i="7"/>
  <c r="Y33" i="24"/>
  <c r="W57" i="8"/>
  <c r="V7" i="29"/>
  <c r="V63" i="29" s="1"/>
  <c r="L9" i="31" s="1"/>
  <c r="M15" i="24"/>
  <c r="M39" i="24"/>
  <c r="V32" i="30"/>
  <c r="V76" i="30" s="1"/>
  <c r="M11" i="24"/>
  <c r="M53" i="24"/>
  <c r="M49" i="24"/>
  <c r="V43" i="30"/>
  <c r="V87" i="30" s="1"/>
  <c r="M52" i="24"/>
  <c r="M40" i="24"/>
  <c r="V50" i="24"/>
  <c r="AB50" i="24" s="1"/>
  <c r="W22" i="25"/>
  <c r="O45" i="25"/>
  <c r="V26" i="30"/>
  <c r="V70" i="30" s="1"/>
  <c r="V44" i="24"/>
  <c r="V16" i="24"/>
  <c r="W16" i="25"/>
  <c r="M20" i="24"/>
  <c r="V34" i="24"/>
  <c r="M46" i="24"/>
  <c r="V21" i="30"/>
  <c r="V65" i="30" s="1"/>
  <c r="W21" i="25"/>
  <c r="AQ15" i="24"/>
  <c r="M42" i="8"/>
  <c r="M42" i="29" s="1"/>
  <c r="M98" i="29" s="1"/>
  <c r="M40" i="8"/>
  <c r="M40" i="29" s="1"/>
  <c r="M96" i="29" s="1"/>
  <c r="W37" i="13"/>
  <c r="P57" i="8"/>
  <c r="M57" i="9"/>
  <c r="Q57" i="8"/>
  <c r="O57" i="8"/>
  <c r="W41" i="12"/>
  <c r="W24" i="13"/>
  <c r="M50" i="8"/>
  <c r="M50" i="29" s="1"/>
  <c r="M106" i="29" s="1"/>
  <c r="W39" i="12"/>
  <c r="W43" i="12"/>
  <c r="W12" i="12"/>
  <c r="W36" i="13"/>
  <c r="V57" i="9"/>
  <c r="V35" i="8"/>
  <c r="U35" i="29" s="1"/>
  <c r="U91" i="29" s="1"/>
  <c r="V50" i="8"/>
  <c r="U50" i="29" s="1"/>
  <c r="U106" i="29" s="1"/>
  <c r="V49" i="8"/>
  <c r="U49" i="29" s="1"/>
  <c r="U105" i="29" s="1"/>
  <c r="V21" i="8"/>
  <c r="U21" i="29" s="1"/>
  <c r="U77" i="29" s="1"/>
  <c r="O45" i="13"/>
  <c r="V38" i="8"/>
  <c r="U38" i="29" s="1"/>
  <c r="U94" i="29" s="1"/>
  <c r="U45" i="13"/>
  <c r="W29" i="12"/>
  <c r="W12" i="13"/>
  <c r="V33" i="8"/>
  <c r="U33" i="29" s="1"/>
  <c r="U89" i="29" s="1"/>
  <c r="V13" i="8"/>
  <c r="U13" i="29" s="1"/>
  <c r="U69" i="29" s="1"/>
  <c r="Y42" i="9"/>
  <c r="AB42" i="9" s="1"/>
  <c r="AB42" i="7"/>
  <c r="Y43" i="9"/>
  <c r="AB43" i="9" s="1"/>
  <c r="AB43" i="7"/>
  <c r="Y55" i="9"/>
  <c r="AB55" i="9" s="1"/>
  <c r="Y36" i="9"/>
  <c r="AB36" i="9" s="1"/>
  <c r="AB36" i="7"/>
  <c r="Y7" i="9"/>
  <c r="AB7" i="9" s="1"/>
  <c r="AB7" i="7"/>
  <c r="Y24" i="9"/>
  <c r="AB24" i="9" s="1"/>
  <c r="AB24" i="7"/>
  <c r="W10" i="13"/>
  <c r="L49" i="12"/>
  <c r="U57" i="8"/>
  <c r="V14" i="8"/>
  <c r="U14" i="29" s="1"/>
  <c r="U70" i="29" s="1"/>
  <c r="M27" i="8"/>
  <c r="M27" i="29" s="1"/>
  <c r="M83" i="29" s="1"/>
  <c r="AH57" i="8"/>
  <c r="V29" i="8"/>
  <c r="U29" i="29" s="1"/>
  <c r="U85" i="29" s="1"/>
  <c r="V9" i="8"/>
  <c r="U9" i="29" s="1"/>
  <c r="U65" i="29" s="1"/>
  <c r="W5" i="12"/>
  <c r="T45" i="12"/>
  <c r="W19" i="13"/>
  <c r="X57" i="8"/>
  <c r="W16" i="13"/>
  <c r="V10" i="8"/>
  <c r="U10" i="29" s="1"/>
  <c r="U66" i="29" s="1"/>
  <c r="N45" i="12"/>
  <c r="W45" i="11"/>
  <c r="AM60" i="6"/>
  <c r="AM58" i="9"/>
  <c r="AM58" i="7"/>
  <c r="V44" i="8"/>
  <c r="U44" i="29" s="1"/>
  <c r="U100" i="29" s="1"/>
  <c r="V16" i="8"/>
  <c r="U16" i="29" s="1"/>
  <c r="U72" i="29" s="1"/>
  <c r="W30" i="13"/>
  <c r="V45" i="8"/>
  <c r="U45" i="29" s="1"/>
  <c r="U101" i="29" s="1"/>
  <c r="V20" i="8"/>
  <c r="U20" i="29" s="1"/>
  <c r="U76" i="29" s="1"/>
  <c r="W27" i="12"/>
  <c r="V45" i="13"/>
  <c r="M43" i="8"/>
  <c r="M43" i="29" s="1"/>
  <c r="M99" i="29" s="1"/>
  <c r="V28" i="8"/>
  <c r="U28" i="29" s="1"/>
  <c r="U84" i="29" s="1"/>
  <c r="V25" i="8"/>
  <c r="U25" i="29" s="1"/>
  <c r="U81" i="29" s="1"/>
  <c r="Y31" i="9"/>
  <c r="AB31" i="9" s="1"/>
  <c r="AB31" i="7"/>
  <c r="Y35" i="9"/>
  <c r="AB35" i="9" s="1"/>
  <c r="Y53" i="9"/>
  <c r="AB53" i="9" s="1"/>
  <c r="AB53" i="7"/>
  <c r="Y48" i="9"/>
  <c r="AB48" i="9" s="1"/>
  <c r="Y15" i="9"/>
  <c r="AB15" i="9" s="1"/>
  <c r="Y21" i="9"/>
  <c r="AB21" i="9" s="1"/>
  <c r="AB21" i="7"/>
  <c r="W22" i="12"/>
  <c r="M55" i="8"/>
  <c r="M55" i="29" s="1"/>
  <c r="M111" i="29" s="1"/>
  <c r="M28" i="8"/>
  <c r="M28" i="29" s="1"/>
  <c r="M84" i="29" s="1"/>
  <c r="Q47" i="13"/>
  <c r="Q47" i="12"/>
  <c r="Q47" i="11"/>
  <c r="Q47" i="10"/>
  <c r="V24" i="8"/>
  <c r="U24" i="29" s="1"/>
  <c r="U80" i="29" s="1"/>
  <c r="V18" i="8"/>
  <c r="U18" i="29" s="1"/>
  <c r="U74" i="29" s="1"/>
  <c r="W26" i="12"/>
  <c r="W40" i="13"/>
  <c r="W19" i="12"/>
  <c r="P45" i="13"/>
  <c r="Y40" i="9"/>
  <c r="AB40" i="9" s="1"/>
  <c r="AB40" i="7"/>
  <c r="V48" i="8"/>
  <c r="U48" i="29" s="1"/>
  <c r="U104" i="29" s="1"/>
  <c r="W8" i="12"/>
  <c r="V30" i="8"/>
  <c r="U30" i="29" s="1"/>
  <c r="U86" i="29" s="1"/>
  <c r="V32" i="8"/>
  <c r="U32" i="29" s="1"/>
  <c r="U88" i="29" s="1"/>
  <c r="AA5" i="13"/>
  <c r="AA45" i="13" s="1"/>
  <c r="Z45" i="13"/>
  <c r="V15" i="8"/>
  <c r="U15" i="29" s="1"/>
  <c r="U71" i="29" s="1"/>
  <c r="V34" i="8"/>
  <c r="U34" i="29" s="1"/>
  <c r="U90" i="29" s="1"/>
  <c r="W41" i="13"/>
  <c r="P45" i="12"/>
  <c r="Y28" i="9"/>
  <c r="AB28" i="9" s="1"/>
  <c r="AB28" i="7"/>
  <c r="Y49" i="9"/>
  <c r="AB49" i="9" s="1"/>
  <c r="AB49" i="7"/>
  <c r="Y44" i="9"/>
  <c r="AB44" i="9" s="1"/>
  <c r="Y9" i="9"/>
  <c r="AB9" i="9" s="1"/>
  <c r="Y5" i="9"/>
  <c r="AB5" i="9" s="1"/>
  <c r="Y57" i="7"/>
  <c r="Y62" i="7" s="1"/>
  <c r="Y53" i="8" s="1"/>
  <c r="AB5" i="7"/>
  <c r="Y29" i="9"/>
  <c r="AB29" i="9" s="1"/>
  <c r="AB29" i="7"/>
  <c r="W31" i="13"/>
  <c r="W14" i="13"/>
  <c r="M14" i="8"/>
  <c r="M14" i="29" s="1"/>
  <c r="M70" i="29" s="1"/>
  <c r="AM62" i="6"/>
  <c r="AM60" i="9"/>
  <c r="AM60" i="8"/>
  <c r="AM60" i="7"/>
  <c r="V53" i="8"/>
  <c r="U53" i="29" s="1"/>
  <c r="U109" i="29" s="1"/>
  <c r="Y11" i="9"/>
  <c r="AB11" i="7"/>
  <c r="W16" i="12"/>
  <c r="W13" i="12"/>
  <c r="V47" i="8"/>
  <c r="U47" i="29" s="1"/>
  <c r="U103" i="29" s="1"/>
  <c r="V7" i="8"/>
  <c r="U7" i="29" s="1"/>
  <c r="U63" i="29" s="1"/>
  <c r="W38" i="13"/>
  <c r="W37" i="12"/>
  <c r="W11" i="12"/>
  <c r="R31" i="8"/>
  <c r="R45" i="8"/>
  <c r="R45" i="29" s="1"/>
  <c r="R101" i="29" s="1"/>
  <c r="R12" i="8"/>
  <c r="R12" i="29" s="1"/>
  <c r="R68" i="29" s="1"/>
  <c r="R24" i="8"/>
  <c r="R24" i="29" s="1"/>
  <c r="R80" i="29" s="1"/>
  <c r="R55" i="8"/>
  <c r="R55" i="29" s="1"/>
  <c r="R111" i="29" s="1"/>
  <c r="R19" i="8"/>
  <c r="R19" i="29" s="1"/>
  <c r="R75" i="29" s="1"/>
  <c r="R40" i="8"/>
  <c r="R40" i="29" s="1"/>
  <c r="R96" i="29" s="1"/>
  <c r="R36" i="8"/>
  <c r="R36" i="29" s="1"/>
  <c r="R92" i="29" s="1"/>
  <c r="R30" i="8"/>
  <c r="R47" i="8"/>
  <c r="R47" i="29" s="1"/>
  <c r="R103" i="29" s="1"/>
  <c r="R46" i="8"/>
  <c r="R46" i="29" s="1"/>
  <c r="R102" i="29" s="1"/>
  <c r="R23" i="8"/>
  <c r="R23" i="29" s="1"/>
  <c r="R79" i="29" s="1"/>
  <c r="R39" i="8"/>
  <c r="R39" i="29" s="1"/>
  <c r="R95" i="29" s="1"/>
  <c r="R44" i="8"/>
  <c r="R44" i="29" s="1"/>
  <c r="R100" i="29" s="1"/>
  <c r="R27" i="8"/>
  <c r="R38" i="8"/>
  <c r="R38" i="29" s="1"/>
  <c r="R94" i="29" s="1"/>
  <c r="R54" i="8"/>
  <c r="R54" i="29" s="1"/>
  <c r="R110" i="29" s="1"/>
  <c r="R11" i="8"/>
  <c r="R11" i="29" s="1"/>
  <c r="R67" i="29" s="1"/>
  <c r="R26" i="8"/>
  <c r="R13" i="8"/>
  <c r="R13" i="29" s="1"/>
  <c r="R69" i="29" s="1"/>
  <c r="R6" i="8"/>
  <c r="R6" i="29" s="1"/>
  <c r="R62" i="29" s="1"/>
  <c r="R10" i="8"/>
  <c r="R10" i="29" s="1"/>
  <c r="R66" i="29" s="1"/>
  <c r="R35" i="8"/>
  <c r="R35" i="29" s="1"/>
  <c r="R91" i="29" s="1"/>
  <c r="R7" i="8"/>
  <c r="R7" i="29" s="1"/>
  <c r="R63" i="29" s="1"/>
  <c r="R41" i="8"/>
  <c r="R41" i="29" s="1"/>
  <c r="R97" i="29" s="1"/>
  <c r="R49" i="8"/>
  <c r="R49" i="29" s="1"/>
  <c r="R105" i="29" s="1"/>
  <c r="R51" i="8"/>
  <c r="R51" i="29" s="1"/>
  <c r="R107" i="29" s="1"/>
  <c r="R33" i="8"/>
  <c r="R22" i="8"/>
  <c r="R22" i="29" s="1"/>
  <c r="R78" i="29" s="1"/>
  <c r="R28" i="8"/>
  <c r="R34" i="8"/>
  <c r="R34" i="29" s="1"/>
  <c r="R90" i="29" s="1"/>
  <c r="R50" i="8"/>
  <c r="R50" i="29" s="1"/>
  <c r="R106" i="29" s="1"/>
  <c r="R8" i="8"/>
  <c r="R8" i="29" s="1"/>
  <c r="R64" i="29" s="1"/>
  <c r="R20" i="8"/>
  <c r="R20" i="29" s="1"/>
  <c r="R76" i="29" s="1"/>
  <c r="R9" i="8"/>
  <c r="R9" i="29" s="1"/>
  <c r="R65" i="29" s="1"/>
  <c r="R32" i="8"/>
  <c r="R37" i="8"/>
  <c r="R37" i="29" s="1"/>
  <c r="R93" i="29" s="1"/>
  <c r="R48" i="8"/>
  <c r="R48" i="29" s="1"/>
  <c r="R104" i="29" s="1"/>
  <c r="R21" i="8"/>
  <c r="R21" i="29" s="1"/>
  <c r="R77" i="29" s="1"/>
  <c r="R15" i="8"/>
  <c r="R15" i="29" s="1"/>
  <c r="R71" i="29" s="1"/>
  <c r="R43" i="8"/>
  <c r="R43" i="29" s="1"/>
  <c r="R99" i="29" s="1"/>
  <c r="R17" i="8"/>
  <c r="R17" i="29" s="1"/>
  <c r="R73" i="29" s="1"/>
  <c r="R25" i="8"/>
  <c r="R29" i="8"/>
  <c r="R29" i="29" s="1"/>
  <c r="R85" i="29" s="1"/>
  <c r="R42" i="8"/>
  <c r="R42" i="29" s="1"/>
  <c r="R98" i="29" s="1"/>
  <c r="R16" i="8"/>
  <c r="R16" i="29" s="1"/>
  <c r="R72" i="29" s="1"/>
  <c r="R53" i="8"/>
  <c r="R53" i="29" s="1"/>
  <c r="R109" i="29" s="1"/>
  <c r="R14" i="8"/>
  <c r="R14" i="29" s="1"/>
  <c r="R70" i="29" s="1"/>
  <c r="R52" i="8"/>
  <c r="R52" i="29" s="1"/>
  <c r="R108" i="29" s="1"/>
  <c r="R18" i="8"/>
  <c r="R18" i="29" s="1"/>
  <c r="R74" i="29" s="1"/>
  <c r="R5" i="8"/>
  <c r="R5" i="29" s="1"/>
  <c r="R61" i="29" s="1"/>
  <c r="V40" i="8"/>
  <c r="U40" i="29" s="1"/>
  <c r="U96" i="29" s="1"/>
  <c r="V12" i="8"/>
  <c r="U12" i="29" s="1"/>
  <c r="U68" i="29" s="1"/>
  <c r="W24" i="12"/>
  <c r="W33" i="13"/>
  <c r="V45" i="12"/>
  <c r="W7" i="13"/>
  <c r="AA45" i="11"/>
  <c r="W35" i="13"/>
  <c r="M23" i="8"/>
  <c r="M23" i="29" s="1"/>
  <c r="M79" i="29" s="1"/>
  <c r="W15" i="13"/>
  <c r="V31" i="8"/>
  <c r="U31" i="29" s="1"/>
  <c r="U87" i="29" s="1"/>
  <c r="Y34" i="9"/>
  <c r="AB34" i="9" s="1"/>
  <c r="Y46" i="9"/>
  <c r="AB46" i="9" s="1"/>
  <c r="AB46" i="7"/>
  <c r="Y33" i="9"/>
  <c r="AB33" i="9" s="1"/>
  <c r="AB33" i="7"/>
  <c r="Y13" i="9"/>
  <c r="AB13" i="9" s="1"/>
  <c r="AB13" i="7"/>
  <c r="Y8" i="9"/>
  <c r="AB8" i="9" s="1"/>
  <c r="AB8" i="7"/>
  <c r="Y18" i="9"/>
  <c r="AB18" i="9" s="1"/>
  <c r="AB18" i="7"/>
  <c r="W31" i="12"/>
  <c r="M24" i="8"/>
  <c r="M24" i="29" s="1"/>
  <c r="M80" i="29" s="1"/>
  <c r="V54" i="8"/>
  <c r="U54" i="29" s="1"/>
  <c r="U110" i="29" s="1"/>
  <c r="W40" i="12"/>
  <c r="W14" i="12"/>
  <c r="U45" i="12"/>
  <c r="Y50" i="9"/>
  <c r="AB50" i="9" s="1"/>
  <c r="V51" i="8"/>
  <c r="U51" i="29" s="1"/>
  <c r="U107" i="29" s="1"/>
  <c r="AB50" i="7"/>
  <c r="W33" i="12"/>
  <c r="S47" i="8"/>
  <c r="S46" i="8"/>
  <c r="S23" i="8"/>
  <c r="S39" i="8"/>
  <c r="S44" i="8"/>
  <c r="S27" i="8"/>
  <c r="S38" i="8"/>
  <c r="S54" i="8"/>
  <c r="S11" i="8"/>
  <c r="S26" i="8"/>
  <c r="S43" i="8"/>
  <c r="S42" i="8"/>
  <c r="S16" i="8"/>
  <c r="S31" i="8"/>
  <c r="S18" i="8"/>
  <c r="S12" i="8"/>
  <c r="S13" i="8"/>
  <c r="S34" i="8"/>
  <c r="S50" i="8"/>
  <c r="S8" i="8"/>
  <c r="S20" i="8"/>
  <c r="S9" i="8"/>
  <c r="S32" i="8"/>
  <c r="S48" i="8"/>
  <c r="S21" i="8"/>
  <c r="S17" i="8"/>
  <c r="S29" i="8"/>
  <c r="S19" i="8"/>
  <c r="S10" i="8"/>
  <c r="S33" i="8"/>
  <c r="S35" i="8"/>
  <c r="S40" i="8"/>
  <c r="S7" i="8"/>
  <c r="S22" i="8"/>
  <c r="S49" i="8"/>
  <c r="S25" i="8"/>
  <c r="S24" i="8"/>
  <c r="S37" i="8"/>
  <c r="S51" i="8"/>
  <c r="S6" i="8"/>
  <c r="S28" i="8"/>
  <c r="S36" i="8"/>
  <c r="S15" i="8"/>
  <c r="S30" i="8"/>
  <c r="S45" i="8"/>
  <c r="S53" i="8"/>
  <c r="S5" i="8"/>
  <c r="S41" i="8"/>
  <c r="S14" i="8"/>
  <c r="S52" i="8"/>
  <c r="S55" i="8"/>
  <c r="V19" i="8"/>
  <c r="U19" i="29" s="1"/>
  <c r="U75" i="29" s="1"/>
  <c r="W7" i="12"/>
  <c r="AA5" i="12"/>
  <c r="AA45" i="12" s="1"/>
  <c r="Z45" i="12"/>
  <c r="W18" i="12"/>
  <c r="V41" i="8"/>
  <c r="U41" i="29" s="1"/>
  <c r="U97" i="29" s="1"/>
  <c r="V6" i="8"/>
  <c r="U6" i="29" s="1"/>
  <c r="U62" i="29" s="1"/>
  <c r="W35" i="12"/>
  <c r="W25" i="12"/>
  <c r="W20" i="13"/>
  <c r="W15" i="12"/>
  <c r="Y39" i="9"/>
  <c r="AB39" i="9" s="1"/>
  <c r="AB39" i="7"/>
  <c r="Y32" i="9"/>
  <c r="AB32" i="9" s="1"/>
  <c r="Y52" i="9"/>
  <c r="AB52" i="9" s="1"/>
  <c r="Y47" i="9"/>
  <c r="AB47" i="9" s="1"/>
  <c r="AB47" i="7"/>
  <c r="Y6" i="9"/>
  <c r="AB6" i="9" s="1"/>
  <c r="AB6" i="7"/>
  <c r="Y12" i="9"/>
  <c r="AB12" i="9" s="1"/>
  <c r="AB12" i="7"/>
  <c r="Y22" i="9"/>
  <c r="AB22" i="9" s="1"/>
  <c r="AB22" i="7"/>
  <c r="M5" i="8"/>
  <c r="M5" i="29" s="1"/>
  <c r="M61" i="29" s="1"/>
  <c r="W32" i="13"/>
  <c r="AB48" i="7"/>
  <c r="O45" i="12"/>
  <c r="V55" i="8"/>
  <c r="U55" i="29" s="1"/>
  <c r="U111" i="29" s="1"/>
  <c r="V39" i="8"/>
  <c r="U39" i="29" s="1"/>
  <c r="U95" i="29" s="1"/>
  <c r="Y38" i="9"/>
  <c r="AB38" i="9" s="1"/>
  <c r="AB38" i="7"/>
  <c r="Y17" i="9"/>
  <c r="AB17" i="9" s="1"/>
  <c r="V17" i="8"/>
  <c r="U17" i="29" s="1"/>
  <c r="U73" i="29" s="1"/>
  <c r="V5" i="8"/>
  <c r="U5" i="29" s="1"/>
  <c r="U61" i="29" s="1"/>
  <c r="T61" i="6"/>
  <c r="T59" i="9"/>
  <c r="T59" i="8"/>
  <c r="T59" i="7"/>
  <c r="V11" i="8"/>
  <c r="U11" i="29" s="1"/>
  <c r="U67" i="29" s="1"/>
  <c r="V37" i="8"/>
  <c r="U37" i="29" s="1"/>
  <c r="U93" i="29" s="1"/>
  <c r="V42" i="8"/>
  <c r="U42" i="29" s="1"/>
  <c r="U98" i="29" s="1"/>
  <c r="W10" i="12"/>
  <c r="W38" i="12"/>
  <c r="AC57" i="8"/>
  <c r="AD5" i="8"/>
  <c r="V23" i="8"/>
  <c r="U23" i="29" s="1"/>
  <c r="U79" i="29" s="1"/>
  <c r="V43" i="8"/>
  <c r="U43" i="29" s="1"/>
  <c r="U99" i="29" s="1"/>
  <c r="V27" i="8"/>
  <c r="U27" i="29" s="1"/>
  <c r="U83" i="29" s="1"/>
  <c r="W26" i="13"/>
  <c r="W34" i="13"/>
  <c r="V26" i="8"/>
  <c r="U26" i="29" s="1"/>
  <c r="U82" i="29" s="1"/>
  <c r="Y37" i="9"/>
  <c r="AB37" i="9" s="1"/>
  <c r="Y51" i="9"/>
  <c r="AB51" i="9" s="1"/>
  <c r="Y26" i="9"/>
  <c r="AB26" i="9" s="1"/>
  <c r="AB26" i="7"/>
  <c r="Y30" i="9"/>
  <c r="AB30" i="9" s="1"/>
  <c r="Y10" i="9"/>
  <c r="AB10" i="9" s="1"/>
  <c r="AB10" i="7"/>
  <c r="Y16" i="9"/>
  <c r="AB16" i="9" s="1"/>
  <c r="Y19" i="9"/>
  <c r="AB19" i="9" s="1"/>
  <c r="AB19" i="7"/>
  <c r="W42" i="13"/>
  <c r="AI57" i="8"/>
  <c r="W28" i="13"/>
  <c r="V22" i="8"/>
  <c r="U22" i="29" s="1"/>
  <c r="U78" i="29" s="1"/>
  <c r="T45" i="13"/>
  <c r="W5" i="13"/>
  <c r="W32" i="12"/>
  <c r="AB44" i="7"/>
  <c r="L57" i="8"/>
  <c r="Y54" i="9"/>
  <c r="AB54" i="9" s="1"/>
  <c r="AB54" i="7"/>
  <c r="T62" i="6"/>
  <c r="T60" i="9"/>
  <c r="T60" i="8"/>
  <c r="T60" i="7"/>
  <c r="V46" i="8"/>
  <c r="U46" i="29" s="1"/>
  <c r="U102" i="29" s="1"/>
  <c r="F46" i="5"/>
  <c r="AB48" i="25" s="1"/>
  <c r="Q48" i="13"/>
  <c r="Q48" i="12"/>
  <c r="Q48" i="11"/>
  <c r="Q48" i="10"/>
  <c r="W39" i="13"/>
  <c r="W13" i="13"/>
  <c r="N45" i="13"/>
  <c r="W29" i="13"/>
  <c r="V52" i="8"/>
  <c r="U52" i="29" s="1"/>
  <c r="U108" i="29" s="1"/>
  <c r="V36" i="8"/>
  <c r="U36" i="29" s="1"/>
  <c r="U92" i="29" s="1"/>
  <c r="W20" i="12"/>
  <c r="Y27" i="9"/>
  <c r="AB27" i="9" s="1"/>
  <c r="AB27" i="7"/>
  <c r="Y25" i="9"/>
  <c r="AB25" i="9" s="1"/>
  <c r="AB25" i="7"/>
  <c r="Y41" i="9"/>
  <c r="AB41" i="9" s="1"/>
  <c r="Y45" i="9"/>
  <c r="AB45" i="9" s="1"/>
  <c r="Y14" i="9"/>
  <c r="AB14" i="9" s="1"/>
  <c r="Y20" i="9"/>
  <c r="AB20" i="9" s="1"/>
  <c r="Y23" i="9"/>
  <c r="AB23" i="9" s="1"/>
  <c r="L50" i="10"/>
  <c r="W28" i="12"/>
  <c r="AB20" i="7"/>
  <c r="AB17" i="7"/>
  <c r="E42" i="5"/>
  <c r="X47" i="25" s="1"/>
  <c r="E21" i="5"/>
  <c r="AE59" i="24" s="1"/>
  <c r="AO58" i="24" s="1"/>
  <c r="Q15" i="31" l="1"/>
  <c r="Q14" i="31"/>
  <c r="AB36" i="24"/>
  <c r="AB29" i="24"/>
  <c r="L15" i="31"/>
  <c r="L14" i="31"/>
  <c r="M15" i="31"/>
  <c r="M14" i="31"/>
  <c r="AD57" i="8"/>
  <c r="H9" i="31"/>
  <c r="H11" i="31"/>
  <c r="H7" i="31"/>
  <c r="H13" i="31" s="1"/>
  <c r="Y29" i="24"/>
  <c r="Y49" i="24"/>
  <c r="AB49" i="24" s="1"/>
  <c r="T15" i="31"/>
  <c r="T14" i="31"/>
  <c r="Y41" i="24"/>
  <c r="AB41" i="24" s="1"/>
  <c r="Y51" i="24"/>
  <c r="AB51" i="24" s="1"/>
  <c r="Y11" i="24"/>
  <c r="AB11" i="24" s="1"/>
  <c r="Y40" i="24"/>
  <c r="AB40" i="24" s="1"/>
  <c r="Y45" i="24"/>
  <c r="AB45" i="24" s="1"/>
  <c r="J15" i="31"/>
  <c r="J14" i="31"/>
  <c r="H9" i="32"/>
  <c r="K9" i="31"/>
  <c r="K7" i="31"/>
  <c r="K13" i="31" s="1"/>
  <c r="K11" i="31"/>
  <c r="AM58" i="8"/>
  <c r="AM58" i="24"/>
  <c r="Y18" i="24"/>
  <c r="AB18" i="24" s="1"/>
  <c r="Y46" i="24"/>
  <c r="AB46" i="24" s="1"/>
  <c r="Y21" i="24"/>
  <c r="AB21" i="24" s="1"/>
  <c r="Y35" i="24"/>
  <c r="AB35" i="24" s="1"/>
  <c r="R57" i="24"/>
  <c r="S62" i="24" s="1"/>
  <c r="Y7" i="24"/>
  <c r="AB7" i="24" s="1"/>
  <c r="Y42" i="24"/>
  <c r="AB42" i="24" s="1"/>
  <c r="V57" i="24"/>
  <c r="Y12" i="24"/>
  <c r="AB12" i="24" s="1"/>
  <c r="L7" i="32"/>
  <c r="L13" i="32" s="1"/>
  <c r="Y9" i="24"/>
  <c r="AB9" i="24" s="1"/>
  <c r="Y16" i="24"/>
  <c r="AB16" i="24" s="1"/>
  <c r="Y38" i="24"/>
  <c r="AB38" i="24" s="1"/>
  <c r="Y14" i="24"/>
  <c r="AB14" i="24" s="1"/>
  <c r="Y19" i="24"/>
  <c r="AB19" i="24" s="1"/>
  <c r="M57" i="24"/>
  <c r="E15" i="31"/>
  <c r="E14" i="31"/>
  <c r="W45" i="25"/>
  <c r="Y32" i="24"/>
  <c r="AB32" i="24" s="1"/>
  <c r="G15" i="31"/>
  <c r="G14" i="31"/>
  <c r="C11" i="31"/>
  <c r="C7" i="31"/>
  <c r="C13" i="31" s="1"/>
  <c r="C9" i="31"/>
  <c r="Y8" i="24"/>
  <c r="AB8" i="24" s="1"/>
  <c r="Y34" i="24"/>
  <c r="AB34" i="24" s="1"/>
  <c r="B15" i="31"/>
  <c r="B14" i="31"/>
  <c r="Y15" i="24"/>
  <c r="AB15" i="24" s="1"/>
  <c r="Y31" i="24"/>
  <c r="AB31" i="24" s="1"/>
  <c r="AB5" i="24"/>
  <c r="AB57" i="24" s="1"/>
  <c r="L7" i="31"/>
  <c r="L13" i="31" s="1"/>
  <c r="Y36" i="24"/>
  <c r="Y6" i="24"/>
  <c r="AB6" i="24" s="1"/>
  <c r="Y23" i="24"/>
  <c r="AB23" i="24" s="1"/>
  <c r="Y44" i="24"/>
  <c r="AB44" i="24" s="1"/>
  <c r="Y10" i="24"/>
  <c r="AB10" i="24" s="1"/>
  <c r="L11" i="31"/>
  <c r="Y17" i="24"/>
  <c r="AB17" i="24" s="1"/>
  <c r="Y54" i="24"/>
  <c r="AB54" i="24" s="1"/>
  <c r="Y27" i="24"/>
  <c r="AB27" i="24" s="1"/>
  <c r="Y30" i="24"/>
  <c r="AB30" i="24" s="1"/>
  <c r="Y26" i="24"/>
  <c r="AB26" i="24" s="1"/>
  <c r="H11" i="32"/>
  <c r="Y13" i="24"/>
  <c r="AB13" i="24" s="1"/>
  <c r="U15" i="31"/>
  <c r="U14" i="31"/>
  <c r="S57" i="24"/>
  <c r="Y20" i="24"/>
  <c r="AB20" i="24" s="1"/>
  <c r="Y48" i="24"/>
  <c r="AB48" i="24" s="1"/>
  <c r="Y55" i="24"/>
  <c r="AB55" i="24" s="1"/>
  <c r="Y47" i="24"/>
  <c r="AB47" i="24" s="1"/>
  <c r="Y39" i="24"/>
  <c r="AB39" i="24" s="1"/>
  <c r="Y25" i="24"/>
  <c r="AB25" i="24" s="1"/>
  <c r="AQ16" i="24"/>
  <c r="AB53" i="8"/>
  <c r="AB57" i="7"/>
  <c r="S57" i="8"/>
  <c r="Y24" i="8"/>
  <c r="X24" i="29" s="1"/>
  <c r="X80" i="29" s="1"/>
  <c r="Y55" i="8"/>
  <c r="Y16" i="8"/>
  <c r="Y26" i="8"/>
  <c r="Y12" i="8"/>
  <c r="Y52" i="8"/>
  <c r="Y33" i="8"/>
  <c r="Y49" i="8"/>
  <c r="Y35" i="8"/>
  <c r="Y21" i="8"/>
  <c r="AB48" i="12"/>
  <c r="AB48" i="13"/>
  <c r="AB48" i="11"/>
  <c r="AB48" i="10"/>
  <c r="Y54" i="8"/>
  <c r="X54" i="29" s="1"/>
  <c r="X110" i="29" s="1"/>
  <c r="Y38" i="8"/>
  <c r="M57" i="8"/>
  <c r="Y57" i="9"/>
  <c r="Y5" i="8"/>
  <c r="X5" i="29" s="1"/>
  <c r="X61" i="29" s="1"/>
  <c r="Y15" i="8"/>
  <c r="Y14" i="8"/>
  <c r="L8" i="11"/>
  <c r="L6" i="11"/>
  <c r="L17" i="11"/>
  <c r="L9" i="11"/>
  <c r="L12" i="11"/>
  <c r="L7" i="11"/>
  <c r="L10" i="11"/>
  <c r="L5" i="11"/>
  <c r="L11" i="11"/>
  <c r="L28" i="11"/>
  <c r="L23" i="11"/>
  <c r="L13" i="11"/>
  <c r="L31" i="11"/>
  <c r="L21" i="11"/>
  <c r="L22" i="11"/>
  <c r="L39" i="11"/>
  <c r="L15" i="11"/>
  <c r="L18" i="11"/>
  <c r="L27" i="11"/>
  <c r="L19" i="11"/>
  <c r="L29" i="11"/>
  <c r="L30" i="11"/>
  <c r="L24" i="11"/>
  <c r="L26" i="11"/>
  <c r="L35" i="11"/>
  <c r="L37" i="11"/>
  <c r="L38" i="11"/>
  <c r="L32" i="11"/>
  <c r="L16" i="11"/>
  <c r="L34" i="11"/>
  <c r="L43" i="11"/>
  <c r="L20" i="11"/>
  <c r="L40" i="11"/>
  <c r="L25" i="11"/>
  <c r="L42" i="11"/>
  <c r="L36" i="11"/>
  <c r="L33" i="11"/>
  <c r="L14" i="11"/>
  <c r="L41" i="11"/>
  <c r="Y45" i="8"/>
  <c r="Y27" i="8"/>
  <c r="Y51" i="8"/>
  <c r="Y32" i="8"/>
  <c r="AB54" i="8"/>
  <c r="Y8" i="8"/>
  <c r="Y11" i="8"/>
  <c r="AB24" i="8"/>
  <c r="Y7" i="8"/>
  <c r="Y43" i="8"/>
  <c r="Y18" i="8"/>
  <c r="Y23" i="8"/>
  <c r="Y41" i="8"/>
  <c r="Y10" i="8"/>
  <c r="AB5" i="8"/>
  <c r="V57" i="8"/>
  <c r="Y6" i="8"/>
  <c r="Y46" i="8"/>
  <c r="Y9" i="8"/>
  <c r="Y28" i="8"/>
  <c r="Y40" i="8"/>
  <c r="Y48" i="8"/>
  <c r="Y31" i="8"/>
  <c r="AE59" i="9"/>
  <c r="AE59" i="8"/>
  <c r="AO58" i="8" s="1"/>
  <c r="AE59" i="7"/>
  <c r="R57" i="8"/>
  <c r="S62" i="8" s="1"/>
  <c r="W45" i="12"/>
  <c r="AB11" i="9"/>
  <c r="AB57" i="9" s="1"/>
  <c r="E43" i="5"/>
  <c r="Y47" i="25" s="1"/>
  <c r="X47" i="13"/>
  <c r="X47" i="11"/>
  <c r="X50" i="11" s="1"/>
  <c r="X47" i="12"/>
  <c r="X47" i="10"/>
  <c r="Y20" i="8"/>
  <c r="Y30" i="8"/>
  <c r="Y22" i="8"/>
  <c r="Y39" i="8"/>
  <c r="Y50" i="8"/>
  <c r="Y13" i="8"/>
  <c r="Y34" i="8"/>
  <c r="Y29" i="8"/>
  <c r="Y44" i="8"/>
  <c r="Y36" i="8"/>
  <c r="Y42" i="8"/>
  <c r="Y37" i="8"/>
  <c r="Y25" i="8"/>
  <c r="W45" i="13"/>
  <c r="Y19" i="8"/>
  <c r="Y17" i="8"/>
  <c r="Y47" i="8"/>
  <c r="E23" i="5"/>
  <c r="AG59" i="24" s="1"/>
  <c r="AE61" i="6"/>
  <c r="AB23" i="8" l="1"/>
  <c r="X23" i="29"/>
  <c r="X79" i="29" s="1"/>
  <c r="AB18" i="8"/>
  <c r="X18" i="29"/>
  <c r="X74" i="29" s="1"/>
  <c r="L25" i="25"/>
  <c r="Q25" i="25" s="1"/>
  <c r="L28" i="30"/>
  <c r="L72" i="30" s="1"/>
  <c r="L28" i="25"/>
  <c r="Q28" i="25" s="1"/>
  <c r="AB17" i="8"/>
  <c r="X17" i="29"/>
  <c r="X73" i="29" s="1"/>
  <c r="AB29" i="8"/>
  <c r="X29" i="29"/>
  <c r="X85" i="29" s="1"/>
  <c r="AB46" i="8"/>
  <c r="X46" i="29"/>
  <c r="X102" i="29" s="1"/>
  <c r="AB43" i="8"/>
  <c r="X43" i="29"/>
  <c r="X99" i="29" s="1"/>
  <c r="AB27" i="8"/>
  <c r="X27" i="29"/>
  <c r="X83" i="29" s="1"/>
  <c r="L40" i="25"/>
  <c r="Q40" i="25" s="1"/>
  <c r="L35" i="25"/>
  <c r="Q35" i="25" s="1"/>
  <c r="L15" i="25"/>
  <c r="Q15" i="25" s="1"/>
  <c r="L11" i="25"/>
  <c r="Q11" i="25" s="1"/>
  <c r="L8" i="25"/>
  <c r="Q8" i="25" s="1"/>
  <c r="AB52" i="8"/>
  <c r="X52" i="29"/>
  <c r="X108" i="29" s="1"/>
  <c r="AB6" i="8"/>
  <c r="X6" i="29"/>
  <c r="X62" i="29" s="1"/>
  <c r="N7" i="31" s="1"/>
  <c r="N13" i="31" s="1"/>
  <c r="L20" i="25"/>
  <c r="Q20" i="25" s="1"/>
  <c r="L5" i="25"/>
  <c r="AB12" i="8"/>
  <c r="X12" i="29"/>
  <c r="X68" i="29" s="1"/>
  <c r="L41" i="30"/>
  <c r="L85" i="30" s="1"/>
  <c r="L41" i="25"/>
  <c r="Q41" i="25" s="1"/>
  <c r="L43" i="25"/>
  <c r="Q43" i="25" s="1"/>
  <c r="L24" i="25"/>
  <c r="Q24" i="25" s="1"/>
  <c r="L22" i="25"/>
  <c r="Q22" i="25" s="1"/>
  <c r="L10" i="30"/>
  <c r="L54" i="30" s="1"/>
  <c r="L10" i="25"/>
  <c r="Q10" i="25" s="1"/>
  <c r="AB15" i="8"/>
  <c r="X15" i="29"/>
  <c r="X71" i="29" s="1"/>
  <c r="AB26" i="8"/>
  <c r="X26" i="29"/>
  <c r="X82" i="29" s="1"/>
  <c r="K15" i="31"/>
  <c r="K14" i="31"/>
  <c r="AB34" i="8"/>
  <c r="X34" i="29"/>
  <c r="X90" i="29" s="1"/>
  <c r="AB7" i="8"/>
  <c r="X7" i="29"/>
  <c r="X63" i="29" s="1"/>
  <c r="N11" i="31" s="1"/>
  <c r="L26" i="25"/>
  <c r="Q26" i="25" s="1"/>
  <c r="AB14" i="8"/>
  <c r="X14" i="29"/>
  <c r="X70" i="29" s="1"/>
  <c r="AB13" i="8"/>
  <c r="X13" i="29"/>
  <c r="X69" i="29" s="1"/>
  <c r="AB25" i="8"/>
  <c r="X25" i="29"/>
  <c r="X81" i="29" s="1"/>
  <c r="AB31" i="8"/>
  <c r="X31" i="29"/>
  <c r="X87" i="29" s="1"/>
  <c r="AB11" i="8"/>
  <c r="X11" i="29"/>
  <c r="X67" i="29" s="1"/>
  <c r="L34" i="25"/>
  <c r="Q34" i="25" s="1"/>
  <c r="L21" i="25"/>
  <c r="Q21" i="25" s="1"/>
  <c r="N9" i="31"/>
  <c r="AB16" i="8"/>
  <c r="X16" i="29"/>
  <c r="X72" i="29" s="1"/>
  <c r="Y57" i="24"/>
  <c r="AB19" i="8"/>
  <c r="X19" i="29"/>
  <c r="X75" i="29" s="1"/>
  <c r="E29" i="5"/>
  <c r="AM59" i="24" s="1"/>
  <c r="AB50" i="8"/>
  <c r="X50" i="29"/>
  <c r="X106" i="29" s="1"/>
  <c r="L14" i="25"/>
  <c r="Q14" i="25" s="1"/>
  <c r="L30" i="25"/>
  <c r="Q30" i="25" s="1"/>
  <c r="L7" i="25"/>
  <c r="Q7" i="25" s="1"/>
  <c r="E47" i="5"/>
  <c r="G47" i="5" s="1"/>
  <c r="AB37" i="8"/>
  <c r="X37" i="29"/>
  <c r="X93" i="29" s="1"/>
  <c r="AB39" i="8"/>
  <c r="X39" i="29"/>
  <c r="X95" i="29" s="1"/>
  <c r="AB48" i="8"/>
  <c r="X48" i="29"/>
  <c r="X104" i="29" s="1"/>
  <c r="AB10" i="8"/>
  <c r="X10" i="29"/>
  <c r="X66" i="29" s="1"/>
  <c r="AB8" i="8"/>
  <c r="X8" i="29"/>
  <c r="X64" i="29" s="1"/>
  <c r="L33" i="25"/>
  <c r="Q33" i="25" s="1"/>
  <c r="L16" i="25"/>
  <c r="Q16" i="25" s="1"/>
  <c r="L29" i="25"/>
  <c r="Q29" i="25" s="1"/>
  <c r="L31" i="25"/>
  <c r="Q31" i="25" s="1"/>
  <c r="L12" i="25"/>
  <c r="Q12" i="25" s="1"/>
  <c r="AB21" i="8"/>
  <c r="X21" i="29"/>
  <c r="X77" i="29" s="1"/>
  <c r="AB55" i="8"/>
  <c r="X55" i="29"/>
  <c r="X111" i="29" s="1"/>
  <c r="AB45" i="8"/>
  <c r="X45" i="29"/>
  <c r="X101" i="29" s="1"/>
  <c r="L39" i="25"/>
  <c r="Q39" i="25" s="1"/>
  <c r="AB42" i="8"/>
  <c r="X42" i="29"/>
  <c r="X98" i="29" s="1"/>
  <c r="AB22" i="8"/>
  <c r="X22" i="29"/>
  <c r="X78" i="29" s="1"/>
  <c r="AB40" i="8"/>
  <c r="X40" i="29"/>
  <c r="X96" i="29" s="1"/>
  <c r="AB41" i="8"/>
  <c r="X41" i="29"/>
  <c r="X97" i="29" s="1"/>
  <c r="L36" i="25"/>
  <c r="Q36" i="25" s="1"/>
  <c r="L32" i="25"/>
  <c r="Q32" i="25" s="1"/>
  <c r="L19" i="25"/>
  <c r="Q19" i="25" s="1"/>
  <c r="L13" i="30"/>
  <c r="L57" i="30" s="1"/>
  <c r="L13" i="25"/>
  <c r="Q13" i="25" s="1"/>
  <c r="L9" i="25"/>
  <c r="Q9" i="25" s="1"/>
  <c r="AB35" i="8"/>
  <c r="X35" i="29"/>
  <c r="X91" i="29" s="1"/>
  <c r="H15" i="31"/>
  <c r="H14" i="31"/>
  <c r="AB36" i="8"/>
  <c r="X36" i="29"/>
  <c r="X92" i="29" s="1"/>
  <c r="AB30" i="8"/>
  <c r="X30" i="29"/>
  <c r="X86" i="29" s="1"/>
  <c r="AB28" i="8"/>
  <c r="X28" i="29"/>
  <c r="X84" i="29" s="1"/>
  <c r="AB32" i="8"/>
  <c r="X32" i="29"/>
  <c r="X88" i="29" s="1"/>
  <c r="L42" i="30"/>
  <c r="L86" i="30" s="1"/>
  <c r="L42" i="25"/>
  <c r="Q42" i="25" s="1"/>
  <c r="L38" i="25"/>
  <c r="Q38" i="25" s="1"/>
  <c r="L27" i="25"/>
  <c r="Q27" i="25" s="1"/>
  <c r="L23" i="25"/>
  <c r="Q23" i="25" s="1"/>
  <c r="L17" i="30"/>
  <c r="L61" i="30" s="1"/>
  <c r="L17" i="25"/>
  <c r="Q17" i="25" s="1"/>
  <c r="AB38" i="8"/>
  <c r="X38" i="29"/>
  <c r="X94" i="29" s="1"/>
  <c r="AB49" i="8"/>
  <c r="X49" i="29"/>
  <c r="X105" i="29" s="1"/>
  <c r="C15" i="31"/>
  <c r="C14" i="31"/>
  <c r="AB47" i="8"/>
  <c r="X47" i="29"/>
  <c r="X103" i="29" s="1"/>
  <c r="AB44" i="8"/>
  <c r="X44" i="29"/>
  <c r="X100" i="29" s="1"/>
  <c r="AB20" i="8"/>
  <c r="X20" i="29"/>
  <c r="X76" i="29" s="1"/>
  <c r="AB9" i="8"/>
  <c r="X9" i="29"/>
  <c r="X65" i="29" s="1"/>
  <c r="AB51" i="8"/>
  <c r="X51" i="29"/>
  <c r="X107" i="29" s="1"/>
  <c r="L37" i="25"/>
  <c r="Q37" i="25" s="1"/>
  <c r="L18" i="25"/>
  <c r="Q18" i="25" s="1"/>
  <c r="L6" i="25"/>
  <c r="Q6" i="25" s="1"/>
  <c r="AB33" i="8"/>
  <c r="X33" i="29"/>
  <c r="X89" i="29" s="1"/>
  <c r="AQ17" i="24"/>
  <c r="AM61" i="6"/>
  <c r="AM59" i="9"/>
  <c r="AM59" i="8"/>
  <c r="Q36" i="11"/>
  <c r="AB36" i="11" s="1"/>
  <c r="X36" i="25" s="1"/>
  <c r="Y36" i="25" s="1"/>
  <c r="L36" i="12"/>
  <c r="Q36" i="12" s="1"/>
  <c r="L36" i="13"/>
  <c r="Q36" i="13" s="1"/>
  <c r="Q19" i="11"/>
  <c r="AB19" i="11" s="1"/>
  <c r="X19" i="25" s="1"/>
  <c r="Y19" i="25" s="1"/>
  <c r="L19" i="12"/>
  <c r="Q19" i="12" s="1"/>
  <c r="L19" i="13"/>
  <c r="Q19" i="13" s="1"/>
  <c r="Q9" i="11"/>
  <c r="AB9" i="11" s="1"/>
  <c r="L9" i="12"/>
  <c r="Q9" i="12" s="1"/>
  <c r="L9" i="13"/>
  <c r="Q9" i="13" s="1"/>
  <c r="Y57" i="8"/>
  <c r="Q42" i="11"/>
  <c r="AB42" i="11" s="1"/>
  <c r="L42" i="12"/>
  <c r="Q42" i="12" s="1"/>
  <c r="L42" i="13"/>
  <c r="Q42" i="13" s="1"/>
  <c r="Q38" i="11"/>
  <c r="AB38" i="11" s="1"/>
  <c r="L38" i="12"/>
  <c r="Q38" i="12" s="1"/>
  <c r="L38" i="13"/>
  <c r="Q38" i="13" s="1"/>
  <c r="L27" i="12"/>
  <c r="Q27" i="12" s="1"/>
  <c r="L27" i="13"/>
  <c r="Q27" i="13" s="1"/>
  <c r="Q27" i="11"/>
  <c r="AB27" i="11" s="1"/>
  <c r="Q23" i="11"/>
  <c r="AB23" i="11" s="1"/>
  <c r="L23" i="12"/>
  <c r="Q23" i="12" s="1"/>
  <c r="L23" i="13"/>
  <c r="Q23" i="13" s="1"/>
  <c r="Q17" i="11"/>
  <c r="AB17" i="11" s="1"/>
  <c r="L17" i="12"/>
  <c r="Q17" i="12" s="1"/>
  <c r="L17" i="13"/>
  <c r="Q17" i="13" s="1"/>
  <c r="L33" i="12"/>
  <c r="Q33" i="12" s="1"/>
  <c r="Q33" i="11"/>
  <c r="AB33" i="11" s="1"/>
  <c r="X33" i="25" s="1"/>
  <c r="Y33" i="25" s="1"/>
  <c r="L33" i="13"/>
  <c r="Q33" i="13" s="1"/>
  <c r="Q29" i="11"/>
  <c r="AB29" i="11" s="1"/>
  <c r="X29" i="25" s="1"/>
  <c r="Y29" i="25" s="1"/>
  <c r="L29" i="12"/>
  <c r="Q29" i="12" s="1"/>
  <c r="L29" i="13"/>
  <c r="Q29" i="13" s="1"/>
  <c r="Q12" i="11"/>
  <c r="AB12" i="11" s="1"/>
  <c r="L12" i="12"/>
  <c r="Q12" i="12" s="1"/>
  <c r="L12" i="13"/>
  <c r="Q12" i="13" s="1"/>
  <c r="L32" i="12"/>
  <c r="Q32" i="12" s="1"/>
  <c r="Q32" i="11"/>
  <c r="AB32" i="11" s="1"/>
  <c r="L32" i="13"/>
  <c r="Q32" i="13" s="1"/>
  <c r="Q25" i="11"/>
  <c r="AB25" i="11" s="1"/>
  <c r="L25" i="12"/>
  <c r="Q25" i="12" s="1"/>
  <c r="L25" i="13"/>
  <c r="Q25" i="13" s="1"/>
  <c r="Q18" i="11"/>
  <c r="AB18" i="11" s="1"/>
  <c r="L18" i="12"/>
  <c r="Q18" i="12" s="1"/>
  <c r="L18" i="13"/>
  <c r="Q18" i="13" s="1"/>
  <c r="Q28" i="11"/>
  <c r="AB28" i="11" s="1"/>
  <c r="L28" i="12"/>
  <c r="Q28" i="12" s="1"/>
  <c r="L28" i="13"/>
  <c r="Q28" i="13" s="1"/>
  <c r="Q6" i="11"/>
  <c r="AB6" i="11" s="1"/>
  <c r="L6" i="12"/>
  <c r="Q6" i="12" s="1"/>
  <c r="L6" i="13"/>
  <c r="Q6" i="13" s="1"/>
  <c r="AB57" i="8"/>
  <c r="Q40" i="11"/>
  <c r="AB40" i="11" s="1"/>
  <c r="L40" i="12"/>
  <c r="Q40" i="12" s="1"/>
  <c r="L40" i="13"/>
  <c r="Q40" i="13" s="1"/>
  <c r="Q35" i="11"/>
  <c r="AB35" i="11" s="1"/>
  <c r="X35" i="25" s="1"/>
  <c r="Y35" i="25" s="1"/>
  <c r="L35" i="12"/>
  <c r="Q35" i="12" s="1"/>
  <c r="L35" i="13"/>
  <c r="Q35" i="13" s="1"/>
  <c r="Q15" i="11"/>
  <c r="AB15" i="11" s="1"/>
  <c r="X15" i="25" s="1"/>
  <c r="Y15" i="25" s="1"/>
  <c r="L15" i="12"/>
  <c r="Q15" i="12" s="1"/>
  <c r="L15" i="13"/>
  <c r="Q15" i="13" s="1"/>
  <c r="Q11" i="11"/>
  <c r="AB11" i="11" s="1"/>
  <c r="L11" i="12"/>
  <c r="Q11" i="12" s="1"/>
  <c r="L11" i="13"/>
  <c r="Q11" i="13" s="1"/>
  <c r="Q8" i="11"/>
  <c r="AB8" i="11" s="1"/>
  <c r="L8" i="12"/>
  <c r="Q8" i="12" s="1"/>
  <c r="L8" i="13"/>
  <c r="Q8" i="13" s="1"/>
  <c r="Q37" i="11"/>
  <c r="AB37" i="11" s="1"/>
  <c r="L37" i="12"/>
  <c r="Q37" i="12" s="1"/>
  <c r="L37" i="13"/>
  <c r="Q37" i="13" s="1"/>
  <c r="Q20" i="11"/>
  <c r="AB20" i="11" s="1"/>
  <c r="X20" i="25" s="1"/>
  <c r="Y20" i="25" s="1"/>
  <c r="L20" i="12"/>
  <c r="Q20" i="12" s="1"/>
  <c r="L20" i="13"/>
  <c r="Q20" i="13" s="1"/>
  <c r="Q39" i="11"/>
  <c r="AB39" i="11" s="1"/>
  <c r="L39" i="12"/>
  <c r="Q39" i="12" s="1"/>
  <c r="L39" i="13"/>
  <c r="Q39" i="13" s="1"/>
  <c r="Q13" i="11"/>
  <c r="AB13" i="11" s="1"/>
  <c r="L13" i="12"/>
  <c r="Q13" i="12" s="1"/>
  <c r="L13" i="13"/>
  <c r="Q13" i="13" s="1"/>
  <c r="AG61" i="6"/>
  <c r="AG59" i="9"/>
  <c r="AG59" i="8"/>
  <c r="AG59" i="7"/>
  <c r="E46" i="5"/>
  <c r="AB47" i="25" s="1"/>
  <c r="Y47" i="13"/>
  <c r="Y47" i="12"/>
  <c r="Y47" i="11"/>
  <c r="Y47" i="10"/>
  <c r="Q26" i="11"/>
  <c r="AB26" i="11" s="1"/>
  <c r="L26" i="12"/>
  <c r="Q26" i="12" s="1"/>
  <c r="L26" i="13"/>
  <c r="Q26" i="13" s="1"/>
  <c r="Q5" i="11"/>
  <c r="L5" i="12"/>
  <c r="L5" i="30" s="1"/>
  <c r="L49" i="30" s="1"/>
  <c r="L45" i="11"/>
  <c r="L5" i="13"/>
  <c r="Q41" i="11"/>
  <c r="AB41" i="11" s="1"/>
  <c r="L41" i="12"/>
  <c r="Q41" i="12" s="1"/>
  <c r="L41" i="13"/>
  <c r="Q41" i="13" s="1"/>
  <c r="Q43" i="11"/>
  <c r="AB43" i="11" s="1"/>
  <c r="L43" i="12"/>
  <c r="Q43" i="12" s="1"/>
  <c r="L43" i="13"/>
  <c r="Q43" i="13" s="1"/>
  <c r="Q24" i="11"/>
  <c r="AB24" i="11" s="1"/>
  <c r="L24" i="12"/>
  <c r="Q24" i="12" s="1"/>
  <c r="L24" i="13"/>
  <c r="Q24" i="13" s="1"/>
  <c r="Q22" i="11"/>
  <c r="AB22" i="11" s="1"/>
  <c r="L22" i="12"/>
  <c r="Q22" i="12" s="1"/>
  <c r="L22" i="13"/>
  <c r="Q22" i="13" s="1"/>
  <c r="Q10" i="11"/>
  <c r="AB10" i="11" s="1"/>
  <c r="L10" i="12"/>
  <c r="Q10" i="12" s="1"/>
  <c r="L10" i="13"/>
  <c r="Q10" i="13" s="1"/>
  <c r="S53" i="9"/>
  <c r="S53" i="29" s="1"/>
  <c r="S109" i="29" s="1"/>
  <c r="S5" i="9"/>
  <c r="S5" i="29" s="1"/>
  <c r="S61" i="29" s="1"/>
  <c r="S41" i="9"/>
  <c r="S41" i="29" s="1"/>
  <c r="S97" i="29" s="1"/>
  <c r="S14" i="9"/>
  <c r="S14" i="29" s="1"/>
  <c r="S70" i="29" s="1"/>
  <c r="S15" i="9"/>
  <c r="S15" i="29" s="1"/>
  <c r="S71" i="29" s="1"/>
  <c r="S30" i="9"/>
  <c r="S30" i="29" s="1"/>
  <c r="S86" i="29" s="1"/>
  <c r="S34" i="9"/>
  <c r="S34" i="29" s="1"/>
  <c r="S90" i="29" s="1"/>
  <c r="S49" i="9"/>
  <c r="S49" i="29" s="1"/>
  <c r="S105" i="29" s="1"/>
  <c r="S32" i="9"/>
  <c r="S32" i="29" s="1"/>
  <c r="S88" i="29" s="1"/>
  <c r="S18" i="9"/>
  <c r="S18" i="29" s="1"/>
  <c r="S74" i="29" s="1"/>
  <c r="S45" i="9"/>
  <c r="S45" i="29" s="1"/>
  <c r="S101" i="29" s="1"/>
  <c r="S24" i="9"/>
  <c r="S24" i="29" s="1"/>
  <c r="S80" i="29" s="1"/>
  <c r="S36" i="9"/>
  <c r="S36" i="29" s="1"/>
  <c r="S92" i="29" s="1"/>
  <c r="S52" i="9"/>
  <c r="S52" i="29" s="1"/>
  <c r="S108" i="29" s="1"/>
  <c r="S55" i="9"/>
  <c r="S55" i="29" s="1"/>
  <c r="S111" i="29" s="1"/>
  <c r="S19" i="9"/>
  <c r="S19" i="29" s="1"/>
  <c r="S75" i="29" s="1"/>
  <c r="S20" i="9"/>
  <c r="S20" i="29" s="1"/>
  <c r="S76" i="29" s="1"/>
  <c r="S6" i="9"/>
  <c r="S6" i="29" s="1"/>
  <c r="S62" i="29" s="1"/>
  <c r="S47" i="9"/>
  <c r="S47" i="29" s="1"/>
  <c r="S103" i="29" s="1"/>
  <c r="S39" i="9"/>
  <c r="S39" i="29" s="1"/>
  <c r="S95" i="29" s="1"/>
  <c r="S44" i="9"/>
  <c r="S44" i="29" s="1"/>
  <c r="S100" i="29" s="1"/>
  <c r="S27" i="9"/>
  <c r="S27" i="29" s="1"/>
  <c r="S83" i="29" s="1"/>
  <c r="S31" i="9"/>
  <c r="S31" i="29" s="1"/>
  <c r="S87" i="29" s="1"/>
  <c r="S12" i="9"/>
  <c r="S12" i="29" s="1"/>
  <c r="S68" i="29" s="1"/>
  <c r="S38" i="9"/>
  <c r="S38" i="29" s="1"/>
  <c r="S94" i="29" s="1"/>
  <c r="S54" i="9"/>
  <c r="S54" i="29" s="1"/>
  <c r="S110" i="29" s="1"/>
  <c r="S43" i="9"/>
  <c r="S43" i="29" s="1"/>
  <c r="S99" i="29" s="1"/>
  <c r="S9" i="9"/>
  <c r="S9" i="29" s="1"/>
  <c r="S65" i="29" s="1"/>
  <c r="S25" i="9"/>
  <c r="S25" i="29" s="1"/>
  <c r="S81" i="29" s="1"/>
  <c r="S29" i="9"/>
  <c r="S29" i="29" s="1"/>
  <c r="S85" i="29" s="1"/>
  <c r="S46" i="9"/>
  <c r="S46" i="29" s="1"/>
  <c r="S102" i="29" s="1"/>
  <c r="S23" i="9"/>
  <c r="S23" i="29" s="1"/>
  <c r="S79" i="29" s="1"/>
  <c r="S11" i="9"/>
  <c r="S11" i="29" s="1"/>
  <c r="S67" i="29" s="1"/>
  <c r="S26" i="9"/>
  <c r="S26" i="29" s="1"/>
  <c r="S82" i="29" s="1"/>
  <c r="S17" i="9"/>
  <c r="S17" i="29" s="1"/>
  <c r="S73" i="29" s="1"/>
  <c r="S28" i="9"/>
  <c r="S28" i="29" s="1"/>
  <c r="S84" i="29" s="1"/>
  <c r="S50" i="9"/>
  <c r="S50" i="29" s="1"/>
  <c r="S106" i="29" s="1"/>
  <c r="S8" i="9"/>
  <c r="S8" i="29" s="1"/>
  <c r="S64" i="29" s="1"/>
  <c r="S35" i="9"/>
  <c r="S35" i="29" s="1"/>
  <c r="S91" i="29" s="1"/>
  <c r="S7" i="9"/>
  <c r="S7" i="29" s="1"/>
  <c r="S63" i="29" s="1"/>
  <c r="S48" i="9"/>
  <c r="S48" i="29" s="1"/>
  <c r="S104" i="29" s="1"/>
  <c r="S13" i="9"/>
  <c r="S13" i="29" s="1"/>
  <c r="S69" i="29" s="1"/>
  <c r="S42" i="9"/>
  <c r="S42" i="29" s="1"/>
  <c r="S98" i="29" s="1"/>
  <c r="S16" i="9"/>
  <c r="S16" i="29" s="1"/>
  <c r="S72" i="29" s="1"/>
  <c r="S21" i="9"/>
  <c r="S21" i="29" s="1"/>
  <c r="S77" i="29" s="1"/>
  <c r="S51" i="9"/>
  <c r="S51" i="29" s="1"/>
  <c r="S107" i="29" s="1"/>
  <c r="S37" i="9"/>
  <c r="S37" i="29" s="1"/>
  <c r="S93" i="29" s="1"/>
  <c r="S10" i="9"/>
  <c r="S10" i="29" s="1"/>
  <c r="S66" i="29" s="1"/>
  <c r="S33" i="9"/>
  <c r="S33" i="29" s="1"/>
  <c r="S89" i="29" s="1"/>
  <c r="S40" i="9"/>
  <c r="S40" i="29" s="1"/>
  <c r="S96" i="29" s="1"/>
  <c r="S22" i="9"/>
  <c r="S22" i="29" s="1"/>
  <c r="S78" i="29" s="1"/>
  <c r="Q16" i="11"/>
  <c r="AB16" i="11" s="1"/>
  <c r="X16" i="25" s="1"/>
  <c r="Y16" i="25" s="1"/>
  <c r="L16" i="12"/>
  <c r="Q16" i="12" s="1"/>
  <c r="L16" i="13"/>
  <c r="Q16" i="13" s="1"/>
  <c r="L31" i="12"/>
  <c r="Q31" i="12" s="1"/>
  <c r="Q31" i="11"/>
  <c r="AB31" i="11" s="1"/>
  <c r="L31" i="13"/>
  <c r="Q31" i="13" s="1"/>
  <c r="Q14" i="11"/>
  <c r="AB14" i="11" s="1"/>
  <c r="X14" i="25" s="1"/>
  <c r="Y14" i="25" s="1"/>
  <c r="L14" i="12"/>
  <c r="Q14" i="12" s="1"/>
  <c r="L14" i="13"/>
  <c r="Q14" i="13" s="1"/>
  <c r="Q34" i="11"/>
  <c r="AB34" i="11" s="1"/>
  <c r="L34" i="12"/>
  <c r="Q34" i="12" s="1"/>
  <c r="L34" i="13"/>
  <c r="Q34" i="13" s="1"/>
  <c r="Q30" i="11"/>
  <c r="AB30" i="11" s="1"/>
  <c r="L30" i="12"/>
  <c r="Q30" i="12" s="1"/>
  <c r="L30" i="13"/>
  <c r="Q30" i="13" s="1"/>
  <c r="Q21" i="11"/>
  <c r="AB21" i="11" s="1"/>
  <c r="X21" i="25" s="1"/>
  <c r="Y21" i="25" s="1"/>
  <c r="L21" i="12"/>
  <c r="Q21" i="12" s="1"/>
  <c r="L21" i="13"/>
  <c r="Q21" i="13" s="1"/>
  <c r="Q7" i="11"/>
  <c r="AB7" i="11" s="1"/>
  <c r="L7" i="12"/>
  <c r="Q7" i="12" s="1"/>
  <c r="L7" i="13"/>
  <c r="Q7" i="13" s="1"/>
  <c r="B9" i="32" l="1"/>
  <c r="X13" i="25"/>
  <c r="Y13" i="25" s="1"/>
  <c r="X40" i="25"/>
  <c r="Y40" i="25" s="1"/>
  <c r="X27" i="25"/>
  <c r="Y27" i="25" s="1"/>
  <c r="X42" i="25"/>
  <c r="Y42" i="25" s="1"/>
  <c r="L30" i="30"/>
  <c r="L74" i="30" s="1"/>
  <c r="X7" i="25"/>
  <c r="Y7" i="25" s="1"/>
  <c r="X37" i="25"/>
  <c r="Y37" i="25" s="1"/>
  <c r="L12" i="30"/>
  <c r="L56" i="30" s="1"/>
  <c r="L34" i="30"/>
  <c r="L78" i="30" s="1"/>
  <c r="X43" i="25"/>
  <c r="Y43" i="25" s="1"/>
  <c r="X18" i="25"/>
  <c r="Y18" i="25" s="1"/>
  <c r="L14" i="30"/>
  <c r="L58" i="30" s="1"/>
  <c r="L33" i="30"/>
  <c r="L77" i="30" s="1"/>
  <c r="X34" i="25"/>
  <c r="Y34" i="25" s="1"/>
  <c r="X39" i="25"/>
  <c r="Y39" i="25" s="1"/>
  <c r="X12" i="25"/>
  <c r="Y12" i="25" s="1"/>
  <c r="AM59" i="7"/>
  <c r="L6" i="30"/>
  <c r="L50" i="30" s="1"/>
  <c r="B11" i="32" s="1"/>
  <c r="L23" i="30"/>
  <c r="L67" i="30" s="1"/>
  <c r="L19" i="30"/>
  <c r="L63" i="30" s="1"/>
  <c r="L31" i="30"/>
  <c r="L75" i="30" s="1"/>
  <c r="L22" i="30"/>
  <c r="L66" i="30" s="1"/>
  <c r="L35" i="30"/>
  <c r="L79" i="30" s="1"/>
  <c r="L25" i="30"/>
  <c r="L69" i="30" s="1"/>
  <c r="X22" i="25"/>
  <c r="Y22" i="25" s="1"/>
  <c r="X26" i="25"/>
  <c r="Y26" i="25" s="1"/>
  <c r="X8" i="25"/>
  <c r="Y8" i="25" s="1"/>
  <c r="X6" i="25"/>
  <c r="Y6" i="25" s="1"/>
  <c r="X17" i="25"/>
  <c r="Y17" i="25" s="1"/>
  <c r="X9" i="25"/>
  <c r="Y9" i="25" s="1"/>
  <c r="L45" i="25"/>
  <c r="Q5" i="25"/>
  <c r="X10" i="25"/>
  <c r="Y10" i="25" s="1"/>
  <c r="I9" i="31"/>
  <c r="I7" i="31"/>
  <c r="I13" i="31" s="1"/>
  <c r="I11" i="31"/>
  <c r="X41" i="25"/>
  <c r="Y41" i="25" s="1"/>
  <c r="X25" i="25"/>
  <c r="Y25" i="25" s="1"/>
  <c r="X38" i="25"/>
  <c r="Y38" i="25" s="1"/>
  <c r="L18" i="30"/>
  <c r="L62" i="30" s="1"/>
  <c r="L27" i="30"/>
  <c r="L71" i="30" s="1"/>
  <c r="L32" i="30"/>
  <c r="L76" i="30" s="1"/>
  <c r="L29" i="30"/>
  <c r="L73" i="30" s="1"/>
  <c r="N15" i="31"/>
  <c r="N14" i="31"/>
  <c r="L26" i="30"/>
  <c r="L70" i="30" s="1"/>
  <c r="L24" i="30"/>
  <c r="L68" i="30" s="1"/>
  <c r="L8" i="30"/>
  <c r="L52" i="30" s="1"/>
  <c r="L40" i="30"/>
  <c r="L84" i="30" s="1"/>
  <c r="L39" i="30"/>
  <c r="L83" i="30" s="1"/>
  <c r="L15" i="30"/>
  <c r="L59" i="30" s="1"/>
  <c r="L7" i="30"/>
  <c r="L51" i="30" s="1"/>
  <c r="Q45" i="25"/>
  <c r="X30" i="25"/>
  <c r="Y30" i="25" s="1"/>
  <c r="X31" i="25"/>
  <c r="Y31" i="25" s="1"/>
  <c r="X24" i="25"/>
  <c r="Y24" i="25" s="1"/>
  <c r="X11" i="25"/>
  <c r="Y11" i="25" s="1"/>
  <c r="X28" i="25"/>
  <c r="Y28" i="25" s="1"/>
  <c r="X32" i="25"/>
  <c r="Y32" i="25" s="1"/>
  <c r="X23" i="25"/>
  <c r="Y23" i="25" s="1"/>
  <c r="L37" i="30"/>
  <c r="L81" i="30" s="1"/>
  <c r="L38" i="30"/>
  <c r="L82" i="30" s="1"/>
  <c r="L9" i="30"/>
  <c r="L53" i="30" s="1"/>
  <c r="L36" i="30"/>
  <c r="L80" i="30" s="1"/>
  <c r="L16" i="30"/>
  <c r="L60" i="30" s="1"/>
  <c r="L21" i="30"/>
  <c r="L65" i="30" s="1"/>
  <c r="L43" i="30"/>
  <c r="L87" i="30" s="1"/>
  <c r="L20" i="30"/>
  <c r="L64" i="30" s="1"/>
  <c r="L11" i="30"/>
  <c r="L55" i="30" s="1"/>
  <c r="AQ18" i="24"/>
  <c r="X11" i="12"/>
  <c r="Y11" i="12" s="1"/>
  <c r="X11" i="13"/>
  <c r="X19" i="12"/>
  <c r="Y19" i="12" s="1"/>
  <c r="X19" i="13"/>
  <c r="X30" i="12"/>
  <c r="Y30" i="12" s="1"/>
  <c r="X30" i="13"/>
  <c r="AB13" i="12"/>
  <c r="X23" i="12"/>
  <c r="Y23" i="12" s="1"/>
  <c r="AB23" i="12" s="1"/>
  <c r="X23" i="13"/>
  <c r="X28" i="12"/>
  <c r="Y28" i="12" s="1"/>
  <c r="X28" i="13"/>
  <c r="X24" i="12"/>
  <c r="Y24" i="12" s="1"/>
  <c r="AB24" i="12" s="1"/>
  <c r="X24" i="13"/>
  <c r="X31" i="12"/>
  <c r="Y31" i="12" s="1"/>
  <c r="AB31" i="12" s="1"/>
  <c r="X31" i="13"/>
  <c r="X32" i="12"/>
  <c r="Y32" i="12" s="1"/>
  <c r="AB32" i="12" s="1"/>
  <c r="X32" i="13"/>
  <c r="Q5" i="12"/>
  <c r="L45" i="12"/>
  <c r="X13" i="12"/>
  <c r="Y13" i="12" s="1"/>
  <c r="X13" i="13"/>
  <c r="X40" i="12"/>
  <c r="Y40" i="12" s="1"/>
  <c r="AB40" i="12" s="1"/>
  <c r="X40" i="13"/>
  <c r="X33" i="12"/>
  <c r="Y33" i="12" s="1"/>
  <c r="X33" i="13"/>
  <c r="X27" i="12"/>
  <c r="Y27" i="12" s="1"/>
  <c r="AB27" i="12" s="1"/>
  <c r="X27" i="13"/>
  <c r="X42" i="12"/>
  <c r="Y42" i="12" s="1"/>
  <c r="AB42" i="12" s="1"/>
  <c r="X42" i="13"/>
  <c r="X7" i="12"/>
  <c r="Y7" i="12" s="1"/>
  <c r="AB7" i="12" s="1"/>
  <c r="X7" i="13"/>
  <c r="X10" i="12"/>
  <c r="Y10" i="12" s="1"/>
  <c r="AB10" i="12" s="1"/>
  <c r="X10" i="13"/>
  <c r="Q45" i="11"/>
  <c r="AB5" i="11"/>
  <c r="AB47" i="12"/>
  <c r="AB47" i="13"/>
  <c r="AB47" i="10"/>
  <c r="AB47" i="11"/>
  <c r="X37" i="12"/>
  <c r="Y37" i="12" s="1"/>
  <c r="AB37" i="12" s="1"/>
  <c r="X37" i="13"/>
  <c r="AB33" i="12"/>
  <c r="X34" i="12"/>
  <c r="Y34" i="12" s="1"/>
  <c r="AB34" i="12" s="1"/>
  <c r="X34" i="13"/>
  <c r="X43" i="12"/>
  <c r="Y43" i="12" s="1"/>
  <c r="AB43" i="12" s="1"/>
  <c r="X43" i="13"/>
  <c r="X15" i="12"/>
  <c r="Y15" i="12" s="1"/>
  <c r="AB15" i="12" s="1"/>
  <c r="X15" i="13"/>
  <c r="X18" i="12"/>
  <c r="Y18" i="12" s="1"/>
  <c r="AB18" i="12" s="1"/>
  <c r="X18" i="13"/>
  <c r="X36" i="12"/>
  <c r="Y36" i="12" s="1"/>
  <c r="AB36" i="12" s="1"/>
  <c r="X36" i="13"/>
  <c r="X16" i="12"/>
  <c r="Y16" i="12" s="1"/>
  <c r="AB16" i="12" s="1"/>
  <c r="X16" i="13"/>
  <c r="X39" i="12"/>
  <c r="Y39" i="12" s="1"/>
  <c r="AB39" i="12" s="1"/>
  <c r="X39" i="13"/>
  <c r="X12" i="12"/>
  <c r="Y12" i="12" s="1"/>
  <c r="AB12" i="12" s="1"/>
  <c r="X12" i="13"/>
  <c r="X21" i="12"/>
  <c r="Y21" i="12" s="1"/>
  <c r="AB21" i="12" s="1"/>
  <c r="X21" i="13"/>
  <c r="X22" i="12"/>
  <c r="Y22" i="12" s="1"/>
  <c r="AB22" i="12" s="1"/>
  <c r="X22" i="13"/>
  <c r="X26" i="12"/>
  <c r="Y26" i="12" s="1"/>
  <c r="AB26" i="12" s="1"/>
  <c r="X26" i="13"/>
  <c r="X8" i="12"/>
  <c r="Y8" i="12" s="1"/>
  <c r="AB8" i="12" s="1"/>
  <c r="X8" i="13"/>
  <c r="X6" i="12"/>
  <c r="Y6" i="12" s="1"/>
  <c r="AB6" i="12" s="1"/>
  <c r="X6" i="13"/>
  <c r="X17" i="12"/>
  <c r="Y17" i="12" s="1"/>
  <c r="AB17" i="12" s="1"/>
  <c r="X17" i="13"/>
  <c r="X9" i="12"/>
  <c r="Y9" i="12" s="1"/>
  <c r="AB9" i="12" s="1"/>
  <c r="X9" i="13"/>
  <c r="X14" i="12"/>
  <c r="Y14" i="12" s="1"/>
  <c r="AB14" i="12" s="1"/>
  <c r="X14" i="13"/>
  <c r="S57" i="9"/>
  <c r="X41" i="12"/>
  <c r="Y41" i="12" s="1"/>
  <c r="AB41" i="12" s="1"/>
  <c r="X41" i="13"/>
  <c r="X35" i="12"/>
  <c r="Y35" i="12" s="1"/>
  <c r="AB35" i="12" s="1"/>
  <c r="X35" i="13"/>
  <c r="X25" i="12"/>
  <c r="Y25" i="12" s="1"/>
  <c r="AB25" i="12" s="1"/>
  <c r="X25" i="13"/>
  <c r="X38" i="12"/>
  <c r="Y38" i="12" s="1"/>
  <c r="AB38" i="12" s="1"/>
  <c r="X38" i="13"/>
  <c r="AB30" i="12"/>
  <c r="Q5" i="13"/>
  <c r="L45" i="13"/>
  <c r="X20" i="12"/>
  <c r="Y20" i="12" s="1"/>
  <c r="AB20" i="12" s="1"/>
  <c r="X20" i="13"/>
  <c r="AB11" i="12"/>
  <c r="AB28" i="12"/>
  <c r="X29" i="12"/>
  <c r="Y29" i="12" s="1"/>
  <c r="AB29" i="12" s="1"/>
  <c r="X29" i="13"/>
  <c r="AB19" i="12"/>
  <c r="I15" i="31" l="1"/>
  <c r="I14" i="31"/>
  <c r="B7" i="32"/>
  <c r="B13" i="32" s="1"/>
  <c r="AB45" i="11"/>
  <c r="X5" i="25"/>
  <c r="Y42" i="13"/>
  <c r="AB42" i="13" s="1"/>
  <c r="AA596" i="16" s="1"/>
  <c r="U42" i="30"/>
  <c r="U86" i="30" s="1"/>
  <c r="Y31" i="13"/>
  <c r="AB31" i="13" s="1"/>
  <c r="AJ31" i="25" s="1"/>
  <c r="U31" i="30"/>
  <c r="U75" i="30" s="1"/>
  <c r="Y27" i="13"/>
  <c r="AB27" i="13" s="1"/>
  <c r="AJ27" i="25" s="1"/>
  <c r="U27" i="30"/>
  <c r="U71" i="30" s="1"/>
  <c r="Y24" i="13"/>
  <c r="AB24" i="13" s="1"/>
  <c r="AJ24" i="25" s="1"/>
  <c r="U24" i="30"/>
  <c r="U68" i="30" s="1"/>
  <c r="Y13" i="13"/>
  <c r="AB13" i="13" s="1"/>
  <c r="AA322" i="16" s="1"/>
  <c r="AG322" i="16" s="1"/>
  <c r="U13" i="30"/>
  <c r="U57" i="30" s="1"/>
  <c r="Y17" i="13"/>
  <c r="AB17" i="13" s="1"/>
  <c r="AJ17" i="25" s="1"/>
  <c r="U17" i="30"/>
  <c r="U61" i="30" s="1"/>
  <c r="Y19" i="13"/>
  <c r="AB19" i="13" s="1"/>
  <c r="AJ19" i="25" s="1"/>
  <c r="U19" i="30"/>
  <c r="U63" i="30" s="1"/>
  <c r="Y22" i="13"/>
  <c r="AB22" i="13" s="1"/>
  <c r="AJ22" i="25" s="1"/>
  <c r="U22" i="30"/>
  <c r="U66" i="30" s="1"/>
  <c r="Y15" i="13"/>
  <c r="AB15" i="13" s="1"/>
  <c r="AJ15" i="25" s="1"/>
  <c r="U15" i="30"/>
  <c r="U59" i="30" s="1"/>
  <c r="Y37" i="13"/>
  <c r="AB37" i="13" s="1"/>
  <c r="AA494" i="16" s="1"/>
  <c r="U37" i="30"/>
  <c r="U81" i="30" s="1"/>
  <c r="Y10" i="13"/>
  <c r="AB10" i="13" s="1"/>
  <c r="AJ10" i="25" s="1"/>
  <c r="U10" i="30"/>
  <c r="U54" i="30" s="1"/>
  <c r="Y20" i="13"/>
  <c r="AB20" i="13" s="1"/>
  <c r="AJ20" i="25" s="1"/>
  <c r="U20" i="30"/>
  <c r="U64" i="30" s="1"/>
  <c r="Y41" i="13"/>
  <c r="AB41" i="13" s="1"/>
  <c r="AJ41" i="25" s="1"/>
  <c r="U41" i="30"/>
  <c r="U85" i="30" s="1"/>
  <c r="Y16" i="13"/>
  <c r="AB16" i="13" s="1"/>
  <c r="AJ16" i="25" s="1"/>
  <c r="U16" i="30"/>
  <c r="U60" i="30" s="1"/>
  <c r="Y33" i="13"/>
  <c r="AB33" i="13" s="1"/>
  <c r="AJ33" i="25" s="1"/>
  <c r="U33" i="30"/>
  <c r="U77" i="30" s="1"/>
  <c r="Y28" i="13"/>
  <c r="AB28" i="13" s="1"/>
  <c r="AJ28" i="25" s="1"/>
  <c r="U28" i="30"/>
  <c r="U72" i="30" s="1"/>
  <c r="Y6" i="13"/>
  <c r="AB6" i="13" s="1"/>
  <c r="AJ6" i="25" s="1"/>
  <c r="U6" i="30"/>
  <c r="U50" i="30" s="1"/>
  <c r="Y21" i="13"/>
  <c r="AB21" i="13" s="1"/>
  <c r="AJ21" i="25" s="1"/>
  <c r="U21" i="30"/>
  <c r="U65" i="30" s="1"/>
  <c r="Y43" i="13"/>
  <c r="AB43" i="13" s="1"/>
  <c r="AJ43" i="25" s="1"/>
  <c r="U43" i="30"/>
  <c r="U87" i="30" s="1"/>
  <c r="Y11" i="13"/>
  <c r="AB11" i="13" s="1"/>
  <c r="AJ11" i="25" s="1"/>
  <c r="U11" i="30"/>
  <c r="U55" i="30" s="1"/>
  <c r="Y23" i="13"/>
  <c r="AB23" i="13" s="1"/>
  <c r="AJ23" i="25" s="1"/>
  <c r="U23" i="30"/>
  <c r="U67" i="30" s="1"/>
  <c r="Y35" i="13"/>
  <c r="AB35" i="13" s="1"/>
  <c r="AJ35" i="25" s="1"/>
  <c r="U35" i="30"/>
  <c r="U79" i="30" s="1"/>
  <c r="Y9" i="13"/>
  <c r="AB9" i="13" s="1"/>
  <c r="AJ9" i="25" s="1"/>
  <c r="U9" i="30"/>
  <c r="U53" i="30" s="1"/>
  <c r="Y26" i="13"/>
  <c r="AB26" i="13" s="1"/>
  <c r="AJ26" i="25" s="1"/>
  <c r="U26" i="30"/>
  <c r="U70" i="30" s="1"/>
  <c r="Y39" i="13"/>
  <c r="AB39" i="13" s="1"/>
  <c r="AA432" i="16" s="1"/>
  <c r="U39" i="30"/>
  <c r="U83" i="30" s="1"/>
  <c r="Y18" i="13"/>
  <c r="AB18" i="13" s="1"/>
  <c r="AJ18" i="25" s="1"/>
  <c r="U18" i="30"/>
  <c r="U62" i="30" s="1"/>
  <c r="Y30" i="13"/>
  <c r="AB30" i="13" s="1"/>
  <c r="AJ30" i="25" s="1"/>
  <c r="U30" i="30"/>
  <c r="U74" i="30" s="1"/>
  <c r="Y38" i="13"/>
  <c r="AB38" i="13" s="1"/>
  <c r="AJ38" i="25" s="1"/>
  <c r="U38" i="30"/>
  <c r="U82" i="30" s="1"/>
  <c r="Y29" i="13"/>
  <c r="AB29" i="13" s="1"/>
  <c r="AJ29" i="25" s="1"/>
  <c r="U29" i="30"/>
  <c r="U73" i="30" s="1"/>
  <c r="Y25" i="13"/>
  <c r="AB25" i="13" s="1"/>
  <c r="AJ25" i="25" s="1"/>
  <c r="U25" i="30"/>
  <c r="U69" i="30" s="1"/>
  <c r="Y36" i="13"/>
  <c r="AB36" i="13" s="1"/>
  <c r="AJ36" i="25" s="1"/>
  <c r="U36" i="30"/>
  <c r="U80" i="30" s="1"/>
  <c r="Y7" i="13"/>
  <c r="AB7" i="13" s="1"/>
  <c r="G18" i="23" s="1"/>
  <c r="I18" i="23" s="1"/>
  <c r="U7" i="30"/>
  <c r="U51" i="30" s="1"/>
  <c r="Y32" i="13"/>
  <c r="AB32" i="13" s="1"/>
  <c r="AJ32" i="25" s="1"/>
  <c r="U32" i="30"/>
  <c r="U76" i="30" s="1"/>
  <c r="Y14" i="13"/>
  <c r="AB14" i="13" s="1"/>
  <c r="AJ14" i="25" s="1"/>
  <c r="U14" i="30"/>
  <c r="U58" i="30" s="1"/>
  <c r="Y8" i="13"/>
  <c r="AB8" i="13" s="1"/>
  <c r="G14" i="23" s="1"/>
  <c r="I14" i="23" s="1"/>
  <c r="U8" i="30"/>
  <c r="U52" i="30" s="1"/>
  <c r="Y12" i="13"/>
  <c r="AB12" i="13" s="1"/>
  <c r="AA299" i="16" s="1"/>
  <c r="U12" i="30"/>
  <c r="U56" i="30" s="1"/>
  <c r="Y34" i="13"/>
  <c r="AB34" i="13" s="1"/>
  <c r="AJ34" i="25" s="1"/>
  <c r="U34" i="30"/>
  <c r="U78" i="30" s="1"/>
  <c r="Y40" i="13"/>
  <c r="AB40" i="13" s="1"/>
  <c r="AA222" i="17" s="1"/>
  <c r="U40" i="30"/>
  <c r="U84" i="30" s="1"/>
  <c r="AJ42" i="25"/>
  <c r="AA114" i="17"/>
  <c r="AA593" i="16"/>
  <c r="AA604" i="16"/>
  <c r="AA427" i="16"/>
  <c r="AA496" i="16"/>
  <c r="AA452" i="16"/>
  <c r="AA360" i="16"/>
  <c r="AG360" i="16" s="1"/>
  <c r="Q45" i="13"/>
  <c r="X5" i="12"/>
  <c r="X5" i="13"/>
  <c r="U5" i="30" s="1"/>
  <c r="U49" i="30" s="1"/>
  <c r="Q45" i="12"/>
  <c r="AA157" i="17" l="1"/>
  <c r="AA492" i="16"/>
  <c r="AA355" i="16"/>
  <c r="AG355" i="16" s="1"/>
  <c r="AA150" i="17"/>
  <c r="AA450" i="16"/>
  <c r="AA487" i="16"/>
  <c r="AA129" i="17"/>
  <c r="AA154" i="17"/>
  <c r="AA453" i="16"/>
  <c r="AA361" i="16"/>
  <c r="AG361" i="16" s="1"/>
  <c r="AA490" i="16"/>
  <c r="AA357" i="16"/>
  <c r="AG357" i="16" s="1"/>
  <c r="AA415" i="16"/>
  <c r="AG415" i="16" s="1"/>
  <c r="AA486" i="16"/>
  <c r="AA358" i="16"/>
  <c r="AG358" i="16" s="1"/>
  <c r="AA392" i="16"/>
  <c r="AG392" i="16" s="1"/>
  <c r="AA456" i="16"/>
  <c r="AA185" i="17"/>
  <c r="AA251" i="16"/>
  <c r="AA153" i="17"/>
  <c r="AA180" i="17"/>
  <c r="AA493" i="16"/>
  <c r="AA325" i="16"/>
  <c r="AG325" i="16" s="1"/>
  <c r="AA359" i="16"/>
  <c r="AG359" i="16" s="1"/>
  <c r="AA158" i="17"/>
  <c r="AA491" i="16"/>
  <c r="AA457" i="16"/>
  <c r="AA423" i="16"/>
  <c r="AG423" i="16" s="1"/>
  <c r="AA334" i="16"/>
  <c r="AG334" i="16" s="1"/>
  <c r="AA149" i="17"/>
  <c r="AA382" i="16"/>
  <c r="AG382" i="16" s="1"/>
  <c r="AA341" i="16"/>
  <c r="AG341" i="16" s="1"/>
  <c r="AA339" i="16"/>
  <c r="AG339" i="16" s="1"/>
  <c r="AA356" i="16"/>
  <c r="AG356" i="16" s="1"/>
  <c r="AA353" i="16"/>
  <c r="AG353" i="16" s="1"/>
  <c r="AA155" i="17"/>
  <c r="AA374" i="16"/>
  <c r="AG374" i="16" s="1"/>
  <c r="AA207" i="17"/>
  <c r="AA458" i="16"/>
  <c r="L458" i="21" s="1"/>
  <c r="O458" i="21" s="1"/>
  <c r="AA451" i="16"/>
  <c r="AG451" i="16" s="1"/>
  <c r="AA488" i="16"/>
  <c r="AA136" i="17"/>
  <c r="AA323" i="16"/>
  <c r="AG323" i="16" s="1"/>
  <c r="AA350" i="16"/>
  <c r="AA354" i="16"/>
  <c r="AG354" i="16" s="1"/>
  <c r="AA148" i="17"/>
  <c r="AA411" i="16"/>
  <c r="AG411" i="16" s="1"/>
  <c r="AA417" i="16"/>
  <c r="AG417" i="16" s="1"/>
  <c r="AA459" i="16"/>
  <c r="AA485" i="16"/>
  <c r="AA449" i="16"/>
  <c r="AA602" i="16"/>
  <c r="AJ37" i="25"/>
  <c r="AA283" i="16"/>
  <c r="AA351" i="16"/>
  <c r="AG351" i="16" s="1"/>
  <c r="AA147" i="17"/>
  <c r="AA152" i="17"/>
  <c r="AA403" i="16"/>
  <c r="AG403" i="16" s="1"/>
  <c r="AA200" i="17"/>
  <c r="AA460" i="16"/>
  <c r="AA454" i="16"/>
  <c r="AA489" i="16"/>
  <c r="AA595" i="16"/>
  <c r="AA337" i="16"/>
  <c r="AG337" i="16" s="1"/>
  <c r="AA352" i="16"/>
  <c r="AG352" i="16" s="1"/>
  <c r="AA151" i="17"/>
  <c r="AA156" i="17"/>
  <c r="AA163" i="17"/>
  <c r="AA455" i="16"/>
  <c r="AA495" i="16"/>
  <c r="AA344" i="16"/>
  <c r="AG344" i="16" s="1"/>
  <c r="AA540" i="16"/>
  <c r="AG540" i="16" s="1"/>
  <c r="AA253" i="16"/>
  <c r="AA126" i="17"/>
  <c r="AA418" i="16"/>
  <c r="AG418" i="16" s="1"/>
  <c r="AA195" i="17"/>
  <c r="AA190" i="17"/>
  <c r="AA462" i="16"/>
  <c r="AA333" i="16"/>
  <c r="AG333" i="16" s="1"/>
  <c r="AA404" i="16"/>
  <c r="AG404" i="16" s="1"/>
  <c r="AA389" i="16"/>
  <c r="AG389" i="16" s="1"/>
  <c r="AA217" i="17"/>
  <c r="AA212" i="17"/>
  <c r="AA328" i="16"/>
  <c r="AG328" i="16" s="1"/>
  <c r="AA410" i="16"/>
  <c r="AG410" i="16" s="1"/>
  <c r="AA406" i="16"/>
  <c r="AG406" i="16" s="1"/>
  <c r="AA377" i="16"/>
  <c r="AG377" i="16" s="1"/>
  <c r="AA250" i="16"/>
  <c r="AG250" i="16" s="1"/>
  <c r="AA331" i="16"/>
  <c r="AG331" i="16" s="1"/>
  <c r="AA370" i="16"/>
  <c r="AG370" i="16" s="1"/>
  <c r="AA175" i="17"/>
  <c r="AA168" i="17"/>
  <c r="AA576" i="16"/>
  <c r="AA340" i="16"/>
  <c r="AG340" i="16" s="1"/>
  <c r="AA143" i="17"/>
  <c r="AA461" i="16"/>
  <c r="AG461" i="16" s="1"/>
  <c r="AA598" i="16"/>
  <c r="AA324" i="16"/>
  <c r="AG324" i="16" s="1"/>
  <c r="AA121" i="17"/>
  <c r="AA133" i="17"/>
  <c r="AA378" i="16"/>
  <c r="AG378" i="16" s="1"/>
  <c r="AA371" i="16"/>
  <c r="AG371" i="16" s="1"/>
  <c r="AA398" i="16"/>
  <c r="AG398" i="16" s="1"/>
  <c r="AA193" i="17"/>
  <c r="AA424" i="16"/>
  <c r="AG424" i="16" s="1"/>
  <c r="AA188" i="17"/>
  <c r="AA348" i="16"/>
  <c r="AG348" i="16" s="1"/>
  <c r="AA346" i="16"/>
  <c r="AG346" i="16" s="1"/>
  <c r="AA145" i="17"/>
  <c r="AA426" i="16"/>
  <c r="AA430" i="16"/>
  <c r="L430" i="21" s="1"/>
  <c r="O430" i="21" s="1"/>
  <c r="AA599" i="16"/>
  <c r="AG599" i="16" s="1"/>
  <c r="AA600" i="16"/>
  <c r="AA317" i="16"/>
  <c r="AG317" i="16" s="1"/>
  <c r="AA315" i="16"/>
  <c r="AG315" i="16" s="1"/>
  <c r="AA112" i="17"/>
  <c r="AJ13" i="25"/>
  <c r="AA241" i="16"/>
  <c r="AA335" i="16"/>
  <c r="AG335" i="16" s="1"/>
  <c r="AA132" i="17"/>
  <c r="AA367" i="16"/>
  <c r="AG367" i="16" s="1"/>
  <c r="AA387" i="16"/>
  <c r="AG387" i="16" s="1"/>
  <c r="AA159" i="17"/>
  <c r="AA201" i="17"/>
  <c r="AA393" i="16"/>
  <c r="AG393" i="16" s="1"/>
  <c r="AA196" i="17"/>
  <c r="AA349" i="16"/>
  <c r="AG349" i="16" s="1"/>
  <c r="AA347" i="16"/>
  <c r="AG347" i="16" s="1"/>
  <c r="AA138" i="17"/>
  <c r="AA428" i="16"/>
  <c r="AA470" i="16"/>
  <c r="AA603" i="16"/>
  <c r="AG603" i="16" s="1"/>
  <c r="AA601" i="16"/>
  <c r="AA318" i="16"/>
  <c r="AG318" i="16" s="1"/>
  <c r="AA111" i="17"/>
  <c r="AA116" i="17"/>
  <c r="Y5" i="25"/>
  <c r="Y45" i="25" s="1"/>
  <c r="X45" i="25"/>
  <c r="AA342" i="16"/>
  <c r="AG342" i="16" s="1"/>
  <c r="AA135" i="17"/>
  <c r="AA140" i="17"/>
  <c r="AA463" i="16"/>
  <c r="AA464" i="16"/>
  <c r="AG464" i="16" s="1"/>
  <c r="AA319" i="16"/>
  <c r="AG319" i="16" s="1"/>
  <c r="AA113" i="17"/>
  <c r="AA118" i="17"/>
  <c r="AJ39" i="25"/>
  <c r="AA388" i="16"/>
  <c r="AG388" i="16" s="1"/>
  <c r="AA380" i="16"/>
  <c r="AG380" i="16" s="1"/>
  <c r="AA419" i="16"/>
  <c r="AG419" i="16" s="1"/>
  <c r="AA171" i="17"/>
  <c r="AA215" i="17"/>
  <c r="AA166" i="17"/>
  <c r="AA208" i="17"/>
  <c r="AA343" i="16"/>
  <c r="AG343" i="16" s="1"/>
  <c r="AA137" i="17"/>
  <c r="AA142" i="17"/>
  <c r="AA434" i="16"/>
  <c r="AA472" i="16"/>
  <c r="L472" i="21" s="1"/>
  <c r="O472" i="21" s="1"/>
  <c r="AA594" i="16"/>
  <c r="AG594" i="16" s="1"/>
  <c r="AA547" i="16"/>
  <c r="AA320" i="16"/>
  <c r="AG320" i="16" s="1"/>
  <c r="AA115" i="17"/>
  <c r="AA120" i="17"/>
  <c r="AA139" i="17"/>
  <c r="AA144" i="17"/>
  <c r="AA466" i="16"/>
  <c r="AG466" i="16" s="1"/>
  <c r="AA425" i="16"/>
  <c r="AG425" i="16" s="1"/>
  <c r="AA321" i="16"/>
  <c r="AG321" i="16" s="1"/>
  <c r="AA117" i="17"/>
  <c r="AA122" i="17"/>
  <c r="AA246" i="16"/>
  <c r="AG246" i="16" s="1"/>
  <c r="AA127" i="17"/>
  <c r="AA375" i="16"/>
  <c r="AG375" i="16" s="1"/>
  <c r="AA383" i="16"/>
  <c r="AG383" i="16" s="1"/>
  <c r="AA413" i="16"/>
  <c r="AG413" i="16" s="1"/>
  <c r="AA179" i="17"/>
  <c r="AA376" i="16"/>
  <c r="AG376" i="16" s="1"/>
  <c r="AA174" i="17"/>
  <c r="AA216" i="17"/>
  <c r="AA345" i="16"/>
  <c r="AG345" i="16" s="1"/>
  <c r="AA141" i="17"/>
  <c r="AA146" i="17"/>
  <c r="AA467" i="16"/>
  <c r="AG467" i="16" s="1"/>
  <c r="AA479" i="16"/>
  <c r="AA597" i="16"/>
  <c r="AA316" i="16"/>
  <c r="AG316" i="16" s="1"/>
  <c r="AA314" i="16"/>
  <c r="AG314" i="16" s="1"/>
  <c r="AA119" i="17"/>
  <c r="AA228" i="17"/>
  <c r="AA338" i="16"/>
  <c r="AG338" i="16" s="1"/>
  <c r="AA436" i="16"/>
  <c r="AG436" i="16" s="1"/>
  <c r="AA190" i="16"/>
  <c r="AA543" i="16"/>
  <c r="AA545" i="16"/>
  <c r="AA191" i="16"/>
  <c r="L191" i="21" s="1"/>
  <c r="O191" i="21" s="1"/>
  <c r="AA336" i="16"/>
  <c r="AG336" i="16" s="1"/>
  <c r="AA124" i="17"/>
  <c r="AA365" i="16"/>
  <c r="AG365" i="16" s="1"/>
  <c r="AA379" i="16"/>
  <c r="AG379" i="16" s="1"/>
  <c r="AA362" i="16"/>
  <c r="AG362" i="16" s="1"/>
  <c r="AA381" i="16"/>
  <c r="AG381" i="16" s="1"/>
  <c r="AA414" i="16"/>
  <c r="AG414" i="16" s="1"/>
  <c r="AA177" i="17"/>
  <c r="AA199" i="17"/>
  <c r="AA219" i="17"/>
  <c r="AA385" i="16"/>
  <c r="AG385" i="16" s="1"/>
  <c r="AA172" i="17"/>
  <c r="AA192" i="17"/>
  <c r="AA214" i="17"/>
  <c r="AA562" i="16"/>
  <c r="AA76" i="16"/>
  <c r="AG76" i="16" s="1"/>
  <c r="AA227" i="17"/>
  <c r="AA330" i="16"/>
  <c r="AG330" i="16" s="1"/>
  <c r="AA130" i="17"/>
  <c r="AA391" i="16"/>
  <c r="AG391" i="16" s="1"/>
  <c r="AA368" i="16"/>
  <c r="AG368" i="16" s="1"/>
  <c r="AA402" i="16"/>
  <c r="AG402" i="16" s="1"/>
  <c r="AA397" i="16"/>
  <c r="AG397" i="16" s="1"/>
  <c r="AA161" i="17"/>
  <c r="AA183" i="17"/>
  <c r="AA203" i="17"/>
  <c r="AA384" i="16"/>
  <c r="AG384" i="16" s="1"/>
  <c r="AA409" i="16"/>
  <c r="AG409" i="16" s="1"/>
  <c r="AA176" i="17"/>
  <c r="AA198" i="17"/>
  <c r="AA220" i="17"/>
  <c r="AA516" i="16"/>
  <c r="L516" i="21" s="1"/>
  <c r="O516" i="21" s="1"/>
  <c r="AA525" i="16"/>
  <c r="AA78" i="16"/>
  <c r="G9" i="23"/>
  <c r="I9" i="23" s="1"/>
  <c r="AA77" i="16"/>
  <c r="AG77" i="16" s="1"/>
  <c r="AA503" i="16"/>
  <c r="AA565" i="16"/>
  <c r="AA87" i="16"/>
  <c r="AA326" i="16"/>
  <c r="AG326" i="16" s="1"/>
  <c r="AA125" i="17"/>
  <c r="AA134" i="17"/>
  <c r="AA366" i="16"/>
  <c r="AG366" i="16" s="1"/>
  <c r="AA412" i="16"/>
  <c r="AG412" i="16" s="1"/>
  <c r="AA363" i="16"/>
  <c r="AG363" i="16" s="1"/>
  <c r="AA421" i="16"/>
  <c r="AG421" i="16" s="1"/>
  <c r="AA167" i="17"/>
  <c r="AA187" i="17"/>
  <c r="AA209" i="17"/>
  <c r="AA408" i="16"/>
  <c r="AG408" i="16" s="1"/>
  <c r="AA160" i="17"/>
  <c r="AA182" i="17"/>
  <c r="AA204" i="17"/>
  <c r="AA468" i="16"/>
  <c r="AA429" i="16"/>
  <c r="AA465" i="16"/>
  <c r="L465" i="21" s="1"/>
  <c r="O465" i="21" s="1"/>
  <c r="AA506" i="16"/>
  <c r="AA534" i="16"/>
  <c r="AA96" i="16"/>
  <c r="AG96" i="16" s="1"/>
  <c r="AA169" i="17"/>
  <c r="AA191" i="17"/>
  <c r="AA211" i="17"/>
  <c r="AA416" i="16"/>
  <c r="AG416" i="16" s="1"/>
  <c r="AA164" i="17"/>
  <c r="AA184" i="17"/>
  <c r="AA206" i="17"/>
  <c r="AA523" i="16"/>
  <c r="AG523" i="16" s="1"/>
  <c r="AA512" i="16"/>
  <c r="L512" i="21" s="1"/>
  <c r="O512" i="21" s="1"/>
  <c r="AA189" i="16"/>
  <c r="AA252" i="16"/>
  <c r="AA327" i="16"/>
  <c r="AG327" i="16" s="1"/>
  <c r="AA123" i="17"/>
  <c r="AA128" i="17"/>
  <c r="AA420" i="16"/>
  <c r="AG420" i="16" s="1"/>
  <c r="AA394" i="16"/>
  <c r="AG394" i="16" s="1"/>
  <c r="AA396" i="16"/>
  <c r="AG396" i="16" s="1"/>
  <c r="AA386" i="16"/>
  <c r="AG386" i="16" s="1"/>
  <c r="AA373" i="16"/>
  <c r="AG373" i="16" s="1"/>
  <c r="AA390" i="16"/>
  <c r="AG390" i="16" s="1"/>
  <c r="AA165" i="17"/>
  <c r="AA181" i="17"/>
  <c r="AA197" i="17"/>
  <c r="AA213" i="17"/>
  <c r="AA400" i="16"/>
  <c r="AG400" i="16" s="1"/>
  <c r="AA401" i="16"/>
  <c r="AG401" i="16" s="1"/>
  <c r="AA170" i="17"/>
  <c r="AA186" i="17"/>
  <c r="AA202" i="17"/>
  <c r="AA218" i="17"/>
  <c r="AA431" i="16"/>
  <c r="AA469" i="16"/>
  <c r="AG469" i="16" s="1"/>
  <c r="AA433" i="16"/>
  <c r="L433" i="21" s="1"/>
  <c r="O433" i="21" s="1"/>
  <c r="AA555" i="16"/>
  <c r="AA501" i="16"/>
  <c r="AA544" i="16"/>
  <c r="L544" i="21" s="1"/>
  <c r="O544" i="21" s="1"/>
  <c r="AA193" i="16"/>
  <c r="AG193" i="16" s="1"/>
  <c r="AA74" i="16"/>
  <c r="AA589" i="16"/>
  <c r="AG589" i="16" s="1"/>
  <c r="AA439" i="16"/>
  <c r="AG439" i="16" s="1"/>
  <c r="AA548" i="16"/>
  <c r="AG548" i="16" s="1"/>
  <c r="AA572" i="16"/>
  <c r="AA541" i="16"/>
  <c r="AA513" i="16"/>
  <c r="L513" i="21" s="1"/>
  <c r="O513" i="21" s="1"/>
  <c r="AA194" i="16"/>
  <c r="AG194" i="16" s="1"/>
  <c r="AA75" i="16"/>
  <c r="AA232" i="16"/>
  <c r="AA332" i="16"/>
  <c r="AG332" i="16" s="1"/>
  <c r="AA329" i="16"/>
  <c r="AG329" i="16" s="1"/>
  <c r="AA131" i="17"/>
  <c r="AA364" i="16"/>
  <c r="AG364" i="16" s="1"/>
  <c r="AA407" i="16"/>
  <c r="AG407" i="16" s="1"/>
  <c r="AA395" i="16"/>
  <c r="AG395" i="16" s="1"/>
  <c r="AA399" i="16"/>
  <c r="AG399" i="16" s="1"/>
  <c r="AA372" i="16"/>
  <c r="AG372" i="16" s="1"/>
  <c r="AA405" i="16"/>
  <c r="AG405" i="16" s="1"/>
  <c r="AA422" i="16"/>
  <c r="AG422" i="16" s="1"/>
  <c r="AA173" i="17"/>
  <c r="AA189" i="17"/>
  <c r="AA205" i="17"/>
  <c r="AA221" i="17"/>
  <c r="AA369" i="16"/>
  <c r="AG369" i="16" s="1"/>
  <c r="AA162" i="17"/>
  <c r="AA178" i="17"/>
  <c r="AA194" i="17"/>
  <c r="AA210" i="17"/>
  <c r="AA471" i="16"/>
  <c r="AA435" i="16"/>
  <c r="L435" i="21" s="1"/>
  <c r="O435" i="21" s="1"/>
  <c r="AA478" i="16"/>
  <c r="AG478" i="16" s="1"/>
  <c r="AA551" i="16"/>
  <c r="AA514" i="16"/>
  <c r="AA518" i="16"/>
  <c r="AG518" i="16" s="1"/>
  <c r="AA577" i="16"/>
  <c r="AG577" i="16" s="1"/>
  <c r="AA203" i="16"/>
  <c r="AA225" i="17"/>
  <c r="AA554" i="16"/>
  <c r="AG554" i="16" s="1"/>
  <c r="AA515" i="16"/>
  <c r="L515" i="21" s="1"/>
  <c r="O515" i="21" s="1"/>
  <c r="AA566" i="16"/>
  <c r="AA192" i="16"/>
  <c r="AA260" i="16"/>
  <c r="L260" i="21" s="1"/>
  <c r="O260" i="21" s="1"/>
  <c r="AA232" i="17"/>
  <c r="AA229" i="17"/>
  <c r="AA286" i="16"/>
  <c r="AA288" i="16"/>
  <c r="AA125" i="16"/>
  <c r="L125" i="21" s="1"/>
  <c r="O125" i="21" s="1"/>
  <c r="AA136" i="16"/>
  <c r="AA130" i="16"/>
  <c r="AA141" i="16"/>
  <c r="L141" i="21" s="1"/>
  <c r="O141" i="21" s="1"/>
  <c r="AA235" i="16"/>
  <c r="AG235" i="16" s="1"/>
  <c r="AA236" i="16"/>
  <c r="AA230" i="16"/>
  <c r="AA239" i="16"/>
  <c r="AA140" i="16"/>
  <c r="AG140" i="16" s="1"/>
  <c r="AA233" i="16"/>
  <c r="AA242" i="16"/>
  <c r="AA243" i="16"/>
  <c r="AG243" i="16" s="1"/>
  <c r="AA244" i="16"/>
  <c r="AG244" i="16" s="1"/>
  <c r="AA245" i="16"/>
  <c r="AA238" i="16"/>
  <c r="AA247" i="16"/>
  <c r="AA484" i="16"/>
  <c r="AG484" i="16" s="1"/>
  <c r="AA447" i="16"/>
  <c r="AA446" i="16"/>
  <c r="AA564" i="16"/>
  <c r="L564" i="21" s="1"/>
  <c r="O564" i="21" s="1"/>
  <c r="AA507" i="16"/>
  <c r="AG507" i="16" s="1"/>
  <c r="AA511" i="16"/>
  <c r="AA499" i="16"/>
  <c r="AA533" i="16"/>
  <c r="AA550" i="16"/>
  <c r="AG550" i="16" s="1"/>
  <c r="AA497" i="16"/>
  <c r="AA308" i="16"/>
  <c r="AA304" i="16"/>
  <c r="AG304" i="16" s="1"/>
  <c r="AA92" i="16"/>
  <c r="AG92" i="16" s="1"/>
  <c r="AA94" i="16"/>
  <c r="AA196" i="16"/>
  <c r="AA254" i="16"/>
  <c r="AA230" i="17"/>
  <c r="AJ12" i="25"/>
  <c r="AJ7" i="25"/>
  <c r="AA240" i="16"/>
  <c r="AG240" i="16" s="1"/>
  <c r="AA249" i="16"/>
  <c r="AG249" i="16" s="1"/>
  <c r="AA278" i="16"/>
  <c r="AA279" i="16"/>
  <c r="AA280" i="16"/>
  <c r="AA281" i="16"/>
  <c r="L281" i="21" s="1"/>
  <c r="O281" i="21" s="1"/>
  <c r="AA282" i="16"/>
  <c r="AA442" i="16"/>
  <c r="AA482" i="16"/>
  <c r="L482" i="21" s="1"/>
  <c r="O482" i="21" s="1"/>
  <c r="AA440" i="16"/>
  <c r="AG440" i="16" s="1"/>
  <c r="AA535" i="16"/>
  <c r="AA539" i="16"/>
  <c r="AA575" i="16"/>
  <c r="AA531" i="16"/>
  <c r="L531" i="21" s="1"/>
  <c r="O531" i="21" s="1"/>
  <c r="AA549" i="16"/>
  <c r="AA529" i="16"/>
  <c r="AA309" i="16"/>
  <c r="AG309" i="16" s="1"/>
  <c r="AA305" i="16"/>
  <c r="AG305" i="16" s="1"/>
  <c r="AA256" i="16"/>
  <c r="AA258" i="16"/>
  <c r="AA89" i="16"/>
  <c r="AG89" i="16" s="1"/>
  <c r="AA91" i="16"/>
  <c r="AG91" i="16" s="1"/>
  <c r="AA591" i="16"/>
  <c r="AG591" i="16" s="1"/>
  <c r="G13" i="23"/>
  <c r="I13" i="23" s="1"/>
  <c r="AA297" i="16"/>
  <c r="AG297" i="16" s="1"/>
  <c r="AA285" i="16"/>
  <c r="AG285" i="16" s="1"/>
  <c r="AA123" i="16"/>
  <c r="AA474" i="16"/>
  <c r="AA483" i="16"/>
  <c r="AG483" i="16" s="1"/>
  <c r="AA448" i="16"/>
  <c r="AG448" i="16" s="1"/>
  <c r="AA302" i="16"/>
  <c r="AA313" i="16"/>
  <c r="AA248" i="16"/>
  <c r="AG248" i="16" s="1"/>
  <c r="AA289" i="16"/>
  <c r="AG289" i="16" s="1"/>
  <c r="AA284" i="16"/>
  <c r="AA126" i="16"/>
  <c r="AA127" i="16"/>
  <c r="AA128" i="16"/>
  <c r="AG128" i="16" s="1"/>
  <c r="AA129" i="16"/>
  <c r="AA122" i="16"/>
  <c r="AA131" i="16"/>
  <c r="AG131" i="16" s="1"/>
  <c r="AA443" i="16"/>
  <c r="AG443" i="16" s="1"/>
  <c r="AA437" i="16"/>
  <c r="AA480" i="16"/>
  <c r="AA500" i="16"/>
  <c r="AA567" i="16"/>
  <c r="L567" i="21" s="1"/>
  <c r="O567" i="21" s="1"/>
  <c r="AA508" i="16"/>
  <c r="AA498" i="16"/>
  <c r="AA563" i="16"/>
  <c r="AG563" i="16" s="1"/>
  <c r="AA502" i="16"/>
  <c r="AG502" i="16" s="1"/>
  <c r="AA528" i="16"/>
  <c r="AA561" i="16"/>
  <c r="AA310" i="16"/>
  <c r="AG310" i="16" s="1"/>
  <c r="AA298" i="16"/>
  <c r="AG298" i="16" s="1"/>
  <c r="AA93" i="16"/>
  <c r="AA187" i="16"/>
  <c r="AA205" i="16"/>
  <c r="AG205" i="16" s="1"/>
  <c r="AA255" i="16"/>
  <c r="AG255" i="16" s="1"/>
  <c r="AA226" i="17"/>
  <c r="AA293" i="16"/>
  <c r="AA475" i="16"/>
  <c r="AG475" i="16" s="1"/>
  <c r="AA445" i="16"/>
  <c r="AG445" i="16" s="1"/>
  <c r="AA441" i="16"/>
  <c r="AA295" i="16"/>
  <c r="AA291" i="16"/>
  <c r="AG291" i="16" s="1"/>
  <c r="AA135" i="16"/>
  <c r="L135" i="21" s="1"/>
  <c r="O135" i="21" s="1"/>
  <c r="AA139" i="16"/>
  <c r="AA124" i="16"/>
  <c r="AA133" i="16"/>
  <c r="AA142" i="16"/>
  <c r="AG142" i="16" s="1"/>
  <c r="AA143" i="16"/>
  <c r="AA144" i="16"/>
  <c r="AA145" i="16"/>
  <c r="L145" i="21" s="1"/>
  <c r="O145" i="21" s="1"/>
  <c r="AA138" i="16"/>
  <c r="AG138" i="16" s="1"/>
  <c r="AA231" i="16"/>
  <c r="AA444" i="16"/>
  <c r="AA477" i="16"/>
  <c r="L477" i="21" s="1"/>
  <c r="O477" i="21" s="1"/>
  <c r="AA473" i="16"/>
  <c r="L473" i="21" s="1"/>
  <c r="O473" i="21" s="1"/>
  <c r="AA532" i="16"/>
  <c r="AA522" i="16"/>
  <c r="AA556" i="16"/>
  <c r="L556" i="21" s="1"/>
  <c r="O556" i="21" s="1"/>
  <c r="AA530" i="16"/>
  <c r="AG530" i="16" s="1"/>
  <c r="AA517" i="16"/>
  <c r="AA526" i="16"/>
  <c r="AA560" i="16"/>
  <c r="AG560" i="16" s="1"/>
  <c r="AA292" i="16"/>
  <c r="AG292" i="16" s="1"/>
  <c r="AA303" i="16"/>
  <c r="AA307" i="16"/>
  <c r="AA257" i="16"/>
  <c r="AG257" i="16" s="1"/>
  <c r="AA80" i="16"/>
  <c r="AG80" i="16" s="1"/>
  <c r="AA90" i="16"/>
  <c r="AA582" i="16"/>
  <c r="AG582" i="16" s="1"/>
  <c r="AA223" i="17"/>
  <c r="AA287" i="16"/>
  <c r="AG287" i="16" s="1"/>
  <c r="AA134" i="16"/>
  <c r="AA137" i="16"/>
  <c r="AA132" i="16"/>
  <c r="AG132" i="16" s="1"/>
  <c r="AA234" i="16"/>
  <c r="L234" i="21" s="1"/>
  <c r="O234" i="21" s="1"/>
  <c r="AA237" i="16"/>
  <c r="AA476" i="16"/>
  <c r="AA438" i="16"/>
  <c r="AA481" i="16"/>
  <c r="AG481" i="16" s="1"/>
  <c r="AA300" i="16"/>
  <c r="AA311" i="16"/>
  <c r="AA510" i="16"/>
  <c r="AG510" i="16" s="1"/>
  <c r="AA574" i="16"/>
  <c r="AG574" i="16" s="1"/>
  <c r="AA552" i="16"/>
  <c r="AA521" i="16"/>
  <c r="AA110" i="17"/>
  <c r="AA264" i="16"/>
  <c r="AG264" i="16" s="1"/>
  <c r="AA265" i="16"/>
  <c r="AA79" i="16"/>
  <c r="AA88" i="16"/>
  <c r="AG88" i="16" s="1"/>
  <c r="AA97" i="16"/>
  <c r="AG97" i="16" s="1"/>
  <c r="AA182" i="16"/>
  <c r="AA183" i="16"/>
  <c r="AA590" i="16"/>
  <c r="AG590" i="16" s="1"/>
  <c r="AA585" i="16"/>
  <c r="AG585" i="16" s="1"/>
  <c r="AA231" i="17"/>
  <c r="AJ8" i="25"/>
  <c r="AA584" i="16"/>
  <c r="AG584" i="16" s="1"/>
  <c r="AA504" i="16"/>
  <c r="L504" i="21" s="1"/>
  <c r="O504" i="21" s="1"/>
  <c r="AA568" i="16"/>
  <c r="AA537" i="16"/>
  <c r="AA290" i="16"/>
  <c r="L399" i="21" s="1"/>
  <c r="O399" i="21" s="1"/>
  <c r="AA84" i="16"/>
  <c r="AG84" i="16" s="1"/>
  <c r="AA85" i="16"/>
  <c r="AA86" i="16"/>
  <c r="AA95" i="16"/>
  <c r="AG95" i="16" s="1"/>
  <c r="AA188" i="16"/>
  <c r="AG188" i="16" s="1"/>
  <c r="AA197" i="16"/>
  <c r="AA198" i="16"/>
  <c r="AA199" i="16"/>
  <c r="L199" i="21" s="1"/>
  <c r="O199" i="21" s="1"/>
  <c r="AA588" i="16"/>
  <c r="AG588" i="16" s="1"/>
  <c r="AA586" i="16"/>
  <c r="AG586" i="16" s="1"/>
  <c r="AA592" i="16"/>
  <c r="AG592" i="16" s="1"/>
  <c r="AJ40" i="25"/>
  <c r="D25" i="23"/>
  <c r="AA580" i="16"/>
  <c r="AA538" i="16"/>
  <c r="AG538" i="16" s="1"/>
  <c r="AA571" i="16"/>
  <c r="AG571" i="16" s="1"/>
  <c r="AA527" i="16"/>
  <c r="AG527" i="16" s="1"/>
  <c r="AA546" i="16"/>
  <c r="AA579" i="16"/>
  <c r="AA557" i="16"/>
  <c r="AG557" i="16" s="1"/>
  <c r="AA542" i="16"/>
  <c r="AG542" i="16" s="1"/>
  <c r="AA520" i="16"/>
  <c r="AA553" i="16"/>
  <c r="AA301" i="16"/>
  <c r="AA296" i="16"/>
  <c r="AG296" i="16" s="1"/>
  <c r="AA306" i="16"/>
  <c r="AA184" i="16"/>
  <c r="AA185" i="16"/>
  <c r="L185" i="21" s="1"/>
  <c r="O185" i="21" s="1"/>
  <c r="AA186" i="16"/>
  <c r="AG186" i="16" s="1"/>
  <c r="AA195" i="16"/>
  <c r="AA204" i="16"/>
  <c r="AA261" i="16"/>
  <c r="AA262" i="16"/>
  <c r="L262" i="21" s="1"/>
  <c r="O262" i="21" s="1"/>
  <c r="AA263" i="16"/>
  <c r="AA224" i="17"/>
  <c r="AA581" i="16"/>
  <c r="AG581" i="16" s="1"/>
  <c r="AA587" i="16"/>
  <c r="AG587" i="16" s="1"/>
  <c r="K9" i="32"/>
  <c r="M9" i="32" s="1"/>
  <c r="K7" i="32"/>
  <c r="K11" i="32"/>
  <c r="M11" i="32" s="1"/>
  <c r="AA519" i="16"/>
  <c r="AG519" i="16" s="1"/>
  <c r="AA570" i="16"/>
  <c r="AA524" i="16"/>
  <c r="AA559" i="16"/>
  <c r="AG559" i="16" s="1"/>
  <c r="AA578" i="16"/>
  <c r="AG578" i="16" s="1"/>
  <c r="AA509" i="16"/>
  <c r="AA573" i="16"/>
  <c r="AA558" i="16"/>
  <c r="L558" i="21" s="1"/>
  <c r="O558" i="21" s="1"/>
  <c r="AA536" i="16"/>
  <c r="AG536" i="16" s="1"/>
  <c r="AA505" i="16"/>
  <c r="L505" i="21" s="1"/>
  <c r="O505" i="21" s="1"/>
  <c r="AA569" i="16"/>
  <c r="AA294" i="16"/>
  <c r="AG294" i="16" s="1"/>
  <c r="AA312" i="16"/>
  <c r="L312" i="21" s="1"/>
  <c r="O312" i="21" s="1"/>
  <c r="AA200" i="16"/>
  <c r="AA201" i="16"/>
  <c r="AG201" i="16" s="1"/>
  <c r="AA202" i="16"/>
  <c r="AG202" i="16" s="1"/>
  <c r="AA259" i="16"/>
  <c r="AG259" i="16" s="1"/>
  <c r="AA81" i="16"/>
  <c r="AA82" i="16"/>
  <c r="AA83" i="16"/>
  <c r="AG83" i="16" s="1"/>
  <c r="AA233" i="17"/>
  <c r="AA583" i="16"/>
  <c r="AG583" i="16" s="1"/>
  <c r="G19" i="23"/>
  <c r="I19" i="23" s="1"/>
  <c r="AG278" i="16"/>
  <c r="L278" i="21"/>
  <c r="O278" i="21" s="1"/>
  <c r="AG456" i="16"/>
  <c r="L456" i="21"/>
  <c r="O456" i="21" s="1"/>
  <c r="AG442" i="16"/>
  <c r="L442" i="21"/>
  <c r="O442" i="21" s="1"/>
  <c r="AG513" i="16"/>
  <c r="AG232" i="16"/>
  <c r="L232" i="21"/>
  <c r="O232" i="21" s="1"/>
  <c r="AG241" i="16"/>
  <c r="L241" i="21"/>
  <c r="O241" i="21" s="1"/>
  <c r="AG251" i="16"/>
  <c r="L251" i="21"/>
  <c r="O251" i="21" s="1"/>
  <c r="AG252" i="16"/>
  <c r="L252" i="21"/>
  <c r="O252" i="21" s="1"/>
  <c r="AG253" i="16"/>
  <c r="L253" i="21"/>
  <c r="O253" i="21" s="1"/>
  <c r="AG283" i="16"/>
  <c r="L283" i="21"/>
  <c r="O283" i="21" s="1"/>
  <c r="AG455" i="16"/>
  <c r="L455" i="21"/>
  <c r="O455" i="21" s="1"/>
  <c r="AG495" i="16"/>
  <c r="L495" i="21"/>
  <c r="O495" i="21" s="1"/>
  <c r="AG494" i="16"/>
  <c r="L494" i="21"/>
  <c r="O494" i="21" s="1"/>
  <c r="AG468" i="16"/>
  <c r="L468" i="21"/>
  <c r="O468" i="21" s="1"/>
  <c r="AG470" i="16"/>
  <c r="L470" i="21"/>
  <c r="O470" i="21" s="1"/>
  <c r="AG479" i="16"/>
  <c r="L479" i="21"/>
  <c r="O479" i="21" s="1"/>
  <c r="AG600" i="16"/>
  <c r="L600" i="21"/>
  <c r="O600" i="21" s="1"/>
  <c r="AG580" i="16"/>
  <c r="L586" i="21"/>
  <c r="O586" i="21" s="1"/>
  <c r="L581" i="21"/>
  <c r="L592" i="21"/>
  <c r="O592" i="21" s="1"/>
  <c r="L589" i="21"/>
  <c r="O589" i="21" s="1"/>
  <c r="L583" i="21"/>
  <c r="L591" i="21"/>
  <c r="O591" i="21" s="1"/>
  <c r="L588" i="21"/>
  <c r="L585" i="21"/>
  <c r="L582" i="21"/>
  <c r="O582" i="21" s="1"/>
  <c r="L590" i="21"/>
  <c r="L587" i="21"/>
  <c r="L584" i="21"/>
  <c r="L580" i="21"/>
  <c r="O580" i="21" s="1"/>
  <c r="AG522" i="16"/>
  <c r="L522" i="21"/>
  <c r="O522" i="21" s="1"/>
  <c r="AG555" i="16"/>
  <c r="L555" i="21"/>
  <c r="O555" i="21" s="1"/>
  <c r="AG514" i="16"/>
  <c r="L514" i="21"/>
  <c r="O514" i="21" s="1"/>
  <c r="AG547" i="16"/>
  <c r="L547" i="21"/>
  <c r="O547" i="21" s="1"/>
  <c r="AG541" i="16"/>
  <c r="L541" i="21"/>
  <c r="O541" i="21" s="1"/>
  <c r="AG544" i="16"/>
  <c r="AG505" i="16"/>
  <c r="AG569" i="16"/>
  <c r="L569" i="21"/>
  <c r="O569" i="21" s="1"/>
  <c r="AG192" i="16"/>
  <c r="L192" i="21"/>
  <c r="O192" i="21" s="1"/>
  <c r="AG203" i="16"/>
  <c r="L203" i="21"/>
  <c r="O203" i="21" s="1"/>
  <c r="AG74" i="16"/>
  <c r="L74" i="21"/>
  <c r="AG75" i="16"/>
  <c r="L75" i="21"/>
  <c r="O75" i="21" s="1"/>
  <c r="AG282" i="16"/>
  <c r="L282" i="21"/>
  <c r="O282" i="21" s="1"/>
  <c r="AG487" i="16"/>
  <c r="L487" i="21"/>
  <c r="O487" i="21" s="1"/>
  <c r="AG435" i="16"/>
  <c r="L538" i="21"/>
  <c r="O538" i="21" s="1"/>
  <c r="AG552" i="16"/>
  <c r="L552" i="21"/>
  <c r="O552" i="21" s="1"/>
  <c r="AG299" i="16"/>
  <c r="L299" i="21"/>
  <c r="O299" i="21" s="1"/>
  <c r="L201" i="21"/>
  <c r="O201" i="21" s="1"/>
  <c r="AG81" i="16"/>
  <c r="L81" i="21"/>
  <c r="O81" i="21" s="1"/>
  <c r="AG286" i="16"/>
  <c r="L286" i="21"/>
  <c r="O286" i="21" s="1"/>
  <c r="AG288" i="16"/>
  <c r="L288" i="21"/>
  <c r="O288" i="21" s="1"/>
  <c r="AG123" i="16"/>
  <c r="L123" i="21"/>
  <c r="O123" i="21" s="1"/>
  <c r="AG458" i="16"/>
  <c r="AG488" i="16"/>
  <c r="L488" i="21"/>
  <c r="O488" i="21" s="1"/>
  <c r="AG426" i="16"/>
  <c r="L426" i="21"/>
  <c r="O426" i="21" s="1"/>
  <c r="L464" i="21"/>
  <c r="O464" i="21" s="1"/>
  <c r="AG474" i="16"/>
  <c r="L474" i="21"/>
  <c r="O474" i="21" s="1"/>
  <c r="L483" i="21"/>
  <c r="O483" i="21" s="1"/>
  <c r="AG601" i="16"/>
  <c r="L601" i="21"/>
  <c r="O601" i="21" s="1"/>
  <c r="L554" i="21"/>
  <c r="O554" i="21" s="1"/>
  <c r="AG546" i="16"/>
  <c r="L546" i="21"/>
  <c r="O546" i="21" s="1"/>
  <c r="AG579" i="16"/>
  <c r="L579" i="21"/>
  <c r="O579" i="21" s="1"/>
  <c r="AG526" i="16"/>
  <c r="L526" i="21"/>
  <c r="O526" i="21" s="1"/>
  <c r="L560" i="21"/>
  <c r="O560" i="21" s="1"/>
  <c r="AG521" i="16"/>
  <c r="L521" i="21"/>
  <c r="O521" i="21" s="1"/>
  <c r="AG302" i="16"/>
  <c r="L302" i="21"/>
  <c r="O302" i="21" s="1"/>
  <c r="AG307" i="16"/>
  <c r="L307" i="21"/>
  <c r="O307" i="21" s="1"/>
  <c r="AG256" i="16"/>
  <c r="L256" i="21"/>
  <c r="O256" i="21" s="1"/>
  <c r="AG258" i="16"/>
  <c r="L258" i="21"/>
  <c r="O258" i="21" s="1"/>
  <c r="L89" i="21"/>
  <c r="O89" i="21" s="1"/>
  <c r="AG90" i="16"/>
  <c r="L90" i="21"/>
  <c r="O90" i="21" s="1"/>
  <c r="AG490" i="16"/>
  <c r="L490" i="21"/>
  <c r="O490" i="21" s="1"/>
  <c r="AG453" i="16"/>
  <c r="L453" i="21"/>
  <c r="O453" i="21" s="1"/>
  <c r="AG496" i="16"/>
  <c r="L496" i="21"/>
  <c r="O496" i="21" s="1"/>
  <c r="AG427" i="16"/>
  <c r="L427" i="21"/>
  <c r="O427" i="21" s="1"/>
  <c r="AG429" i="16"/>
  <c r="L429" i="21"/>
  <c r="O429" i="21" s="1"/>
  <c r="AG472" i="16"/>
  <c r="AG437" i="16"/>
  <c r="L437" i="21"/>
  <c r="O437" i="21" s="1"/>
  <c r="AG480" i="16"/>
  <c r="L480" i="21"/>
  <c r="O480" i="21" s="1"/>
  <c r="AG604" i="16"/>
  <c r="L604" i="21"/>
  <c r="O604" i="21" s="1"/>
  <c r="AG500" i="16"/>
  <c r="L500" i="21"/>
  <c r="O500" i="21" s="1"/>
  <c r="AG535" i="16"/>
  <c r="L535" i="21"/>
  <c r="O535" i="21" s="1"/>
  <c r="AG570" i="16"/>
  <c r="L570" i="21"/>
  <c r="O570" i="21" s="1"/>
  <c r="AG508" i="16"/>
  <c r="L508" i="21"/>
  <c r="O508" i="21" s="1"/>
  <c r="AG543" i="16"/>
  <c r="L543" i="21"/>
  <c r="O543" i="21" s="1"/>
  <c r="AG562" i="16"/>
  <c r="L562" i="21"/>
  <c r="O562" i="21" s="1"/>
  <c r="AG501" i="16"/>
  <c r="L501" i="21"/>
  <c r="O501" i="21" s="1"/>
  <c r="AG565" i="16"/>
  <c r="L565" i="21"/>
  <c r="O565" i="21" s="1"/>
  <c r="AG534" i="16"/>
  <c r="L534" i="21"/>
  <c r="O534" i="21" s="1"/>
  <c r="AG568" i="16"/>
  <c r="L568" i="21"/>
  <c r="O568" i="21" s="1"/>
  <c r="AG529" i="16"/>
  <c r="L529" i="21"/>
  <c r="O529" i="21" s="1"/>
  <c r="L310" i="21"/>
  <c r="O310" i="21" s="1"/>
  <c r="AG265" i="16"/>
  <c r="L265" i="21"/>
  <c r="O265" i="21" s="1"/>
  <c r="AG79" i="16"/>
  <c r="L79" i="21"/>
  <c r="O79" i="21" s="1"/>
  <c r="AG182" i="16"/>
  <c r="L182" i="21"/>
  <c r="O182" i="21" s="1"/>
  <c r="AG183" i="16"/>
  <c r="L183" i="21"/>
  <c r="O183" i="21" s="1"/>
  <c r="AG280" i="16"/>
  <c r="L280" i="21"/>
  <c r="O280" i="21" s="1"/>
  <c r="AG471" i="16"/>
  <c r="L471" i="21"/>
  <c r="O471" i="21" s="1"/>
  <c r="AG602" i="16"/>
  <c r="L602" i="21"/>
  <c r="O602" i="21" s="1"/>
  <c r="L571" i="21"/>
  <c r="O571" i="21" s="1"/>
  <c r="AG549" i="16"/>
  <c r="L549" i="21"/>
  <c r="O549" i="21" s="1"/>
  <c r="AG82" i="16"/>
  <c r="L82" i="21"/>
  <c r="O82" i="21" s="1"/>
  <c r="AG284" i="16"/>
  <c r="L284" i="21"/>
  <c r="O284" i="21" s="1"/>
  <c r="AG129" i="16"/>
  <c r="L129" i="21"/>
  <c r="O129" i="21" s="1"/>
  <c r="AG134" i="16"/>
  <c r="L134" i="21"/>
  <c r="O134" i="21" s="1"/>
  <c r="AG136" i="16"/>
  <c r="L136" i="21"/>
  <c r="O136" i="21" s="1"/>
  <c r="AG137" i="16"/>
  <c r="L137" i="21"/>
  <c r="O137" i="21" s="1"/>
  <c r="AG130" i="16"/>
  <c r="L130" i="21"/>
  <c r="O130" i="21" s="1"/>
  <c r="AG139" i="16"/>
  <c r="L139" i="21"/>
  <c r="O139" i="21" s="1"/>
  <c r="AG459" i="16"/>
  <c r="L459" i="21"/>
  <c r="O459" i="21" s="1"/>
  <c r="AG485" i="16"/>
  <c r="L485" i="21"/>
  <c r="O485" i="21" s="1"/>
  <c r="AG449" i="16"/>
  <c r="L449" i="21"/>
  <c r="O449" i="21" s="1"/>
  <c r="AG428" i="16"/>
  <c r="L428" i="21"/>
  <c r="O428" i="21" s="1"/>
  <c r="L461" i="21"/>
  <c r="O461" i="21" s="1"/>
  <c r="L475" i="21"/>
  <c r="O475" i="21" s="1"/>
  <c r="AG441" i="16"/>
  <c r="L441" i="21"/>
  <c r="O441" i="21" s="1"/>
  <c r="AG551" i="16"/>
  <c r="L551" i="21"/>
  <c r="O551" i="21" s="1"/>
  <c r="AG524" i="16"/>
  <c r="L524" i="21"/>
  <c r="O524" i="21" s="1"/>
  <c r="AG509" i="16"/>
  <c r="L509" i="21"/>
  <c r="O509" i="21" s="1"/>
  <c r="AG573" i="16"/>
  <c r="L573" i="21"/>
  <c r="O573" i="21" s="1"/>
  <c r="AG512" i="16"/>
  <c r="AG576" i="16"/>
  <c r="L576" i="21"/>
  <c r="O576" i="21" s="1"/>
  <c r="AG537" i="16"/>
  <c r="L537" i="21"/>
  <c r="O537" i="21" s="1"/>
  <c r="AG300" i="16"/>
  <c r="L300" i="21"/>
  <c r="O300" i="21" s="1"/>
  <c r="AG295" i="16"/>
  <c r="L295" i="21"/>
  <c r="O295" i="21" s="1"/>
  <c r="AG313" i="16"/>
  <c r="L313" i="21"/>
  <c r="O313" i="21" s="1"/>
  <c r="AG78" i="16"/>
  <c r="L78" i="21"/>
  <c r="O78" i="21" s="1"/>
  <c r="AG87" i="16"/>
  <c r="L87" i="21"/>
  <c r="O87" i="21" s="1"/>
  <c r="AG189" i="16"/>
  <c r="L189" i="21"/>
  <c r="O189" i="21" s="1"/>
  <c r="AG190" i="16"/>
  <c r="L190" i="21"/>
  <c r="O190" i="21" s="1"/>
  <c r="AG191" i="16"/>
  <c r="AG450" i="16"/>
  <c r="L450" i="21"/>
  <c r="O450" i="21" s="1"/>
  <c r="AG511" i="16"/>
  <c r="L511" i="21"/>
  <c r="O511" i="21" s="1"/>
  <c r="AG124" i="16"/>
  <c r="L124" i="21"/>
  <c r="O124" i="21" s="1"/>
  <c r="AG143" i="16"/>
  <c r="L143" i="21"/>
  <c r="O143" i="21" s="1"/>
  <c r="AG231" i="16"/>
  <c r="L231" i="21"/>
  <c r="O231" i="21" s="1"/>
  <c r="AG491" i="16"/>
  <c r="L491" i="21"/>
  <c r="O491" i="21" s="1"/>
  <c r="AG493" i="16"/>
  <c r="L493" i="21"/>
  <c r="O493" i="21" s="1"/>
  <c r="AG457" i="16"/>
  <c r="L457" i="21"/>
  <c r="O457" i="21" s="1"/>
  <c r="AG431" i="16"/>
  <c r="L431" i="21"/>
  <c r="O431" i="21" s="1"/>
  <c r="AG444" i="16"/>
  <c r="L444" i="21"/>
  <c r="O444" i="21" s="1"/>
  <c r="AG477" i="16"/>
  <c r="AG595" i="16"/>
  <c r="L595" i="21"/>
  <c r="O595" i="21" s="1"/>
  <c r="AG532" i="16"/>
  <c r="L532" i="21"/>
  <c r="O532" i="21" s="1"/>
  <c r="AG575" i="16"/>
  <c r="L575" i="21"/>
  <c r="O575" i="21" s="1"/>
  <c r="AG499" i="16"/>
  <c r="L499" i="21"/>
  <c r="O499" i="21" s="1"/>
  <c r="AG517" i="16"/>
  <c r="L517" i="21"/>
  <c r="O517" i="21" s="1"/>
  <c r="AG520" i="16"/>
  <c r="L520" i="21"/>
  <c r="O520" i="21" s="1"/>
  <c r="AG545" i="16"/>
  <c r="L545" i="21"/>
  <c r="O545" i="21" s="1"/>
  <c r="AG308" i="16"/>
  <c r="L308" i="21"/>
  <c r="O308" i="21" s="1"/>
  <c r="AG303" i="16"/>
  <c r="L303" i="21"/>
  <c r="O303" i="21" s="1"/>
  <c r="AG290" i="16"/>
  <c r="L423" i="21"/>
  <c r="O423" i="21" s="1"/>
  <c r="L411" i="21"/>
  <c r="O411" i="21" s="1"/>
  <c r="L407" i="21"/>
  <c r="O407" i="21" s="1"/>
  <c r="L403" i="21"/>
  <c r="O403" i="21" s="1"/>
  <c r="L424" i="21"/>
  <c r="O424" i="21" s="1"/>
  <c r="L420" i="21"/>
  <c r="O420" i="21" s="1"/>
  <c r="L421" i="21"/>
  <c r="O421" i="21" s="1"/>
  <c r="L417" i="21"/>
  <c r="L413" i="21"/>
  <c r="L405" i="21"/>
  <c r="L393" i="21"/>
  <c r="O393" i="21" s="1"/>
  <c r="L382" i="21"/>
  <c r="O382" i="21" s="1"/>
  <c r="L378" i="21"/>
  <c r="O378" i="21" s="1"/>
  <c r="L374" i="21"/>
  <c r="O374" i="21" s="1"/>
  <c r="L366" i="21"/>
  <c r="L362" i="21"/>
  <c r="L422" i="21"/>
  <c r="L414" i="21"/>
  <c r="O414" i="21" s="1"/>
  <c r="L404" i="21"/>
  <c r="O404" i="21" s="1"/>
  <c r="L398" i="21"/>
  <c r="O398" i="21" s="1"/>
  <c r="L396" i="21"/>
  <c r="L379" i="21"/>
  <c r="L375" i="21"/>
  <c r="O375" i="21" s="1"/>
  <c r="L371" i="21"/>
  <c r="O371" i="21" s="1"/>
  <c r="L363" i="21"/>
  <c r="O363" i="21" s="1"/>
  <c r="L391" i="21"/>
  <c r="L394" i="21"/>
  <c r="L388" i="21"/>
  <c r="L384" i="21"/>
  <c r="L376" i="21"/>
  <c r="O376" i="21" s="1"/>
  <c r="L372" i="21"/>
  <c r="O372" i="21" s="1"/>
  <c r="L392" i="21"/>
  <c r="L418" i="21"/>
  <c r="O418" i="21" s="1"/>
  <c r="L410" i="21"/>
  <c r="O410" i="21" s="1"/>
  <c r="L397" i="21"/>
  <c r="O397" i="21" s="1"/>
  <c r="L389" i="21"/>
  <c r="O389" i="21" s="1"/>
  <c r="L377" i="21"/>
  <c r="O377" i="21" s="1"/>
  <c r="L373" i="21"/>
  <c r="O373" i="21" s="1"/>
  <c r="L369" i="21"/>
  <c r="O369" i="21" s="1"/>
  <c r="L395" i="21"/>
  <c r="AG85" i="16"/>
  <c r="L85" i="21"/>
  <c r="O85" i="21" s="1"/>
  <c r="AG86" i="16"/>
  <c r="L86" i="21"/>
  <c r="O86" i="21" s="1"/>
  <c r="AG197" i="16"/>
  <c r="L197" i="21"/>
  <c r="O197" i="21" s="1"/>
  <c r="AG198" i="16"/>
  <c r="L198" i="21"/>
  <c r="O198" i="21" s="1"/>
  <c r="AG199" i="16"/>
  <c r="AG432" i="16"/>
  <c r="L432" i="21"/>
  <c r="O432" i="21" s="1"/>
  <c r="AG593" i="16"/>
  <c r="L593" i="21"/>
  <c r="AG200" i="16"/>
  <c r="L200" i="21"/>
  <c r="O200" i="21" s="1"/>
  <c r="AG126" i="16"/>
  <c r="L126" i="21"/>
  <c r="O126" i="21" s="1"/>
  <c r="AG122" i="16"/>
  <c r="L122" i="21"/>
  <c r="O122" i="21" s="1"/>
  <c r="AG144" i="16"/>
  <c r="L144" i="21"/>
  <c r="O144" i="21" s="1"/>
  <c r="AG141" i="16"/>
  <c r="AG236" i="16"/>
  <c r="L236" i="21"/>
  <c r="O236" i="21" s="1"/>
  <c r="AG237" i="16"/>
  <c r="L237" i="21"/>
  <c r="O237" i="21" s="1"/>
  <c r="AG230" i="16"/>
  <c r="L230" i="21"/>
  <c r="O230" i="21" s="1"/>
  <c r="AG239" i="16"/>
  <c r="L239" i="21"/>
  <c r="O239" i="21" s="1"/>
  <c r="AG460" i="16"/>
  <c r="L460" i="21"/>
  <c r="O460" i="21" s="1"/>
  <c r="AG454" i="16"/>
  <c r="L454" i="21"/>
  <c r="O454" i="21" s="1"/>
  <c r="AG489" i="16"/>
  <c r="L489" i="21"/>
  <c r="O489" i="21" s="1"/>
  <c r="AG463" i="16"/>
  <c r="L463" i="21"/>
  <c r="O463" i="21" s="1"/>
  <c r="AG430" i="16"/>
  <c r="AG476" i="16"/>
  <c r="L476" i="21"/>
  <c r="O476" i="21" s="1"/>
  <c r="AG438" i="16"/>
  <c r="L438" i="21"/>
  <c r="O438" i="21" s="1"/>
  <c r="AG597" i="16"/>
  <c r="L597" i="21"/>
  <c r="O597" i="21" s="1"/>
  <c r="AG515" i="16"/>
  <c r="AG525" i="16"/>
  <c r="L525" i="21"/>
  <c r="O525" i="21" s="1"/>
  <c r="AG558" i="16"/>
  <c r="AG528" i="16"/>
  <c r="L528" i="21"/>
  <c r="O528" i="21" s="1"/>
  <c r="AG553" i="16"/>
  <c r="L553" i="21"/>
  <c r="O553" i="21" s="1"/>
  <c r="AG293" i="16"/>
  <c r="L293" i="21"/>
  <c r="O293" i="21" s="1"/>
  <c r="AG311" i="16"/>
  <c r="L311" i="21"/>
  <c r="O311" i="21" s="1"/>
  <c r="AG93" i="16"/>
  <c r="L93" i="21"/>
  <c r="O93" i="21" s="1"/>
  <c r="AG94" i="16"/>
  <c r="L94" i="21"/>
  <c r="O94" i="21" s="1"/>
  <c r="AG187" i="16"/>
  <c r="L187" i="21"/>
  <c r="O187" i="21" s="1"/>
  <c r="AG196" i="16"/>
  <c r="L196" i="21"/>
  <c r="O196" i="21" s="1"/>
  <c r="AG254" i="16"/>
  <c r="L254" i="21"/>
  <c r="O254" i="21" s="1"/>
  <c r="AG279" i="16"/>
  <c r="L279" i="21"/>
  <c r="O279" i="21" s="1"/>
  <c r="AG503" i="16"/>
  <c r="L503" i="21"/>
  <c r="O503" i="21" s="1"/>
  <c r="AG127" i="16"/>
  <c r="L127" i="21"/>
  <c r="O127" i="21" s="1"/>
  <c r="AG350" i="16"/>
  <c r="L358" i="21"/>
  <c r="O358" i="21" s="1"/>
  <c r="L354" i="21"/>
  <c r="O354" i="21" s="1"/>
  <c r="L350" i="21"/>
  <c r="O350" i="21" s="1"/>
  <c r="L346" i="21"/>
  <c r="L342" i="21"/>
  <c r="O342" i="21" s="1"/>
  <c r="L338" i="21"/>
  <c r="L334" i="21"/>
  <c r="O334" i="21" s="1"/>
  <c r="L330" i="21"/>
  <c r="O330" i="21" s="1"/>
  <c r="L326" i="21"/>
  <c r="L322" i="21"/>
  <c r="O322" i="21" s="1"/>
  <c r="L318" i="21"/>
  <c r="O318" i="21" s="1"/>
  <c r="L314" i="21"/>
  <c r="L353" i="21"/>
  <c r="O353" i="21" s="1"/>
  <c r="L344" i="21"/>
  <c r="L335" i="21"/>
  <c r="O335" i="21" s="1"/>
  <c r="L321" i="21"/>
  <c r="O321" i="21" s="1"/>
  <c r="L357" i="21"/>
  <c r="O357" i="21" s="1"/>
  <c r="L348" i="21"/>
  <c r="O348" i="21" s="1"/>
  <c r="L339" i="21"/>
  <c r="O339" i="21" s="1"/>
  <c r="L325" i="21"/>
  <c r="O325" i="21" s="1"/>
  <c r="L316" i="21"/>
  <c r="O316" i="21" s="1"/>
  <c r="L361" i="21"/>
  <c r="O361" i="21" s="1"/>
  <c r="L352" i="21"/>
  <c r="O352" i="21" s="1"/>
  <c r="L343" i="21"/>
  <c r="O343" i="21" s="1"/>
  <c r="L329" i="21"/>
  <c r="L320" i="21"/>
  <c r="O320" i="21" s="1"/>
  <c r="L356" i="21"/>
  <c r="O356" i="21" s="1"/>
  <c r="L347" i="21"/>
  <c r="L333" i="21"/>
  <c r="O333" i="21" s="1"/>
  <c r="L324" i="21"/>
  <c r="O324" i="21" s="1"/>
  <c r="L315" i="21"/>
  <c r="O315" i="21" s="1"/>
  <c r="L360" i="21"/>
  <c r="O360" i="21" s="1"/>
  <c r="L351" i="21"/>
  <c r="L337" i="21"/>
  <c r="L328" i="21"/>
  <c r="O328" i="21" s="1"/>
  <c r="L319" i="21"/>
  <c r="L355" i="21"/>
  <c r="O355" i="21" s="1"/>
  <c r="L341" i="21"/>
  <c r="L332" i="21"/>
  <c r="O332" i="21" s="1"/>
  <c r="L323" i="21"/>
  <c r="O323" i="21" s="1"/>
  <c r="L359" i="21"/>
  <c r="L345" i="21"/>
  <c r="O345" i="21" s="1"/>
  <c r="L336" i="21"/>
  <c r="O336" i="21" s="1"/>
  <c r="L327" i="21"/>
  <c r="O327" i="21" s="1"/>
  <c r="L349" i="21"/>
  <c r="O349" i="21" s="1"/>
  <c r="L340" i="21"/>
  <c r="O340" i="21" s="1"/>
  <c r="L331" i="21"/>
  <c r="O331" i="21" s="1"/>
  <c r="L317" i="21"/>
  <c r="O317" i="21" s="1"/>
  <c r="AG133" i="16"/>
  <c r="L133" i="21"/>
  <c r="O133" i="21" s="1"/>
  <c r="AG145" i="16"/>
  <c r="AG233" i="16"/>
  <c r="L233" i="21"/>
  <c r="O233" i="21" s="1"/>
  <c r="AG242" i="16"/>
  <c r="L242" i="21"/>
  <c r="O242" i="21" s="1"/>
  <c r="AG245" i="16"/>
  <c r="L245" i="21"/>
  <c r="O245" i="21" s="1"/>
  <c r="AG238" i="16"/>
  <c r="L238" i="21"/>
  <c r="O238" i="21" s="1"/>
  <c r="AG247" i="16"/>
  <c r="L247" i="21"/>
  <c r="O247" i="21" s="1"/>
  <c r="AG452" i="16"/>
  <c r="L452" i="21"/>
  <c r="O452" i="21" s="1"/>
  <c r="AG492" i="16"/>
  <c r="L492" i="21"/>
  <c r="O492" i="21" s="1"/>
  <c r="AG486" i="16"/>
  <c r="L486" i="21"/>
  <c r="O486" i="21" s="1"/>
  <c r="AG434" i="16"/>
  <c r="L434" i="21"/>
  <c r="O434" i="21" s="1"/>
  <c r="AG462" i="16"/>
  <c r="L462" i="21"/>
  <c r="O462" i="21" s="1"/>
  <c r="AG447" i="16"/>
  <c r="L447" i="21"/>
  <c r="O447" i="21" s="1"/>
  <c r="AG446" i="16"/>
  <c r="L446" i="21"/>
  <c r="O446" i="21" s="1"/>
  <c r="AG596" i="16"/>
  <c r="L596" i="21"/>
  <c r="O596" i="21" s="1"/>
  <c r="AG598" i="16"/>
  <c r="L598" i="21"/>
  <c r="O598" i="21" s="1"/>
  <c r="AG506" i="16"/>
  <c r="L506" i="21"/>
  <c r="O506" i="21" s="1"/>
  <c r="AG539" i="16"/>
  <c r="L539" i="21"/>
  <c r="O539" i="21" s="1"/>
  <c r="AG572" i="16"/>
  <c r="L572" i="21"/>
  <c r="O572" i="21" s="1"/>
  <c r="AG498" i="16"/>
  <c r="L498" i="21"/>
  <c r="O498" i="21" s="1"/>
  <c r="AG531" i="16"/>
  <c r="AG533" i="16"/>
  <c r="L533" i="21"/>
  <c r="O533" i="21" s="1"/>
  <c r="AG566" i="16"/>
  <c r="L566" i="21"/>
  <c r="O566" i="21" s="1"/>
  <c r="AG497" i="16"/>
  <c r="L497" i="21"/>
  <c r="O497" i="21" s="1"/>
  <c r="AG561" i="16"/>
  <c r="L561" i="21"/>
  <c r="O561" i="21" s="1"/>
  <c r="AG301" i="16"/>
  <c r="L301" i="21"/>
  <c r="O301" i="21" s="1"/>
  <c r="AG306" i="16"/>
  <c r="L306" i="21"/>
  <c r="O306" i="21" s="1"/>
  <c r="AG184" i="16"/>
  <c r="L184" i="21"/>
  <c r="O184" i="21" s="1"/>
  <c r="AG195" i="16"/>
  <c r="L195" i="21"/>
  <c r="O195" i="21" s="1"/>
  <c r="AG204" i="16"/>
  <c r="L204" i="21"/>
  <c r="O204" i="21" s="1"/>
  <c r="AG261" i="16"/>
  <c r="L261" i="21"/>
  <c r="O261" i="21" s="1"/>
  <c r="AG263" i="16"/>
  <c r="L263" i="21"/>
  <c r="O263" i="21" s="1"/>
  <c r="Y5" i="13"/>
  <c r="X45" i="13"/>
  <c r="Y5" i="12"/>
  <c r="X45" i="12"/>
  <c r="L594" i="21" l="1"/>
  <c r="O594" i="21" s="1"/>
  <c r="L250" i="21"/>
  <c r="O250" i="21" s="1"/>
  <c r="O341" i="21"/>
  <c r="O413" i="21"/>
  <c r="L540" i="21"/>
  <c r="O540" i="21" s="1"/>
  <c r="L436" i="21"/>
  <c r="O436" i="21" s="1"/>
  <c r="O392" i="21"/>
  <c r="O417" i="21"/>
  <c r="L599" i="21"/>
  <c r="O599" i="21" s="1"/>
  <c r="O319" i="21"/>
  <c r="L451" i="21"/>
  <c r="O451" i="21" s="1"/>
  <c r="O347" i="21"/>
  <c r="L548" i="21"/>
  <c r="O548" i="21" s="1"/>
  <c r="L285" i="21"/>
  <c r="O285" i="21" s="1"/>
  <c r="O337" i="21"/>
  <c r="L425" i="21"/>
  <c r="O425" i="21" s="1"/>
  <c r="W11" i="21" s="1"/>
  <c r="L467" i="21"/>
  <c r="O467" i="21" s="1"/>
  <c r="O359" i="21"/>
  <c r="AG260" i="16"/>
  <c r="O590" i="21"/>
  <c r="AG185" i="16"/>
  <c r="AG564" i="16"/>
  <c r="L381" i="21"/>
  <c r="O381" i="21" s="1"/>
  <c r="L364" i="21"/>
  <c r="O364" i="21" s="1"/>
  <c r="L406" i="21"/>
  <c r="O406" i="21" s="1"/>
  <c r="L383" i="21"/>
  <c r="O383" i="21" s="1"/>
  <c r="L400" i="21"/>
  <c r="L386" i="21"/>
  <c r="O386" i="21" s="1"/>
  <c r="L412" i="21"/>
  <c r="L415" i="21"/>
  <c r="O415" i="21" s="1"/>
  <c r="L439" i="21"/>
  <c r="O439" i="21" s="1"/>
  <c r="O351" i="21"/>
  <c r="AG556" i="16"/>
  <c r="L385" i="21"/>
  <c r="O385" i="21" s="1"/>
  <c r="L368" i="21"/>
  <c r="O368" i="21" s="1"/>
  <c r="L408" i="21"/>
  <c r="O408" i="21" s="1"/>
  <c r="L387" i="21"/>
  <c r="O387" i="21" s="1"/>
  <c r="L290" i="21"/>
  <c r="L390" i="21"/>
  <c r="O390" i="21" s="1"/>
  <c r="L416" i="21"/>
  <c r="O416" i="21" s="1"/>
  <c r="L419" i="21"/>
  <c r="O419" i="21" s="1"/>
  <c r="L248" i="21"/>
  <c r="O248" i="21" s="1"/>
  <c r="AP5" i="16"/>
  <c r="AQ5" i="16" s="1"/>
  <c r="O344" i="21"/>
  <c r="O338" i="21"/>
  <c r="L518" i="21"/>
  <c r="O518" i="21" s="1"/>
  <c r="L365" i="21"/>
  <c r="O365" i="21" s="1"/>
  <c r="L401" i="21"/>
  <c r="O401" i="21" s="1"/>
  <c r="L380" i="21"/>
  <c r="O380" i="21" s="1"/>
  <c r="L367" i="21"/>
  <c r="O367" i="21" s="1"/>
  <c r="L402" i="21"/>
  <c r="O402" i="21" s="1"/>
  <c r="L370" i="21"/>
  <c r="O370" i="21" s="1"/>
  <c r="L409" i="21"/>
  <c r="AG482" i="16"/>
  <c r="L466" i="21"/>
  <c r="O466" i="21" s="1"/>
  <c r="L205" i="21"/>
  <c r="O205" i="21" s="1"/>
  <c r="L202" i="21"/>
  <c r="O202" i="21" s="1"/>
  <c r="AG281" i="16"/>
  <c r="L194" i="21"/>
  <c r="O194" i="21" s="1"/>
  <c r="AC10" i="21"/>
  <c r="L264" i="21"/>
  <c r="O264" i="21" s="1"/>
  <c r="L128" i="21"/>
  <c r="O128" i="21" s="1"/>
  <c r="L478" i="21"/>
  <c r="O478" i="21" s="1"/>
  <c r="AG465" i="16"/>
  <c r="L550" i="21"/>
  <c r="O550" i="21" s="1"/>
  <c r="AG567" i="16"/>
  <c r="AG516" i="16"/>
  <c r="AG125" i="16"/>
  <c r="L296" i="21"/>
  <c r="O296" i="21" s="1"/>
  <c r="L536" i="21"/>
  <c r="O536" i="21" s="1"/>
  <c r="L298" i="21"/>
  <c r="O298" i="21" s="1"/>
  <c r="L84" i="21"/>
  <c r="O84" i="21" s="1"/>
  <c r="L76" i="21"/>
  <c r="O76" i="21" s="1"/>
  <c r="L91" i="21"/>
  <c r="O91" i="21" s="1"/>
  <c r="L527" i="21"/>
  <c r="O527" i="21" s="1"/>
  <c r="L603" i="21"/>
  <c r="O603" i="21" s="1"/>
  <c r="L287" i="21"/>
  <c r="O287" i="21" s="1"/>
  <c r="L259" i="21"/>
  <c r="O259" i="21" s="1"/>
  <c r="L484" i="21"/>
  <c r="O484" i="21" s="1"/>
  <c r="L140" i="21"/>
  <c r="O140" i="21" s="1"/>
  <c r="L142" i="21"/>
  <c r="O142" i="21" s="1"/>
  <c r="L193" i="21"/>
  <c r="O193" i="21" s="1"/>
  <c r="O314" i="21"/>
  <c r="O346" i="21"/>
  <c r="O395" i="21"/>
  <c r="L448" i="21"/>
  <c r="O448" i="21" s="1"/>
  <c r="L445" i="21"/>
  <c r="O445" i="21" s="1"/>
  <c r="L292" i="21"/>
  <c r="O292" i="21" s="1"/>
  <c r="O588" i="21"/>
  <c r="L246" i="21"/>
  <c r="O246" i="21" s="1"/>
  <c r="AG262" i="16"/>
  <c r="L481" i="21"/>
  <c r="O481" i="21" s="1"/>
  <c r="AG473" i="16"/>
  <c r="L519" i="21"/>
  <c r="O519" i="21" s="1"/>
  <c r="O326" i="21"/>
  <c r="O388" i="21"/>
  <c r="O396" i="21"/>
  <c r="L77" i="21"/>
  <c r="O77" i="21" s="1"/>
  <c r="L243" i="21"/>
  <c r="O243" i="21" s="1"/>
  <c r="L132" i="21"/>
  <c r="O132" i="21" s="1"/>
  <c r="L95" i="21"/>
  <c r="O95" i="21" s="1"/>
  <c r="O366" i="21"/>
  <c r="O405" i="21"/>
  <c r="AG433" i="16"/>
  <c r="AC11" i="21" s="1"/>
  <c r="L80" i="21"/>
  <c r="O80" i="21" s="1"/>
  <c r="L563" i="21"/>
  <c r="O563" i="21" s="1"/>
  <c r="L291" i="21"/>
  <c r="O291" i="21" s="1"/>
  <c r="L92" i="21"/>
  <c r="O92" i="21" s="1"/>
  <c r="L577" i="21"/>
  <c r="O577" i="21" s="1"/>
  <c r="O409" i="21"/>
  <c r="L469" i="21"/>
  <c r="O469" i="21" s="1"/>
  <c r="L240" i="21"/>
  <c r="O240" i="21" s="1"/>
  <c r="L96" i="21"/>
  <c r="O96" i="21" s="1"/>
  <c r="L297" i="21"/>
  <c r="O297" i="21" s="1"/>
  <c r="L83" i="21"/>
  <c r="O83" i="21" s="1"/>
  <c r="O391" i="21"/>
  <c r="O384" i="21"/>
  <c r="L88" i="21"/>
  <c r="O88" i="21" s="1"/>
  <c r="AG504" i="16"/>
  <c r="L304" i="21"/>
  <c r="O304" i="21" s="1"/>
  <c r="L188" i="21"/>
  <c r="O188" i="21" s="1"/>
  <c r="AG135" i="16"/>
  <c r="L289" i="21"/>
  <c r="O289" i="21" s="1"/>
  <c r="L559" i="21"/>
  <c r="O559" i="21" s="1"/>
  <c r="L257" i="21"/>
  <c r="O257" i="21" s="1"/>
  <c r="L557" i="21"/>
  <c r="O557" i="21" s="1"/>
  <c r="L440" i="21"/>
  <c r="O440" i="21" s="1"/>
  <c r="O581" i="21"/>
  <c r="L502" i="21"/>
  <c r="O502" i="21" s="1"/>
  <c r="L523" i="21"/>
  <c r="O523" i="21" s="1"/>
  <c r="AG234" i="16"/>
  <c r="O394" i="21"/>
  <c r="O379" i="21"/>
  <c r="O422" i="21"/>
  <c r="L131" i="21"/>
  <c r="O131" i="21" s="1"/>
  <c r="L294" i="21"/>
  <c r="O294" i="21" s="1"/>
  <c r="L309" i="21"/>
  <c r="O309" i="21" s="1"/>
  <c r="L510" i="21"/>
  <c r="O510" i="21" s="1"/>
  <c r="O329" i="21"/>
  <c r="O400" i="21"/>
  <c r="O412" i="21"/>
  <c r="AG312" i="16"/>
  <c r="AP4" i="16" s="1"/>
  <c r="AQ4" i="16" s="1"/>
  <c r="O585" i="21"/>
  <c r="L249" i="21"/>
  <c r="O249" i="21" s="1"/>
  <c r="O584" i="21"/>
  <c r="L578" i="21"/>
  <c r="O578" i="21" s="1"/>
  <c r="L443" i="21"/>
  <c r="O443" i="21" s="1"/>
  <c r="L255" i="21"/>
  <c r="O255" i="21" s="1"/>
  <c r="L138" i="21"/>
  <c r="O138" i="21" s="1"/>
  <c r="O583" i="21"/>
  <c r="L244" i="21"/>
  <c r="O244" i="21" s="1"/>
  <c r="L542" i="21"/>
  <c r="O542" i="21" s="1"/>
  <c r="L97" i="21"/>
  <c r="O97" i="21" s="1"/>
  <c r="L186" i="21"/>
  <c r="O186" i="21" s="1"/>
  <c r="L235" i="21"/>
  <c r="O235" i="21" s="1"/>
  <c r="L530" i="21"/>
  <c r="O530" i="21" s="1"/>
  <c r="L574" i="21"/>
  <c r="O574" i="21" s="1"/>
  <c r="L507" i="21"/>
  <c r="O507" i="21" s="1"/>
  <c r="L305" i="21"/>
  <c r="O305" i="21" s="1"/>
  <c r="O587" i="21"/>
  <c r="M7" i="32"/>
  <c r="M13" i="32" s="1"/>
  <c r="K13" i="32"/>
  <c r="AP3" i="16"/>
  <c r="AP8" i="16" s="1"/>
  <c r="AQ8" i="16" s="1"/>
  <c r="O593" i="21"/>
  <c r="O290" i="21"/>
  <c r="AP7" i="16"/>
  <c r="AQ7" i="16" s="1"/>
  <c r="AC12" i="21"/>
  <c r="O362" i="21"/>
  <c r="AC9" i="21"/>
  <c r="O74" i="21"/>
  <c r="AC7" i="21"/>
  <c r="Y45" i="13"/>
  <c r="AB5" i="13"/>
  <c r="Y45" i="12"/>
  <c r="AB5" i="12"/>
  <c r="AB45" i="12" s="1"/>
  <c r="T10" i="21" l="1"/>
  <c r="T9" i="21"/>
  <c r="T11" i="21"/>
  <c r="Z11" i="21" s="1"/>
  <c r="AH11" i="21" s="1"/>
  <c r="T12" i="21"/>
  <c r="W12" i="21"/>
  <c r="AQ3" i="16"/>
  <c r="AP6" i="16"/>
  <c r="AQ6" i="16" s="1"/>
  <c r="W10" i="21"/>
  <c r="Z10" i="21" s="1"/>
  <c r="AH10" i="21" s="1"/>
  <c r="T7" i="21"/>
  <c r="W9" i="21"/>
  <c r="Z9" i="21" s="1"/>
  <c r="AH9" i="21" s="1"/>
  <c r="W7" i="21"/>
  <c r="AJ5" i="25"/>
  <c r="G8" i="23"/>
  <c r="I8" i="23" s="1"/>
  <c r="AB45" i="13"/>
  <c r="Z12" i="21" l="1"/>
  <c r="AH12" i="21" s="1"/>
  <c r="AP9" i="16"/>
  <c r="AQ9" i="16" s="1"/>
  <c r="Z7" i="21"/>
  <c r="AH7" i="21" s="1"/>
  <c r="AP10" i="16" l="1"/>
  <c r="AQ10" i="16" s="1"/>
  <c r="J2" i="21"/>
  <c r="K2" i="21"/>
  <c r="M2" i="21"/>
  <c r="N2" i="21"/>
  <c r="J3" i="21"/>
  <c r="K3" i="21"/>
  <c r="M3" i="21"/>
  <c r="N3" i="21"/>
  <c r="J4" i="21"/>
  <c r="K4" i="21"/>
  <c r="M4" i="21"/>
  <c r="N4" i="21"/>
  <c r="J5" i="21"/>
  <c r="K5" i="21"/>
  <c r="M5" i="21"/>
  <c r="N5" i="21"/>
  <c r="R5" i="21"/>
  <c r="S5" i="21"/>
  <c r="U5" i="21"/>
  <c r="V5" i="21"/>
  <c r="X5" i="21"/>
  <c r="Y5" i="21"/>
  <c r="AA5" i="21"/>
  <c r="AB5" i="21"/>
  <c r="AD5" i="21"/>
  <c r="AE5" i="21"/>
  <c r="AF5" i="21"/>
  <c r="AG5" i="21"/>
  <c r="AI5" i="21"/>
  <c r="AJ5" i="21"/>
  <c r="K6" i="21"/>
  <c r="N6" i="21"/>
  <c r="K7" i="21"/>
  <c r="N7" i="21"/>
  <c r="R7" i="21"/>
  <c r="S7" i="21"/>
  <c r="U7" i="21"/>
  <c r="V7" i="21"/>
  <c r="X7" i="21"/>
  <c r="Y7" i="21"/>
  <c r="AA7" i="21"/>
  <c r="AB7" i="21"/>
  <c r="AD7" i="21"/>
  <c r="AE7" i="21"/>
  <c r="AF7" i="21"/>
  <c r="AG7" i="21"/>
  <c r="AI7" i="21"/>
  <c r="AJ7" i="21"/>
  <c r="K8" i="21"/>
  <c r="N8" i="21"/>
  <c r="K9" i="21"/>
  <c r="N9" i="21"/>
  <c r="S9" i="21"/>
  <c r="V9" i="21"/>
  <c r="Y9" i="21"/>
  <c r="AB9" i="21"/>
  <c r="AE9" i="21"/>
  <c r="AG9" i="21"/>
  <c r="AJ9" i="21"/>
  <c r="J10" i="21"/>
  <c r="K10" i="21"/>
  <c r="M10" i="21"/>
  <c r="N10" i="21"/>
  <c r="S10" i="21"/>
  <c r="V10" i="21"/>
  <c r="Y10" i="21"/>
  <c r="AB10" i="21"/>
  <c r="AE10" i="21"/>
  <c r="AG10" i="21"/>
  <c r="AJ10" i="21"/>
  <c r="J11" i="21"/>
  <c r="K11" i="21"/>
  <c r="M11" i="21"/>
  <c r="N11" i="21"/>
  <c r="S11" i="21"/>
  <c r="V11" i="21"/>
  <c r="Y11" i="21"/>
  <c r="AB11" i="21"/>
  <c r="AE11" i="21"/>
  <c r="AG11" i="21"/>
  <c r="AJ11" i="21"/>
  <c r="J12" i="21"/>
  <c r="K12" i="21"/>
  <c r="M12" i="21"/>
  <c r="N12" i="21"/>
  <c r="S12" i="21"/>
  <c r="V12" i="21"/>
  <c r="Y12" i="21"/>
  <c r="AB12" i="21"/>
  <c r="AG12" i="21"/>
  <c r="AJ12" i="21"/>
  <c r="J13" i="21"/>
  <c r="K13" i="21"/>
  <c r="M13" i="21"/>
  <c r="N13" i="21"/>
  <c r="J14" i="21"/>
  <c r="K14" i="21"/>
  <c r="M14" i="21"/>
  <c r="N14" i="21"/>
  <c r="J15" i="21"/>
  <c r="K15" i="21"/>
  <c r="M15" i="21"/>
  <c r="N15" i="21"/>
  <c r="J16" i="21"/>
  <c r="K16" i="21"/>
  <c r="M16" i="21"/>
  <c r="N16" i="21"/>
  <c r="J17" i="21"/>
  <c r="K17" i="21"/>
  <c r="M17" i="21"/>
  <c r="N17" i="21"/>
  <c r="J18" i="21"/>
  <c r="K18" i="21"/>
  <c r="M18" i="21"/>
  <c r="N18" i="21"/>
  <c r="J19" i="21"/>
  <c r="K19" i="21"/>
  <c r="M19" i="21"/>
  <c r="N19" i="21"/>
  <c r="J20" i="21"/>
  <c r="K20" i="21"/>
  <c r="M20" i="21"/>
  <c r="N20" i="21"/>
  <c r="J21" i="21"/>
  <c r="K21" i="21"/>
  <c r="M21" i="21"/>
  <c r="N21" i="21"/>
  <c r="J22" i="21"/>
  <c r="K22" i="21"/>
  <c r="M22" i="21"/>
  <c r="N22" i="21"/>
  <c r="J23" i="21"/>
  <c r="K23" i="21"/>
  <c r="M23" i="21"/>
  <c r="N23" i="21"/>
  <c r="J24" i="21"/>
  <c r="K24" i="21"/>
  <c r="M24" i="21"/>
  <c r="N24" i="21"/>
  <c r="J25" i="21"/>
  <c r="K25" i="21"/>
  <c r="M25" i="21"/>
  <c r="N25" i="21"/>
  <c r="K26" i="21"/>
  <c r="N26" i="21"/>
  <c r="K27" i="21"/>
  <c r="N27" i="21"/>
  <c r="K28" i="21"/>
  <c r="N28" i="21"/>
  <c r="K29" i="21"/>
  <c r="N29" i="21"/>
  <c r="K30" i="21"/>
  <c r="N30" i="21"/>
  <c r="K31" i="21"/>
  <c r="N31" i="21"/>
  <c r="K32" i="21"/>
  <c r="N32" i="21"/>
  <c r="K33" i="21"/>
  <c r="N33" i="21"/>
  <c r="K34" i="21"/>
  <c r="N34" i="21"/>
  <c r="K35" i="21"/>
  <c r="N35" i="21"/>
  <c r="K36" i="21"/>
  <c r="N36" i="21"/>
  <c r="K37" i="21"/>
  <c r="N37" i="21"/>
  <c r="J38" i="21"/>
  <c r="K38" i="21"/>
  <c r="M38" i="21"/>
  <c r="N38" i="21"/>
  <c r="J39" i="21"/>
  <c r="K39" i="21"/>
  <c r="M39" i="21"/>
  <c r="N39" i="21"/>
  <c r="J40" i="21"/>
  <c r="K40" i="21"/>
  <c r="M40" i="21"/>
  <c r="N40" i="21"/>
  <c r="J41" i="21"/>
  <c r="K41" i="21"/>
  <c r="M41" i="21"/>
  <c r="N41" i="21"/>
  <c r="J42" i="21"/>
  <c r="K42" i="21"/>
  <c r="M42" i="21"/>
  <c r="N42" i="21"/>
  <c r="J43" i="21"/>
  <c r="K43" i="21"/>
  <c r="M43" i="21"/>
  <c r="N43" i="21"/>
  <c r="J44" i="21"/>
  <c r="K44" i="21"/>
  <c r="M44" i="21"/>
  <c r="N44" i="21"/>
  <c r="J45" i="21"/>
  <c r="K45" i="21"/>
  <c r="M45" i="21"/>
  <c r="N45" i="21"/>
  <c r="J46" i="21"/>
  <c r="K46" i="21"/>
  <c r="M46" i="21"/>
  <c r="N46" i="21"/>
  <c r="J47" i="21"/>
  <c r="K47" i="21"/>
  <c r="M47" i="21"/>
  <c r="N47" i="21"/>
  <c r="J48" i="21"/>
  <c r="K48" i="21"/>
  <c r="M48" i="21"/>
  <c r="N48" i="21"/>
  <c r="J49" i="21"/>
  <c r="K49" i="21"/>
  <c r="M49" i="21"/>
  <c r="N49" i="21"/>
  <c r="J50" i="21"/>
  <c r="M50" i="21"/>
  <c r="J51" i="21"/>
  <c r="M51" i="21"/>
  <c r="J52" i="21"/>
  <c r="M52" i="21"/>
  <c r="J53" i="21"/>
  <c r="M53" i="21"/>
  <c r="J54" i="21"/>
  <c r="M54" i="21"/>
  <c r="J55" i="21"/>
  <c r="M55" i="21"/>
  <c r="J56" i="21"/>
  <c r="M56" i="21"/>
  <c r="J57" i="21"/>
  <c r="M57" i="21"/>
  <c r="J58" i="21"/>
  <c r="M58" i="21"/>
  <c r="J59" i="21"/>
  <c r="M59" i="21"/>
  <c r="J60" i="21"/>
  <c r="M60" i="21"/>
  <c r="J61" i="21"/>
  <c r="M61" i="21"/>
  <c r="J62" i="21"/>
  <c r="M62" i="21"/>
  <c r="J63" i="21"/>
  <c r="M63" i="21"/>
  <c r="J64" i="21"/>
  <c r="M64" i="21"/>
  <c r="J65" i="21"/>
  <c r="M65" i="21"/>
  <c r="J66" i="21"/>
  <c r="M66" i="21"/>
  <c r="J67" i="21"/>
  <c r="M67" i="21"/>
  <c r="J68" i="21"/>
  <c r="M68" i="21"/>
  <c r="J69" i="21"/>
  <c r="M69" i="21"/>
  <c r="J70" i="21"/>
  <c r="M70" i="21"/>
  <c r="J71" i="21"/>
  <c r="M71" i="21"/>
  <c r="J72" i="21"/>
  <c r="M72" i="21"/>
  <c r="J73" i="21"/>
  <c r="M73" i="21"/>
  <c r="K74" i="21"/>
  <c r="N74" i="21"/>
  <c r="K75" i="21"/>
  <c r="N75" i="21"/>
  <c r="K76" i="21"/>
  <c r="N76" i="21"/>
  <c r="K77" i="21"/>
  <c r="N77" i="21"/>
  <c r="K78" i="21"/>
  <c r="N78" i="21"/>
  <c r="K79" i="21"/>
  <c r="N79" i="21"/>
  <c r="K80" i="21"/>
  <c r="N80" i="21"/>
  <c r="K81" i="21"/>
  <c r="N81" i="21"/>
  <c r="K82" i="21"/>
  <c r="N82" i="21"/>
  <c r="K83" i="21"/>
  <c r="N83" i="21"/>
  <c r="K84" i="21"/>
  <c r="N84" i="21"/>
  <c r="K85" i="21"/>
  <c r="N85" i="21"/>
  <c r="K86" i="21"/>
  <c r="N86" i="21"/>
  <c r="K87" i="21"/>
  <c r="N87" i="21"/>
  <c r="K88" i="21"/>
  <c r="N88" i="21"/>
  <c r="K89" i="21"/>
  <c r="N89" i="21"/>
  <c r="K90" i="21"/>
  <c r="N90" i="21"/>
  <c r="K91" i="21"/>
  <c r="N91" i="21"/>
  <c r="K92" i="21"/>
  <c r="N92" i="21"/>
  <c r="K93" i="21"/>
  <c r="N93" i="21"/>
  <c r="K94" i="21"/>
  <c r="N94" i="21"/>
  <c r="K95" i="21"/>
  <c r="N95" i="21"/>
  <c r="K96" i="21"/>
  <c r="N96" i="21"/>
  <c r="K97" i="21"/>
  <c r="N97" i="21"/>
  <c r="J98" i="21"/>
  <c r="M98" i="21"/>
  <c r="J99" i="21"/>
  <c r="M99" i="21"/>
  <c r="J100" i="21"/>
  <c r="M100" i="21"/>
  <c r="J101" i="21"/>
  <c r="M101" i="21"/>
  <c r="J102" i="21"/>
  <c r="M102" i="21"/>
  <c r="J103" i="21"/>
  <c r="M103" i="21"/>
  <c r="J104" i="21"/>
  <c r="M104" i="21"/>
  <c r="J105" i="21"/>
  <c r="M105" i="21"/>
  <c r="J106" i="21"/>
  <c r="M106" i="21"/>
  <c r="J107" i="21"/>
  <c r="M107" i="21"/>
  <c r="J108" i="21"/>
  <c r="M108" i="21"/>
  <c r="J109" i="21"/>
  <c r="M109" i="21"/>
  <c r="J110" i="21"/>
  <c r="M110" i="21"/>
  <c r="J111" i="21"/>
  <c r="M111" i="21"/>
  <c r="J112" i="21"/>
  <c r="M112" i="21"/>
  <c r="J113" i="21"/>
  <c r="M113" i="21"/>
  <c r="J114" i="21"/>
  <c r="M114" i="21"/>
  <c r="J115" i="21"/>
  <c r="M115" i="21"/>
  <c r="J116" i="21"/>
  <c r="M116" i="21"/>
  <c r="J117" i="21"/>
  <c r="M117" i="21"/>
  <c r="J118" i="21"/>
  <c r="M118" i="21"/>
  <c r="J119" i="21"/>
  <c r="M119" i="21"/>
  <c r="J120" i="21"/>
  <c r="M120" i="21"/>
  <c r="J121" i="21"/>
  <c r="M121" i="21"/>
  <c r="K122" i="21"/>
  <c r="N122" i="21"/>
  <c r="K123" i="21"/>
  <c r="N123" i="21"/>
  <c r="K124" i="21"/>
  <c r="N124" i="21"/>
  <c r="K125" i="21"/>
  <c r="N125" i="21"/>
  <c r="K126" i="21"/>
  <c r="N126" i="21"/>
  <c r="K127" i="21"/>
  <c r="N127" i="21"/>
  <c r="K128" i="21"/>
  <c r="N128" i="21"/>
  <c r="K129" i="21"/>
  <c r="N129" i="21"/>
  <c r="K130" i="21"/>
  <c r="N130" i="21"/>
  <c r="K131" i="21"/>
  <c r="N131" i="21"/>
  <c r="K132" i="21"/>
  <c r="N132" i="21"/>
  <c r="K133" i="21"/>
  <c r="N133" i="21"/>
  <c r="K134" i="21"/>
  <c r="N134" i="21"/>
  <c r="K135" i="21"/>
  <c r="N135" i="21"/>
  <c r="K136" i="21"/>
  <c r="N136" i="21"/>
  <c r="K137" i="21"/>
  <c r="N137" i="21"/>
  <c r="K138" i="21"/>
  <c r="N138" i="21"/>
  <c r="K139" i="21"/>
  <c r="N139" i="21"/>
  <c r="K140" i="21"/>
  <c r="N140" i="21"/>
  <c r="K141" i="21"/>
  <c r="N141" i="21"/>
  <c r="K142" i="21"/>
  <c r="N142" i="21"/>
  <c r="K143" i="21"/>
  <c r="N143" i="21"/>
  <c r="K144" i="21"/>
  <c r="N144" i="21"/>
  <c r="K145" i="21"/>
  <c r="N145" i="21"/>
  <c r="K146" i="21"/>
  <c r="N146" i="21"/>
  <c r="K147" i="21"/>
  <c r="N147" i="21"/>
  <c r="K148" i="21"/>
  <c r="N148" i="21"/>
  <c r="K149" i="21"/>
  <c r="N149" i="21"/>
  <c r="K150" i="21"/>
  <c r="N150" i="21"/>
  <c r="K151" i="21"/>
  <c r="N151" i="21"/>
  <c r="K152" i="21"/>
  <c r="N152" i="21"/>
  <c r="K153" i="21"/>
  <c r="N153" i="21"/>
  <c r="K154" i="21"/>
  <c r="N154" i="21"/>
  <c r="K155" i="21"/>
  <c r="N155" i="21"/>
  <c r="K156" i="21"/>
  <c r="N156" i="21"/>
  <c r="K157" i="21"/>
  <c r="N157" i="21"/>
  <c r="J158" i="21"/>
  <c r="M158" i="21"/>
  <c r="J159" i="21"/>
  <c r="M159" i="21"/>
  <c r="J160" i="21"/>
  <c r="M160" i="21"/>
  <c r="J161" i="21"/>
  <c r="M161" i="21"/>
  <c r="J162" i="21"/>
  <c r="M162" i="21"/>
  <c r="J163" i="21"/>
  <c r="M163" i="21"/>
  <c r="J164" i="21"/>
  <c r="M164" i="21"/>
  <c r="J165" i="21"/>
  <c r="M165" i="21"/>
  <c r="J166" i="21"/>
  <c r="M166" i="21"/>
  <c r="J167" i="21"/>
  <c r="M167" i="21"/>
  <c r="J168" i="21"/>
  <c r="M168" i="21"/>
  <c r="J169" i="21"/>
  <c r="M169" i="21"/>
  <c r="K170" i="21"/>
  <c r="N170" i="21"/>
  <c r="K171" i="21"/>
  <c r="N171" i="21"/>
  <c r="K172" i="21"/>
  <c r="N172" i="21"/>
  <c r="K173" i="21"/>
  <c r="N173" i="21"/>
  <c r="K174" i="21"/>
  <c r="N174" i="21"/>
  <c r="K175" i="21"/>
  <c r="N175" i="21"/>
  <c r="K176" i="21"/>
  <c r="N176" i="21"/>
  <c r="K177" i="21"/>
  <c r="N177" i="21"/>
  <c r="K178" i="21"/>
  <c r="N178" i="21"/>
  <c r="K179" i="21"/>
  <c r="N179" i="21"/>
  <c r="K180" i="21"/>
  <c r="N180" i="21"/>
  <c r="K181" i="21"/>
  <c r="N181" i="21"/>
  <c r="K182" i="21"/>
  <c r="N182" i="21"/>
  <c r="K183" i="21"/>
  <c r="N183" i="21"/>
  <c r="K184" i="21"/>
  <c r="N184" i="21"/>
  <c r="K185" i="21"/>
  <c r="N185" i="21"/>
  <c r="K186" i="21"/>
  <c r="N186" i="21"/>
  <c r="K187" i="21"/>
  <c r="N187" i="21"/>
  <c r="K188" i="21"/>
  <c r="N188" i="21"/>
  <c r="K189" i="21"/>
  <c r="N189" i="21"/>
  <c r="K190" i="21"/>
  <c r="N190" i="21"/>
  <c r="K191" i="21"/>
  <c r="N191" i="21"/>
  <c r="K192" i="21"/>
  <c r="N192" i="21"/>
  <c r="K193" i="21"/>
  <c r="N193" i="21"/>
  <c r="K194" i="21"/>
  <c r="N194" i="21"/>
  <c r="K195" i="21"/>
  <c r="N195" i="21"/>
  <c r="K196" i="21"/>
  <c r="N196" i="21"/>
  <c r="K197" i="21"/>
  <c r="N197" i="21"/>
  <c r="K198" i="21"/>
  <c r="N198" i="21"/>
  <c r="K199" i="21"/>
  <c r="N199" i="21"/>
  <c r="K200" i="21"/>
  <c r="N200" i="21"/>
  <c r="K201" i="21"/>
  <c r="N201" i="21"/>
  <c r="K202" i="21"/>
  <c r="N202" i="21"/>
  <c r="K203" i="21"/>
  <c r="N203" i="21"/>
  <c r="K204" i="21"/>
  <c r="N204" i="21"/>
  <c r="K205" i="21"/>
  <c r="N205" i="21"/>
  <c r="J206" i="21"/>
  <c r="M206" i="21"/>
  <c r="J207" i="21"/>
  <c r="M207" i="21"/>
  <c r="J208" i="21"/>
  <c r="M208" i="21"/>
  <c r="J209" i="21"/>
  <c r="M209" i="21"/>
  <c r="J210" i="21"/>
  <c r="M210" i="21"/>
  <c r="J211" i="21"/>
  <c r="M211" i="21"/>
  <c r="J212" i="21"/>
  <c r="M212" i="21"/>
  <c r="J213" i="21"/>
  <c r="M213" i="21"/>
  <c r="J214" i="21"/>
  <c r="M214" i="21"/>
  <c r="J215" i="21"/>
  <c r="M215" i="21"/>
  <c r="J216" i="21"/>
  <c r="M216" i="21"/>
  <c r="J217" i="21"/>
  <c r="M217" i="21"/>
  <c r="J218" i="21"/>
  <c r="M218" i="21"/>
  <c r="J219" i="21"/>
  <c r="M219" i="21"/>
  <c r="J220" i="21"/>
  <c r="M220" i="21"/>
  <c r="J221" i="21"/>
  <c r="M221" i="21"/>
  <c r="J222" i="21"/>
  <c r="M222" i="21"/>
  <c r="J223" i="21"/>
  <c r="M223" i="21"/>
  <c r="J224" i="21"/>
  <c r="M224" i="21"/>
  <c r="J225" i="21"/>
  <c r="M225" i="21"/>
  <c r="J226" i="21"/>
  <c r="M226" i="21"/>
  <c r="J227" i="21"/>
  <c r="M227" i="21"/>
  <c r="J228" i="21"/>
  <c r="M228" i="21"/>
  <c r="J229" i="21"/>
  <c r="M229" i="21"/>
  <c r="K230" i="21"/>
  <c r="N230" i="21"/>
  <c r="K231" i="21"/>
  <c r="N231" i="21"/>
  <c r="K232" i="21"/>
  <c r="N232" i="21"/>
  <c r="K233" i="21"/>
  <c r="N233" i="21"/>
  <c r="K234" i="21"/>
  <c r="N234" i="21"/>
  <c r="K235" i="21"/>
  <c r="N235" i="21"/>
  <c r="K236" i="21"/>
  <c r="N236" i="21"/>
  <c r="K237" i="21"/>
  <c r="N237" i="21"/>
  <c r="K238" i="21"/>
  <c r="N238" i="21"/>
  <c r="K239" i="21"/>
  <c r="N239" i="21"/>
  <c r="K240" i="21"/>
  <c r="N240" i="21"/>
  <c r="K241" i="21"/>
  <c r="N241" i="21"/>
  <c r="K242" i="21"/>
  <c r="N242" i="21"/>
  <c r="K243" i="21"/>
  <c r="N243" i="21"/>
  <c r="K244" i="21"/>
  <c r="N244" i="21"/>
  <c r="K245" i="21"/>
  <c r="N245" i="21"/>
  <c r="K246" i="21"/>
  <c r="N246" i="21"/>
  <c r="K247" i="21"/>
  <c r="N247" i="21"/>
  <c r="K248" i="21"/>
  <c r="N248" i="21"/>
  <c r="K249" i="21"/>
  <c r="N249" i="21"/>
  <c r="K250" i="21"/>
  <c r="N250" i="21"/>
  <c r="K251" i="21"/>
  <c r="N251" i="21"/>
  <c r="K252" i="21"/>
  <c r="N252" i="21"/>
  <c r="K253" i="21"/>
  <c r="N253" i="21"/>
  <c r="K254" i="21"/>
  <c r="N254" i="21"/>
  <c r="K255" i="21"/>
  <c r="N255" i="21"/>
  <c r="K256" i="21"/>
  <c r="N256" i="21"/>
  <c r="K257" i="21"/>
  <c r="N257" i="21"/>
  <c r="K258" i="21"/>
  <c r="N258" i="21"/>
  <c r="K259" i="21"/>
  <c r="N259" i="21"/>
  <c r="K260" i="21"/>
  <c r="N260" i="21"/>
  <c r="K261" i="21"/>
  <c r="N261" i="21"/>
  <c r="K262" i="21"/>
  <c r="N262" i="21"/>
  <c r="K263" i="21"/>
  <c r="N263" i="21"/>
  <c r="K264" i="21"/>
  <c r="N264" i="21"/>
  <c r="K265" i="21"/>
  <c r="N265" i="21"/>
  <c r="J266" i="21"/>
  <c r="M266" i="21"/>
  <c r="J267" i="21"/>
  <c r="M267" i="21"/>
  <c r="J268" i="21"/>
  <c r="M268" i="21"/>
  <c r="J269" i="21"/>
  <c r="M269" i="21"/>
  <c r="J270" i="21"/>
  <c r="M270" i="21"/>
  <c r="J271" i="21"/>
  <c r="M271" i="21"/>
  <c r="J272" i="21"/>
  <c r="M272" i="21"/>
  <c r="J273" i="21"/>
  <c r="M273" i="21"/>
  <c r="J274" i="21"/>
  <c r="M274" i="21"/>
  <c r="J275" i="21"/>
  <c r="M275" i="21"/>
  <c r="J276" i="21"/>
  <c r="M276" i="21"/>
  <c r="J277" i="21"/>
  <c r="M277" i="21"/>
  <c r="K278" i="21"/>
  <c r="N278" i="21"/>
  <c r="K279" i="21"/>
  <c r="N279" i="21"/>
  <c r="K280" i="21"/>
  <c r="N280" i="21"/>
  <c r="K281" i="21"/>
  <c r="N281" i="21"/>
  <c r="K282" i="21"/>
  <c r="N282" i="21"/>
  <c r="K283" i="21"/>
  <c r="N283" i="21"/>
  <c r="K284" i="21"/>
  <c r="N284" i="21"/>
  <c r="K285" i="21"/>
  <c r="N285" i="21"/>
  <c r="K286" i="21"/>
  <c r="N286" i="21"/>
  <c r="K287" i="21"/>
  <c r="N287" i="21"/>
  <c r="K288" i="21"/>
  <c r="N288" i="21"/>
  <c r="K289" i="21"/>
  <c r="N289" i="21"/>
  <c r="K290" i="21"/>
  <c r="N290" i="21"/>
  <c r="K291" i="21"/>
  <c r="N291" i="21"/>
  <c r="K292" i="21"/>
  <c r="N292" i="21"/>
  <c r="K293" i="21"/>
  <c r="N293" i="21"/>
  <c r="K294" i="21"/>
  <c r="N294" i="21"/>
  <c r="K295" i="21"/>
  <c r="N295" i="21"/>
  <c r="K296" i="21"/>
  <c r="N296" i="21"/>
  <c r="K297" i="21"/>
  <c r="N297" i="21"/>
  <c r="K298" i="21"/>
  <c r="N298" i="21"/>
  <c r="K299" i="21"/>
  <c r="N299" i="21"/>
  <c r="K300" i="21"/>
  <c r="N300" i="21"/>
  <c r="K301" i="21"/>
  <c r="N301" i="21"/>
  <c r="K302" i="21"/>
  <c r="N302" i="21"/>
  <c r="K303" i="21"/>
  <c r="N303" i="21"/>
  <c r="K304" i="21"/>
  <c r="N304" i="21"/>
  <c r="K305" i="21"/>
  <c r="N305" i="21"/>
  <c r="K306" i="21"/>
  <c r="N306" i="21"/>
  <c r="K307" i="21"/>
  <c r="N307" i="21"/>
  <c r="K308" i="21"/>
  <c r="N308" i="21"/>
  <c r="K309" i="21"/>
  <c r="N309" i="21"/>
  <c r="K310" i="21"/>
  <c r="N310" i="21"/>
  <c r="K311" i="21"/>
  <c r="N311" i="21"/>
  <c r="K312" i="21"/>
  <c r="N312" i="21"/>
  <c r="K313" i="21"/>
  <c r="N313" i="21"/>
  <c r="K314" i="21"/>
  <c r="N314" i="21"/>
  <c r="K315" i="21"/>
  <c r="N315" i="21"/>
  <c r="K316" i="21"/>
  <c r="N316" i="21"/>
  <c r="K317" i="21"/>
  <c r="N317" i="21"/>
  <c r="K318" i="21"/>
  <c r="N318" i="21"/>
  <c r="K319" i="21"/>
  <c r="N319" i="21"/>
  <c r="K320" i="21"/>
  <c r="N320" i="21"/>
  <c r="K321" i="21"/>
  <c r="N321" i="21"/>
  <c r="K322" i="21"/>
  <c r="N322" i="21"/>
  <c r="K323" i="21"/>
  <c r="N323" i="21"/>
  <c r="K324" i="21"/>
  <c r="N324" i="21"/>
  <c r="K325" i="21"/>
  <c r="N325" i="21"/>
  <c r="K326" i="21"/>
  <c r="N326" i="21"/>
  <c r="K327" i="21"/>
  <c r="N327" i="21"/>
  <c r="K328" i="21"/>
  <c r="N328" i="21"/>
  <c r="K329" i="21"/>
  <c r="N329" i="21"/>
  <c r="K330" i="21"/>
  <c r="N330" i="21"/>
  <c r="K331" i="21"/>
  <c r="N331" i="21"/>
  <c r="K332" i="21"/>
  <c r="N332" i="21"/>
  <c r="K333" i="21"/>
  <c r="N333" i="21"/>
  <c r="K334" i="21"/>
  <c r="N334" i="21"/>
  <c r="K335" i="21"/>
  <c r="N335" i="21"/>
  <c r="K336" i="21"/>
  <c r="N336" i="21"/>
  <c r="K337" i="21"/>
  <c r="N337" i="21"/>
  <c r="K338" i="21"/>
  <c r="N338" i="21"/>
  <c r="K339" i="21"/>
  <c r="N339" i="21"/>
  <c r="K340" i="21"/>
  <c r="N340" i="21"/>
  <c r="K341" i="21"/>
  <c r="N341" i="21"/>
  <c r="K342" i="21"/>
  <c r="N342" i="21"/>
  <c r="K343" i="21"/>
  <c r="N343" i="21"/>
  <c r="K344" i="21"/>
  <c r="N344" i="21"/>
  <c r="K345" i="21"/>
  <c r="N345" i="21"/>
  <c r="K346" i="21"/>
  <c r="N346" i="21"/>
  <c r="K347" i="21"/>
  <c r="N347" i="21"/>
  <c r="K348" i="21"/>
  <c r="N348" i="21"/>
  <c r="K349" i="21"/>
  <c r="N349" i="21"/>
  <c r="K350" i="21"/>
  <c r="N350" i="21"/>
  <c r="K351" i="21"/>
  <c r="N351" i="21"/>
  <c r="K352" i="21"/>
  <c r="N352" i="21"/>
  <c r="K353" i="21"/>
  <c r="N353" i="21"/>
  <c r="K354" i="21"/>
  <c r="N354" i="21"/>
  <c r="K355" i="21"/>
  <c r="N355" i="21"/>
  <c r="K356" i="21"/>
  <c r="N356" i="21"/>
  <c r="K357" i="21"/>
  <c r="N357" i="21"/>
  <c r="K358" i="21"/>
  <c r="N358" i="21"/>
  <c r="K359" i="21"/>
  <c r="N359" i="21"/>
  <c r="K360" i="21"/>
  <c r="N360" i="21"/>
  <c r="K361" i="21"/>
  <c r="N361" i="21"/>
  <c r="K362" i="21"/>
  <c r="N362" i="21"/>
  <c r="K363" i="21"/>
  <c r="N363" i="21"/>
  <c r="K364" i="21"/>
  <c r="N364" i="21"/>
  <c r="K365" i="21"/>
  <c r="N365" i="21"/>
  <c r="K366" i="21"/>
  <c r="N366" i="21"/>
  <c r="K367" i="21"/>
  <c r="N367" i="21"/>
  <c r="K368" i="21"/>
  <c r="N368" i="21"/>
  <c r="K369" i="21"/>
  <c r="N369" i="21"/>
  <c r="K370" i="21"/>
  <c r="N370" i="21"/>
  <c r="K371" i="21"/>
  <c r="N371" i="21"/>
  <c r="K372" i="21"/>
  <c r="N372" i="21"/>
  <c r="K373" i="21"/>
  <c r="N373" i="21"/>
  <c r="K374" i="21"/>
  <c r="N374" i="21"/>
  <c r="K375" i="21"/>
  <c r="N375" i="21"/>
  <c r="K376" i="21"/>
  <c r="N376" i="21"/>
  <c r="K377" i="21"/>
  <c r="N377" i="21"/>
  <c r="K378" i="21"/>
  <c r="N378" i="21"/>
  <c r="K379" i="21"/>
  <c r="N379" i="21"/>
  <c r="K380" i="21"/>
  <c r="N380" i="21"/>
  <c r="K381" i="21"/>
  <c r="N381" i="21"/>
  <c r="K382" i="21"/>
  <c r="N382" i="21"/>
  <c r="K383" i="21"/>
  <c r="N383" i="21"/>
  <c r="K384" i="21"/>
  <c r="N384" i="21"/>
  <c r="K385" i="21"/>
  <c r="N385" i="21"/>
  <c r="K386" i="21"/>
  <c r="N386" i="21"/>
  <c r="K387" i="21"/>
  <c r="N387" i="21"/>
  <c r="K388" i="21"/>
  <c r="N388" i="21"/>
  <c r="K389" i="21"/>
  <c r="N389" i="21"/>
  <c r="K390" i="21"/>
  <c r="N390" i="21"/>
  <c r="K391" i="21"/>
  <c r="N391" i="21"/>
  <c r="K392" i="21"/>
  <c r="N392" i="21"/>
  <c r="K393" i="21"/>
  <c r="N393" i="21"/>
  <c r="K394" i="21"/>
  <c r="N394" i="21"/>
  <c r="K395" i="21"/>
  <c r="N395" i="21"/>
  <c r="K396" i="21"/>
  <c r="N396" i="21"/>
  <c r="K397" i="21"/>
  <c r="N397" i="21"/>
  <c r="K398" i="21"/>
  <c r="N398" i="21"/>
  <c r="K399" i="21"/>
  <c r="N399" i="21"/>
  <c r="K400" i="21"/>
  <c r="N400" i="21"/>
  <c r="K401" i="21"/>
  <c r="N401" i="21"/>
  <c r="K402" i="21"/>
  <c r="N402" i="21"/>
  <c r="K403" i="21"/>
  <c r="N403" i="21"/>
  <c r="K404" i="21"/>
  <c r="N404" i="21"/>
  <c r="K405" i="21"/>
  <c r="N405" i="21"/>
  <c r="K406" i="21"/>
  <c r="N406" i="21"/>
  <c r="K407" i="21"/>
  <c r="N407" i="21"/>
  <c r="K408" i="21"/>
  <c r="N408" i="21"/>
  <c r="K409" i="21"/>
  <c r="N409" i="21"/>
  <c r="K410" i="21"/>
  <c r="N410" i="21"/>
  <c r="K411" i="21"/>
  <c r="N411" i="21"/>
  <c r="K412" i="21"/>
  <c r="N412" i="21"/>
  <c r="K413" i="21"/>
  <c r="N413" i="21"/>
  <c r="K414" i="21"/>
  <c r="N414" i="21"/>
  <c r="K415" i="21"/>
  <c r="N415" i="21"/>
  <c r="K416" i="21"/>
  <c r="N416" i="21"/>
  <c r="K417" i="21"/>
  <c r="N417" i="21"/>
  <c r="K418" i="21"/>
  <c r="N418" i="21"/>
  <c r="K419" i="21"/>
  <c r="N419" i="21"/>
  <c r="K420" i="21"/>
  <c r="N420" i="21"/>
  <c r="K421" i="21"/>
  <c r="N421" i="21"/>
  <c r="K422" i="21"/>
  <c r="N422" i="21"/>
  <c r="K423" i="21"/>
  <c r="N423" i="21"/>
  <c r="K424" i="21"/>
  <c r="N424" i="21"/>
  <c r="K425" i="21"/>
  <c r="N425" i="21"/>
  <c r="K426" i="21"/>
  <c r="N426" i="21"/>
  <c r="K427" i="21"/>
  <c r="N427" i="21"/>
  <c r="K428" i="21"/>
  <c r="N428" i="21"/>
  <c r="K429" i="21"/>
  <c r="N429" i="21"/>
  <c r="K430" i="21"/>
  <c r="N430" i="21"/>
  <c r="K431" i="21"/>
  <c r="N431" i="21"/>
  <c r="K432" i="21"/>
  <c r="N432" i="21"/>
  <c r="K433" i="21"/>
  <c r="N433" i="21"/>
  <c r="K434" i="21"/>
  <c r="N434" i="21"/>
  <c r="K435" i="21"/>
  <c r="N435" i="21"/>
  <c r="K436" i="21"/>
  <c r="N436" i="21"/>
  <c r="K437" i="21"/>
  <c r="N437" i="21"/>
  <c r="K438" i="21"/>
  <c r="N438" i="21"/>
  <c r="K439" i="21"/>
  <c r="N439" i="21"/>
  <c r="K440" i="21"/>
  <c r="N440" i="21"/>
  <c r="K441" i="21"/>
  <c r="N441" i="21"/>
  <c r="K442" i="21"/>
  <c r="N442" i="21"/>
  <c r="K443" i="21"/>
  <c r="N443" i="21"/>
  <c r="K444" i="21"/>
  <c r="N444" i="21"/>
  <c r="K445" i="21"/>
  <c r="N445" i="21"/>
  <c r="K446" i="21"/>
  <c r="N446" i="21"/>
  <c r="K447" i="21"/>
  <c r="N447" i="21"/>
  <c r="K448" i="21"/>
  <c r="N448" i="21"/>
  <c r="K449" i="21"/>
  <c r="N449" i="21"/>
  <c r="K450" i="21"/>
  <c r="N450" i="21"/>
  <c r="K451" i="21"/>
  <c r="N451" i="21"/>
  <c r="K452" i="21"/>
  <c r="N452" i="21"/>
  <c r="K453" i="21"/>
  <c r="N453" i="21"/>
  <c r="K454" i="21"/>
  <c r="N454" i="21"/>
  <c r="K455" i="21"/>
  <c r="N455" i="21"/>
  <c r="K456" i="21"/>
  <c r="N456" i="21"/>
  <c r="K457" i="21"/>
  <c r="N457" i="21"/>
  <c r="K458" i="21"/>
  <c r="N458" i="21"/>
  <c r="K459" i="21"/>
  <c r="N459" i="21"/>
  <c r="K460" i="21"/>
  <c r="N460" i="21"/>
  <c r="K461" i="21"/>
  <c r="N461" i="21"/>
  <c r="K462" i="21"/>
  <c r="N462" i="21"/>
  <c r="K463" i="21"/>
  <c r="N463" i="21"/>
  <c r="K464" i="21"/>
  <c r="N464" i="21"/>
  <c r="K465" i="21"/>
  <c r="N465" i="21"/>
  <c r="K466" i="21"/>
  <c r="N466" i="21"/>
  <c r="K467" i="21"/>
  <c r="N467" i="21"/>
  <c r="K468" i="21"/>
  <c r="N468" i="21"/>
  <c r="K469" i="21"/>
  <c r="N469" i="21"/>
  <c r="K470" i="21"/>
  <c r="N470" i="21"/>
  <c r="K471" i="21"/>
  <c r="N471" i="21"/>
  <c r="K472" i="21"/>
  <c r="N472" i="21"/>
  <c r="K473" i="21"/>
  <c r="N473" i="21"/>
  <c r="K474" i="21"/>
  <c r="N474" i="21"/>
  <c r="K475" i="21"/>
  <c r="N475" i="21"/>
  <c r="K476" i="21"/>
  <c r="N476" i="21"/>
  <c r="K477" i="21"/>
  <c r="N477" i="21"/>
  <c r="K478" i="21"/>
  <c r="N478" i="21"/>
  <c r="K479" i="21"/>
  <c r="N479" i="21"/>
  <c r="K480" i="21"/>
  <c r="N480" i="21"/>
  <c r="K481" i="21"/>
  <c r="N481" i="21"/>
  <c r="K482" i="21"/>
  <c r="N482" i="21"/>
  <c r="K483" i="21"/>
  <c r="N483" i="21"/>
  <c r="K484" i="21"/>
  <c r="N484" i="21"/>
  <c r="K485" i="21"/>
  <c r="N485" i="21"/>
  <c r="K486" i="21"/>
  <c r="N486" i="21"/>
  <c r="K487" i="21"/>
  <c r="N487" i="21"/>
  <c r="K488" i="21"/>
  <c r="N488" i="21"/>
  <c r="K489" i="21"/>
  <c r="N489" i="21"/>
  <c r="K490" i="21"/>
  <c r="N490" i="21"/>
  <c r="K491" i="21"/>
  <c r="N491" i="21"/>
  <c r="K492" i="21"/>
  <c r="N492" i="21"/>
  <c r="K493" i="21"/>
  <c r="N493" i="21"/>
  <c r="K494" i="21"/>
  <c r="N494" i="21"/>
  <c r="K495" i="21"/>
  <c r="N495" i="21"/>
  <c r="K496" i="21"/>
  <c r="N496" i="21"/>
  <c r="K497" i="21"/>
  <c r="N497" i="21"/>
  <c r="K498" i="21"/>
  <c r="N498" i="21"/>
  <c r="K499" i="21"/>
  <c r="N499" i="21"/>
  <c r="K500" i="21"/>
  <c r="N500" i="21"/>
  <c r="K501" i="21"/>
  <c r="N501" i="21"/>
  <c r="K502" i="21"/>
  <c r="N502" i="21"/>
  <c r="K503" i="21"/>
  <c r="N503" i="21"/>
  <c r="K504" i="21"/>
  <c r="N504" i="21"/>
  <c r="K505" i="21"/>
  <c r="N505" i="21"/>
  <c r="K506" i="21"/>
  <c r="N506" i="21"/>
  <c r="K507" i="21"/>
  <c r="N507" i="21"/>
  <c r="K508" i="21"/>
  <c r="N508" i="21"/>
  <c r="K509" i="21"/>
  <c r="N509" i="21"/>
  <c r="K510" i="21"/>
  <c r="N510" i="21"/>
  <c r="K511" i="21"/>
  <c r="N511" i="21"/>
  <c r="K512" i="21"/>
  <c r="N512" i="21"/>
  <c r="K513" i="21"/>
  <c r="N513" i="21"/>
  <c r="K514" i="21"/>
  <c r="N514" i="21"/>
  <c r="K515" i="21"/>
  <c r="N515" i="21"/>
  <c r="K516" i="21"/>
  <c r="N516" i="21"/>
  <c r="K517" i="21"/>
  <c r="N517" i="21"/>
  <c r="K518" i="21"/>
  <c r="N518" i="21"/>
  <c r="K519" i="21"/>
  <c r="N519" i="21"/>
  <c r="K520" i="21"/>
  <c r="N520" i="21"/>
  <c r="K521" i="21"/>
  <c r="N521" i="21"/>
  <c r="K522" i="21"/>
  <c r="N522" i="21"/>
  <c r="K523" i="21"/>
  <c r="N523" i="21"/>
  <c r="K524" i="21"/>
  <c r="N524" i="21"/>
  <c r="K525" i="21"/>
  <c r="N525" i="21"/>
  <c r="K526" i="21"/>
  <c r="N526" i="21"/>
  <c r="K527" i="21"/>
  <c r="N527" i="21"/>
  <c r="K528" i="21"/>
  <c r="N528" i="21"/>
  <c r="K529" i="21"/>
  <c r="N529" i="21"/>
  <c r="K530" i="21"/>
  <c r="N530" i="21"/>
  <c r="K531" i="21"/>
  <c r="N531" i="21"/>
  <c r="K532" i="21"/>
  <c r="N532" i="21"/>
  <c r="K533" i="21"/>
  <c r="N533" i="21"/>
  <c r="K534" i="21"/>
  <c r="N534" i="21"/>
  <c r="K535" i="21"/>
  <c r="N535" i="21"/>
  <c r="K536" i="21"/>
  <c r="N536" i="21"/>
  <c r="K537" i="21"/>
  <c r="N537" i="21"/>
  <c r="K538" i="21"/>
  <c r="N538" i="21"/>
  <c r="K539" i="21"/>
  <c r="N539" i="21"/>
  <c r="K540" i="21"/>
  <c r="N540" i="21"/>
  <c r="K541" i="21"/>
  <c r="N541" i="21"/>
  <c r="K542" i="21"/>
  <c r="N542" i="21"/>
  <c r="K543" i="21"/>
  <c r="N543" i="21"/>
  <c r="K544" i="21"/>
  <c r="N544" i="21"/>
  <c r="K545" i="21"/>
  <c r="N545" i="21"/>
  <c r="K546" i="21"/>
  <c r="N546" i="21"/>
  <c r="K547" i="21"/>
  <c r="N547" i="21"/>
  <c r="K548" i="21"/>
  <c r="N548" i="21"/>
  <c r="K549" i="21"/>
  <c r="N549" i="21"/>
  <c r="K550" i="21"/>
  <c r="N550" i="21"/>
  <c r="K551" i="21"/>
  <c r="N551" i="21"/>
  <c r="K552" i="21"/>
  <c r="N552" i="21"/>
  <c r="K553" i="21"/>
  <c r="N553" i="21"/>
  <c r="K554" i="21"/>
  <c r="N554" i="21"/>
  <c r="K555" i="21"/>
  <c r="N555" i="21"/>
  <c r="K556" i="21"/>
  <c r="N556" i="21"/>
  <c r="K557" i="21"/>
  <c r="N557" i="21"/>
  <c r="K558" i="21"/>
  <c r="N558" i="21"/>
  <c r="K559" i="21"/>
  <c r="N559" i="21"/>
  <c r="K560" i="21"/>
  <c r="N560" i="21"/>
  <c r="K561" i="21"/>
  <c r="N561" i="21"/>
  <c r="K562" i="21"/>
  <c r="N562" i="21"/>
  <c r="K563" i="21"/>
  <c r="N563" i="21"/>
  <c r="K564" i="21"/>
  <c r="N564" i="21"/>
  <c r="K565" i="21"/>
  <c r="N565" i="21"/>
  <c r="K566" i="21"/>
  <c r="N566" i="21"/>
  <c r="K567" i="21"/>
  <c r="N567" i="21"/>
  <c r="K568" i="21"/>
  <c r="N568" i="21"/>
  <c r="K569" i="21"/>
  <c r="N569" i="21"/>
  <c r="K570" i="21"/>
  <c r="N570" i="21"/>
  <c r="K571" i="21"/>
  <c r="N571" i="21"/>
  <c r="K572" i="21"/>
  <c r="N572" i="21"/>
  <c r="K573" i="21"/>
  <c r="N573" i="21"/>
  <c r="K574" i="21"/>
  <c r="N574" i="21"/>
  <c r="K575" i="21"/>
  <c r="N575" i="21"/>
  <c r="K576" i="21"/>
  <c r="N576" i="21"/>
  <c r="K577" i="21"/>
  <c r="N577" i="21"/>
  <c r="K578" i="21"/>
  <c r="N578" i="21"/>
  <c r="K579" i="21"/>
  <c r="N579" i="21"/>
  <c r="K580" i="21"/>
  <c r="N580" i="21"/>
  <c r="K581" i="21"/>
  <c r="N581" i="21"/>
  <c r="K582" i="21"/>
  <c r="N582" i="21"/>
  <c r="K583" i="21"/>
  <c r="N583" i="21"/>
  <c r="K584" i="21"/>
  <c r="N584" i="21"/>
  <c r="K585" i="21"/>
  <c r="N585" i="21"/>
  <c r="K586" i="21"/>
  <c r="N586" i="21"/>
  <c r="K587" i="21"/>
  <c r="N587" i="21"/>
  <c r="K588" i="21"/>
  <c r="N588" i="21"/>
  <c r="K589" i="21"/>
  <c r="N589" i="21"/>
  <c r="K590" i="21"/>
  <c r="N590" i="21"/>
  <c r="K591" i="21"/>
  <c r="N591" i="21"/>
  <c r="K592" i="21"/>
  <c r="N592" i="21"/>
  <c r="K593" i="21"/>
  <c r="N593" i="21"/>
  <c r="K594" i="21"/>
  <c r="N594" i="21"/>
  <c r="K595" i="21"/>
  <c r="N595" i="21"/>
  <c r="K596" i="21"/>
  <c r="N596" i="21"/>
  <c r="K597" i="21"/>
  <c r="N597" i="21"/>
  <c r="K598" i="21"/>
  <c r="N598" i="21"/>
  <c r="K599" i="21"/>
  <c r="N599" i="21"/>
  <c r="K600" i="21"/>
  <c r="N600" i="21"/>
  <c r="K601" i="21"/>
  <c r="N601" i="21"/>
  <c r="K602" i="21"/>
  <c r="N602" i="21"/>
  <c r="K603" i="21"/>
  <c r="N603" i="21"/>
  <c r="K604" i="21"/>
  <c r="N604" i="21"/>
  <c r="D48" i="5"/>
  <c r="E48" i="5"/>
  <c r="F48" i="5"/>
  <c r="G48" i="5"/>
  <c r="D49" i="5"/>
  <c r="E49" i="5"/>
  <c r="F49" i="5"/>
  <c r="G49" i="5"/>
  <c r="G51" i="5"/>
  <c r="D52" i="5"/>
  <c r="E52" i="5"/>
  <c r="F52" i="5"/>
  <c r="G52" i="5"/>
  <c r="G53" i="5"/>
  <c r="G54" i="5"/>
  <c r="Y2" i="16"/>
  <c r="Z2" i="16"/>
  <c r="AE2" i="16"/>
  <c r="AF2" i="16"/>
  <c r="AK2" i="16"/>
  <c r="AL2" i="16"/>
  <c r="AU2" i="16"/>
  <c r="AV2" i="16"/>
  <c r="AY2" i="16"/>
  <c r="AZ2" i="16"/>
  <c r="Y3" i="16"/>
  <c r="Z3" i="16"/>
  <c r="AE3" i="16"/>
  <c r="AF3" i="16"/>
  <c r="AK3" i="16"/>
  <c r="AL3" i="16"/>
  <c r="AU3" i="16"/>
  <c r="AV3" i="16"/>
  <c r="AY3" i="16"/>
  <c r="AZ3" i="16"/>
  <c r="Y4" i="16"/>
  <c r="Z4" i="16"/>
  <c r="AE4" i="16"/>
  <c r="AF4" i="16"/>
  <c r="AK4" i="16"/>
  <c r="AL4" i="16"/>
  <c r="AU4" i="16"/>
  <c r="AV4" i="16"/>
  <c r="AY4" i="16"/>
  <c r="AZ4" i="16"/>
  <c r="Y5" i="16"/>
  <c r="Z5" i="16"/>
  <c r="AE5" i="16"/>
  <c r="AF5" i="16"/>
  <c r="AK5" i="16"/>
  <c r="AL5" i="16"/>
  <c r="AU5" i="16"/>
  <c r="AV5" i="16"/>
  <c r="AY5" i="16"/>
  <c r="AZ5" i="16"/>
  <c r="Z6" i="16"/>
  <c r="AF6" i="16"/>
  <c r="AK6" i="16"/>
  <c r="AL6" i="16"/>
  <c r="AU6" i="16"/>
  <c r="AV6" i="16"/>
  <c r="AY6" i="16"/>
  <c r="AZ6" i="16"/>
  <c r="Z7" i="16"/>
  <c r="AF7" i="16"/>
  <c r="AK7" i="16"/>
  <c r="AL7" i="16"/>
  <c r="AU7" i="16"/>
  <c r="AV7" i="16"/>
  <c r="AY7" i="16"/>
  <c r="AZ7" i="16"/>
  <c r="Z8" i="16"/>
  <c r="AF8" i="16"/>
  <c r="AK8" i="16"/>
  <c r="AL8" i="16"/>
  <c r="AU8" i="16"/>
  <c r="AV8" i="16"/>
  <c r="AY8" i="16"/>
  <c r="AZ8" i="16"/>
  <c r="Z9" i="16"/>
  <c r="AF9" i="16"/>
  <c r="AK9" i="16"/>
  <c r="AL9" i="16"/>
  <c r="AU9" i="16"/>
  <c r="AV9" i="16"/>
  <c r="AY9" i="16"/>
  <c r="AZ9" i="16"/>
  <c r="Y10" i="16"/>
  <c r="Z10" i="16"/>
  <c r="AE10" i="16"/>
  <c r="AF10" i="16"/>
  <c r="AK10" i="16"/>
  <c r="AL10" i="16"/>
  <c r="AU10" i="16"/>
  <c r="AV10" i="16"/>
  <c r="AY10" i="16"/>
  <c r="AZ10" i="16"/>
  <c r="Y11" i="16"/>
  <c r="Z11" i="16"/>
  <c r="AE11" i="16"/>
  <c r="AF11" i="16"/>
  <c r="Y12" i="16"/>
  <c r="Z12" i="16"/>
  <c r="AE12" i="16"/>
  <c r="AF12" i="16"/>
  <c r="AU12" i="16"/>
  <c r="AY12" i="16"/>
  <c r="Y13" i="16"/>
  <c r="Z13" i="16"/>
  <c r="AE13" i="16"/>
  <c r="AF13" i="16"/>
  <c r="Y14" i="16"/>
  <c r="Z14" i="16"/>
  <c r="AE14" i="16"/>
  <c r="AF14" i="16"/>
  <c r="Y15" i="16"/>
  <c r="Z15" i="16"/>
  <c r="AE15" i="16"/>
  <c r="AF15" i="16"/>
  <c r="Y16" i="16"/>
  <c r="Z16" i="16"/>
  <c r="AE16" i="16"/>
  <c r="AF16" i="16"/>
  <c r="Y17" i="16"/>
  <c r="Z17" i="16"/>
  <c r="AE17" i="16"/>
  <c r="AF17" i="16"/>
  <c r="Y18" i="16"/>
  <c r="Z18" i="16"/>
  <c r="AE18" i="16"/>
  <c r="AF18" i="16"/>
  <c r="Y19" i="16"/>
  <c r="Z19" i="16"/>
  <c r="AE19" i="16"/>
  <c r="AF19" i="16"/>
  <c r="Y20" i="16"/>
  <c r="Z20" i="16"/>
  <c r="AE20" i="16"/>
  <c r="AF20" i="16"/>
  <c r="Y21" i="16"/>
  <c r="Z21" i="16"/>
  <c r="AE21" i="16"/>
  <c r="AF21" i="16"/>
  <c r="Y22" i="16"/>
  <c r="Z22" i="16"/>
  <c r="AE22" i="16"/>
  <c r="AF22" i="16"/>
  <c r="Y23" i="16"/>
  <c r="Z23" i="16"/>
  <c r="AE23" i="16"/>
  <c r="AF23" i="16"/>
  <c r="Y24" i="16"/>
  <c r="Z24" i="16"/>
  <c r="AE24" i="16"/>
  <c r="AF24" i="16"/>
  <c r="Y25" i="16"/>
  <c r="Z25" i="16"/>
  <c r="AE25" i="16"/>
  <c r="AF25" i="16"/>
  <c r="Z26" i="16"/>
  <c r="AF26" i="16"/>
  <c r="Z27" i="16"/>
  <c r="AF27" i="16"/>
  <c r="Z28" i="16"/>
  <c r="AF28" i="16"/>
  <c r="Z29" i="16"/>
  <c r="AF29" i="16"/>
  <c r="Z30" i="16"/>
  <c r="AF30" i="16"/>
  <c r="Z31" i="16"/>
  <c r="AF31" i="16"/>
  <c r="Z32" i="16"/>
  <c r="AF32" i="16"/>
  <c r="Z33" i="16"/>
  <c r="AF33" i="16"/>
  <c r="Z34" i="16"/>
  <c r="AF34" i="16"/>
  <c r="Z35" i="16"/>
  <c r="AF35" i="16"/>
  <c r="Z36" i="16"/>
  <c r="AF36" i="16"/>
  <c r="Z37" i="16"/>
  <c r="AF37" i="16"/>
  <c r="Y38" i="16"/>
  <c r="Z38" i="16"/>
  <c r="AE38" i="16"/>
  <c r="AF38" i="16"/>
  <c r="Y39" i="16"/>
  <c r="Z39" i="16"/>
  <c r="AE39" i="16"/>
  <c r="AF39" i="16"/>
  <c r="Y40" i="16"/>
  <c r="Z40" i="16"/>
  <c r="AE40" i="16"/>
  <c r="AF40" i="16"/>
  <c r="Y41" i="16"/>
  <c r="Z41" i="16"/>
  <c r="AE41" i="16"/>
  <c r="AF41" i="16"/>
  <c r="Y42" i="16"/>
  <c r="Z42" i="16"/>
  <c r="AE42" i="16"/>
  <c r="AF42" i="16"/>
  <c r="Y43" i="16"/>
  <c r="Z43" i="16"/>
  <c r="AE43" i="16"/>
  <c r="AF43" i="16"/>
  <c r="Y44" i="16"/>
  <c r="Z44" i="16"/>
  <c r="AE44" i="16"/>
  <c r="AF44" i="16"/>
  <c r="Y45" i="16"/>
  <c r="Z45" i="16"/>
  <c r="AE45" i="16"/>
  <c r="AF45" i="16"/>
  <c r="Y46" i="16"/>
  <c r="Z46" i="16"/>
  <c r="AE46" i="16"/>
  <c r="AF46" i="16"/>
  <c r="Y47" i="16"/>
  <c r="Z47" i="16"/>
  <c r="AE47" i="16"/>
  <c r="AF47" i="16"/>
  <c r="Y48" i="16"/>
  <c r="Z48" i="16"/>
  <c r="AE48" i="16"/>
  <c r="AF48" i="16"/>
  <c r="Y49" i="16"/>
  <c r="Z49" i="16"/>
  <c r="AE49" i="16"/>
  <c r="AF49" i="16"/>
  <c r="Y50" i="16"/>
  <c r="AE50" i="16"/>
  <c r="Y51" i="16"/>
  <c r="AE51" i="16"/>
  <c r="Y52" i="16"/>
  <c r="AE52" i="16"/>
  <c r="Y53" i="16"/>
  <c r="AE53" i="16"/>
  <c r="Y54" i="16"/>
  <c r="AE54" i="16"/>
  <c r="Y55" i="16"/>
  <c r="AE55" i="16"/>
  <c r="Y56" i="16"/>
  <c r="AE56" i="16"/>
  <c r="Y57" i="16"/>
  <c r="AE57" i="16"/>
  <c r="Y58" i="16"/>
  <c r="AE58" i="16"/>
  <c r="Y59" i="16"/>
  <c r="AE59" i="16"/>
  <c r="Y60" i="16"/>
  <c r="AE60" i="16"/>
  <c r="Y61" i="16"/>
  <c r="AE61" i="16"/>
  <c r="Y62" i="16"/>
  <c r="AE62" i="16"/>
  <c r="Y63" i="16"/>
  <c r="AE63" i="16"/>
  <c r="Y64" i="16"/>
  <c r="AE64" i="16"/>
  <c r="Y65" i="16"/>
  <c r="AE65" i="16"/>
  <c r="Y66" i="16"/>
  <c r="AE66" i="16"/>
  <c r="Y67" i="16"/>
  <c r="AE67" i="16"/>
  <c r="Y68" i="16"/>
  <c r="AE68" i="16"/>
  <c r="Y69" i="16"/>
  <c r="AE69" i="16"/>
  <c r="Y70" i="16"/>
  <c r="AE70" i="16"/>
  <c r="Y71" i="16"/>
  <c r="AE71" i="16"/>
  <c r="Y72" i="16"/>
  <c r="AE72" i="16"/>
  <c r="Y73" i="16"/>
  <c r="AE73" i="16"/>
  <c r="Z74" i="16"/>
  <c r="AF74" i="16"/>
  <c r="Z75" i="16"/>
  <c r="AF75" i="16"/>
  <c r="Z76" i="16"/>
  <c r="AF76" i="16"/>
  <c r="Z77" i="16"/>
  <c r="AF77" i="16"/>
  <c r="Z78" i="16"/>
  <c r="AF78" i="16"/>
  <c r="Z79" i="16"/>
  <c r="AF79" i="16"/>
  <c r="Z80" i="16"/>
  <c r="AF80" i="16"/>
  <c r="Z81" i="16"/>
  <c r="AF81" i="16"/>
  <c r="Z82" i="16"/>
  <c r="AF82" i="16"/>
  <c r="Z83" i="16"/>
  <c r="AF83" i="16"/>
  <c r="Z84" i="16"/>
  <c r="AF84" i="16"/>
  <c r="Z85" i="16"/>
  <c r="AF85" i="16"/>
  <c r="Z86" i="16"/>
  <c r="AF86" i="16"/>
  <c r="Z87" i="16"/>
  <c r="AF87" i="16"/>
  <c r="Z88" i="16"/>
  <c r="AF88" i="16"/>
  <c r="Z89" i="16"/>
  <c r="AF89" i="16"/>
  <c r="Z90" i="16"/>
  <c r="AF90" i="16"/>
  <c r="Z91" i="16"/>
  <c r="AF91" i="16"/>
  <c r="Z92" i="16"/>
  <c r="AF92" i="16"/>
  <c r="Z93" i="16"/>
  <c r="AF93" i="16"/>
  <c r="Z94" i="16"/>
  <c r="AF94" i="16"/>
  <c r="Z95" i="16"/>
  <c r="AF95" i="16"/>
  <c r="Z96" i="16"/>
  <c r="AF96" i="16"/>
  <c r="Z97" i="16"/>
  <c r="AF97" i="16"/>
  <c r="Y98" i="16"/>
  <c r="AE98" i="16"/>
  <c r="Y99" i="16"/>
  <c r="AE99" i="16"/>
  <c r="Y100" i="16"/>
  <c r="AE100" i="16"/>
  <c r="Y101" i="16"/>
  <c r="AE101" i="16"/>
  <c r="Y102" i="16"/>
  <c r="AE102" i="16"/>
  <c r="Y103" i="16"/>
  <c r="AE103" i="16"/>
  <c r="Y104" i="16"/>
  <c r="AE104" i="16"/>
  <c r="Y105" i="16"/>
  <c r="AE105" i="16"/>
  <c r="Y106" i="16"/>
  <c r="AE106" i="16"/>
  <c r="Y107" i="16"/>
  <c r="AE107" i="16"/>
  <c r="Y108" i="16"/>
  <c r="AE108" i="16"/>
  <c r="Y109" i="16"/>
  <c r="AE109" i="16"/>
  <c r="Y110" i="16"/>
  <c r="AE110" i="16"/>
  <c r="Y111" i="16"/>
  <c r="AE111" i="16"/>
  <c r="Y112" i="16"/>
  <c r="AE112" i="16"/>
  <c r="Y113" i="16"/>
  <c r="AE113" i="16"/>
  <c r="Y114" i="16"/>
  <c r="AE114" i="16"/>
  <c r="Y115" i="16"/>
  <c r="AE115" i="16"/>
  <c r="Y116" i="16"/>
  <c r="AE116" i="16"/>
  <c r="Y117" i="16"/>
  <c r="AE117" i="16"/>
  <c r="Y118" i="16"/>
  <c r="AE118" i="16"/>
  <c r="Y119" i="16"/>
  <c r="AE119" i="16"/>
  <c r="Y120" i="16"/>
  <c r="AE120" i="16"/>
  <c r="Y121" i="16"/>
  <c r="AE121" i="16"/>
  <c r="Z122" i="16"/>
  <c r="AF122" i="16"/>
  <c r="Z123" i="16"/>
  <c r="AF123" i="16"/>
  <c r="Z124" i="16"/>
  <c r="AF124" i="16"/>
  <c r="Z125" i="16"/>
  <c r="AF125" i="16"/>
  <c r="Z126" i="16"/>
  <c r="AF126" i="16"/>
  <c r="Z127" i="16"/>
  <c r="AF127" i="16"/>
  <c r="Z128" i="16"/>
  <c r="AF128" i="16"/>
  <c r="Z129" i="16"/>
  <c r="AF129" i="16"/>
  <c r="Z130" i="16"/>
  <c r="AF130" i="16"/>
  <c r="Z131" i="16"/>
  <c r="AF131" i="16"/>
  <c r="Z132" i="16"/>
  <c r="AF132" i="16"/>
  <c r="Z133" i="16"/>
  <c r="AF133" i="16"/>
  <c r="Z134" i="16"/>
  <c r="AF134" i="16"/>
  <c r="Z135" i="16"/>
  <c r="AF135" i="16"/>
  <c r="Z136" i="16"/>
  <c r="AF136" i="16"/>
  <c r="Z137" i="16"/>
  <c r="AF137" i="16"/>
  <c r="Z138" i="16"/>
  <c r="AF138" i="16"/>
  <c r="Z139" i="16"/>
  <c r="AF139" i="16"/>
  <c r="Z140" i="16"/>
  <c r="AF140" i="16"/>
  <c r="Z141" i="16"/>
  <c r="AF141" i="16"/>
  <c r="Z142" i="16"/>
  <c r="AF142" i="16"/>
  <c r="Z143" i="16"/>
  <c r="AF143" i="16"/>
  <c r="Z144" i="16"/>
  <c r="AF144" i="16"/>
  <c r="Z145" i="16"/>
  <c r="AF145" i="16"/>
  <c r="Z146" i="16"/>
  <c r="AF146" i="16"/>
  <c r="Z147" i="16"/>
  <c r="AF147" i="16"/>
  <c r="Z148" i="16"/>
  <c r="AF148" i="16"/>
  <c r="Z149" i="16"/>
  <c r="AF149" i="16"/>
  <c r="Z150" i="16"/>
  <c r="AF150" i="16"/>
  <c r="Z151" i="16"/>
  <c r="AF151" i="16"/>
  <c r="Z152" i="16"/>
  <c r="AF152" i="16"/>
  <c r="Z153" i="16"/>
  <c r="AF153" i="16"/>
  <c r="Z154" i="16"/>
  <c r="AF154" i="16"/>
  <c r="Z155" i="16"/>
  <c r="AF155" i="16"/>
  <c r="Z156" i="16"/>
  <c r="AF156" i="16"/>
  <c r="Z157" i="16"/>
  <c r="AF157" i="16"/>
  <c r="Y158" i="16"/>
  <c r="AE158" i="16"/>
  <c r="Y159" i="16"/>
  <c r="AE159" i="16"/>
  <c r="Y160" i="16"/>
  <c r="AE160" i="16"/>
  <c r="Y161" i="16"/>
  <c r="AE161" i="16"/>
  <c r="Y162" i="16"/>
  <c r="AE162" i="16"/>
  <c r="Y163" i="16"/>
  <c r="AE163" i="16"/>
  <c r="Y164" i="16"/>
  <c r="AE164" i="16"/>
  <c r="Y165" i="16"/>
  <c r="AE165" i="16"/>
  <c r="Y166" i="16"/>
  <c r="AE166" i="16"/>
  <c r="Y167" i="16"/>
  <c r="AE167" i="16"/>
  <c r="Y168" i="16"/>
  <c r="AE168" i="16"/>
  <c r="Y169" i="16"/>
  <c r="AE169" i="16"/>
  <c r="Z170" i="16"/>
  <c r="AF170" i="16"/>
  <c r="Z171" i="16"/>
  <c r="AF171" i="16"/>
  <c r="Z172" i="16"/>
  <c r="AF172" i="16"/>
  <c r="Z173" i="16"/>
  <c r="AF173" i="16"/>
  <c r="Z174" i="16"/>
  <c r="AF174" i="16"/>
  <c r="Z175" i="16"/>
  <c r="AF175" i="16"/>
  <c r="Z176" i="16"/>
  <c r="AF176" i="16"/>
  <c r="Z177" i="16"/>
  <c r="AF177" i="16"/>
  <c r="Z178" i="16"/>
  <c r="AF178" i="16"/>
  <c r="Z179" i="16"/>
  <c r="AF179" i="16"/>
  <c r="Z180" i="16"/>
  <c r="AF180" i="16"/>
  <c r="Z181" i="16"/>
  <c r="AF181" i="16"/>
  <c r="Z182" i="16"/>
  <c r="AF182" i="16"/>
  <c r="Z183" i="16"/>
  <c r="AF183" i="16"/>
  <c r="Z184" i="16"/>
  <c r="AF184" i="16"/>
  <c r="Z185" i="16"/>
  <c r="AF185" i="16"/>
  <c r="Z186" i="16"/>
  <c r="AF186" i="16"/>
  <c r="Z187" i="16"/>
  <c r="AF187" i="16"/>
  <c r="Z188" i="16"/>
  <c r="AF188" i="16"/>
  <c r="Z189" i="16"/>
  <c r="AF189" i="16"/>
  <c r="Z190" i="16"/>
  <c r="AF190" i="16"/>
  <c r="Z191" i="16"/>
  <c r="AF191" i="16"/>
  <c r="Z192" i="16"/>
  <c r="AF192" i="16"/>
  <c r="Z193" i="16"/>
  <c r="AF193" i="16"/>
  <c r="Z194" i="16"/>
  <c r="AF194" i="16"/>
  <c r="Z195" i="16"/>
  <c r="AF195" i="16"/>
  <c r="Z196" i="16"/>
  <c r="AF196" i="16"/>
  <c r="Z197" i="16"/>
  <c r="AF197" i="16"/>
  <c r="Z198" i="16"/>
  <c r="AF198" i="16"/>
  <c r="Z199" i="16"/>
  <c r="AF199" i="16"/>
  <c r="Z200" i="16"/>
  <c r="AF200" i="16"/>
  <c r="Z201" i="16"/>
  <c r="AF201" i="16"/>
  <c r="Z202" i="16"/>
  <c r="AF202" i="16"/>
  <c r="Z203" i="16"/>
  <c r="AF203" i="16"/>
  <c r="Z204" i="16"/>
  <c r="AF204" i="16"/>
  <c r="Z205" i="16"/>
  <c r="AF205" i="16"/>
  <c r="Y206" i="16"/>
  <c r="AE206" i="16"/>
  <c r="Y207" i="16"/>
  <c r="AE207" i="16"/>
  <c r="Y208" i="16"/>
  <c r="AE208" i="16"/>
  <c r="Y209" i="16"/>
  <c r="AE209" i="16"/>
  <c r="Y210" i="16"/>
  <c r="AE210" i="16"/>
  <c r="Y211" i="16"/>
  <c r="AE211" i="16"/>
  <c r="Y212" i="16"/>
  <c r="AE212" i="16"/>
  <c r="Y213" i="16"/>
  <c r="AE213" i="16"/>
  <c r="Y214" i="16"/>
  <c r="AE214" i="16"/>
  <c r="Y215" i="16"/>
  <c r="AE215" i="16"/>
  <c r="Y216" i="16"/>
  <c r="AE216" i="16"/>
  <c r="Y217" i="16"/>
  <c r="AE217" i="16"/>
  <c r="Y218" i="16"/>
  <c r="AE218" i="16"/>
  <c r="Y219" i="16"/>
  <c r="AE219" i="16"/>
  <c r="Y220" i="16"/>
  <c r="AE220" i="16"/>
  <c r="Y221" i="16"/>
  <c r="AE221" i="16"/>
  <c r="Y222" i="16"/>
  <c r="AE222" i="16"/>
  <c r="Y223" i="16"/>
  <c r="AE223" i="16"/>
  <c r="Y224" i="16"/>
  <c r="AE224" i="16"/>
  <c r="Y225" i="16"/>
  <c r="AE225" i="16"/>
  <c r="Y226" i="16"/>
  <c r="AE226" i="16"/>
  <c r="Y227" i="16"/>
  <c r="AE227" i="16"/>
  <c r="Y228" i="16"/>
  <c r="AE228" i="16"/>
  <c r="Y229" i="16"/>
  <c r="AE229" i="16"/>
  <c r="Z230" i="16"/>
  <c r="AF230" i="16"/>
  <c r="Z231" i="16"/>
  <c r="AF231" i="16"/>
  <c r="Z232" i="16"/>
  <c r="AF232" i="16"/>
  <c r="Z233" i="16"/>
  <c r="AF233" i="16"/>
  <c r="Z234" i="16"/>
  <c r="AF234" i="16"/>
  <c r="Z235" i="16"/>
  <c r="AF235" i="16"/>
  <c r="Z236" i="16"/>
  <c r="AF236" i="16"/>
  <c r="Z237" i="16"/>
  <c r="AF237" i="16"/>
  <c r="Z238" i="16"/>
  <c r="AF238" i="16"/>
  <c r="Z239" i="16"/>
  <c r="AF239" i="16"/>
  <c r="Z240" i="16"/>
  <c r="AF240" i="16"/>
  <c r="Z241" i="16"/>
  <c r="AF241" i="16"/>
  <c r="Z242" i="16"/>
  <c r="AF242" i="16"/>
  <c r="Z243" i="16"/>
  <c r="AF243" i="16"/>
  <c r="Z244" i="16"/>
  <c r="AF244" i="16"/>
  <c r="Z245" i="16"/>
  <c r="AF245" i="16"/>
  <c r="Z246" i="16"/>
  <c r="AF246" i="16"/>
  <c r="Z247" i="16"/>
  <c r="AF247" i="16"/>
  <c r="Z248" i="16"/>
  <c r="AF248" i="16"/>
  <c r="Z249" i="16"/>
  <c r="AF249" i="16"/>
  <c r="Z250" i="16"/>
  <c r="AF250" i="16"/>
  <c r="Z251" i="16"/>
  <c r="AF251" i="16"/>
  <c r="Z252" i="16"/>
  <c r="AF252" i="16"/>
  <c r="Z253" i="16"/>
  <c r="AF253" i="16"/>
  <c r="Z254" i="16"/>
  <c r="AF254" i="16"/>
  <c r="Z255" i="16"/>
  <c r="AF255" i="16"/>
  <c r="Z256" i="16"/>
  <c r="AF256" i="16"/>
  <c r="Z257" i="16"/>
  <c r="AF257" i="16"/>
  <c r="Z258" i="16"/>
  <c r="AF258" i="16"/>
  <c r="Z259" i="16"/>
  <c r="AF259" i="16"/>
  <c r="Z260" i="16"/>
  <c r="AF260" i="16"/>
  <c r="Z261" i="16"/>
  <c r="AF261" i="16"/>
  <c r="Z262" i="16"/>
  <c r="AF262" i="16"/>
  <c r="Z263" i="16"/>
  <c r="AF263" i="16"/>
  <c r="Z264" i="16"/>
  <c r="AF264" i="16"/>
  <c r="Z265" i="16"/>
  <c r="AF265" i="16"/>
  <c r="Y266" i="16"/>
  <c r="AE266" i="16"/>
  <c r="Y267" i="16"/>
  <c r="AE267" i="16"/>
  <c r="Y268" i="16"/>
  <c r="AE268" i="16"/>
  <c r="Y269" i="16"/>
  <c r="AE269" i="16"/>
  <c r="Y270" i="16"/>
  <c r="AE270" i="16"/>
  <c r="Y271" i="16"/>
  <c r="AE271" i="16"/>
  <c r="Y272" i="16"/>
  <c r="AE272" i="16"/>
  <c r="Y273" i="16"/>
  <c r="AE273" i="16"/>
  <c r="Y274" i="16"/>
  <c r="AE274" i="16"/>
  <c r="Y275" i="16"/>
  <c r="AE275" i="16"/>
  <c r="Y276" i="16"/>
  <c r="AE276" i="16"/>
  <c r="Y277" i="16"/>
  <c r="AE277" i="16"/>
  <c r="Z278" i="16"/>
  <c r="AF278" i="16"/>
  <c r="Z279" i="16"/>
  <c r="AF279" i="16"/>
  <c r="Z280" i="16"/>
  <c r="AF280" i="16"/>
  <c r="Z281" i="16"/>
  <c r="AF281" i="16"/>
  <c r="Z282" i="16"/>
  <c r="AF282" i="16"/>
  <c r="Z283" i="16"/>
  <c r="AF283" i="16"/>
  <c r="Z284" i="16"/>
  <c r="AF284" i="16"/>
  <c r="Z285" i="16"/>
  <c r="AF285" i="16"/>
  <c r="Z286" i="16"/>
  <c r="AF286" i="16"/>
  <c r="Z287" i="16"/>
  <c r="AF287" i="16"/>
  <c r="Z288" i="16"/>
  <c r="AF288" i="16"/>
  <c r="Z289" i="16"/>
  <c r="AF289" i="16"/>
  <c r="Z290" i="16"/>
  <c r="AF290" i="16"/>
  <c r="Z291" i="16"/>
  <c r="AF291" i="16"/>
  <c r="Z292" i="16"/>
  <c r="AF292" i="16"/>
  <c r="Z293" i="16"/>
  <c r="AF293" i="16"/>
  <c r="Z294" i="16"/>
  <c r="AF294" i="16"/>
  <c r="Z295" i="16"/>
  <c r="AF295" i="16"/>
  <c r="Z296" i="16"/>
  <c r="AF296" i="16"/>
  <c r="Z297" i="16"/>
  <c r="AF297" i="16"/>
  <c r="Z298" i="16"/>
  <c r="AF298" i="16"/>
  <c r="Z299" i="16"/>
  <c r="AF299" i="16"/>
  <c r="Z300" i="16"/>
  <c r="AF300" i="16"/>
  <c r="Z301" i="16"/>
  <c r="AF301" i="16"/>
  <c r="Z302" i="16"/>
  <c r="AF302" i="16"/>
  <c r="Z303" i="16"/>
  <c r="AF303" i="16"/>
  <c r="Z304" i="16"/>
  <c r="AF304" i="16"/>
  <c r="Z305" i="16"/>
  <c r="AF305" i="16"/>
  <c r="Z306" i="16"/>
  <c r="AF306" i="16"/>
  <c r="Z307" i="16"/>
  <c r="AF307" i="16"/>
  <c r="Z308" i="16"/>
  <c r="AF308" i="16"/>
  <c r="Z309" i="16"/>
  <c r="AF309" i="16"/>
  <c r="Z310" i="16"/>
  <c r="AF310" i="16"/>
  <c r="Z311" i="16"/>
  <c r="AF311" i="16"/>
  <c r="Z312" i="16"/>
  <c r="AF312" i="16"/>
  <c r="Z313" i="16"/>
  <c r="AF313" i="16"/>
  <c r="Z314" i="16"/>
  <c r="AF314" i="16"/>
  <c r="Z315" i="16"/>
  <c r="AF315" i="16"/>
  <c r="Z316" i="16"/>
  <c r="AF316" i="16"/>
  <c r="Z317" i="16"/>
  <c r="AF317" i="16"/>
  <c r="Z318" i="16"/>
  <c r="AF318" i="16"/>
  <c r="Z319" i="16"/>
  <c r="AF319" i="16"/>
  <c r="Z320" i="16"/>
  <c r="AF320" i="16"/>
  <c r="Z321" i="16"/>
  <c r="AF321" i="16"/>
  <c r="Z322" i="16"/>
  <c r="AF322" i="16"/>
  <c r="Z323" i="16"/>
  <c r="AF323" i="16"/>
  <c r="Z324" i="16"/>
  <c r="AF324" i="16"/>
  <c r="Z325" i="16"/>
  <c r="AF325" i="16"/>
  <c r="Z326" i="16"/>
  <c r="AF326" i="16"/>
  <c r="Z327" i="16"/>
  <c r="AF327" i="16"/>
  <c r="Z328" i="16"/>
  <c r="AF328" i="16"/>
  <c r="Z329" i="16"/>
  <c r="AF329" i="16"/>
  <c r="Z330" i="16"/>
  <c r="AF330" i="16"/>
  <c r="Z331" i="16"/>
  <c r="AF331" i="16"/>
  <c r="Z332" i="16"/>
  <c r="AF332" i="16"/>
  <c r="Z333" i="16"/>
  <c r="AF333" i="16"/>
  <c r="Z334" i="16"/>
  <c r="AF334" i="16"/>
  <c r="Z335" i="16"/>
  <c r="AF335" i="16"/>
  <c r="Z336" i="16"/>
  <c r="AF336" i="16"/>
  <c r="Z337" i="16"/>
  <c r="AF337" i="16"/>
  <c r="Z338" i="16"/>
  <c r="AF338" i="16"/>
  <c r="Z339" i="16"/>
  <c r="AF339" i="16"/>
  <c r="Z340" i="16"/>
  <c r="AF340" i="16"/>
  <c r="Z341" i="16"/>
  <c r="AF341" i="16"/>
  <c r="Z342" i="16"/>
  <c r="AF342" i="16"/>
  <c r="Z343" i="16"/>
  <c r="AF343" i="16"/>
  <c r="Z344" i="16"/>
  <c r="AF344" i="16"/>
  <c r="Z345" i="16"/>
  <c r="AF345" i="16"/>
  <c r="Z346" i="16"/>
  <c r="AF346" i="16"/>
  <c r="Z347" i="16"/>
  <c r="AF347" i="16"/>
  <c r="Z348" i="16"/>
  <c r="AF348" i="16"/>
  <c r="Z349" i="16"/>
  <c r="AF349" i="16"/>
  <c r="Z350" i="16"/>
  <c r="AF350" i="16"/>
  <c r="Z351" i="16"/>
  <c r="AF351" i="16"/>
  <c r="Z352" i="16"/>
  <c r="AF352" i="16"/>
  <c r="Z353" i="16"/>
  <c r="AF353" i="16"/>
  <c r="Z354" i="16"/>
  <c r="AF354" i="16"/>
  <c r="Z355" i="16"/>
  <c r="AF355" i="16"/>
  <c r="Z356" i="16"/>
  <c r="AF356" i="16"/>
  <c r="Z357" i="16"/>
  <c r="AF357" i="16"/>
  <c r="Z358" i="16"/>
  <c r="AF358" i="16"/>
  <c r="Z359" i="16"/>
  <c r="AF359" i="16"/>
  <c r="Z360" i="16"/>
  <c r="AF360" i="16"/>
  <c r="Z361" i="16"/>
  <c r="AF361" i="16"/>
  <c r="Z362" i="16"/>
  <c r="AF362" i="16"/>
  <c r="Z363" i="16"/>
  <c r="AF363" i="16"/>
  <c r="Z364" i="16"/>
  <c r="AF364" i="16"/>
  <c r="Z365" i="16"/>
  <c r="AF365" i="16"/>
  <c r="Z366" i="16"/>
  <c r="AF366" i="16"/>
  <c r="Z367" i="16"/>
  <c r="AF367" i="16"/>
  <c r="Z368" i="16"/>
  <c r="AF368" i="16"/>
  <c r="Z369" i="16"/>
  <c r="AF369" i="16"/>
  <c r="Z370" i="16"/>
  <c r="AF370" i="16"/>
  <c r="Z371" i="16"/>
  <c r="AF371" i="16"/>
  <c r="Z372" i="16"/>
  <c r="AF372" i="16"/>
  <c r="Z373" i="16"/>
  <c r="AF373" i="16"/>
  <c r="Z374" i="16"/>
  <c r="AF374" i="16"/>
  <c r="Z375" i="16"/>
  <c r="AF375" i="16"/>
  <c r="Z376" i="16"/>
  <c r="AF376" i="16"/>
  <c r="Z377" i="16"/>
  <c r="AF377" i="16"/>
  <c r="Z378" i="16"/>
  <c r="AF378" i="16"/>
  <c r="Z379" i="16"/>
  <c r="AF379" i="16"/>
  <c r="Z380" i="16"/>
  <c r="AF380" i="16"/>
  <c r="Z381" i="16"/>
  <c r="AF381" i="16"/>
  <c r="Z382" i="16"/>
  <c r="AF382" i="16"/>
  <c r="Z383" i="16"/>
  <c r="AF383" i="16"/>
  <c r="Z384" i="16"/>
  <c r="AF384" i="16"/>
  <c r="Z385" i="16"/>
  <c r="AF385" i="16"/>
  <c r="Z386" i="16"/>
  <c r="AF386" i="16"/>
  <c r="Z387" i="16"/>
  <c r="AF387" i="16"/>
  <c r="Z388" i="16"/>
  <c r="AF388" i="16"/>
  <c r="Z389" i="16"/>
  <c r="AF389" i="16"/>
  <c r="Z390" i="16"/>
  <c r="AF390" i="16"/>
  <c r="Z391" i="16"/>
  <c r="AF391" i="16"/>
  <c r="Z392" i="16"/>
  <c r="AF392" i="16"/>
  <c r="Z393" i="16"/>
  <c r="AF393" i="16"/>
  <c r="Z394" i="16"/>
  <c r="AF394" i="16"/>
  <c r="Z395" i="16"/>
  <c r="AF395" i="16"/>
  <c r="Z396" i="16"/>
  <c r="AF396" i="16"/>
  <c r="Z397" i="16"/>
  <c r="AF397" i="16"/>
  <c r="Z398" i="16"/>
  <c r="AF398" i="16"/>
  <c r="Z399" i="16"/>
  <c r="AF399" i="16"/>
  <c r="Z400" i="16"/>
  <c r="AF400" i="16"/>
  <c r="Z401" i="16"/>
  <c r="AF401" i="16"/>
  <c r="Z402" i="16"/>
  <c r="AF402" i="16"/>
  <c r="Z403" i="16"/>
  <c r="AF403" i="16"/>
  <c r="Z404" i="16"/>
  <c r="AF404" i="16"/>
  <c r="Z405" i="16"/>
  <c r="AF405" i="16"/>
  <c r="Z406" i="16"/>
  <c r="AF406" i="16"/>
  <c r="Z407" i="16"/>
  <c r="AF407" i="16"/>
  <c r="Z408" i="16"/>
  <c r="AF408" i="16"/>
  <c r="Z409" i="16"/>
  <c r="AF409" i="16"/>
  <c r="Z410" i="16"/>
  <c r="AF410" i="16"/>
  <c r="Z411" i="16"/>
  <c r="AF411" i="16"/>
  <c r="Z412" i="16"/>
  <c r="AF412" i="16"/>
  <c r="Z413" i="16"/>
  <c r="AF413" i="16"/>
  <c r="Z414" i="16"/>
  <c r="AF414" i="16"/>
  <c r="Z415" i="16"/>
  <c r="AF415" i="16"/>
  <c r="Z416" i="16"/>
  <c r="AF416" i="16"/>
  <c r="Z417" i="16"/>
  <c r="AF417" i="16"/>
  <c r="Z418" i="16"/>
  <c r="AF418" i="16"/>
  <c r="Z419" i="16"/>
  <c r="AF419" i="16"/>
  <c r="Z420" i="16"/>
  <c r="AF420" i="16"/>
  <c r="Z421" i="16"/>
  <c r="AF421" i="16"/>
  <c r="Z422" i="16"/>
  <c r="AF422" i="16"/>
  <c r="Z423" i="16"/>
  <c r="AF423" i="16"/>
  <c r="Z424" i="16"/>
  <c r="AF424" i="16"/>
  <c r="Z425" i="16"/>
  <c r="AF425" i="16"/>
  <c r="Z426" i="16"/>
  <c r="AF426" i="16"/>
  <c r="Z427" i="16"/>
  <c r="AF427" i="16"/>
  <c r="Z428" i="16"/>
  <c r="AF428" i="16"/>
  <c r="Z429" i="16"/>
  <c r="AF429" i="16"/>
  <c r="Z430" i="16"/>
  <c r="AF430" i="16"/>
  <c r="Z431" i="16"/>
  <c r="AF431" i="16"/>
  <c r="Z432" i="16"/>
  <c r="AF432" i="16"/>
  <c r="Z433" i="16"/>
  <c r="AF433" i="16"/>
  <c r="Z434" i="16"/>
  <c r="AF434" i="16"/>
  <c r="Z435" i="16"/>
  <c r="AF435" i="16"/>
  <c r="Z436" i="16"/>
  <c r="AF436" i="16"/>
  <c r="Z437" i="16"/>
  <c r="AF437" i="16"/>
  <c r="Z438" i="16"/>
  <c r="AF438" i="16"/>
  <c r="Z439" i="16"/>
  <c r="AF439" i="16"/>
  <c r="Z440" i="16"/>
  <c r="AF440" i="16"/>
  <c r="Z441" i="16"/>
  <c r="AF441" i="16"/>
  <c r="Z442" i="16"/>
  <c r="AF442" i="16"/>
  <c r="Z443" i="16"/>
  <c r="AF443" i="16"/>
  <c r="Z444" i="16"/>
  <c r="AF444" i="16"/>
  <c r="Z445" i="16"/>
  <c r="AF445" i="16"/>
  <c r="Z446" i="16"/>
  <c r="AF446" i="16"/>
  <c r="Z447" i="16"/>
  <c r="AF447" i="16"/>
  <c r="Z448" i="16"/>
  <c r="AF448" i="16"/>
  <c r="Z449" i="16"/>
  <c r="AF449" i="16"/>
  <c r="Z450" i="16"/>
  <c r="AF450" i="16"/>
  <c r="Z451" i="16"/>
  <c r="AF451" i="16"/>
  <c r="Z452" i="16"/>
  <c r="AF452" i="16"/>
  <c r="Z453" i="16"/>
  <c r="AF453" i="16"/>
  <c r="Z454" i="16"/>
  <c r="AF454" i="16"/>
  <c r="Z455" i="16"/>
  <c r="AF455" i="16"/>
  <c r="Z456" i="16"/>
  <c r="AF456" i="16"/>
  <c r="Z457" i="16"/>
  <c r="AF457" i="16"/>
  <c r="Z458" i="16"/>
  <c r="AF458" i="16"/>
  <c r="Z459" i="16"/>
  <c r="AF459" i="16"/>
  <c r="Z460" i="16"/>
  <c r="AF460" i="16"/>
  <c r="Z461" i="16"/>
  <c r="AF461" i="16"/>
  <c r="Z462" i="16"/>
  <c r="AF462" i="16"/>
  <c r="Z463" i="16"/>
  <c r="AF463" i="16"/>
  <c r="Z464" i="16"/>
  <c r="AF464" i="16"/>
  <c r="Z465" i="16"/>
  <c r="AF465" i="16"/>
  <c r="Z466" i="16"/>
  <c r="AF466" i="16"/>
  <c r="Z467" i="16"/>
  <c r="AF467" i="16"/>
  <c r="Z468" i="16"/>
  <c r="AF468" i="16"/>
  <c r="Z469" i="16"/>
  <c r="AF469" i="16"/>
  <c r="Z470" i="16"/>
  <c r="AF470" i="16"/>
  <c r="Z471" i="16"/>
  <c r="AF471" i="16"/>
  <c r="Z472" i="16"/>
  <c r="AF472" i="16"/>
  <c r="Z473" i="16"/>
  <c r="AF473" i="16"/>
  <c r="Z474" i="16"/>
  <c r="AF474" i="16"/>
  <c r="Z475" i="16"/>
  <c r="AF475" i="16"/>
  <c r="Z476" i="16"/>
  <c r="AF476" i="16"/>
  <c r="Z477" i="16"/>
  <c r="AF477" i="16"/>
  <c r="Z478" i="16"/>
  <c r="AF478" i="16"/>
  <c r="Z479" i="16"/>
  <c r="AF479" i="16"/>
  <c r="Z480" i="16"/>
  <c r="AF480" i="16"/>
  <c r="Z481" i="16"/>
  <c r="AF481" i="16"/>
  <c r="Z482" i="16"/>
  <c r="AF482" i="16"/>
  <c r="Z483" i="16"/>
  <c r="AF483" i="16"/>
  <c r="Z484" i="16"/>
  <c r="AF484" i="16"/>
  <c r="Z485" i="16"/>
  <c r="AF485" i="16"/>
  <c r="Z486" i="16"/>
  <c r="AF486" i="16"/>
  <c r="Z487" i="16"/>
  <c r="AF487" i="16"/>
  <c r="Z488" i="16"/>
  <c r="AF488" i="16"/>
  <c r="Z489" i="16"/>
  <c r="AF489" i="16"/>
  <c r="Z490" i="16"/>
  <c r="AF490" i="16"/>
  <c r="Z491" i="16"/>
  <c r="AF491" i="16"/>
  <c r="Z492" i="16"/>
  <c r="AF492" i="16"/>
  <c r="Z493" i="16"/>
  <c r="AF493" i="16"/>
  <c r="Z494" i="16"/>
  <c r="AF494" i="16"/>
  <c r="Z495" i="16"/>
  <c r="AF495" i="16"/>
  <c r="Z496" i="16"/>
  <c r="AF496" i="16"/>
  <c r="Z497" i="16"/>
  <c r="AF497" i="16"/>
  <c r="Z498" i="16"/>
  <c r="AF498" i="16"/>
  <c r="Z499" i="16"/>
  <c r="AF499" i="16"/>
  <c r="Z500" i="16"/>
  <c r="AF500" i="16"/>
  <c r="Z501" i="16"/>
  <c r="AF501" i="16"/>
  <c r="Z502" i="16"/>
  <c r="AF502" i="16"/>
  <c r="Z503" i="16"/>
  <c r="AF503" i="16"/>
  <c r="Z504" i="16"/>
  <c r="AF504" i="16"/>
  <c r="Z505" i="16"/>
  <c r="AF505" i="16"/>
  <c r="Z506" i="16"/>
  <c r="AF506" i="16"/>
  <c r="Z507" i="16"/>
  <c r="AF507" i="16"/>
  <c r="Z508" i="16"/>
  <c r="AF508" i="16"/>
  <c r="Z509" i="16"/>
  <c r="AF509" i="16"/>
  <c r="Z510" i="16"/>
  <c r="AF510" i="16"/>
  <c r="Z511" i="16"/>
  <c r="AF511" i="16"/>
  <c r="Z512" i="16"/>
  <c r="AF512" i="16"/>
  <c r="Z513" i="16"/>
  <c r="AF513" i="16"/>
  <c r="Z514" i="16"/>
  <c r="AF514" i="16"/>
  <c r="Z515" i="16"/>
  <c r="AF515" i="16"/>
  <c r="Z516" i="16"/>
  <c r="AF516" i="16"/>
  <c r="Z517" i="16"/>
  <c r="AF517" i="16"/>
  <c r="Z518" i="16"/>
  <c r="AF518" i="16"/>
  <c r="Z519" i="16"/>
  <c r="AF519" i="16"/>
  <c r="Z520" i="16"/>
  <c r="AF520" i="16"/>
  <c r="Z521" i="16"/>
  <c r="AF521" i="16"/>
  <c r="Z522" i="16"/>
  <c r="AF522" i="16"/>
  <c r="Z523" i="16"/>
  <c r="AF523" i="16"/>
  <c r="Z524" i="16"/>
  <c r="AF524" i="16"/>
  <c r="Z525" i="16"/>
  <c r="AF525" i="16"/>
  <c r="Z526" i="16"/>
  <c r="AF526" i="16"/>
  <c r="Z527" i="16"/>
  <c r="AF527" i="16"/>
  <c r="Z528" i="16"/>
  <c r="AF528" i="16"/>
  <c r="Z529" i="16"/>
  <c r="AF529" i="16"/>
  <c r="Z530" i="16"/>
  <c r="AF530" i="16"/>
  <c r="Z531" i="16"/>
  <c r="AF531" i="16"/>
  <c r="Z532" i="16"/>
  <c r="AF532" i="16"/>
  <c r="Z533" i="16"/>
  <c r="AF533" i="16"/>
  <c r="Z534" i="16"/>
  <c r="AF534" i="16"/>
  <c r="Z535" i="16"/>
  <c r="AF535" i="16"/>
  <c r="Z536" i="16"/>
  <c r="AF536" i="16"/>
  <c r="Z537" i="16"/>
  <c r="AF537" i="16"/>
  <c r="Z538" i="16"/>
  <c r="AF538" i="16"/>
  <c r="Z539" i="16"/>
  <c r="AF539" i="16"/>
  <c r="Z540" i="16"/>
  <c r="AF540" i="16"/>
  <c r="Z541" i="16"/>
  <c r="AF541" i="16"/>
  <c r="Z542" i="16"/>
  <c r="AF542" i="16"/>
  <c r="Z543" i="16"/>
  <c r="AF543" i="16"/>
  <c r="Z544" i="16"/>
  <c r="AF544" i="16"/>
  <c r="Z545" i="16"/>
  <c r="AF545" i="16"/>
  <c r="Z546" i="16"/>
  <c r="AF546" i="16"/>
  <c r="Z547" i="16"/>
  <c r="AF547" i="16"/>
  <c r="Z548" i="16"/>
  <c r="AF548" i="16"/>
  <c r="Z549" i="16"/>
  <c r="AF549" i="16"/>
  <c r="Z550" i="16"/>
  <c r="AF550" i="16"/>
  <c r="Z551" i="16"/>
  <c r="AF551" i="16"/>
  <c r="Z552" i="16"/>
  <c r="AF552" i="16"/>
  <c r="Z553" i="16"/>
  <c r="AF553" i="16"/>
  <c r="Z554" i="16"/>
  <c r="AF554" i="16"/>
  <c r="Z555" i="16"/>
  <c r="AF555" i="16"/>
  <c r="Z556" i="16"/>
  <c r="AF556" i="16"/>
  <c r="Z557" i="16"/>
  <c r="AF557" i="16"/>
  <c r="Z558" i="16"/>
  <c r="AF558" i="16"/>
  <c r="Z559" i="16"/>
  <c r="AF559" i="16"/>
  <c r="Z560" i="16"/>
  <c r="AF560" i="16"/>
  <c r="Z561" i="16"/>
  <c r="AF561" i="16"/>
  <c r="Z562" i="16"/>
  <c r="AF562" i="16"/>
  <c r="Z563" i="16"/>
  <c r="AF563" i="16"/>
  <c r="Z564" i="16"/>
  <c r="AF564" i="16"/>
  <c r="Z565" i="16"/>
  <c r="AF565" i="16"/>
  <c r="Z566" i="16"/>
  <c r="AF566" i="16"/>
  <c r="Z567" i="16"/>
  <c r="AF567" i="16"/>
  <c r="Z568" i="16"/>
  <c r="AF568" i="16"/>
  <c r="Z569" i="16"/>
  <c r="AF569" i="16"/>
  <c r="Z570" i="16"/>
  <c r="AF570" i="16"/>
  <c r="Z571" i="16"/>
  <c r="AF571" i="16"/>
  <c r="Z572" i="16"/>
  <c r="AF572" i="16"/>
  <c r="Z573" i="16"/>
  <c r="AF573" i="16"/>
  <c r="Z574" i="16"/>
  <c r="AF574" i="16"/>
  <c r="Z575" i="16"/>
  <c r="AF575" i="16"/>
  <c r="Z576" i="16"/>
  <c r="AF576" i="16"/>
  <c r="Z577" i="16"/>
  <c r="AF577" i="16"/>
  <c r="Z578" i="16"/>
  <c r="AF578" i="16"/>
  <c r="Z579" i="16"/>
  <c r="AF579" i="16"/>
  <c r="Z580" i="16"/>
  <c r="AF580" i="16"/>
  <c r="Z581" i="16"/>
  <c r="AF581" i="16"/>
  <c r="Z582" i="16"/>
  <c r="AF582" i="16"/>
  <c r="Z583" i="16"/>
  <c r="AF583" i="16"/>
  <c r="Z584" i="16"/>
  <c r="AF584" i="16"/>
  <c r="Z585" i="16"/>
  <c r="AF585" i="16"/>
  <c r="Z586" i="16"/>
  <c r="AF586" i="16"/>
  <c r="Z587" i="16"/>
  <c r="AF587" i="16"/>
  <c r="Z588" i="16"/>
  <c r="AF588" i="16"/>
  <c r="Z589" i="16"/>
  <c r="AF589" i="16"/>
  <c r="Z590" i="16"/>
  <c r="AF590" i="16"/>
  <c r="Z591" i="16"/>
  <c r="AF591" i="16"/>
  <c r="Z592" i="16"/>
  <c r="AF592" i="16"/>
  <c r="Z593" i="16"/>
  <c r="AF593" i="16"/>
  <c r="Z594" i="16"/>
  <c r="AF594" i="16"/>
  <c r="Z595" i="16"/>
  <c r="AF595" i="16"/>
  <c r="Z596" i="16"/>
  <c r="AF596" i="16"/>
  <c r="Z597" i="16"/>
  <c r="AF597" i="16"/>
  <c r="Z598" i="16"/>
  <c r="AF598" i="16"/>
  <c r="Z599" i="16"/>
  <c r="AF599" i="16"/>
  <c r="Z600" i="16"/>
  <c r="AF600" i="16"/>
  <c r="Z601" i="16"/>
  <c r="AF601" i="16"/>
  <c r="Z602" i="16"/>
  <c r="AF602" i="16"/>
  <c r="Z603" i="16"/>
  <c r="AF603" i="16"/>
  <c r="Z604" i="16"/>
  <c r="AF604" i="16"/>
  <c r="Y2" i="26"/>
  <c r="Z2" i="26"/>
  <c r="AE2" i="26"/>
  <c r="AF2" i="26"/>
  <c r="AK2" i="26"/>
  <c r="AL2" i="26"/>
  <c r="AU2" i="26"/>
  <c r="AV2" i="26"/>
  <c r="AY2" i="26"/>
  <c r="AZ2" i="26"/>
  <c r="Y3" i="26"/>
  <c r="Z3" i="26"/>
  <c r="AE3" i="26"/>
  <c r="AF3" i="26"/>
  <c r="AK3" i="26"/>
  <c r="AL3" i="26"/>
  <c r="AP3" i="26"/>
  <c r="AQ3" i="26"/>
  <c r="AU3" i="26"/>
  <c r="AV3" i="26"/>
  <c r="AY3" i="26"/>
  <c r="AZ3" i="26"/>
  <c r="Y4" i="26"/>
  <c r="Z4" i="26"/>
  <c r="AE4" i="26"/>
  <c r="AF4" i="26"/>
  <c r="AK4" i="26"/>
  <c r="AL4" i="26"/>
  <c r="AP4" i="26"/>
  <c r="AQ4" i="26"/>
  <c r="AU4" i="26"/>
  <c r="AV4" i="26"/>
  <c r="AY4" i="26"/>
  <c r="AZ4" i="26"/>
  <c r="Y5" i="26"/>
  <c r="Z5" i="26"/>
  <c r="AE5" i="26"/>
  <c r="AF5" i="26"/>
  <c r="AK5" i="26"/>
  <c r="AL5" i="26"/>
  <c r="AP5" i="26"/>
  <c r="AQ5" i="26"/>
  <c r="AU5" i="26"/>
  <c r="AV5" i="26"/>
  <c r="AY5" i="26"/>
  <c r="AZ5" i="26"/>
  <c r="Z6" i="26"/>
  <c r="AF6" i="26"/>
  <c r="AK6" i="26"/>
  <c r="AL6" i="26"/>
  <c r="AP6" i="26"/>
  <c r="AQ6" i="26"/>
  <c r="AU6" i="26"/>
  <c r="AV6" i="26"/>
  <c r="AY6" i="26"/>
  <c r="AZ6" i="26"/>
  <c r="Z7" i="26"/>
  <c r="AF7" i="26"/>
  <c r="AK7" i="26"/>
  <c r="AL7" i="26"/>
  <c r="AP7" i="26"/>
  <c r="AQ7" i="26"/>
  <c r="AU7" i="26"/>
  <c r="AV7" i="26"/>
  <c r="AY7" i="26"/>
  <c r="AZ7" i="26"/>
  <c r="Z8" i="26"/>
  <c r="AF8" i="26"/>
  <c r="AK8" i="26"/>
  <c r="AL8" i="26"/>
  <c r="AP8" i="26"/>
  <c r="AQ8" i="26"/>
  <c r="AU8" i="26"/>
  <c r="AV8" i="26"/>
  <c r="AY8" i="26"/>
  <c r="AZ8" i="26"/>
  <c r="Z9" i="26"/>
  <c r="AF9" i="26"/>
  <c r="AK9" i="26"/>
  <c r="AL9" i="26"/>
  <c r="AP9" i="26"/>
  <c r="AQ9" i="26"/>
  <c r="AU9" i="26"/>
  <c r="AV9" i="26"/>
  <c r="AY9" i="26"/>
  <c r="AZ9" i="26"/>
  <c r="Y10" i="26"/>
  <c r="Z10" i="26"/>
  <c r="AE10" i="26"/>
  <c r="AF10" i="26"/>
  <c r="AK10" i="26"/>
  <c r="AL10" i="26"/>
  <c r="AP10" i="26"/>
  <c r="AQ10" i="26"/>
  <c r="AU10" i="26"/>
  <c r="AV10" i="26"/>
  <c r="AY10" i="26"/>
  <c r="AZ10" i="26"/>
  <c r="Y11" i="26"/>
  <c r="Z11" i="26"/>
  <c r="AE11" i="26"/>
  <c r="AF11" i="26"/>
  <c r="Y12" i="26"/>
  <c r="Z12" i="26"/>
  <c r="AE12" i="26"/>
  <c r="AF12" i="26"/>
  <c r="Y13" i="26"/>
  <c r="Z13" i="26"/>
  <c r="AE13" i="26"/>
  <c r="AF13" i="26"/>
  <c r="Y14" i="26"/>
  <c r="Z14" i="26"/>
  <c r="AE14" i="26"/>
  <c r="AF14" i="26"/>
  <c r="Y15" i="26"/>
  <c r="Z15" i="26"/>
  <c r="AE15" i="26"/>
  <c r="AF15" i="26"/>
  <c r="Y16" i="26"/>
  <c r="Z16" i="26"/>
  <c r="AE16" i="26"/>
  <c r="AF16" i="26"/>
  <c r="Y17" i="26"/>
  <c r="Z17" i="26"/>
  <c r="AE17" i="26"/>
  <c r="AF17" i="26"/>
  <c r="Y18" i="26"/>
  <c r="Z18" i="26"/>
  <c r="AE18" i="26"/>
  <c r="AF18" i="26"/>
  <c r="Y19" i="26"/>
  <c r="Z19" i="26"/>
  <c r="AE19" i="26"/>
  <c r="AF19" i="26"/>
  <c r="Y20" i="26"/>
  <c r="Z20" i="26"/>
  <c r="AE20" i="26"/>
  <c r="AF20" i="26"/>
  <c r="Y21" i="26"/>
  <c r="Z21" i="26"/>
  <c r="AE21" i="26"/>
  <c r="AF21" i="26"/>
  <c r="Y22" i="26"/>
  <c r="Z22" i="26"/>
  <c r="AE22" i="26"/>
  <c r="AF22" i="26"/>
  <c r="Y23" i="26"/>
  <c r="Z23" i="26"/>
  <c r="AE23" i="26"/>
  <c r="AF23" i="26"/>
  <c r="Y24" i="26"/>
  <c r="Z24" i="26"/>
  <c r="AE24" i="26"/>
  <c r="AF24" i="26"/>
  <c r="Y25" i="26"/>
  <c r="Z25" i="26"/>
  <c r="AE25" i="26"/>
  <c r="AF25" i="26"/>
  <c r="Z26" i="26"/>
  <c r="AF26" i="26"/>
  <c r="Z27" i="26"/>
  <c r="AF27" i="26"/>
  <c r="Z28" i="26"/>
  <c r="AF28" i="26"/>
  <c r="Z29" i="26"/>
  <c r="AF29" i="26"/>
  <c r="Z30" i="26"/>
  <c r="AF30" i="26"/>
  <c r="Z31" i="26"/>
  <c r="AF31" i="26"/>
  <c r="Z32" i="26"/>
  <c r="AF32" i="26"/>
  <c r="Z33" i="26"/>
  <c r="AF33" i="26"/>
  <c r="Z34" i="26"/>
  <c r="AF34" i="26"/>
  <c r="Z35" i="26"/>
  <c r="AF35" i="26"/>
  <c r="Z36" i="26"/>
  <c r="AF36" i="26"/>
  <c r="Z37" i="26"/>
  <c r="AF37" i="26"/>
  <c r="Y38" i="26"/>
  <c r="Z38" i="26"/>
  <c r="AE38" i="26"/>
  <c r="AF38" i="26"/>
  <c r="Y39" i="26"/>
  <c r="Z39" i="26"/>
  <c r="AE39" i="26"/>
  <c r="AF39" i="26"/>
  <c r="Y40" i="26"/>
  <c r="Z40" i="26"/>
  <c r="AE40" i="26"/>
  <c r="AF40" i="26"/>
  <c r="Y41" i="26"/>
  <c r="Z41" i="26"/>
  <c r="AE41" i="26"/>
  <c r="AF41" i="26"/>
  <c r="Y42" i="26"/>
  <c r="Z42" i="26"/>
  <c r="AE42" i="26"/>
  <c r="AF42" i="26"/>
  <c r="Y43" i="26"/>
  <c r="Z43" i="26"/>
  <c r="AE43" i="26"/>
  <c r="AF43" i="26"/>
  <c r="Y44" i="26"/>
  <c r="Z44" i="26"/>
  <c r="AE44" i="26"/>
  <c r="AF44" i="26"/>
  <c r="Y45" i="26"/>
  <c r="Z45" i="26"/>
  <c r="AE45" i="26"/>
  <c r="AF45" i="26"/>
  <c r="Y46" i="26"/>
  <c r="Z46" i="26"/>
  <c r="AE46" i="26"/>
  <c r="AF46" i="26"/>
  <c r="Y47" i="26"/>
  <c r="Z47" i="26"/>
  <c r="AE47" i="26"/>
  <c r="AF47" i="26"/>
  <c r="Y48" i="26"/>
  <c r="Z48" i="26"/>
  <c r="AE48" i="26"/>
  <c r="AF48" i="26"/>
  <c r="Y49" i="26"/>
  <c r="Z49" i="26"/>
  <c r="AE49" i="26"/>
  <c r="AF49" i="26"/>
  <c r="Y50" i="26"/>
  <c r="AE50" i="26"/>
  <c r="Y51" i="26"/>
  <c r="AE51" i="26"/>
  <c r="Y52" i="26"/>
  <c r="AE52" i="26"/>
  <c r="Y53" i="26"/>
  <c r="AE53" i="26"/>
  <c r="Y54" i="26"/>
  <c r="AE54" i="26"/>
  <c r="Y55" i="26"/>
  <c r="AE55" i="26"/>
  <c r="Y56" i="26"/>
  <c r="AE56" i="26"/>
  <c r="Y57" i="26"/>
  <c r="AE57" i="26"/>
  <c r="Y58" i="26"/>
  <c r="AE58" i="26"/>
  <c r="Y59" i="26"/>
  <c r="AE59" i="26"/>
  <c r="Y60" i="26"/>
  <c r="AE60" i="26"/>
  <c r="Y61" i="26"/>
  <c r="AE61" i="26"/>
  <c r="Y62" i="26"/>
  <c r="AE62" i="26"/>
  <c r="Y63" i="26"/>
  <c r="AE63" i="26"/>
  <c r="Y64" i="26"/>
  <c r="AE64" i="26"/>
  <c r="Y65" i="26"/>
  <c r="AE65" i="26"/>
  <c r="Y66" i="26"/>
  <c r="AE66" i="26"/>
  <c r="Y67" i="26"/>
  <c r="AE67" i="26"/>
  <c r="Y68" i="26"/>
  <c r="AE68" i="26"/>
  <c r="Y69" i="26"/>
  <c r="AE69" i="26"/>
  <c r="Y70" i="26"/>
  <c r="AE70" i="26"/>
  <c r="Y71" i="26"/>
  <c r="AE71" i="26"/>
  <c r="Y72" i="26"/>
  <c r="AE72" i="26"/>
  <c r="Y73" i="26"/>
  <c r="AE73" i="26"/>
  <c r="Z74" i="26"/>
  <c r="AA74" i="26"/>
  <c r="AF74" i="26"/>
  <c r="AG74" i="26"/>
  <c r="Z75" i="26"/>
  <c r="AA75" i="26"/>
  <c r="AF75" i="26"/>
  <c r="AG75" i="26"/>
  <c r="Z76" i="26"/>
  <c r="AA76" i="26"/>
  <c r="AF76" i="26"/>
  <c r="AG76" i="26"/>
  <c r="Z77" i="26"/>
  <c r="AA77" i="26"/>
  <c r="AF77" i="26"/>
  <c r="AG77" i="26"/>
  <c r="Z78" i="26"/>
  <c r="AA78" i="26"/>
  <c r="AF78" i="26"/>
  <c r="AG78" i="26"/>
  <c r="Z79" i="26"/>
  <c r="AA79" i="26"/>
  <c r="AF79" i="26"/>
  <c r="AG79" i="26"/>
  <c r="Z80" i="26"/>
  <c r="AA80" i="26"/>
  <c r="AF80" i="26"/>
  <c r="AG80" i="26"/>
  <c r="Z81" i="26"/>
  <c r="AA81" i="26"/>
  <c r="AF81" i="26"/>
  <c r="AG81" i="26"/>
  <c r="Z82" i="26"/>
  <c r="AA82" i="26"/>
  <c r="AF82" i="26"/>
  <c r="AG82" i="26"/>
  <c r="Z83" i="26"/>
  <c r="AA83" i="26"/>
  <c r="AF83" i="26"/>
  <c r="AG83" i="26"/>
  <c r="Z84" i="26"/>
  <c r="AA84" i="26"/>
  <c r="AF84" i="26"/>
  <c r="AG84" i="26"/>
  <c r="Z85" i="26"/>
  <c r="AA85" i="26"/>
  <c r="AF85" i="26"/>
  <c r="AG85" i="26"/>
  <c r="Z86" i="26"/>
  <c r="AA86" i="26"/>
  <c r="AF86" i="26"/>
  <c r="AG86" i="26"/>
  <c r="Z87" i="26"/>
  <c r="AA87" i="26"/>
  <c r="AF87" i="26"/>
  <c r="AG87" i="26"/>
  <c r="Z88" i="26"/>
  <c r="AA88" i="26"/>
  <c r="AF88" i="26"/>
  <c r="AG88" i="26"/>
  <c r="Z89" i="26"/>
  <c r="AA89" i="26"/>
  <c r="AF89" i="26"/>
  <c r="AG89" i="26"/>
  <c r="Z90" i="26"/>
  <c r="AA90" i="26"/>
  <c r="AF90" i="26"/>
  <c r="AG90" i="26"/>
  <c r="Z91" i="26"/>
  <c r="AA91" i="26"/>
  <c r="AF91" i="26"/>
  <c r="AG91" i="26"/>
  <c r="Z92" i="26"/>
  <c r="AA92" i="26"/>
  <c r="AF92" i="26"/>
  <c r="AG92" i="26"/>
  <c r="Z93" i="26"/>
  <c r="AA93" i="26"/>
  <c r="AF93" i="26"/>
  <c r="AG93" i="26"/>
  <c r="Z94" i="26"/>
  <c r="AA94" i="26"/>
  <c r="AF94" i="26"/>
  <c r="AG94" i="26"/>
  <c r="Z95" i="26"/>
  <c r="AA95" i="26"/>
  <c r="AF95" i="26"/>
  <c r="AG95" i="26"/>
  <c r="Z96" i="26"/>
  <c r="AA96" i="26"/>
  <c r="AF96" i="26"/>
  <c r="AG96" i="26"/>
  <c r="Z97" i="26"/>
  <c r="AA97" i="26"/>
  <c r="AF97" i="26"/>
  <c r="AG97" i="26"/>
  <c r="Y98" i="26"/>
  <c r="AE98" i="26"/>
  <c r="Y99" i="26"/>
  <c r="AE99" i="26"/>
  <c r="Y100" i="26"/>
  <c r="AE100" i="26"/>
  <c r="Y101" i="26"/>
  <c r="AE101" i="26"/>
  <c r="Y102" i="26"/>
  <c r="AE102" i="26"/>
  <c r="Y103" i="26"/>
  <c r="AE103" i="26"/>
  <c r="Y104" i="26"/>
  <c r="AE104" i="26"/>
  <c r="Y105" i="26"/>
  <c r="AE105" i="26"/>
  <c r="Y106" i="26"/>
  <c r="AE106" i="26"/>
  <c r="Y107" i="26"/>
  <c r="AE107" i="26"/>
  <c r="Y108" i="26"/>
  <c r="AE108" i="26"/>
  <c r="Y109" i="26"/>
  <c r="AE109" i="26"/>
  <c r="Y110" i="26"/>
  <c r="AE110" i="26"/>
  <c r="Y111" i="26"/>
  <c r="AE111" i="26"/>
  <c r="Y112" i="26"/>
  <c r="AE112" i="26"/>
  <c r="Y113" i="26"/>
  <c r="AE113" i="26"/>
  <c r="Y114" i="26"/>
  <c r="AE114" i="26"/>
  <c r="Y115" i="26"/>
  <c r="AE115" i="26"/>
  <c r="Y116" i="26"/>
  <c r="AE116" i="26"/>
  <c r="Y117" i="26"/>
  <c r="AE117" i="26"/>
  <c r="Y118" i="26"/>
  <c r="AE118" i="26"/>
  <c r="Y119" i="26"/>
  <c r="AE119" i="26"/>
  <c r="Y120" i="26"/>
  <c r="AE120" i="26"/>
  <c r="Y121" i="26"/>
  <c r="AE121" i="26"/>
  <c r="Z122" i="26"/>
  <c r="AA122" i="26"/>
  <c r="AF122" i="26"/>
  <c r="AG122" i="26"/>
  <c r="Z123" i="26"/>
  <c r="AA123" i="26"/>
  <c r="AF123" i="26"/>
  <c r="AG123" i="26"/>
  <c r="Z124" i="26"/>
  <c r="AA124" i="26"/>
  <c r="AF124" i="26"/>
  <c r="AG124" i="26"/>
  <c r="Z125" i="26"/>
  <c r="AA125" i="26"/>
  <c r="AF125" i="26"/>
  <c r="AG125" i="26"/>
  <c r="Z126" i="26"/>
  <c r="AA126" i="26"/>
  <c r="AF126" i="26"/>
  <c r="AG126" i="26"/>
  <c r="Z127" i="26"/>
  <c r="AA127" i="26"/>
  <c r="AF127" i="26"/>
  <c r="AG127" i="26"/>
  <c r="Z128" i="26"/>
  <c r="AA128" i="26"/>
  <c r="AF128" i="26"/>
  <c r="AG128" i="26"/>
  <c r="Z129" i="26"/>
  <c r="AA129" i="26"/>
  <c r="AF129" i="26"/>
  <c r="AG129" i="26"/>
  <c r="Z130" i="26"/>
  <c r="AA130" i="26"/>
  <c r="AF130" i="26"/>
  <c r="AG130" i="26"/>
  <c r="Z131" i="26"/>
  <c r="AA131" i="26"/>
  <c r="AF131" i="26"/>
  <c r="AG131" i="26"/>
  <c r="Z132" i="26"/>
  <c r="AA132" i="26"/>
  <c r="AF132" i="26"/>
  <c r="AG132" i="26"/>
  <c r="Z133" i="26"/>
  <c r="AA133" i="26"/>
  <c r="AF133" i="26"/>
  <c r="AG133" i="26"/>
  <c r="Z134" i="26"/>
  <c r="AA134" i="26"/>
  <c r="AF134" i="26"/>
  <c r="AG134" i="26"/>
  <c r="Z135" i="26"/>
  <c r="AA135" i="26"/>
  <c r="AF135" i="26"/>
  <c r="AG135" i="26"/>
  <c r="Z136" i="26"/>
  <c r="AA136" i="26"/>
  <c r="AF136" i="26"/>
  <c r="AG136" i="26"/>
  <c r="Z137" i="26"/>
  <c r="AA137" i="26"/>
  <c r="AF137" i="26"/>
  <c r="AG137" i="26"/>
  <c r="Z138" i="26"/>
  <c r="AA138" i="26"/>
  <c r="AF138" i="26"/>
  <c r="AG138" i="26"/>
  <c r="Z139" i="26"/>
  <c r="AA139" i="26"/>
  <c r="AF139" i="26"/>
  <c r="AG139" i="26"/>
  <c r="Z140" i="26"/>
  <c r="AA140" i="26"/>
  <c r="AF140" i="26"/>
  <c r="AG140" i="26"/>
  <c r="Z141" i="26"/>
  <c r="AA141" i="26"/>
  <c r="AF141" i="26"/>
  <c r="AG141" i="26"/>
  <c r="Z142" i="26"/>
  <c r="AA142" i="26"/>
  <c r="AF142" i="26"/>
  <c r="AG142" i="26"/>
  <c r="Z143" i="26"/>
  <c r="AA143" i="26"/>
  <c r="AF143" i="26"/>
  <c r="AG143" i="26"/>
  <c r="Z144" i="26"/>
  <c r="AA144" i="26"/>
  <c r="AF144" i="26"/>
  <c r="AG144" i="26"/>
  <c r="Z145" i="26"/>
  <c r="AA145" i="26"/>
  <c r="AF145" i="26"/>
  <c r="AG145" i="26"/>
  <c r="Z146" i="26"/>
  <c r="AF146" i="26"/>
  <c r="Z147" i="26"/>
  <c r="AF147" i="26"/>
  <c r="Z148" i="26"/>
  <c r="AF148" i="26"/>
  <c r="Z149" i="26"/>
  <c r="AF149" i="26"/>
  <c r="Z150" i="26"/>
  <c r="AF150" i="26"/>
  <c r="Z151" i="26"/>
  <c r="AF151" i="26"/>
  <c r="Z152" i="26"/>
  <c r="AF152" i="26"/>
  <c r="Z153" i="26"/>
  <c r="AF153" i="26"/>
  <c r="Z154" i="26"/>
  <c r="AF154" i="26"/>
  <c r="Z155" i="26"/>
  <c r="AF155" i="26"/>
  <c r="Z156" i="26"/>
  <c r="AF156" i="26"/>
  <c r="Z157" i="26"/>
  <c r="AF157" i="26"/>
  <c r="Y158" i="26"/>
  <c r="AE158" i="26"/>
  <c r="Y159" i="26"/>
  <c r="AE159" i="26"/>
  <c r="Y160" i="26"/>
  <c r="AE160" i="26"/>
  <c r="Y161" i="26"/>
  <c r="AE161" i="26"/>
  <c r="Y162" i="26"/>
  <c r="AE162" i="26"/>
  <c r="Y163" i="26"/>
  <c r="AE163" i="26"/>
  <c r="Y164" i="26"/>
  <c r="AE164" i="26"/>
  <c r="Y165" i="26"/>
  <c r="AE165" i="26"/>
  <c r="Y166" i="26"/>
  <c r="AE166" i="26"/>
  <c r="Y167" i="26"/>
  <c r="AE167" i="26"/>
  <c r="Y168" i="26"/>
  <c r="AE168" i="26"/>
  <c r="Y169" i="26"/>
  <c r="AE169" i="26"/>
  <c r="Z170" i="26"/>
  <c r="AF170" i="26"/>
  <c r="Z171" i="26"/>
  <c r="AF171" i="26"/>
  <c r="Z172" i="26"/>
  <c r="AF172" i="26"/>
  <c r="Z173" i="26"/>
  <c r="AF173" i="26"/>
  <c r="Z174" i="26"/>
  <c r="AF174" i="26"/>
  <c r="Z175" i="26"/>
  <c r="AF175" i="26"/>
  <c r="Z176" i="26"/>
  <c r="AF176" i="26"/>
  <c r="Z177" i="26"/>
  <c r="AF177" i="26"/>
  <c r="Z178" i="26"/>
  <c r="AF178" i="26"/>
  <c r="Z179" i="26"/>
  <c r="AF179" i="26"/>
  <c r="Z180" i="26"/>
  <c r="AF180" i="26"/>
  <c r="Z181" i="26"/>
  <c r="AF181" i="26"/>
  <c r="Z182" i="26"/>
  <c r="AA182" i="26"/>
  <c r="AF182" i="26"/>
  <c r="AG182" i="26"/>
  <c r="Z183" i="26"/>
  <c r="AA183" i="26"/>
  <c r="AF183" i="26"/>
  <c r="AG183" i="26"/>
  <c r="Z184" i="26"/>
  <c r="AA184" i="26"/>
  <c r="AF184" i="26"/>
  <c r="AG184" i="26"/>
  <c r="Z185" i="26"/>
  <c r="AA185" i="26"/>
  <c r="AF185" i="26"/>
  <c r="AG185" i="26"/>
  <c r="Z186" i="26"/>
  <c r="AA186" i="26"/>
  <c r="AF186" i="26"/>
  <c r="AG186" i="26"/>
  <c r="Z187" i="26"/>
  <c r="AA187" i="26"/>
  <c r="AF187" i="26"/>
  <c r="AG187" i="26"/>
  <c r="Z188" i="26"/>
  <c r="AA188" i="26"/>
  <c r="AF188" i="26"/>
  <c r="AG188" i="26"/>
  <c r="Z189" i="26"/>
  <c r="AA189" i="26"/>
  <c r="AF189" i="26"/>
  <c r="AG189" i="26"/>
  <c r="Z190" i="26"/>
  <c r="AA190" i="26"/>
  <c r="AF190" i="26"/>
  <c r="AG190" i="26"/>
  <c r="Z191" i="26"/>
  <c r="AA191" i="26"/>
  <c r="AF191" i="26"/>
  <c r="AG191" i="26"/>
  <c r="Z192" i="26"/>
  <c r="AA192" i="26"/>
  <c r="AF192" i="26"/>
  <c r="AG192" i="26"/>
  <c r="Z193" i="26"/>
  <c r="AA193" i="26"/>
  <c r="AF193" i="26"/>
  <c r="AG193" i="26"/>
  <c r="Z194" i="26"/>
  <c r="AA194" i="26"/>
  <c r="AF194" i="26"/>
  <c r="AG194" i="26"/>
  <c r="Z195" i="26"/>
  <c r="AA195" i="26"/>
  <c r="AF195" i="26"/>
  <c r="AG195" i="26"/>
  <c r="Z196" i="26"/>
  <c r="AA196" i="26"/>
  <c r="AF196" i="26"/>
  <c r="AG196" i="26"/>
  <c r="Z197" i="26"/>
  <c r="AA197" i="26"/>
  <c r="AF197" i="26"/>
  <c r="AG197" i="26"/>
  <c r="Z198" i="26"/>
  <c r="AA198" i="26"/>
  <c r="AF198" i="26"/>
  <c r="AG198" i="26"/>
  <c r="Z199" i="26"/>
  <c r="AA199" i="26"/>
  <c r="AF199" i="26"/>
  <c r="AG199" i="26"/>
  <c r="Z200" i="26"/>
  <c r="AA200" i="26"/>
  <c r="AF200" i="26"/>
  <c r="AG200" i="26"/>
  <c r="Z201" i="26"/>
  <c r="AA201" i="26"/>
  <c r="AF201" i="26"/>
  <c r="AG201" i="26"/>
  <c r="Z202" i="26"/>
  <c r="AA202" i="26"/>
  <c r="AF202" i="26"/>
  <c r="AG202" i="26"/>
  <c r="Z203" i="26"/>
  <c r="AA203" i="26"/>
  <c r="AF203" i="26"/>
  <c r="AG203" i="26"/>
  <c r="Z204" i="26"/>
  <c r="AA204" i="26"/>
  <c r="AF204" i="26"/>
  <c r="AG204" i="26"/>
  <c r="Z205" i="26"/>
  <c r="AA205" i="26"/>
  <c r="AF205" i="26"/>
  <c r="AG205" i="26"/>
  <c r="Y206" i="26"/>
  <c r="AE206" i="26"/>
  <c r="Y207" i="26"/>
  <c r="AE207" i="26"/>
  <c r="Y208" i="26"/>
  <c r="AE208" i="26"/>
  <c r="Y209" i="26"/>
  <c r="AE209" i="26"/>
  <c r="Y210" i="26"/>
  <c r="AE210" i="26"/>
  <c r="Y211" i="26"/>
  <c r="AE211" i="26"/>
  <c r="Y212" i="26"/>
  <c r="AE212" i="26"/>
  <c r="Y213" i="26"/>
  <c r="AE213" i="26"/>
  <c r="Y214" i="26"/>
  <c r="AE214" i="26"/>
  <c r="Y215" i="26"/>
  <c r="AE215" i="26"/>
  <c r="Y216" i="26"/>
  <c r="AE216" i="26"/>
  <c r="Y217" i="26"/>
  <c r="AE217" i="26"/>
  <c r="Y218" i="26"/>
  <c r="AE218" i="26"/>
  <c r="Y219" i="26"/>
  <c r="AE219" i="26"/>
  <c r="Y220" i="26"/>
  <c r="AE220" i="26"/>
  <c r="Y221" i="26"/>
  <c r="AE221" i="26"/>
  <c r="Y222" i="26"/>
  <c r="AE222" i="26"/>
  <c r="Y223" i="26"/>
  <c r="AE223" i="26"/>
  <c r="Y224" i="26"/>
  <c r="AE224" i="26"/>
  <c r="Y225" i="26"/>
  <c r="AE225" i="26"/>
  <c r="Y226" i="26"/>
  <c r="AE226" i="26"/>
  <c r="Y227" i="26"/>
  <c r="AE227" i="26"/>
  <c r="Y228" i="26"/>
  <c r="AE228" i="26"/>
  <c r="Y229" i="26"/>
  <c r="AE229" i="26"/>
  <c r="Z230" i="26"/>
  <c r="AA230" i="26"/>
  <c r="AF230" i="26"/>
  <c r="AG230" i="26"/>
  <c r="Z231" i="26"/>
  <c r="AA231" i="26"/>
  <c r="AF231" i="26"/>
  <c r="AG231" i="26"/>
  <c r="Z232" i="26"/>
  <c r="AA232" i="26"/>
  <c r="AF232" i="26"/>
  <c r="AG232" i="26"/>
  <c r="Z233" i="26"/>
  <c r="AA233" i="26"/>
  <c r="AF233" i="26"/>
  <c r="AG233" i="26"/>
  <c r="Z234" i="26"/>
  <c r="AA234" i="26"/>
  <c r="AF234" i="26"/>
  <c r="AG234" i="26"/>
  <c r="Z235" i="26"/>
  <c r="AA235" i="26"/>
  <c r="AF235" i="26"/>
  <c r="AG235" i="26"/>
  <c r="Z236" i="26"/>
  <c r="AA236" i="26"/>
  <c r="AF236" i="26"/>
  <c r="AG236" i="26"/>
  <c r="Z237" i="26"/>
  <c r="AA237" i="26"/>
  <c r="AF237" i="26"/>
  <c r="AG237" i="26"/>
  <c r="Z238" i="26"/>
  <c r="AA238" i="26"/>
  <c r="AF238" i="26"/>
  <c r="AG238" i="26"/>
  <c r="Z239" i="26"/>
  <c r="AA239" i="26"/>
  <c r="AF239" i="26"/>
  <c r="AG239" i="26"/>
  <c r="Z240" i="26"/>
  <c r="AA240" i="26"/>
  <c r="AF240" i="26"/>
  <c r="AG240" i="26"/>
  <c r="Z241" i="26"/>
  <c r="AA241" i="26"/>
  <c r="AF241" i="26"/>
  <c r="AG241" i="26"/>
  <c r="Z242" i="26"/>
  <c r="AA242" i="26"/>
  <c r="AF242" i="26"/>
  <c r="AG242" i="26"/>
  <c r="Z243" i="26"/>
  <c r="AA243" i="26"/>
  <c r="AF243" i="26"/>
  <c r="AG243" i="26"/>
  <c r="Z244" i="26"/>
  <c r="AA244" i="26"/>
  <c r="AF244" i="26"/>
  <c r="AG244" i="26"/>
  <c r="Z245" i="26"/>
  <c r="AA245" i="26"/>
  <c r="AF245" i="26"/>
  <c r="AG245" i="26"/>
  <c r="Z246" i="26"/>
  <c r="AA246" i="26"/>
  <c r="AF246" i="26"/>
  <c r="AG246" i="26"/>
  <c r="Z247" i="26"/>
  <c r="AA247" i="26"/>
  <c r="AF247" i="26"/>
  <c r="AG247" i="26"/>
  <c r="Z248" i="26"/>
  <c r="AA248" i="26"/>
  <c r="AF248" i="26"/>
  <c r="AG248" i="26"/>
  <c r="Z249" i="26"/>
  <c r="AA249" i="26"/>
  <c r="AF249" i="26"/>
  <c r="AG249" i="26"/>
  <c r="Z250" i="26"/>
  <c r="AA250" i="26"/>
  <c r="AF250" i="26"/>
  <c r="AG250" i="26"/>
  <c r="Z251" i="26"/>
  <c r="AA251" i="26"/>
  <c r="AF251" i="26"/>
  <c r="AG251" i="26"/>
  <c r="Z252" i="26"/>
  <c r="AA252" i="26"/>
  <c r="AF252" i="26"/>
  <c r="AG252" i="26"/>
  <c r="Z253" i="26"/>
  <c r="AA253" i="26"/>
  <c r="AF253" i="26"/>
  <c r="AG253" i="26"/>
  <c r="Z254" i="26"/>
  <c r="AA254" i="26"/>
  <c r="AF254" i="26"/>
  <c r="AG254" i="26"/>
  <c r="Z255" i="26"/>
  <c r="AA255" i="26"/>
  <c r="AF255" i="26"/>
  <c r="AG255" i="26"/>
  <c r="Z256" i="26"/>
  <c r="AA256" i="26"/>
  <c r="AF256" i="26"/>
  <c r="AG256" i="26"/>
  <c r="Z257" i="26"/>
  <c r="AA257" i="26"/>
  <c r="AF257" i="26"/>
  <c r="AG257" i="26"/>
  <c r="Z258" i="26"/>
  <c r="AA258" i="26"/>
  <c r="AF258" i="26"/>
  <c r="AG258" i="26"/>
  <c r="Z259" i="26"/>
  <c r="AA259" i="26"/>
  <c r="AF259" i="26"/>
  <c r="AG259" i="26"/>
  <c r="Z260" i="26"/>
  <c r="AA260" i="26"/>
  <c r="AF260" i="26"/>
  <c r="AG260" i="26"/>
  <c r="Z261" i="26"/>
  <c r="AA261" i="26"/>
  <c r="AF261" i="26"/>
  <c r="AG261" i="26"/>
  <c r="Z262" i="26"/>
  <c r="AA262" i="26"/>
  <c r="AF262" i="26"/>
  <c r="AG262" i="26"/>
  <c r="Z263" i="26"/>
  <c r="AA263" i="26"/>
  <c r="AF263" i="26"/>
  <c r="AG263" i="26"/>
  <c r="Z264" i="26"/>
  <c r="AA264" i="26"/>
  <c r="AF264" i="26"/>
  <c r="AG264" i="26"/>
  <c r="Z265" i="26"/>
  <c r="AA265" i="26"/>
  <c r="AF265" i="26"/>
  <c r="AG265" i="26"/>
  <c r="Y266" i="26"/>
  <c r="AE266" i="26"/>
  <c r="Y267" i="26"/>
  <c r="AE267" i="26"/>
  <c r="Y268" i="26"/>
  <c r="AE268" i="26"/>
  <c r="Y269" i="26"/>
  <c r="AE269" i="26"/>
  <c r="Y270" i="26"/>
  <c r="AE270" i="26"/>
  <c r="Y271" i="26"/>
  <c r="AE271" i="26"/>
  <c r="Y272" i="26"/>
  <c r="AE272" i="26"/>
  <c r="Y273" i="26"/>
  <c r="AE273" i="26"/>
  <c r="Y274" i="26"/>
  <c r="AE274" i="26"/>
  <c r="Y275" i="26"/>
  <c r="AE275" i="26"/>
  <c r="Y276" i="26"/>
  <c r="AE276" i="26"/>
  <c r="Y277" i="26"/>
  <c r="AE277" i="26"/>
  <c r="Z278" i="26"/>
  <c r="AA278" i="26"/>
  <c r="AF278" i="26"/>
  <c r="AG278" i="26"/>
  <c r="Z279" i="26"/>
  <c r="AA279" i="26"/>
  <c r="AF279" i="26"/>
  <c r="AG279" i="26"/>
  <c r="Z280" i="26"/>
  <c r="AA280" i="26"/>
  <c r="AF280" i="26"/>
  <c r="AG280" i="26"/>
  <c r="Z281" i="26"/>
  <c r="AA281" i="26"/>
  <c r="AF281" i="26"/>
  <c r="AG281" i="26"/>
  <c r="Z282" i="26"/>
  <c r="AA282" i="26"/>
  <c r="AF282" i="26"/>
  <c r="AG282" i="26"/>
  <c r="Z283" i="26"/>
  <c r="AA283" i="26"/>
  <c r="AF283" i="26"/>
  <c r="AG283" i="26"/>
  <c r="Z284" i="26"/>
  <c r="AA284" i="26"/>
  <c r="AF284" i="26"/>
  <c r="AG284" i="26"/>
  <c r="Z285" i="26"/>
  <c r="AA285" i="26"/>
  <c r="AF285" i="26"/>
  <c r="AG285" i="26"/>
  <c r="Z286" i="26"/>
  <c r="AA286" i="26"/>
  <c r="AF286" i="26"/>
  <c r="AG286" i="26"/>
  <c r="Z287" i="26"/>
  <c r="AA287" i="26"/>
  <c r="AF287" i="26"/>
  <c r="AG287" i="26"/>
  <c r="Z288" i="26"/>
  <c r="AA288" i="26"/>
  <c r="AF288" i="26"/>
  <c r="AG288" i="26"/>
  <c r="Z289" i="26"/>
  <c r="AA289" i="26"/>
  <c r="AF289" i="26"/>
  <c r="AG289" i="26"/>
  <c r="Z290" i="26"/>
  <c r="AA290" i="26"/>
  <c r="AF290" i="26"/>
  <c r="AG290" i="26"/>
  <c r="Z291" i="26"/>
  <c r="AA291" i="26"/>
  <c r="AF291" i="26"/>
  <c r="AG291" i="26"/>
  <c r="Z292" i="26"/>
  <c r="AA292" i="26"/>
  <c r="AF292" i="26"/>
  <c r="AG292" i="26"/>
  <c r="Z293" i="26"/>
  <c r="AA293" i="26"/>
  <c r="AF293" i="26"/>
  <c r="AG293" i="26"/>
  <c r="Z294" i="26"/>
  <c r="AA294" i="26"/>
  <c r="AF294" i="26"/>
  <c r="AG294" i="26"/>
  <c r="Z295" i="26"/>
  <c r="AA295" i="26"/>
  <c r="AF295" i="26"/>
  <c r="AG295" i="26"/>
  <c r="Z296" i="26"/>
  <c r="AA296" i="26"/>
  <c r="AF296" i="26"/>
  <c r="AG296" i="26"/>
  <c r="Z297" i="26"/>
  <c r="AA297" i="26"/>
  <c r="AF297" i="26"/>
  <c r="AG297" i="26"/>
  <c r="Z298" i="26"/>
  <c r="AA298" i="26"/>
  <c r="AF298" i="26"/>
  <c r="AG298" i="26"/>
  <c r="Z299" i="26"/>
  <c r="AA299" i="26"/>
  <c r="AF299" i="26"/>
  <c r="AG299" i="26"/>
  <c r="Z300" i="26"/>
  <c r="AA300" i="26"/>
  <c r="AF300" i="26"/>
  <c r="AG300" i="26"/>
  <c r="Z301" i="26"/>
  <c r="AA301" i="26"/>
  <c r="AF301" i="26"/>
  <c r="AG301" i="26"/>
  <c r="Z302" i="26"/>
  <c r="AA302" i="26"/>
  <c r="AF302" i="26"/>
  <c r="AG302" i="26"/>
  <c r="Z303" i="26"/>
  <c r="AA303" i="26"/>
  <c r="AF303" i="26"/>
  <c r="AG303" i="26"/>
  <c r="Z304" i="26"/>
  <c r="AA304" i="26"/>
  <c r="AF304" i="26"/>
  <c r="AG304" i="26"/>
  <c r="Z305" i="26"/>
  <c r="AA305" i="26"/>
  <c r="AF305" i="26"/>
  <c r="AG305" i="26"/>
  <c r="Z306" i="26"/>
  <c r="AA306" i="26"/>
  <c r="AF306" i="26"/>
  <c r="AG306" i="26"/>
  <c r="Z307" i="26"/>
  <c r="AA307" i="26"/>
  <c r="AF307" i="26"/>
  <c r="AG307" i="26"/>
  <c r="Z308" i="26"/>
  <c r="AA308" i="26"/>
  <c r="AF308" i="26"/>
  <c r="AG308" i="26"/>
  <c r="Z309" i="26"/>
  <c r="AA309" i="26"/>
  <c r="AF309" i="26"/>
  <c r="AG309" i="26"/>
  <c r="Z310" i="26"/>
  <c r="AA310" i="26"/>
  <c r="AF310" i="26"/>
  <c r="AG310" i="26"/>
  <c r="Z311" i="26"/>
  <c r="AA311" i="26"/>
  <c r="AF311" i="26"/>
  <c r="AG311" i="26"/>
  <c r="Z312" i="26"/>
  <c r="AA312" i="26"/>
  <c r="AF312" i="26"/>
  <c r="AG312" i="26"/>
  <c r="Z313" i="26"/>
  <c r="AA313" i="26"/>
  <c r="AF313" i="26"/>
  <c r="AG313" i="26"/>
  <c r="Z314" i="26"/>
  <c r="AA314" i="26"/>
  <c r="AF314" i="26"/>
  <c r="AG314" i="26"/>
  <c r="Z315" i="26"/>
  <c r="AA315" i="26"/>
  <c r="AF315" i="26"/>
  <c r="AG315" i="26"/>
  <c r="Z316" i="26"/>
  <c r="AA316" i="26"/>
  <c r="AF316" i="26"/>
  <c r="AG316" i="26"/>
  <c r="Z317" i="26"/>
  <c r="AA317" i="26"/>
  <c r="AF317" i="26"/>
  <c r="AG317" i="26"/>
  <c r="Z318" i="26"/>
  <c r="AA318" i="26"/>
  <c r="AF318" i="26"/>
  <c r="AG318" i="26"/>
  <c r="Z319" i="26"/>
  <c r="AA319" i="26"/>
  <c r="AF319" i="26"/>
  <c r="AG319" i="26"/>
  <c r="Z320" i="26"/>
  <c r="AA320" i="26"/>
  <c r="AF320" i="26"/>
  <c r="AG320" i="26"/>
  <c r="Z321" i="26"/>
  <c r="AA321" i="26"/>
  <c r="AF321" i="26"/>
  <c r="AG321" i="26"/>
  <c r="Z322" i="26"/>
  <c r="AA322" i="26"/>
  <c r="AF322" i="26"/>
  <c r="AG322" i="26"/>
  <c r="Z323" i="26"/>
  <c r="AA323" i="26"/>
  <c r="AF323" i="26"/>
  <c r="AG323" i="26"/>
  <c r="Z324" i="26"/>
  <c r="AA324" i="26"/>
  <c r="AF324" i="26"/>
  <c r="AG324" i="26"/>
  <c r="Z325" i="26"/>
  <c r="AA325" i="26"/>
  <c r="AF325" i="26"/>
  <c r="AG325" i="26"/>
  <c r="Z326" i="26"/>
  <c r="AA326" i="26"/>
  <c r="AF326" i="26"/>
  <c r="AG326" i="26"/>
  <c r="Z327" i="26"/>
  <c r="AA327" i="26"/>
  <c r="AF327" i="26"/>
  <c r="AG327" i="26"/>
  <c r="Z328" i="26"/>
  <c r="AA328" i="26"/>
  <c r="AF328" i="26"/>
  <c r="AG328" i="26"/>
  <c r="Z329" i="26"/>
  <c r="AA329" i="26"/>
  <c r="AF329" i="26"/>
  <c r="AG329" i="26"/>
  <c r="Z330" i="26"/>
  <c r="AA330" i="26"/>
  <c r="AF330" i="26"/>
  <c r="AG330" i="26"/>
  <c r="Z331" i="26"/>
  <c r="AA331" i="26"/>
  <c r="AF331" i="26"/>
  <c r="AG331" i="26"/>
  <c r="Z332" i="26"/>
  <c r="AA332" i="26"/>
  <c r="AF332" i="26"/>
  <c r="AG332" i="26"/>
  <c r="Z333" i="26"/>
  <c r="AA333" i="26"/>
  <c r="AF333" i="26"/>
  <c r="AG333" i="26"/>
  <c r="Z334" i="26"/>
  <c r="AA334" i="26"/>
  <c r="AF334" i="26"/>
  <c r="AG334" i="26"/>
  <c r="Z335" i="26"/>
  <c r="AA335" i="26"/>
  <c r="AF335" i="26"/>
  <c r="AG335" i="26"/>
  <c r="Z336" i="26"/>
  <c r="AA336" i="26"/>
  <c r="AF336" i="26"/>
  <c r="AG336" i="26"/>
  <c r="Z337" i="26"/>
  <c r="AA337" i="26"/>
  <c r="AF337" i="26"/>
  <c r="AG337" i="26"/>
  <c r="Z338" i="26"/>
  <c r="AA338" i="26"/>
  <c r="AF338" i="26"/>
  <c r="AG338" i="26"/>
  <c r="Z339" i="26"/>
  <c r="AA339" i="26"/>
  <c r="AF339" i="26"/>
  <c r="AG339" i="26"/>
  <c r="Z340" i="26"/>
  <c r="AA340" i="26"/>
  <c r="AF340" i="26"/>
  <c r="AG340" i="26"/>
  <c r="Z341" i="26"/>
  <c r="AA341" i="26"/>
  <c r="AF341" i="26"/>
  <c r="AG341" i="26"/>
  <c r="Z342" i="26"/>
  <c r="AA342" i="26"/>
  <c r="AF342" i="26"/>
  <c r="AG342" i="26"/>
  <c r="Z343" i="26"/>
  <c r="AA343" i="26"/>
  <c r="AF343" i="26"/>
  <c r="AG343" i="26"/>
  <c r="Z344" i="26"/>
  <c r="AA344" i="26"/>
  <c r="AF344" i="26"/>
  <c r="AG344" i="26"/>
  <c r="Z345" i="26"/>
  <c r="AA345" i="26"/>
  <c r="AF345" i="26"/>
  <c r="AG345" i="26"/>
  <c r="Z346" i="26"/>
  <c r="AA346" i="26"/>
  <c r="AF346" i="26"/>
  <c r="AG346" i="26"/>
  <c r="Z347" i="26"/>
  <c r="AA347" i="26"/>
  <c r="AF347" i="26"/>
  <c r="AG347" i="26"/>
  <c r="Z348" i="26"/>
  <c r="AA348" i="26"/>
  <c r="AF348" i="26"/>
  <c r="AG348" i="26"/>
  <c r="Z349" i="26"/>
  <c r="AA349" i="26"/>
  <c r="AF349" i="26"/>
  <c r="AG349" i="26"/>
  <c r="Z350" i="26"/>
  <c r="AA350" i="26"/>
  <c r="AF350" i="26"/>
  <c r="AG350" i="26"/>
  <c r="Z351" i="26"/>
  <c r="AA351" i="26"/>
  <c r="AF351" i="26"/>
  <c r="AG351" i="26"/>
  <c r="Z352" i="26"/>
  <c r="AA352" i="26"/>
  <c r="AF352" i="26"/>
  <c r="AG352" i="26"/>
  <c r="Z353" i="26"/>
  <c r="AA353" i="26"/>
  <c r="AF353" i="26"/>
  <c r="AG353" i="26"/>
  <c r="Z354" i="26"/>
  <c r="AA354" i="26"/>
  <c r="AF354" i="26"/>
  <c r="AG354" i="26"/>
  <c r="Z355" i="26"/>
  <c r="AA355" i="26"/>
  <c r="AF355" i="26"/>
  <c r="AG355" i="26"/>
  <c r="Z356" i="26"/>
  <c r="AA356" i="26"/>
  <c r="AF356" i="26"/>
  <c r="AG356" i="26"/>
  <c r="Z357" i="26"/>
  <c r="AA357" i="26"/>
  <c r="AF357" i="26"/>
  <c r="AG357" i="26"/>
  <c r="Z358" i="26"/>
  <c r="AA358" i="26"/>
  <c r="AF358" i="26"/>
  <c r="AG358" i="26"/>
  <c r="Z359" i="26"/>
  <c r="AA359" i="26"/>
  <c r="AF359" i="26"/>
  <c r="AG359" i="26"/>
  <c r="Z360" i="26"/>
  <c r="AA360" i="26"/>
  <c r="AF360" i="26"/>
  <c r="AG360" i="26"/>
  <c r="Z361" i="26"/>
  <c r="AA361" i="26"/>
  <c r="AF361" i="26"/>
  <c r="AG361" i="26"/>
  <c r="Z362" i="26"/>
  <c r="AA362" i="26"/>
  <c r="AF362" i="26"/>
  <c r="AG362" i="26"/>
  <c r="Z363" i="26"/>
  <c r="AA363" i="26"/>
  <c r="AF363" i="26"/>
  <c r="AG363" i="26"/>
  <c r="Z364" i="26"/>
  <c r="AA364" i="26"/>
  <c r="AF364" i="26"/>
  <c r="AG364" i="26"/>
  <c r="Z365" i="26"/>
  <c r="AA365" i="26"/>
  <c r="AF365" i="26"/>
  <c r="AG365" i="26"/>
  <c r="Z366" i="26"/>
  <c r="AA366" i="26"/>
  <c r="AF366" i="26"/>
  <c r="AG366" i="26"/>
  <c r="Z367" i="26"/>
  <c r="AA367" i="26"/>
  <c r="AF367" i="26"/>
  <c r="AG367" i="26"/>
  <c r="Z368" i="26"/>
  <c r="AA368" i="26"/>
  <c r="AF368" i="26"/>
  <c r="AG368" i="26"/>
  <c r="Z369" i="26"/>
  <c r="AA369" i="26"/>
  <c r="AF369" i="26"/>
  <c r="AG369" i="26"/>
  <c r="Z370" i="26"/>
  <c r="AA370" i="26"/>
  <c r="AF370" i="26"/>
  <c r="AG370" i="26"/>
  <c r="Z371" i="26"/>
  <c r="AA371" i="26"/>
  <c r="AF371" i="26"/>
  <c r="AG371" i="26"/>
  <c r="Z372" i="26"/>
  <c r="AA372" i="26"/>
  <c r="AF372" i="26"/>
  <c r="AG372" i="26"/>
  <c r="Z373" i="26"/>
  <c r="AA373" i="26"/>
  <c r="AF373" i="26"/>
  <c r="AG373" i="26"/>
  <c r="Z374" i="26"/>
  <c r="AA374" i="26"/>
  <c r="AF374" i="26"/>
  <c r="AG374" i="26"/>
  <c r="Z375" i="26"/>
  <c r="AA375" i="26"/>
  <c r="AF375" i="26"/>
  <c r="AG375" i="26"/>
  <c r="Z376" i="26"/>
  <c r="AA376" i="26"/>
  <c r="AF376" i="26"/>
  <c r="AG376" i="26"/>
  <c r="Z377" i="26"/>
  <c r="AA377" i="26"/>
  <c r="AF377" i="26"/>
  <c r="AG377" i="26"/>
  <c r="Z378" i="26"/>
  <c r="AA378" i="26"/>
  <c r="AF378" i="26"/>
  <c r="AG378" i="26"/>
  <c r="Z379" i="26"/>
  <c r="AA379" i="26"/>
  <c r="AF379" i="26"/>
  <c r="AG379" i="26"/>
  <c r="Z380" i="26"/>
  <c r="AA380" i="26"/>
  <c r="AF380" i="26"/>
  <c r="AG380" i="26"/>
  <c r="Z381" i="26"/>
  <c r="AA381" i="26"/>
  <c r="AF381" i="26"/>
  <c r="AG381" i="26"/>
  <c r="Z382" i="26"/>
  <c r="AA382" i="26"/>
  <c r="AF382" i="26"/>
  <c r="AG382" i="26"/>
  <c r="Z383" i="26"/>
  <c r="AA383" i="26"/>
  <c r="AF383" i="26"/>
  <c r="AG383" i="26"/>
  <c r="Z384" i="26"/>
  <c r="AA384" i="26"/>
  <c r="AF384" i="26"/>
  <c r="AG384" i="26"/>
  <c r="Z385" i="26"/>
  <c r="AA385" i="26"/>
  <c r="AF385" i="26"/>
  <c r="AG385" i="26"/>
  <c r="Z386" i="26"/>
  <c r="AA386" i="26"/>
  <c r="AF386" i="26"/>
  <c r="AG386" i="26"/>
  <c r="Z387" i="26"/>
  <c r="AA387" i="26"/>
  <c r="AF387" i="26"/>
  <c r="AG387" i="26"/>
  <c r="Z388" i="26"/>
  <c r="AA388" i="26"/>
  <c r="AF388" i="26"/>
  <c r="AG388" i="26"/>
  <c r="Z389" i="26"/>
  <c r="AA389" i="26"/>
  <c r="AF389" i="26"/>
  <c r="AG389" i="26"/>
  <c r="Z390" i="26"/>
  <c r="AA390" i="26"/>
  <c r="AF390" i="26"/>
  <c r="AG390" i="26"/>
  <c r="Z391" i="26"/>
  <c r="AA391" i="26"/>
  <c r="AF391" i="26"/>
  <c r="AG391" i="26"/>
  <c r="Z392" i="26"/>
  <c r="AA392" i="26"/>
  <c r="AF392" i="26"/>
  <c r="AG392" i="26"/>
  <c r="Z393" i="26"/>
  <c r="AA393" i="26"/>
  <c r="AF393" i="26"/>
  <c r="AG393" i="26"/>
  <c r="Z394" i="26"/>
  <c r="AA394" i="26"/>
  <c r="AF394" i="26"/>
  <c r="AG394" i="26"/>
  <c r="Z395" i="26"/>
  <c r="AA395" i="26"/>
  <c r="AF395" i="26"/>
  <c r="AG395" i="26"/>
  <c r="Z396" i="26"/>
  <c r="AA396" i="26"/>
  <c r="AF396" i="26"/>
  <c r="AG396" i="26"/>
  <c r="Z397" i="26"/>
  <c r="AA397" i="26"/>
  <c r="AF397" i="26"/>
  <c r="AG397" i="26"/>
  <c r="Z398" i="26"/>
  <c r="AA398" i="26"/>
  <c r="AF398" i="26"/>
  <c r="AG398" i="26"/>
  <c r="Z399" i="26"/>
  <c r="AA399" i="26"/>
  <c r="AF399" i="26"/>
  <c r="AG399" i="26"/>
  <c r="Z400" i="26"/>
  <c r="AA400" i="26"/>
  <c r="AF400" i="26"/>
  <c r="AG400" i="26"/>
  <c r="Z401" i="26"/>
  <c r="AA401" i="26"/>
  <c r="AF401" i="26"/>
  <c r="AG401" i="26"/>
  <c r="Z402" i="26"/>
  <c r="AA402" i="26"/>
  <c r="AF402" i="26"/>
  <c r="AG402" i="26"/>
  <c r="Z403" i="26"/>
  <c r="AA403" i="26"/>
  <c r="AF403" i="26"/>
  <c r="AG403" i="26"/>
  <c r="Z404" i="26"/>
  <c r="AA404" i="26"/>
  <c r="AF404" i="26"/>
  <c r="AG404" i="26"/>
  <c r="Z405" i="26"/>
  <c r="AA405" i="26"/>
  <c r="AF405" i="26"/>
  <c r="AG405" i="26"/>
  <c r="Z406" i="26"/>
  <c r="AA406" i="26"/>
  <c r="AF406" i="26"/>
  <c r="AG406" i="26"/>
  <c r="Z407" i="26"/>
  <c r="AA407" i="26"/>
  <c r="AF407" i="26"/>
  <c r="AG407" i="26"/>
  <c r="Z408" i="26"/>
  <c r="AA408" i="26"/>
  <c r="AF408" i="26"/>
  <c r="AG408" i="26"/>
  <c r="Z409" i="26"/>
  <c r="AA409" i="26"/>
  <c r="AF409" i="26"/>
  <c r="AG409" i="26"/>
  <c r="Z410" i="26"/>
  <c r="AA410" i="26"/>
  <c r="AF410" i="26"/>
  <c r="AG410" i="26"/>
  <c r="Z411" i="26"/>
  <c r="AA411" i="26"/>
  <c r="AF411" i="26"/>
  <c r="AG411" i="26"/>
  <c r="Z412" i="26"/>
  <c r="AA412" i="26"/>
  <c r="AF412" i="26"/>
  <c r="AG412" i="26"/>
  <c r="Z413" i="26"/>
  <c r="AA413" i="26"/>
  <c r="AF413" i="26"/>
  <c r="AG413" i="26"/>
  <c r="Z414" i="26"/>
  <c r="AA414" i="26"/>
  <c r="AF414" i="26"/>
  <c r="AG414" i="26"/>
  <c r="Z415" i="26"/>
  <c r="AA415" i="26"/>
  <c r="AF415" i="26"/>
  <c r="AG415" i="26"/>
  <c r="Z416" i="26"/>
  <c r="AA416" i="26"/>
  <c r="AF416" i="26"/>
  <c r="AG416" i="26"/>
  <c r="Z417" i="26"/>
  <c r="AA417" i="26"/>
  <c r="AF417" i="26"/>
  <c r="AG417" i="26"/>
  <c r="Z418" i="26"/>
  <c r="AA418" i="26"/>
  <c r="AF418" i="26"/>
  <c r="AG418" i="26"/>
  <c r="Z419" i="26"/>
  <c r="AA419" i="26"/>
  <c r="AF419" i="26"/>
  <c r="AG419" i="26"/>
  <c r="Z420" i="26"/>
  <c r="AA420" i="26"/>
  <c r="AF420" i="26"/>
  <c r="AG420" i="26"/>
  <c r="Z421" i="26"/>
  <c r="AA421" i="26"/>
  <c r="AF421" i="26"/>
  <c r="AG421" i="26"/>
  <c r="Z422" i="26"/>
  <c r="AA422" i="26"/>
  <c r="AF422" i="26"/>
  <c r="AG422" i="26"/>
  <c r="Z423" i="26"/>
  <c r="AA423" i="26"/>
  <c r="AF423" i="26"/>
  <c r="AG423" i="26"/>
  <c r="Z424" i="26"/>
  <c r="AA424" i="26"/>
  <c r="AF424" i="26"/>
  <c r="AG424" i="26"/>
  <c r="Z425" i="26"/>
  <c r="AA425" i="26"/>
  <c r="AF425" i="26"/>
  <c r="AG425" i="26"/>
  <c r="Z426" i="26"/>
  <c r="AA426" i="26"/>
  <c r="AF426" i="26"/>
  <c r="AG426" i="26"/>
  <c r="Z427" i="26"/>
  <c r="AA427" i="26"/>
  <c r="AF427" i="26"/>
  <c r="AG427" i="26"/>
  <c r="Z428" i="26"/>
  <c r="AA428" i="26"/>
  <c r="AF428" i="26"/>
  <c r="AG428" i="26"/>
  <c r="Z429" i="26"/>
  <c r="AA429" i="26"/>
  <c r="AF429" i="26"/>
  <c r="AG429" i="26"/>
  <c r="Z430" i="26"/>
  <c r="AA430" i="26"/>
  <c r="AF430" i="26"/>
  <c r="AG430" i="26"/>
  <c r="Z431" i="26"/>
  <c r="AA431" i="26"/>
  <c r="AF431" i="26"/>
  <c r="AG431" i="26"/>
  <c r="Z432" i="26"/>
  <c r="AA432" i="26"/>
  <c r="AF432" i="26"/>
  <c r="AG432" i="26"/>
  <c r="Z433" i="26"/>
  <c r="AA433" i="26"/>
  <c r="AF433" i="26"/>
  <c r="AG433" i="26"/>
  <c r="Z434" i="26"/>
  <c r="AA434" i="26"/>
  <c r="AF434" i="26"/>
  <c r="AG434" i="26"/>
  <c r="Z435" i="26"/>
  <c r="AA435" i="26"/>
  <c r="AF435" i="26"/>
  <c r="AG435" i="26"/>
  <c r="Z436" i="26"/>
  <c r="AA436" i="26"/>
  <c r="AF436" i="26"/>
  <c r="AG436" i="26"/>
  <c r="Z437" i="26"/>
  <c r="AA437" i="26"/>
  <c r="AF437" i="26"/>
  <c r="AG437" i="26"/>
  <c r="Z438" i="26"/>
  <c r="AA438" i="26"/>
  <c r="AF438" i="26"/>
  <c r="AG438" i="26"/>
  <c r="Z439" i="26"/>
  <c r="AA439" i="26"/>
  <c r="AF439" i="26"/>
  <c r="AG439" i="26"/>
  <c r="Z440" i="26"/>
  <c r="AA440" i="26"/>
  <c r="AF440" i="26"/>
  <c r="AG440" i="26"/>
  <c r="Z441" i="26"/>
  <c r="AA441" i="26"/>
  <c r="AF441" i="26"/>
  <c r="AG441" i="26"/>
  <c r="Z442" i="26"/>
  <c r="AA442" i="26"/>
  <c r="AF442" i="26"/>
  <c r="AG442" i="26"/>
  <c r="Z443" i="26"/>
  <c r="AA443" i="26"/>
  <c r="AF443" i="26"/>
  <c r="AG443" i="26"/>
  <c r="Z444" i="26"/>
  <c r="AA444" i="26"/>
  <c r="AF444" i="26"/>
  <c r="AG444" i="26"/>
  <c r="Z445" i="26"/>
  <c r="AA445" i="26"/>
  <c r="AF445" i="26"/>
  <c r="AG445" i="26"/>
  <c r="Z446" i="26"/>
  <c r="AA446" i="26"/>
  <c r="AF446" i="26"/>
  <c r="AG446" i="26"/>
  <c r="Z447" i="26"/>
  <c r="AA447" i="26"/>
  <c r="AF447" i="26"/>
  <c r="AG447" i="26"/>
  <c r="Z448" i="26"/>
  <c r="AA448" i="26"/>
  <c r="AF448" i="26"/>
  <c r="AG448" i="26"/>
  <c r="Z449" i="26"/>
  <c r="AA449" i="26"/>
  <c r="AF449" i="26"/>
  <c r="AG449" i="26"/>
  <c r="Z450" i="26"/>
  <c r="AA450" i="26"/>
  <c r="AF450" i="26"/>
  <c r="AG450" i="26"/>
  <c r="Z451" i="26"/>
  <c r="AA451" i="26"/>
  <c r="AF451" i="26"/>
  <c r="AG451" i="26"/>
  <c r="Z452" i="26"/>
  <c r="AA452" i="26"/>
  <c r="AF452" i="26"/>
  <c r="AG452" i="26"/>
  <c r="Z453" i="26"/>
  <c r="AA453" i="26"/>
  <c r="AF453" i="26"/>
  <c r="AG453" i="26"/>
  <c r="Z454" i="26"/>
  <c r="AA454" i="26"/>
  <c r="AF454" i="26"/>
  <c r="AG454" i="26"/>
  <c r="Z455" i="26"/>
  <c r="AA455" i="26"/>
  <c r="AF455" i="26"/>
  <c r="AG455" i="26"/>
  <c r="Z456" i="26"/>
  <c r="AA456" i="26"/>
  <c r="AF456" i="26"/>
  <c r="AG456" i="26"/>
  <c r="Z457" i="26"/>
  <c r="AA457" i="26"/>
  <c r="AF457" i="26"/>
  <c r="AG457" i="26"/>
  <c r="Z458" i="26"/>
  <c r="AA458" i="26"/>
  <c r="AF458" i="26"/>
  <c r="AG458" i="26"/>
  <c r="Z459" i="26"/>
  <c r="AA459" i="26"/>
  <c r="AF459" i="26"/>
  <c r="AG459" i="26"/>
  <c r="Z460" i="26"/>
  <c r="AA460" i="26"/>
  <c r="AF460" i="26"/>
  <c r="AG460" i="26"/>
  <c r="Z461" i="26"/>
  <c r="AA461" i="26"/>
  <c r="AF461" i="26"/>
  <c r="AG461" i="26"/>
  <c r="Z462" i="26"/>
  <c r="AA462" i="26"/>
  <c r="AF462" i="26"/>
  <c r="AG462" i="26"/>
  <c r="Z463" i="26"/>
  <c r="AA463" i="26"/>
  <c r="AF463" i="26"/>
  <c r="AG463" i="26"/>
  <c r="Z464" i="26"/>
  <c r="AA464" i="26"/>
  <c r="AF464" i="26"/>
  <c r="AG464" i="26"/>
  <c r="Z465" i="26"/>
  <c r="AA465" i="26"/>
  <c r="AF465" i="26"/>
  <c r="AG465" i="26"/>
  <c r="Z466" i="26"/>
  <c r="AA466" i="26"/>
  <c r="AF466" i="26"/>
  <c r="AG466" i="26"/>
  <c r="Z467" i="26"/>
  <c r="AA467" i="26"/>
  <c r="AF467" i="26"/>
  <c r="AG467" i="26"/>
  <c r="Z468" i="26"/>
  <c r="AA468" i="26"/>
  <c r="AF468" i="26"/>
  <c r="AG468" i="26"/>
  <c r="Z469" i="26"/>
  <c r="AA469" i="26"/>
  <c r="AF469" i="26"/>
  <c r="AG469" i="26"/>
  <c r="Z470" i="26"/>
  <c r="AA470" i="26"/>
  <c r="AF470" i="26"/>
  <c r="AG470" i="26"/>
  <c r="Z471" i="26"/>
  <c r="AA471" i="26"/>
  <c r="AF471" i="26"/>
  <c r="AG471" i="26"/>
  <c r="Z472" i="26"/>
  <c r="AA472" i="26"/>
  <c r="AF472" i="26"/>
  <c r="AG472" i="26"/>
  <c r="Z473" i="26"/>
  <c r="AA473" i="26"/>
  <c r="AF473" i="26"/>
  <c r="AG473" i="26"/>
  <c r="Z474" i="26"/>
  <c r="AA474" i="26"/>
  <c r="AF474" i="26"/>
  <c r="AG474" i="26"/>
  <c r="Z475" i="26"/>
  <c r="AA475" i="26"/>
  <c r="AF475" i="26"/>
  <c r="AG475" i="26"/>
  <c r="Z476" i="26"/>
  <c r="AA476" i="26"/>
  <c r="AF476" i="26"/>
  <c r="AG476" i="26"/>
  <c r="Z477" i="26"/>
  <c r="AA477" i="26"/>
  <c r="AF477" i="26"/>
  <c r="AG477" i="26"/>
  <c r="Z478" i="26"/>
  <c r="AA478" i="26"/>
  <c r="AF478" i="26"/>
  <c r="AG478" i="26"/>
  <c r="Z479" i="26"/>
  <c r="AA479" i="26"/>
  <c r="AF479" i="26"/>
  <c r="AG479" i="26"/>
  <c r="Z480" i="26"/>
  <c r="AA480" i="26"/>
  <c r="AF480" i="26"/>
  <c r="AG480" i="26"/>
  <c r="Z481" i="26"/>
  <c r="AA481" i="26"/>
  <c r="AF481" i="26"/>
  <c r="AG481" i="26"/>
  <c r="Z482" i="26"/>
  <c r="AA482" i="26"/>
  <c r="AF482" i="26"/>
  <c r="AG482" i="26"/>
  <c r="Z483" i="26"/>
  <c r="AA483" i="26"/>
  <c r="AF483" i="26"/>
  <c r="AG483" i="26"/>
  <c r="Z484" i="26"/>
  <c r="AA484" i="26"/>
  <c r="AF484" i="26"/>
  <c r="AG484" i="26"/>
  <c r="Z485" i="26"/>
  <c r="AA485" i="26"/>
  <c r="AF485" i="26"/>
  <c r="AG485" i="26"/>
  <c r="Z486" i="26"/>
  <c r="AA486" i="26"/>
  <c r="AF486" i="26"/>
  <c r="AG486" i="26"/>
  <c r="Z487" i="26"/>
  <c r="AA487" i="26"/>
  <c r="AF487" i="26"/>
  <c r="AG487" i="26"/>
  <c r="Z488" i="26"/>
  <c r="AA488" i="26"/>
  <c r="AF488" i="26"/>
  <c r="AG488" i="26"/>
  <c r="Z489" i="26"/>
  <c r="AA489" i="26"/>
  <c r="AF489" i="26"/>
  <c r="AG489" i="26"/>
  <c r="Z490" i="26"/>
  <c r="AA490" i="26"/>
  <c r="AF490" i="26"/>
  <c r="AG490" i="26"/>
  <c r="Z491" i="26"/>
  <c r="AA491" i="26"/>
  <c r="AF491" i="26"/>
  <c r="AG491" i="26"/>
  <c r="Z492" i="26"/>
  <c r="AA492" i="26"/>
  <c r="AF492" i="26"/>
  <c r="AG492" i="26"/>
  <c r="Z493" i="26"/>
  <c r="AA493" i="26"/>
  <c r="AF493" i="26"/>
  <c r="AG493" i="26"/>
  <c r="Z494" i="26"/>
  <c r="AA494" i="26"/>
  <c r="AF494" i="26"/>
  <c r="AG494" i="26"/>
  <c r="Z495" i="26"/>
  <c r="AA495" i="26"/>
  <c r="AF495" i="26"/>
  <c r="AG495" i="26"/>
  <c r="Z496" i="26"/>
  <c r="AA496" i="26"/>
  <c r="AF496" i="26"/>
  <c r="AG496" i="26"/>
  <c r="Z497" i="26"/>
  <c r="AA497" i="26"/>
  <c r="AF497" i="26"/>
  <c r="AG497" i="26"/>
  <c r="Z498" i="26"/>
  <c r="AA498" i="26"/>
  <c r="AF498" i="26"/>
  <c r="AG498" i="26"/>
  <c r="Z499" i="26"/>
  <c r="AA499" i="26"/>
  <c r="AF499" i="26"/>
  <c r="AG499" i="26"/>
  <c r="Z500" i="26"/>
  <c r="AA500" i="26"/>
  <c r="AF500" i="26"/>
  <c r="AG500" i="26"/>
  <c r="Z501" i="26"/>
  <c r="AA501" i="26"/>
  <c r="AF501" i="26"/>
  <c r="AG501" i="26"/>
  <c r="Z502" i="26"/>
  <c r="AA502" i="26"/>
  <c r="AF502" i="26"/>
  <c r="AG502" i="26"/>
  <c r="Z503" i="26"/>
  <c r="AA503" i="26"/>
  <c r="AF503" i="26"/>
  <c r="AG503" i="26"/>
  <c r="Z504" i="26"/>
  <c r="AA504" i="26"/>
  <c r="AF504" i="26"/>
  <c r="AG504" i="26"/>
  <c r="Z505" i="26"/>
  <c r="AA505" i="26"/>
  <c r="AF505" i="26"/>
  <c r="AG505" i="26"/>
  <c r="Z506" i="26"/>
  <c r="AA506" i="26"/>
  <c r="AF506" i="26"/>
  <c r="AG506" i="26"/>
  <c r="Z507" i="26"/>
  <c r="AA507" i="26"/>
  <c r="AF507" i="26"/>
  <c r="AG507" i="26"/>
  <c r="Z508" i="26"/>
  <c r="AA508" i="26"/>
  <c r="AF508" i="26"/>
  <c r="AG508" i="26"/>
  <c r="Z509" i="26"/>
  <c r="AA509" i="26"/>
  <c r="AF509" i="26"/>
  <c r="AG509" i="26"/>
  <c r="Z510" i="26"/>
  <c r="AA510" i="26"/>
  <c r="AF510" i="26"/>
  <c r="AG510" i="26"/>
  <c r="Z511" i="26"/>
  <c r="AA511" i="26"/>
  <c r="AF511" i="26"/>
  <c r="AG511" i="26"/>
  <c r="Z512" i="26"/>
  <c r="AA512" i="26"/>
  <c r="AF512" i="26"/>
  <c r="AG512" i="26"/>
  <c r="Z513" i="26"/>
  <c r="AA513" i="26"/>
  <c r="AF513" i="26"/>
  <c r="AG513" i="26"/>
  <c r="Z514" i="26"/>
  <c r="AA514" i="26"/>
  <c r="AF514" i="26"/>
  <c r="AG514" i="26"/>
  <c r="Z515" i="26"/>
  <c r="AA515" i="26"/>
  <c r="AF515" i="26"/>
  <c r="AG515" i="26"/>
  <c r="Z516" i="26"/>
  <c r="AA516" i="26"/>
  <c r="AF516" i="26"/>
  <c r="AG516" i="26"/>
  <c r="Z517" i="26"/>
  <c r="AA517" i="26"/>
  <c r="AF517" i="26"/>
  <c r="AG517" i="26"/>
  <c r="Z518" i="26"/>
  <c r="AA518" i="26"/>
  <c r="AF518" i="26"/>
  <c r="AG518" i="26"/>
  <c r="Z519" i="26"/>
  <c r="AA519" i="26"/>
  <c r="AF519" i="26"/>
  <c r="AG519" i="26"/>
  <c r="Z520" i="26"/>
  <c r="AA520" i="26"/>
  <c r="AF520" i="26"/>
  <c r="AG520" i="26"/>
  <c r="Z521" i="26"/>
  <c r="AA521" i="26"/>
  <c r="AF521" i="26"/>
  <c r="AG521" i="26"/>
  <c r="Z522" i="26"/>
  <c r="AA522" i="26"/>
  <c r="AF522" i="26"/>
  <c r="AG522" i="26"/>
  <c r="Z523" i="26"/>
  <c r="AA523" i="26"/>
  <c r="AF523" i="26"/>
  <c r="AG523" i="26"/>
  <c r="Z524" i="26"/>
  <c r="AA524" i="26"/>
  <c r="AF524" i="26"/>
  <c r="AG524" i="26"/>
  <c r="Z525" i="26"/>
  <c r="AA525" i="26"/>
  <c r="AF525" i="26"/>
  <c r="AG525" i="26"/>
  <c r="Z526" i="26"/>
  <c r="AA526" i="26"/>
  <c r="AF526" i="26"/>
  <c r="AG526" i="26"/>
  <c r="Z527" i="26"/>
  <c r="AA527" i="26"/>
  <c r="AF527" i="26"/>
  <c r="AG527" i="26"/>
  <c r="Z528" i="26"/>
  <c r="AA528" i="26"/>
  <c r="AF528" i="26"/>
  <c r="AG528" i="26"/>
  <c r="Z529" i="26"/>
  <c r="AA529" i="26"/>
  <c r="AF529" i="26"/>
  <c r="AG529" i="26"/>
  <c r="Z530" i="26"/>
  <c r="AA530" i="26"/>
  <c r="AF530" i="26"/>
  <c r="AG530" i="26"/>
  <c r="Z531" i="26"/>
  <c r="AA531" i="26"/>
  <c r="AF531" i="26"/>
  <c r="AG531" i="26"/>
  <c r="Z532" i="26"/>
  <c r="AA532" i="26"/>
  <c r="AF532" i="26"/>
  <c r="AG532" i="26"/>
  <c r="Z533" i="26"/>
  <c r="AA533" i="26"/>
  <c r="AF533" i="26"/>
  <c r="AG533" i="26"/>
  <c r="Z534" i="26"/>
  <c r="AA534" i="26"/>
  <c r="AF534" i="26"/>
  <c r="AG534" i="26"/>
  <c r="Z535" i="26"/>
  <c r="AA535" i="26"/>
  <c r="AF535" i="26"/>
  <c r="AG535" i="26"/>
  <c r="Z536" i="26"/>
  <c r="AA536" i="26"/>
  <c r="AF536" i="26"/>
  <c r="AG536" i="26"/>
  <c r="Z537" i="26"/>
  <c r="AA537" i="26"/>
  <c r="AF537" i="26"/>
  <c r="AG537" i="26"/>
  <c r="Z538" i="26"/>
  <c r="AA538" i="26"/>
  <c r="AF538" i="26"/>
  <c r="AG538" i="26"/>
  <c r="Z539" i="26"/>
  <c r="AA539" i="26"/>
  <c r="AF539" i="26"/>
  <c r="AG539" i="26"/>
  <c r="Z540" i="26"/>
  <c r="AA540" i="26"/>
  <c r="AF540" i="26"/>
  <c r="AG540" i="26"/>
  <c r="Z541" i="26"/>
  <c r="AA541" i="26"/>
  <c r="AF541" i="26"/>
  <c r="AG541" i="26"/>
  <c r="Z542" i="26"/>
  <c r="AA542" i="26"/>
  <c r="AF542" i="26"/>
  <c r="AG542" i="26"/>
  <c r="Z543" i="26"/>
  <c r="AA543" i="26"/>
  <c r="AF543" i="26"/>
  <c r="AG543" i="26"/>
  <c r="Z544" i="26"/>
  <c r="AA544" i="26"/>
  <c r="AF544" i="26"/>
  <c r="AG544" i="26"/>
  <c r="Z545" i="26"/>
  <c r="AA545" i="26"/>
  <c r="AF545" i="26"/>
  <c r="AG545" i="26"/>
  <c r="Z546" i="26"/>
  <c r="AA546" i="26"/>
  <c r="AF546" i="26"/>
  <c r="AG546" i="26"/>
  <c r="Z547" i="26"/>
  <c r="AA547" i="26"/>
  <c r="AF547" i="26"/>
  <c r="AG547" i="26"/>
  <c r="Z548" i="26"/>
  <c r="AA548" i="26"/>
  <c r="AF548" i="26"/>
  <c r="AG548" i="26"/>
  <c r="Z549" i="26"/>
  <c r="AA549" i="26"/>
  <c r="AF549" i="26"/>
  <c r="AG549" i="26"/>
  <c r="Z550" i="26"/>
  <c r="AA550" i="26"/>
  <c r="AF550" i="26"/>
  <c r="AG550" i="26"/>
  <c r="Z551" i="26"/>
  <c r="AA551" i="26"/>
  <c r="AF551" i="26"/>
  <c r="AG551" i="26"/>
  <c r="Z552" i="26"/>
  <c r="AA552" i="26"/>
  <c r="AF552" i="26"/>
  <c r="AG552" i="26"/>
  <c r="Z553" i="26"/>
  <c r="AA553" i="26"/>
  <c r="AF553" i="26"/>
  <c r="AG553" i="26"/>
  <c r="Z554" i="26"/>
  <c r="AA554" i="26"/>
  <c r="AF554" i="26"/>
  <c r="AG554" i="26"/>
  <c r="Z555" i="26"/>
  <c r="AA555" i="26"/>
  <c r="AF555" i="26"/>
  <c r="AG555" i="26"/>
  <c r="Z556" i="26"/>
  <c r="AA556" i="26"/>
  <c r="AF556" i="26"/>
  <c r="AG556" i="26"/>
  <c r="Z557" i="26"/>
  <c r="AA557" i="26"/>
  <c r="AF557" i="26"/>
  <c r="AG557" i="26"/>
  <c r="Z558" i="26"/>
  <c r="AA558" i="26"/>
  <c r="AF558" i="26"/>
  <c r="AG558" i="26"/>
  <c r="Z559" i="26"/>
  <c r="AA559" i="26"/>
  <c r="AF559" i="26"/>
  <c r="AG559" i="26"/>
  <c r="Z560" i="26"/>
  <c r="AA560" i="26"/>
  <c r="AF560" i="26"/>
  <c r="AG560" i="26"/>
  <c r="Z561" i="26"/>
  <c r="AA561" i="26"/>
  <c r="AF561" i="26"/>
  <c r="AG561" i="26"/>
  <c r="Z562" i="26"/>
  <c r="AA562" i="26"/>
  <c r="AF562" i="26"/>
  <c r="AG562" i="26"/>
  <c r="Z563" i="26"/>
  <c r="AA563" i="26"/>
  <c r="AF563" i="26"/>
  <c r="AG563" i="26"/>
  <c r="Z564" i="26"/>
  <c r="AA564" i="26"/>
  <c r="AF564" i="26"/>
  <c r="AG564" i="26"/>
  <c r="Z565" i="26"/>
  <c r="AA565" i="26"/>
  <c r="AF565" i="26"/>
  <c r="AG565" i="26"/>
  <c r="Z566" i="26"/>
  <c r="AA566" i="26"/>
  <c r="AF566" i="26"/>
  <c r="AG566" i="26"/>
  <c r="Z567" i="26"/>
  <c r="AA567" i="26"/>
  <c r="AF567" i="26"/>
  <c r="AG567" i="26"/>
  <c r="Z568" i="26"/>
  <c r="AA568" i="26"/>
  <c r="AF568" i="26"/>
  <c r="AG568" i="26"/>
  <c r="Z569" i="26"/>
  <c r="AA569" i="26"/>
  <c r="AF569" i="26"/>
  <c r="AG569" i="26"/>
  <c r="Z570" i="26"/>
  <c r="AA570" i="26"/>
  <c r="AF570" i="26"/>
  <c r="AG570" i="26"/>
  <c r="Z571" i="26"/>
  <c r="AA571" i="26"/>
  <c r="AF571" i="26"/>
  <c r="AG571" i="26"/>
  <c r="Z572" i="26"/>
  <c r="AA572" i="26"/>
  <c r="AF572" i="26"/>
  <c r="AG572" i="26"/>
  <c r="Z573" i="26"/>
  <c r="AA573" i="26"/>
  <c r="AF573" i="26"/>
  <c r="AG573" i="26"/>
  <c r="Z574" i="26"/>
  <c r="AA574" i="26"/>
  <c r="AF574" i="26"/>
  <c r="AG574" i="26"/>
  <c r="Z575" i="26"/>
  <c r="AA575" i="26"/>
  <c r="AF575" i="26"/>
  <c r="AG575" i="26"/>
  <c r="Z576" i="26"/>
  <c r="AA576" i="26"/>
  <c r="AF576" i="26"/>
  <c r="AG576" i="26"/>
  <c r="Z577" i="26"/>
  <c r="AA577" i="26"/>
  <c r="AF577" i="26"/>
  <c r="AG577" i="26"/>
  <c r="Z578" i="26"/>
  <c r="AA578" i="26"/>
  <c r="AF578" i="26"/>
  <c r="AG578" i="26"/>
  <c r="Z579" i="26"/>
  <c r="AA579" i="26"/>
  <c r="AF579" i="26"/>
  <c r="AG579" i="26"/>
  <c r="Z580" i="26"/>
  <c r="AA580" i="26"/>
  <c r="AF580" i="26"/>
  <c r="AG580" i="26"/>
  <c r="Z581" i="26"/>
  <c r="AA581" i="26"/>
  <c r="AF581" i="26"/>
  <c r="AG581" i="26"/>
  <c r="Z582" i="26"/>
  <c r="AA582" i="26"/>
  <c r="AF582" i="26"/>
  <c r="AG582" i="26"/>
  <c r="Z583" i="26"/>
  <c r="AA583" i="26"/>
  <c r="AF583" i="26"/>
  <c r="AG583" i="26"/>
  <c r="Z584" i="26"/>
  <c r="AA584" i="26"/>
  <c r="AF584" i="26"/>
  <c r="AG584" i="26"/>
  <c r="Z585" i="26"/>
  <c r="AA585" i="26"/>
  <c r="AF585" i="26"/>
  <c r="AG585" i="26"/>
  <c r="Z586" i="26"/>
  <c r="AA586" i="26"/>
  <c r="AF586" i="26"/>
  <c r="AG586" i="26"/>
  <c r="Z587" i="26"/>
  <c r="AA587" i="26"/>
  <c r="AF587" i="26"/>
  <c r="AG587" i="26"/>
  <c r="Z588" i="26"/>
  <c r="AA588" i="26"/>
  <c r="AF588" i="26"/>
  <c r="AG588" i="26"/>
  <c r="Z589" i="26"/>
  <c r="AA589" i="26"/>
  <c r="AF589" i="26"/>
  <c r="AG589" i="26"/>
  <c r="Z590" i="26"/>
  <c r="AA590" i="26"/>
  <c r="AF590" i="26"/>
  <c r="AG590" i="26"/>
  <c r="Z591" i="26"/>
  <c r="AA591" i="26"/>
  <c r="AF591" i="26"/>
  <c r="AG591" i="26"/>
  <c r="Z592" i="26"/>
  <c r="AA592" i="26"/>
  <c r="AF592" i="26"/>
  <c r="AG592" i="26"/>
  <c r="Z593" i="26"/>
  <c r="AA593" i="26"/>
  <c r="AF593" i="26"/>
  <c r="AG593" i="26"/>
  <c r="Z594" i="26"/>
  <c r="AA594" i="26"/>
  <c r="AF594" i="26"/>
  <c r="AG594" i="26"/>
  <c r="Z595" i="26"/>
  <c r="AA595" i="26"/>
  <c r="AF595" i="26"/>
  <c r="AG595" i="26"/>
  <c r="Z596" i="26"/>
  <c r="AA596" i="26"/>
  <c r="AF596" i="26"/>
  <c r="AG596" i="26"/>
  <c r="Z597" i="26"/>
  <c r="AA597" i="26"/>
  <c r="AF597" i="26"/>
  <c r="AG597" i="26"/>
  <c r="Z598" i="26"/>
  <c r="AA598" i="26"/>
  <c r="AF598" i="26"/>
  <c r="AG598" i="26"/>
  <c r="Z599" i="26"/>
  <c r="AA599" i="26"/>
  <c r="AF599" i="26"/>
  <c r="AG599" i="26"/>
  <c r="Z600" i="26"/>
  <c r="AA600" i="26"/>
  <c r="AF600" i="26"/>
  <c r="AG600" i="26"/>
  <c r="Z601" i="26"/>
  <c r="AA601" i="26"/>
  <c r="AF601" i="26"/>
  <c r="AG601" i="26"/>
  <c r="Z602" i="26"/>
  <c r="AA602" i="26"/>
  <c r="AF602" i="26"/>
  <c r="AG602" i="26"/>
  <c r="Z603" i="26"/>
  <c r="AA603" i="26"/>
  <c r="AF603" i="26"/>
  <c r="AG603" i="26"/>
  <c r="Z604" i="26"/>
  <c r="AA604" i="26"/>
  <c r="AF604" i="26"/>
  <c r="AG604" i="26"/>
  <c r="Y2" i="34"/>
  <c r="Z2" i="34"/>
  <c r="AE2" i="34"/>
  <c r="AF2" i="34"/>
  <c r="AK2" i="34"/>
  <c r="AL2" i="34"/>
  <c r="AU2" i="34"/>
  <c r="AV2" i="34"/>
  <c r="AY2" i="34"/>
  <c r="AZ2" i="34"/>
  <c r="Y3" i="34"/>
  <c r="Z3" i="34"/>
  <c r="AE3" i="34"/>
  <c r="AF3" i="34"/>
  <c r="AK3" i="34"/>
  <c r="AL3" i="34"/>
  <c r="AP3" i="34"/>
  <c r="AQ3" i="34"/>
  <c r="AU3" i="34"/>
  <c r="AV3" i="34"/>
  <c r="AY3" i="34"/>
  <c r="AZ3" i="34"/>
  <c r="Y4" i="34"/>
  <c r="Z4" i="34"/>
  <c r="AE4" i="34"/>
  <c r="AF4" i="34"/>
  <c r="AK4" i="34"/>
  <c r="AL4" i="34"/>
  <c r="AP4" i="34"/>
  <c r="AQ4" i="34"/>
  <c r="AU4" i="34"/>
  <c r="AV4" i="34"/>
  <c r="AY4" i="34"/>
  <c r="AZ4" i="34"/>
  <c r="Y5" i="34"/>
  <c r="Z5" i="34"/>
  <c r="AE5" i="34"/>
  <c r="AF5" i="34"/>
  <c r="AK5" i="34"/>
  <c r="AL5" i="34"/>
  <c r="AP5" i="34"/>
  <c r="AQ5" i="34"/>
  <c r="AU5" i="34"/>
  <c r="AV5" i="34"/>
  <c r="AY5" i="34"/>
  <c r="AZ5" i="34"/>
  <c r="Z6" i="34"/>
  <c r="AF6" i="34"/>
  <c r="AK6" i="34"/>
  <c r="AL6" i="34"/>
  <c r="AP6" i="34"/>
  <c r="AQ6" i="34"/>
  <c r="AU6" i="34"/>
  <c r="AV6" i="34"/>
  <c r="AY6" i="34"/>
  <c r="AZ6" i="34"/>
  <c r="Z7" i="34"/>
  <c r="AF7" i="34"/>
  <c r="AK7" i="34"/>
  <c r="AL7" i="34"/>
  <c r="AP7" i="34"/>
  <c r="AQ7" i="34"/>
  <c r="AU7" i="34"/>
  <c r="AV7" i="34"/>
  <c r="AY7" i="34"/>
  <c r="AZ7" i="34"/>
  <c r="Z8" i="34"/>
  <c r="AF8" i="34"/>
  <c r="AK8" i="34"/>
  <c r="AL8" i="34"/>
  <c r="AP8" i="34"/>
  <c r="AQ8" i="34"/>
  <c r="AU8" i="34"/>
  <c r="AV8" i="34"/>
  <c r="AY8" i="34"/>
  <c r="AZ8" i="34"/>
  <c r="Z9" i="34"/>
  <c r="AF9" i="34"/>
  <c r="AK9" i="34"/>
  <c r="AL9" i="34"/>
  <c r="AP9" i="34"/>
  <c r="AQ9" i="34"/>
  <c r="AU9" i="34"/>
  <c r="AV9" i="34"/>
  <c r="AY9" i="34"/>
  <c r="AZ9" i="34"/>
  <c r="Y10" i="34"/>
  <c r="Z10" i="34"/>
  <c r="AE10" i="34"/>
  <c r="AF10" i="34"/>
  <c r="AK10" i="34"/>
  <c r="AL10" i="34"/>
  <c r="AP10" i="34"/>
  <c r="AQ10" i="34"/>
  <c r="AU10" i="34"/>
  <c r="AV10" i="34"/>
  <c r="AY10" i="34"/>
  <c r="AZ10" i="34"/>
  <c r="Y11" i="34"/>
  <c r="Z11" i="34"/>
  <c r="AE11" i="34"/>
  <c r="AF11" i="34"/>
  <c r="Y12" i="34"/>
  <c r="Z12" i="34"/>
  <c r="AE12" i="34"/>
  <c r="AF12" i="34"/>
  <c r="Y13" i="34"/>
  <c r="Z13" i="34"/>
  <c r="AE13" i="34"/>
  <c r="AF13" i="34"/>
  <c r="Y14" i="34"/>
  <c r="Z14" i="34"/>
  <c r="AE14" i="34"/>
  <c r="AF14" i="34"/>
  <c r="Y15" i="34"/>
  <c r="Z15" i="34"/>
  <c r="AE15" i="34"/>
  <c r="AF15" i="34"/>
  <c r="Y16" i="34"/>
  <c r="Z16" i="34"/>
  <c r="AE16" i="34"/>
  <c r="AF16" i="34"/>
  <c r="Y17" i="34"/>
  <c r="Z17" i="34"/>
  <c r="AE17" i="34"/>
  <c r="AF17" i="34"/>
  <c r="Y18" i="34"/>
  <c r="Z18" i="34"/>
  <c r="AE18" i="34"/>
  <c r="AF18" i="34"/>
  <c r="Y19" i="34"/>
  <c r="Z19" i="34"/>
  <c r="AE19" i="34"/>
  <c r="AF19" i="34"/>
  <c r="Y20" i="34"/>
  <c r="Z20" i="34"/>
  <c r="AE20" i="34"/>
  <c r="AF20" i="34"/>
  <c r="Y21" i="34"/>
  <c r="Z21" i="34"/>
  <c r="AE21" i="34"/>
  <c r="AF21" i="34"/>
  <c r="Y22" i="34"/>
  <c r="Z22" i="34"/>
  <c r="AE22" i="34"/>
  <c r="AF22" i="34"/>
  <c r="Y23" i="34"/>
  <c r="Z23" i="34"/>
  <c r="AE23" i="34"/>
  <c r="AF23" i="34"/>
  <c r="Y24" i="34"/>
  <c r="Z24" i="34"/>
  <c r="AE24" i="34"/>
  <c r="AF24" i="34"/>
  <c r="Y25" i="34"/>
  <c r="Z25" i="34"/>
  <c r="AE25" i="34"/>
  <c r="AF25" i="34"/>
  <c r="Z26" i="34"/>
  <c r="AF26" i="34"/>
  <c r="Z27" i="34"/>
  <c r="AF27" i="34"/>
  <c r="Z28" i="34"/>
  <c r="AF28" i="34"/>
  <c r="Z29" i="34"/>
  <c r="AF29" i="34"/>
  <c r="Z30" i="34"/>
  <c r="AF30" i="34"/>
  <c r="Z31" i="34"/>
  <c r="AF31" i="34"/>
  <c r="Z32" i="34"/>
  <c r="AF32" i="34"/>
  <c r="Z33" i="34"/>
  <c r="AF33" i="34"/>
  <c r="Z34" i="34"/>
  <c r="AF34" i="34"/>
  <c r="Z35" i="34"/>
  <c r="AF35" i="34"/>
  <c r="Z36" i="34"/>
  <c r="AF36" i="34"/>
  <c r="Z37" i="34"/>
  <c r="AF37" i="34"/>
  <c r="Y38" i="34"/>
  <c r="Z38" i="34"/>
  <c r="AE38" i="34"/>
  <c r="AF38" i="34"/>
  <c r="Y39" i="34"/>
  <c r="Z39" i="34"/>
  <c r="AE39" i="34"/>
  <c r="AF39" i="34"/>
  <c r="Y40" i="34"/>
  <c r="Z40" i="34"/>
  <c r="AE40" i="34"/>
  <c r="AF40" i="34"/>
  <c r="Y41" i="34"/>
  <c r="Z41" i="34"/>
  <c r="AE41" i="34"/>
  <c r="AF41" i="34"/>
  <c r="Y42" i="34"/>
  <c r="Z42" i="34"/>
  <c r="AE42" i="34"/>
  <c r="AF42" i="34"/>
  <c r="Y43" i="34"/>
  <c r="Z43" i="34"/>
  <c r="AE43" i="34"/>
  <c r="AF43" i="34"/>
  <c r="Y44" i="34"/>
  <c r="Z44" i="34"/>
  <c r="AE44" i="34"/>
  <c r="AF44" i="34"/>
  <c r="Y45" i="34"/>
  <c r="Z45" i="34"/>
  <c r="AE45" i="34"/>
  <c r="AF45" i="34"/>
  <c r="Y46" i="34"/>
  <c r="Z46" i="34"/>
  <c r="AE46" i="34"/>
  <c r="AF46" i="34"/>
  <c r="Y47" i="34"/>
  <c r="Z47" i="34"/>
  <c r="AE47" i="34"/>
  <c r="AF47" i="34"/>
  <c r="Y48" i="34"/>
  <c r="Z48" i="34"/>
  <c r="AE48" i="34"/>
  <c r="AF48" i="34"/>
  <c r="Y49" i="34"/>
  <c r="Z49" i="34"/>
  <c r="AE49" i="34"/>
  <c r="AF49" i="34"/>
  <c r="Y50" i="34"/>
  <c r="AE50" i="34"/>
  <c r="Y51" i="34"/>
  <c r="AE51" i="34"/>
  <c r="Y52" i="34"/>
  <c r="AE52" i="34"/>
  <c r="Y53" i="34"/>
  <c r="AE53" i="34"/>
  <c r="Y54" i="34"/>
  <c r="AE54" i="34"/>
  <c r="Y55" i="34"/>
  <c r="AE55" i="34"/>
  <c r="Y56" i="34"/>
  <c r="AE56" i="34"/>
  <c r="Y57" i="34"/>
  <c r="AE57" i="34"/>
  <c r="Y58" i="34"/>
  <c r="AE58" i="34"/>
  <c r="Y59" i="34"/>
  <c r="AE59" i="34"/>
  <c r="Y60" i="34"/>
  <c r="AE60" i="34"/>
  <c r="Y61" i="34"/>
  <c r="AE61" i="34"/>
  <c r="Y62" i="34"/>
  <c r="AE62" i="34"/>
  <c r="Y63" i="34"/>
  <c r="AE63" i="34"/>
  <c r="Y64" i="34"/>
  <c r="AE64" i="34"/>
  <c r="Y65" i="34"/>
  <c r="AE65" i="34"/>
  <c r="Y66" i="34"/>
  <c r="AE66" i="34"/>
  <c r="Y67" i="34"/>
  <c r="AE67" i="34"/>
  <c r="Y68" i="34"/>
  <c r="AE68" i="34"/>
  <c r="Y69" i="34"/>
  <c r="AE69" i="34"/>
  <c r="Y70" i="34"/>
  <c r="AE70" i="34"/>
  <c r="Y71" i="34"/>
  <c r="AE71" i="34"/>
  <c r="Y72" i="34"/>
  <c r="AE72" i="34"/>
  <c r="Y73" i="34"/>
  <c r="AE73" i="34"/>
  <c r="Z74" i="34"/>
  <c r="AA74" i="34"/>
  <c r="AF74" i="34"/>
  <c r="AG74" i="34"/>
  <c r="Z75" i="34"/>
  <c r="AA75" i="34"/>
  <c r="AF75" i="34"/>
  <c r="AG75" i="34"/>
  <c r="Z76" i="34"/>
  <c r="AA76" i="34"/>
  <c r="AF76" i="34"/>
  <c r="AG76" i="34"/>
  <c r="Z77" i="34"/>
  <c r="AA77" i="34"/>
  <c r="AF77" i="34"/>
  <c r="AG77" i="34"/>
  <c r="Z78" i="34"/>
  <c r="AA78" i="34"/>
  <c r="AF78" i="34"/>
  <c r="AG78" i="34"/>
  <c r="Z79" i="34"/>
  <c r="AA79" i="34"/>
  <c r="AF79" i="34"/>
  <c r="AG79" i="34"/>
  <c r="Z80" i="34"/>
  <c r="AA80" i="34"/>
  <c r="AF80" i="34"/>
  <c r="AG80" i="34"/>
  <c r="Z81" i="34"/>
  <c r="AA81" i="34"/>
  <c r="AF81" i="34"/>
  <c r="AG81" i="34"/>
  <c r="Z82" i="34"/>
  <c r="AA82" i="34"/>
  <c r="AF82" i="34"/>
  <c r="AG82" i="34"/>
  <c r="Z83" i="34"/>
  <c r="AA83" i="34"/>
  <c r="AF83" i="34"/>
  <c r="AG83" i="34"/>
  <c r="Z84" i="34"/>
  <c r="AA84" i="34"/>
  <c r="AF84" i="34"/>
  <c r="AG84" i="34"/>
  <c r="Z85" i="34"/>
  <c r="AA85" i="34"/>
  <c r="AF85" i="34"/>
  <c r="AG85" i="34"/>
  <c r="Z86" i="34"/>
  <c r="AA86" i="34"/>
  <c r="AF86" i="34"/>
  <c r="AG86" i="34"/>
  <c r="Z87" i="34"/>
  <c r="AA87" i="34"/>
  <c r="AF87" i="34"/>
  <c r="AG87" i="34"/>
  <c r="Z88" i="34"/>
  <c r="AA88" i="34"/>
  <c r="AF88" i="34"/>
  <c r="AG88" i="34"/>
  <c r="Z89" i="34"/>
  <c r="AA89" i="34"/>
  <c r="AF89" i="34"/>
  <c r="AG89" i="34"/>
  <c r="Z90" i="34"/>
  <c r="AA90" i="34"/>
  <c r="AF90" i="34"/>
  <c r="AG90" i="34"/>
  <c r="Z91" i="34"/>
  <c r="AA91" i="34"/>
  <c r="AF91" i="34"/>
  <c r="AG91" i="34"/>
  <c r="Z92" i="34"/>
  <c r="AA92" i="34"/>
  <c r="AF92" i="34"/>
  <c r="AG92" i="34"/>
  <c r="Z93" i="34"/>
  <c r="AA93" i="34"/>
  <c r="AF93" i="34"/>
  <c r="AG93" i="34"/>
  <c r="Z94" i="34"/>
  <c r="AA94" i="34"/>
  <c r="AF94" i="34"/>
  <c r="AG94" i="34"/>
  <c r="Z95" i="34"/>
  <c r="AA95" i="34"/>
  <c r="AF95" i="34"/>
  <c r="AG95" i="34"/>
  <c r="Z96" i="34"/>
  <c r="AA96" i="34"/>
  <c r="AF96" i="34"/>
  <c r="AG96" i="34"/>
  <c r="Z97" i="34"/>
  <c r="AA97" i="34"/>
  <c r="AF97" i="34"/>
  <c r="AG97" i="34"/>
  <c r="Y98" i="34"/>
  <c r="AE98" i="34"/>
  <c r="Y99" i="34"/>
  <c r="AE99" i="34"/>
  <c r="Y100" i="34"/>
  <c r="AE100" i="34"/>
  <c r="Y101" i="34"/>
  <c r="AE101" i="34"/>
  <c r="Y102" i="34"/>
  <c r="AE102" i="34"/>
  <c r="Y103" i="34"/>
  <c r="AE103" i="34"/>
  <c r="Y104" i="34"/>
  <c r="AE104" i="34"/>
  <c r="Y105" i="34"/>
  <c r="AE105" i="34"/>
  <c r="Y106" i="34"/>
  <c r="AE106" i="34"/>
  <c r="Y107" i="34"/>
  <c r="AE107" i="34"/>
  <c r="Y108" i="34"/>
  <c r="AE108" i="34"/>
  <c r="Y109" i="34"/>
  <c r="AE109" i="34"/>
  <c r="Y110" i="34"/>
  <c r="AE110" i="34"/>
  <c r="Y111" i="34"/>
  <c r="AE111" i="34"/>
  <c r="Y112" i="34"/>
  <c r="AE112" i="34"/>
  <c r="Y113" i="34"/>
  <c r="AE113" i="34"/>
  <c r="Y114" i="34"/>
  <c r="AE114" i="34"/>
  <c r="Y115" i="34"/>
  <c r="AE115" i="34"/>
  <c r="Y116" i="34"/>
  <c r="AE116" i="34"/>
  <c r="Y117" i="34"/>
  <c r="AE117" i="34"/>
  <c r="Y118" i="34"/>
  <c r="AE118" i="34"/>
  <c r="Y119" i="34"/>
  <c r="AE119" i="34"/>
  <c r="Y120" i="34"/>
  <c r="AE120" i="34"/>
  <c r="Y121" i="34"/>
  <c r="AE121" i="34"/>
  <c r="Z122" i="34"/>
  <c r="AA122" i="34"/>
  <c r="AF122" i="34"/>
  <c r="AG122" i="34"/>
  <c r="Z123" i="34"/>
  <c r="AA123" i="34"/>
  <c r="AF123" i="34"/>
  <c r="AG123" i="34"/>
  <c r="Z124" i="34"/>
  <c r="AA124" i="34"/>
  <c r="AF124" i="34"/>
  <c r="AG124" i="34"/>
  <c r="Z125" i="34"/>
  <c r="AA125" i="34"/>
  <c r="AF125" i="34"/>
  <c r="AG125" i="34"/>
  <c r="Z126" i="34"/>
  <c r="AA126" i="34"/>
  <c r="AF126" i="34"/>
  <c r="AG126" i="34"/>
  <c r="Z127" i="34"/>
  <c r="AA127" i="34"/>
  <c r="AF127" i="34"/>
  <c r="AG127" i="34"/>
  <c r="Z128" i="34"/>
  <c r="AA128" i="34"/>
  <c r="AF128" i="34"/>
  <c r="AG128" i="34"/>
  <c r="Z129" i="34"/>
  <c r="AA129" i="34"/>
  <c r="AF129" i="34"/>
  <c r="AG129" i="34"/>
  <c r="Z130" i="34"/>
  <c r="AA130" i="34"/>
  <c r="AF130" i="34"/>
  <c r="AG130" i="34"/>
  <c r="Z131" i="34"/>
  <c r="AA131" i="34"/>
  <c r="AF131" i="34"/>
  <c r="AG131" i="34"/>
  <c r="Z132" i="34"/>
  <c r="AA132" i="34"/>
  <c r="AF132" i="34"/>
  <c r="AG132" i="34"/>
  <c r="Z133" i="34"/>
  <c r="AA133" i="34"/>
  <c r="AF133" i="34"/>
  <c r="AG133" i="34"/>
  <c r="Z134" i="34"/>
  <c r="AA134" i="34"/>
  <c r="AF134" i="34"/>
  <c r="AG134" i="34"/>
  <c r="Z135" i="34"/>
  <c r="AA135" i="34"/>
  <c r="AF135" i="34"/>
  <c r="AG135" i="34"/>
  <c r="Z136" i="34"/>
  <c r="AA136" i="34"/>
  <c r="AF136" i="34"/>
  <c r="AG136" i="34"/>
  <c r="Z137" i="34"/>
  <c r="AA137" i="34"/>
  <c r="AF137" i="34"/>
  <c r="AG137" i="34"/>
  <c r="Z138" i="34"/>
  <c r="AA138" i="34"/>
  <c r="AF138" i="34"/>
  <c r="AG138" i="34"/>
  <c r="Z139" i="34"/>
  <c r="AA139" i="34"/>
  <c r="AF139" i="34"/>
  <c r="AG139" i="34"/>
  <c r="Z140" i="34"/>
  <c r="AA140" i="34"/>
  <c r="AF140" i="34"/>
  <c r="AG140" i="34"/>
  <c r="Z141" i="34"/>
  <c r="AA141" i="34"/>
  <c r="AF141" i="34"/>
  <c r="AG141" i="34"/>
  <c r="Z142" i="34"/>
  <c r="AA142" i="34"/>
  <c r="AF142" i="34"/>
  <c r="AG142" i="34"/>
  <c r="Z143" i="34"/>
  <c r="AA143" i="34"/>
  <c r="AF143" i="34"/>
  <c r="AG143" i="34"/>
  <c r="Z144" i="34"/>
  <c r="AA144" i="34"/>
  <c r="AF144" i="34"/>
  <c r="AG144" i="34"/>
  <c r="Z145" i="34"/>
  <c r="AA145" i="34"/>
  <c r="AF145" i="34"/>
  <c r="AG145" i="34"/>
  <c r="Z146" i="34"/>
  <c r="AF146" i="34"/>
  <c r="Z147" i="34"/>
  <c r="AF147" i="34"/>
  <c r="Z148" i="34"/>
  <c r="AF148" i="34"/>
  <c r="Z149" i="34"/>
  <c r="AF149" i="34"/>
  <c r="Z150" i="34"/>
  <c r="AF150" i="34"/>
  <c r="Z151" i="34"/>
  <c r="AF151" i="34"/>
  <c r="Z152" i="34"/>
  <c r="AF152" i="34"/>
  <c r="Z153" i="34"/>
  <c r="AF153" i="34"/>
  <c r="Z154" i="34"/>
  <c r="AF154" i="34"/>
  <c r="Z155" i="34"/>
  <c r="AF155" i="34"/>
  <c r="Z156" i="34"/>
  <c r="AF156" i="34"/>
  <c r="Z157" i="34"/>
  <c r="AF157" i="34"/>
  <c r="Y158" i="34"/>
  <c r="AE158" i="34"/>
  <c r="Y159" i="34"/>
  <c r="AE159" i="34"/>
  <c r="Y160" i="34"/>
  <c r="AE160" i="34"/>
  <c r="Y161" i="34"/>
  <c r="AE161" i="34"/>
  <c r="Y162" i="34"/>
  <c r="AE162" i="34"/>
  <c r="Y163" i="34"/>
  <c r="AE163" i="34"/>
  <c r="Y164" i="34"/>
  <c r="AE164" i="34"/>
  <c r="Y165" i="34"/>
  <c r="AE165" i="34"/>
  <c r="Y166" i="34"/>
  <c r="AE166" i="34"/>
  <c r="Y167" i="34"/>
  <c r="AE167" i="34"/>
  <c r="Y168" i="34"/>
  <c r="AE168" i="34"/>
  <c r="Y169" i="34"/>
  <c r="AE169" i="34"/>
  <c r="Z170" i="34"/>
  <c r="AF170" i="34"/>
  <c r="Z171" i="34"/>
  <c r="AF171" i="34"/>
  <c r="Z172" i="34"/>
  <c r="AF172" i="34"/>
  <c r="Z173" i="34"/>
  <c r="AF173" i="34"/>
  <c r="Z174" i="34"/>
  <c r="AF174" i="34"/>
  <c r="Z175" i="34"/>
  <c r="AF175" i="34"/>
  <c r="Z176" i="34"/>
  <c r="AF176" i="34"/>
  <c r="Z177" i="34"/>
  <c r="AF177" i="34"/>
  <c r="Z178" i="34"/>
  <c r="AF178" i="34"/>
  <c r="Z179" i="34"/>
  <c r="AF179" i="34"/>
  <c r="Z180" i="34"/>
  <c r="AF180" i="34"/>
  <c r="Z181" i="34"/>
  <c r="AF181" i="34"/>
  <c r="Z182" i="34"/>
  <c r="AA182" i="34"/>
  <c r="AF182" i="34"/>
  <c r="AG182" i="34"/>
  <c r="Z183" i="34"/>
  <c r="AA183" i="34"/>
  <c r="AF183" i="34"/>
  <c r="AG183" i="34"/>
  <c r="Z184" i="34"/>
  <c r="AA184" i="34"/>
  <c r="AF184" i="34"/>
  <c r="AG184" i="34"/>
  <c r="Z185" i="34"/>
  <c r="AA185" i="34"/>
  <c r="AF185" i="34"/>
  <c r="AG185" i="34"/>
  <c r="Z186" i="34"/>
  <c r="AA186" i="34"/>
  <c r="AF186" i="34"/>
  <c r="AG186" i="34"/>
  <c r="Z187" i="34"/>
  <c r="AA187" i="34"/>
  <c r="AF187" i="34"/>
  <c r="AG187" i="34"/>
  <c r="Z188" i="34"/>
  <c r="AA188" i="34"/>
  <c r="AF188" i="34"/>
  <c r="AG188" i="34"/>
  <c r="Z189" i="34"/>
  <c r="AA189" i="34"/>
  <c r="AF189" i="34"/>
  <c r="AG189" i="34"/>
  <c r="Z190" i="34"/>
  <c r="AA190" i="34"/>
  <c r="AF190" i="34"/>
  <c r="AG190" i="34"/>
  <c r="Z191" i="34"/>
  <c r="AA191" i="34"/>
  <c r="AF191" i="34"/>
  <c r="AG191" i="34"/>
  <c r="Z192" i="34"/>
  <c r="AA192" i="34"/>
  <c r="AF192" i="34"/>
  <c r="AG192" i="34"/>
  <c r="Z193" i="34"/>
  <c r="AA193" i="34"/>
  <c r="AF193" i="34"/>
  <c r="AG193" i="34"/>
  <c r="Z194" i="34"/>
  <c r="AA194" i="34"/>
  <c r="AF194" i="34"/>
  <c r="AG194" i="34"/>
  <c r="Z195" i="34"/>
  <c r="AA195" i="34"/>
  <c r="AF195" i="34"/>
  <c r="AG195" i="34"/>
  <c r="Z196" i="34"/>
  <c r="AA196" i="34"/>
  <c r="AF196" i="34"/>
  <c r="AG196" i="34"/>
  <c r="Z197" i="34"/>
  <c r="AA197" i="34"/>
  <c r="AF197" i="34"/>
  <c r="AG197" i="34"/>
  <c r="Z198" i="34"/>
  <c r="AA198" i="34"/>
  <c r="AF198" i="34"/>
  <c r="AG198" i="34"/>
  <c r="Z199" i="34"/>
  <c r="AA199" i="34"/>
  <c r="AF199" i="34"/>
  <c r="AG199" i="34"/>
  <c r="Z200" i="34"/>
  <c r="AA200" i="34"/>
  <c r="AF200" i="34"/>
  <c r="AG200" i="34"/>
  <c r="Z201" i="34"/>
  <c r="AA201" i="34"/>
  <c r="AF201" i="34"/>
  <c r="AG201" i="34"/>
  <c r="Z202" i="34"/>
  <c r="AA202" i="34"/>
  <c r="AF202" i="34"/>
  <c r="AG202" i="34"/>
  <c r="Z203" i="34"/>
  <c r="AA203" i="34"/>
  <c r="AF203" i="34"/>
  <c r="AG203" i="34"/>
  <c r="Z204" i="34"/>
  <c r="AA204" i="34"/>
  <c r="AF204" i="34"/>
  <c r="AG204" i="34"/>
  <c r="Z205" i="34"/>
  <c r="AA205" i="34"/>
  <c r="AF205" i="34"/>
  <c r="AG205" i="34"/>
  <c r="Y206" i="34"/>
  <c r="AE206" i="34"/>
  <c r="Y207" i="34"/>
  <c r="AE207" i="34"/>
  <c r="Y208" i="34"/>
  <c r="AE208" i="34"/>
  <c r="Y209" i="34"/>
  <c r="AE209" i="34"/>
  <c r="Y210" i="34"/>
  <c r="AE210" i="34"/>
  <c r="Y211" i="34"/>
  <c r="AE211" i="34"/>
  <c r="Y212" i="34"/>
  <c r="AE212" i="34"/>
  <c r="Y213" i="34"/>
  <c r="AE213" i="34"/>
  <c r="Y214" i="34"/>
  <c r="AE214" i="34"/>
  <c r="Y215" i="34"/>
  <c r="AE215" i="34"/>
  <c r="Y216" i="34"/>
  <c r="AE216" i="34"/>
  <c r="Y217" i="34"/>
  <c r="AE217" i="34"/>
  <c r="Y218" i="34"/>
  <c r="AE218" i="34"/>
  <c r="Y219" i="34"/>
  <c r="AE219" i="34"/>
  <c r="Y220" i="34"/>
  <c r="AE220" i="34"/>
  <c r="Y221" i="34"/>
  <c r="AE221" i="34"/>
  <c r="Y222" i="34"/>
  <c r="AE222" i="34"/>
  <c r="Y223" i="34"/>
  <c r="AE223" i="34"/>
  <c r="Y224" i="34"/>
  <c r="AE224" i="34"/>
  <c r="Y225" i="34"/>
  <c r="AE225" i="34"/>
  <c r="Y226" i="34"/>
  <c r="AE226" i="34"/>
  <c r="Y227" i="34"/>
  <c r="AE227" i="34"/>
  <c r="Y228" i="34"/>
  <c r="AE228" i="34"/>
  <c r="Y229" i="34"/>
  <c r="AE229" i="34"/>
  <c r="Z230" i="34"/>
  <c r="AA230" i="34"/>
  <c r="AF230" i="34"/>
  <c r="AG230" i="34"/>
  <c r="Z231" i="34"/>
  <c r="AA231" i="34"/>
  <c r="AF231" i="34"/>
  <c r="AG231" i="34"/>
  <c r="Z232" i="34"/>
  <c r="AA232" i="34"/>
  <c r="AF232" i="34"/>
  <c r="AG232" i="34"/>
  <c r="Z233" i="34"/>
  <c r="AA233" i="34"/>
  <c r="AF233" i="34"/>
  <c r="AG233" i="34"/>
  <c r="Z234" i="34"/>
  <c r="AA234" i="34"/>
  <c r="AF234" i="34"/>
  <c r="AG234" i="34"/>
  <c r="Z235" i="34"/>
  <c r="AA235" i="34"/>
  <c r="AF235" i="34"/>
  <c r="AG235" i="34"/>
  <c r="Z236" i="34"/>
  <c r="AA236" i="34"/>
  <c r="AF236" i="34"/>
  <c r="AG236" i="34"/>
  <c r="Z237" i="34"/>
  <c r="AA237" i="34"/>
  <c r="AF237" i="34"/>
  <c r="AG237" i="34"/>
  <c r="Z238" i="34"/>
  <c r="AA238" i="34"/>
  <c r="AF238" i="34"/>
  <c r="AG238" i="34"/>
  <c r="Z239" i="34"/>
  <c r="AA239" i="34"/>
  <c r="AF239" i="34"/>
  <c r="AG239" i="34"/>
  <c r="Z240" i="34"/>
  <c r="AA240" i="34"/>
  <c r="AF240" i="34"/>
  <c r="AG240" i="34"/>
  <c r="Z241" i="34"/>
  <c r="AA241" i="34"/>
  <c r="AF241" i="34"/>
  <c r="AG241" i="34"/>
  <c r="Z242" i="34"/>
  <c r="AA242" i="34"/>
  <c r="AF242" i="34"/>
  <c r="AG242" i="34"/>
  <c r="Z243" i="34"/>
  <c r="AA243" i="34"/>
  <c r="AF243" i="34"/>
  <c r="AG243" i="34"/>
  <c r="Z244" i="34"/>
  <c r="AA244" i="34"/>
  <c r="AF244" i="34"/>
  <c r="AG244" i="34"/>
  <c r="Z245" i="34"/>
  <c r="AA245" i="34"/>
  <c r="AF245" i="34"/>
  <c r="AG245" i="34"/>
  <c r="Z246" i="34"/>
  <c r="AA246" i="34"/>
  <c r="AF246" i="34"/>
  <c r="AG246" i="34"/>
  <c r="Z247" i="34"/>
  <c r="AA247" i="34"/>
  <c r="AF247" i="34"/>
  <c r="AG247" i="34"/>
  <c r="Z248" i="34"/>
  <c r="AA248" i="34"/>
  <c r="AF248" i="34"/>
  <c r="AG248" i="34"/>
  <c r="Z249" i="34"/>
  <c r="AA249" i="34"/>
  <c r="AF249" i="34"/>
  <c r="AG249" i="34"/>
  <c r="Z250" i="34"/>
  <c r="AA250" i="34"/>
  <c r="AF250" i="34"/>
  <c r="AG250" i="34"/>
  <c r="Z251" i="34"/>
  <c r="AA251" i="34"/>
  <c r="AF251" i="34"/>
  <c r="AG251" i="34"/>
  <c r="Z252" i="34"/>
  <c r="AA252" i="34"/>
  <c r="AF252" i="34"/>
  <c r="AG252" i="34"/>
  <c r="Z253" i="34"/>
  <c r="AA253" i="34"/>
  <c r="AF253" i="34"/>
  <c r="AG253" i="34"/>
  <c r="Z254" i="34"/>
  <c r="AA254" i="34"/>
  <c r="AF254" i="34"/>
  <c r="AG254" i="34"/>
  <c r="Z255" i="34"/>
  <c r="AA255" i="34"/>
  <c r="AF255" i="34"/>
  <c r="AG255" i="34"/>
  <c r="Z256" i="34"/>
  <c r="AA256" i="34"/>
  <c r="AF256" i="34"/>
  <c r="AG256" i="34"/>
  <c r="Z257" i="34"/>
  <c r="AA257" i="34"/>
  <c r="AF257" i="34"/>
  <c r="AG257" i="34"/>
  <c r="Z258" i="34"/>
  <c r="AA258" i="34"/>
  <c r="AF258" i="34"/>
  <c r="AG258" i="34"/>
  <c r="Z259" i="34"/>
  <c r="AA259" i="34"/>
  <c r="AF259" i="34"/>
  <c r="AG259" i="34"/>
  <c r="Z260" i="34"/>
  <c r="AA260" i="34"/>
  <c r="AF260" i="34"/>
  <c r="AG260" i="34"/>
  <c r="Z261" i="34"/>
  <c r="AA261" i="34"/>
  <c r="AF261" i="34"/>
  <c r="AG261" i="34"/>
  <c r="Z262" i="34"/>
  <c r="AA262" i="34"/>
  <c r="AF262" i="34"/>
  <c r="AG262" i="34"/>
  <c r="Z263" i="34"/>
  <c r="AA263" i="34"/>
  <c r="AF263" i="34"/>
  <c r="AG263" i="34"/>
  <c r="Z264" i="34"/>
  <c r="AA264" i="34"/>
  <c r="AF264" i="34"/>
  <c r="AG264" i="34"/>
  <c r="Z265" i="34"/>
  <c r="AA265" i="34"/>
  <c r="AF265" i="34"/>
  <c r="AG265" i="34"/>
  <c r="Y266" i="34"/>
  <c r="AE266" i="34"/>
  <c r="Y267" i="34"/>
  <c r="AE267" i="34"/>
  <c r="Y268" i="34"/>
  <c r="AE268" i="34"/>
  <c r="Y269" i="34"/>
  <c r="AE269" i="34"/>
  <c r="Y270" i="34"/>
  <c r="AE270" i="34"/>
  <c r="Y271" i="34"/>
  <c r="AE271" i="34"/>
  <c r="Y272" i="34"/>
  <c r="AE272" i="34"/>
  <c r="Y273" i="34"/>
  <c r="AE273" i="34"/>
  <c r="Y274" i="34"/>
  <c r="AE274" i="34"/>
  <c r="Y275" i="34"/>
  <c r="AE275" i="34"/>
  <c r="Y276" i="34"/>
  <c r="AE276" i="34"/>
  <c r="Y277" i="34"/>
  <c r="AE277" i="34"/>
  <c r="Z278" i="34"/>
  <c r="AA278" i="34"/>
  <c r="AF278" i="34"/>
  <c r="AG278" i="34"/>
  <c r="Z279" i="34"/>
  <c r="AA279" i="34"/>
  <c r="AF279" i="34"/>
  <c r="AG279" i="34"/>
  <c r="Z280" i="34"/>
  <c r="AA280" i="34"/>
  <c r="AF280" i="34"/>
  <c r="AG280" i="34"/>
  <c r="Z281" i="34"/>
  <c r="AA281" i="34"/>
  <c r="AF281" i="34"/>
  <c r="AG281" i="34"/>
  <c r="Z282" i="34"/>
  <c r="AA282" i="34"/>
  <c r="AF282" i="34"/>
  <c r="AG282" i="34"/>
  <c r="Z283" i="34"/>
  <c r="AA283" i="34"/>
  <c r="AF283" i="34"/>
  <c r="AG283" i="34"/>
  <c r="Z284" i="34"/>
  <c r="AA284" i="34"/>
  <c r="AF284" i="34"/>
  <c r="AG284" i="34"/>
  <c r="Z285" i="34"/>
  <c r="AA285" i="34"/>
  <c r="AF285" i="34"/>
  <c r="AG285" i="34"/>
  <c r="Z286" i="34"/>
  <c r="AA286" i="34"/>
  <c r="AF286" i="34"/>
  <c r="AG286" i="34"/>
  <c r="Z287" i="34"/>
  <c r="AA287" i="34"/>
  <c r="AF287" i="34"/>
  <c r="AG287" i="34"/>
  <c r="Z288" i="34"/>
  <c r="AA288" i="34"/>
  <c r="AF288" i="34"/>
  <c r="AG288" i="34"/>
  <c r="Z289" i="34"/>
  <c r="AA289" i="34"/>
  <c r="AF289" i="34"/>
  <c r="AG289" i="34"/>
  <c r="Z290" i="34"/>
  <c r="AA290" i="34"/>
  <c r="AF290" i="34"/>
  <c r="AG290" i="34"/>
  <c r="Z291" i="34"/>
  <c r="AA291" i="34"/>
  <c r="AF291" i="34"/>
  <c r="AG291" i="34"/>
  <c r="Z292" i="34"/>
  <c r="AA292" i="34"/>
  <c r="AF292" i="34"/>
  <c r="AG292" i="34"/>
  <c r="Z293" i="34"/>
  <c r="AA293" i="34"/>
  <c r="AF293" i="34"/>
  <c r="AG293" i="34"/>
  <c r="Z294" i="34"/>
  <c r="AA294" i="34"/>
  <c r="AF294" i="34"/>
  <c r="AG294" i="34"/>
  <c r="Z295" i="34"/>
  <c r="AA295" i="34"/>
  <c r="AF295" i="34"/>
  <c r="AG295" i="34"/>
  <c r="Z296" i="34"/>
  <c r="AA296" i="34"/>
  <c r="AF296" i="34"/>
  <c r="AG296" i="34"/>
  <c r="Z297" i="34"/>
  <c r="AA297" i="34"/>
  <c r="AF297" i="34"/>
  <c r="AG297" i="34"/>
  <c r="Z298" i="34"/>
  <c r="AA298" i="34"/>
  <c r="AF298" i="34"/>
  <c r="AG298" i="34"/>
  <c r="Z299" i="34"/>
  <c r="AA299" i="34"/>
  <c r="AF299" i="34"/>
  <c r="AG299" i="34"/>
  <c r="Z300" i="34"/>
  <c r="AA300" i="34"/>
  <c r="AF300" i="34"/>
  <c r="AG300" i="34"/>
  <c r="Z301" i="34"/>
  <c r="AA301" i="34"/>
  <c r="AF301" i="34"/>
  <c r="AG301" i="34"/>
  <c r="Z302" i="34"/>
  <c r="AA302" i="34"/>
  <c r="AF302" i="34"/>
  <c r="AG302" i="34"/>
  <c r="Z303" i="34"/>
  <c r="AA303" i="34"/>
  <c r="AF303" i="34"/>
  <c r="AG303" i="34"/>
  <c r="Z304" i="34"/>
  <c r="AA304" i="34"/>
  <c r="AF304" i="34"/>
  <c r="AG304" i="34"/>
  <c r="Z305" i="34"/>
  <c r="AA305" i="34"/>
  <c r="AF305" i="34"/>
  <c r="AG305" i="34"/>
  <c r="Z306" i="34"/>
  <c r="AA306" i="34"/>
  <c r="AF306" i="34"/>
  <c r="AG306" i="34"/>
  <c r="Z307" i="34"/>
  <c r="AA307" i="34"/>
  <c r="AF307" i="34"/>
  <c r="AG307" i="34"/>
  <c r="Z308" i="34"/>
  <c r="AA308" i="34"/>
  <c r="AF308" i="34"/>
  <c r="AG308" i="34"/>
  <c r="Z309" i="34"/>
  <c r="AA309" i="34"/>
  <c r="AF309" i="34"/>
  <c r="AG309" i="34"/>
  <c r="Z310" i="34"/>
  <c r="AA310" i="34"/>
  <c r="AF310" i="34"/>
  <c r="AG310" i="34"/>
  <c r="Z311" i="34"/>
  <c r="AA311" i="34"/>
  <c r="AF311" i="34"/>
  <c r="AG311" i="34"/>
  <c r="Z312" i="34"/>
  <c r="AA312" i="34"/>
  <c r="AF312" i="34"/>
  <c r="AG312" i="34"/>
  <c r="Z313" i="34"/>
  <c r="AA313" i="34"/>
  <c r="AF313" i="34"/>
  <c r="AG313" i="34"/>
  <c r="Z314" i="34"/>
  <c r="AA314" i="34"/>
  <c r="AF314" i="34"/>
  <c r="AG314" i="34"/>
  <c r="Z315" i="34"/>
  <c r="AA315" i="34"/>
  <c r="AF315" i="34"/>
  <c r="AG315" i="34"/>
  <c r="Z316" i="34"/>
  <c r="AA316" i="34"/>
  <c r="AF316" i="34"/>
  <c r="AG316" i="34"/>
  <c r="Z317" i="34"/>
  <c r="AA317" i="34"/>
  <c r="AF317" i="34"/>
  <c r="AG317" i="34"/>
  <c r="Z318" i="34"/>
  <c r="AA318" i="34"/>
  <c r="AF318" i="34"/>
  <c r="AG318" i="34"/>
  <c r="Z319" i="34"/>
  <c r="AA319" i="34"/>
  <c r="AF319" i="34"/>
  <c r="AG319" i="34"/>
  <c r="Z320" i="34"/>
  <c r="AA320" i="34"/>
  <c r="AF320" i="34"/>
  <c r="AG320" i="34"/>
  <c r="Z321" i="34"/>
  <c r="AA321" i="34"/>
  <c r="AF321" i="34"/>
  <c r="AG321" i="34"/>
  <c r="Z322" i="34"/>
  <c r="AA322" i="34"/>
  <c r="AF322" i="34"/>
  <c r="AG322" i="34"/>
  <c r="Z323" i="34"/>
  <c r="AA323" i="34"/>
  <c r="AF323" i="34"/>
  <c r="AG323" i="34"/>
  <c r="Z324" i="34"/>
  <c r="AA324" i="34"/>
  <c r="AF324" i="34"/>
  <c r="AG324" i="34"/>
  <c r="Z325" i="34"/>
  <c r="AA325" i="34"/>
  <c r="AF325" i="34"/>
  <c r="AG325" i="34"/>
  <c r="Z326" i="34"/>
  <c r="AA326" i="34"/>
  <c r="AF326" i="34"/>
  <c r="AG326" i="34"/>
  <c r="Z327" i="34"/>
  <c r="AA327" i="34"/>
  <c r="AF327" i="34"/>
  <c r="AG327" i="34"/>
  <c r="Z328" i="34"/>
  <c r="AA328" i="34"/>
  <c r="AF328" i="34"/>
  <c r="AG328" i="34"/>
  <c r="Z329" i="34"/>
  <c r="AA329" i="34"/>
  <c r="AF329" i="34"/>
  <c r="AG329" i="34"/>
  <c r="Z330" i="34"/>
  <c r="AA330" i="34"/>
  <c r="AF330" i="34"/>
  <c r="AG330" i="34"/>
  <c r="Z331" i="34"/>
  <c r="AA331" i="34"/>
  <c r="AF331" i="34"/>
  <c r="AG331" i="34"/>
  <c r="Z332" i="34"/>
  <c r="AA332" i="34"/>
  <c r="AF332" i="34"/>
  <c r="AG332" i="34"/>
  <c r="Z333" i="34"/>
  <c r="AA333" i="34"/>
  <c r="AF333" i="34"/>
  <c r="AG333" i="34"/>
  <c r="Z334" i="34"/>
  <c r="AA334" i="34"/>
  <c r="AF334" i="34"/>
  <c r="AG334" i="34"/>
  <c r="Z335" i="34"/>
  <c r="AA335" i="34"/>
  <c r="AF335" i="34"/>
  <c r="AG335" i="34"/>
  <c r="Z336" i="34"/>
  <c r="AA336" i="34"/>
  <c r="AF336" i="34"/>
  <c r="AG336" i="34"/>
  <c r="Z337" i="34"/>
  <c r="AA337" i="34"/>
  <c r="AF337" i="34"/>
  <c r="AG337" i="34"/>
  <c r="Z338" i="34"/>
  <c r="AA338" i="34"/>
  <c r="AF338" i="34"/>
  <c r="AG338" i="34"/>
  <c r="Z339" i="34"/>
  <c r="AA339" i="34"/>
  <c r="AF339" i="34"/>
  <c r="AG339" i="34"/>
  <c r="Z340" i="34"/>
  <c r="AA340" i="34"/>
  <c r="AF340" i="34"/>
  <c r="AG340" i="34"/>
  <c r="Z341" i="34"/>
  <c r="AA341" i="34"/>
  <c r="AF341" i="34"/>
  <c r="AG341" i="34"/>
  <c r="Z342" i="34"/>
  <c r="AA342" i="34"/>
  <c r="AF342" i="34"/>
  <c r="AG342" i="34"/>
  <c r="Z343" i="34"/>
  <c r="AA343" i="34"/>
  <c r="AF343" i="34"/>
  <c r="AG343" i="34"/>
  <c r="Z344" i="34"/>
  <c r="AA344" i="34"/>
  <c r="AF344" i="34"/>
  <c r="AG344" i="34"/>
  <c r="Z345" i="34"/>
  <c r="AA345" i="34"/>
  <c r="AF345" i="34"/>
  <c r="AG345" i="34"/>
  <c r="Z346" i="34"/>
  <c r="AA346" i="34"/>
  <c r="AF346" i="34"/>
  <c r="AG346" i="34"/>
  <c r="Z347" i="34"/>
  <c r="AA347" i="34"/>
  <c r="AF347" i="34"/>
  <c r="AG347" i="34"/>
  <c r="Z348" i="34"/>
  <c r="AA348" i="34"/>
  <c r="AF348" i="34"/>
  <c r="AG348" i="34"/>
  <c r="Z349" i="34"/>
  <c r="AA349" i="34"/>
  <c r="AF349" i="34"/>
  <c r="AG349" i="34"/>
  <c r="Z350" i="34"/>
  <c r="AA350" i="34"/>
  <c r="AF350" i="34"/>
  <c r="AG350" i="34"/>
  <c r="Z351" i="34"/>
  <c r="AA351" i="34"/>
  <c r="AF351" i="34"/>
  <c r="AG351" i="34"/>
  <c r="Z352" i="34"/>
  <c r="AA352" i="34"/>
  <c r="AF352" i="34"/>
  <c r="AG352" i="34"/>
  <c r="Z353" i="34"/>
  <c r="AA353" i="34"/>
  <c r="AF353" i="34"/>
  <c r="AG353" i="34"/>
  <c r="Z354" i="34"/>
  <c r="AA354" i="34"/>
  <c r="AF354" i="34"/>
  <c r="AG354" i="34"/>
  <c r="Z355" i="34"/>
  <c r="AA355" i="34"/>
  <c r="AF355" i="34"/>
  <c r="AG355" i="34"/>
  <c r="Z356" i="34"/>
  <c r="AA356" i="34"/>
  <c r="AF356" i="34"/>
  <c r="AG356" i="34"/>
  <c r="Z357" i="34"/>
  <c r="AA357" i="34"/>
  <c r="AF357" i="34"/>
  <c r="AG357" i="34"/>
  <c r="Z358" i="34"/>
  <c r="AA358" i="34"/>
  <c r="AF358" i="34"/>
  <c r="AG358" i="34"/>
  <c r="Z359" i="34"/>
  <c r="AA359" i="34"/>
  <c r="AF359" i="34"/>
  <c r="AG359" i="34"/>
  <c r="Z360" i="34"/>
  <c r="AA360" i="34"/>
  <c r="AF360" i="34"/>
  <c r="AG360" i="34"/>
  <c r="Z361" i="34"/>
  <c r="AA361" i="34"/>
  <c r="AF361" i="34"/>
  <c r="AG361" i="34"/>
  <c r="Z362" i="34"/>
  <c r="AA362" i="34"/>
  <c r="AF362" i="34"/>
  <c r="AG362" i="34"/>
  <c r="Z363" i="34"/>
  <c r="AA363" i="34"/>
  <c r="AF363" i="34"/>
  <c r="AG363" i="34"/>
  <c r="Z364" i="34"/>
  <c r="AA364" i="34"/>
  <c r="AF364" i="34"/>
  <c r="AG364" i="34"/>
  <c r="Z365" i="34"/>
  <c r="AA365" i="34"/>
  <c r="AF365" i="34"/>
  <c r="AG365" i="34"/>
  <c r="Z366" i="34"/>
  <c r="AA366" i="34"/>
  <c r="AF366" i="34"/>
  <c r="AG366" i="34"/>
  <c r="Z367" i="34"/>
  <c r="AA367" i="34"/>
  <c r="AF367" i="34"/>
  <c r="AG367" i="34"/>
  <c r="Z368" i="34"/>
  <c r="AA368" i="34"/>
  <c r="AF368" i="34"/>
  <c r="AG368" i="34"/>
  <c r="Z369" i="34"/>
  <c r="AA369" i="34"/>
  <c r="AF369" i="34"/>
  <c r="AG369" i="34"/>
  <c r="Z370" i="34"/>
  <c r="AA370" i="34"/>
  <c r="AF370" i="34"/>
  <c r="AG370" i="34"/>
  <c r="Z371" i="34"/>
  <c r="AA371" i="34"/>
  <c r="AF371" i="34"/>
  <c r="AG371" i="34"/>
  <c r="Z372" i="34"/>
  <c r="AA372" i="34"/>
  <c r="AF372" i="34"/>
  <c r="AG372" i="34"/>
  <c r="Z373" i="34"/>
  <c r="AA373" i="34"/>
  <c r="AF373" i="34"/>
  <c r="AG373" i="34"/>
  <c r="Z374" i="34"/>
  <c r="AA374" i="34"/>
  <c r="AF374" i="34"/>
  <c r="AG374" i="34"/>
  <c r="Z375" i="34"/>
  <c r="AA375" i="34"/>
  <c r="AF375" i="34"/>
  <c r="AG375" i="34"/>
  <c r="Z376" i="34"/>
  <c r="AA376" i="34"/>
  <c r="AF376" i="34"/>
  <c r="AG376" i="34"/>
  <c r="Z377" i="34"/>
  <c r="AA377" i="34"/>
  <c r="AF377" i="34"/>
  <c r="AG377" i="34"/>
  <c r="Z378" i="34"/>
  <c r="AA378" i="34"/>
  <c r="AF378" i="34"/>
  <c r="AG378" i="34"/>
  <c r="Z379" i="34"/>
  <c r="AA379" i="34"/>
  <c r="AF379" i="34"/>
  <c r="AG379" i="34"/>
  <c r="Z380" i="34"/>
  <c r="AA380" i="34"/>
  <c r="AF380" i="34"/>
  <c r="AG380" i="34"/>
  <c r="Z381" i="34"/>
  <c r="AA381" i="34"/>
  <c r="AF381" i="34"/>
  <c r="AG381" i="34"/>
  <c r="Z382" i="34"/>
  <c r="AA382" i="34"/>
  <c r="AF382" i="34"/>
  <c r="AG382" i="34"/>
  <c r="Z383" i="34"/>
  <c r="AA383" i="34"/>
  <c r="AF383" i="34"/>
  <c r="AG383" i="34"/>
  <c r="Z384" i="34"/>
  <c r="AA384" i="34"/>
  <c r="AF384" i="34"/>
  <c r="AG384" i="34"/>
  <c r="Z385" i="34"/>
  <c r="AA385" i="34"/>
  <c r="AF385" i="34"/>
  <c r="AG385" i="34"/>
  <c r="Z386" i="34"/>
  <c r="AA386" i="34"/>
  <c r="AF386" i="34"/>
  <c r="AG386" i="34"/>
  <c r="Z387" i="34"/>
  <c r="AA387" i="34"/>
  <c r="AF387" i="34"/>
  <c r="AG387" i="34"/>
  <c r="Z388" i="34"/>
  <c r="AA388" i="34"/>
  <c r="AF388" i="34"/>
  <c r="AG388" i="34"/>
  <c r="Z389" i="34"/>
  <c r="AA389" i="34"/>
  <c r="AF389" i="34"/>
  <c r="AG389" i="34"/>
  <c r="Z390" i="34"/>
  <c r="AA390" i="34"/>
  <c r="AF390" i="34"/>
  <c r="AG390" i="34"/>
  <c r="Z391" i="34"/>
  <c r="AA391" i="34"/>
  <c r="AF391" i="34"/>
  <c r="AG391" i="34"/>
  <c r="Z392" i="34"/>
  <c r="AA392" i="34"/>
  <c r="AF392" i="34"/>
  <c r="AG392" i="34"/>
  <c r="Z393" i="34"/>
  <c r="AA393" i="34"/>
  <c r="AF393" i="34"/>
  <c r="AG393" i="34"/>
  <c r="Z394" i="34"/>
  <c r="AA394" i="34"/>
  <c r="AF394" i="34"/>
  <c r="AG394" i="34"/>
  <c r="Z395" i="34"/>
  <c r="AA395" i="34"/>
  <c r="AF395" i="34"/>
  <c r="AG395" i="34"/>
  <c r="Z396" i="34"/>
  <c r="AA396" i="34"/>
  <c r="AF396" i="34"/>
  <c r="AG396" i="34"/>
  <c r="Z397" i="34"/>
  <c r="AA397" i="34"/>
  <c r="AF397" i="34"/>
  <c r="AG397" i="34"/>
  <c r="Z398" i="34"/>
  <c r="AA398" i="34"/>
  <c r="AF398" i="34"/>
  <c r="AG398" i="34"/>
  <c r="Z399" i="34"/>
  <c r="AA399" i="34"/>
  <c r="AF399" i="34"/>
  <c r="AG399" i="34"/>
  <c r="Z400" i="34"/>
  <c r="AA400" i="34"/>
  <c r="AF400" i="34"/>
  <c r="AG400" i="34"/>
  <c r="Z401" i="34"/>
  <c r="AA401" i="34"/>
  <c r="AF401" i="34"/>
  <c r="AG401" i="34"/>
  <c r="Z402" i="34"/>
  <c r="AA402" i="34"/>
  <c r="AF402" i="34"/>
  <c r="AG402" i="34"/>
  <c r="Z403" i="34"/>
  <c r="AA403" i="34"/>
  <c r="AF403" i="34"/>
  <c r="AG403" i="34"/>
  <c r="Z404" i="34"/>
  <c r="AA404" i="34"/>
  <c r="AF404" i="34"/>
  <c r="AG404" i="34"/>
  <c r="Z405" i="34"/>
  <c r="AA405" i="34"/>
  <c r="AF405" i="34"/>
  <c r="AG405" i="34"/>
  <c r="Z406" i="34"/>
  <c r="AA406" i="34"/>
  <c r="AF406" i="34"/>
  <c r="AG406" i="34"/>
  <c r="Z407" i="34"/>
  <c r="AA407" i="34"/>
  <c r="AF407" i="34"/>
  <c r="AG407" i="34"/>
  <c r="Z408" i="34"/>
  <c r="AA408" i="34"/>
  <c r="AF408" i="34"/>
  <c r="AG408" i="34"/>
  <c r="Z409" i="34"/>
  <c r="AA409" i="34"/>
  <c r="AF409" i="34"/>
  <c r="AG409" i="34"/>
  <c r="Z410" i="34"/>
  <c r="AA410" i="34"/>
  <c r="AF410" i="34"/>
  <c r="AG410" i="34"/>
  <c r="Z411" i="34"/>
  <c r="AA411" i="34"/>
  <c r="AF411" i="34"/>
  <c r="AG411" i="34"/>
  <c r="Z412" i="34"/>
  <c r="AA412" i="34"/>
  <c r="AF412" i="34"/>
  <c r="AG412" i="34"/>
  <c r="Z413" i="34"/>
  <c r="AA413" i="34"/>
  <c r="AF413" i="34"/>
  <c r="AG413" i="34"/>
  <c r="Z414" i="34"/>
  <c r="AA414" i="34"/>
  <c r="AF414" i="34"/>
  <c r="AG414" i="34"/>
  <c r="Z415" i="34"/>
  <c r="AA415" i="34"/>
  <c r="AF415" i="34"/>
  <c r="AG415" i="34"/>
  <c r="Z416" i="34"/>
  <c r="AA416" i="34"/>
  <c r="AF416" i="34"/>
  <c r="AG416" i="34"/>
  <c r="Z417" i="34"/>
  <c r="AA417" i="34"/>
  <c r="AF417" i="34"/>
  <c r="AG417" i="34"/>
  <c r="Z418" i="34"/>
  <c r="AA418" i="34"/>
  <c r="AF418" i="34"/>
  <c r="AG418" i="34"/>
  <c r="Z419" i="34"/>
  <c r="AA419" i="34"/>
  <c r="AF419" i="34"/>
  <c r="AG419" i="34"/>
  <c r="Z420" i="34"/>
  <c r="AA420" i="34"/>
  <c r="AF420" i="34"/>
  <c r="AG420" i="34"/>
  <c r="Z421" i="34"/>
  <c r="AA421" i="34"/>
  <c r="AF421" i="34"/>
  <c r="AG421" i="34"/>
  <c r="Z422" i="34"/>
  <c r="AA422" i="34"/>
  <c r="AF422" i="34"/>
  <c r="AG422" i="34"/>
  <c r="Z423" i="34"/>
  <c r="AA423" i="34"/>
  <c r="AF423" i="34"/>
  <c r="AG423" i="34"/>
  <c r="Z424" i="34"/>
  <c r="AA424" i="34"/>
  <c r="AF424" i="34"/>
  <c r="AG424" i="34"/>
  <c r="Z425" i="34"/>
  <c r="AA425" i="34"/>
  <c r="AF425" i="34"/>
  <c r="AG425" i="34"/>
  <c r="Z426" i="34"/>
  <c r="AA426" i="34"/>
  <c r="AF426" i="34"/>
  <c r="AG426" i="34"/>
  <c r="Z427" i="34"/>
  <c r="AA427" i="34"/>
  <c r="AF427" i="34"/>
  <c r="AG427" i="34"/>
  <c r="Z428" i="34"/>
  <c r="AA428" i="34"/>
  <c r="AF428" i="34"/>
  <c r="AG428" i="34"/>
  <c r="Z429" i="34"/>
  <c r="AA429" i="34"/>
  <c r="AF429" i="34"/>
  <c r="AG429" i="34"/>
  <c r="Z430" i="34"/>
  <c r="AA430" i="34"/>
  <c r="AF430" i="34"/>
  <c r="AG430" i="34"/>
  <c r="Z431" i="34"/>
  <c r="AA431" i="34"/>
  <c r="AF431" i="34"/>
  <c r="AG431" i="34"/>
  <c r="Z432" i="34"/>
  <c r="AA432" i="34"/>
  <c r="AF432" i="34"/>
  <c r="AG432" i="34"/>
  <c r="Z433" i="34"/>
  <c r="AA433" i="34"/>
  <c r="AF433" i="34"/>
  <c r="AG433" i="34"/>
  <c r="Z434" i="34"/>
  <c r="AA434" i="34"/>
  <c r="AF434" i="34"/>
  <c r="AG434" i="34"/>
  <c r="Z435" i="34"/>
  <c r="AA435" i="34"/>
  <c r="AF435" i="34"/>
  <c r="AG435" i="34"/>
  <c r="Z436" i="34"/>
  <c r="AA436" i="34"/>
  <c r="AF436" i="34"/>
  <c r="AG436" i="34"/>
  <c r="Z437" i="34"/>
  <c r="AA437" i="34"/>
  <c r="AF437" i="34"/>
  <c r="AG437" i="34"/>
  <c r="Z438" i="34"/>
  <c r="AA438" i="34"/>
  <c r="AF438" i="34"/>
  <c r="AG438" i="34"/>
  <c r="Z439" i="34"/>
  <c r="AA439" i="34"/>
  <c r="AF439" i="34"/>
  <c r="AG439" i="34"/>
  <c r="Z440" i="34"/>
  <c r="AA440" i="34"/>
  <c r="AF440" i="34"/>
  <c r="AG440" i="34"/>
  <c r="Z441" i="34"/>
  <c r="AA441" i="34"/>
  <c r="AF441" i="34"/>
  <c r="AG441" i="34"/>
  <c r="Z442" i="34"/>
  <c r="AA442" i="34"/>
  <c r="AF442" i="34"/>
  <c r="AG442" i="34"/>
  <c r="Z443" i="34"/>
  <c r="AA443" i="34"/>
  <c r="AF443" i="34"/>
  <c r="AG443" i="34"/>
  <c r="Z444" i="34"/>
  <c r="AA444" i="34"/>
  <c r="AF444" i="34"/>
  <c r="AG444" i="34"/>
  <c r="Z445" i="34"/>
  <c r="AA445" i="34"/>
  <c r="AF445" i="34"/>
  <c r="AG445" i="34"/>
  <c r="Z446" i="34"/>
  <c r="AA446" i="34"/>
  <c r="AF446" i="34"/>
  <c r="AG446" i="34"/>
  <c r="Z447" i="34"/>
  <c r="AA447" i="34"/>
  <c r="AF447" i="34"/>
  <c r="AG447" i="34"/>
  <c r="Z448" i="34"/>
  <c r="AA448" i="34"/>
  <c r="AF448" i="34"/>
  <c r="AG448" i="34"/>
  <c r="Z449" i="34"/>
  <c r="AA449" i="34"/>
  <c r="AF449" i="34"/>
  <c r="AG449" i="34"/>
  <c r="Z450" i="34"/>
  <c r="AA450" i="34"/>
  <c r="AF450" i="34"/>
  <c r="AG450" i="34"/>
  <c r="Z451" i="34"/>
  <c r="AA451" i="34"/>
  <c r="AF451" i="34"/>
  <c r="AG451" i="34"/>
  <c r="Z452" i="34"/>
  <c r="AA452" i="34"/>
  <c r="AF452" i="34"/>
  <c r="AG452" i="34"/>
  <c r="Z453" i="34"/>
  <c r="AA453" i="34"/>
  <c r="AF453" i="34"/>
  <c r="AG453" i="34"/>
  <c r="Z454" i="34"/>
  <c r="AA454" i="34"/>
  <c r="AF454" i="34"/>
  <c r="AG454" i="34"/>
  <c r="Z455" i="34"/>
  <c r="AA455" i="34"/>
  <c r="AF455" i="34"/>
  <c r="AG455" i="34"/>
  <c r="Z456" i="34"/>
  <c r="AA456" i="34"/>
  <c r="AF456" i="34"/>
  <c r="AG456" i="34"/>
  <c r="Z457" i="34"/>
  <c r="AA457" i="34"/>
  <c r="AF457" i="34"/>
  <c r="AG457" i="34"/>
  <c r="Z458" i="34"/>
  <c r="AA458" i="34"/>
  <c r="AF458" i="34"/>
  <c r="AG458" i="34"/>
  <c r="Z459" i="34"/>
  <c r="AA459" i="34"/>
  <c r="AF459" i="34"/>
  <c r="AG459" i="34"/>
  <c r="Z460" i="34"/>
  <c r="AA460" i="34"/>
  <c r="AF460" i="34"/>
  <c r="AG460" i="34"/>
  <c r="Z461" i="34"/>
  <c r="AA461" i="34"/>
  <c r="AF461" i="34"/>
  <c r="AG461" i="34"/>
  <c r="Z462" i="34"/>
  <c r="AA462" i="34"/>
  <c r="AF462" i="34"/>
  <c r="AG462" i="34"/>
  <c r="Z463" i="34"/>
  <c r="AA463" i="34"/>
  <c r="AF463" i="34"/>
  <c r="AG463" i="34"/>
  <c r="Z464" i="34"/>
  <c r="AA464" i="34"/>
  <c r="AF464" i="34"/>
  <c r="AG464" i="34"/>
  <c r="Z465" i="34"/>
  <c r="AA465" i="34"/>
  <c r="AF465" i="34"/>
  <c r="AG465" i="34"/>
  <c r="Z466" i="34"/>
  <c r="AA466" i="34"/>
  <c r="AF466" i="34"/>
  <c r="AG466" i="34"/>
  <c r="Z467" i="34"/>
  <c r="AA467" i="34"/>
  <c r="AF467" i="34"/>
  <c r="AG467" i="34"/>
  <c r="Z468" i="34"/>
  <c r="AA468" i="34"/>
  <c r="AF468" i="34"/>
  <c r="AG468" i="34"/>
  <c r="Z469" i="34"/>
  <c r="AA469" i="34"/>
  <c r="AF469" i="34"/>
  <c r="AG469" i="34"/>
  <c r="Z470" i="34"/>
  <c r="AA470" i="34"/>
  <c r="AF470" i="34"/>
  <c r="AG470" i="34"/>
  <c r="Z471" i="34"/>
  <c r="AA471" i="34"/>
  <c r="AF471" i="34"/>
  <c r="AG471" i="34"/>
  <c r="Z472" i="34"/>
  <c r="AA472" i="34"/>
  <c r="AF472" i="34"/>
  <c r="AG472" i="34"/>
  <c r="Z473" i="34"/>
  <c r="AA473" i="34"/>
  <c r="AF473" i="34"/>
  <c r="AG473" i="34"/>
  <c r="Z474" i="34"/>
  <c r="AA474" i="34"/>
  <c r="AF474" i="34"/>
  <c r="AG474" i="34"/>
  <c r="Z475" i="34"/>
  <c r="AA475" i="34"/>
  <c r="AF475" i="34"/>
  <c r="AG475" i="34"/>
  <c r="Z476" i="34"/>
  <c r="AA476" i="34"/>
  <c r="AF476" i="34"/>
  <c r="AG476" i="34"/>
  <c r="Z477" i="34"/>
  <c r="AA477" i="34"/>
  <c r="AF477" i="34"/>
  <c r="AG477" i="34"/>
  <c r="Z478" i="34"/>
  <c r="AA478" i="34"/>
  <c r="AF478" i="34"/>
  <c r="AG478" i="34"/>
  <c r="Z479" i="34"/>
  <c r="AA479" i="34"/>
  <c r="AF479" i="34"/>
  <c r="AG479" i="34"/>
  <c r="Z480" i="34"/>
  <c r="AA480" i="34"/>
  <c r="AF480" i="34"/>
  <c r="AG480" i="34"/>
  <c r="Z481" i="34"/>
  <c r="AA481" i="34"/>
  <c r="AF481" i="34"/>
  <c r="AG481" i="34"/>
  <c r="Z482" i="34"/>
  <c r="AA482" i="34"/>
  <c r="AF482" i="34"/>
  <c r="AG482" i="34"/>
  <c r="Z483" i="34"/>
  <c r="AA483" i="34"/>
  <c r="AF483" i="34"/>
  <c r="AG483" i="34"/>
  <c r="Z484" i="34"/>
  <c r="AA484" i="34"/>
  <c r="AF484" i="34"/>
  <c r="AG484" i="34"/>
  <c r="Z485" i="34"/>
  <c r="AA485" i="34"/>
  <c r="AF485" i="34"/>
  <c r="AG485" i="34"/>
  <c r="Z486" i="34"/>
  <c r="AA486" i="34"/>
  <c r="AF486" i="34"/>
  <c r="AG486" i="34"/>
  <c r="Z487" i="34"/>
  <c r="AA487" i="34"/>
  <c r="AF487" i="34"/>
  <c r="AG487" i="34"/>
  <c r="Z488" i="34"/>
  <c r="AA488" i="34"/>
  <c r="AF488" i="34"/>
  <c r="AG488" i="34"/>
  <c r="Z489" i="34"/>
  <c r="AA489" i="34"/>
  <c r="AF489" i="34"/>
  <c r="AG489" i="34"/>
  <c r="Z490" i="34"/>
  <c r="AA490" i="34"/>
  <c r="AF490" i="34"/>
  <c r="AG490" i="34"/>
  <c r="Z491" i="34"/>
  <c r="AA491" i="34"/>
  <c r="AF491" i="34"/>
  <c r="AG491" i="34"/>
  <c r="Z492" i="34"/>
  <c r="AA492" i="34"/>
  <c r="AF492" i="34"/>
  <c r="AG492" i="34"/>
  <c r="Z493" i="34"/>
  <c r="AA493" i="34"/>
  <c r="AF493" i="34"/>
  <c r="AG493" i="34"/>
  <c r="Z494" i="34"/>
  <c r="AA494" i="34"/>
  <c r="AF494" i="34"/>
  <c r="AG494" i="34"/>
  <c r="Z495" i="34"/>
  <c r="AA495" i="34"/>
  <c r="AF495" i="34"/>
  <c r="AG495" i="34"/>
  <c r="Z496" i="34"/>
  <c r="AA496" i="34"/>
  <c r="AF496" i="34"/>
  <c r="AG496" i="34"/>
  <c r="Z497" i="34"/>
  <c r="AA497" i="34"/>
  <c r="AF497" i="34"/>
  <c r="AG497" i="34"/>
  <c r="Z498" i="34"/>
  <c r="AA498" i="34"/>
  <c r="AF498" i="34"/>
  <c r="AG498" i="34"/>
  <c r="Z499" i="34"/>
  <c r="AA499" i="34"/>
  <c r="AF499" i="34"/>
  <c r="AG499" i="34"/>
  <c r="Z500" i="34"/>
  <c r="AA500" i="34"/>
  <c r="AF500" i="34"/>
  <c r="AG500" i="34"/>
  <c r="Z501" i="34"/>
  <c r="AA501" i="34"/>
  <c r="AF501" i="34"/>
  <c r="AG501" i="34"/>
  <c r="Z502" i="34"/>
  <c r="AA502" i="34"/>
  <c r="AF502" i="34"/>
  <c r="AG502" i="34"/>
  <c r="Z503" i="34"/>
  <c r="AA503" i="34"/>
  <c r="AF503" i="34"/>
  <c r="AG503" i="34"/>
  <c r="Z504" i="34"/>
  <c r="AA504" i="34"/>
  <c r="AF504" i="34"/>
  <c r="AG504" i="34"/>
  <c r="Z505" i="34"/>
  <c r="AA505" i="34"/>
  <c r="AF505" i="34"/>
  <c r="AG505" i="34"/>
  <c r="Z506" i="34"/>
  <c r="AA506" i="34"/>
  <c r="AF506" i="34"/>
  <c r="AG506" i="34"/>
  <c r="Z507" i="34"/>
  <c r="AA507" i="34"/>
  <c r="AF507" i="34"/>
  <c r="AG507" i="34"/>
  <c r="Z508" i="34"/>
  <c r="AA508" i="34"/>
  <c r="AF508" i="34"/>
  <c r="AG508" i="34"/>
  <c r="Z509" i="34"/>
  <c r="AA509" i="34"/>
  <c r="AF509" i="34"/>
  <c r="AG509" i="34"/>
  <c r="Z510" i="34"/>
  <c r="AA510" i="34"/>
  <c r="AF510" i="34"/>
  <c r="AG510" i="34"/>
  <c r="Z511" i="34"/>
  <c r="AA511" i="34"/>
  <c r="AF511" i="34"/>
  <c r="AG511" i="34"/>
  <c r="Z512" i="34"/>
  <c r="AA512" i="34"/>
  <c r="AF512" i="34"/>
  <c r="AG512" i="34"/>
  <c r="Z513" i="34"/>
  <c r="AA513" i="34"/>
  <c r="AF513" i="34"/>
  <c r="AG513" i="34"/>
  <c r="Z514" i="34"/>
  <c r="AA514" i="34"/>
  <c r="AF514" i="34"/>
  <c r="AG514" i="34"/>
  <c r="Z515" i="34"/>
  <c r="AA515" i="34"/>
  <c r="AF515" i="34"/>
  <c r="AG515" i="34"/>
  <c r="Z516" i="34"/>
  <c r="AA516" i="34"/>
  <c r="AF516" i="34"/>
  <c r="AG516" i="34"/>
  <c r="Z517" i="34"/>
  <c r="AA517" i="34"/>
  <c r="AF517" i="34"/>
  <c r="AG517" i="34"/>
  <c r="Z518" i="34"/>
  <c r="AA518" i="34"/>
  <c r="AF518" i="34"/>
  <c r="AG518" i="34"/>
  <c r="Z519" i="34"/>
  <c r="AA519" i="34"/>
  <c r="AF519" i="34"/>
  <c r="AG519" i="34"/>
  <c r="Z520" i="34"/>
  <c r="AA520" i="34"/>
  <c r="AF520" i="34"/>
  <c r="AG520" i="34"/>
  <c r="Z521" i="34"/>
  <c r="AA521" i="34"/>
  <c r="AF521" i="34"/>
  <c r="AG521" i="34"/>
  <c r="Z522" i="34"/>
  <c r="AA522" i="34"/>
  <c r="AF522" i="34"/>
  <c r="AG522" i="34"/>
  <c r="Z523" i="34"/>
  <c r="AA523" i="34"/>
  <c r="AF523" i="34"/>
  <c r="AG523" i="34"/>
  <c r="Z524" i="34"/>
  <c r="AA524" i="34"/>
  <c r="AF524" i="34"/>
  <c r="AG524" i="34"/>
  <c r="Z525" i="34"/>
  <c r="AA525" i="34"/>
  <c r="AF525" i="34"/>
  <c r="AG525" i="34"/>
  <c r="Z526" i="34"/>
  <c r="AA526" i="34"/>
  <c r="AF526" i="34"/>
  <c r="AG526" i="34"/>
  <c r="Z527" i="34"/>
  <c r="AA527" i="34"/>
  <c r="AF527" i="34"/>
  <c r="AG527" i="34"/>
  <c r="Z528" i="34"/>
  <c r="AA528" i="34"/>
  <c r="AF528" i="34"/>
  <c r="AG528" i="34"/>
  <c r="Z529" i="34"/>
  <c r="AA529" i="34"/>
  <c r="AF529" i="34"/>
  <c r="AG529" i="34"/>
  <c r="Z530" i="34"/>
  <c r="AA530" i="34"/>
  <c r="AF530" i="34"/>
  <c r="AG530" i="34"/>
  <c r="Z531" i="34"/>
  <c r="AA531" i="34"/>
  <c r="AF531" i="34"/>
  <c r="AG531" i="34"/>
  <c r="Z532" i="34"/>
  <c r="AA532" i="34"/>
  <c r="AF532" i="34"/>
  <c r="AG532" i="34"/>
  <c r="Z533" i="34"/>
  <c r="AA533" i="34"/>
  <c r="AF533" i="34"/>
  <c r="AG533" i="34"/>
  <c r="Z534" i="34"/>
  <c r="AA534" i="34"/>
  <c r="AF534" i="34"/>
  <c r="AG534" i="34"/>
  <c r="Z535" i="34"/>
  <c r="AA535" i="34"/>
  <c r="AF535" i="34"/>
  <c r="AG535" i="34"/>
  <c r="Z536" i="34"/>
  <c r="AA536" i="34"/>
  <c r="AF536" i="34"/>
  <c r="AG536" i="34"/>
  <c r="Z537" i="34"/>
  <c r="AA537" i="34"/>
  <c r="AF537" i="34"/>
  <c r="AG537" i="34"/>
  <c r="Z538" i="34"/>
  <c r="AA538" i="34"/>
  <c r="AF538" i="34"/>
  <c r="AG538" i="34"/>
  <c r="Z539" i="34"/>
  <c r="AA539" i="34"/>
  <c r="AF539" i="34"/>
  <c r="AG539" i="34"/>
  <c r="Z540" i="34"/>
  <c r="AA540" i="34"/>
  <c r="AF540" i="34"/>
  <c r="AG540" i="34"/>
  <c r="Z541" i="34"/>
  <c r="AA541" i="34"/>
  <c r="AF541" i="34"/>
  <c r="AG541" i="34"/>
  <c r="Z542" i="34"/>
  <c r="AA542" i="34"/>
  <c r="AF542" i="34"/>
  <c r="AG542" i="34"/>
  <c r="Z543" i="34"/>
  <c r="AA543" i="34"/>
  <c r="AF543" i="34"/>
  <c r="AG543" i="34"/>
  <c r="Z544" i="34"/>
  <c r="AA544" i="34"/>
  <c r="AF544" i="34"/>
  <c r="AG544" i="34"/>
  <c r="Z545" i="34"/>
  <c r="AA545" i="34"/>
  <c r="AF545" i="34"/>
  <c r="AG545" i="34"/>
  <c r="Z546" i="34"/>
  <c r="AA546" i="34"/>
  <c r="AF546" i="34"/>
  <c r="AG546" i="34"/>
  <c r="Z547" i="34"/>
  <c r="AA547" i="34"/>
  <c r="AF547" i="34"/>
  <c r="AG547" i="34"/>
  <c r="Z548" i="34"/>
  <c r="AA548" i="34"/>
  <c r="AF548" i="34"/>
  <c r="AG548" i="34"/>
  <c r="Z549" i="34"/>
  <c r="AA549" i="34"/>
  <c r="AF549" i="34"/>
  <c r="AG549" i="34"/>
  <c r="Z550" i="34"/>
  <c r="AA550" i="34"/>
  <c r="AF550" i="34"/>
  <c r="AG550" i="34"/>
  <c r="Z551" i="34"/>
  <c r="AA551" i="34"/>
  <c r="AF551" i="34"/>
  <c r="AG551" i="34"/>
  <c r="Z552" i="34"/>
  <c r="AA552" i="34"/>
  <c r="AF552" i="34"/>
  <c r="AG552" i="34"/>
  <c r="Z553" i="34"/>
  <c r="AA553" i="34"/>
  <c r="AF553" i="34"/>
  <c r="AG553" i="34"/>
  <c r="Z554" i="34"/>
  <c r="AA554" i="34"/>
  <c r="AF554" i="34"/>
  <c r="AG554" i="34"/>
  <c r="Z555" i="34"/>
  <c r="AA555" i="34"/>
  <c r="AF555" i="34"/>
  <c r="AG555" i="34"/>
  <c r="Z556" i="34"/>
  <c r="AA556" i="34"/>
  <c r="AF556" i="34"/>
  <c r="AG556" i="34"/>
  <c r="Z557" i="34"/>
  <c r="AA557" i="34"/>
  <c r="AF557" i="34"/>
  <c r="AG557" i="34"/>
  <c r="Z558" i="34"/>
  <c r="AA558" i="34"/>
  <c r="AF558" i="34"/>
  <c r="AG558" i="34"/>
  <c r="Z559" i="34"/>
  <c r="AA559" i="34"/>
  <c r="AF559" i="34"/>
  <c r="AG559" i="34"/>
  <c r="Z560" i="34"/>
  <c r="AA560" i="34"/>
  <c r="AF560" i="34"/>
  <c r="AG560" i="34"/>
  <c r="Z561" i="34"/>
  <c r="AA561" i="34"/>
  <c r="AF561" i="34"/>
  <c r="AG561" i="34"/>
  <c r="Z562" i="34"/>
  <c r="AA562" i="34"/>
  <c r="AF562" i="34"/>
  <c r="AG562" i="34"/>
  <c r="Z563" i="34"/>
  <c r="AA563" i="34"/>
  <c r="AF563" i="34"/>
  <c r="AG563" i="34"/>
  <c r="Z564" i="34"/>
  <c r="AA564" i="34"/>
  <c r="AF564" i="34"/>
  <c r="AG564" i="34"/>
  <c r="Z565" i="34"/>
  <c r="AA565" i="34"/>
  <c r="AF565" i="34"/>
  <c r="AG565" i="34"/>
  <c r="Z566" i="34"/>
  <c r="AA566" i="34"/>
  <c r="AF566" i="34"/>
  <c r="AG566" i="34"/>
  <c r="Z567" i="34"/>
  <c r="AA567" i="34"/>
  <c r="AF567" i="34"/>
  <c r="AG567" i="34"/>
  <c r="Z568" i="34"/>
  <c r="AA568" i="34"/>
  <c r="AF568" i="34"/>
  <c r="AG568" i="34"/>
  <c r="Z569" i="34"/>
  <c r="AA569" i="34"/>
  <c r="AF569" i="34"/>
  <c r="AG569" i="34"/>
  <c r="Z570" i="34"/>
  <c r="AA570" i="34"/>
  <c r="AF570" i="34"/>
  <c r="AG570" i="34"/>
  <c r="Z571" i="34"/>
  <c r="AA571" i="34"/>
  <c r="AF571" i="34"/>
  <c r="AG571" i="34"/>
  <c r="Z572" i="34"/>
  <c r="AA572" i="34"/>
  <c r="AF572" i="34"/>
  <c r="AG572" i="34"/>
  <c r="Z573" i="34"/>
  <c r="AA573" i="34"/>
  <c r="AF573" i="34"/>
  <c r="AG573" i="34"/>
  <c r="Z574" i="34"/>
  <c r="AA574" i="34"/>
  <c r="AF574" i="34"/>
  <c r="AG574" i="34"/>
  <c r="Z575" i="34"/>
  <c r="AA575" i="34"/>
  <c r="AF575" i="34"/>
  <c r="AG575" i="34"/>
  <c r="Z576" i="34"/>
  <c r="AA576" i="34"/>
  <c r="AF576" i="34"/>
  <c r="AG576" i="34"/>
  <c r="Z577" i="34"/>
  <c r="AA577" i="34"/>
  <c r="AF577" i="34"/>
  <c r="AG577" i="34"/>
  <c r="Z578" i="34"/>
  <c r="AA578" i="34"/>
  <c r="AF578" i="34"/>
  <c r="AG578" i="34"/>
  <c r="Z579" i="34"/>
  <c r="AA579" i="34"/>
  <c r="AF579" i="34"/>
  <c r="AG579" i="34"/>
  <c r="Z580" i="34"/>
  <c r="AA580" i="34"/>
  <c r="AF580" i="34"/>
  <c r="AG580" i="34"/>
  <c r="Z581" i="34"/>
  <c r="AA581" i="34"/>
  <c r="AF581" i="34"/>
  <c r="AG581" i="34"/>
  <c r="Z582" i="34"/>
  <c r="AA582" i="34"/>
  <c r="AF582" i="34"/>
  <c r="AG582" i="34"/>
  <c r="Z583" i="34"/>
  <c r="AA583" i="34"/>
  <c r="AF583" i="34"/>
  <c r="AG583" i="34"/>
  <c r="Z584" i="34"/>
  <c r="AA584" i="34"/>
  <c r="AF584" i="34"/>
  <c r="AG584" i="34"/>
  <c r="Z585" i="34"/>
  <c r="AA585" i="34"/>
  <c r="AF585" i="34"/>
  <c r="AG585" i="34"/>
  <c r="Z586" i="34"/>
  <c r="AA586" i="34"/>
  <c r="AF586" i="34"/>
  <c r="AG586" i="34"/>
  <c r="Z587" i="34"/>
  <c r="AA587" i="34"/>
  <c r="AF587" i="34"/>
  <c r="AG587" i="34"/>
  <c r="Z588" i="34"/>
  <c r="AA588" i="34"/>
  <c r="AF588" i="34"/>
  <c r="AG588" i="34"/>
  <c r="Z589" i="34"/>
  <c r="AA589" i="34"/>
  <c r="AF589" i="34"/>
  <c r="AG589" i="34"/>
  <c r="Z590" i="34"/>
  <c r="AA590" i="34"/>
  <c r="AF590" i="34"/>
  <c r="AG590" i="34"/>
  <c r="Z591" i="34"/>
  <c r="AA591" i="34"/>
  <c r="AF591" i="34"/>
  <c r="AG591" i="34"/>
  <c r="Z592" i="34"/>
  <c r="AA592" i="34"/>
  <c r="AF592" i="34"/>
  <c r="AG592" i="34"/>
  <c r="Z593" i="34"/>
  <c r="AA593" i="34"/>
  <c r="AF593" i="34"/>
  <c r="AG593" i="34"/>
  <c r="Z594" i="34"/>
  <c r="AA594" i="34"/>
  <c r="AF594" i="34"/>
  <c r="AG594" i="34"/>
  <c r="Z595" i="34"/>
  <c r="AA595" i="34"/>
  <c r="AF595" i="34"/>
  <c r="AG595" i="34"/>
  <c r="Z596" i="34"/>
  <c r="AA596" i="34"/>
  <c r="AF596" i="34"/>
  <c r="AG596" i="34"/>
  <c r="Z597" i="34"/>
  <c r="AA597" i="34"/>
  <c r="AF597" i="34"/>
  <c r="AG597" i="34"/>
  <c r="Z598" i="34"/>
  <c r="AA598" i="34"/>
  <c r="AF598" i="34"/>
  <c r="AG598" i="34"/>
  <c r="Z599" i="34"/>
  <c r="AA599" i="34"/>
  <c r="AF599" i="34"/>
  <c r="AG599" i="34"/>
  <c r="Z600" i="34"/>
  <c r="AA600" i="34"/>
  <c r="AF600" i="34"/>
  <c r="AG600" i="34"/>
  <c r="Z601" i="34"/>
  <c r="AA601" i="34"/>
  <c r="AF601" i="34"/>
  <c r="AG601" i="34"/>
  <c r="Z602" i="34"/>
  <c r="AA602" i="34"/>
  <c r="AF602" i="34"/>
  <c r="AG602" i="34"/>
  <c r="Z603" i="34"/>
  <c r="AA603" i="34"/>
  <c r="AF603" i="34"/>
  <c r="AG603" i="34"/>
  <c r="Z604" i="34"/>
  <c r="AA604" i="34"/>
  <c r="AF604" i="34"/>
  <c r="AG604" i="34"/>
  <c r="D7" i="31"/>
  <c r="R7" i="31"/>
  <c r="S7" i="31"/>
  <c r="V7" i="31"/>
  <c r="W7" i="31"/>
  <c r="X7" i="31"/>
  <c r="D9" i="31"/>
  <c r="R9" i="31"/>
  <c r="S9" i="31"/>
  <c r="V9" i="31"/>
  <c r="W9" i="31"/>
  <c r="X9" i="31"/>
  <c r="D11" i="31"/>
  <c r="R11" i="31"/>
  <c r="S11" i="31"/>
  <c r="V11" i="31"/>
  <c r="W11" i="31"/>
  <c r="X11" i="31"/>
  <c r="D13" i="31"/>
  <c r="R13" i="31"/>
  <c r="S13" i="31"/>
  <c r="V13" i="31"/>
  <c r="W13" i="31"/>
  <c r="X13" i="31"/>
  <c r="D14" i="31"/>
  <c r="R14" i="31"/>
  <c r="S14" i="31"/>
  <c r="V14" i="31"/>
  <c r="W14" i="31"/>
  <c r="X14" i="31"/>
  <c r="D15" i="31"/>
  <c r="R15" i="31"/>
  <c r="S15" i="31"/>
  <c r="V15" i="31"/>
  <c r="W15" i="31"/>
  <c r="X15" i="31"/>
  <c r="Y2" i="17"/>
  <c r="Z2" i="17"/>
  <c r="AD2" i="17"/>
  <c r="AE2" i="17"/>
  <c r="AJ2" i="17"/>
  <c r="AL2" i="17"/>
  <c r="Y3" i="17"/>
  <c r="Z3" i="17"/>
  <c r="AD3" i="17"/>
  <c r="AE3" i="17"/>
  <c r="AJ3" i="17"/>
  <c r="AL3" i="17"/>
  <c r="Y4" i="17"/>
  <c r="Z4" i="17"/>
  <c r="AD4" i="17"/>
  <c r="AE4" i="17"/>
  <c r="Y5" i="17"/>
  <c r="Z5" i="17"/>
  <c r="AD5" i="17"/>
  <c r="AE5" i="17"/>
  <c r="AJ5" i="17"/>
  <c r="AL5" i="17"/>
  <c r="Z6" i="17"/>
  <c r="AE6" i="17"/>
  <c r="AJ6" i="17"/>
  <c r="AL6" i="17"/>
  <c r="Z7" i="17"/>
  <c r="AE7" i="17"/>
  <c r="AJ7" i="17"/>
  <c r="AL7" i="17"/>
  <c r="Z8" i="17"/>
  <c r="AE8" i="17"/>
  <c r="AJ8" i="17"/>
  <c r="AL8" i="17"/>
  <c r="Z9" i="17"/>
  <c r="AE9" i="17"/>
  <c r="Y10" i="17"/>
  <c r="Z10" i="17"/>
  <c r="AD10" i="17"/>
  <c r="AE10" i="17"/>
  <c r="Y11" i="17"/>
  <c r="Z11" i="17"/>
  <c r="AD11" i="17"/>
  <c r="AE11" i="17"/>
  <c r="Y12" i="17"/>
  <c r="Z12" i="17"/>
  <c r="AD12" i="17"/>
  <c r="AE12" i="17"/>
  <c r="Y13" i="17"/>
  <c r="Z13" i="17"/>
  <c r="AD13" i="17"/>
  <c r="AE13" i="17"/>
  <c r="Y14" i="17"/>
  <c r="Z14" i="17"/>
  <c r="AD14" i="17"/>
  <c r="AE14" i="17"/>
  <c r="Y15" i="17"/>
  <c r="Z15" i="17"/>
  <c r="AD15" i="17"/>
  <c r="AE15" i="17"/>
  <c r="Y16" i="17"/>
  <c r="Z16" i="17"/>
  <c r="AD16" i="17"/>
  <c r="AE16" i="17"/>
  <c r="Y17" i="17"/>
  <c r="Z17" i="17"/>
  <c r="AD17" i="17"/>
  <c r="AE17" i="17"/>
  <c r="Y18" i="17"/>
  <c r="Z18" i="17"/>
  <c r="AD18" i="17"/>
  <c r="AE18" i="17"/>
  <c r="Y19" i="17"/>
  <c r="Z19" i="17"/>
  <c r="AD19" i="17"/>
  <c r="AE19" i="17"/>
  <c r="Y20" i="17"/>
  <c r="Z20" i="17"/>
  <c r="AD20" i="17"/>
  <c r="AE20" i="17"/>
  <c r="Y21" i="17"/>
  <c r="Z21" i="17"/>
  <c r="AD21" i="17"/>
  <c r="AE21" i="17"/>
  <c r="Y22" i="17"/>
  <c r="Z22" i="17"/>
  <c r="AD22" i="17"/>
  <c r="AE22" i="17"/>
  <c r="Y23" i="17"/>
  <c r="Z23" i="17"/>
  <c r="AD23" i="17"/>
  <c r="AE23" i="17"/>
  <c r="Y24" i="17"/>
  <c r="Z24" i="17"/>
  <c r="AD24" i="17"/>
  <c r="AE24" i="17"/>
  <c r="Y25" i="17"/>
  <c r="Z25" i="17"/>
  <c r="AD25" i="17"/>
  <c r="AE25" i="17"/>
  <c r="Z26" i="17"/>
  <c r="AE26" i="17"/>
  <c r="Z27" i="17"/>
  <c r="AE27" i="17"/>
  <c r="Z28" i="17"/>
  <c r="AE28" i="17"/>
  <c r="Z29" i="17"/>
  <c r="AE29" i="17"/>
  <c r="Z30" i="17"/>
  <c r="AE30" i="17"/>
  <c r="Z31" i="17"/>
  <c r="AE31" i="17"/>
  <c r="Z32" i="17"/>
  <c r="AE32" i="17"/>
  <c r="Z33" i="17"/>
  <c r="AE33" i="17"/>
  <c r="Z34" i="17"/>
  <c r="AE34" i="17"/>
  <c r="Z35" i="17"/>
  <c r="AE35" i="17"/>
  <c r="Z36" i="17"/>
  <c r="AE36" i="17"/>
  <c r="Z37" i="17"/>
  <c r="AE37" i="17"/>
  <c r="Y38" i="17"/>
  <c r="Z38" i="17"/>
  <c r="AD38" i="17"/>
  <c r="AE38" i="17"/>
  <c r="Y39" i="17"/>
  <c r="Z39" i="17"/>
  <c r="AD39" i="17"/>
  <c r="AE39" i="17"/>
  <c r="Y40" i="17"/>
  <c r="Z40" i="17"/>
  <c r="AD40" i="17"/>
  <c r="AE40" i="17"/>
  <c r="Y41" i="17"/>
  <c r="Z41" i="17"/>
  <c r="AD41" i="17"/>
  <c r="AE41" i="17"/>
  <c r="Y42" i="17"/>
  <c r="Z42" i="17"/>
  <c r="AD42" i="17"/>
  <c r="AE42" i="17"/>
  <c r="Y43" i="17"/>
  <c r="Z43" i="17"/>
  <c r="AD43" i="17"/>
  <c r="AE43" i="17"/>
  <c r="Y44" i="17"/>
  <c r="Z44" i="17"/>
  <c r="AD44" i="17"/>
  <c r="AE44" i="17"/>
  <c r="Y45" i="17"/>
  <c r="Z45" i="17"/>
  <c r="AD45" i="17"/>
  <c r="AE45" i="17"/>
  <c r="Y46" i="17"/>
  <c r="Z46" i="17"/>
  <c r="AD46" i="17"/>
  <c r="AE46" i="17"/>
  <c r="Y47" i="17"/>
  <c r="Z47" i="17"/>
  <c r="AD47" i="17"/>
  <c r="AE47" i="17"/>
  <c r="Y48" i="17"/>
  <c r="Z48" i="17"/>
  <c r="AD48" i="17"/>
  <c r="AE48" i="17"/>
  <c r="Y49" i="17"/>
  <c r="Z49" i="17"/>
  <c r="AD49" i="17"/>
  <c r="AE49" i="17"/>
  <c r="Y50" i="17"/>
  <c r="AD50" i="17"/>
  <c r="Y51" i="17"/>
  <c r="AD51" i="17"/>
  <c r="Y52" i="17"/>
  <c r="AD52" i="17"/>
  <c r="Y53" i="17"/>
  <c r="AD53" i="17"/>
  <c r="Y54" i="17"/>
  <c r="AD54" i="17"/>
  <c r="Y55" i="17"/>
  <c r="AD55" i="17"/>
  <c r="Y56" i="17"/>
  <c r="AD56" i="17"/>
  <c r="Y57" i="17"/>
  <c r="AD57" i="17"/>
  <c r="Y58" i="17"/>
  <c r="AD58" i="17"/>
  <c r="Y59" i="17"/>
  <c r="AD59" i="17"/>
  <c r="Y60" i="17"/>
  <c r="AD60" i="17"/>
  <c r="Y61" i="17"/>
  <c r="AD61" i="17"/>
  <c r="Y62" i="17"/>
  <c r="AD62" i="17"/>
  <c r="Y63" i="17"/>
  <c r="AD63" i="17"/>
  <c r="Y64" i="17"/>
  <c r="AD64" i="17"/>
  <c r="Y65" i="17"/>
  <c r="AD65" i="17"/>
  <c r="Y66" i="17"/>
  <c r="AD66" i="17"/>
  <c r="Y67" i="17"/>
  <c r="AD67" i="17"/>
  <c r="Y68" i="17"/>
  <c r="AD68" i="17"/>
  <c r="Y69" i="17"/>
  <c r="AD69" i="17"/>
  <c r="Y70" i="17"/>
  <c r="AD70" i="17"/>
  <c r="Y71" i="17"/>
  <c r="AD71" i="17"/>
  <c r="Y72" i="17"/>
  <c r="AD72" i="17"/>
  <c r="Y73" i="17"/>
  <c r="AD73" i="17"/>
  <c r="Z74" i="17"/>
  <c r="AE74" i="17"/>
  <c r="Z75" i="17"/>
  <c r="AE75" i="17"/>
  <c r="Z76" i="17"/>
  <c r="AE76" i="17"/>
  <c r="Z77" i="17"/>
  <c r="AE77" i="17"/>
  <c r="Z78" i="17"/>
  <c r="AE78" i="17"/>
  <c r="Z79" i="17"/>
  <c r="AE79" i="17"/>
  <c r="Z80" i="17"/>
  <c r="AE80" i="17"/>
  <c r="Z81" i="17"/>
  <c r="AE81" i="17"/>
  <c r="Z82" i="17"/>
  <c r="AE82" i="17"/>
  <c r="Z83" i="17"/>
  <c r="AE83" i="17"/>
  <c r="Z84" i="17"/>
  <c r="AE84" i="17"/>
  <c r="Z85" i="17"/>
  <c r="AE85" i="17"/>
  <c r="Y86" i="17"/>
  <c r="AD86" i="17"/>
  <c r="Y87" i="17"/>
  <c r="AD87" i="17"/>
  <c r="Y88" i="17"/>
  <c r="AD88" i="17"/>
  <c r="Y89" i="17"/>
  <c r="AD89" i="17"/>
  <c r="Y90" i="17"/>
  <c r="AD90" i="17"/>
  <c r="Y91" i="17"/>
  <c r="AD91" i="17"/>
  <c r="Y92" i="17"/>
  <c r="AD92" i="17"/>
  <c r="Y93" i="17"/>
  <c r="AD93" i="17"/>
  <c r="Y94" i="17"/>
  <c r="AD94" i="17"/>
  <c r="Y95" i="17"/>
  <c r="AD95" i="17"/>
  <c r="Y96" i="17"/>
  <c r="AD96" i="17"/>
  <c r="Y97" i="17"/>
  <c r="AD97" i="17"/>
  <c r="Z98" i="17"/>
  <c r="AE98" i="17"/>
  <c r="Z99" i="17"/>
  <c r="AE99" i="17"/>
  <c r="Z100" i="17"/>
  <c r="AE100" i="17"/>
  <c r="Z101" i="17"/>
  <c r="AE101" i="17"/>
  <c r="Z102" i="17"/>
  <c r="AE102" i="17"/>
  <c r="Z103" i="17"/>
  <c r="AE103" i="17"/>
  <c r="Z104" i="17"/>
  <c r="AE104" i="17"/>
  <c r="Z105" i="17"/>
  <c r="AE105" i="17"/>
  <c r="Z106" i="17"/>
  <c r="AE106" i="17"/>
  <c r="Z107" i="17"/>
  <c r="AE107" i="17"/>
  <c r="Z108" i="17"/>
  <c r="AE108" i="17"/>
  <c r="Z109" i="17"/>
  <c r="AE109" i="17"/>
  <c r="Z110" i="17"/>
  <c r="AE110" i="17"/>
  <c r="Z111" i="17"/>
  <c r="AE111" i="17"/>
  <c r="Z112" i="17"/>
  <c r="AE112" i="17"/>
  <c r="Z113" i="17"/>
  <c r="AE113" i="17"/>
  <c r="Z114" i="17"/>
  <c r="AE114" i="17"/>
  <c r="Z115" i="17"/>
  <c r="AE115" i="17"/>
  <c r="Z116" i="17"/>
  <c r="AE116" i="17"/>
  <c r="Z117" i="17"/>
  <c r="AE117" i="17"/>
  <c r="Z118" i="17"/>
  <c r="AE118" i="17"/>
  <c r="Z119" i="17"/>
  <c r="AE119" i="17"/>
  <c r="Z120" i="17"/>
  <c r="AE120" i="17"/>
  <c r="Z121" i="17"/>
  <c r="AE121" i="17"/>
  <c r="Z122" i="17"/>
  <c r="AE122" i="17"/>
  <c r="Z123" i="17"/>
  <c r="AE123" i="17"/>
  <c r="Z124" i="17"/>
  <c r="AE124" i="17"/>
  <c r="Z125" i="17"/>
  <c r="AE125" i="17"/>
  <c r="Z126" i="17"/>
  <c r="AE126" i="17"/>
  <c r="Z127" i="17"/>
  <c r="AE127" i="17"/>
  <c r="Z128" i="17"/>
  <c r="AE128" i="17"/>
  <c r="Z129" i="17"/>
  <c r="AE129" i="17"/>
  <c r="Z130" i="17"/>
  <c r="AE130" i="17"/>
  <c r="Z131" i="17"/>
  <c r="AE131" i="17"/>
  <c r="Z132" i="17"/>
  <c r="AE132" i="17"/>
  <c r="Z133" i="17"/>
  <c r="AE133" i="17"/>
  <c r="Z134" i="17"/>
  <c r="AE134" i="17"/>
  <c r="Z135" i="17"/>
  <c r="AE135" i="17"/>
  <c r="Z136" i="17"/>
  <c r="AE136" i="17"/>
  <c r="Z137" i="17"/>
  <c r="AE137" i="17"/>
  <c r="Z138" i="17"/>
  <c r="AE138" i="17"/>
  <c r="Z139" i="17"/>
  <c r="AE139" i="17"/>
  <c r="Z140" i="17"/>
  <c r="AE140" i="17"/>
  <c r="Z141" i="17"/>
  <c r="AE141" i="17"/>
  <c r="Z142" i="17"/>
  <c r="AE142" i="17"/>
  <c r="Z143" i="17"/>
  <c r="AE143" i="17"/>
  <c r="Z144" i="17"/>
  <c r="AE144" i="17"/>
  <c r="Z145" i="17"/>
  <c r="AE145" i="17"/>
  <c r="Z146" i="17"/>
  <c r="AE146" i="17"/>
  <c r="Z147" i="17"/>
  <c r="AE147" i="17"/>
  <c r="Z148" i="17"/>
  <c r="AE148" i="17"/>
  <c r="Z149" i="17"/>
  <c r="AE149" i="17"/>
  <c r="Z150" i="17"/>
  <c r="AE150" i="17"/>
  <c r="Z151" i="17"/>
  <c r="AE151" i="17"/>
  <c r="Z152" i="17"/>
  <c r="AE152" i="17"/>
  <c r="Z153" i="17"/>
  <c r="AE153" i="17"/>
  <c r="Z154" i="17"/>
  <c r="AE154" i="17"/>
  <c r="Z155" i="17"/>
  <c r="AE155" i="17"/>
  <c r="Z156" i="17"/>
  <c r="AE156" i="17"/>
  <c r="Z157" i="17"/>
  <c r="AE157" i="17"/>
  <c r="Z158" i="17"/>
  <c r="AE158" i="17"/>
  <c r="Z159" i="17"/>
  <c r="AE159" i="17"/>
  <c r="Z160" i="17"/>
  <c r="AE160" i="17"/>
  <c r="Z161" i="17"/>
  <c r="AE161" i="17"/>
  <c r="Z162" i="17"/>
  <c r="AE162" i="17"/>
  <c r="Z163" i="17"/>
  <c r="AE163" i="17"/>
  <c r="Z164" i="17"/>
  <c r="AE164" i="17"/>
  <c r="Z165" i="17"/>
  <c r="AE165" i="17"/>
  <c r="Z166" i="17"/>
  <c r="AE166" i="17"/>
  <c r="Z167" i="17"/>
  <c r="AE167" i="17"/>
  <c r="Z168" i="17"/>
  <c r="AE168" i="17"/>
  <c r="Z169" i="17"/>
  <c r="AE169" i="17"/>
  <c r="Z170" i="17"/>
  <c r="AE170" i="17"/>
  <c r="Z171" i="17"/>
  <c r="AE171" i="17"/>
  <c r="Z172" i="17"/>
  <c r="AE172" i="17"/>
  <c r="Z173" i="17"/>
  <c r="AE173" i="17"/>
  <c r="Z174" i="17"/>
  <c r="AE174" i="17"/>
  <c r="Z175" i="17"/>
  <c r="AE175" i="17"/>
  <c r="Z176" i="17"/>
  <c r="AE176" i="17"/>
  <c r="Z177" i="17"/>
  <c r="AE177" i="17"/>
  <c r="Z178" i="17"/>
  <c r="AE178" i="17"/>
  <c r="Z179" i="17"/>
  <c r="AE179" i="17"/>
  <c r="Z180" i="17"/>
  <c r="AE180" i="17"/>
  <c r="Z181" i="17"/>
  <c r="AE181" i="17"/>
  <c r="Z182" i="17"/>
  <c r="AE182" i="17"/>
  <c r="Z183" i="17"/>
  <c r="AE183" i="17"/>
  <c r="Z184" i="17"/>
  <c r="AE184" i="17"/>
  <c r="Z185" i="17"/>
  <c r="AE185" i="17"/>
  <c r="Z186" i="17"/>
  <c r="AE186" i="17"/>
  <c r="Z187" i="17"/>
  <c r="AE187" i="17"/>
  <c r="Z188" i="17"/>
  <c r="AE188" i="17"/>
  <c r="Z189" i="17"/>
  <c r="AE189" i="17"/>
  <c r="Z190" i="17"/>
  <c r="AE190" i="17"/>
  <c r="Z191" i="17"/>
  <c r="AE191" i="17"/>
  <c r="Z192" i="17"/>
  <c r="AE192" i="17"/>
  <c r="Z193" i="17"/>
  <c r="AE193" i="17"/>
  <c r="Z194" i="17"/>
  <c r="AE194" i="17"/>
  <c r="Z195" i="17"/>
  <c r="AE195" i="17"/>
  <c r="Z196" i="17"/>
  <c r="AE196" i="17"/>
  <c r="Z197" i="17"/>
  <c r="AE197" i="17"/>
  <c r="Z198" i="17"/>
  <c r="AE198" i="17"/>
  <c r="Z199" i="17"/>
  <c r="AE199" i="17"/>
  <c r="Z200" i="17"/>
  <c r="AE200" i="17"/>
  <c r="Z201" i="17"/>
  <c r="AE201" i="17"/>
  <c r="Z202" i="17"/>
  <c r="AE202" i="17"/>
  <c r="Z203" i="17"/>
  <c r="AE203" i="17"/>
  <c r="Z204" i="17"/>
  <c r="AE204" i="17"/>
  <c r="Z205" i="17"/>
  <c r="AE205" i="17"/>
  <c r="Z206" i="17"/>
  <c r="AE206" i="17"/>
  <c r="Z207" i="17"/>
  <c r="AE207" i="17"/>
  <c r="Z208" i="17"/>
  <c r="AE208" i="17"/>
  <c r="Z209" i="17"/>
  <c r="AE209" i="17"/>
  <c r="Z210" i="17"/>
  <c r="AE210" i="17"/>
  <c r="Z211" i="17"/>
  <c r="AE211" i="17"/>
  <c r="Z212" i="17"/>
  <c r="AE212" i="17"/>
  <c r="Z213" i="17"/>
  <c r="AE213" i="17"/>
  <c r="Z214" i="17"/>
  <c r="AE214" i="17"/>
  <c r="Z215" i="17"/>
  <c r="AE215" i="17"/>
  <c r="Z216" i="17"/>
  <c r="AE216" i="17"/>
  <c r="Z217" i="17"/>
  <c r="AE217" i="17"/>
  <c r="Z218" i="17"/>
  <c r="AE218" i="17"/>
  <c r="Z219" i="17"/>
  <c r="AE219" i="17"/>
  <c r="Z220" i="17"/>
  <c r="AE220" i="17"/>
  <c r="Z221" i="17"/>
  <c r="AE221" i="17"/>
  <c r="Z222" i="17"/>
  <c r="AE222" i="17"/>
  <c r="Z223" i="17"/>
  <c r="AE223" i="17"/>
  <c r="Z224" i="17"/>
  <c r="AE224" i="17"/>
  <c r="Z225" i="17"/>
  <c r="AE225" i="17"/>
  <c r="Z226" i="17"/>
  <c r="AE226" i="17"/>
  <c r="Z227" i="17"/>
  <c r="AE227" i="17"/>
  <c r="Z228" i="17"/>
  <c r="AE228" i="17"/>
  <c r="Z229" i="17"/>
  <c r="AE229" i="17"/>
  <c r="Z230" i="17"/>
  <c r="AE230" i="17"/>
  <c r="Z231" i="17"/>
  <c r="AE231" i="17"/>
  <c r="Z232" i="17"/>
  <c r="AE232" i="17"/>
  <c r="Z233" i="17"/>
  <c r="AE233" i="17"/>
  <c r="E5" i="36"/>
  <c r="F5" i="36"/>
  <c r="G5" i="36"/>
  <c r="H5" i="36"/>
  <c r="I5" i="36"/>
  <c r="R5" i="36"/>
  <c r="S5" i="36"/>
  <c r="U5" i="36"/>
  <c r="E6" i="36"/>
  <c r="F6" i="36"/>
  <c r="G6" i="36"/>
  <c r="H6" i="36"/>
  <c r="I6" i="36"/>
  <c r="R6" i="36"/>
  <c r="S6" i="36"/>
  <c r="U6" i="36"/>
  <c r="E7" i="36"/>
  <c r="F7" i="36"/>
  <c r="H7" i="36"/>
  <c r="I7" i="36"/>
  <c r="R7" i="36"/>
  <c r="S7" i="36"/>
  <c r="U7" i="36"/>
  <c r="E8" i="36"/>
  <c r="F8" i="36"/>
  <c r="H8" i="36"/>
  <c r="I8" i="36"/>
  <c r="R8" i="36"/>
  <c r="S8" i="36"/>
  <c r="U8" i="36"/>
  <c r="E9" i="36"/>
  <c r="F9" i="36"/>
  <c r="G9" i="36"/>
  <c r="H9" i="36"/>
  <c r="I9" i="36"/>
  <c r="R9" i="36"/>
  <c r="S9" i="36"/>
  <c r="U9" i="36"/>
  <c r="E10" i="36"/>
  <c r="F10" i="36"/>
  <c r="G10" i="36"/>
  <c r="H10" i="36"/>
  <c r="I10" i="36"/>
  <c r="R10" i="36"/>
  <c r="S10" i="36"/>
  <c r="U10" i="36"/>
  <c r="E11" i="36"/>
  <c r="F11" i="36"/>
  <c r="H11" i="36"/>
  <c r="I11" i="36"/>
  <c r="R11" i="36"/>
  <c r="S11" i="36"/>
  <c r="U11" i="36"/>
  <c r="E12" i="36"/>
  <c r="F12" i="36"/>
  <c r="H12" i="36"/>
  <c r="I12" i="36"/>
  <c r="R12" i="36"/>
  <c r="S12" i="36"/>
  <c r="U12" i="36"/>
  <c r="E13" i="36"/>
  <c r="H13" i="36"/>
  <c r="R13" i="36"/>
  <c r="S13" i="36"/>
  <c r="U13" i="36"/>
  <c r="F14" i="36"/>
  <c r="G14" i="36"/>
  <c r="I14" i="36"/>
  <c r="R14" i="36"/>
  <c r="S14" i="36"/>
  <c r="U14" i="36"/>
  <c r="F15" i="36"/>
  <c r="G15" i="36"/>
  <c r="I15" i="36"/>
  <c r="R15" i="36"/>
  <c r="S15" i="36"/>
  <c r="U15" i="36"/>
  <c r="E16" i="36"/>
  <c r="H16" i="36"/>
  <c r="R16" i="36"/>
  <c r="S16" i="36"/>
  <c r="U16" i="36"/>
  <c r="F17" i="36"/>
  <c r="I17" i="36"/>
  <c r="R17" i="36"/>
  <c r="S17" i="36"/>
  <c r="U17" i="36"/>
  <c r="F18" i="36"/>
  <c r="I18" i="36"/>
  <c r="R18" i="36"/>
  <c r="S18" i="36"/>
  <c r="U18" i="36"/>
  <c r="E19" i="36"/>
  <c r="H19" i="36"/>
  <c r="R19" i="36"/>
  <c r="S19" i="36"/>
  <c r="U19" i="36"/>
  <c r="R20" i="36"/>
  <c r="S20" i="36"/>
  <c r="U20" i="36"/>
  <c r="R21" i="36"/>
  <c r="S21" i="36"/>
  <c r="U21" i="36"/>
  <c r="R22" i="36"/>
  <c r="S22" i="36"/>
  <c r="U22" i="36"/>
  <c r="R23" i="36"/>
  <c r="S23" i="36"/>
  <c r="U23" i="36"/>
  <c r="R24" i="36"/>
  <c r="S24" i="36"/>
  <c r="U24" i="36"/>
  <c r="R25" i="36"/>
  <c r="S25" i="36"/>
  <c r="U25" i="36"/>
  <c r="R26" i="36"/>
  <c r="S26" i="36"/>
  <c r="U26" i="36"/>
  <c r="R27" i="36"/>
  <c r="S27" i="36"/>
  <c r="U27" i="36"/>
  <c r="R28" i="36"/>
  <c r="S28" i="36"/>
  <c r="U28" i="36"/>
  <c r="R29" i="36"/>
  <c r="S29" i="36"/>
  <c r="U29" i="36"/>
  <c r="R30" i="36"/>
  <c r="S30" i="36"/>
  <c r="U30" i="36"/>
  <c r="R31" i="36"/>
  <c r="S31" i="36"/>
  <c r="U31" i="36"/>
  <c r="R32" i="36"/>
  <c r="S32" i="36"/>
  <c r="U32" i="36"/>
  <c r="R33" i="36"/>
  <c r="S33" i="36"/>
  <c r="U33" i="36"/>
  <c r="Q34" i="36"/>
  <c r="T34" i="36"/>
  <c r="Q35" i="36"/>
  <c r="T35" i="36"/>
  <c r="G5" i="23"/>
  <c r="I5" i="23"/>
  <c r="G6" i="23"/>
  <c r="I6" i="23"/>
  <c r="G7" i="23"/>
  <c r="I7" i="23"/>
  <c r="G10" i="23"/>
  <c r="I10" i="23"/>
  <c r="G11" i="23"/>
  <c r="I11" i="23"/>
  <c r="G12" i="23"/>
  <c r="I12" i="23"/>
  <c r="G15" i="23"/>
  <c r="I15" i="23"/>
  <c r="G16" i="23"/>
  <c r="I16" i="23"/>
  <c r="G17" i="23"/>
  <c r="I17" i="23"/>
  <c r="D22" i="23"/>
  <c r="F22" i="23"/>
  <c r="G22" i="23"/>
  <c r="D23" i="23"/>
  <c r="F23" i="23"/>
  <c r="G23" i="23"/>
  <c r="F24" i="23"/>
  <c r="G24" i="23"/>
  <c r="F25" i="23"/>
  <c r="G25" i="23"/>
  <c r="D26" i="23"/>
  <c r="F26" i="23"/>
  <c r="G26" i="23"/>
  <c r="D27" i="23"/>
  <c r="F27" i="23"/>
  <c r="G27" i="23"/>
  <c r="D28" i="23"/>
  <c r="F28" i="23"/>
  <c r="G28" i="23"/>
  <c r="AB5" i="25"/>
  <c r="AI5" i="25"/>
  <c r="AL5" i="25"/>
  <c r="AB6" i="25"/>
  <c r="AI6" i="25"/>
  <c r="AL6" i="25"/>
  <c r="AB7" i="25"/>
  <c r="AI7" i="25"/>
  <c r="AL7" i="25"/>
  <c r="AB8" i="25"/>
  <c r="AI8" i="25"/>
  <c r="AL8" i="25"/>
  <c r="AB9" i="25"/>
  <c r="AI9" i="25"/>
  <c r="AL9" i="25"/>
  <c r="AB10" i="25"/>
  <c r="AI10" i="25"/>
  <c r="AL10" i="25"/>
  <c r="AB11" i="25"/>
  <c r="AI11" i="25"/>
  <c r="AL11" i="25"/>
  <c r="AB12" i="25"/>
  <c r="AI12" i="25"/>
  <c r="AL12" i="25"/>
  <c r="AB13" i="25"/>
  <c r="AI13" i="25"/>
  <c r="AL13" i="25"/>
  <c r="AB14" i="25"/>
  <c r="AI14" i="25"/>
  <c r="AL14" i="25"/>
  <c r="AB15" i="25"/>
  <c r="AI15" i="25"/>
  <c r="AL15" i="25"/>
  <c r="AB16" i="25"/>
  <c r="AI16" i="25"/>
  <c r="AL16" i="25"/>
  <c r="AB17" i="25"/>
  <c r="AI17" i="25"/>
  <c r="AL17" i="25"/>
  <c r="AB18" i="25"/>
  <c r="AI18" i="25"/>
  <c r="AL18" i="25"/>
  <c r="AB19" i="25"/>
  <c r="AI19" i="25"/>
  <c r="AL19" i="25"/>
  <c r="AB20" i="25"/>
  <c r="AI20" i="25"/>
  <c r="AL20" i="25"/>
  <c r="AB21" i="25"/>
  <c r="AI21" i="25"/>
  <c r="AL21" i="25"/>
  <c r="AB22" i="25"/>
  <c r="AI22" i="25"/>
  <c r="AL22" i="25"/>
  <c r="AB23" i="25"/>
  <c r="AI23" i="25"/>
  <c r="AL23" i="25"/>
  <c r="AB24" i="25"/>
  <c r="AI24" i="25"/>
  <c r="AL24" i="25"/>
  <c r="AB25" i="25"/>
  <c r="AI25" i="25"/>
  <c r="AL25" i="25"/>
  <c r="AB26" i="25"/>
  <c r="AI26" i="25"/>
  <c r="AL26" i="25"/>
  <c r="AB27" i="25"/>
  <c r="AI27" i="25"/>
  <c r="AL27" i="25"/>
  <c r="AB28" i="25"/>
  <c r="AI28" i="25"/>
  <c r="AL28" i="25"/>
  <c r="AB29" i="25"/>
  <c r="AI29" i="25"/>
  <c r="AL29" i="25"/>
  <c r="AB30" i="25"/>
  <c r="AI30" i="25"/>
  <c r="AL30" i="25"/>
  <c r="AB31" i="25"/>
  <c r="AI31" i="25"/>
  <c r="AL31" i="25"/>
  <c r="AB32" i="25"/>
  <c r="AI32" i="25"/>
  <c r="AL32" i="25"/>
  <c r="AB33" i="25"/>
  <c r="AI33" i="25"/>
  <c r="AL33" i="25"/>
  <c r="AB34" i="25"/>
  <c r="AI34" i="25"/>
  <c r="AL34" i="25"/>
  <c r="AB35" i="25"/>
  <c r="AI35" i="25"/>
  <c r="AL35" i="25"/>
  <c r="AB36" i="25"/>
  <c r="AI36" i="25"/>
  <c r="AL36" i="25"/>
  <c r="AB37" i="25"/>
  <c r="AI37" i="25"/>
  <c r="AL37" i="25"/>
  <c r="AB38" i="25"/>
  <c r="AI38" i="25"/>
  <c r="AL38" i="25"/>
  <c r="AB39" i="25"/>
  <c r="AI39" i="25"/>
  <c r="AL39" i="25"/>
  <c r="AB40" i="25"/>
  <c r="AI40" i="25"/>
  <c r="AL40" i="25"/>
  <c r="AB41" i="25"/>
  <c r="AI41" i="25"/>
  <c r="AL41" i="25"/>
  <c r="AB42" i="25"/>
  <c r="AI42" i="25"/>
  <c r="AL42" i="25"/>
  <c r="AB43" i="25"/>
  <c r="AI43" i="25"/>
  <c r="AL43" i="25"/>
  <c r="AB45" i="25"/>
  <c r="N7" i="6"/>
  <c r="AJ7" i="6"/>
  <c r="AK7" i="6"/>
  <c r="N8" i="6"/>
  <c r="AJ8" i="6"/>
  <c r="AK8" i="6"/>
  <c r="N11" i="6"/>
  <c r="AJ11" i="6"/>
  <c r="AK11" i="6"/>
  <c r="N12" i="6"/>
  <c r="AJ12" i="6"/>
  <c r="AK12" i="6"/>
  <c r="N15" i="6"/>
  <c r="AJ15" i="6"/>
  <c r="AK15" i="6"/>
  <c r="N16" i="6"/>
  <c r="AJ16" i="6"/>
  <c r="AK16" i="6"/>
  <c r="N17" i="6"/>
  <c r="AJ17" i="6"/>
  <c r="AK17" i="6"/>
  <c r="N18" i="6"/>
  <c r="AJ18" i="6"/>
  <c r="AK18" i="6"/>
  <c r="N21" i="6"/>
  <c r="AJ21" i="6"/>
  <c r="AK21" i="6"/>
  <c r="N22" i="6"/>
  <c r="AJ22" i="6"/>
  <c r="AK22" i="6"/>
  <c r="N23" i="6"/>
  <c r="AJ23" i="6"/>
  <c r="AK23" i="6"/>
  <c r="N24" i="6"/>
  <c r="AJ24" i="6"/>
  <c r="AK24" i="6"/>
  <c r="N25" i="6"/>
  <c r="AJ25" i="6"/>
  <c r="AK25" i="6"/>
  <c r="N26" i="6"/>
  <c r="AJ26" i="6"/>
  <c r="AK26" i="6"/>
  <c r="N27" i="6"/>
  <c r="AJ27" i="6"/>
  <c r="AK27" i="6"/>
  <c r="N28" i="6"/>
  <c r="AJ28" i="6"/>
  <c r="AK28" i="6"/>
  <c r="N29" i="6"/>
  <c r="AJ29" i="6"/>
  <c r="AK29" i="6"/>
  <c r="N30" i="6"/>
  <c r="AJ30" i="6"/>
  <c r="AK30" i="6"/>
  <c r="N31" i="6"/>
  <c r="AJ31" i="6"/>
  <c r="AK31" i="6"/>
  <c r="N32" i="6"/>
  <c r="AJ32" i="6"/>
  <c r="AK32" i="6"/>
  <c r="N33" i="6"/>
  <c r="AJ33" i="6"/>
  <c r="AK33" i="6"/>
  <c r="N34" i="6"/>
  <c r="AJ34" i="6"/>
  <c r="AK34" i="6"/>
  <c r="N35" i="6"/>
  <c r="AJ35" i="6"/>
  <c r="AK35" i="6"/>
  <c r="N36" i="6"/>
  <c r="AJ36" i="6"/>
  <c r="AK36" i="6"/>
  <c r="N37" i="6"/>
  <c r="AJ37" i="6"/>
  <c r="AK37" i="6"/>
  <c r="N38" i="6"/>
  <c r="AJ38" i="6"/>
  <c r="AK38" i="6"/>
  <c r="N39" i="6"/>
  <c r="AJ39" i="6"/>
  <c r="AK39" i="6"/>
  <c r="N40" i="6"/>
  <c r="AJ40" i="6"/>
  <c r="AK40" i="6"/>
  <c r="N41" i="6"/>
  <c r="AJ41" i="6"/>
  <c r="AK41" i="6"/>
  <c r="N42" i="6"/>
  <c r="AJ42" i="6"/>
  <c r="AK42" i="6"/>
  <c r="N43" i="6"/>
  <c r="AJ43" i="6"/>
  <c r="AK43" i="6"/>
  <c r="N44" i="6"/>
  <c r="AJ44" i="6"/>
  <c r="AK44" i="6"/>
  <c r="N45" i="6"/>
  <c r="AJ45" i="6"/>
  <c r="AK45" i="6"/>
  <c r="N46" i="6"/>
  <c r="AJ46" i="6"/>
  <c r="AK46" i="6"/>
  <c r="N47" i="6"/>
  <c r="AJ47" i="6"/>
  <c r="AK47" i="6"/>
  <c r="N48" i="6"/>
  <c r="AJ48" i="6"/>
  <c r="AK48" i="6"/>
  <c r="N49" i="6"/>
  <c r="AJ49" i="6"/>
  <c r="AK49" i="6"/>
  <c r="N50" i="6"/>
  <c r="AJ50" i="6"/>
  <c r="AK50" i="6"/>
  <c r="N51" i="6"/>
  <c r="AJ51" i="6"/>
  <c r="AK51" i="6"/>
  <c r="N52" i="6"/>
  <c r="AJ52" i="6"/>
  <c r="AK52" i="6"/>
  <c r="N53" i="6"/>
  <c r="AJ53" i="6"/>
  <c r="AK53" i="6"/>
  <c r="N54" i="6"/>
  <c r="AJ54" i="6"/>
  <c r="AK54" i="6"/>
  <c r="N55" i="6"/>
  <c r="AJ55" i="6"/>
  <c r="AK55" i="6"/>
  <c r="N59" i="6"/>
  <c r="AJ59" i="6"/>
  <c r="AK59" i="6"/>
  <c r="N64" i="6"/>
  <c r="AJ64" i="6"/>
  <c r="AK64" i="6"/>
  <c r="L67" i="6"/>
  <c r="N67" i="6"/>
  <c r="L68" i="6"/>
  <c r="N68" i="6"/>
  <c r="L69" i="6"/>
  <c r="N69" i="6"/>
  <c r="N70" i="6"/>
  <c r="L71" i="6"/>
  <c r="L72" i="6"/>
  <c r="L73" i="6"/>
  <c r="L74" i="6"/>
  <c r="L75" i="6"/>
  <c r="N5" i="29"/>
  <c r="AB5" i="29"/>
  <c r="AC5" i="29"/>
  <c r="AF5" i="29"/>
  <c r="AG5" i="29"/>
  <c r="N6" i="29"/>
  <c r="AB6" i="29"/>
  <c r="AC6" i="29"/>
  <c r="AF6" i="29"/>
  <c r="AG6" i="29"/>
  <c r="N7" i="29"/>
  <c r="AB7" i="29"/>
  <c r="AC7" i="29"/>
  <c r="AF7" i="29"/>
  <c r="AG7" i="29"/>
  <c r="N8" i="29"/>
  <c r="AB8" i="29"/>
  <c r="AC8" i="29"/>
  <c r="AF8" i="29"/>
  <c r="AG8" i="29"/>
  <c r="N9" i="29"/>
  <c r="AB9" i="29"/>
  <c r="AC9" i="29"/>
  <c r="AF9" i="29"/>
  <c r="AG9" i="29"/>
  <c r="N10" i="29"/>
  <c r="AB10" i="29"/>
  <c r="AC10" i="29"/>
  <c r="AF10" i="29"/>
  <c r="AG10" i="29"/>
  <c r="N11" i="29"/>
  <c r="AB11" i="29"/>
  <c r="AC11" i="29"/>
  <c r="AF11" i="29"/>
  <c r="AG11" i="29"/>
  <c r="N12" i="29"/>
  <c r="AB12" i="29"/>
  <c r="AC12" i="29"/>
  <c r="AF12" i="29"/>
  <c r="AG12" i="29"/>
  <c r="N13" i="29"/>
  <c r="AB13" i="29"/>
  <c r="AC13" i="29"/>
  <c r="AF13" i="29"/>
  <c r="AG13" i="29"/>
  <c r="N14" i="29"/>
  <c r="AB14" i="29"/>
  <c r="AC14" i="29"/>
  <c r="AF14" i="29"/>
  <c r="AG14" i="29"/>
  <c r="N15" i="29"/>
  <c r="AB15" i="29"/>
  <c r="AC15" i="29"/>
  <c r="AF15" i="29"/>
  <c r="AG15" i="29"/>
  <c r="N16" i="29"/>
  <c r="AB16" i="29"/>
  <c r="AC16" i="29"/>
  <c r="AF16" i="29"/>
  <c r="AG16" i="29"/>
  <c r="N17" i="29"/>
  <c r="AB17" i="29"/>
  <c r="AC17" i="29"/>
  <c r="AF17" i="29"/>
  <c r="AG17" i="29"/>
  <c r="N18" i="29"/>
  <c r="AB18" i="29"/>
  <c r="AC18" i="29"/>
  <c r="AF18" i="29"/>
  <c r="AG18" i="29"/>
  <c r="N19" i="29"/>
  <c r="AB19" i="29"/>
  <c r="AC19" i="29"/>
  <c r="AF19" i="29"/>
  <c r="AG19" i="29"/>
  <c r="N20" i="29"/>
  <c r="AB20" i="29"/>
  <c r="AC20" i="29"/>
  <c r="AF20" i="29"/>
  <c r="AG20" i="29"/>
  <c r="N21" i="29"/>
  <c r="AB21" i="29"/>
  <c r="AC21" i="29"/>
  <c r="AF21" i="29"/>
  <c r="AG21" i="29"/>
  <c r="N22" i="29"/>
  <c r="AB22" i="29"/>
  <c r="AC22" i="29"/>
  <c r="AF22" i="29"/>
  <c r="AG22" i="29"/>
  <c r="N23" i="29"/>
  <c r="AB23" i="29"/>
  <c r="AC23" i="29"/>
  <c r="AF23" i="29"/>
  <c r="AG23" i="29"/>
  <c r="N24" i="29"/>
  <c r="AB24" i="29"/>
  <c r="AC24" i="29"/>
  <c r="AF24" i="29"/>
  <c r="AG24" i="29"/>
  <c r="N25" i="29"/>
  <c r="AB25" i="29"/>
  <c r="AC25" i="29"/>
  <c r="AF25" i="29"/>
  <c r="AG25" i="29"/>
  <c r="N26" i="29"/>
  <c r="AB26" i="29"/>
  <c r="AC26" i="29"/>
  <c r="AF26" i="29"/>
  <c r="AG26" i="29"/>
  <c r="N27" i="29"/>
  <c r="AB27" i="29"/>
  <c r="AC27" i="29"/>
  <c r="AF27" i="29"/>
  <c r="AG27" i="29"/>
  <c r="N28" i="29"/>
  <c r="AB28" i="29"/>
  <c r="AC28" i="29"/>
  <c r="AF28" i="29"/>
  <c r="AG28" i="29"/>
  <c r="N29" i="29"/>
  <c r="AB29" i="29"/>
  <c r="AC29" i="29"/>
  <c r="AF29" i="29"/>
  <c r="AG29" i="29"/>
  <c r="N30" i="29"/>
  <c r="AB30" i="29"/>
  <c r="AC30" i="29"/>
  <c r="AF30" i="29"/>
  <c r="AG30" i="29"/>
  <c r="N31" i="29"/>
  <c r="AB31" i="29"/>
  <c r="AC31" i="29"/>
  <c r="AF31" i="29"/>
  <c r="AG31" i="29"/>
  <c r="N32" i="29"/>
  <c r="AB32" i="29"/>
  <c r="AC32" i="29"/>
  <c r="AF32" i="29"/>
  <c r="AG32" i="29"/>
  <c r="N33" i="29"/>
  <c r="AB33" i="29"/>
  <c r="AC33" i="29"/>
  <c r="AF33" i="29"/>
  <c r="AG33" i="29"/>
  <c r="N34" i="29"/>
  <c r="AB34" i="29"/>
  <c r="AC34" i="29"/>
  <c r="AF34" i="29"/>
  <c r="AG34" i="29"/>
  <c r="N35" i="29"/>
  <c r="AB35" i="29"/>
  <c r="AC35" i="29"/>
  <c r="AF35" i="29"/>
  <c r="AG35" i="29"/>
  <c r="N36" i="29"/>
  <c r="AB36" i="29"/>
  <c r="AC36" i="29"/>
  <c r="AF36" i="29"/>
  <c r="AG36" i="29"/>
  <c r="N37" i="29"/>
  <c r="AB37" i="29"/>
  <c r="AC37" i="29"/>
  <c r="AF37" i="29"/>
  <c r="AG37" i="29"/>
  <c r="N38" i="29"/>
  <c r="AB38" i="29"/>
  <c r="AC38" i="29"/>
  <c r="AF38" i="29"/>
  <c r="AG38" i="29"/>
  <c r="N39" i="29"/>
  <c r="AB39" i="29"/>
  <c r="AC39" i="29"/>
  <c r="AF39" i="29"/>
  <c r="AG39" i="29"/>
  <c r="N40" i="29"/>
  <c r="AB40" i="29"/>
  <c r="AC40" i="29"/>
  <c r="AF40" i="29"/>
  <c r="AG40" i="29"/>
  <c r="N41" i="29"/>
  <c r="AB41" i="29"/>
  <c r="AC41" i="29"/>
  <c r="AF41" i="29"/>
  <c r="AG41" i="29"/>
  <c r="N42" i="29"/>
  <c r="AB42" i="29"/>
  <c r="AC42" i="29"/>
  <c r="AF42" i="29"/>
  <c r="AG42" i="29"/>
  <c r="N43" i="29"/>
  <c r="AB43" i="29"/>
  <c r="AC43" i="29"/>
  <c r="AF43" i="29"/>
  <c r="AG43" i="29"/>
  <c r="N44" i="29"/>
  <c r="AB44" i="29"/>
  <c r="AC44" i="29"/>
  <c r="AF44" i="29"/>
  <c r="AG44" i="29"/>
  <c r="N45" i="29"/>
  <c r="AB45" i="29"/>
  <c r="AC45" i="29"/>
  <c r="AF45" i="29"/>
  <c r="AG45" i="29"/>
  <c r="N46" i="29"/>
  <c r="AB46" i="29"/>
  <c r="AC46" i="29"/>
  <c r="AF46" i="29"/>
  <c r="AG46" i="29"/>
  <c r="N47" i="29"/>
  <c r="AB47" i="29"/>
  <c r="AC47" i="29"/>
  <c r="AF47" i="29"/>
  <c r="AG47" i="29"/>
  <c r="N48" i="29"/>
  <c r="AB48" i="29"/>
  <c r="AC48" i="29"/>
  <c r="AF48" i="29"/>
  <c r="AG48" i="29"/>
  <c r="N49" i="29"/>
  <c r="AB49" i="29"/>
  <c r="AC49" i="29"/>
  <c r="AF49" i="29"/>
  <c r="AG49" i="29"/>
  <c r="N50" i="29"/>
  <c r="AB50" i="29"/>
  <c r="AC50" i="29"/>
  <c r="AF50" i="29"/>
  <c r="AG50" i="29"/>
  <c r="N51" i="29"/>
  <c r="AB51" i="29"/>
  <c r="AC51" i="29"/>
  <c r="AF51" i="29"/>
  <c r="AG51" i="29"/>
  <c r="N52" i="29"/>
  <c r="AB52" i="29"/>
  <c r="AC52" i="29"/>
  <c r="AF52" i="29"/>
  <c r="AG52" i="29"/>
  <c r="N53" i="29"/>
  <c r="AB53" i="29"/>
  <c r="AC53" i="29"/>
  <c r="AF53" i="29"/>
  <c r="AG53" i="29"/>
  <c r="N54" i="29"/>
  <c r="AB54" i="29"/>
  <c r="AC54" i="29"/>
  <c r="AF54" i="29"/>
  <c r="AG54" i="29"/>
  <c r="N55" i="29"/>
  <c r="AB55" i="29"/>
  <c r="AC55" i="29"/>
  <c r="AF55" i="29"/>
  <c r="AG55" i="29"/>
  <c r="N61" i="29"/>
  <c r="AB61" i="29"/>
  <c r="AC61" i="29"/>
  <c r="AF61" i="29"/>
  <c r="AG61" i="29"/>
  <c r="N62" i="29"/>
  <c r="AB62" i="29"/>
  <c r="AC62" i="29"/>
  <c r="AF62" i="29"/>
  <c r="AG62" i="29"/>
  <c r="N63" i="29"/>
  <c r="AB63" i="29"/>
  <c r="AC63" i="29"/>
  <c r="AF63" i="29"/>
  <c r="AG63" i="29"/>
  <c r="N64" i="29"/>
  <c r="AB64" i="29"/>
  <c r="AC64" i="29"/>
  <c r="AF64" i="29"/>
  <c r="AG64" i="29"/>
  <c r="N65" i="29"/>
  <c r="AB65" i="29"/>
  <c r="AC65" i="29"/>
  <c r="AF65" i="29"/>
  <c r="AG65" i="29"/>
  <c r="N66" i="29"/>
  <c r="AB66" i="29"/>
  <c r="AC66" i="29"/>
  <c r="AF66" i="29"/>
  <c r="AG66" i="29"/>
  <c r="N67" i="29"/>
  <c r="AB67" i="29"/>
  <c r="AC67" i="29"/>
  <c r="AF67" i="29"/>
  <c r="AG67" i="29"/>
  <c r="N68" i="29"/>
  <c r="AB68" i="29"/>
  <c r="AC68" i="29"/>
  <c r="AF68" i="29"/>
  <c r="AG68" i="29"/>
  <c r="N69" i="29"/>
  <c r="AB69" i="29"/>
  <c r="AC69" i="29"/>
  <c r="AF69" i="29"/>
  <c r="AG69" i="29"/>
  <c r="N70" i="29"/>
  <c r="AB70" i="29"/>
  <c r="AC70" i="29"/>
  <c r="AF70" i="29"/>
  <c r="AG70" i="29"/>
  <c r="N71" i="29"/>
  <c r="AB71" i="29"/>
  <c r="AC71" i="29"/>
  <c r="AF71" i="29"/>
  <c r="AG71" i="29"/>
  <c r="N72" i="29"/>
  <c r="AB72" i="29"/>
  <c r="AC72" i="29"/>
  <c r="AF72" i="29"/>
  <c r="AG72" i="29"/>
  <c r="N73" i="29"/>
  <c r="AB73" i="29"/>
  <c r="AC73" i="29"/>
  <c r="AF73" i="29"/>
  <c r="AG73" i="29"/>
  <c r="N74" i="29"/>
  <c r="AB74" i="29"/>
  <c r="AC74" i="29"/>
  <c r="AF74" i="29"/>
  <c r="AG74" i="29"/>
  <c r="N75" i="29"/>
  <c r="AB75" i="29"/>
  <c r="AC75" i="29"/>
  <c r="AF75" i="29"/>
  <c r="AG75" i="29"/>
  <c r="N76" i="29"/>
  <c r="AB76" i="29"/>
  <c r="AC76" i="29"/>
  <c r="AF76" i="29"/>
  <c r="AG76" i="29"/>
  <c r="N77" i="29"/>
  <c r="AB77" i="29"/>
  <c r="AC77" i="29"/>
  <c r="AF77" i="29"/>
  <c r="AG77" i="29"/>
  <c r="N78" i="29"/>
  <c r="AB78" i="29"/>
  <c r="AC78" i="29"/>
  <c r="AF78" i="29"/>
  <c r="AG78" i="29"/>
  <c r="N79" i="29"/>
  <c r="AB79" i="29"/>
  <c r="AC79" i="29"/>
  <c r="AF79" i="29"/>
  <c r="AG79" i="29"/>
  <c r="N80" i="29"/>
  <c r="AB80" i="29"/>
  <c r="AC80" i="29"/>
  <c r="AF80" i="29"/>
  <c r="AG80" i="29"/>
  <c r="N81" i="29"/>
  <c r="AB81" i="29"/>
  <c r="AC81" i="29"/>
  <c r="AF81" i="29"/>
  <c r="AG81" i="29"/>
  <c r="N82" i="29"/>
  <c r="AB82" i="29"/>
  <c r="AC82" i="29"/>
  <c r="AF82" i="29"/>
  <c r="AG82" i="29"/>
  <c r="N83" i="29"/>
  <c r="AB83" i="29"/>
  <c r="AC83" i="29"/>
  <c r="AF83" i="29"/>
  <c r="AG83" i="29"/>
  <c r="N84" i="29"/>
  <c r="AB84" i="29"/>
  <c r="AC84" i="29"/>
  <c r="AF84" i="29"/>
  <c r="AG84" i="29"/>
  <c r="N85" i="29"/>
  <c r="AB85" i="29"/>
  <c r="AC85" i="29"/>
  <c r="AF85" i="29"/>
  <c r="AG85" i="29"/>
  <c r="N86" i="29"/>
  <c r="AB86" i="29"/>
  <c r="AC86" i="29"/>
  <c r="AF86" i="29"/>
  <c r="AG86" i="29"/>
  <c r="N87" i="29"/>
  <c r="AB87" i="29"/>
  <c r="AC87" i="29"/>
  <c r="AF87" i="29"/>
  <c r="AG87" i="29"/>
  <c r="N88" i="29"/>
  <c r="AB88" i="29"/>
  <c r="AC88" i="29"/>
  <c r="AF88" i="29"/>
  <c r="AG88" i="29"/>
  <c r="N89" i="29"/>
  <c r="AB89" i="29"/>
  <c r="AC89" i="29"/>
  <c r="AF89" i="29"/>
  <c r="AG89" i="29"/>
  <c r="N90" i="29"/>
  <c r="AB90" i="29"/>
  <c r="AC90" i="29"/>
  <c r="AF90" i="29"/>
  <c r="AG90" i="29"/>
  <c r="N91" i="29"/>
  <c r="AB91" i="29"/>
  <c r="AC91" i="29"/>
  <c r="AF91" i="29"/>
  <c r="AG91" i="29"/>
  <c r="N92" i="29"/>
  <c r="AB92" i="29"/>
  <c r="AC92" i="29"/>
  <c r="AF92" i="29"/>
  <c r="AG92" i="29"/>
  <c r="N93" i="29"/>
  <c r="AB93" i="29"/>
  <c r="AC93" i="29"/>
  <c r="AF93" i="29"/>
  <c r="AG93" i="29"/>
  <c r="N94" i="29"/>
  <c r="AB94" i="29"/>
  <c r="AC94" i="29"/>
  <c r="AF94" i="29"/>
  <c r="AG94" i="29"/>
  <c r="N95" i="29"/>
  <c r="AB95" i="29"/>
  <c r="AC95" i="29"/>
  <c r="AF95" i="29"/>
  <c r="AG95" i="29"/>
  <c r="N96" i="29"/>
  <c r="AB96" i="29"/>
  <c r="AC96" i="29"/>
  <c r="AF96" i="29"/>
  <c r="AG96" i="29"/>
  <c r="N97" i="29"/>
  <c r="AB97" i="29"/>
  <c r="AC97" i="29"/>
  <c r="AF97" i="29"/>
  <c r="AG97" i="29"/>
  <c r="N98" i="29"/>
  <c r="AB98" i="29"/>
  <c r="AC98" i="29"/>
  <c r="AF98" i="29"/>
  <c r="AG98" i="29"/>
  <c r="N99" i="29"/>
  <c r="AB99" i="29"/>
  <c r="AC99" i="29"/>
  <c r="AF99" i="29"/>
  <c r="AG99" i="29"/>
  <c r="N100" i="29"/>
  <c r="AB100" i="29"/>
  <c r="AC100" i="29"/>
  <c r="AF100" i="29"/>
  <c r="AG100" i="29"/>
  <c r="N101" i="29"/>
  <c r="AB101" i="29"/>
  <c r="AC101" i="29"/>
  <c r="AF101" i="29"/>
  <c r="AG101" i="29"/>
  <c r="N102" i="29"/>
  <c r="AB102" i="29"/>
  <c r="AC102" i="29"/>
  <c r="AF102" i="29"/>
  <c r="AG102" i="29"/>
  <c r="N103" i="29"/>
  <c r="AB103" i="29"/>
  <c r="AC103" i="29"/>
  <c r="AF103" i="29"/>
  <c r="AG103" i="29"/>
  <c r="N104" i="29"/>
  <c r="AB104" i="29"/>
  <c r="AC104" i="29"/>
  <c r="AF104" i="29"/>
  <c r="AG104" i="29"/>
  <c r="N105" i="29"/>
  <c r="AB105" i="29"/>
  <c r="AC105" i="29"/>
  <c r="AF105" i="29"/>
  <c r="AG105" i="29"/>
  <c r="N106" i="29"/>
  <c r="AB106" i="29"/>
  <c r="AC106" i="29"/>
  <c r="AF106" i="29"/>
  <c r="AG106" i="29"/>
  <c r="N107" i="29"/>
  <c r="AB107" i="29"/>
  <c r="AC107" i="29"/>
  <c r="AF107" i="29"/>
  <c r="AG107" i="29"/>
  <c r="N108" i="29"/>
  <c r="AB108" i="29"/>
  <c r="AC108" i="29"/>
  <c r="AF108" i="29"/>
  <c r="AG108" i="29"/>
  <c r="N109" i="29"/>
  <c r="AB109" i="29"/>
  <c r="AC109" i="29"/>
  <c r="AF109" i="29"/>
  <c r="AG109" i="29"/>
  <c r="N110" i="29"/>
  <c r="AB110" i="29"/>
  <c r="AC110" i="29"/>
  <c r="AF110" i="29"/>
  <c r="AG110" i="29"/>
  <c r="N111" i="29"/>
  <c r="AB111" i="29"/>
  <c r="AC111" i="29"/>
  <c r="AF111" i="29"/>
  <c r="AG111" i="29"/>
  <c r="N5" i="7"/>
  <c r="T5" i="7"/>
  <c r="AJ5" i="7"/>
  <c r="AK5" i="7"/>
  <c r="AL5" i="7"/>
  <c r="AM5" i="7"/>
  <c r="N6" i="7"/>
  <c r="T6" i="7"/>
  <c r="AJ6" i="7"/>
  <c r="AK6" i="7"/>
  <c r="AL6" i="7"/>
  <c r="AM6" i="7"/>
  <c r="N7" i="7"/>
  <c r="T7" i="7"/>
  <c r="AJ7" i="7"/>
  <c r="AK7" i="7"/>
  <c r="AL7" i="7"/>
  <c r="AM7" i="7"/>
  <c r="N8" i="7"/>
  <c r="T8" i="7"/>
  <c r="AJ8" i="7"/>
  <c r="AK8" i="7"/>
  <c r="AL8" i="7"/>
  <c r="AM8" i="7"/>
  <c r="N9" i="7"/>
  <c r="T9" i="7"/>
  <c r="AJ9" i="7"/>
  <c r="AK9" i="7"/>
  <c r="AL9" i="7"/>
  <c r="AM9" i="7"/>
  <c r="N10" i="7"/>
  <c r="T10" i="7"/>
  <c r="AJ10" i="7"/>
  <c r="AK10" i="7"/>
  <c r="AL10" i="7"/>
  <c r="AM10" i="7"/>
  <c r="N11" i="7"/>
  <c r="T11" i="7"/>
  <c r="AJ11" i="7"/>
  <c r="AK11" i="7"/>
  <c r="AL11" i="7"/>
  <c r="AM11" i="7"/>
  <c r="N12" i="7"/>
  <c r="T12" i="7"/>
  <c r="AJ12" i="7"/>
  <c r="AK12" i="7"/>
  <c r="AL12" i="7"/>
  <c r="AM12" i="7"/>
  <c r="N13" i="7"/>
  <c r="T13" i="7"/>
  <c r="AJ13" i="7"/>
  <c r="AK13" i="7"/>
  <c r="AL13" i="7"/>
  <c r="AM13" i="7"/>
  <c r="N14" i="7"/>
  <c r="T14" i="7"/>
  <c r="AJ14" i="7"/>
  <c r="AK14" i="7"/>
  <c r="AL14" i="7"/>
  <c r="AM14" i="7"/>
  <c r="N15" i="7"/>
  <c r="T15" i="7"/>
  <c r="AJ15" i="7"/>
  <c r="AK15" i="7"/>
  <c r="AL15" i="7"/>
  <c r="AM15" i="7"/>
  <c r="N16" i="7"/>
  <c r="T16" i="7"/>
  <c r="AJ16" i="7"/>
  <c r="AK16" i="7"/>
  <c r="AL16" i="7"/>
  <c r="AM16" i="7"/>
  <c r="N17" i="7"/>
  <c r="T17" i="7"/>
  <c r="AJ17" i="7"/>
  <c r="AK17" i="7"/>
  <c r="AL17" i="7"/>
  <c r="AM17" i="7"/>
  <c r="N18" i="7"/>
  <c r="T18" i="7"/>
  <c r="AJ18" i="7"/>
  <c r="AK18" i="7"/>
  <c r="AL18" i="7"/>
  <c r="AM18" i="7"/>
  <c r="N19" i="7"/>
  <c r="T19" i="7"/>
  <c r="AJ19" i="7"/>
  <c r="AK19" i="7"/>
  <c r="AL19" i="7"/>
  <c r="AM19" i="7"/>
  <c r="N20" i="7"/>
  <c r="T20" i="7"/>
  <c r="AJ20" i="7"/>
  <c r="AK20" i="7"/>
  <c r="AL20" i="7"/>
  <c r="AM20" i="7"/>
  <c r="N21" i="7"/>
  <c r="T21" i="7"/>
  <c r="AJ21" i="7"/>
  <c r="AK21" i="7"/>
  <c r="AL21" i="7"/>
  <c r="AM21" i="7"/>
  <c r="N22" i="7"/>
  <c r="T22" i="7"/>
  <c r="AJ22" i="7"/>
  <c r="AK22" i="7"/>
  <c r="AL22" i="7"/>
  <c r="AM22" i="7"/>
  <c r="N23" i="7"/>
  <c r="T23" i="7"/>
  <c r="AJ23" i="7"/>
  <c r="AK23" i="7"/>
  <c r="AL23" i="7"/>
  <c r="AM23" i="7"/>
  <c r="N24" i="7"/>
  <c r="T24" i="7"/>
  <c r="AJ24" i="7"/>
  <c r="AK24" i="7"/>
  <c r="AL24" i="7"/>
  <c r="AM24" i="7"/>
  <c r="N25" i="7"/>
  <c r="T25" i="7"/>
  <c r="AJ25" i="7"/>
  <c r="AK25" i="7"/>
  <c r="AL25" i="7"/>
  <c r="AM25" i="7"/>
  <c r="N26" i="7"/>
  <c r="T26" i="7"/>
  <c r="AJ26" i="7"/>
  <c r="AK26" i="7"/>
  <c r="AL26" i="7"/>
  <c r="AM26" i="7"/>
  <c r="N27" i="7"/>
  <c r="T27" i="7"/>
  <c r="AJ27" i="7"/>
  <c r="AK27" i="7"/>
  <c r="AL27" i="7"/>
  <c r="AM27" i="7"/>
  <c r="N28" i="7"/>
  <c r="T28" i="7"/>
  <c r="AJ28" i="7"/>
  <c r="AK28" i="7"/>
  <c r="AL28" i="7"/>
  <c r="AM28" i="7"/>
  <c r="N29" i="7"/>
  <c r="T29" i="7"/>
  <c r="AJ29" i="7"/>
  <c r="AK29" i="7"/>
  <c r="AL29" i="7"/>
  <c r="AM29" i="7"/>
  <c r="N30" i="7"/>
  <c r="T30" i="7"/>
  <c r="AJ30" i="7"/>
  <c r="AK30" i="7"/>
  <c r="AL30" i="7"/>
  <c r="AM30" i="7"/>
  <c r="N31" i="7"/>
  <c r="T31" i="7"/>
  <c r="AJ31" i="7"/>
  <c r="AK31" i="7"/>
  <c r="AL31" i="7"/>
  <c r="AM31" i="7"/>
  <c r="N32" i="7"/>
  <c r="T32" i="7"/>
  <c r="AJ32" i="7"/>
  <c r="AK32" i="7"/>
  <c r="AL32" i="7"/>
  <c r="AM32" i="7"/>
  <c r="N33" i="7"/>
  <c r="T33" i="7"/>
  <c r="AJ33" i="7"/>
  <c r="AK33" i="7"/>
  <c r="AL33" i="7"/>
  <c r="AM33" i="7"/>
  <c r="N34" i="7"/>
  <c r="T34" i="7"/>
  <c r="AJ34" i="7"/>
  <c r="AK34" i="7"/>
  <c r="AL34" i="7"/>
  <c r="AM34" i="7"/>
  <c r="N35" i="7"/>
  <c r="T35" i="7"/>
  <c r="AJ35" i="7"/>
  <c r="AK35" i="7"/>
  <c r="AL35" i="7"/>
  <c r="AM35" i="7"/>
  <c r="N36" i="7"/>
  <c r="T36" i="7"/>
  <c r="AJ36" i="7"/>
  <c r="AK36" i="7"/>
  <c r="AL36" i="7"/>
  <c r="AM36" i="7"/>
  <c r="N37" i="7"/>
  <c r="T37" i="7"/>
  <c r="AJ37" i="7"/>
  <c r="AK37" i="7"/>
  <c r="AL37" i="7"/>
  <c r="AM37" i="7"/>
  <c r="N38" i="7"/>
  <c r="T38" i="7"/>
  <c r="AJ38" i="7"/>
  <c r="AK38" i="7"/>
  <c r="AL38" i="7"/>
  <c r="AM38" i="7"/>
  <c r="N39" i="7"/>
  <c r="T39" i="7"/>
  <c r="AJ39" i="7"/>
  <c r="AK39" i="7"/>
  <c r="AL39" i="7"/>
  <c r="AM39" i="7"/>
  <c r="N40" i="7"/>
  <c r="T40" i="7"/>
  <c r="AJ40" i="7"/>
  <c r="AK40" i="7"/>
  <c r="AL40" i="7"/>
  <c r="AM40" i="7"/>
  <c r="N41" i="7"/>
  <c r="T41" i="7"/>
  <c r="AJ41" i="7"/>
  <c r="AK41" i="7"/>
  <c r="AL41" i="7"/>
  <c r="AM41" i="7"/>
  <c r="N42" i="7"/>
  <c r="T42" i="7"/>
  <c r="AJ42" i="7"/>
  <c r="AK42" i="7"/>
  <c r="AL42" i="7"/>
  <c r="AM42" i="7"/>
  <c r="N43" i="7"/>
  <c r="T43" i="7"/>
  <c r="AJ43" i="7"/>
  <c r="AK43" i="7"/>
  <c r="AL43" i="7"/>
  <c r="AM43" i="7"/>
  <c r="N44" i="7"/>
  <c r="T44" i="7"/>
  <c r="AJ44" i="7"/>
  <c r="AK44" i="7"/>
  <c r="AL44" i="7"/>
  <c r="AM44" i="7"/>
  <c r="N45" i="7"/>
  <c r="T45" i="7"/>
  <c r="AJ45" i="7"/>
  <c r="AK45" i="7"/>
  <c r="AL45" i="7"/>
  <c r="AM45" i="7"/>
  <c r="N46" i="7"/>
  <c r="T46" i="7"/>
  <c r="AJ46" i="7"/>
  <c r="AK46" i="7"/>
  <c r="AL46" i="7"/>
  <c r="AM46" i="7"/>
  <c r="N47" i="7"/>
  <c r="T47" i="7"/>
  <c r="AJ47" i="7"/>
  <c r="AK47" i="7"/>
  <c r="AL47" i="7"/>
  <c r="AM47" i="7"/>
  <c r="N48" i="7"/>
  <c r="T48" i="7"/>
  <c r="AJ48" i="7"/>
  <c r="AK48" i="7"/>
  <c r="AL48" i="7"/>
  <c r="AM48" i="7"/>
  <c r="N49" i="7"/>
  <c r="T49" i="7"/>
  <c r="AJ49" i="7"/>
  <c r="AK49" i="7"/>
  <c r="AL49" i="7"/>
  <c r="AM49" i="7"/>
  <c r="N50" i="7"/>
  <c r="T50" i="7"/>
  <c r="AJ50" i="7"/>
  <c r="AK50" i="7"/>
  <c r="AL50" i="7"/>
  <c r="AM50" i="7"/>
  <c r="N51" i="7"/>
  <c r="T51" i="7"/>
  <c r="AJ51" i="7"/>
  <c r="AK51" i="7"/>
  <c r="AL51" i="7"/>
  <c r="AM51" i="7"/>
  <c r="N52" i="7"/>
  <c r="T52" i="7"/>
  <c r="AJ52" i="7"/>
  <c r="AK52" i="7"/>
  <c r="AL52" i="7"/>
  <c r="AM52" i="7"/>
  <c r="N53" i="7"/>
  <c r="T53" i="7"/>
  <c r="AJ53" i="7"/>
  <c r="AK53" i="7"/>
  <c r="AL53" i="7"/>
  <c r="AM53" i="7"/>
  <c r="N54" i="7"/>
  <c r="T54" i="7"/>
  <c r="AJ54" i="7"/>
  <c r="AK54" i="7"/>
  <c r="AL54" i="7"/>
  <c r="AM54" i="7"/>
  <c r="N55" i="7"/>
  <c r="T55" i="7"/>
  <c r="AJ55" i="7"/>
  <c r="AK55" i="7"/>
  <c r="AL55" i="7"/>
  <c r="AM55" i="7"/>
  <c r="N57" i="7"/>
  <c r="T57" i="7"/>
  <c r="AJ57" i="7"/>
  <c r="AK57" i="7"/>
  <c r="AL57" i="7"/>
  <c r="AM57" i="7"/>
  <c r="N62" i="7"/>
  <c r="AE62" i="7"/>
  <c r="AF62" i="7"/>
  <c r="AJ62" i="7"/>
  <c r="AK62" i="7"/>
  <c r="N5" i="8"/>
  <c r="T5" i="8"/>
  <c r="AE5" i="8"/>
  <c r="AF5" i="8"/>
  <c r="AG5" i="8"/>
  <c r="AJ5" i="8"/>
  <c r="AK5" i="8"/>
  <c r="AL5" i="8"/>
  <c r="AM5" i="8"/>
  <c r="AO5" i="8"/>
  <c r="AP5" i="8"/>
  <c r="N6" i="8"/>
  <c r="T6" i="8"/>
  <c r="AE6" i="8"/>
  <c r="AF6" i="8"/>
  <c r="AG6" i="8"/>
  <c r="AJ6" i="8"/>
  <c r="AK6" i="8"/>
  <c r="AL6" i="8"/>
  <c r="AM6" i="8"/>
  <c r="AO6" i="8"/>
  <c r="AP6" i="8"/>
  <c r="N7" i="8"/>
  <c r="T7" i="8"/>
  <c r="AE7" i="8"/>
  <c r="AF7" i="8"/>
  <c r="AG7" i="8"/>
  <c r="AJ7" i="8"/>
  <c r="AK7" i="8"/>
  <c r="AL7" i="8"/>
  <c r="AM7" i="8"/>
  <c r="AO7" i="8"/>
  <c r="AP7" i="8"/>
  <c r="N8" i="8"/>
  <c r="T8" i="8"/>
  <c r="AE8" i="8"/>
  <c r="AF8" i="8"/>
  <c r="AG8" i="8"/>
  <c r="AJ8" i="8"/>
  <c r="AK8" i="8"/>
  <c r="AL8" i="8"/>
  <c r="AM8" i="8"/>
  <c r="AO8" i="8"/>
  <c r="AP8" i="8"/>
  <c r="N9" i="8"/>
  <c r="T9" i="8"/>
  <c r="AE9" i="8"/>
  <c r="AF9" i="8"/>
  <c r="AG9" i="8"/>
  <c r="AJ9" i="8"/>
  <c r="AK9" i="8"/>
  <c r="AL9" i="8"/>
  <c r="AM9" i="8"/>
  <c r="AO9" i="8"/>
  <c r="AP9" i="8"/>
  <c r="N10" i="8"/>
  <c r="T10" i="8"/>
  <c r="AE10" i="8"/>
  <c r="AF10" i="8"/>
  <c r="AG10" i="8"/>
  <c r="AJ10" i="8"/>
  <c r="AK10" i="8"/>
  <c r="AL10" i="8"/>
  <c r="AM10" i="8"/>
  <c r="AO10" i="8"/>
  <c r="AP10" i="8"/>
  <c r="N11" i="8"/>
  <c r="T11" i="8"/>
  <c r="AE11" i="8"/>
  <c r="AF11" i="8"/>
  <c r="AG11" i="8"/>
  <c r="AJ11" i="8"/>
  <c r="AK11" i="8"/>
  <c r="AL11" i="8"/>
  <c r="AM11" i="8"/>
  <c r="AO11" i="8"/>
  <c r="AP11" i="8"/>
  <c r="N12" i="8"/>
  <c r="T12" i="8"/>
  <c r="AE12" i="8"/>
  <c r="AF12" i="8"/>
  <c r="AG12" i="8"/>
  <c r="AJ12" i="8"/>
  <c r="AK12" i="8"/>
  <c r="AL12" i="8"/>
  <c r="AM12" i="8"/>
  <c r="AO12" i="8"/>
  <c r="AP12" i="8"/>
  <c r="N13" i="8"/>
  <c r="T13" i="8"/>
  <c r="AE13" i="8"/>
  <c r="AF13" i="8"/>
  <c r="AG13" i="8"/>
  <c r="AJ13" i="8"/>
  <c r="AK13" i="8"/>
  <c r="AL13" i="8"/>
  <c r="AM13" i="8"/>
  <c r="AO13" i="8"/>
  <c r="AP13" i="8"/>
  <c r="N14" i="8"/>
  <c r="T14" i="8"/>
  <c r="AE14" i="8"/>
  <c r="AF14" i="8"/>
  <c r="AG14" i="8"/>
  <c r="AJ14" i="8"/>
  <c r="AK14" i="8"/>
  <c r="AL14" i="8"/>
  <c r="AM14" i="8"/>
  <c r="AO14" i="8"/>
  <c r="AP14" i="8"/>
  <c r="N15" i="8"/>
  <c r="T15" i="8"/>
  <c r="AE15" i="8"/>
  <c r="AF15" i="8"/>
  <c r="AG15" i="8"/>
  <c r="AJ15" i="8"/>
  <c r="AK15" i="8"/>
  <c r="AL15" i="8"/>
  <c r="AM15" i="8"/>
  <c r="AO15" i="8"/>
  <c r="AP15" i="8"/>
  <c r="N16" i="8"/>
  <c r="T16" i="8"/>
  <c r="AE16" i="8"/>
  <c r="AF16" i="8"/>
  <c r="AG16" i="8"/>
  <c r="AJ16" i="8"/>
  <c r="AK16" i="8"/>
  <c r="AL16" i="8"/>
  <c r="AM16" i="8"/>
  <c r="AO16" i="8"/>
  <c r="AP16" i="8"/>
  <c r="N17" i="8"/>
  <c r="T17" i="8"/>
  <c r="AE17" i="8"/>
  <c r="AF17" i="8"/>
  <c r="AG17" i="8"/>
  <c r="AJ17" i="8"/>
  <c r="AK17" i="8"/>
  <c r="AL17" i="8"/>
  <c r="AM17" i="8"/>
  <c r="AO17" i="8"/>
  <c r="AP17" i="8"/>
  <c r="N18" i="8"/>
  <c r="T18" i="8"/>
  <c r="AE18" i="8"/>
  <c r="AF18" i="8"/>
  <c r="AG18" i="8"/>
  <c r="AJ18" i="8"/>
  <c r="AK18" i="8"/>
  <c r="AL18" i="8"/>
  <c r="AM18" i="8"/>
  <c r="AO18" i="8"/>
  <c r="AP18" i="8"/>
  <c r="N19" i="8"/>
  <c r="T19" i="8"/>
  <c r="AE19" i="8"/>
  <c r="AF19" i="8"/>
  <c r="AG19" i="8"/>
  <c r="AJ19" i="8"/>
  <c r="AK19" i="8"/>
  <c r="AL19" i="8"/>
  <c r="AM19" i="8"/>
  <c r="AO19" i="8"/>
  <c r="AP19" i="8"/>
  <c r="N20" i="8"/>
  <c r="T20" i="8"/>
  <c r="AE20" i="8"/>
  <c r="AF20" i="8"/>
  <c r="AG20" i="8"/>
  <c r="AJ20" i="8"/>
  <c r="AK20" i="8"/>
  <c r="AL20" i="8"/>
  <c r="AM20" i="8"/>
  <c r="AO20" i="8"/>
  <c r="AP20" i="8"/>
  <c r="N21" i="8"/>
  <c r="T21" i="8"/>
  <c r="AE21" i="8"/>
  <c r="AF21" i="8"/>
  <c r="AG21" i="8"/>
  <c r="AJ21" i="8"/>
  <c r="AK21" i="8"/>
  <c r="AL21" i="8"/>
  <c r="AM21" i="8"/>
  <c r="AO21" i="8"/>
  <c r="AP21" i="8"/>
  <c r="N22" i="8"/>
  <c r="T22" i="8"/>
  <c r="AE22" i="8"/>
  <c r="AF22" i="8"/>
  <c r="AG22" i="8"/>
  <c r="AJ22" i="8"/>
  <c r="AK22" i="8"/>
  <c r="AL22" i="8"/>
  <c r="AM22" i="8"/>
  <c r="AO22" i="8"/>
  <c r="AP22" i="8"/>
  <c r="N23" i="8"/>
  <c r="T23" i="8"/>
  <c r="AE23" i="8"/>
  <c r="AF23" i="8"/>
  <c r="AG23" i="8"/>
  <c r="AJ23" i="8"/>
  <c r="AK23" i="8"/>
  <c r="AL23" i="8"/>
  <c r="AM23" i="8"/>
  <c r="AO23" i="8"/>
  <c r="AP23" i="8"/>
  <c r="N24" i="8"/>
  <c r="T24" i="8"/>
  <c r="AE24" i="8"/>
  <c r="AF24" i="8"/>
  <c r="AG24" i="8"/>
  <c r="AJ24" i="8"/>
  <c r="AK24" i="8"/>
  <c r="AL24" i="8"/>
  <c r="AM24" i="8"/>
  <c r="AO24" i="8"/>
  <c r="AP24" i="8"/>
  <c r="N25" i="8"/>
  <c r="T25" i="8"/>
  <c r="AE25" i="8"/>
  <c r="AF25" i="8"/>
  <c r="AG25" i="8"/>
  <c r="AJ25" i="8"/>
  <c r="AK25" i="8"/>
  <c r="AL25" i="8"/>
  <c r="AM25" i="8"/>
  <c r="AO25" i="8"/>
  <c r="AP25" i="8"/>
  <c r="N26" i="8"/>
  <c r="T26" i="8"/>
  <c r="AE26" i="8"/>
  <c r="AF26" i="8"/>
  <c r="AG26" i="8"/>
  <c r="AJ26" i="8"/>
  <c r="AK26" i="8"/>
  <c r="AL26" i="8"/>
  <c r="AM26" i="8"/>
  <c r="AO26" i="8"/>
  <c r="AP26" i="8"/>
  <c r="N27" i="8"/>
  <c r="T27" i="8"/>
  <c r="AE27" i="8"/>
  <c r="AF27" i="8"/>
  <c r="AG27" i="8"/>
  <c r="AJ27" i="8"/>
  <c r="AK27" i="8"/>
  <c r="AL27" i="8"/>
  <c r="AM27" i="8"/>
  <c r="AO27" i="8"/>
  <c r="AP27" i="8"/>
  <c r="N28" i="8"/>
  <c r="T28" i="8"/>
  <c r="AE28" i="8"/>
  <c r="AF28" i="8"/>
  <c r="AG28" i="8"/>
  <c r="AJ28" i="8"/>
  <c r="AK28" i="8"/>
  <c r="AL28" i="8"/>
  <c r="AM28" i="8"/>
  <c r="AO28" i="8"/>
  <c r="AP28" i="8"/>
  <c r="N29" i="8"/>
  <c r="T29" i="8"/>
  <c r="AE29" i="8"/>
  <c r="AF29" i="8"/>
  <c r="AG29" i="8"/>
  <c r="AJ29" i="8"/>
  <c r="AK29" i="8"/>
  <c r="AL29" i="8"/>
  <c r="AM29" i="8"/>
  <c r="AO29" i="8"/>
  <c r="AP29" i="8"/>
  <c r="N30" i="8"/>
  <c r="T30" i="8"/>
  <c r="AE30" i="8"/>
  <c r="AF30" i="8"/>
  <c r="AG30" i="8"/>
  <c r="AJ30" i="8"/>
  <c r="AK30" i="8"/>
  <c r="AL30" i="8"/>
  <c r="AM30" i="8"/>
  <c r="AO30" i="8"/>
  <c r="AP30" i="8"/>
  <c r="N31" i="8"/>
  <c r="T31" i="8"/>
  <c r="AE31" i="8"/>
  <c r="AF31" i="8"/>
  <c r="AG31" i="8"/>
  <c r="AJ31" i="8"/>
  <c r="AK31" i="8"/>
  <c r="AL31" i="8"/>
  <c r="AM31" i="8"/>
  <c r="AO31" i="8"/>
  <c r="AP31" i="8"/>
  <c r="N32" i="8"/>
  <c r="T32" i="8"/>
  <c r="AE32" i="8"/>
  <c r="AF32" i="8"/>
  <c r="AG32" i="8"/>
  <c r="AJ32" i="8"/>
  <c r="AK32" i="8"/>
  <c r="AL32" i="8"/>
  <c r="AM32" i="8"/>
  <c r="AO32" i="8"/>
  <c r="AP32" i="8"/>
  <c r="N33" i="8"/>
  <c r="T33" i="8"/>
  <c r="AE33" i="8"/>
  <c r="AF33" i="8"/>
  <c r="AG33" i="8"/>
  <c r="AJ33" i="8"/>
  <c r="AK33" i="8"/>
  <c r="AL33" i="8"/>
  <c r="AM33" i="8"/>
  <c r="AO33" i="8"/>
  <c r="AP33" i="8"/>
  <c r="N34" i="8"/>
  <c r="T34" i="8"/>
  <c r="AE34" i="8"/>
  <c r="AF34" i="8"/>
  <c r="AG34" i="8"/>
  <c r="AJ34" i="8"/>
  <c r="AK34" i="8"/>
  <c r="AL34" i="8"/>
  <c r="AM34" i="8"/>
  <c r="AO34" i="8"/>
  <c r="AP34" i="8"/>
  <c r="N35" i="8"/>
  <c r="T35" i="8"/>
  <c r="AE35" i="8"/>
  <c r="AF35" i="8"/>
  <c r="AG35" i="8"/>
  <c r="AJ35" i="8"/>
  <c r="AK35" i="8"/>
  <c r="AL35" i="8"/>
  <c r="AM35" i="8"/>
  <c r="AO35" i="8"/>
  <c r="AP35" i="8"/>
  <c r="N36" i="8"/>
  <c r="T36" i="8"/>
  <c r="AE36" i="8"/>
  <c r="AF36" i="8"/>
  <c r="AG36" i="8"/>
  <c r="AJ36" i="8"/>
  <c r="AK36" i="8"/>
  <c r="AL36" i="8"/>
  <c r="AM36" i="8"/>
  <c r="AO36" i="8"/>
  <c r="AP36" i="8"/>
  <c r="N37" i="8"/>
  <c r="T37" i="8"/>
  <c r="AE37" i="8"/>
  <c r="AF37" i="8"/>
  <c r="AG37" i="8"/>
  <c r="AJ37" i="8"/>
  <c r="AK37" i="8"/>
  <c r="AL37" i="8"/>
  <c r="AM37" i="8"/>
  <c r="AO37" i="8"/>
  <c r="AP37" i="8"/>
  <c r="N38" i="8"/>
  <c r="T38" i="8"/>
  <c r="AE38" i="8"/>
  <c r="AF38" i="8"/>
  <c r="AG38" i="8"/>
  <c r="AJ38" i="8"/>
  <c r="AK38" i="8"/>
  <c r="AL38" i="8"/>
  <c r="AM38" i="8"/>
  <c r="AO38" i="8"/>
  <c r="AP38" i="8"/>
  <c r="N39" i="8"/>
  <c r="T39" i="8"/>
  <c r="AE39" i="8"/>
  <c r="AF39" i="8"/>
  <c r="AG39" i="8"/>
  <c r="AJ39" i="8"/>
  <c r="AK39" i="8"/>
  <c r="AL39" i="8"/>
  <c r="AM39" i="8"/>
  <c r="AO39" i="8"/>
  <c r="AP39" i="8"/>
  <c r="N40" i="8"/>
  <c r="T40" i="8"/>
  <c r="AE40" i="8"/>
  <c r="AF40" i="8"/>
  <c r="AG40" i="8"/>
  <c r="AJ40" i="8"/>
  <c r="AK40" i="8"/>
  <c r="AL40" i="8"/>
  <c r="AM40" i="8"/>
  <c r="AO40" i="8"/>
  <c r="AP40" i="8"/>
  <c r="N41" i="8"/>
  <c r="T41" i="8"/>
  <c r="AE41" i="8"/>
  <c r="AF41" i="8"/>
  <c r="AG41" i="8"/>
  <c r="AJ41" i="8"/>
  <c r="AK41" i="8"/>
  <c r="AL41" i="8"/>
  <c r="AM41" i="8"/>
  <c r="AO41" i="8"/>
  <c r="AP41" i="8"/>
  <c r="N42" i="8"/>
  <c r="T42" i="8"/>
  <c r="AE42" i="8"/>
  <c r="AF42" i="8"/>
  <c r="AG42" i="8"/>
  <c r="AJ42" i="8"/>
  <c r="AK42" i="8"/>
  <c r="AL42" i="8"/>
  <c r="AM42" i="8"/>
  <c r="AO42" i="8"/>
  <c r="AP42" i="8"/>
  <c r="N43" i="8"/>
  <c r="T43" i="8"/>
  <c r="AE43" i="8"/>
  <c r="AF43" i="8"/>
  <c r="AG43" i="8"/>
  <c r="AJ43" i="8"/>
  <c r="AK43" i="8"/>
  <c r="AL43" i="8"/>
  <c r="AM43" i="8"/>
  <c r="AO43" i="8"/>
  <c r="AP43" i="8"/>
  <c r="N44" i="8"/>
  <c r="T44" i="8"/>
  <c r="AE44" i="8"/>
  <c r="AF44" i="8"/>
  <c r="AG44" i="8"/>
  <c r="AJ44" i="8"/>
  <c r="AK44" i="8"/>
  <c r="AL44" i="8"/>
  <c r="AM44" i="8"/>
  <c r="AO44" i="8"/>
  <c r="AP44" i="8"/>
  <c r="N45" i="8"/>
  <c r="T45" i="8"/>
  <c r="AE45" i="8"/>
  <c r="AF45" i="8"/>
  <c r="AG45" i="8"/>
  <c r="AJ45" i="8"/>
  <c r="AK45" i="8"/>
  <c r="AL45" i="8"/>
  <c r="AM45" i="8"/>
  <c r="AO45" i="8"/>
  <c r="AP45" i="8"/>
  <c r="N46" i="8"/>
  <c r="T46" i="8"/>
  <c r="AE46" i="8"/>
  <c r="AF46" i="8"/>
  <c r="AG46" i="8"/>
  <c r="AJ46" i="8"/>
  <c r="AK46" i="8"/>
  <c r="AL46" i="8"/>
  <c r="AM46" i="8"/>
  <c r="AO46" i="8"/>
  <c r="AP46" i="8"/>
  <c r="N47" i="8"/>
  <c r="T47" i="8"/>
  <c r="AE47" i="8"/>
  <c r="AF47" i="8"/>
  <c r="AG47" i="8"/>
  <c r="AJ47" i="8"/>
  <c r="AK47" i="8"/>
  <c r="AL47" i="8"/>
  <c r="AM47" i="8"/>
  <c r="AO47" i="8"/>
  <c r="AP47" i="8"/>
  <c r="N48" i="8"/>
  <c r="T48" i="8"/>
  <c r="AE48" i="8"/>
  <c r="AF48" i="8"/>
  <c r="AG48" i="8"/>
  <c r="AJ48" i="8"/>
  <c r="AK48" i="8"/>
  <c r="AL48" i="8"/>
  <c r="AM48" i="8"/>
  <c r="AO48" i="8"/>
  <c r="AP48" i="8"/>
  <c r="N49" i="8"/>
  <c r="T49" i="8"/>
  <c r="AE49" i="8"/>
  <c r="AF49" i="8"/>
  <c r="AG49" i="8"/>
  <c r="AJ49" i="8"/>
  <c r="AK49" i="8"/>
  <c r="AL49" i="8"/>
  <c r="AM49" i="8"/>
  <c r="AO49" i="8"/>
  <c r="AP49" i="8"/>
  <c r="N50" i="8"/>
  <c r="T50" i="8"/>
  <c r="AE50" i="8"/>
  <c r="AF50" i="8"/>
  <c r="AG50" i="8"/>
  <c r="AJ50" i="8"/>
  <c r="AK50" i="8"/>
  <c r="AL50" i="8"/>
  <c r="AM50" i="8"/>
  <c r="AO50" i="8"/>
  <c r="AP50" i="8"/>
  <c r="N51" i="8"/>
  <c r="T51" i="8"/>
  <c r="AE51" i="8"/>
  <c r="AF51" i="8"/>
  <c r="AG51" i="8"/>
  <c r="AJ51" i="8"/>
  <c r="AK51" i="8"/>
  <c r="AL51" i="8"/>
  <c r="AM51" i="8"/>
  <c r="AO51" i="8"/>
  <c r="AP51" i="8"/>
  <c r="N52" i="8"/>
  <c r="T52" i="8"/>
  <c r="AE52" i="8"/>
  <c r="AF52" i="8"/>
  <c r="AG52" i="8"/>
  <c r="AJ52" i="8"/>
  <c r="AK52" i="8"/>
  <c r="AL52" i="8"/>
  <c r="AM52" i="8"/>
  <c r="AO52" i="8"/>
  <c r="AP52" i="8"/>
  <c r="N53" i="8"/>
  <c r="T53" i="8"/>
  <c r="AE53" i="8"/>
  <c r="AF53" i="8"/>
  <c r="AG53" i="8"/>
  <c r="AJ53" i="8"/>
  <c r="AK53" i="8"/>
  <c r="AL53" i="8"/>
  <c r="AM53" i="8"/>
  <c r="AO53" i="8"/>
  <c r="AP53" i="8"/>
  <c r="N54" i="8"/>
  <c r="T54" i="8"/>
  <c r="AE54" i="8"/>
  <c r="AF54" i="8"/>
  <c r="AG54" i="8"/>
  <c r="AJ54" i="8"/>
  <c r="AK54" i="8"/>
  <c r="AL54" i="8"/>
  <c r="AM54" i="8"/>
  <c r="AO54" i="8"/>
  <c r="AP54" i="8"/>
  <c r="N55" i="8"/>
  <c r="T55" i="8"/>
  <c r="AE55" i="8"/>
  <c r="AF55" i="8"/>
  <c r="AG55" i="8"/>
  <c r="AJ55" i="8"/>
  <c r="AK55" i="8"/>
  <c r="AL55" i="8"/>
  <c r="AM55" i="8"/>
  <c r="AO55" i="8"/>
  <c r="AP55" i="8"/>
  <c r="N57" i="8"/>
  <c r="T57" i="8"/>
  <c r="AE57" i="8"/>
  <c r="AF57" i="8"/>
  <c r="AG57" i="8"/>
  <c r="AJ57" i="8"/>
  <c r="AK57" i="8"/>
  <c r="AL57" i="8"/>
  <c r="AM57" i="8"/>
  <c r="AO57" i="8"/>
  <c r="AP57" i="8"/>
  <c r="AO59" i="8"/>
  <c r="AP59" i="8"/>
  <c r="AE62" i="8"/>
  <c r="AF62" i="8"/>
  <c r="N5" i="24"/>
  <c r="T5" i="24"/>
  <c r="AE5" i="24"/>
  <c r="AF5" i="24"/>
  <c r="AG5" i="24"/>
  <c r="AJ5" i="24"/>
  <c r="AK5" i="24"/>
  <c r="AL5" i="24"/>
  <c r="AM5" i="24"/>
  <c r="AO5" i="24"/>
  <c r="AP5" i="24"/>
  <c r="AW5" i="24"/>
  <c r="AX5" i="24"/>
  <c r="AZ5" i="24"/>
  <c r="N6" i="24"/>
  <c r="T6" i="24"/>
  <c r="AE6" i="24"/>
  <c r="AF6" i="24"/>
  <c r="AG6" i="24"/>
  <c r="AJ6" i="24"/>
  <c r="AK6" i="24"/>
  <c r="AL6" i="24"/>
  <c r="AM6" i="24"/>
  <c r="AO6" i="24"/>
  <c r="AP6" i="24"/>
  <c r="AW6" i="24"/>
  <c r="AX6" i="24"/>
  <c r="AZ6" i="24"/>
  <c r="N7" i="24"/>
  <c r="T7" i="24"/>
  <c r="AE7" i="24"/>
  <c r="AF7" i="24"/>
  <c r="AG7" i="24"/>
  <c r="AJ7" i="24"/>
  <c r="AK7" i="24"/>
  <c r="AL7" i="24"/>
  <c r="AM7" i="24"/>
  <c r="AO7" i="24"/>
  <c r="AP7" i="24"/>
  <c r="AW7" i="24"/>
  <c r="AX7" i="24"/>
  <c r="AZ7" i="24"/>
  <c r="N8" i="24"/>
  <c r="T8" i="24"/>
  <c r="AE8" i="24"/>
  <c r="AF8" i="24"/>
  <c r="AG8" i="24"/>
  <c r="AJ8" i="24"/>
  <c r="AK8" i="24"/>
  <c r="AL8" i="24"/>
  <c r="AM8" i="24"/>
  <c r="AO8" i="24"/>
  <c r="AP8" i="24"/>
  <c r="AW8" i="24"/>
  <c r="AX8" i="24"/>
  <c r="AZ8" i="24"/>
  <c r="N9" i="24"/>
  <c r="T9" i="24"/>
  <c r="AE9" i="24"/>
  <c r="AF9" i="24"/>
  <c r="AG9" i="24"/>
  <c r="AJ9" i="24"/>
  <c r="AK9" i="24"/>
  <c r="AL9" i="24"/>
  <c r="AM9" i="24"/>
  <c r="AO9" i="24"/>
  <c r="AP9" i="24"/>
  <c r="AW9" i="24"/>
  <c r="AX9" i="24"/>
  <c r="AZ9" i="24"/>
  <c r="N10" i="24"/>
  <c r="T10" i="24"/>
  <c r="AE10" i="24"/>
  <c r="AF10" i="24"/>
  <c r="AG10" i="24"/>
  <c r="AJ10" i="24"/>
  <c r="AK10" i="24"/>
  <c r="AL10" i="24"/>
  <c r="AM10" i="24"/>
  <c r="AO10" i="24"/>
  <c r="AP10" i="24"/>
  <c r="AW10" i="24"/>
  <c r="AX10" i="24"/>
  <c r="AZ10" i="24"/>
  <c r="N11" i="24"/>
  <c r="T11" i="24"/>
  <c r="AE11" i="24"/>
  <c r="AF11" i="24"/>
  <c r="AG11" i="24"/>
  <c r="AJ11" i="24"/>
  <c r="AK11" i="24"/>
  <c r="AL11" i="24"/>
  <c r="AM11" i="24"/>
  <c r="AO11" i="24"/>
  <c r="AP11" i="24"/>
  <c r="AW11" i="24"/>
  <c r="AX11" i="24"/>
  <c r="AZ11" i="24"/>
  <c r="N12" i="24"/>
  <c r="T12" i="24"/>
  <c r="AE12" i="24"/>
  <c r="AF12" i="24"/>
  <c r="AG12" i="24"/>
  <c r="AJ12" i="24"/>
  <c r="AK12" i="24"/>
  <c r="AL12" i="24"/>
  <c r="AM12" i="24"/>
  <c r="AO12" i="24"/>
  <c r="AP12" i="24"/>
  <c r="AW12" i="24"/>
  <c r="AX12" i="24"/>
  <c r="AZ12" i="24"/>
  <c r="N13" i="24"/>
  <c r="T13" i="24"/>
  <c r="AE13" i="24"/>
  <c r="AF13" i="24"/>
  <c r="AG13" i="24"/>
  <c r="AJ13" i="24"/>
  <c r="AK13" i="24"/>
  <c r="AL13" i="24"/>
  <c r="AM13" i="24"/>
  <c r="AO13" i="24"/>
  <c r="AP13" i="24"/>
  <c r="AW13" i="24"/>
  <c r="AX13" i="24"/>
  <c r="AZ13" i="24"/>
  <c r="N14" i="24"/>
  <c r="T14" i="24"/>
  <c r="AE14" i="24"/>
  <c r="AF14" i="24"/>
  <c r="AG14" i="24"/>
  <c r="AJ14" i="24"/>
  <c r="AK14" i="24"/>
  <c r="AL14" i="24"/>
  <c r="AM14" i="24"/>
  <c r="AO14" i="24"/>
  <c r="AP14" i="24"/>
  <c r="AW14" i="24"/>
  <c r="AX14" i="24"/>
  <c r="AZ14" i="24"/>
  <c r="N15" i="24"/>
  <c r="T15" i="24"/>
  <c r="AE15" i="24"/>
  <c r="AF15" i="24"/>
  <c r="AG15" i="24"/>
  <c r="AJ15" i="24"/>
  <c r="AK15" i="24"/>
  <c r="AL15" i="24"/>
  <c r="AM15" i="24"/>
  <c r="AO15" i="24"/>
  <c r="AP15" i="24"/>
  <c r="AW15" i="24"/>
  <c r="AX15" i="24"/>
  <c r="AZ15" i="24"/>
  <c r="N16" i="24"/>
  <c r="T16" i="24"/>
  <c r="AE16" i="24"/>
  <c r="AF16" i="24"/>
  <c r="AG16" i="24"/>
  <c r="AJ16" i="24"/>
  <c r="AK16" i="24"/>
  <c r="AL16" i="24"/>
  <c r="AM16" i="24"/>
  <c r="AO16" i="24"/>
  <c r="AP16" i="24"/>
  <c r="AW16" i="24"/>
  <c r="AX16" i="24"/>
  <c r="AZ16" i="24"/>
  <c r="N17" i="24"/>
  <c r="T17" i="24"/>
  <c r="AE17" i="24"/>
  <c r="AF17" i="24"/>
  <c r="AG17" i="24"/>
  <c r="AJ17" i="24"/>
  <c r="AK17" i="24"/>
  <c r="AL17" i="24"/>
  <c r="AM17" i="24"/>
  <c r="AO17" i="24"/>
  <c r="AP17" i="24"/>
  <c r="AW17" i="24"/>
  <c r="AX17" i="24"/>
  <c r="AZ17" i="24"/>
  <c r="N18" i="24"/>
  <c r="T18" i="24"/>
  <c r="AE18" i="24"/>
  <c r="AF18" i="24"/>
  <c r="AG18" i="24"/>
  <c r="AJ18" i="24"/>
  <c r="AK18" i="24"/>
  <c r="AL18" i="24"/>
  <c r="AM18" i="24"/>
  <c r="AO18" i="24"/>
  <c r="AP18" i="24"/>
  <c r="AW18" i="24"/>
  <c r="AX18" i="24"/>
  <c r="AZ18" i="24"/>
  <c r="N19" i="24"/>
  <c r="T19" i="24"/>
  <c r="AE19" i="24"/>
  <c r="AF19" i="24"/>
  <c r="AG19" i="24"/>
  <c r="AJ19" i="24"/>
  <c r="AK19" i="24"/>
  <c r="AL19" i="24"/>
  <c r="AM19" i="24"/>
  <c r="AO19" i="24"/>
  <c r="AP19" i="24"/>
  <c r="AW19" i="24"/>
  <c r="AX19" i="24"/>
  <c r="AZ19" i="24"/>
  <c r="N20" i="24"/>
  <c r="T20" i="24"/>
  <c r="AE20" i="24"/>
  <c r="AF20" i="24"/>
  <c r="AG20" i="24"/>
  <c r="AJ20" i="24"/>
  <c r="AK20" i="24"/>
  <c r="AL20" i="24"/>
  <c r="AM20" i="24"/>
  <c r="AO20" i="24"/>
  <c r="AP20" i="24"/>
  <c r="AW20" i="24"/>
  <c r="AX20" i="24"/>
  <c r="AZ20" i="24"/>
  <c r="N21" i="24"/>
  <c r="T21" i="24"/>
  <c r="AE21" i="24"/>
  <c r="AF21" i="24"/>
  <c r="AG21" i="24"/>
  <c r="AJ21" i="24"/>
  <c r="AK21" i="24"/>
  <c r="AL21" i="24"/>
  <c r="AM21" i="24"/>
  <c r="AO21" i="24"/>
  <c r="AP21" i="24"/>
  <c r="AW21" i="24"/>
  <c r="AX21" i="24"/>
  <c r="AZ21" i="24"/>
  <c r="N22" i="24"/>
  <c r="T22" i="24"/>
  <c r="AE22" i="24"/>
  <c r="AF22" i="24"/>
  <c r="AG22" i="24"/>
  <c r="AJ22" i="24"/>
  <c r="AK22" i="24"/>
  <c r="AL22" i="24"/>
  <c r="AM22" i="24"/>
  <c r="AO22" i="24"/>
  <c r="AP22" i="24"/>
  <c r="AW22" i="24"/>
  <c r="AX22" i="24"/>
  <c r="AZ22" i="24"/>
  <c r="N23" i="24"/>
  <c r="T23" i="24"/>
  <c r="AE23" i="24"/>
  <c r="AF23" i="24"/>
  <c r="AG23" i="24"/>
  <c r="AJ23" i="24"/>
  <c r="AK23" i="24"/>
  <c r="AL23" i="24"/>
  <c r="AM23" i="24"/>
  <c r="AO23" i="24"/>
  <c r="AP23" i="24"/>
  <c r="AW23" i="24"/>
  <c r="AX23" i="24"/>
  <c r="AZ23" i="24"/>
  <c r="N24" i="24"/>
  <c r="T24" i="24"/>
  <c r="AE24" i="24"/>
  <c r="AF24" i="24"/>
  <c r="AG24" i="24"/>
  <c r="AJ24" i="24"/>
  <c r="AK24" i="24"/>
  <c r="AL24" i="24"/>
  <c r="AM24" i="24"/>
  <c r="AO24" i="24"/>
  <c r="AP24" i="24"/>
  <c r="AW24" i="24"/>
  <c r="AX24" i="24"/>
  <c r="AZ24" i="24"/>
  <c r="N25" i="24"/>
  <c r="T25" i="24"/>
  <c r="AE25" i="24"/>
  <c r="AF25" i="24"/>
  <c r="AG25" i="24"/>
  <c r="AJ25" i="24"/>
  <c r="AK25" i="24"/>
  <c r="AL25" i="24"/>
  <c r="AM25" i="24"/>
  <c r="AO25" i="24"/>
  <c r="AP25" i="24"/>
  <c r="AW25" i="24"/>
  <c r="AX25" i="24"/>
  <c r="AZ25" i="24"/>
  <c r="N26" i="24"/>
  <c r="T26" i="24"/>
  <c r="AE26" i="24"/>
  <c r="AF26" i="24"/>
  <c r="AG26" i="24"/>
  <c r="AJ26" i="24"/>
  <c r="AK26" i="24"/>
  <c r="AL26" i="24"/>
  <c r="AM26" i="24"/>
  <c r="AO26" i="24"/>
  <c r="AP26" i="24"/>
  <c r="AW26" i="24"/>
  <c r="AX26" i="24"/>
  <c r="AZ26" i="24"/>
  <c r="N27" i="24"/>
  <c r="T27" i="24"/>
  <c r="AE27" i="24"/>
  <c r="AF27" i="24"/>
  <c r="AG27" i="24"/>
  <c r="AJ27" i="24"/>
  <c r="AK27" i="24"/>
  <c r="AL27" i="24"/>
  <c r="AM27" i="24"/>
  <c r="AO27" i="24"/>
  <c r="AP27" i="24"/>
  <c r="AW27" i="24"/>
  <c r="AX27" i="24"/>
  <c r="AZ27" i="24"/>
  <c r="N28" i="24"/>
  <c r="T28" i="24"/>
  <c r="AE28" i="24"/>
  <c r="AF28" i="24"/>
  <c r="AG28" i="24"/>
  <c r="AJ28" i="24"/>
  <c r="AK28" i="24"/>
  <c r="AL28" i="24"/>
  <c r="AM28" i="24"/>
  <c r="AO28" i="24"/>
  <c r="AP28" i="24"/>
  <c r="AW28" i="24"/>
  <c r="AX28" i="24"/>
  <c r="AZ28" i="24"/>
  <c r="N29" i="24"/>
  <c r="T29" i="24"/>
  <c r="AE29" i="24"/>
  <c r="AF29" i="24"/>
  <c r="AG29" i="24"/>
  <c r="AJ29" i="24"/>
  <c r="AK29" i="24"/>
  <c r="AL29" i="24"/>
  <c r="AM29" i="24"/>
  <c r="AO29" i="24"/>
  <c r="AP29" i="24"/>
  <c r="AW29" i="24"/>
  <c r="AX29" i="24"/>
  <c r="AZ29" i="24"/>
  <c r="N30" i="24"/>
  <c r="T30" i="24"/>
  <c r="AE30" i="24"/>
  <c r="AF30" i="24"/>
  <c r="AG30" i="24"/>
  <c r="AJ30" i="24"/>
  <c r="AK30" i="24"/>
  <c r="AL30" i="24"/>
  <c r="AM30" i="24"/>
  <c r="AO30" i="24"/>
  <c r="AP30" i="24"/>
  <c r="AW30" i="24"/>
  <c r="AX30" i="24"/>
  <c r="AZ30" i="24"/>
  <c r="N31" i="24"/>
  <c r="T31" i="24"/>
  <c r="AE31" i="24"/>
  <c r="AF31" i="24"/>
  <c r="AG31" i="24"/>
  <c r="AJ31" i="24"/>
  <c r="AK31" i="24"/>
  <c r="AL31" i="24"/>
  <c r="AM31" i="24"/>
  <c r="AO31" i="24"/>
  <c r="AP31" i="24"/>
  <c r="AW31" i="24"/>
  <c r="AX31" i="24"/>
  <c r="AZ31" i="24"/>
  <c r="N32" i="24"/>
  <c r="T32" i="24"/>
  <c r="AE32" i="24"/>
  <c r="AF32" i="24"/>
  <c r="AG32" i="24"/>
  <c r="AJ32" i="24"/>
  <c r="AK32" i="24"/>
  <c r="AL32" i="24"/>
  <c r="AM32" i="24"/>
  <c r="AO32" i="24"/>
  <c r="AP32" i="24"/>
  <c r="AW32" i="24"/>
  <c r="AX32" i="24"/>
  <c r="AZ32" i="24"/>
  <c r="N33" i="24"/>
  <c r="T33" i="24"/>
  <c r="AE33" i="24"/>
  <c r="AF33" i="24"/>
  <c r="AG33" i="24"/>
  <c r="AJ33" i="24"/>
  <c r="AK33" i="24"/>
  <c r="AL33" i="24"/>
  <c r="AM33" i="24"/>
  <c r="AO33" i="24"/>
  <c r="AP33" i="24"/>
  <c r="AW33" i="24"/>
  <c r="AX33" i="24"/>
  <c r="AZ33" i="24"/>
  <c r="N34" i="24"/>
  <c r="T34" i="24"/>
  <c r="AE34" i="24"/>
  <c r="AF34" i="24"/>
  <c r="AG34" i="24"/>
  <c r="AJ34" i="24"/>
  <c r="AK34" i="24"/>
  <c r="AL34" i="24"/>
  <c r="AM34" i="24"/>
  <c r="AO34" i="24"/>
  <c r="AP34" i="24"/>
  <c r="AW34" i="24"/>
  <c r="AX34" i="24"/>
  <c r="AZ34" i="24"/>
  <c r="N35" i="24"/>
  <c r="T35" i="24"/>
  <c r="AE35" i="24"/>
  <c r="AF35" i="24"/>
  <c r="AG35" i="24"/>
  <c r="AJ35" i="24"/>
  <c r="AK35" i="24"/>
  <c r="AL35" i="24"/>
  <c r="AM35" i="24"/>
  <c r="AO35" i="24"/>
  <c r="AP35" i="24"/>
  <c r="AW35" i="24"/>
  <c r="AX35" i="24"/>
  <c r="AZ35" i="24"/>
  <c r="N36" i="24"/>
  <c r="T36" i="24"/>
  <c r="AE36" i="24"/>
  <c r="AF36" i="24"/>
  <c r="AG36" i="24"/>
  <c r="AJ36" i="24"/>
  <c r="AK36" i="24"/>
  <c r="AL36" i="24"/>
  <c r="AM36" i="24"/>
  <c r="AO36" i="24"/>
  <c r="AP36" i="24"/>
  <c r="AW36" i="24"/>
  <c r="AX36" i="24"/>
  <c r="AZ36" i="24"/>
  <c r="N37" i="24"/>
  <c r="T37" i="24"/>
  <c r="AE37" i="24"/>
  <c r="AF37" i="24"/>
  <c r="AG37" i="24"/>
  <c r="AJ37" i="24"/>
  <c r="AK37" i="24"/>
  <c r="AL37" i="24"/>
  <c r="AM37" i="24"/>
  <c r="AO37" i="24"/>
  <c r="AP37" i="24"/>
  <c r="AW37" i="24"/>
  <c r="AX37" i="24"/>
  <c r="AZ37" i="24"/>
  <c r="N38" i="24"/>
  <c r="T38" i="24"/>
  <c r="AE38" i="24"/>
  <c r="AF38" i="24"/>
  <c r="AG38" i="24"/>
  <c r="AJ38" i="24"/>
  <c r="AK38" i="24"/>
  <c r="AL38" i="24"/>
  <c r="AM38" i="24"/>
  <c r="AO38" i="24"/>
  <c r="AP38" i="24"/>
  <c r="AW38" i="24"/>
  <c r="AX38" i="24"/>
  <c r="AZ38" i="24"/>
  <c r="N39" i="24"/>
  <c r="T39" i="24"/>
  <c r="AE39" i="24"/>
  <c r="AF39" i="24"/>
  <c r="AG39" i="24"/>
  <c r="AJ39" i="24"/>
  <c r="AK39" i="24"/>
  <c r="AL39" i="24"/>
  <c r="AM39" i="24"/>
  <c r="AO39" i="24"/>
  <c r="AP39" i="24"/>
  <c r="AW39" i="24"/>
  <c r="AX39" i="24"/>
  <c r="AZ39" i="24"/>
  <c r="N40" i="24"/>
  <c r="T40" i="24"/>
  <c r="AE40" i="24"/>
  <c r="AF40" i="24"/>
  <c r="AG40" i="24"/>
  <c r="AJ40" i="24"/>
  <c r="AK40" i="24"/>
  <c r="AL40" i="24"/>
  <c r="AM40" i="24"/>
  <c r="AO40" i="24"/>
  <c r="AP40" i="24"/>
  <c r="AW40" i="24"/>
  <c r="AX40" i="24"/>
  <c r="AZ40" i="24"/>
  <c r="N41" i="24"/>
  <c r="T41" i="24"/>
  <c r="AE41" i="24"/>
  <c r="AF41" i="24"/>
  <c r="AG41" i="24"/>
  <c r="AJ41" i="24"/>
  <c r="AK41" i="24"/>
  <c r="AL41" i="24"/>
  <c r="AM41" i="24"/>
  <c r="AO41" i="24"/>
  <c r="AP41" i="24"/>
  <c r="AW41" i="24"/>
  <c r="AX41" i="24"/>
  <c r="AZ41" i="24"/>
  <c r="N42" i="24"/>
  <c r="T42" i="24"/>
  <c r="AE42" i="24"/>
  <c r="AF42" i="24"/>
  <c r="AG42" i="24"/>
  <c r="AJ42" i="24"/>
  <c r="AK42" i="24"/>
  <c r="AL42" i="24"/>
  <c r="AM42" i="24"/>
  <c r="AO42" i="24"/>
  <c r="AP42" i="24"/>
  <c r="AW42" i="24"/>
  <c r="AX42" i="24"/>
  <c r="AZ42" i="24"/>
  <c r="N43" i="24"/>
  <c r="T43" i="24"/>
  <c r="AE43" i="24"/>
  <c r="AF43" i="24"/>
  <c r="AG43" i="24"/>
  <c r="AJ43" i="24"/>
  <c r="AK43" i="24"/>
  <c r="AL43" i="24"/>
  <c r="AM43" i="24"/>
  <c r="AO43" i="24"/>
  <c r="AP43" i="24"/>
  <c r="AW43" i="24"/>
  <c r="AX43" i="24"/>
  <c r="AZ43" i="24"/>
  <c r="N44" i="24"/>
  <c r="T44" i="24"/>
  <c r="AE44" i="24"/>
  <c r="AF44" i="24"/>
  <c r="AG44" i="24"/>
  <c r="AJ44" i="24"/>
  <c r="AK44" i="24"/>
  <c r="AL44" i="24"/>
  <c r="AM44" i="24"/>
  <c r="AO44" i="24"/>
  <c r="AP44" i="24"/>
  <c r="AW44" i="24"/>
  <c r="AX44" i="24"/>
  <c r="AZ44" i="24"/>
  <c r="N45" i="24"/>
  <c r="T45" i="24"/>
  <c r="AE45" i="24"/>
  <c r="AF45" i="24"/>
  <c r="AG45" i="24"/>
  <c r="AJ45" i="24"/>
  <c r="AK45" i="24"/>
  <c r="AL45" i="24"/>
  <c r="AM45" i="24"/>
  <c r="AO45" i="24"/>
  <c r="AP45" i="24"/>
  <c r="AW45" i="24"/>
  <c r="AX45" i="24"/>
  <c r="AZ45" i="24"/>
  <c r="N46" i="24"/>
  <c r="T46" i="24"/>
  <c r="AE46" i="24"/>
  <c r="AF46" i="24"/>
  <c r="AG46" i="24"/>
  <c r="AJ46" i="24"/>
  <c r="AK46" i="24"/>
  <c r="AL46" i="24"/>
  <c r="AM46" i="24"/>
  <c r="AO46" i="24"/>
  <c r="AP46" i="24"/>
  <c r="AW46" i="24"/>
  <c r="AX46" i="24"/>
  <c r="AZ46" i="24"/>
  <c r="N47" i="24"/>
  <c r="T47" i="24"/>
  <c r="AE47" i="24"/>
  <c r="AF47" i="24"/>
  <c r="AG47" i="24"/>
  <c r="AJ47" i="24"/>
  <c r="AK47" i="24"/>
  <c r="AL47" i="24"/>
  <c r="AM47" i="24"/>
  <c r="AO47" i="24"/>
  <c r="AP47" i="24"/>
  <c r="AW47" i="24"/>
  <c r="AX47" i="24"/>
  <c r="AZ47" i="24"/>
  <c r="N48" i="24"/>
  <c r="T48" i="24"/>
  <c r="AE48" i="24"/>
  <c r="AF48" i="24"/>
  <c r="AG48" i="24"/>
  <c r="AJ48" i="24"/>
  <c r="AK48" i="24"/>
  <c r="AL48" i="24"/>
  <c r="AM48" i="24"/>
  <c r="AO48" i="24"/>
  <c r="AP48" i="24"/>
  <c r="AW48" i="24"/>
  <c r="AX48" i="24"/>
  <c r="AZ48" i="24"/>
  <c r="N49" i="24"/>
  <c r="T49" i="24"/>
  <c r="AE49" i="24"/>
  <c r="AF49" i="24"/>
  <c r="AG49" i="24"/>
  <c r="AJ49" i="24"/>
  <c r="AK49" i="24"/>
  <c r="AL49" i="24"/>
  <c r="AM49" i="24"/>
  <c r="AO49" i="24"/>
  <c r="AP49" i="24"/>
  <c r="AW49" i="24"/>
  <c r="AX49" i="24"/>
  <c r="AZ49" i="24"/>
  <c r="N50" i="24"/>
  <c r="T50" i="24"/>
  <c r="AE50" i="24"/>
  <c r="AF50" i="24"/>
  <c r="AG50" i="24"/>
  <c r="AJ50" i="24"/>
  <c r="AK50" i="24"/>
  <c r="AL50" i="24"/>
  <c r="AM50" i="24"/>
  <c r="AO50" i="24"/>
  <c r="AP50" i="24"/>
  <c r="AW50" i="24"/>
  <c r="AX50" i="24"/>
  <c r="AZ50" i="24"/>
  <c r="N51" i="24"/>
  <c r="T51" i="24"/>
  <c r="AE51" i="24"/>
  <c r="AF51" i="24"/>
  <c r="AG51" i="24"/>
  <c r="AJ51" i="24"/>
  <c r="AK51" i="24"/>
  <c r="AL51" i="24"/>
  <c r="AM51" i="24"/>
  <c r="AO51" i="24"/>
  <c r="AP51" i="24"/>
  <c r="AW51" i="24"/>
  <c r="AX51" i="24"/>
  <c r="AZ51" i="24"/>
  <c r="N52" i="24"/>
  <c r="T52" i="24"/>
  <c r="AE52" i="24"/>
  <c r="AF52" i="24"/>
  <c r="AG52" i="24"/>
  <c r="AJ52" i="24"/>
  <c r="AK52" i="24"/>
  <c r="AL52" i="24"/>
  <c r="AM52" i="24"/>
  <c r="AO52" i="24"/>
  <c r="AP52" i="24"/>
  <c r="AW52" i="24"/>
  <c r="AX52" i="24"/>
  <c r="AZ52" i="24"/>
  <c r="N53" i="24"/>
  <c r="T53" i="24"/>
  <c r="AE53" i="24"/>
  <c r="AF53" i="24"/>
  <c r="AG53" i="24"/>
  <c r="AJ53" i="24"/>
  <c r="AK53" i="24"/>
  <c r="AL53" i="24"/>
  <c r="AM53" i="24"/>
  <c r="AO53" i="24"/>
  <c r="AP53" i="24"/>
  <c r="AW53" i="24"/>
  <c r="AX53" i="24"/>
  <c r="AZ53" i="24"/>
  <c r="N54" i="24"/>
  <c r="T54" i="24"/>
  <c r="AE54" i="24"/>
  <c r="AF54" i="24"/>
  <c r="AG54" i="24"/>
  <c r="AJ54" i="24"/>
  <c r="AK54" i="24"/>
  <c r="AL54" i="24"/>
  <c r="AM54" i="24"/>
  <c r="AO54" i="24"/>
  <c r="AP54" i="24"/>
  <c r="AW54" i="24"/>
  <c r="AX54" i="24"/>
  <c r="AZ54" i="24"/>
  <c r="N55" i="24"/>
  <c r="T55" i="24"/>
  <c r="AE55" i="24"/>
  <c r="AF55" i="24"/>
  <c r="AG55" i="24"/>
  <c r="AJ55" i="24"/>
  <c r="AK55" i="24"/>
  <c r="AL55" i="24"/>
  <c r="AM55" i="24"/>
  <c r="AO55" i="24"/>
  <c r="AP55" i="24"/>
  <c r="AW55" i="24"/>
  <c r="AX55" i="24"/>
  <c r="AZ55" i="24"/>
  <c r="N57" i="24"/>
  <c r="T57" i="24"/>
  <c r="AE57" i="24"/>
  <c r="AF57" i="24"/>
  <c r="AG57" i="24"/>
  <c r="AJ57" i="24"/>
  <c r="AK57" i="24"/>
  <c r="AL57" i="24"/>
  <c r="AM57" i="24"/>
  <c r="AO57" i="24"/>
  <c r="AP57" i="24"/>
  <c r="AO59" i="24"/>
  <c r="AP59" i="24"/>
  <c r="AE62" i="24"/>
  <c r="AF62" i="24"/>
  <c r="N5" i="9"/>
  <c r="T5" i="9"/>
  <c r="AE5" i="9"/>
  <c r="AF5" i="9"/>
  <c r="AG5" i="9"/>
  <c r="AJ5" i="9"/>
  <c r="AK5" i="9"/>
  <c r="AL5" i="9"/>
  <c r="AM5" i="9"/>
  <c r="AO5" i="9"/>
  <c r="AP5" i="9"/>
  <c r="N6" i="9"/>
  <c r="T6" i="9"/>
  <c r="AE6" i="9"/>
  <c r="AF6" i="9"/>
  <c r="AG6" i="9"/>
  <c r="AJ6" i="9"/>
  <c r="AK6" i="9"/>
  <c r="AL6" i="9"/>
  <c r="AM6" i="9"/>
  <c r="AO6" i="9"/>
  <c r="AP6" i="9"/>
  <c r="N7" i="9"/>
  <c r="T7" i="9"/>
  <c r="AE7" i="9"/>
  <c r="AF7" i="9"/>
  <c r="AG7" i="9"/>
  <c r="AJ7" i="9"/>
  <c r="AK7" i="9"/>
  <c r="AL7" i="9"/>
  <c r="AM7" i="9"/>
  <c r="AO7" i="9"/>
  <c r="AP7" i="9"/>
  <c r="N8" i="9"/>
  <c r="T8" i="9"/>
  <c r="AE8" i="9"/>
  <c r="AF8" i="9"/>
  <c r="AG8" i="9"/>
  <c r="AJ8" i="9"/>
  <c r="AK8" i="9"/>
  <c r="AL8" i="9"/>
  <c r="AM8" i="9"/>
  <c r="AO8" i="9"/>
  <c r="AP8" i="9"/>
  <c r="N9" i="9"/>
  <c r="T9" i="9"/>
  <c r="AE9" i="9"/>
  <c r="AF9" i="9"/>
  <c r="AG9" i="9"/>
  <c r="AJ9" i="9"/>
  <c r="AK9" i="9"/>
  <c r="AL9" i="9"/>
  <c r="AM9" i="9"/>
  <c r="AO9" i="9"/>
  <c r="AP9" i="9"/>
  <c r="N10" i="9"/>
  <c r="T10" i="9"/>
  <c r="AE10" i="9"/>
  <c r="AF10" i="9"/>
  <c r="AG10" i="9"/>
  <c r="AJ10" i="9"/>
  <c r="AK10" i="9"/>
  <c r="AL10" i="9"/>
  <c r="AM10" i="9"/>
  <c r="AO10" i="9"/>
  <c r="AP10" i="9"/>
  <c r="N11" i="9"/>
  <c r="T11" i="9"/>
  <c r="AE11" i="9"/>
  <c r="AF11" i="9"/>
  <c r="AG11" i="9"/>
  <c r="AJ11" i="9"/>
  <c r="AK11" i="9"/>
  <c r="AL11" i="9"/>
  <c r="AM11" i="9"/>
  <c r="AO11" i="9"/>
  <c r="AP11" i="9"/>
  <c r="N12" i="9"/>
  <c r="T12" i="9"/>
  <c r="AE12" i="9"/>
  <c r="AF12" i="9"/>
  <c r="AG12" i="9"/>
  <c r="AJ12" i="9"/>
  <c r="AK12" i="9"/>
  <c r="AL12" i="9"/>
  <c r="AM12" i="9"/>
  <c r="AO12" i="9"/>
  <c r="AP12" i="9"/>
  <c r="N13" i="9"/>
  <c r="T13" i="9"/>
  <c r="AE13" i="9"/>
  <c r="AF13" i="9"/>
  <c r="AG13" i="9"/>
  <c r="AJ13" i="9"/>
  <c r="AK13" i="9"/>
  <c r="AL13" i="9"/>
  <c r="AM13" i="9"/>
  <c r="AO13" i="9"/>
  <c r="AP13" i="9"/>
  <c r="N14" i="9"/>
  <c r="T14" i="9"/>
  <c r="AE14" i="9"/>
  <c r="AF14" i="9"/>
  <c r="AG14" i="9"/>
  <c r="AJ14" i="9"/>
  <c r="AK14" i="9"/>
  <c r="AL14" i="9"/>
  <c r="AM14" i="9"/>
  <c r="AO14" i="9"/>
  <c r="AP14" i="9"/>
  <c r="N15" i="9"/>
  <c r="T15" i="9"/>
  <c r="AE15" i="9"/>
  <c r="AF15" i="9"/>
  <c r="AG15" i="9"/>
  <c r="AJ15" i="9"/>
  <c r="AK15" i="9"/>
  <c r="AL15" i="9"/>
  <c r="AM15" i="9"/>
  <c r="AO15" i="9"/>
  <c r="AP15" i="9"/>
  <c r="N16" i="9"/>
  <c r="T16" i="9"/>
  <c r="AE16" i="9"/>
  <c r="AF16" i="9"/>
  <c r="AG16" i="9"/>
  <c r="AJ16" i="9"/>
  <c r="AK16" i="9"/>
  <c r="AL16" i="9"/>
  <c r="AM16" i="9"/>
  <c r="AO16" i="9"/>
  <c r="AP16" i="9"/>
  <c r="N17" i="9"/>
  <c r="T17" i="9"/>
  <c r="AE17" i="9"/>
  <c r="AF17" i="9"/>
  <c r="AG17" i="9"/>
  <c r="AJ17" i="9"/>
  <c r="AK17" i="9"/>
  <c r="AL17" i="9"/>
  <c r="AM17" i="9"/>
  <c r="AO17" i="9"/>
  <c r="AP17" i="9"/>
  <c r="N18" i="9"/>
  <c r="T18" i="9"/>
  <c r="AE18" i="9"/>
  <c r="AF18" i="9"/>
  <c r="AG18" i="9"/>
  <c r="AJ18" i="9"/>
  <c r="AK18" i="9"/>
  <c r="AL18" i="9"/>
  <c r="AM18" i="9"/>
  <c r="AO18" i="9"/>
  <c r="AP18" i="9"/>
  <c r="N19" i="9"/>
  <c r="T19" i="9"/>
  <c r="AE19" i="9"/>
  <c r="AF19" i="9"/>
  <c r="AG19" i="9"/>
  <c r="AJ19" i="9"/>
  <c r="AK19" i="9"/>
  <c r="AL19" i="9"/>
  <c r="AM19" i="9"/>
  <c r="AO19" i="9"/>
  <c r="AP19" i="9"/>
  <c r="N20" i="9"/>
  <c r="T20" i="9"/>
  <c r="AE20" i="9"/>
  <c r="AF20" i="9"/>
  <c r="AG20" i="9"/>
  <c r="AJ20" i="9"/>
  <c r="AK20" i="9"/>
  <c r="AL20" i="9"/>
  <c r="AM20" i="9"/>
  <c r="AO20" i="9"/>
  <c r="AP20" i="9"/>
  <c r="N21" i="9"/>
  <c r="T21" i="9"/>
  <c r="AE21" i="9"/>
  <c r="AF21" i="9"/>
  <c r="AG21" i="9"/>
  <c r="AJ21" i="9"/>
  <c r="AK21" i="9"/>
  <c r="AL21" i="9"/>
  <c r="AM21" i="9"/>
  <c r="AO21" i="9"/>
  <c r="AP21" i="9"/>
  <c r="N22" i="9"/>
  <c r="T22" i="9"/>
  <c r="AE22" i="9"/>
  <c r="AF22" i="9"/>
  <c r="AG22" i="9"/>
  <c r="AJ22" i="9"/>
  <c r="AK22" i="9"/>
  <c r="AL22" i="9"/>
  <c r="AM22" i="9"/>
  <c r="AO22" i="9"/>
  <c r="AP22" i="9"/>
  <c r="N23" i="9"/>
  <c r="T23" i="9"/>
  <c r="AE23" i="9"/>
  <c r="AF23" i="9"/>
  <c r="AG23" i="9"/>
  <c r="AJ23" i="9"/>
  <c r="AK23" i="9"/>
  <c r="AL23" i="9"/>
  <c r="AM23" i="9"/>
  <c r="AO23" i="9"/>
  <c r="AP23" i="9"/>
  <c r="N24" i="9"/>
  <c r="T24" i="9"/>
  <c r="AE24" i="9"/>
  <c r="AF24" i="9"/>
  <c r="AG24" i="9"/>
  <c r="AJ24" i="9"/>
  <c r="AK24" i="9"/>
  <c r="AL24" i="9"/>
  <c r="AM24" i="9"/>
  <c r="AO24" i="9"/>
  <c r="AP24" i="9"/>
  <c r="N25" i="9"/>
  <c r="T25" i="9"/>
  <c r="AE25" i="9"/>
  <c r="AF25" i="9"/>
  <c r="AG25" i="9"/>
  <c r="AJ25" i="9"/>
  <c r="AK25" i="9"/>
  <c r="AL25" i="9"/>
  <c r="AM25" i="9"/>
  <c r="AO25" i="9"/>
  <c r="AP25" i="9"/>
  <c r="N26" i="9"/>
  <c r="T26" i="9"/>
  <c r="AE26" i="9"/>
  <c r="AF26" i="9"/>
  <c r="AG26" i="9"/>
  <c r="AJ26" i="9"/>
  <c r="AK26" i="9"/>
  <c r="AL26" i="9"/>
  <c r="AM26" i="9"/>
  <c r="AO26" i="9"/>
  <c r="AP26" i="9"/>
  <c r="N27" i="9"/>
  <c r="T27" i="9"/>
  <c r="AE27" i="9"/>
  <c r="AF27" i="9"/>
  <c r="AG27" i="9"/>
  <c r="AJ27" i="9"/>
  <c r="AK27" i="9"/>
  <c r="AL27" i="9"/>
  <c r="AM27" i="9"/>
  <c r="AO27" i="9"/>
  <c r="AP27" i="9"/>
  <c r="N28" i="9"/>
  <c r="T28" i="9"/>
  <c r="AE28" i="9"/>
  <c r="AF28" i="9"/>
  <c r="AG28" i="9"/>
  <c r="AJ28" i="9"/>
  <c r="AK28" i="9"/>
  <c r="AL28" i="9"/>
  <c r="AM28" i="9"/>
  <c r="AO28" i="9"/>
  <c r="AP28" i="9"/>
  <c r="N29" i="9"/>
  <c r="T29" i="9"/>
  <c r="AE29" i="9"/>
  <c r="AF29" i="9"/>
  <c r="AG29" i="9"/>
  <c r="AJ29" i="9"/>
  <c r="AK29" i="9"/>
  <c r="AL29" i="9"/>
  <c r="AM29" i="9"/>
  <c r="AO29" i="9"/>
  <c r="AP29" i="9"/>
  <c r="N30" i="9"/>
  <c r="T30" i="9"/>
  <c r="AE30" i="9"/>
  <c r="AF30" i="9"/>
  <c r="AG30" i="9"/>
  <c r="AJ30" i="9"/>
  <c r="AK30" i="9"/>
  <c r="AL30" i="9"/>
  <c r="AM30" i="9"/>
  <c r="AO30" i="9"/>
  <c r="AP30" i="9"/>
  <c r="N31" i="9"/>
  <c r="T31" i="9"/>
  <c r="AE31" i="9"/>
  <c r="AF31" i="9"/>
  <c r="AG31" i="9"/>
  <c r="AJ31" i="9"/>
  <c r="AK31" i="9"/>
  <c r="AL31" i="9"/>
  <c r="AM31" i="9"/>
  <c r="AO31" i="9"/>
  <c r="AP31" i="9"/>
  <c r="N32" i="9"/>
  <c r="T32" i="9"/>
  <c r="AE32" i="9"/>
  <c r="AF32" i="9"/>
  <c r="AG32" i="9"/>
  <c r="AJ32" i="9"/>
  <c r="AK32" i="9"/>
  <c r="AL32" i="9"/>
  <c r="AM32" i="9"/>
  <c r="AO32" i="9"/>
  <c r="AP32" i="9"/>
  <c r="N33" i="9"/>
  <c r="T33" i="9"/>
  <c r="AE33" i="9"/>
  <c r="AF33" i="9"/>
  <c r="AG33" i="9"/>
  <c r="AJ33" i="9"/>
  <c r="AK33" i="9"/>
  <c r="AL33" i="9"/>
  <c r="AM33" i="9"/>
  <c r="AO33" i="9"/>
  <c r="AP33" i="9"/>
  <c r="N34" i="9"/>
  <c r="T34" i="9"/>
  <c r="AE34" i="9"/>
  <c r="AF34" i="9"/>
  <c r="AG34" i="9"/>
  <c r="AJ34" i="9"/>
  <c r="AK34" i="9"/>
  <c r="AL34" i="9"/>
  <c r="AM34" i="9"/>
  <c r="AO34" i="9"/>
  <c r="AP34" i="9"/>
  <c r="N35" i="9"/>
  <c r="T35" i="9"/>
  <c r="AE35" i="9"/>
  <c r="AF35" i="9"/>
  <c r="AG35" i="9"/>
  <c r="AJ35" i="9"/>
  <c r="AK35" i="9"/>
  <c r="AL35" i="9"/>
  <c r="AM35" i="9"/>
  <c r="AO35" i="9"/>
  <c r="AP35" i="9"/>
  <c r="N36" i="9"/>
  <c r="T36" i="9"/>
  <c r="AE36" i="9"/>
  <c r="AF36" i="9"/>
  <c r="AG36" i="9"/>
  <c r="AJ36" i="9"/>
  <c r="AK36" i="9"/>
  <c r="AL36" i="9"/>
  <c r="AM36" i="9"/>
  <c r="AO36" i="9"/>
  <c r="AP36" i="9"/>
  <c r="N37" i="9"/>
  <c r="T37" i="9"/>
  <c r="AE37" i="9"/>
  <c r="AF37" i="9"/>
  <c r="AG37" i="9"/>
  <c r="AJ37" i="9"/>
  <c r="AK37" i="9"/>
  <c r="AL37" i="9"/>
  <c r="AM37" i="9"/>
  <c r="AO37" i="9"/>
  <c r="AP37" i="9"/>
  <c r="N38" i="9"/>
  <c r="T38" i="9"/>
  <c r="AE38" i="9"/>
  <c r="AF38" i="9"/>
  <c r="AG38" i="9"/>
  <c r="AJ38" i="9"/>
  <c r="AK38" i="9"/>
  <c r="AL38" i="9"/>
  <c r="AM38" i="9"/>
  <c r="AO38" i="9"/>
  <c r="AP38" i="9"/>
  <c r="N39" i="9"/>
  <c r="T39" i="9"/>
  <c r="AE39" i="9"/>
  <c r="AF39" i="9"/>
  <c r="AG39" i="9"/>
  <c r="AJ39" i="9"/>
  <c r="AK39" i="9"/>
  <c r="AL39" i="9"/>
  <c r="AM39" i="9"/>
  <c r="AO39" i="9"/>
  <c r="AP39" i="9"/>
  <c r="N40" i="9"/>
  <c r="T40" i="9"/>
  <c r="AE40" i="9"/>
  <c r="AF40" i="9"/>
  <c r="AG40" i="9"/>
  <c r="AJ40" i="9"/>
  <c r="AK40" i="9"/>
  <c r="AL40" i="9"/>
  <c r="AM40" i="9"/>
  <c r="AO40" i="9"/>
  <c r="AP40" i="9"/>
  <c r="N41" i="9"/>
  <c r="T41" i="9"/>
  <c r="AE41" i="9"/>
  <c r="AF41" i="9"/>
  <c r="AG41" i="9"/>
  <c r="AJ41" i="9"/>
  <c r="AK41" i="9"/>
  <c r="AL41" i="9"/>
  <c r="AM41" i="9"/>
  <c r="AO41" i="9"/>
  <c r="AP41" i="9"/>
  <c r="N42" i="9"/>
  <c r="T42" i="9"/>
  <c r="AE42" i="9"/>
  <c r="AF42" i="9"/>
  <c r="AG42" i="9"/>
  <c r="AJ42" i="9"/>
  <c r="AK42" i="9"/>
  <c r="AL42" i="9"/>
  <c r="AM42" i="9"/>
  <c r="AO42" i="9"/>
  <c r="AP42" i="9"/>
  <c r="N43" i="9"/>
  <c r="T43" i="9"/>
  <c r="AE43" i="9"/>
  <c r="AF43" i="9"/>
  <c r="AG43" i="9"/>
  <c r="AJ43" i="9"/>
  <c r="AK43" i="9"/>
  <c r="AL43" i="9"/>
  <c r="AM43" i="9"/>
  <c r="AO43" i="9"/>
  <c r="AP43" i="9"/>
  <c r="N44" i="9"/>
  <c r="T44" i="9"/>
  <c r="AE44" i="9"/>
  <c r="AF44" i="9"/>
  <c r="AG44" i="9"/>
  <c r="AJ44" i="9"/>
  <c r="AK44" i="9"/>
  <c r="AL44" i="9"/>
  <c r="AM44" i="9"/>
  <c r="AO44" i="9"/>
  <c r="AP44" i="9"/>
  <c r="N45" i="9"/>
  <c r="T45" i="9"/>
  <c r="AE45" i="9"/>
  <c r="AF45" i="9"/>
  <c r="AG45" i="9"/>
  <c r="AJ45" i="9"/>
  <c r="AK45" i="9"/>
  <c r="AL45" i="9"/>
  <c r="AM45" i="9"/>
  <c r="AO45" i="9"/>
  <c r="AP45" i="9"/>
  <c r="N46" i="9"/>
  <c r="T46" i="9"/>
  <c r="AE46" i="9"/>
  <c r="AF46" i="9"/>
  <c r="AG46" i="9"/>
  <c r="AJ46" i="9"/>
  <c r="AK46" i="9"/>
  <c r="AL46" i="9"/>
  <c r="AM46" i="9"/>
  <c r="AO46" i="9"/>
  <c r="AP46" i="9"/>
  <c r="N47" i="9"/>
  <c r="T47" i="9"/>
  <c r="AE47" i="9"/>
  <c r="AF47" i="9"/>
  <c r="AG47" i="9"/>
  <c r="AJ47" i="9"/>
  <c r="AK47" i="9"/>
  <c r="AL47" i="9"/>
  <c r="AM47" i="9"/>
  <c r="AO47" i="9"/>
  <c r="AP47" i="9"/>
  <c r="N48" i="9"/>
  <c r="T48" i="9"/>
  <c r="AE48" i="9"/>
  <c r="AF48" i="9"/>
  <c r="AG48" i="9"/>
  <c r="AJ48" i="9"/>
  <c r="AK48" i="9"/>
  <c r="AL48" i="9"/>
  <c r="AM48" i="9"/>
  <c r="AO48" i="9"/>
  <c r="AP48" i="9"/>
  <c r="N49" i="9"/>
  <c r="T49" i="9"/>
  <c r="AE49" i="9"/>
  <c r="AF49" i="9"/>
  <c r="AG49" i="9"/>
  <c r="AJ49" i="9"/>
  <c r="AK49" i="9"/>
  <c r="AL49" i="9"/>
  <c r="AM49" i="9"/>
  <c r="AO49" i="9"/>
  <c r="AP49" i="9"/>
  <c r="N50" i="9"/>
  <c r="T50" i="9"/>
  <c r="AE50" i="9"/>
  <c r="AF50" i="9"/>
  <c r="AG50" i="9"/>
  <c r="AJ50" i="9"/>
  <c r="AK50" i="9"/>
  <c r="AL50" i="9"/>
  <c r="AM50" i="9"/>
  <c r="AO50" i="9"/>
  <c r="AP50" i="9"/>
  <c r="N51" i="9"/>
  <c r="T51" i="9"/>
  <c r="AE51" i="9"/>
  <c r="AF51" i="9"/>
  <c r="AG51" i="9"/>
  <c r="AJ51" i="9"/>
  <c r="AK51" i="9"/>
  <c r="AL51" i="9"/>
  <c r="AM51" i="9"/>
  <c r="AO51" i="9"/>
  <c r="AP51" i="9"/>
  <c r="N52" i="9"/>
  <c r="T52" i="9"/>
  <c r="AE52" i="9"/>
  <c r="AF52" i="9"/>
  <c r="AG52" i="9"/>
  <c r="AJ52" i="9"/>
  <c r="AK52" i="9"/>
  <c r="AL52" i="9"/>
  <c r="AM52" i="9"/>
  <c r="AO52" i="9"/>
  <c r="AP52" i="9"/>
  <c r="N53" i="9"/>
  <c r="T53" i="9"/>
  <c r="AE53" i="9"/>
  <c r="AF53" i="9"/>
  <c r="AG53" i="9"/>
  <c r="AJ53" i="9"/>
  <c r="AK53" i="9"/>
  <c r="AL53" i="9"/>
  <c r="AM53" i="9"/>
  <c r="AO53" i="9"/>
  <c r="AP53" i="9"/>
  <c r="N54" i="9"/>
  <c r="T54" i="9"/>
  <c r="AE54" i="9"/>
  <c r="AF54" i="9"/>
  <c r="AG54" i="9"/>
  <c r="AJ54" i="9"/>
  <c r="AK54" i="9"/>
  <c r="AL54" i="9"/>
  <c r="AM54" i="9"/>
  <c r="AO54" i="9"/>
  <c r="AP54" i="9"/>
  <c r="N55" i="9"/>
  <c r="T55" i="9"/>
  <c r="AE55" i="9"/>
  <c r="AF55" i="9"/>
  <c r="AG55" i="9"/>
  <c r="AJ55" i="9"/>
  <c r="AK55" i="9"/>
  <c r="AL55" i="9"/>
  <c r="AM55" i="9"/>
  <c r="AO55" i="9"/>
  <c r="AP55" i="9"/>
  <c r="N57" i="9"/>
  <c r="T57" i="9"/>
  <c r="AE57" i="9"/>
  <c r="AF57" i="9"/>
  <c r="AG57" i="9"/>
  <c r="AJ57" i="9"/>
  <c r="AK57" i="9"/>
  <c r="AL57" i="9"/>
  <c r="AM57" i="9"/>
  <c r="AO57" i="9"/>
  <c r="AP57" i="9"/>
  <c r="AO59" i="9"/>
  <c r="AP59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000ACE-0BA4-4181-80AA-3AB72D06A802}" name="Conexão" type="7" refreshedVersion="8" background="1" saveData="1"/>
  <connection id="2" xr16:uid="{BF815CD0-F3F1-4388-8433-537627F8F934}" name="Conexão1" type="7" refreshedVersion="8" background="1" saveData="1"/>
  <connection id="3" xr16:uid="{3974B7E0-FFC8-4954-9C06-8E76FD791514}" name="Conexão2" type="7" refreshedVersion="8" background="1" saveData="1"/>
</connections>
</file>

<file path=xl/sharedStrings.xml><?xml version="1.0" encoding="utf-8"?>
<sst xmlns="http://schemas.openxmlformats.org/spreadsheetml/2006/main" count="39517" uniqueCount="1265">
  <si>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</si>
  <si>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</si>
  <si>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</si>
  <si>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</si>
  <si>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</si>
  <si>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</si>
  <si>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</si>
  <si>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</si>
  <si>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</si>
  <si>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</si>
  <si>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</si>
  <si>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</si>
  <si>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</si>
  <si>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</si>
  <si>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</si>
  <si>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</si>
  <si>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</si>
  <si>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</si>
  <si>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</si>
  <si>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</si>
  <si>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</si>
  <si>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</si>
  <si>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</si>
  <si>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</si>
  <si>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</si>
  <si>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</si>
  <si>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</si>
  <si>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</si>
  <si>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</si>
  <si>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</si>
  <si>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</si>
  <si>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</si>
  <si>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B3</t>
  </si>
  <si>
    <t>Industrial</t>
  </si>
  <si>
    <t>A4</t>
  </si>
  <si>
    <t>Verde</t>
  </si>
  <si>
    <t>Ponta</t>
  </si>
  <si>
    <t>Fora ponta</t>
  </si>
  <si>
    <t>Branca</t>
  </si>
  <si>
    <t>Intermediário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</si>
  <si>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</si>
  <si>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</si>
  <si>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</si>
  <si>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</si>
  <si>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</si>
  <si>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</si>
  <si>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</si>
  <si>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</si>
  <si>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</si>
  <si>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</si>
  <si>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</si>
  <si>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</si>
  <si>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Aquicultura</t>
  </si>
  <si>
    <t>IRRIG./AQUIC. PR</t>
  </si>
  <si>
    <t>Azul</t>
  </si>
  <si>
    <t>Fonte incentivada</t>
  </si>
  <si>
    <t>LIVRE</t>
  </si>
  <si>
    <t>Geração</t>
  </si>
  <si>
    <t>RIO PALMEIRAS I</t>
  </si>
  <si>
    <t>GERAÇÃO</t>
  </si>
  <si>
    <t>RIO PALMEIRAS II</t>
  </si>
  <si>
    <t>A3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</si>
  <si>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</si>
  <si>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</si>
  <si>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</si>
  <si>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</si>
  <si>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</si>
  <si>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</si>
  <si>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</si>
  <si>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</si>
  <si>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</si>
  <si>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</si>
  <si>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</si>
  <si>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</si>
  <si>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</si>
  <si>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</si>
  <si>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</si>
  <si>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</si>
  <si>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</si>
  <si>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</si>
  <si>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</si>
  <si>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kW</t>
  </si>
  <si>
    <t>DP</t>
  </si>
  <si>
    <t>DFP</t>
  </si>
  <si>
    <t>E</t>
  </si>
  <si>
    <t>APE</t>
  </si>
  <si>
    <t>B</t>
  </si>
  <si>
    <t>TIPO 01</t>
  </si>
  <si>
    <t>TIPO 02</t>
  </si>
  <si>
    <t>EINT</t>
  </si>
  <si>
    <t>Energia convencional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</si>
  <si>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</si>
  <si>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</si>
  <si>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</si>
  <si>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</si>
  <si>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</si>
  <si>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</si>
  <si>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44652A3AzulNão se aplicaNão se aplicaNão se aplicaNão se aplicaFora ponta</t>
  </si>
  <si>
    <t>44682A3AzulNão se aplicaNão se aplicaNão se aplicaNão se aplicaFora ponta</t>
  </si>
  <si>
    <t>44713A3AzulNão se aplicaNão se aplicaNão se aplicaNão se aplicaFora ponta</t>
  </si>
  <si>
    <t>44743A3AzulNão se aplicaNão se aplicaNão se aplicaNão se aplicaFora ponta</t>
  </si>
  <si>
    <t>44652A3AzulNão se aplicaNão se aplicaNão se aplicaNão se aplicaNão se aplica</t>
  </si>
  <si>
    <t>44682A3AzulNão se aplicaNão se aplicaNão se aplicaNão se aplicaNão se aplica</t>
  </si>
  <si>
    <t>44713A3AzulNão se aplicaNão se aplicaNão se aplicaNão se aplicaNão se aplica</t>
  </si>
  <si>
    <t>44743A3AzulNão se aplicaNão se aplicaNão se aplicaNão se aplicaNão se aplica</t>
  </si>
  <si>
    <t>44652A3AzulNão se aplicaNão se aplicaNão se aplicaNão se aplicaPonta</t>
  </si>
  <si>
    <t>44682A3AzulNão se aplicaNão se aplicaNão se aplicaNão se aplicaPonta</t>
  </si>
  <si>
    <t>44713A3AzulNão se aplicaNão se aplicaNão se aplicaNão se aplicaPonta</t>
  </si>
  <si>
    <t>44743A3AzulNão se aplicaNão se aplicaNão se aplicaNão se aplicaPonta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</si>
  <si>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</si>
  <si>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</si>
  <si>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</si>
  <si>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</si>
  <si>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</si>
  <si>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</si>
  <si>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</si>
  <si>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</si>
  <si>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</si>
  <si>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</si>
  <si>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44713A4AzulNão se aplicaNão se aplicaNão se aplicaNão se aplicaFora ponta</t>
  </si>
  <si>
    <t>44743A4AzulNão se aplicaNão se aplicaNão se aplicaNão se aplicaFora ponta</t>
  </si>
  <si>
    <t>44409A4AzulNão se aplicaNão se aplicaNão se aplicaNão se aplicaNão se aplica</t>
  </si>
  <si>
    <t>44440A4AzulNão se aplicaNão se aplicaNão se aplicaNão se aplicaNão se aplica</t>
  </si>
  <si>
    <t>44470A4AzulNão se aplicaNão se aplicaNão se aplicaNão se aplicaNão se aplica</t>
  </si>
  <si>
    <t>44501A4AzulNão se aplicaNão se aplicaNão se aplicaNão se aplicaNão se aplica</t>
  </si>
  <si>
    <t>44531A4AzulNão se aplicaNão se aplicaNão se aplicaNão se aplicaNão se aplica</t>
  </si>
  <si>
    <t>44562A4AzulNão se aplicaNão se aplicaNão se aplicaNão se aplicaNão se aplica</t>
  </si>
  <si>
    <t>44593A4AzulNão se aplicaNão se aplicaNão se aplicaNão se aplicaNão se aplica</t>
  </si>
  <si>
    <t>44621A4AzulNão se aplicaNão se aplicaNão se aplicaNão se aplicaNão se aplica</t>
  </si>
  <si>
    <t>44652A4AzulNão se aplicaNão se aplicaNão se aplicaNão se aplicaNão se aplica</t>
  </si>
  <si>
    <t>44682A4AzulNão se aplicaNão se aplicaNão se aplicaNão se aplicaNão se aplica</t>
  </si>
  <si>
    <t>44713A4AzulNão se aplicaNão se aplicaNão se aplicaNão se aplicaNão se aplica</t>
  </si>
  <si>
    <t>44743A4AzulNão se aplicaNão se aplicaNão se aplicaNão se aplicaNão se aplica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</si>
  <si>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</si>
  <si>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</si>
  <si>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</si>
  <si>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</si>
  <si>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</si>
  <si>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</si>
  <si>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</si>
  <si>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</si>
  <si>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</si>
  <si>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</si>
  <si>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44713A4AzulNão se aplicaNão se aplicaNão se aplicaNão se aplicaPonta</t>
  </si>
  <si>
    <t>44743A4AzulNão se aplicaNão se aplicaNão se aplicaNão se aplicaPonta</t>
  </si>
  <si>
    <t>44409A4GeraçãoNão se aplicaNão se aplicaNão se aplicaNão se aplicaNão se aplica</t>
  </si>
  <si>
    <t>44440A4GeraçãoNão se aplicaNão se aplicaNão se aplicaNão se aplicaNão se aplica</t>
  </si>
  <si>
    <t>44470A4GeraçãoNão se aplicaNão se aplicaNão se aplicaNão se aplicaNão se aplica</t>
  </si>
  <si>
    <t>44501A4GeraçãoNão se aplicaNão se aplicaNão se aplicaNão se aplicaNão se aplica</t>
  </si>
  <si>
    <t>44531A4GeraçãoNão se aplicaNão se aplicaNão se aplicaNão se aplicaNão se aplica</t>
  </si>
  <si>
    <t>44562A4GeraçãoNão se aplicaNão se aplicaNão se aplicaNão se aplicaNão se aplica</t>
  </si>
  <si>
    <t>44593A4GeraçãoNão se aplicaNão se aplicaNão se aplicaNão se aplicaNão se aplica</t>
  </si>
  <si>
    <t>44621A4GeraçãoNão se aplicaNão se aplicaNão se aplicaNão se aplicaNão se aplica</t>
  </si>
  <si>
    <t>44652A4GeraçãoNão se aplicaNão se aplicaNão se aplicaNão se aplicaNão se aplica</t>
  </si>
  <si>
    <t>44682A4GeraçãoNão se aplicaNão se aplicaNão se aplicaNão se aplicaNão se aplica</t>
  </si>
  <si>
    <t>44713A4GeraçãoNão se aplicaNão se aplicaNão se aplicaNão se aplicaNão se aplica</t>
  </si>
  <si>
    <t>44743A4GeraçãoNão se aplicaNão se aplicaNão se aplicaNão se aplicaNão se aplica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</si>
  <si>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</si>
  <si>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</si>
  <si>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</si>
  <si>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</si>
  <si>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</si>
  <si>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</si>
  <si>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</si>
  <si>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</si>
  <si>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</si>
  <si>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</si>
  <si>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</si>
  <si>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44743A4VerdeNão se aplicaNão se aplicaNão se aplicaNão se aplicaFora ponta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</si>
  <si>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</si>
  <si>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</si>
  <si>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</si>
  <si>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</si>
  <si>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</si>
  <si>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</si>
  <si>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</si>
  <si>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</si>
  <si>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</si>
  <si>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</si>
  <si>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</si>
  <si>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44743A4VerdeNão se aplicaNão se aplicaNão se aplicaNão se aplicaNão se aplica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</si>
  <si>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</si>
  <si>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</si>
  <si>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</si>
  <si>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</si>
  <si>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</si>
  <si>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</si>
  <si>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</si>
  <si>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</si>
  <si>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</si>
  <si>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</si>
  <si>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</si>
  <si>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44743A4VerdeNão se aplicaNão se aplicaNão se aplicaNão se aplicaPonta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</si>
  <si>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</si>
  <si>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</si>
  <si>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</si>
  <si>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</si>
  <si>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</si>
  <si>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</si>
  <si>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</si>
  <si>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</si>
  <si>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</si>
  <si>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</si>
  <si>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</si>
  <si>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44743B1ConvencionalResidencialResidencialNão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</si>
  <si>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</si>
  <si>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</si>
  <si>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</si>
  <si>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</si>
  <si>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</si>
  <si>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</si>
  <si>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</si>
  <si>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</si>
  <si>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</si>
  <si>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</si>
  <si>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</si>
  <si>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44743B1ConvencionalResidencialResidencial baixa renda – faixa 01Não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</si>
  <si>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</si>
  <si>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</si>
  <si>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</si>
  <si>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</si>
  <si>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</si>
  <si>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</si>
  <si>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</si>
  <si>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</si>
  <si>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</si>
  <si>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</si>
  <si>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</si>
  <si>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44743B1ConvencionalResidencialResidencial baixa renda – faixa 02Não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</si>
  <si>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</si>
  <si>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</si>
  <si>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</si>
  <si>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</si>
  <si>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</si>
  <si>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</si>
  <si>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</si>
  <si>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</si>
  <si>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</si>
  <si>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</si>
  <si>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</si>
  <si>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44743B1ConvencionalResidencialResidencial baixa renda – faixa 03Não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</si>
  <si>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</si>
  <si>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</si>
  <si>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</si>
  <si>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</si>
  <si>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</si>
  <si>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</si>
  <si>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</si>
  <si>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</si>
  <si>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</si>
  <si>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</si>
  <si>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</si>
  <si>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44743B1ConvencionalResidencialResidencial baixa renda – faixa 04Não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</si>
  <si>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</si>
  <si>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</si>
  <si>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</si>
  <si>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</si>
  <si>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</si>
  <si>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</si>
  <si>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</si>
  <si>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</si>
  <si>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</si>
  <si>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</si>
  <si>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</si>
  <si>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44743B2ConvencionalRuralNão se aplicaNão se aplicaNão se aplicaNão se aplica</t>
  </si>
  <si>
    <t>44409B3BrancaNão se aplicaNão se aplicaNão se aplicaNão se aplicaFora ponta</t>
  </si>
  <si>
    <t>44440B3BrancaNão se aplicaNão se aplicaNão se aplicaNão se aplicaFora ponta</t>
  </si>
  <si>
    <t>44470B3BrancaNão se aplicaNão se aplicaNão se aplicaNão se aplicaFora ponta</t>
  </si>
  <si>
    <t>44501B3BrancaNão se aplicaNão se aplicaNão se aplicaNão se aplicaFora ponta</t>
  </si>
  <si>
    <t>44531B3BrancaNão se aplicaNão se aplicaNão se aplicaNão se aplicaFora ponta</t>
  </si>
  <si>
    <t>44562B3BrancaNão se aplicaNão se aplicaNão se aplicaNão se aplicaFora ponta</t>
  </si>
  <si>
    <t>44593B3BrancaNão se aplicaNão se aplicaNão se aplicaNão se aplicaFora ponta</t>
  </si>
  <si>
    <t>44621B3BrancaNão se aplicaNão se aplicaNão se aplicaNão se aplicaFora ponta</t>
  </si>
  <si>
    <t>44652B3BrancaNão se aplicaNão se aplicaNão se aplicaNão se aplicaFora ponta</t>
  </si>
  <si>
    <t>44682B3BrancaNão se aplicaNão se aplicaNão se aplicaNão se aplicaFora ponta</t>
  </si>
  <si>
    <t>44713B3BrancaNão se aplicaNão se aplicaNão se aplicaNão se aplicaFora ponta</t>
  </si>
  <si>
    <t>44743B3BrancaNão se aplicaNão se aplicaNão se aplicaNão se aplicaFora ponta</t>
  </si>
  <si>
    <t>44409B3BrancaNão se aplicaNão se aplicaNão se aplicaNão se aplicaIntermediário</t>
  </si>
  <si>
    <t>44440B3BrancaNão se aplicaNão se aplicaNão se aplicaNão se aplicaIntermediário</t>
  </si>
  <si>
    <t>44470B3BrancaNão se aplicaNão se aplicaNão se aplicaNão se aplicaIntermediário</t>
  </si>
  <si>
    <t>44501B3BrancaNão se aplicaNão se aplicaNão se aplicaNão se aplicaIntermediário</t>
  </si>
  <si>
    <t>44531B3BrancaNão se aplicaNão se aplicaNão se aplicaNão se aplicaIntermediário</t>
  </si>
  <si>
    <t>44562B3BrancaNão se aplicaNão se aplicaNão se aplicaNão se aplicaIntermediário</t>
  </si>
  <si>
    <t>44593B3BrancaNão se aplicaNão se aplicaNão se aplicaNão se aplicaIntermediário</t>
  </si>
  <si>
    <t>44621B3BrancaNão se aplicaNão se aplicaNão se aplicaNão se aplicaIntermediário</t>
  </si>
  <si>
    <t>44652B3BrancaNão se aplicaNão se aplicaNão se aplicaNão se aplicaIntermediário</t>
  </si>
  <si>
    <t>44682B3BrancaNão se aplicaNão se aplicaNão se aplicaNão se aplicaIntermediário</t>
  </si>
  <si>
    <t>44713B3BrancaNão se aplicaNão se aplicaNão se aplicaNão se aplicaIntermediário</t>
  </si>
  <si>
    <t>44743B3BrancaNão se aplicaNão se aplicaNão se aplicaNão se aplicaIntermediário</t>
  </si>
  <si>
    <t>44409B3BrancaNão se aplicaNão se aplicaNão se aplicaNão se aplicaPonta</t>
  </si>
  <si>
    <t>44440B3BrancaNão se aplicaNão se aplicaNão se aplicaNão se aplicaPonta</t>
  </si>
  <si>
    <t>44470B3BrancaNão se aplicaNão se aplicaNão se aplicaNão se aplicaPonta</t>
  </si>
  <si>
    <t>44501B3BrancaNão se aplicaNão se aplicaNão se aplicaNão se aplicaPonta</t>
  </si>
  <si>
    <t>44531B3BrancaNão se aplicaNão se aplicaNão se aplicaNão se aplicaPonta</t>
  </si>
  <si>
    <t>44562B3BrancaNão se aplicaNão se aplicaNão se aplicaNão se aplicaPonta</t>
  </si>
  <si>
    <t>44593B3BrancaNão se aplicaNão se aplicaNão se aplicaNão se aplicaPonta</t>
  </si>
  <si>
    <t>44621B3BrancaNão se aplicaNão se aplicaNão se aplicaNão se aplicaPonta</t>
  </si>
  <si>
    <t>44652B3BrancaNão se aplicaNão se aplicaNão se aplicaNão se aplicaPonta</t>
  </si>
  <si>
    <t>44682B3BrancaNão se aplicaNão se aplicaNão se aplicaNão se aplicaPonta</t>
  </si>
  <si>
    <t>44713B3BrancaNão se aplicaNão se aplicaNão se aplicaNão se aplicaPonta</t>
  </si>
  <si>
    <t>44743B3BrancaNão se aplicaNão se aplicaNão se aplicaNão se aplicaPonta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</si>
  <si>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</si>
  <si>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</si>
  <si>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</si>
  <si>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</si>
  <si>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</si>
  <si>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</si>
  <si>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</si>
  <si>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</si>
  <si>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</si>
  <si>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</si>
  <si>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</si>
  <si>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44743B3ConvencionalNão se aplicaNão se aplicaNão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</si>
  <si>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</si>
  <si>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</si>
  <si>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</si>
  <si>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</si>
  <si>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</si>
  <si>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</si>
  <si>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</si>
  <si>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</si>
  <si>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</si>
  <si>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</si>
  <si>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44713B4ConvencionalIluminação públicaIluminação pública – B4aNão se aplicaNão se aplicaNão se aplica</t>
  </si>
  <si>
    <t>44743B4ConvencionalIluminação públicaIluminação pública – B4aNão se aplicaNão se aplicaNão se aplica</t>
  </si>
  <si>
    <t>CHAVE TE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</si>
  <si>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</si>
  <si>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</si>
  <si>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</si>
  <si>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</si>
  <si>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</si>
  <si>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</si>
  <si>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</si>
  <si>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</si>
  <si>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</si>
  <si>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</si>
  <si>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</si>
  <si>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44743A4Energia horáriaNão se aplicaNão se aplicaNão se aplicaNão se aplicaFora 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</si>
  <si>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</si>
  <si>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</si>
  <si>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</si>
  <si>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</si>
  <si>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</si>
  <si>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</si>
  <si>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</si>
  <si>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</si>
  <si>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</si>
  <si>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</si>
  <si>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</si>
  <si>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</si>
  <si>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</si>
  <si>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</si>
  <si>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</si>
  <si>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44743A4Energia horáriaNão se aplicaNão se aplicaNão se aplicaNão se aplicaPonta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</si>
  <si>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</si>
  <si>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</si>
  <si>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</si>
  <si>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</si>
  <si>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</si>
  <si>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</si>
  <si>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</si>
  <si>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</si>
  <si>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</si>
  <si>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</si>
  <si>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</si>
  <si>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44743B1Energia convencionalResidencialResidencialNão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</si>
  <si>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</si>
  <si>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</si>
  <si>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</si>
  <si>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</si>
  <si>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</si>
  <si>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</si>
  <si>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</si>
  <si>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</si>
  <si>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</si>
  <si>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</si>
  <si>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</si>
  <si>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44743B1Energia convencionalResidencialResidencial baixa renda – faixa 01Não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</si>
  <si>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</si>
  <si>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</si>
  <si>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</si>
  <si>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</si>
  <si>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</si>
  <si>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</si>
  <si>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</si>
  <si>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</si>
  <si>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</si>
  <si>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</si>
  <si>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</si>
  <si>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44743B1Energia convencionalResidencialResidencial baixa renda – faixa 02Não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</si>
  <si>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</si>
  <si>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</si>
  <si>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</si>
  <si>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</si>
  <si>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</si>
  <si>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</si>
  <si>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</si>
  <si>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</si>
  <si>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</si>
  <si>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</si>
  <si>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</si>
  <si>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44743B1Energia convencionalResidencialResidencial baixa renda – faixa 03Não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</si>
  <si>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</si>
  <si>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</si>
  <si>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</si>
  <si>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</si>
  <si>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</si>
  <si>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</si>
  <si>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</si>
  <si>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</si>
  <si>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</si>
  <si>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</si>
  <si>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</si>
  <si>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44743B1Energia convencionalResidencialResidencial baixa renda – faixa 04Não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</si>
  <si>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</si>
  <si>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</si>
  <si>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</si>
  <si>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</si>
  <si>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</si>
  <si>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</si>
  <si>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</si>
  <si>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</si>
  <si>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</si>
  <si>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</si>
  <si>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</si>
  <si>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44743B2Energia convencionalRuralNão se aplicaNão se aplicaNão se aplicaNão se aplica</t>
  </si>
  <si>
    <t>44409B3Energia horáriaNão se aplicaNão se aplicaNão se aplicaNão se aplicaFora ponta</t>
  </si>
  <si>
    <t>44440B3Energia horáriaNão se aplicaNão se aplicaNão se aplicaNão se aplicaFora ponta</t>
  </si>
  <si>
    <t>44470B3Energia horáriaNão se aplicaNão se aplicaNão se aplicaNão se aplicaFora ponta</t>
  </si>
  <si>
    <t>44501B3Energia horáriaNão se aplicaNão se aplicaNão se aplicaNão se aplicaFora ponta</t>
  </si>
  <si>
    <t>44531B3Energia horáriaNão se aplicaNão se aplicaNão se aplicaNão se aplicaFora ponta</t>
  </si>
  <si>
    <t>44562B3Energia horáriaNão se aplicaNão se aplicaNão se aplicaNão se aplicaFora ponta</t>
  </si>
  <si>
    <t>44593B3Energia horáriaNão se aplicaNão se aplicaNão se aplicaNão se aplicaFora ponta</t>
  </si>
  <si>
    <t>44621B3Energia horáriaNão se aplicaNão se aplicaNão se aplicaNão se aplicaFora ponta</t>
  </si>
  <si>
    <t>44652B3Energia horáriaNão se aplicaNão se aplicaNão se aplicaNão se aplicaFora ponta</t>
  </si>
  <si>
    <t>44682B3Energia horáriaNão se aplicaNão se aplicaNão se aplicaNão se aplicaFora ponta</t>
  </si>
  <si>
    <t>44713B3Energia horáriaNão se aplicaNão se aplicaNão se aplicaNão se aplicaFora ponta</t>
  </si>
  <si>
    <t>44743B3Energia horáriaNão se aplicaNão se aplicaNão se aplicaNão se aplicaFora ponta</t>
  </si>
  <si>
    <t>44409B3Energia horáriaNão se aplicaNão se aplicaNão se aplicaNão se aplicaIntermediário</t>
  </si>
  <si>
    <t>44440B3Energia horáriaNão se aplicaNão se aplicaNão se aplicaNão se aplicaIntermediário</t>
  </si>
  <si>
    <t>44470B3Energia horáriaNão se aplicaNão se aplicaNão se aplicaNão se aplicaIntermediário</t>
  </si>
  <si>
    <t>44501B3Energia horáriaNão se aplicaNão se aplicaNão se aplicaNão se aplicaIntermediário</t>
  </si>
  <si>
    <t>44531B3Energia horáriaNão se aplicaNão se aplicaNão se aplicaNão se aplicaIntermediário</t>
  </si>
  <si>
    <t>44562B3Energia horáriaNão se aplicaNão se aplicaNão se aplicaNão se aplicaIntermediário</t>
  </si>
  <si>
    <t>44593B3Energia horáriaNão se aplicaNão se aplicaNão se aplicaNão se aplicaIntermediário</t>
  </si>
  <si>
    <t>44621B3Energia horáriaNão se aplicaNão se aplicaNão se aplicaNão se aplicaIntermediário</t>
  </si>
  <si>
    <t>44652B3Energia horáriaNão se aplicaNão se aplicaNão se aplicaNão se aplicaIntermediário</t>
  </si>
  <si>
    <t>44682B3Energia horáriaNão se aplicaNão se aplicaNão se aplicaNão se aplicaIntermediário</t>
  </si>
  <si>
    <t>44713B3Energia horáriaNão se aplicaNão se aplicaNão se aplicaNão se aplicaIntermediário</t>
  </si>
  <si>
    <t>44743B3Energia horáriaNão se aplicaNão se aplicaNão se aplicaNão se aplicaIntermediário</t>
  </si>
  <si>
    <t>44409B3Energia horáriaNão se aplicaNão se aplicaNão se aplicaNão se aplicaPonta</t>
  </si>
  <si>
    <t>44440B3Energia horáriaNão se aplicaNão se aplicaNão se aplicaNão se aplicaPonta</t>
  </si>
  <si>
    <t>44470B3Energia horáriaNão se aplicaNão se aplicaNão se aplicaNão se aplicaPonta</t>
  </si>
  <si>
    <t>44501B3Energia horáriaNão se aplicaNão se aplicaNão se aplicaNão se aplicaPonta</t>
  </si>
  <si>
    <t>44531B3Energia horáriaNão se aplicaNão se aplicaNão se aplicaNão se aplicaPonta</t>
  </si>
  <si>
    <t>44562B3Energia horáriaNão se aplicaNão se aplicaNão se aplicaNão se aplicaPonta</t>
  </si>
  <si>
    <t>44593B3Energia horáriaNão se aplicaNão se aplicaNão se aplicaNão se aplicaPonta</t>
  </si>
  <si>
    <t>44621B3Energia horáriaNão se aplicaNão se aplicaNão se aplicaNão se aplicaPonta</t>
  </si>
  <si>
    <t>44652B3Energia horáriaNão se aplicaNão se aplicaNão se aplicaNão se aplicaPonta</t>
  </si>
  <si>
    <t>44682B3Energia horáriaNão se aplicaNão se aplicaNão se aplicaNão se aplicaPonta</t>
  </si>
  <si>
    <t>44713B3Energia horáriaNão se aplicaNão se aplicaNão se aplicaNão se aplicaPonta</t>
  </si>
  <si>
    <t>44743B3Energia horáriaNão se aplicaNão se aplicaNão se aplicaNão se aplicaPonta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</si>
  <si>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</si>
  <si>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</si>
  <si>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</si>
  <si>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</si>
  <si>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</si>
  <si>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</si>
  <si>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</si>
  <si>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</si>
  <si>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</si>
  <si>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</si>
  <si>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</si>
  <si>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44743B3Energia convencionalNão se aplicaNão se aplicaNão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</si>
  <si>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</si>
  <si>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</si>
  <si>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</si>
  <si>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</si>
  <si>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</si>
  <si>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</si>
  <si>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</si>
  <si>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</si>
  <si>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</si>
  <si>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</si>
  <si>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44713B4Energia convencionalIluminação públicaIluminação pública – B4aNão se aplicaNão se aplicaNão se aplica</t>
  </si>
  <si>
    <t>44743B4Energia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</si>
  <si>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</si>
  <si>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</si>
  <si>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</si>
  <si>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</si>
  <si>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</si>
  <si>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</si>
  <si>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</si>
  <si>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</si>
  <si>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</si>
  <si>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</si>
  <si>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</si>
  <si>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</si>
  <si>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</si>
  <si>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</si>
  <si>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</si>
  <si>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</si>
  <si>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</si>
  <si>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</si>
  <si>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</si>
  <si>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</si>
  <si>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</si>
  <si>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</si>
  <si>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</si>
  <si>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</si>
  <si>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</si>
  <si>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</si>
  <si>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</si>
  <si>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</si>
  <si>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</si>
  <si>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</si>
  <si>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</si>
  <si>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</si>
  <si>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</si>
  <si>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</si>
  <si>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</si>
  <si>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</si>
  <si>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</si>
  <si>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</si>
  <si>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</si>
  <si>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</si>
  <si>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</si>
  <si>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</si>
  <si>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</si>
  <si>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</si>
  <si>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</si>
  <si>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</si>
  <si>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</si>
  <si>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</si>
  <si>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</si>
  <si>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</si>
  <si>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</si>
  <si>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</si>
  <si>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</si>
  <si>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</si>
  <si>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</si>
  <si>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</si>
  <si>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</si>
  <si>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</si>
  <si>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</si>
  <si>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</si>
  <si>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</si>
  <si>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</si>
  <si>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</si>
  <si>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</si>
  <si>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</si>
  <si>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</si>
  <si>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</si>
  <si>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</si>
  <si>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</si>
  <si>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</si>
  <si>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</si>
  <si>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</si>
  <si>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</si>
  <si>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</si>
  <si>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</si>
  <si>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</si>
  <si>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</si>
  <si>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</si>
  <si>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</si>
  <si>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</si>
  <si>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</si>
  <si>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</si>
  <si>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</si>
  <si>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</si>
  <si>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</si>
  <si>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</si>
  <si>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</si>
  <si>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</si>
  <si>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</si>
  <si>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</si>
  <si>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</si>
  <si>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</si>
  <si>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</si>
  <si>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</si>
  <si>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</si>
  <si>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</si>
  <si>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</si>
  <si>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</si>
  <si>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</si>
  <si>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</si>
  <si>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</si>
  <si>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2.930, DE 24 DE AGOSTO DE 2021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</si>
  <si>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</si>
  <si>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</si>
  <si>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</si>
  <si>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</si>
  <si>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</si>
  <si>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</si>
  <si>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</si>
  <si>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</si>
  <si>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</si>
  <si>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</si>
  <si>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</si>
  <si>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(SUB)GRUPO</t>
  </si>
  <si>
    <t>TUSD (R$)</t>
  </si>
  <si>
    <t>TUSD (MWh)</t>
  </si>
  <si>
    <t>PNT (R$/MWh)</t>
  </si>
  <si>
    <t>VAR. AX01</t>
  </si>
  <si>
    <t>VAR. AX02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</si>
  <si>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</si>
  <si>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</si>
  <si>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</si>
  <si>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</si>
  <si>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</si>
  <si>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</si>
  <si>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</si>
  <si>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</si>
  <si>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</si>
  <si>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</si>
  <si>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</si>
  <si>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</si>
  <si>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</si>
  <si>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</si>
  <si>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</si>
  <si>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A2</t>
  </si>
  <si>
    <t>A3a</t>
  </si>
  <si>
    <t>AS</t>
  </si>
  <si>
    <t>Carga</t>
  </si>
  <si>
    <t>Ajustado para o passo 4 da transição. Não altere.</t>
  </si>
  <si>
    <t>TipoTarifa</t>
  </si>
  <si>
    <t>UP</t>
  </si>
  <si>
    <t>US</t>
  </si>
  <si>
    <t>UT</t>
  </si>
  <si>
    <t>AnoRef</t>
  </si>
  <si>
    <t>Evento</t>
  </si>
  <si>
    <t>Potência</t>
  </si>
  <si>
    <t>Ativa</t>
  </si>
  <si>
    <t>Energia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</si>
  <si>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</si>
  <si>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</si>
  <si>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</si>
  <si>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</si>
  <si>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</si>
  <si>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</si>
  <si>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</si>
  <si>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</si>
  <si>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</si>
  <si>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</si>
  <si>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</si>
  <si>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</si>
  <si>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Coopercocal</t>
  </si>
  <si>
    <t>Distribuição</t>
  </si>
  <si>
    <t>Diversos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</si>
  <si>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</si>
  <si>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</si>
  <si>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</si>
  <si>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</si>
  <si>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</si>
  <si>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</si>
  <si>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</si>
  <si>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</si>
  <si>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</si>
  <si>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</si>
  <si>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</si>
  <si>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</si>
  <si>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</si>
  <si>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</si>
  <si>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</si>
  <si>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</si>
  <si>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</si>
  <si>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</si>
  <si>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</si>
  <si>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</si>
  <si>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</si>
  <si>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</si>
  <si>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</si>
  <si>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</si>
  <si>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</si>
  <si>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</si>
  <si>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</si>
  <si>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</si>
  <si>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</si>
  <si>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</si>
  <si>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</si>
  <si>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</si>
  <si>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</si>
  <si>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</si>
  <si>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</si>
  <si>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</si>
  <si>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</si>
  <si>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CARGA FONTE INCENTIVADA</t>
  </si>
  <si>
    <t>SUBSIDIO GERAÇÃO FONTE INCENTIVADA</t>
  </si>
  <si>
    <t>SUBSIDIO BAIXA RENDA</t>
  </si>
  <si>
    <t>SUBSIDIO RURAL</t>
  </si>
  <si>
    <t>SUBSIDIO IRRIGANTE/AQUICULTOR</t>
  </si>
  <si>
    <t>SUBSIDIO ÁGUA, ESGOTO E SANEAMENTO</t>
  </si>
  <si>
    <t>R$ (TV)</t>
  </si>
  <si>
    <t>R$ (TN)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</si>
  <si>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</si>
  <si>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</si>
  <si>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</si>
  <si>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</si>
  <si>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</si>
  <si>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</si>
  <si>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</si>
  <si>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</si>
  <si>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</si>
  <si>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Azul1RuralNão se aplicaPlanilha CustoA4</t>
  </si>
  <si>
    <t>2021</t>
  </si>
  <si>
    <t>Planilha Custo</t>
  </si>
  <si>
    <t>Verde1RuralNão se aplicaPlanilha CustoA4</t>
  </si>
  <si>
    <t>Azul1Serviço públicoÁgua, esgoto e saneamentoPlanilha CUSTOA4</t>
  </si>
  <si>
    <t>Planilha CUSTO</t>
  </si>
  <si>
    <t>Verde1Serviço públicoÁgua, esgoto e saneamentoPlanilha CUSTOA4</t>
  </si>
  <si>
    <t>Convencional1RuralNão se aplicaRuralB2</t>
  </si>
  <si>
    <t>Branca1RuralNão se aplicaRuralB2</t>
  </si>
  <si>
    <t>Convencional1RuralCooperativa de eletrificação ruralPlanilha CUSTOB2</t>
  </si>
  <si>
    <t>Branca 1RuralCooperativa de eletrificação ruralPlanilha CUSTOB2</t>
  </si>
  <si>
    <t xml:space="preserve">Branca </t>
  </si>
  <si>
    <t>Convencional1RuralServiço público de irrigação ruralPlanilha CUSTOB2</t>
  </si>
  <si>
    <t>Branca 1RuralServiço público de irrigação ruralPlanilha CUSTOB2</t>
  </si>
  <si>
    <t>Convencional1Serviço públicoÁgua, esgoto e saneamentoPlanilha CUSTOB3</t>
  </si>
  <si>
    <t>Branca1Serviço públicoÁgua, esgoto e saneamentoPlanilha CUSTOB3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</si>
  <si>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</si>
  <si>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</si>
  <si>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</si>
  <si>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</si>
  <si>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</si>
  <si>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</si>
  <si>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</si>
  <si>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</si>
  <si>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</si>
  <si>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</si>
  <si>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</si>
  <si>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</si>
  <si>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</si>
  <si>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</si>
  <si>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</si>
  <si>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</si>
  <si>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</si>
  <si>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</si>
  <si>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</si>
  <si>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</si>
  <si>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</si>
  <si>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</si>
  <si>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</si>
  <si>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</si>
  <si>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</si>
  <si>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</si>
  <si>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</si>
  <si>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</si>
  <si>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</si>
  <si>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</si>
  <si>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</si>
  <si>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</si>
  <si>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</si>
  <si>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</si>
  <si>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</si>
  <si>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</si>
  <si>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</si>
  <si>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</si>
  <si>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</si>
  <si>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</si>
  <si>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</si>
  <si>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</si>
  <si>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</si>
  <si>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</si>
  <si>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</si>
  <si>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</si>
  <si>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</si>
  <si>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</si>
  <si>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</si>
  <si>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</si>
  <si>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</si>
  <si>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</si>
  <si>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</si>
  <si>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</si>
  <si>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</si>
  <si>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</si>
  <si>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</si>
  <si>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</si>
  <si>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</si>
  <si>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</si>
  <si>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</si>
  <si>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</si>
  <si>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</si>
  <si>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</si>
  <si>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</si>
  <si>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</si>
  <si>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</si>
  <si>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</si>
  <si>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IdAgente</t>
  </si>
  <si>
    <t>Ano</t>
  </si>
  <si>
    <t>MERCADO Eflul</t>
  </si>
  <si>
    <t>TARIFAS Eflul</t>
  </si>
  <si>
    <t>TARIFAS Adjacente (Celesc-DIS)</t>
  </si>
  <si>
    <t>RECEITA Eflul</t>
  </si>
  <si>
    <t>RECEITA Adjacente (Celesc-DIS)</t>
  </si>
  <si>
    <t>Dp</t>
  </si>
  <si>
    <t>Dfp</t>
  </si>
  <si>
    <t>TE P</t>
  </si>
  <si>
    <t>TE FP</t>
  </si>
  <si>
    <t>TUSD_E P</t>
  </si>
  <si>
    <t>TUSD_E FP</t>
  </si>
  <si>
    <t>ORIGINAL</t>
  </si>
  <si>
    <t>ADJACENTE</t>
  </si>
  <si>
    <t>DECISÃO</t>
  </si>
  <si>
    <t>CONTROLE</t>
  </si>
  <si>
    <t>TARIFAS TUSD</t>
  </si>
  <si>
    <t>TARIFAS TE</t>
  </si>
  <si>
    <t>TARIFAS TOTAIS</t>
  </si>
  <si>
    <t>TARIFA B1 Resid.</t>
  </si>
  <si>
    <t>B1 Convenc.</t>
  </si>
  <si>
    <t>Aplica Lei?</t>
  </si>
  <si>
    <t>Var. Controle TUSD</t>
  </si>
  <si>
    <t>Tarifa Distribuidora</t>
  </si>
  <si>
    <t>Tarifa Adjacente</t>
  </si>
  <si>
    <t>Nova Componente</t>
  </si>
  <si>
    <t>CodTar</t>
  </si>
  <si>
    <t>2040201001010000000000000004022025</t>
  </si>
  <si>
    <t>2040201001010000000000000002022025</t>
  </si>
  <si>
    <t>2040201001010000000000000001032035</t>
  </si>
  <si>
    <t>2040201001020000000000000001032035</t>
  </si>
  <si>
    <t>2060201001010000000000000004022025</t>
  </si>
  <si>
    <t>2060201001010000000000000002022025</t>
  </si>
  <si>
    <t>2060201001010000000000000001032035</t>
  </si>
  <si>
    <t>2060201001020000000000000001032035</t>
  </si>
  <si>
    <t>2060601001010000000000000001022025</t>
  </si>
  <si>
    <t>2060301001010000000000000001022025</t>
  </si>
  <si>
    <t>2060301001010000000000000004032035</t>
  </si>
  <si>
    <t>2060301001010000000000000002032035</t>
  </si>
  <si>
    <t>2060301001020000000000000004032035</t>
  </si>
  <si>
    <t>2060301001020000000000000002032035</t>
  </si>
  <si>
    <t>2130601001120000000000000001022025</t>
  </si>
  <si>
    <t>2130601001130000000000000001022025</t>
  </si>
  <si>
    <t>2080702002010000000000000004032035</t>
  </si>
  <si>
    <t>2080702002010000000000000003032035</t>
  </si>
  <si>
    <t>2080702002010000000000000002032035</t>
  </si>
  <si>
    <t>2080402002010000000000000001032035</t>
  </si>
  <si>
    <t>2080402006010000000000000001032035</t>
  </si>
  <si>
    <t>2081302002010000000000000001032035</t>
  </si>
  <si>
    <t>2081302006010000000000000001032035</t>
  </si>
  <si>
    <t>2090705001010000000000000004032035</t>
  </si>
  <si>
    <t>2090705001010000000000000003032035</t>
  </si>
  <si>
    <t>2090705001010000000000000002032035</t>
  </si>
  <si>
    <t>2100701001010000000000000004032035</t>
  </si>
  <si>
    <t>2100701001010000000000000003032035</t>
  </si>
  <si>
    <t>2100701001010000000000000002032035</t>
  </si>
  <si>
    <t>2100401001010000000000000001032035</t>
  </si>
  <si>
    <t>2101301001010000000000000001032035</t>
  </si>
  <si>
    <t>2110407041010000000000000001032035</t>
  </si>
  <si>
    <t>2110407042010000000000000001032035</t>
  </si>
  <si>
    <t>Var. Controle TE</t>
  </si>
  <si>
    <t>3040801001010000000000000004032035</t>
  </si>
  <si>
    <t>3040801001010000000000000002032035</t>
  </si>
  <si>
    <t>3060801001010000000000000004032035</t>
  </si>
  <si>
    <t>3060801001010000000000000002032035</t>
  </si>
  <si>
    <t>3080802002010000000000000004032035</t>
  </si>
  <si>
    <t>3080802002010000000000000003032035</t>
  </si>
  <si>
    <t>3080802002010000000000000002032035</t>
  </si>
  <si>
    <t>3080902002010000000000000001032035</t>
  </si>
  <si>
    <t>3080902006010000000000000001032035</t>
  </si>
  <si>
    <t>3081402002010000000000000001032035</t>
  </si>
  <si>
    <t>3081402006010000000000000001032035</t>
  </si>
  <si>
    <t>3090805001010000000000000004032035</t>
  </si>
  <si>
    <t>3090805001010000000000000003032035</t>
  </si>
  <si>
    <t>3090805001010000000000000002032035</t>
  </si>
  <si>
    <t>3100801001010000000000000004032035</t>
  </si>
  <si>
    <t>3100801001010000000000000003032035</t>
  </si>
  <si>
    <t>3100801001010000000000000002032035</t>
  </si>
  <si>
    <t>3100901001010000000000000001032035</t>
  </si>
  <si>
    <t>3101401001010000000000000001032035</t>
  </si>
  <si>
    <t>3110907041010000000000000001032035</t>
  </si>
  <si>
    <t>3110907042010000000000000001032035</t>
  </si>
  <si>
    <t>TUSD BASE FINANCEIRA NOVA</t>
  </si>
  <si>
    <t>TUSD BASE FINANCEIRA VIGENTE</t>
  </si>
  <si>
    <t>A3Azul</t>
  </si>
  <si>
    <t>A3AzulNão se aplica</t>
  </si>
  <si>
    <t>A3AzulNão se aplicaNão se aplica</t>
  </si>
  <si>
    <t>A3AzulNão se aplicaNão se aplicaNão se aplica</t>
  </si>
  <si>
    <t>A3AzulNão se aplicaNão se aplicaNão se aplicaNão se aplica</t>
  </si>
  <si>
    <t>A3AzulNão se aplicaNão se aplicaNão se aplicaNão se aplicaDP</t>
  </si>
  <si>
    <t>A3AzulNão se aplicaNão se aplicaNão se aplicaNão se aplicaDFP</t>
  </si>
  <si>
    <t>A3AzulNão se aplicaNão se aplicaNão se aplicaNão se aplicaE</t>
  </si>
  <si>
    <t>A3AzulNão se aplicaNão se aplicaAPE</t>
  </si>
  <si>
    <t>A3AzulNão se aplicaNão se aplicaAPENão se aplica</t>
  </si>
  <si>
    <t>A3AzulNão se aplicaNão se aplicaAPENão se aplicaE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</si>
  <si>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</si>
  <si>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</si>
  <si>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</si>
  <si>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</si>
  <si>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</si>
  <si>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</si>
  <si>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</si>
  <si>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</si>
  <si>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</si>
  <si>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</si>
  <si>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</si>
  <si>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</si>
  <si>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</si>
  <si>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</si>
  <si>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</si>
  <si>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</si>
  <si>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</si>
  <si>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</si>
  <si>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</si>
  <si>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</si>
  <si>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</si>
  <si>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</si>
  <si>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</si>
  <si>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</si>
  <si>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</si>
  <si>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</si>
  <si>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</si>
  <si>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</si>
  <si>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</si>
  <si>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</si>
  <si>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</si>
  <si>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</si>
  <si>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</si>
  <si>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</si>
  <si>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</si>
  <si>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</si>
  <si>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</si>
  <si>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</si>
  <si>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</si>
  <si>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</si>
  <si>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</si>
  <si>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</si>
  <si>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</si>
  <si>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</si>
  <si>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</si>
  <si>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</si>
  <si>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</si>
  <si>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</si>
  <si>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</si>
  <si>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</si>
  <si>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</si>
  <si>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</si>
  <si>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</si>
  <si>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</si>
  <si>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</si>
  <si>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</si>
  <si>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</si>
  <si>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</si>
  <si>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</si>
  <si>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</si>
  <si>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</si>
  <si>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</si>
  <si>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</si>
  <si>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</si>
  <si>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</si>
  <si>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</si>
  <si>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</si>
  <si>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</si>
  <si>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</si>
  <si>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</si>
  <si>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</si>
  <si>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</si>
  <si>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</si>
  <si>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</si>
  <si>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</si>
  <si>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</si>
  <si>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</si>
  <si>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</si>
  <si>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</si>
  <si>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</si>
  <si>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</si>
  <si>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</si>
  <si>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</si>
  <si>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</si>
  <si>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</si>
  <si>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</si>
  <si>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</si>
  <si>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</si>
  <si>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</si>
  <si>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</si>
  <si>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</si>
  <si>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</si>
  <si>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</si>
  <si>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</si>
  <si>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</si>
  <si>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</si>
  <si>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</si>
  <si>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</si>
  <si>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</si>
  <si>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</si>
  <si>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</si>
  <si>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</si>
  <si>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</si>
  <si>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</si>
  <si>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</si>
  <si>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</si>
  <si>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</si>
  <si>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</si>
  <si>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</si>
  <si>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</si>
  <si>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</si>
  <si>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</si>
  <si>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</si>
  <si>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</si>
  <si>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</si>
  <si>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</si>
  <si>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</si>
  <si>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</si>
  <si>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</si>
  <si>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</si>
  <si>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</si>
  <si>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</si>
  <si>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</si>
  <si>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</si>
  <si>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</si>
  <si>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</si>
  <si>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</si>
  <si>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</si>
  <si>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</si>
  <si>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</si>
  <si>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</si>
  <si>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</si>
  <si>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</si>
  <si>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</si>
  <si>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</si>
  <si>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</si>
  <si>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</si>
  <si>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</si>
  <si>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</si>
  <si>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</si>
  <si>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</si>
  <si>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</si>
  <si>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</si>
  <si>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</si>
  <si>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</si>
  <si>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</si>
  <si>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</si>
  <si>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</si>
  <si>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</si>
  <si>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</si>
  <si>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</si>
  <si>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</si>
  <si>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</si>
  <si>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</si>
  <si>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</si>
  <si>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</si>
  <si>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</si>
  <si>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</si>
  <si>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</si>
  <si>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</si>
  <si>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</si>
  <si>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</si>
  <si>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</si>
  <si>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</si>
  <si>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</si>
  <si>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</si>
  <si>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</si>
  <si>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</si>
  <si>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</si>
  <si>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</si>
  <si>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A3Energia horária</t>
  </si>
  <si>
    <t>A3Energia horáriaNão se aplica</t>
  </si>
  <si>
    <t>A3Energia horáriaNão se aplicaNão se aplica</t>
  </si>
  <si>
    <t>A3Energia horáriaNão se aplicaNão se aplicaNão se aplica</t>
  </si>
  <si>
    <t>A3Energia horáriaNão se aplicaNão se aplicaNão se aplicaNão se aplica</t>
  </si>
  <si>
    <t>A3Energia horáriaNão se aplicaNão se aplicaNão se aplicaNão se aplicaEP</t>
  </si>
  <si>
    <t>A3Energia horáriaNão se aplicaNão se aplicaNão se aplicaNão se aplicaEFP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</si>
  <si>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</si>
  <si>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</si>
  <si>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</si>
  <si>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</si>
  <si>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</si>
  <si>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</si>
  <si>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</si>
  <si>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</si>
  <si>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</si>
  <si>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</si>
  <si>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</si>
  <si>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</si>
  <si>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</si>
  <si>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</si>
  <si>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</si>
  <si>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</si>
  <si>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</si>
  <si>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</si>
  <si>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</si>
  <si>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</si>
  <si>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</si>
  <si>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</si>
  <si>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</si>
  <si>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</si>
  <si>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</si>
  <si>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</si>
  <si>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</si>
  <si>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</si>
  <si>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</si>
  <si>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</si>
  <si>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</si>
  <si>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</si>
  <si>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</si>
  <si>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</si>
  <si>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</si>
  <si>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</si>
  <si>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</si>
  <si>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</si>
  <si>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</si>
  <si>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</si>
  <si>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</si>
  <si>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</si>
  <si>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</si>
  <si>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</si>
  <si>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</si>
  <si>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</si>
  <si>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</si>
  <si>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</si>
  <si>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</si>
  <si>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</si>
  <si>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</si>
  <si>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</si>
  <si>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</si>
  <si>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</si>
  <si>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</si>
  <si>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</si>
  <si>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</si>
  <si>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</si>
  <si>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</si>
  <si>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</si>
  <si>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</si>
  <si>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</si>
  <si>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</si>
  <si>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</si>
  <si>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</si>
  <si>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</si>
  <si>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</si>
  <si>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</si>
  <si>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</si>
  <si>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</si>
  <si>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</si>
  <si>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</si>
  <si>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</si>
  <si>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</si>
  <si>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</si>
  <si>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</si>
  <si>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</si>
  <si>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</si>
  <si>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</si>
  <si>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</si>
  <si>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</si>
  <si>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</si>
  <si>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</si>
  <si>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</si>
  <si>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</si>
  <si>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</si>
  <si>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</si>
  <si>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</si>
  <si>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</si>
  <si>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</si>
  <si>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</si>
  <si>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</si>
  <si>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</si>
  <si>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</si>
  <si>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</si>
  <si>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</si>
  <si>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</si>
  <si>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</si>
  <si>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</si>
  <si>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</si>
  <si>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</si>
  <si>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</si>
  <si>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</si>
  <si>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</si>
  <si>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</si>
  <si>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</si>
  <si>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</si>
  <si>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</si>
  <si>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</si>
  <si>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</si>
  <si>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</si>
  <si>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</si>
  <si>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</si>
  <si>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</si>
  <si>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</si>
  <si>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</si>
  <si>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</si>
  <si>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</si>
  <si>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</si>
  <si>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</si>
  <si>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</si>
  <si>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</si>
  <si>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</si>
  <si>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</si>
  <si>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</si>
  <si>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</si>
  <si>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</si>
  <si>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</si>
  <si>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</si>
  <si>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</si>
  <si>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</si>
  <si>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</si>
  <si>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</si>
  <si>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</si>
  <si>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</si>
  <si>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</si>
  <si>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</si>
  <si>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</si>
  <si>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</si>
  <si>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</si>
  <si>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</si>
  <si>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</si>
  <si>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</si>
  <si>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</si>
  <si>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</si>
  <si>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</si>
  <si>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</si>
  <si>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</si>
  <si>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 xml:space="preserve">subsídios </t>
  </si>
  <si>
    <t>receita com efeito 350</t>
  </si>
  <si>
    <t>subvenção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</si>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</sst>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* #,##0.00_);_(* \(#,##0.00\);_(* &quot;-&quot;??_);_(@_)"/>
    <numFmt numFmtId="165" formatCode="#,##0.00%_);[Red]\(#,##0.00%\)"/>
    <numFmt numFmtId="166" formatCode="#0.00%;[Red]#0.00%"/>
    <numFmt numFmtId="167" formatCode="0.00%_);[Red]\(0.00%\)"/>
    <numFmt numFmtId="168" formatCode="#,##0.00_ ;[Red]\-#,##0.00\ "/>
    <numFmt numFmtId="169" formatCode="#,##0.00_);[Red]\(#,##0.00\)"/>
    <numFmt numFmtId="170" formatCode="#,##0.00;[Red]#,##0.00"/>
  </numFmts>
  <fonts count="11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 style="thin">
        <color indexed="64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170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 indent="1"/>
    </xf>
    <xf numFmtId="40" fontId="3" fillId="0" borderId="1" xfId="0" quotePrefix="1" applyNumberFormat="1" applyFont="1" applyBorder="1" applyAlignment="1">
      <alignment horizontal="left" vertical="center" indent="1"/>
    </xf>
    <xf numFmtId="0" fontId="3" fillId="0" borderId="1" xfId="0" applyFont="1" applyBorder="1"/>
    <xf numFmtId="40" fontId="3" fillId="0" borderId="1" xfId="0" applyNumberFormat="1" applyFont="1" applyBorder="1"/>
    <xf numFmtId="40" fontId="3" fillId="0" borderId="1" xfId="0" applyNumberFormat="1" applyFont="1" applyBorder="1" applyAlignment="1">
      <alignment horizontal="center" vertical="center"/>
    </xf>
    <xf numFmtId="40" fontId="3" fillId="0" borderId="8" xfId="0" applyNumberFormat="1" applyFont="1" applyBorder="1" applyAlignment="1">
      <alignment horizontal="left" vertical="center"/>
    </xf>
    <xf numFmtId="40" fontId="3" fillId="0" borderId="8" xfId="0" applyNumberFormat="1" applyFont="1" applyBorder="1" applyAlignment="1">
      <alignment vertical="center"/>
    </xf>
    <xf numFmtId="40" fontId="4" fillId="0" borderId="8" xfId="0" applyNumberFormat="1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40" fontId="3" fillId="0" borderId="13" xfId="0" applyNumberFormat="1" applyFont="1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40" fontId="3" fillId="0" borderId="13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40" fontId="4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0" xfId="0" applyBorder="1"/>
    <xf numFmtId="0" fontId="0" fillId="0" borderId="13" xfId="0" applyBorder="1"/>
    <xf numFmtId="0" fontId="2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40" fontId="1" fillId="0" borderId="13" xfId="0" applyNumberFormat="1" applyFont="1" applyBorder="1" applyAlignment="1">
      <alignment horizontal="center" vertical="center"/>
    </xf>
    <xf numFmtId="166" fontId="1" fillId="0" borderId="13" xfId="0" applyNumberFormat="1" applyFont="1" applyBorder="1" applyAlignment="1">
      <alignment horizontal="center" vertical="center"/>
    </xf>
    <xf numFmtId="0" fontId="3" fillId="0" borderId="0" xfId="0" pivotButton="1" applyFont="1"/>
    <xf numFmtId="40" fontId="3" fillId="0" borderId="0" xfId="0" applyNumberFormat="1" applyFont="1"/>
    <xf numFmtId="167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0" fontId="3" fillId="0" borderId="13" xfId="0" applyFont="1" applyBorder="1"/>
    <xf numFmtId="0" fontId="4" fillId="0" borderId="13" xfId="0" applyFont="1" applyBorder="1"/>
    <xf numFmtId="40" fontId="1" fillId="2" borderId="0" xfId="0" applyNumberFormat="1" applyFont="1" applyFill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14" fontId="1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/>
    <xf numFmtId="40" fontId="2" fillId="0" borderId="13" xfId="0" applyNumberFormat="1" applyFont="1" applyBorder="1" applyAlignment="1">
      <alignment horizontal="center" vertical="center"/>
    </xf>
    <xf numFmtId="168" fontId="3" fillId="0" borderId="0" xfId="0" applyNumberFormat="1" applyFont="1"/>
    <xf numFmtId="40" fontId="3" fillId="2" borderId="13" xfId="0" applyNumberFormat="1" applyFont="1" applyFill="1" applyBorder="1" applyAlignment="1">
      <alignment horizontal="center" vertical="center"/>
    </xf>
    <xf numFmtId="0" fontId="5" fillId="0" borderId="0" xfId="0" applyFont="1"/>
    <xf numFmtId="40" fontId="0" fillId="0" borderId="0" xfId="0" applyNumberFormat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2" xfId="0" applyBorder="1"/>
    <xf numFmtId="164" fontId="0" fillId="0" borderId="18" xfId="1" applyFont="1" applyBorder="1"/>
    <xf numFmtId="164" fontId="0" fillId="0" borderId="22" xfId="1" applyFont="1" applyBorder="1"/>
    <xf numFmtId="164" fontId="0" fillId="0" borderId="13" xfId="1" applyFont="1" applyBorder="1"/>
    <xf numFmtId="164" fontId="0" fillId="0" borderId="23" xfId="1" applyFont="1" applyBorder="1"/>
    <xf numFmtId="164" fontId="0" fillId="0" borderId="20" xfId="1" applyFont="1" applyBorder="1"/>
    <xf numFmtId="164" fontId="0" fillId="0" borderId="24" xfId="1" applyFont="1" applyBorder="1"/>
    <xf numFmtId="164" fontId="0" fillId="0" borderId="10" xfId="1" applyFont="1" applyBorder="1"/>
    <xf numFmtId="164" fontId="0" fillId="0" borderId="25" xfId="1" applyFont="1" applyBorder="1"/>
    <xf numFmtId="0" fontId="0" fillId="0" borderId="25" xfId="0" applyBorder="1"/>
    <xf numFmtId="0" fontId="0" fillId="0" borderId="21" xfId="0" applyBorder="1"/>
    <xf numFmtId="0" fontId="0" fillId="0" borderId="26" xfId="0" applyBorder="1"/>
    <xf numFmtId="0" fontId="0" fillId="0" borderId="27" xfId="0" applyBorder="1"/>
    <xf numFmtId="164" fontId="0" fillId="0" borderId="26" xfId="1" applyFont="1" applyBorder="1"/>
    <xf numFmtId="0" fontId="3" fillId="0" borderId="0" xfId="0" quotePrefix="1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0" fillId="0" borderId="0" xfId="0" applyAlignment="1">
      <alignment horizontal="left" indent="5"/>
    </xf>
    <xf numFmtId="0" fontId="0" fillId="0" borderId="0" xfId="0" applyAlignment="1">
      <alignment horizontal="left" indent="6"/>
    </xf>
    <xf numFmtId="0" fontId="0" fillId="0" borderId="0" xfId="0" applyAlignment="1">
      <alignment horizontal="left" indent="7"/>
    </xf>
    <xf numFmtId="14" fontId="0" fillId="0" borderId="0" xfId="0" applyNumberFormat="1" applyAlignment="1">
      <alignment horizontal="left" indent="8"/>
    </xf>
    <xf numFmtId="167" fontId="0" fillId="0" borderId="0" xfId="0" applyNumberFormat="1"/>
    <xf numFmtId="165" fontId="3" fillId="0" borderId="0" xfId="0" applyNumberFormat="1" applyFont="1"/>
    <xf numFmtId="168" fontId="1" fillId="0" borderId="0" xfId="0" applyNumberFormat="1" applyFont="1" applyAlignment="1">
      <alignment horizontal="center" vertical="center"/>
    </xf>
    <xf numFmtId="164" fontId="3" fillId="0" borderId="0" xfId="1" applyFont="1"/>
    <xf numFmtId="168" fontId="3" fillId="0" borderId="13" xfId="0" applyNumberFormat="1" applyFont="1" applyBorder="1"/>
    <xf numFmtId="164" fontId="3" fillId="0" borderId="0" xfId="0" applyNumberFormat="1" applyFont="1"/>
    <xf numFmtId="40" fontId="1" fillId="3" borderId="0" xfId="0" applyNumberFormat="1" applyFont="1" applyFill="1" applyAlignment="1">
      <alignment horizontal="center" vertical="center"/>
    </xf>
    <xf numFmtId="169" fontId="0" fillId="0" borderId="0" xfId="0" applyNumberFormat="1"/>
    <xf numFmtId="10" fontId="3" fillId="0" borderId="0" xfId="0" applyNumberFormat="1" applyFont="1"/>
    <xf numFmtId="2" fontId="7" fillId="4" borderId="28" xfId="0" applyNumberFormat="1" applyFont="1" applyFill="1" applyBorder="1" applyAlignment="1">
      <alignment horizontal="center" vertical="center"/>
    </xf>
    <xf numFmtId="0" fontId="7" fillId="4" borderId="28" xfId="0" applyFont="1" applyFill="1" applyBorder="1" applyAlignment="1">
      <alignment horizontal="left" vertical="center" indent="1"/>
    </xf>
    <xf numFmtId="4" fontId="7" fillId="5" borderId="0" xfId="0" applyNumberFormat="1" applyFont="1" applyFill="1" applyAlignment="1">
      <alignment vertical="center"/>
    </xf>
    <xf numFmtId="0" fontId="7" fillId="5" borderId="0" xfId="0" applyFont="1" applyFill="1" applyAlignment="1">
      <alignment horizontal="left" vertical="center" indent="1"/>
    </xf>
    <xf numFmtId="10" fontId="7" fillId="4" borderId="0" xfId="0" applyNumberFormat="1" applyFont="1" applyFill="1" applyAlignment="1">
      <alignment vertical="center"/>
    </xf>
    <xf numFmtId="0" fontId="7" fillId="4" borderId="0" xfId="0" applyFont="1" applyFill="1" applyAlignment="1">
      <alignment horizontal="left" vertical="center" indent="1"/>
    </xf>
    <xf numFmtId="10" fontId="7" fillId="5" borderId="0" xfId="0" applyNumberFormat="1" applyFont="1" applyFill="1" applyAlignment="1">
      <alignment vertical="center"/>
    </xf>
    <xf numFmtId="0" fontId="8" fillId="6" borderId="29" xfId="0" applyFont="1" applyFill="1" applyBorder="1" applyAlignment="1">
      <alignment horizontal="center" vertical="center"/>
    </xf>
    <xf numFmtId="40" fontId="7" fillId="4" borderId="28" xfId="0" applyNumberFormat="1" applyFont="1" applyFill="1" applyBorder="1" applyAlignment="1">
      <alignment horizontal="center" vertical="center"/>
    </xf>
    <xf numFmtId="170" fontId="7" fillId="5" borderId="0" xfId="0" applyNumberFormat="1" applyFont="1" applyFill="1" applyAlignment="1">
      <alignment horizontal="center" vertical="center"/>
    </xf>
    <xf numFmtId="4" fontId="10" fillId="7" borderId="31" xfId="0" applyNumberFormat="1" applyFont="1" applyFill="1" applyBorder="1"/>
    <xf numFmtId="4" fontId="10" fillId="7" borderId="12" xfId="0" applyNumberFormat="1" applyFont="1" applyFill="1" applyBorder="1"/>
    <xf numFmtId="4" fontId="10" fillId="7" borderId="32" xfId="0" applyNumberFormat="1" applyFont="1" applyFill="1" applyBorder="1"/>
    <xf numFmtId="4" fontId="10" fillId="7" borderId="6" xfId="0" applyNumberFormat="1" applyFont="1" applyFill="1" applyBorder="1"/>
    <xf numFmtId="4" fontId="10" fillId="7" borderId="13" xfId="0" applyNumberFormat="1" applyFont="1" applyFill="1" applyBorder="1"/>
    <xf numFmtId="4" fontId="10" fillId="7" borderId="5" xfId="0" applyNumberFormat="1" applyFont="1" applyFill="1" applyBorder="1"/>
    <xf numFmtId="4" fontId="10" fillId="7" borderId="33" xfId="0" applyNumberFormat="1" applyFont="1" applyFill="1" applyBorder="1"/>
    <xf numFmtId="4" fontId="10" fillId="7" borderId="10" xfId="0" applyNumberFormat="1" applyFont="1" applyFill="1" applyBorder="1"/>
    <xf numFmtId="4" fontId="10" fillId="7" borderId="30" xfId="0" applyNumberFormat="1" applyFont="1" applyFill="1" applyBorder="1"/>
    <xf numFmtId="4" fontId="10" fillId="7" borderId="12" xfId="0" applyNumberFormat="1" applyFont="1" applyFill="1" applyBorder="1" applyAlignment="1">
      <alignment horizontal="center"/>
    </xf>
    <xf numFmtId="4" fontId="10" fillId="7" borderId="32" xfId="0" applyNumberFormat="1" applyFont="1" applyFill="1" applyBorder="1" applyAlignment="1">
      <alignment horizont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7" xfId="0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40" fontId="3" fillId="0" borderId="8" xfId="0" applyNumberFormat="1" applyFont="1" applyBorder="1" applyAlignment="1">
      <alignment horizontal="left" vertical="center"/>
    </xf>
    <xf numFmtId="0" fontId="3" fillId="0" borderId="1" xfId="0" applyFont="1" applyBorder="1" applyAlignment="1">
      <alignment vertical="center"/>
    </xf>
    <xf numFmtId="40" fontId="4" fillId="0" borderId="10" xfId="0" applyNumberFormat="1" applyFont="1" applyBorder="1" applyAlignment="1">
      <alignment horizontal="center" vertical="center"/>
    </xf>
    <xf numFmtId="40" fontId="5" fillId="0" borderId="11" xfId="0" applyNumberFormat="1" applyFont="1" applyBorder="1" applyAlignment="1">
      <alignment horizontal="center" vertical="center"/>
    </xf>
    <xf numFmtId="40" fontId="5" fillId="0" borderId="12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13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3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1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4" fontId="10" fillId="7" borderId="13" xfId="0" applyNumberFormat="1" applyFont="1" applyFill="1" applyBorder="1" applyAlignment="1">
      <alignment horizontal="center"/>
    </xf>
    <xf numFmtId="4" fontId="10" fillId="7" borderId="5" xfId="0" applyNumberFormat="1" applyFont="1" applyFill="1" applyBorder="1" applyAlignment="1">
      <alignment horizontal="center"/>
    </xf>
    <xf numFmtId="4" fontId="10" fillId="7" borderId="12" xfId="0" applyNumberFormat="1" applyFont="1" applyFill="1" applyBorder="1" applyAlignment="1">
      <alignment horizontal="center"/>
    </xf>
    <xf numFmtId="4" fontId="10" fillId="7" borderId="32" xfId="0" applyNumberFormat="1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1183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numFmt numFmtId="167" formatCode="0.00%_);[Red]\(0.00%\)"/>
    </dxf>
    <dxf>
      <numFmt numFmtId="167" formatCode="0.00%_);[Red]\(0.00%\)"/>
    </dxf>
    <dxf>
      <numFmt numFmtId="169" formatCode="#,##0.00_);[Red]\(#,##0.00\)"/>
    </dxf>
    <dxf>
      <numFmt numFmtId="169" formatCode="#,##0.00_);[Red]\(#,##0.00\)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9" formatCode="#,##0.00_);[Red]\(#,##0.00\)"/>
    </dxf>
    <dxf>
      <numFmt numFmtId="169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7" formatCode="0.00%_);[Red]\(0.00%\)"/>
    </dxf>
    <dxf>
      <numFmt numFmtId="167" formatCode="0.00%_);[Red]\(0.00%\)"/>
    </dxf>
    <dxf>
      <numFmt numFmtId="169" formatCode="#,##0.00_);[Red]\(#,##0.00\)"/>
    </dxf>
    <dxf>
      <numFmt numFmtId="169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2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onnections" Target="connection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pivotCacheDefinition" Target="pivotCache/pivotCacheDefinition3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#,##0.00%_);[Red]\(#,##0.00%\)</c:formatCode>
                <c:ptCount val="22"/>
                <c:pt idx="0">
                  <c:v>1.8298936264912699E-3</c:v>
                </c:pt>
                <c:pt idx="1">
                  <c:v>3.6932829604150331E-4</c:v>
                </c:pt>
                <c:pt idx="2">
                  <c:v>2.0469767795633564E-3</c:v>
                </c:pt>
                <c:pt idx="3">
                  <c:v>0</c:v>
                </c:pt>
                <c:pt idx="4">
                  <c:v>0</c:v>
                </c:pt>
                <c:pt idx="5">
                  <c:v>0.26955791867044931</c:v>
                </c:pt>
                <c:pt idx="6">
                  <c:v>4.8546138400890809E-2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0.14353094705986891</c:v>
                </c:pt>
                <c:pt idx="13">
                  <c:v>0</c:v>
                </c:pt>
                <c:pt idx="14">
                  <c:v>0</c:v>
                </c:pt>
                <c:pt idx="15">
                  <c:v>5.076776413209029E-2</c:v>
                </c:pt>
                <c:pt idx="16">
                  <c:v>-3.8001875553472307E-2</c:v>
                </c:pt>
                <c:pt idx="17">
                  <c:v>0</c:v>
                </c:pt>
                <c:pt idx="18">
                  <c:v>-1.9277306523612782E-3</c:v>
                </c:pt>
                <c:pt idx="19">
                  <c:v>0</c:v>
                </c:pt>
                <c:pt idx="20">
                  <c:v>2.9625372218705285E-4</c:v>
                </c:pt>
                <c:pt idx="21">
                  <c:v>9.5932284721796842E-5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18-4252-A6EB-8E82B9712CA1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#,##0.00%_);[Red]\(#,##0.00%\)</c:formatCode>
                <c:ptCount val="22"/>
                <c:pt idx="0">
                  <c:v>1.7276503304799818E-3</c:v>
                </c:pt>
                <c:pt idx="1">
                  <c:v>7.0466168227014195E-4</c:v>
                </c:pt>
                <c:pt idx="2">
                  <c:v>6.4141877427156715E-4</c:v>
                </c:pt>
                <c:pt idx="3">
                  <c:v>0</c:v>
                </c:pt>
                <c:pt idx="4">
                  <c:v>0</c:v>
                </c:pt>
                <c:pt idx="5">
                  <c:v>0.32619275970938771</c:v>
                </c:pt>
                <c:pt idx="6">
                  <c:v>8.5144133725970295E-2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0.15704164536505127</c:v>
                </c:pt>
                <c:pt idx="13">
                  <c:v>0</c:v>
                </c:pt>
                <c:pt idx="14">
                  <c:v>0</c:v>
                </c:pt>
                <c:pt idx="15">
                  <c:v>2.6451738593182325E-2</c:v>
                </c:pt>
                <c:pt idx="16">
                  <c:v>-3.9493784442362491E-2</c:v>
                </c:pt>
                <c:pt idx="17">
                  <c:v>0</c:v>
                </c:pt>
                <c:pt idx="18">
                  <c:v>-2.019867158861789E-3</c:v>
                </c:pt>
                <c:pt idx="19">
                  <c:v>0</c:v>
                </c:pt>
                <c:pt idx="20">
                  <c:v>2.7117232045936212E-3</c:v>
                </c:pt>
                <c:pt idx="21">
                  <c:v>4.3023196875848488E-4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18-4252-A6EB-8E82B9712CA1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#,##0.00%_);[Red]\(#,##0.00%\)</c:formatCode>
                <c:ptCount val="22"/>
                <c:pt idx="0">
                  <c:v>1.7276503304799818E-3</c:v>
                </c:pt>
                <c:pt idx="1">
                  <c:v>7.0466168227014195E-4</c:v>
                </c:pt>
                <c:pt idx="2">
                  <c:v>6.4141877427156715E-4</c:v>
                </c:pt>
                <c:pt idx="3">
                  <c:v>0</c:v>
                </c:pt>
                <c:pt idx="4">
                  <c:v>0</c:v>
                </c:pt>
                <c:pt idx="5">
                  <c:v>0.32619275970938771</c:v>
                </c:pt>
                <c:pt idx="6">
                  <c:v>8.5144133725970295E-2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0.15704164536505127</c:v>
                </c:pt>
                <c:pt idx="13">
                  <c:v>0</c:v>
                </c:pt>
                <c:pt idx="14">
                  <c:v>0</c:v>
                </c:pt>
                <c:pt idx="15">
                  <c:v>2.6451738593182325E-2</c:v>
                </c:pt>
                <c:pt idx="16">
                  <c:v>-3.9493784442362491E-2</c:v>
                </c:pt>
                <c:pt idx="17">
                  <c:v>0</c:v>
                </c:pt>
                <c:pt idx="18">
                  <c:v>-2.019867158861789E-3</c:v>
                </c:pt>
                <c:pt idx="19">
                  <c:v>0</c:v>
                </c:pt>
                <c:pt idx="20">
                  <c:v>2.7117232045936212E-3</c:v>
                </c:pt>
                <c:pt idx="21">
                  <c:v>4.3023196875848488E-4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18-4252-A6EB-8E82B9712CA1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6518-4252-A6EB-8E82B9712CA1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6518-4252-A6EB-8E82B9712CA1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6518-4252-A6EB-8E82B9712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773280"/>
        <c:axId val="1542160016"/>
      </c:radarChart>
      <c:catAx>
        <c:axId val="99277328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542160016"/>
        <c:crosses val="autoZero"/>
        <c:auto val="1"/>
        <c:lblAlgn val="ctr"/>
        <c:lblOffset val="100"/>
        <c:noMultiLvlLbl val="0"/>
      </c:catAx>
      <c:valAx>
        <c:axId val="1542160016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992773280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#,##0.00%_);[Red]\(#,##0.00%\)</c:formatCode>
                <c:ptCount val="11"/>
                <c:pt idx="0">
                  <c:v>-1.0848493479586294E-4</c:v>
                </c:pt>
                <c:pt idx="1">
                  <c:v>0</c:v>
                </c:pt>
                <c:pt idx="2">
                  <c:v>0</c:v>
                </c:pt>
                <c:pt idx="3">
                  <c:v>1.7137210299187654E-2</c:v>
                </c:pt>
                <c:pt idx="4">
                  <c:v>0</c:v>
                </c:pt>
                <c:pt idx="5">
                  <c:v>-2.8594431444243267E-2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-2.2787811654458857E-2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85-4EAE-9148-578C03501483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#,##0.00%_);[Red]\(#,##0.00%\)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85-4EAE-9148-578C03501483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#,##0.00%_);[Red]\(#,##0.00%\)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85-4EAE-9148-578C03501483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9985-4EAE-9148-578C03501483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9985-4EAE-9148-578C03501483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9985-4EAE-9148-578C03501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31120"/>
        <c:axId val="980448176"/>
      </c:radarChart>
      <c:catAx>
        <c:axId val="98043112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980448176"/>
        <c:crosses val="autoZero"/>
        <c:auto val="1"/>
        <c:lblAlgn val="ctr"/>
        <c:lblOffset val="100"/>
        <c:noMultiLvlLbl val="0"/>
      </c:catAx>
      <c:valAx>
        <c:axId val="980448176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980431120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474346</xdr:colOff>
      <xdr:row>17</xdr:row>
      <xdr:rowOff>83820</xdr:rowOff>
    </xdr:from>
    <xdr:to>
      <xdr:col>13</xdr:col>
      <xdr:colOff>632461</xdr:colOff>
      <xdr:row>49</xdr:row>
      <xdr:rowOff>110490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74FB22F-6743-AC2D-F50F-83FB9B4E9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588646</xdr:colOff>
      <xdr:row>17</xdr:row>
      <xdr:rowOff>83820</xdr:rowOff>
    </xdr:from>
    <xdr:to>
      <xdr:col>13</xdr:col>
      <xdr:colOff>396241</xdr:colOff>
      <xdr:row>49</xdr:row>
      <xdr:rowOff>110490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544B262-52FC-DB18-E752-88EA195C9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88.745293518521" createdVersion="5" refreshedVersion="8" minRefreshableVersion="3" recordCount="603" xr:uid="{24A3296D-EA6A-42B4-ACCB-7AB8140C80D0}">
  <cacheSource type="worksheet">
    <worksheetSource name="Efeito"/>
  </cacheSource>
  <cacheFields count="36">
    <cacheField name="TipoMercado" numFmtId="0">
      <sharedItems/>
    </cacheField>
    <cacheField name="Subgrupo" numFmtId="0">
      <sharedItems count="6">
        <s v="A3"/>
        <s v="A4"/>
        <s v="B1"/>
        <s v="B2"/>
        <s v="B3"/>
        <s v="B4"/>
      </sharedItems>
    </cacheField>
    <cacheField name="Modalidade" numFmtId="0">
      <sharedItems count="5">
        <s v="Azul"/>
        <s v="Geração"/>
        <s v="Verde"/>
        <s v="Convencional"/>
        <s v="Branca"/>
      </sharedItems>
    </cacheField>
    <cacheField name="Classe" numFmtId="0">
      <sharedItems count="9">
        <s v="Industrial"/>
        <s v="Não se aplica"/>
        <s v="Comercial"/>
        <s v="Poder público"/>
        <s v="Residencial"/>
        <s v="Rural"/>
        <s v="Consumo próprio"/>
        <s v="Serviço público"/>
        <s v="Iluminação pública"/>
      </sharedItems>
    </cacheField>
    <cacheField name="Subclasse" numFmtId="0">
      <sharedItems count="10">
        <s v="Não se aplica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  <s v="Aquicultura"/>
        <s v="Água, esgoto e saneamento"/>
        <s v="Iluminação pública – B4a"/>
      </sharedItems>
    </cacheField>
    <cacheField name="Detalhe" numFmtId="0">
      <sharedItems count="4">
        <s v="Fonte incentivada"/>
        <s v="Não se aplica"/>
        <s v="IRRIG./AQUIC."/>
        <s v="IRRIG./AQUIC. PR"/>
      </sharedItems>
    </cacheField>
    <cacheField name="Agente" numFmtId="0">
      <sharedItems count="3">
        <s v="Não se aplica"/>
        <s v="RIO PALMEIRAS I"/>
        <s v="RIO PALMEIRAS II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8-01T00:00:00" maxDate="2022-07-02T00:00:00" count="12">
        <d v="2022-04-01T00:00:00"/>
        <d v="2022-05-01T00:00:00"/>
        <d v="2022-06-01T00:00:00"/>
        <d v="2022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</sharedItems>
    </cacheField>
    <cacheField name="D" numFmtId="40">
      <sharedItems containsSemiMixedTypes="0" containsString="0" containsNumber="1" minValue="0" maxValue="11461"/>
    </cacheField>
    <cacheField name="Daj" numFmtId="40">
      <sharedItems containsSemiMixedTypes="0" containsString="0" containsNumber="1" minValue="0" maxValue="5831.1337689399998"/>
    </cacheField>
    <cacheField name="TUSD_E" numFmtId="40">
      <sharedItems containsSemiMixedTypes="0" containsString="0" containsNumber="1" minValue="0" maxValue="3601.8670000000002"/>
    </cacheField>
    <cacheField name="TUSD_Eaj" numFmtId="40">
      <sharedItems containsSemiMixedTypes="0" containsString="0" containsNumber="1" minValue="0" maxValue="3601.8670000000002"/>
    </cacheField>
    <cacheField name="TE_E" numFmtId="40">
      <sharedItems containsSemiMixedTypes="0" containsString="0" containsNumber="1" minValue="0" maxValue="1210.3520000000001"/>
    </cacheField>
    <cacheField name="TE_Eaj" numFmtId="40">
      <sharedItems containsSemiMixedTypes="0" containsString="0" containsNumber="1" minValue="0" maxValue="1210.3520000000001"/>
    </cacheField>
    <cacheField name="UC" numFmtId="40">
      <sharedItems containsSemiMixedTypes="0" containsString="0" containsNumber="1" containsInteger="1" minValue="0" maxValue="5130"/>
    </cacheField>
    <cacheField name="OPÇÃO" numFmtId="0">
      <sharedItems count="3">
        <s v="LIVRE"/>
        <s v="GERAÇÃO"/>
        <s v="CATIVO"/>
      </sharedItems>
    </cacheField>
    <cacheField name="CóD. AUX." numFmtId="0">
      <sharedItems containsSemiMixedTypes="0" containsString="0" containsNumber="1" containsInteger="1" minValue="0" maxValue="29377"/>
    </cacheField>
    <cacheField name="CóD. AUX. TUSD R$/kW" numFmtId="40">
      <sharedItems containsSemiMixedTypes="0" containsString="0" containsNumber="1" containsInteger="1" minValue="0" maxValue="18"/>
    </cacheField>
    <cacheField name="CóD. AUX. TUSD R$/MWh" numFmtId="40">
      <sharedItems containsSemiMixedTypes="0" containsString="0" containsNumber="1" containsInteger="1" minValue="0" maxValue="79"/>
    </cacheField>
    <cacheField name="CóD. AUX. TE R$/MWh" numFmtId="40">
      <sharedItems containsSemiMixedTypes="0" containsString="0" containsNumber="1" containsInteger="1" minValue="0" maxValue="91"/>
    </cacheField>
    <cacheField name="TUSD (R$/kW)" numFmtId="40">
      <sharedItems containsSemiMixedTypes="0" containsString="0" containsNumber="1" minValue="0" maxValue="29.39"/>
    </cacheField>
    <cacheField name="TUSD (R$/MWh)" numFmtId="40">
      <sharedItems containsSemiMixedTypes="0" containsString="0" containsNumber="1" minValue="0" maxValue="1905.55"/>
    </cacheField>
    <cacheField name="TE (R$/MWh)" numFmtId="40">
      <sharedItems containsSemiMixedTypes="0" containsString="0" containsNumber="1" minValue="0" maxValue="488.15"/>
    </cacheField>
    <cacheField name="TUSD (R$/kW) NOVA" numFmtId="40">
      <sharedItems containsString="0" containsBlank="1" containsNumber="1" minValue="8.6313330347690602" maxValue="40.092705868004103"/>
    </cacheField>
    <cacheField name="TUSD (R$/MWh) NOVA" numFmtId="40">
      <sharedItems containsString="0" containsBlank="1" containsNumber="1" minValue="111.26624833098249" maxValue="2442.6646753468553"/>
    </cacheField>
    <cacheField name="TE (R$/MWh) NOVA" numFmtId="40">
      <sharedItems containsString="0" containsBlank="1" containsNumber="1" minValue="100.50737434390136" maxValue="461.06028669645673"/>
    </cacheField>
    <cacheField name="RA0 ou RV - TUSD (kW)" numFmtId="40">
      <sharedItems containsSemiMixedTypes="0" containsString="0" containsNumber="1" minValue="0" maxValue="107817.66338770058"/>
    </cacheField>
    <cacheField name="RA0 ou RV - TUSD (MWh)" numFmtId="40">
      <sharedItems containsSemiMixedTypes="0" containsString="0" containsNumber="1" minValue="0" maxValue="415356.49584000005"/>
    </cacheField>
    <cacheField name="RA0 ou RV - TE (MWh)" numFmtId="40">
      <sharedItems containsSemiMixedTypes="0" containsString="0" containsNumber="1" minValue="0" maxValue="367390.24608000007"/>
    </cacheField>
    <cacheField name="RA1 ou RRD - TUSD (kW)" numFmtId="40">
      <sharedItems containsSemiMixedTypes="0" containsString="0" containsNumber="1" minValue="0" maxValue="144296.26944912242"/>
    </cacheField>
    <cacheField name="RA1 ou RRD - TUSD (MWh)" numFmtId="40">
      <sharedItems containsSemiMixedTypes="0" containsString="0" containsNumber="1" minValue="0" maxValue="590474.21010700846"/>
    </cacheField>
    <cacheField name="RA1 ou RRD - TE (MWh)" numFmtId="40">
      <sharedItems containsSemiMixedTypes="0" containsString="0" containsNumber="1" minValue="0" maxValue="347569.43300539919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88.745381944442" createdVersion="5" refreshedVersion="8" minRefreshableVersion="3" recordCount="232" xr:uid="{C8AB5E45-887E-4878-AF2E-DA7BBCAC8351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5">
        <s v="A3"/>
        <s v="A4"/>
        <s v="B1"/>
        <s v="B2"/>
        <s v="B3"/>
      </sharedItems>
    </cacheField>
    <cacheField name="Modalidade" numFmtId="0">
      <sharedItems count="4">
        <s v="Azul"/>
        <s v="Geração"/>
        <s v="Verde"/>
        <s v="Convencional"/>
      </sharedItems>
    </cacheField>
    <cacheField name="Classe" numFmtId="0">
      <sharedItems count="5">
        <s v="Industrial"/>
        <s v="Não se aplica"/>
        <s v="Residencial"/>
        <s v="Rural"/>
        <s v="Serviço público"/>
      </sharedItems>
    </cacheField>
    <cacheField name="Subclasse" numFmtId="0">
      <sharedItems count="9">
        <s v="Não se aplica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  <s v="Aquicultura"/>
        <s v="Água, esgoto e saneamento"/>
      </sharedItems>
    </cacheField>
    <cacheField name="Detalhe" numFmtId="0">
      <sharedItems count="4">
        <s v="Fonte incentivada"/>
        <s v="Não se aplica"/>
        <s v="IRRIG./AQUIC."/>
        <s v="IRRIG./AQUIC. PR"/>
      </sharedItems>
    </cacheField>
    <cacheField name="Agente" numFmtId="0">
      <sharedItems count="3">
        <s v="Não se aplica"/>
        <s v="RIO PALMEIRAS I"/>
        <s v="RIO PALMEIRAS II"/>
      </sharedItems>
    </cacheField>
    <cacheField name="Posto" numFmtId="0">
      <sharedItems count="3">
        <s v="Fora ponta"/>
        <s v="Não se aplica"/>
        <s v="Ponta"/>
      </sharedItems>
    </cacheField>
    <cacheField name="AnoMes" numFmtId="14">
      <sharedItems containsSemiMixedTypes="0" containsNonDate="0" containsDate="1" containsString="0" minDate="2021-08-01T00:00:00" maxDate="2022-07-02T00:00:00" count="12">
        <d v="2022-04-01T00:00:00"/>
        <d v="2022-05-01T00:00:00"/>
        <d v="2022-06-01T00:00:00"/>
        <d v="2022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</sharedItems>
    </cacheField>
    <cacheField name="D" numFmtId="40">
      <sharedItems containsSemiMixedTypes="0" containsString="0" containsNumber="1" minValue="0" maxValue="11461"/>
    </cacheField>
    <cacheField name="Daj" numFmtId="40">
      <sharedItems containsSemiMixedTypes="0" containsString="0" containsNumber="1" minValue="0" maxValue="5831.1337689399998"/>
    </cacheField>
    <cacheField name="TUSD_E" numFmtId="40">
      <sharedItems containsSemiMixedTypes="0" containsString="0" containsNumber="1" minValue="0" maxValue="3601.8670000000002"/>
    </cacheField>
    <cacheField name="TUSD_Eaj" numFmtId="40">
      <sharedItems containsSemiMixedTypes="0" containsString="0" containsNumber="1" minValue="0" maxValue="3601.8670000000002"/>
    </cacheField>
    <cacheField name="TE_E" numFmtId="40">
      <sharedItems containsSemiMixedTypes="0" containsString="0" containsNumber="1" minValue="0" maxValue="905.87900000000002"/>
    </cacheField>
    <cacheField name="TE_Eaj" numFmtId="40">
      <sharedItems containsSemiMixedTypes="0" containsString="0" containsNumber="1" minValue="0" maxValue="905.87900000000002"/>
    </cacheField>
    <cacheField name="UC" numFmtId="40">
      <sharedItems containsSemiMixedTypes="0" containsString="0" containsNumber="1" containsInteger="1" minValue="0" maxValue="5048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29377"/>
    </cacheField>
    <cacheField name="CóD. AUX. TUSD R$/kW" numFmtId="0">
      <sharedItems containsSemiMixedTypes="0" containsString="0" containsNumber="1" containsInteger="1" minValue="0" maxValue="18"/>
    </cacheField>
    <cacheField name="CóD. AUX. TUSD R$/MWh" numFmtId="0">
      <sharedItems containsSemiMixedTypes="0" containsString="0" containsNumber="1" containsInteger="1" minValue="0" maxValue="77"/>
    </cacheField>
    <cacheField name="CóD. AUX. TE R$/MWh" numFmtId="0">
      <sharedItems containsSemiMixedTypes="0" containsString="0" containsNumber="1" containsInteger="1" minValue="0" maxValue="91"/>
    </cacheField>
    <cacheField name="TUSD (R$/kW)" numFmtId="40">
      <sharedItems containsSemiMixedTypes="0" containsString="0" containsNumber="1" minValue="0" maxValue="29.39"/>
    </cacheField>
    <cacheField name="TUSD (R$/MWh)" numFmtId="40">
      <sharedItems containsSemiMixedTypes="0" containsString="0" containsNumber="1" minValue="0" maxValue="789.62"/>
    </cacheField>
    <cacheField name="TE (R$/MWh)" numFmtId="40">
      <sharedItems containsSemiMixedTypes="0" containsString="0" containsNumber="1" minValue="0" maxValue="303.54000000000002"/>
    </cacheField>
    <cacheField name="TUSD (R$/kW) NOVA" numFmtId="40">
      <sharedItems containsString="0" containsBlank="1" containsNumber="1" minValue="8.6313330347690602" maxValue="40.092705868004103"/>
    </cacheField>
    <cacheField name="TUSD (R$/MWh) NOVA" numFmtId="40">
      <sharedItems containsString="0" containsBlank="1" containsNumber="1" minValue="111.26624833098249" maxValue="1120.2502177732708"/>
    </cacheField>
    <cacheField name="TE (R$/MWh) NOVA" numFmtId="40">
      <sharedItems containsString="0" containsBlank="1" containsNumber="1" minValue="100.50737434390136" maxValue="287.16392669686104"/>
    </cacheField>
    <cacheField name="SUBSIDIO kW - TV" numFmtId="40">
      <sharedItems containsSemiMixedTypes="0" containsString="0" containsNumber="1" minValue="0" maxValue="105596.3486510864"/>
    </cacheField>
    <cacheField name="SUBSIDIO MWh - TV" numFmtId="40">
      <sharedItems containsSemiMixedTypes="0" containsString="0" containsNumber="1" minValue="-9.0551566245267166E-13" maxValue="125436.66601643589"/>
    </cacheField>
    <cacheField name="SUBSIDIO kW - TN" numFmtId="40">
      <sharedItems containsSemiMixedTypes="0" containsString="0" containsNumber="1" minValue="0" maxValue="144050.47115356309"/>
    </cacheField>
    <cacheField name="SUBSIDIO MWh - TN" numFmtId="40">
      <sharedItems containsSemiMixedTypes="0" containsString="0" containsNumber="1" minValue="-9.0551566245267166E-13" maxValue="177959.59122320273"/>
    </cacheField>
    <cacheField name="TIPO" numFmtId="0">
      <sharedItems containsBlank="1" count="7">
        <s v="SUBSIDIO CARGA FONTE INCENTIVADA"/>
        <s v="SUBSIDIO GERAÇÃO FONTE INCENTIVADA"/>
        <m/>
        <s v="SUBSIDIO BAIXA RENDA"/>
        <s v="SUBSIDIO RURAL"/>
        <s v="SUBSIDIO IRRIGANTE/AQUICULTOR"/>
        <s v="SUBSIDIO ÁGUA, ESGOTO E SANEAMENTO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88.749441550928" createdVersion="8" refreshedVersion="8" minRefreshableVersion="3" recordCount="603" xr:uid="{BD94F28E-14C3-40A5-9673-C5C25BD47214}">
  <cacheSource type="worksheet">
    <worksheetSource name="Efeito4"/>
  </cacheSource>
  <cacheFields count="36">
    <cacheField name="TipoMercado" numFmtId="0">
      <sharedItems/>
    </cacheField>
    <cacheField name="Subgrupo" numFmtId="0">
      <sharedItems count="6">
        <s v="A3"/>
        <s v="A4"/>
        <s v="B1"/>
        <s v="B2"/>
        <s v="B3"/>
        <s v="B4"/>
      </sharedItems>
    </cacheField>
    <cacheField name="Modalidade" numFmtId="0">
      <sharedItems count="5">
        <s v="Azul"/>
        <s v="Geração"/>
        <s v="Verde"/>
        <s v="Convencional"/>
        <s v="Branca"/>
      </sharedItems>
    </cacheField>
    <cacheField name="Classe" numFmtId="0">
      <sharedItems count="9">
        <s v="Industrial"/>
        <s v="Não se aplica"/>
        <s v="Comercial"/>
        <s v="Poder público"/>
        <s v="Residencial"/>
        <s v="Rural"/>
        <s v="Consumo próprio"/>
        <s v="Serviço público"/>
        <s v="Iluminação pública"/>
      </sharedItems>
    </cacheField>
    <cacheField name="Subclasse" numFmtId="0">
      <sharedItems count="10">
        <s v="Não se aplica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  <s v="Aquicultura"/>
        <s v="Água, esgoto e saneamento"/>
        <s v="Iluminação pública – B4a"/>
      </sharedItems>
    </cacheField>
    <cacheField name="Detalhe" numFmtId="0">
      <sharedItems count="4">
        <s v="Fonte incentivada"/>
        <s v="Não se aplica"/>
        <s v="IRRIG./AQUIC."/>
        <s v="IRRIG./AQUIC. PR"/>
      </sharedItems>
    </cacheField>
    <cacheField name="Agente" numFmtId="0">
      <sharedItems count="3">
        <s v="Não se aplica"/>
        <s v="RIO PALMEIRAS I"/>
        <s v="RIO PALMEIRAS II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8-01T00:00:00" maxDate="2022-07-02T00:00:00" count="12">
        <d v="2022-04-01T00:00:00"/>
        <d v="2022-05-01T00:00:00"/>
        <d v="2022-06-01T00:00:00"/>
        <d v="2022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</sharedItems>
    </cacheField>
    <cacheField name="D" numFmtId="40">
      <sharedItems containsSemiMixedTypes="0" containsString="0" containsNumber="1" minValue="0" maxValue="11461"/>
    </cacheField>
    <cacheField name="Daj" numFmtId="40">
      <sharedItems containsSemiMixedTypes="0" containsString="0" containsNumber="1" minValue="0" maxValue="5831.1337689399998"/>
    </cacheField>
    <cacheField name="TUSD_E" numFmtId="40">
      <sharedItems containsSemiMixedTypes="0" containsString="0" containsNumber="1" minValue="0" maxValue="3601.8670000000002"/>
    </cacheField>
    <cacheField name="TUSD_Eaj" numFmtId="40">
      <sharedItems containsSemiMixedTypes="0" containsString="0" containsNumber="1" minValue="0" maxValue="3601.8670000000002"/>
    </cacheField>
    <cacheField name="TE_E" numFmtId="40">
      <sharedItems containsSemiMixedTypes="0" containsString="0" containsNumber="1" minValue="0" maxValue="1210.3520000000001"/>
    </cacheField>
    <cacheField name="TE_Eaj" numFmtId="40">
      <sharedItems containsSemiMixedTypes="0" containsString="0" containsNumber="1" minValue="0" maxValue="1210.3520000000001"/>
    </cacheField>
    <cacheField name="UC" numFmtId="40">
      <sharedItems containsSemiMixedTypes="0" containsString="0" containsNumber="1" containsInteger="1" minValue="0" maxValue="5130"/>
    </cacheField>
    <cacheField name="OPÇÃO" numFmtId="0">
      <sharedItems count="3">
        <s v="LIVRE"/>
        <s v="GERAÇÃO"/>
        <s v="CATIVO"/>
      </sharedItems>
    </cacheField>
    <cacheField name="CóD. AUX." numFmtId="0">
      <sharedItems containsSemiMixedTypes="0" containsString="0" containsNumber="1" containsInteger="1" minValue="0" maxValue="29377"/>
    </cacheField>
    <cacheField name="CóD. AUX. TUSD R$/kW" numFmtId="40">
      <sharedItems containsSemiMixedTypes="0" containsString="0" containsNumber="1" containsInteger="1" minValue="0" maxValue="18"/>
    </cacheField>
    <cacheField name="CóD. AUX. TUSD R$/MWh" numFmtId="40">
      <sharedItems containsSemiMixedTypes="0" containsString="0" containsNumber="1" containsInteger="1" minValue="0" maxValue="79"/>
    </cacheField>
    <cacheField name="CóD. AUX. TE R$/MWh" numFmtId="40">
      <sharedItems containsSemiMixedTypes="0" containsString="0" containsNumber="1" containsInteger="1" minValue="0" maxValue="91"/>
    </cacheField>
    <cacheField name="TUSD (R$/kW)" numFmtId="40">
      <sharedItems containsSemiMixedTypes="0" containsString="0" containsNumber="1" minValue="0" maxValue="29.39"/>
    </cacheField>
    <cacheField name="TUSD (R$/MWh)" numFmtId="40">
      <sharedItems containsSemiMixedTypes="0" containsString="0" containsNumber="1" minValue="0" maxValue="1905.55"/>
    </cacheField>
    <cacheField name="TE (R$/MWh)" numFmtId="40">
      <sharedItems containsSemiMixedTypes="0" containsString="0" containsNumber="1" minValue="0" maxValue="488.15"/>
    </cacheField>
    <cacheField name="TUSD (R$/kW) NOVA" numFmtId="40">
      <sharedItems containsString="0" containsBlank="1" containsNumber="1" minValue="8.2896895560114423" maxValue="32.35"/>
    </cacheField>
    <cacheField name="TUSD (R$/MWh) NOVA" numFmtId="40">
      <sharedItems containsString="0" containsBlank="1" containsNumber="1" minValue="65.722999999999999" maxValue="911.84"/>
    </cacheField>
    <cacheField name="TE (R$/MWh) NOVA" numFmtId="40">
      <sharedItems containsString="0" containsBlank="1" containsNumber="1" minValue="91.885499999999979" maxValue="399.84"/>
    </cacheField>
    <cacheField name="RA0 ou RV - TUSD (kW)" numFmtId="40">
      <sharedItems containsSemiMixedTypes="0" containsString="0" containsNumber="1" minValue="0" maxValue="107817.66338770058"/>
    </cacheField>
    <cacheField name="RA0 ou RV - TUSD (MWh)" numFmtId="40">
      <sharedItems containsSemiMixedTypes="0" containsString="0" containsNumber="1" minValue="0" maxValue="415356.49584000005"/>
    </cacheField>
    <cacheField name="RA0 ou RV - TE (MWh)" numFmtId="40">
      <sharedItems containsSemiMixedTypes="0" containsString="0" containsNumber="1" minValue="0" maxValue="367390.24608000007"/>
    </cacheField>
    <cacheField name="RA1 ou RRD - TUSD (kW)" numFmtId="40">
      <sharedItems containsSemiMixedTypes="0" containsString="0" containsNumber="1" minValue="0" maxValue="138940.77402524638"/>
    </cacheField>
    <cacheField name="RA1 ou RRD - TUSD (MWh)" numFmtId="40">
      <sharedItems containsSemiMixedTypes="0" containsString="0" containsNumber="1" minValue="0" maxValue="571021.19923930813"/>
    </cacheField>
    <cacheField name="RA1 ou RRD - TE (MWh)" numFmtId="40">
      <sharedItems containsSemiMixedTypes="0" containsString="0" containsNumber="1" minValue="0" maxValue="347569.43300539919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3">
  <r>
    <s v="Regular"/>
    <x v="0"/>
    <x v="0"/>
    <x v="0"/>
    <x v="0"/>
    <x v="0"/>
    <x v="0"/>
    <x v="0"/>
    <x v="0"/>
    <n v="3469.2"/>
    <n v="1735.4571699359999"/>
    <n v="0"/>
    <n v="0"/>
    <n v="0"/>
    <n v="0"/>
    <n v="0"/>
    <x v="0"/>
    <n v="0"/>
    <n v="3"/>
    <n v="0"/>
    <n v="0"/>
    <n v="13.87"/>
    <n v="0"/>
    <n v="0"/>
    <n v="18.423358094150419"/>
    <n v="111.26624833098249"/>
    <m/>
    <n v="24070.790947012316"/>
    <n v="0"/>
    <n v="0"/>
    <n v="31972.948898791783"/>
    <n v="0"/>
    <n v="0"/>
  </r>
  <r>
    <s v="Regular"/>
    <x v="0"/>
    <x v="0"/>
    <x v="0"/>
    <x v="0"/>
    <x v="0"/>
    <x v="0"/>
    <x v="0"/>
    <x v="1"/>
    <n v="3738"/>
    <n v="1869.74565624"/>
    <n v="0"/>
    <n v="0"/>
    <n v="0"/>
    <n v="0"/>
    <n v="0"/>
    <x v="0"/>
    <n v="0"/>
    <n v="3"/>
    <n v="0"/>
    <n v="0"/>
    <n v="13.87"/>
    <n v="0"/>
    <n v="0"/>
    <n v="18.423358094150419"/>
    <n v="111.26624833098249"/>
    <m/>
    <n v="25933.372252048797"/>
    <n v="0"/>
    <n v="0"/>
    <n v="34446.993769891793"/>
    <n v="0"/>
    <n v="0"/>
  </r>
  <r>
    <s v="Regular"/>
    <x v="0"/>
    <x v="0"/>
    <x v="0"/>
    <x v="0"/>
    <x v="0"/>
    <x v="0"/>
    <x v="0"/>
    <x v="2"/>
    <n v="3763.2"/>
    <n v="1900.6458562559999"/>
    <n v="0"/>
    <n v="0"/>
    <n v="0"/>
    <n v="0"/>
    <n v="0"/>
    <x v="0"/>
    <n v="0"/>
    <n v="3"/>
    <n v="0"/>
    <n v="0"/>
    <n v="13.87"/>
    <n v="0"/>
    <n v="0"/>
    <n v="18.423358094150419"/>
    <n v="111.26624833098249"/>
    <m/>
    <n v="26361.958026270717"/>
    <n v="0"/>
    <n v="0"/>
    <n v="35016.27921996743"/>
    <n v="0"/>
    <n v="0"/>
  </r>
  <r>
    <s v="Regular"/>
    <x v="0"/>
    <x v="0"/>
    <x v="0"/>
    <x v="0"/>
    <x v="0"/>
    <x v="0"/>
    <x v="0"/>
    <x v="3"/>
    <n v="4100"/>
    <n v="2087.3986829999999"/>
    <n v="0"/>
    <n v="0"/>
    <n v="0"/>
    <n v="0"/>
    <n v="0"/>
    <x v="0"/>
    <n v="0"/>
    <n v="3"/>
    <n v="0"/>
    <n v="0"/>
    <n v="13.87"/>
    <n v="0"/>
    <n v="0"/>
    <n v="18.423358094150419"/>
    <n v="111.26624833098249"/>
    <m/>
    <n v="28952.219733209997"/>
    <n v="0"/>
    <n v="0"/>
    <n v="38456.893422166977"/>
    <n v="0"/>
    <n v="0"/>
  </r>
  <r>
    <s v="Regular"/>
    <x v="0"/>
    <x v="0"/>
    <x v="0"/>
    <x v="0"/>
    <x v="0"/>
    <x v="0"/>
    <x v="1"/>
    <x v="0"/>
    <n v="0"/>
    <n v="0"/>
    <n v="1349.6216999999999"/>
    <n v="1349.6216999999999"/>
    <n v="0"/>
    <n v="0"/>
    <n v="1"/>
    <x v="0"/>
    <n v="0"/>
    <n v="0"/>
    <n v="5"/>
    <n v="0"/>
    <n v="0"/>
    <n v="57.86"/>
    <n v="0"/>
    <m/>
    <n v="111.26624833098249"/>
    <m/>
    <n v="0"/>
    <n v="78089.111561999991"/>
    <n v="0"/>
    <n v="0"/>
    <n v="150167.34322508273"/>
    <n v="0"/>
  </r>
  <r>
    <s v="Regular"/>
    <x v="0"/>
    <x v="0"/>
    <x v="0"/>
    <x v="0"/>
    <x v="0"/>
    <x v="0"/>
    <x v="1"/>
    <x v="1"/>
    <n v="0"/>
    <n v="0"/>
    <n v="2026.143"/>
    <n v="2026.143"/>
    <n v="0"/>
    <n v="0"/>
    <n v="1"/>
    <x v="0"/>
    <n v="0"/>
    <n v="0"/>
    <n v="5"/>
    <n v="0"/>
    <n v="0"/>
    <n v="57.86"/>
    <n v="0"/>
    <m/>
    <n v="111.26624833098249"/>
    <m/>
    <n v="0"/>
    <n v="117232.63398"/>
    <n v="0"/>
    <n v="0"/>
    <n v="225441.33019208186"/>
    <n v="0"/>
  </r>
  <r>
    <s v="Regular"/>
    <x v="0"/>
    <x v="0"/>
    <x v="0"/>
    <x v="0"/>
    <x v="0"/>
    <x v="0"/>
    <x v="1"/>
    <x v="2"/>
    <n v="0"/>
    <n v="0"/>
    <n v="2090.6046000000001"/>
    <n v="2090.6046000000001"/>
    <n v="0"/>
    <n v="0"/>
    <n v="1"/>
    <x v="0"/>
    <n v="0"/>
    <n v="0"/>
    <n v="5"/>
    <n v="0"/>
    <n v="0"/>
    <n v="57.86"/>
    <n v="0"/>
    <m/>
    <n v="111.26624833098249"/>
    <m/>
    <n v="0"/>
    <n v="120962.38215600001"/>
    <n v="0"/>
    <n v="0"/>
    <n v="232613.73058549434"/>
    <n v="0"/>
  </r>
  <r>
    <s v="Regular"/>
    <x v="0"/>
    <x v="0"/>
    <x v="0"/>
    <x v="0"/>
    <x v="0"/>
    <x v="0"/>
    <x v="1"/>
    <x v="3"/>
    <n v="0"/>
    <n v="0"/>
    <n v="2175.5034000000001"/>
    <n v="2175.5034000000001"/>
    <n v="0"/>
    <n v="0"/>
    <n v="1"/>
    <x v="0"/>
    <n v="0"/>
    <n v="0"/>
    <n v="5"/>
    <n v="0"/>
    <n v="0"/>
    <n v="57.86"/>
    <n v="0"/>
    <m/>
    <n v="111.26624833098249"/>
    <m/>
    <n v="0"/>
    <n v="125874.626724"/>
    <n v="0"/>
    <n v="0"/>
    <n v="242060.10154929676"/>
    <n v="0"/>
  </r>
  <r>
    <s v="Regular"/>
    <x v="0"/>
    <x v="0"/>
    <x v="0"/>
    <x v="0"/>
    <x v="0"/>
    <x v="0"/>
    <x v="2"/>
    <x v="0"/>
    <n v="3427.2"/>
    <n v="1714.446792576"/>
    <n v="0"/>
    <n v="0"/>
    <n v="0"/>
    <n v="0"/>
    <n v="0"/>
    <x v="0"/>
    <n v="0"/>
    <n v="1"/>
    <n v="0"/>
    <n v="0"/>
    <n v="22.04"/>
    <n v="0"/>
    <n v="0"/>
    <n v="30.069501619822329"/>
    <n v="111.26624833098249"/>
    <m/>
    <n v="37786.407308375041"/>
    <n v="0"/>
    <n v="0"/>
    <n v="51552.56060646323"/>
    <n v="0"/>
    <n v="0"/>
  </r>
  <r>
    <s v="Regular"/>
    <x v="0"/>
    <x v="0"/>
    <x v="0"/>
    <x v="0"/>
    <x v="0"/>
    <x v="0"/>
    <x v="2"/>
    <x v="1"/>
    <n v="3679.2"/>
    <n v="1840.333926816"/>
    <n v="0"/>
    <n v="0"/>
    <n v="0"/>
    <n v="0"/>
    <n v="0"/>
    <x v="0"/>
    <n v="0"/>
    <n v="1"/>
    <n v="0"/>
    <n v="0"/>
    <n v="22.04"/>
    <n v="0"/>
    <n v="0"/>
    <n v="30.069501619822329"/>
    <n v="111.26624833098249"/>
    <m/>
    <n v="40560.959747024637"/>
    <n v="0"/>
    <n v="0"/>
    <n v="55337.923993407698"/>
    <n v="0"/>
    <n v="0"/>
  </r>
  <r>
    <s v="Regular"/>
    <x v="0"/>
    <x v="0"/>
    <x v="0"/>
    <x v="0"/>
    <x v="0"/>
    <x v="0"/>
    <x v="2"/>
    <x v="2"/>
    <n v="3670.8"/>
    <n v="1853.9782124640001"/>
    <n v="0"/>
    <n v="0"/>
    <n v="0"/>
    <n v="0"/>
    <n v="0"/>
    <x v="0"/>
    <n v="0"/>
    <n v="1"/>
    <n v="0"/>
    <n v="0"/>
    <n v="22.04"/>
    <n v="0"/>
    <n v="0"/>
    <n v="30.069501619822329"/>
    <n v="111.26624833098249"/>
    <m/>
    <n v="40861.67980270656"/>
    <n v="0"/>
    <n v="0"/>
    <n v="55748.200862801554"/>
    <n v="0"/>
    <n v="0"/>
  </r>
  <r>
    <s v="Regular"/>
    <x v="0"/>
    <x v="0"/>
    <x v="0"/>
    <x v="0"/>
    <x v="0"/>
    <x v="0"/>
    <x v="2"/>
    <x v="3"/>
    <n v="4100"/>
    <n v="2087.3986829999999"/>
    <n v="0"/>
    <n v="0"/>
    <n v="0"/>
    <n v="0"/>
    <n v="0"/>
    <x v="0"/>
    <n v="0"/>
    <n v="1"/>
    <n v="0"/>
    <n v="0"/>
    <n v="22.04"/>
    <n v="0"/>
    <n v="0"/>
    <n v="30.069501619822329"/>
    <n v="111.26624833098249"/>
    <m/>
    <n v="46006.266973319995"/>
    <n v="0"/>
    <n v="0"/>
    <n v="62767.038079683494"/>
    <n v="0"/>
    <n v="0"/>
  </r>
  <r>
    <s v="Regular"/>
    <x v="1"/>
    <x v="0"/>
    <x v="0"/>
    <x v="0"/>
    <x v="0"/>
    <x v="0"/>
    <x v="0"/>
    <x v="4"/>
    <n v="7449"/>
    <n v="3724.7023148399999"/>
    <n v="0"/>
    <n v="0"/>
    <n v="0"/>
    <n v="0"/>
    <n v="0"/>
    <x v="0"/>
    <n v="0"/>
    <n v="10"/>
    <n v="0"/>
    <n v="0"/>
    <n v="18.489999999999998"/>
    <n v="0"/>
    <n v="0"/>
    <n v="24.564572675892517"/>
    <n v="143.45615825576942"/>
    <m/>
    <n v="68869.745801391589"/>
    <n v="0"/>
    <n v="0"/>
    <n v="91495.720708952271"/>
    <n v="0"/>
    <n v="0"/>
  </r>
  <r>
    <s v="Regular"/>
    <x v="1"/>
    <x v="0"/>
    <x v="0"/>
    <x v="0"/>
    <x v="0"/>
    <x v="0"/>
    <x v="0"/>
    <x v="5"/>
    <n v="7484"/>
    <n v="3746.0831207199999"/>
    <n v="0"/>
    <n v="0"/>
    <n v="0"/>
    <n v="0"/>
    <n v="0"/>
    <x v="0"/>
    <n v="0"/>
    <n v="10"/>
    <n v="0"/>
    <n v="0"/>
    <n v="18.489999999999998"/>
    <n v="0"/>
    <n v="0"/>
    <n v="24.564572675892517"/>
    <n v="143.45615825576942"/>
    <m/>
    <n v="69265.076902112793"/>
    <n v="0"/>
    <n v="0"/>
    <n v="92020.931068860678"/>
    <n v="0"/>
    <n v="0"/>
  </r>
  <r>
    <s v="Regular"/>
    <x v="1"/>
    <x v="0"/>
    <x v="0"/>
    <x v="0"/>
    <x v="0"/>
    <x v="0"/>
    <x v="0"/>
    <x v="6"/>
    <n v="7491"/>
    <n v="3748.5737071200001"/>
    <n v="0"/>
    <n v="0"/>
    <n v="0"/>
    <n v="0"/>
    <n v="0"/>
    <x v="0"/>
    <n v="0"/>
    <n v="10"/>
    <n v="0"/>
    <n v="0"/>
    <n v="18.489999999999998"/>
    <n v="0"/>
    <n v="0"/>
    <n v="24.564572675892517"/>
    <n v="143.45615825576942"/>
    <m/>
    <n v="69311.1278446488"/>
    <n v="0"/>
    <n v="0"/>
    <n v="92082.111259489073"/>
    <n v="0"/>
    <n v="0"/>
  </r>
  <r>
    <s v="Regular"/>
    <x v="1"/>
    <x v="0"/>
    <x v="0"/>
    <x v="0"/>
    <x v="0"/>
    <x v="0"/>
    <x v="0"/>
    <x v="7"/>
    <n v="7478"/>
    <n v="3742.4309811799999"/>
    <n v="0"/>
    <n v="0"/>
    <n v="0"/>
    <n v="0"/>
    <n v="0"/>
    <x v="0"/>
    <n v="0"/>
    <n v="10"/>
    <n v="0"/>
    <n v="0"/>
    <n v="18.489999999999998"/>
    <n v="0"/>
    <n v="0"/>
    <n v="24.564572675892517"/>
    <n v="143.45615825576942"/>
    <m/>
    <n v="69197.548842018194"/>
    <n v="0"/>
    <n v="0"/>
    <n v="91931.217821707847"/>
    <n v="0"/>
    <n v="0"/>
  </r>
  <r>
    <s v="Regular"/>
    <x v="1"/>
    <x v="0"/>
    <x v="0"/>
    <x v="0"/>
    <x v="0"/>
    <x v="0"/>
    <x v="0"/>
    <x v="8"/>
    <n v="7501"/>
    <n v="3759.8354445599998"/>
    <n v="0"/>
    <n v="0"/>
    <n v="0"/>
    <n v="0"/>
    <n v="0"/>
    <x v="0"/>
    <n v="0"/>
    <n v="10"/>
    <n v="0"/>
    <n v="0"/>
    <n v="18.489999999999998"/>
    <n v="0"/>
    <n v="0"/>
    <n v="24.564572675892517"/>
    <n v="143.45615825576942"/>
    <m/>
    <n v="69519.357369914389"/>
    <n v="0"/>
    <n v="0"/>
    <n v="92358.751027290768"/>
    <n v="0"/>
    <n v="0"/>
  </r>
  <r>
    <s v="Regular"/>
    <x v="1"/>
    <x v="0"/>
    <x v="0"/>
    <x v="0"/>
    <x v="0"/>
    <x v="0"/>
    <x v="0"/>
    <x v="9"/>
    <n v="7458"/>
    <n v="3750.2420247599998"/>
    <n v="0"/>
    <n v="0"/>
    <n v="0"/>
    <n v="0"/>
    <n v="0"/>
    <x v="0"/>
    <n v="0"/>
    <n v="10"/>
    <n v="0"/>
    <n v="0"/>
    <n v="18.489999999999998"/>
    <n v="0"/>
    <n v="0"/>
    <n v="24.564572675892517"/>
    <n v="143.45615825576942"/>
    <m/>
    <n v="69341.975037812386"/>
    <n v="0"/>
    <n v="0"/>
    <n v="92123.092769403316"/>
    <n v="0"/>
    <n v="0"/>
  </r>
  <r>
    <s v="Regular"/>
    <x v="1"/>
    <x v="0"/>
    <x v="0"/>
    <x v="0"/>
    <x v="0"/>
    <x v="0"/>
    <x v="0"/>
    <x v="10"/>
    <n v="7471"/>
    <n v="3737.6955774799999"/>
    <n v="0"/>
    <n v="0"/>
    <n v="0"/>
    <n v="0"/>
    <n v="0"/>
    <x v="0"/>
    <n v="0"/>
    <n v="10"/>
    <n v="0"/>
    <n v="0"/>
    <n v="18.489999999999998"/>
    <n v="0"/>
    <n v="0"/>
    <n v="24.564572675892517"/>
    <n v="143.45615825576942"/>
    <m/>
    <n v="69109.991227605191"/>
    <n v="0"/>
    <n v="0"/>
    <n v="91814.894653369513"/>
    <n v="0"/>
    <n v="0"/>
  </r>
  <r>
    <s v="Regular"/>
    <x v="1"/>
    <x v="0"/>
    <x v="0"/>
    <x v="0"/>
    <x v="0"/>
    <x v="0"/>
    <x v="0"/>
    <x v="11"/>
    <n v="7050"/>
    <n v="3526.0792139999999"/>
    <n v="0"/>
    <n v="0"/>
    <n v="0"/>
    <n v="0"/>
    <n v="0"/>
    <x v="0"/>
    <n v="0"/>
    <n v="10"/>
    <n v="0"/>
    <n v="0"/>
    <n v="18.489999999999998"/>
    <n v="0"/>
    <n v="0"/>
    <n v="24.564572675892517"/>
    <n v="143.45615825576942"/>
    <m/>
    <n v="65197.204666859994"/>
    <n v="0"/>
    <n v="0"/>
    <n v="86616.62911325696"/>
    <n v="0"/>
    <n v="0"/>
  </r>
  <r>
    <s v="Regular"/>
    <x v="1"/>
    <x v="0"/>
    <x v="0"/>
    <x v="0"/>
    <x v="0"/>
    <x v="0"/>
    <x v="0"/>
    <x v="0"/>
    <n v="7050"/>
    <n v="3527.2197630000001"/>
    <n v="0"/>
    <n v="0"/>
    <n v="0"/>
    <n v="0"/>
    <n v="0"/>
    <x v="0"/>
    <n v="0"/>
    <n v="10"/>
    <n v="0"/>
    <n v="0"/>
    <n v="18.489999999999998"/>
    <n v="0"/>
    <n v="0"/>
    <n v="24.564572675892517"/>
    <n v="143.45615825576942"/>
    <m/>
    <n v="65218.293417869994"/>
    <n v="0"/>
    <n v="0"/>
    <n v="86644.64621205788"/>
    <n v="0"/>
    <n v="0"/>
  </r>
  <r>
    <s v="Regular"/>
    <x v="1"/>
    <x v="0"/>
    <x v="0"/>
    <x v="0"/>
    <x v="0"/>
    <x v="0"/>
    <x v="0"/>
    <x v="1"/>
    <n v="4250"/>
    <n v="2125.60707"/>
    <n v="0"/>
    <n v="0"/>
    <n v="0"/>
    <n v="0"/>
    <n v="0"/>
    <x v="0"/>
    <n v="0"/>
    <n v="10"/>
    <n v="0"/>
    <n v="0"/>
    <n v="18.489999999999998"/>
    <n v="0"/>
    <n v="0"/>
    <n v="24.564572675892517"/>
    <n v="143.45615825576942"/>
    <m/>
    <n v="39302.474724299995"/>
    <n v="0"/>
    <n v="0"/>
    <n v="52214.629351405951"/>
    <n v="0"/>
    <n v="0"/>
  </r>
  <r>
    <s v="Regular"/>
    <x v="1"/>
    <x v="0"/>
    <x v="0"/>
    <x v="0"/>
    <x v="0"/>
    <x v="0"/>
    <x v="0"/>
    <x v="2"/>
    <n v="4250"/>
    <n v="2139.1935125"/>
    <n v="0"/>
    <n v="0"/>
    <n v="0"/>
    <n v="0"/>
    <n v="0"/>
    <x v="0"/>
    <n v="0"/>
    <n v="10"/>
    <n v="0"/>
    <n v="0"/>
    <n v="18.489999999999998"/>
    <n v="0"/>
    <n v="0"/>
    <n v="24.564572675892517"/>
    <n v="143.45615825576942"/>
    <m/>
    <n v="39553.688046124997"/>
    <n v="0"/>
    <n v="0"/>
    <n v="52548.374505604035"/>
    <n v="0"/>
    <n v="0"/>
  </r>
  <r>
    <s v="Regular"/>
    <x v="1"/>
    <x v="0"/>
    <x v="0"/>
    <x v="0"/>
    <x v="0"/>
    <x v="0"/>
    <x v="0"/>
    <x v="3"/>
    <n v="4250"/>
    <n v="2143.1871099999998"/>
    <n v="0"/>
    <n v="0"/>
    <n v="0"/>
    <n v="0"/>
    <n v="0"/>
    <x v="0"/>
    <n v="0"/>
    <n v="10"/>
    <n v="0"/>
    <n v="0"/>
    <n v="18.489999999999998"/>
    <n v="0"/>
    <n v="0"/>
    <n v="24.564572675892517"/>
    <n v="143.45615825576942"/>
    <m/>
    <n v="39627.529663899993"/>
    <n v="0"/>
    <n v="0"/>
    <n v="52646.475521631044"/>
    <n v="0"/>
    <n v="0"/>
  </r>
  <r>
    <s v="Regular"/>
    <x v="1"/>
    <x v="0"/>
    <x v="0"/>
    <x v="0"/>
    <x v="0"/>
    <x v="0"/>
    <x v="1"/>
    <x v="4"/>
    <n v="0"/>
    <n v="0"/>
    <n v="3512.64"/>
    <n v="3512.64"/>
    <n v="0"/>
    <n v="0"/>
    <n v="3"/>
    <x v="0"/>
    <n v="0"/>
    <n v="0"/>
    <n v="13"/>
    <n v="0"/>
    <n v="0"/>
    <n v="73.28"/>
    <n v="0"/>
    <m/>
    <n v="143.45615825576942"/>
    <m/>
    <n v="0"/>
    <n v="257406.2592"/>
    <n v="0"/>
    <n v="0"/>
    <n v="503909.83973554592"/>
    <n v="0"/>
  </r>
  <r>
    <s v="Regular"/>
    <x v="1"/>
    <x v="0"/>
    <x v="0"/>
    <x v="0"/>
    <x v="0"/>
    <x v="0"/>
    <x v="1"/>
    <x v="5"/>
    <n v="0"/>
    <n v="0"/>
    <n v="3376.123"/>
    <n v="3376.123"/>
    <n v="0"/>
    <n v="0"/>
    <n v="3"/>
    <x v="0"/>
    <n v="0"/>
    <n v="0"/>
    <n v="13"/>
    <n v="0"/>
    <n v="0"/>
    <n v="73.28"/>
    <n v="0"/>
    <m/>
    <n v="143.45615825576942"/>
    <m/>
    <n v="0"/>
    <n v="247402.29344000001"/>
    <n v="0"/>
    <n v="0"/>
    <n v="484325.63537894306"/>
    <n v="0"/>
  </r>
  <r>
    <s v="Regular"/>
    <x v="1"/>
    <x v="0"/>
    <x v="0"/>
    <x v="0"/>
    <x v="0"/>
    <x v="0"/>
    <x v="1"/>
    <x v="6"/>
    <n v="0"/>
    <n v="0"/>
    <n v="3601.8670000000002"/>
    <n v="3601.8670000000002"/>
    <n v="0"/>
    <n v="0"/>
    <n v="3"/>
    <x v="0"/>
    <n v="0"/>
    <n v="0"/>
    <n v="13"/>
    <n v="0"/>
    <n v="0"/>
    <n v="73.28"/>
    <n v="0"/>
    <m/>
    <n v="143.45615825576942"/>
    <m/>
    <n v="0"/>
    <n v="263944.81375999999"/>
    <n v="0"/>
    <n v="0"/>
    <n v="516710.00236823346"/>
    <n v="0"/>
  </r>
  <r>
    <s v="Regular"/>
    <x v="1"/>
    <x v="0"/>
    <x v="0"/>
    <x v="0"/>
    <x v="0"/>
    <x v="0"/>
    <x v="1"/>
    <x v="7"/>
    <n v="0"/>
    <n v="0"/>
    <n v="3387.4169999999999"/>
    <n v="3387.4169999999999"/>
    <n v="0"/>
    <n v="0"/>
    <n v="3"/>
    <x v="0"/>
    <n v="0"/>
    <n v="0"/>
    <n v="13"/>
    <n v="0"/>
    <n v="0"/>
    <n v="73.28"/>
    <n v="0"/>
    <m/>
    <n v="143.45615825576942"/>
    <m/>
    <n v="0"/>
    <n v="248229.91776000001"/>
    <n v="0"/>
    <n v="0"/>
    <n v="485945.82923028368"/>
    <n v="0"/>
  </r>
  <r>
    <s v="Regular"/>
    <x v="1"/>
    <x v="0"/>
    <x v="0"/>
    <x v="0"/>
    <x v="0"/>
    <x v="0"/>
    <x v="1"/>
    <x v="8"/>
    <n v="0"/>
    <n v="0"/>
    <n v="3401.2669999999998"/>
    <n v="3401.2669999999998"/>
    <n v="0"/>
    <n v="0"/>
    <n v="3"/>
    <x v="0"/>
    <n v="0"/>
    <n v="0"/>
    <n v="13"/>
    <n v="0"/>
    <n v="0"/>
    <n v="73.28"/>
    <n v="0"/>
    <m/>
    <n v="143.45615825576942"/>
    <m/>
    <n v="0"/>
    <n v="249244.84576"/>
    <n v="0"/>
    <n v="0"/>
    <n v="487932.69702212606"/>
    <n v="0"/>
  </r>
  <r>
    <s v="Regular"/>
    <x v="1"/>
    <x v="0"/>
    <x v="0"/>
    <x v="0"/>
    <x v="0"/>
    <x v="0"/>
    <x v="1"/>
    <x v="9"/>
    <n v="0"/>
    <n v="0"/>
    <n v="3342.7750000000001"/>
    <n v="3342.7750000000001"/>
    <n v="0"/>
    <n v="0"/>
    <n v="3"/>
    <x v="0"/>
    <n v="0"/>
    <n v="0"/>
    <n v="13"/>
    <n v="0"/>
    <n v="0"/>
    <n v="73.28"/>
    <n v="0"/>
    <m/>
    <n v="143.45615825576942"/>
    <m/>
    <n v="0"/>
    <n v="244958.552"/>
    <n v="0"/>
    <n v="0"/>
    <n v="479541.65941342968"/>
    <n v="0"/>
  </r>
  <r>
    <s v="Regular"/>
    <x v="1"/>
    <x v="0"/>
    <x v="0"/>
    <x v="0"/>
    <x v="0"/>
    <x v="0"/>
    <x v="1"/>
    <x v="10"/>
    <n v="0"/>
    <n v="0"/>
    <n v="3270.0790000000002"/>
    <n v="3270.0790000000002"/>
    <n v="0"/>
    <n v="0"/>
    <n v="3"/>
    <x v="0"/>
    <n v="0"/>
    <n v="0"/>
    <n v="13"/>
    <n v="0"/>
    <n v="0"/>
    <n v="73.28"/>
    <n v="0"/>
    <m/>
    <n v="143.45615825576942"/>
    <m/>
    <n v="0"/>
    <n v="239631.38912000001"/>
    <n v="0"/>
    <n v="0"/>
    <n v="469112.97053286823"/>
    <n v="0"/>
  </r>
  <r>
    <s v="Regular"/>
    <x v="1"/>
    <x v="0"/>
    <x v="0"/>
    <x v="0"/>
    <x v="0"/>
    <x v="0"/>
    <x v="1"/>
    <x v="11"/>
    <n v="0"/>
    <n v="0"/>
    <n v="3338.7429999999999"/>
    <n v="3338.7429999999999"/>
    <n v="0"/>
    <n v="0"/>
    <n v="3"/>
    <x v="0"/>
    <n v="0"/>
    <n v="0"/>
    <n v="13"/>
    <n v="0"/>
    <n v="0"/>
    <n v="73.28"/>
    <n v="0"/>
    <m/>
    <n v="143.45615825576942"/>
    <m/>
    <n v="0"/>
    <n v="244663.08704000001"/>
    <n v="0"/>
    <n v="0"/>
    <n v="478963.24418334238"/>
    <n v="0"/>
  </r>
  <r>
    <s v="Regular"/>
    <x v="1"/>
    <x v="0"/>
    <x v="0"/>
    <x v="0"/>
    <x v="0"/>
    <x v="0"/>
    <x v="1"/>
    <x v="0"/>
    <n v="0"/>
    <n v="0"/>
    <n v="1875.12024"/>
    <n v="1875.12024"/>
    <n v="0"/>
    <n v="0"/>
    <n v="3"/>
    <x v="0"/>
    <n v="0"/>
    <n v="0"/>
    <n v="13"/>
    <n v="0"/>
    <n v="0"/>
    <n v="73.28"/>
    <n v="0"/>
    <m/>
    <n v="143.45615825576942"/>
    <m/>
    <n v="0"/>
    <n v="137408.81118719999"/>
    <n v="0"/>
    <n v="0"/>
    <n v="268997.54589803633"/>
    <n v="0"/>
  </r>
  <r>
    <s v="Regular"/>
    <x v="1"/>
    <x v="0"/>
    <x v="0"/>
    <x v="0"/>
    <x v="0"/>
    <x v="0"/>
    <x v="1"/>
    <x v="1"/>
    <n v="0"/>
    <n v="0"/>
    <n v="1588.5139200000001"/>
    <n v="1588.5139200000001"/>
    <n v="0"/>
    <n v="0"/>
    <n v="2"/>
    <x v="0"/>
    <n v="0"/>
    <n v="0"/>
    <n v="13"/>
    <n v="0"/>
    <n v="0"/>
    <n v="73.28"/>
    <n v="0"/>
    <m/>
    <n v="143.45615825576942"/>
    <m/>
    <n v="0"/>
    <n v="116406.3000576"/>
    <n v="0"/>
    <n v="0"/>
    <n v="227882.10429901266"/>
    <n v="0"/>
  </r>
  <r>
    <s v="Regular"/>
    <x v="1"/>
    <x v="0"/>
    <x v="0"/>
    <x v="0"/>
    <x v="0"/>
    <x v="0"/>
    <x v="1"/>
    <x v="2"/>
    <n v="0"/>
    <n v="0"/>
    <n v="1451.1084000000001"/>
    <n v="1451.1084000000001"/>
    <n v="0"/>
    <n v="0"/>
    <n v="2"/>
    <x v="0"/>
    <n v="0"/>
    <n v="0"/>
    <n v="13"/>
    <n v="0"/>
    <n v="0"/>
    <n v="73.28"/>
    <n v="0"/>
    <m/>
    <n v="143.45615825576942"/>
    <m/>
    <n v="0"/>
    <n v="106337.22355200001"/>
    <n v="0"/>
    <n v="0"/>
    <n v="208170.43627667637"/>
    <n v="0"/>
  </r>
  <r>
    <s v="Regular"/>
    <x v="1"/>
    <x v="0"/>
    <x v="0"/>
    <x v="0"/>
    <x v="0"/>
    <x v="0"/>
    <x v="1"/>
    <x v="3"/>
    <n v="0"/>
    <n v="0"/>
    <n v="954.17448000000002"/>
    <n v="954.17448000000002"/>
    <n v="0"/>
    <n v="0"/>
    <n v="2"/>
    <x v="0"/>
    <n v="0"/>
    <n v="0"/>
    <n v="13"/>
    <n v="0"/>
    <n v="0"/>
    <n v="73.28"/>
    <n v="0"/>
    <m/>
    <n v="143.45615825576942"/>
    <m/>
    <n v="0"/>
    <n v="69921.905894399999"/>
    <n v="0"/>
    <n v="0"/>
    <n v="136882.2052064965"/>
    <n v="0"/>
  </r>
  <r>
    <s v="Regular"/>
    <x v="1"/>
    <x v="0"/>
    <x v="0"/>
    <x v="0"/>
    <x v="0"/>
    <x v="0"/>
    <x v="2"/>
    <x v="4"/>
    <n v="7150"/>
    <n v="3575.2025595"/>
    <n v="0"/>
    <n v="0"/>
    <n v="0"/>
    <n v="0"/>
    <n v="0"/>
    <x v="0"/>
    <n v="0"/>
    <n v="9"/>
    <n v="0"/>
    <n v="0"/>
    <n v="29.39"/>
    <n v="0"/>
    <n v="0"/>
    <n v="40.092705868004103"/>
    <n v="143.45615825576942"/>
    <m/>
    <n v="105075.203223705"/>
    <n v="0"/>
    <n v="0"/>
    <n v="143339.54463656893"/>
    <n v="0"/>
    <n v="0"/>
  </r>
  <r>
    <s v="Regular"/>
    <x v="1"/>
    <x v="0"/>
    <x v="0"/>
    <x v="0"/>
    <x v="0"/>
    <x v="0"/>
    <x v="2"/>
    <x v="5"/>
    <n v="7158"/>
    <n v="3583.0537901399998"/>
    <n v="0"/>
    <n v="0"/>
    <n v="0"/>
    <n v="0"/>
    <n v="0"/>
    <x v="0"/>
    <n v="0"/>
    <n v="9"/>
    <n v="0"/>
    <n v="0"/>
    <n v="29.39"/>
    <n v="0"/>
    <n v="0"/>
    <n v="40.092705868004103"/>
    <n v="143.45615825576942"/>
    <m/>
    <n v="105305.95089221459"/>
    <n v="0"/>
    <n v="0"/>
    <n v="143654.3217173203"/>
    <n v="0"/>
    <n v="0"/>
  </r>
  <r>
    <s v="Regular"/>
    <x v="1"/>
    <x v="0"/>
    <x v="0"/>
    <x v="0"/>
    <x v="0"/>
    <x v="0"/>
    <x v="2"/>
    <x v="6"/>
    <n v="7192"/>
    <n v="3599.06537424"/>
    <n v="0"/>
    <n v="0"/>
    <n v="0"/>
    <n v="0"/>
    <n v="0"/>
    <x v="0"/>
    <n v="0"/>
    <n v="9"/>
    <n v="0"/>
    <n v="0"/>
    <n v="29.39"/>
    <n v="0"/>
    <n v="0"/>
    <n v="40.092705868004103"/>
    <n v="143.45615825576942"/>
    <m/>
    <n v="105776.5313489136"/>
    <n v="0"/>
    <n v="0"/>
    <n v="144296.26944912242"/>
    <n v="0"/>
    <n v="0"/>
  </r>
  <r>
    <s v="Regular"/>
    <x v="1"/>
    <x v="0"/>
    <x v="0"/>
    <x v="0"/>
    <x v="0"/>
    <x v="0"/>
    <x v="2"/>
    <x v="7"/>
    <n v="7149"/>
    <n v="3577.8967758600002"/>
    <n v="0"/>
    <n v="0"/>
    <n v="0"/>
    <n v="0"/>
    <n v="0"/>
    <x v="0"/>
    <n v="0"/>
    <n v="9"/>
    <n v="0"/>
    <n v="0"/>
    <n v="29.39"/>
    <n v="0"/>
    <n v="0"/>
    <n v="40.092705868004103"/>
    <n v="143.45615825576942"/>
    <m/>
    <n v="105154.3862425254"/>
    <n v="0"/>
    <n v="0"/>
    <n v="143447.56306063518"/>
    <n v="0"/>
    <n v="0"/>
  </r>
  <r>
    <s v="Regular"/>
    <x v="1"/>
    <x v="0"/>
    <x v="0"/>
    <x v="0"/>
    <x v="0"/>
    <x v="0"/>
    <x v="2"/>
    <x v="8"/>
    <n v="7149"/>
    <n v="3583.7158473899999"/>
    <n v="0"/>
    <n v="0"/>
    <n v="0"/>
    <n v="0"/>
    <n v="0"/>
    <x v="0"/>
    <n v="0"/>
    <n v="9"/>
    <n v="0"/>
    <n v="0"/>
    <n v="29.39"/>
    <n v="0"/>
    <n v="0"/>
    <n v="40.092705868004103"/>
    <n v="143.45615825576942"/>
    <m/>
    <n v="105325.40875479209"/>
    <n v="0"/>
    <n v="0"/>
    <n v="143680.86538391234"/>
    <n v="0"/>
    <n v="0"/>
  </r>
  <r>
    <s v="Regular"/>
    <x v="1"/>
    <x v="0"/>
    <x v="0"/>
    <x v="0"/>
    <x v="0"/>
    <x v="0"/>
    <x v="2"/>
    <x v="9"/>
    <n v="7150"/>
    <n v="3595.9309815000001"/>
    <n v="0"/>
    <n v="0"/>
    <n v="0"/>
    <n v="0"/>
    <n v="0"/>
    <x v="0"/>
    <n v="0"/>
    <n v="9"/>
    <n v="0"/>
    <n v="0"/>
    <n v="29.39"/>
    <n v="0"/>
    <n v="0"/>
    <n v="40.092705868004103"/>
    <n v="143.45615825576942"/>
    <m/>
    <n v="105684.411546285"/>
    <n v="0"/>
    <n v="0"/>
    <n v="144170.60316292281"/>
    <n v="0"/>
    <n v="0"/>
  </r>
  <r>
    <s v="Regular"/>
    <x v="1"/>
    <x v="0"/>
    <x v="0"/>
    <x v="0"/>
    <x v="0"/>
    <x v="0"/>
    <x v="2"/>
    <x v="10"/>
    <n v="7149"/>
    <n v="3576.6673623299998"/>
    <n v="0"/>
    <n v="0"/>
    <n v="0"/>
    <n v="0"/>
    <n v="0"/>
    <x v="0"/>
    <n v="0"/>
    <n v="9"/>
    <n v="0"/>
    <n v="0"/>
    <n v="29.39"/>
    <n v="0"/>
    <n v="0"/>
    <n v="40.092705868004103"/>
    <n v="143.45615825576942"/>
    <m/>
    <n v="105118.2537788787"/>
    <n v="0"/>
    <n v="0"/>
    <n v="143398.27254558675"/>
    <n v="0"/>
    <n v="0"/>
  </r>
  <r>
    <s v="Regular"/>
    <x v="1"/>
    <x v="0"/>
    <x v="0"/>
    <x v="0"/>
    <x v="0"/>
    <x v="0"/>
    <x v="2"/>
    <x v="11"/>
    <n v="6550"/>
    <n v="3276.0449214999999"/>
    <n v="0"/>
    <n v="0"/>
    <n v="0"/>
    <n v="0"/>
    <n v="0"/>
    <x v="0"/>
    <n v="0"/>
    <n v="9"/>
    <n v="0"/>
    <n v="0"/>
    <n v="29.39"/>
    <n v="0"/>
    <n v="0"/>
    <n v="40.092705868004103"/>
    <n v="143.45615825576942"/>
    <m/>
    <n v="96282.960242885005"/>
    <n v="0"/>
    <n v="0"/>
    <n v="131345.50544806808"/>
    <n v="0"/>
    <n v="0"/>
  </r>
  <r>
    <s v="Regular"/>
    <x v="1"/>
    <x v="0"/>
    <x v="0"/>
    <x v="0"/>
    <x v="0"/>
    <x v="0"/>
    <x v="2"/>
    <x v="0"/>
    <n v="6550"/>
    <n v="3277.0388840000001"/>
    <n v="0"/>
    <n v="0"/>
    <n v="0"/>
    <n v="0"/>
    <n v="0"/>
    <x v="0"/>
    <n v="0"/>
    <n v="9"/>
    <n v="0"/>
    <n v="0"/>
    <n v="29.39"/>
    <n v="0"/>
    <n v="0"/>
    <n v="40.092705868004103"/>
    <n v="143.45615825576942"/>
    <m/>
    <n v="96312.172800760003"/>
    <n v="0"/>
    <n v="0"/>
    <n v="131385.35609422441"/>
    <n v="0"/>
    <n v="0"/>
  </r>
  <r>
    <s v="Regular"/>
    <x v="1"/>
    <x v="0"/>
    <x v="0"/>
    <x v="0"/>
    <x v="0"/>
    <x v="0"/>
    <x v="2"/>
    <x v="1"/>
    <n v="3750"/>
    <n v="1875.5648624999999"/>
    <n v="0"/>
    <n v="0"/>
    <n v="0"/>
    <n v="0"/>
    <n v="0"/>
    <x v="0"/>
    <n v="0"/>
    <n v="9"/>
    <n v="0"/>
    <n v="0"/>
    <n v="29.39"/>
    <n v="0"/>
    <n v="0"/>
    <n v="40.092705868004103"/>
    <n v="143.45615825576942"/>
    <m/>
    <n v="55122.851308874997"/>
    <n v="0"/>
    <n v="0"/>
    <n v="75196.470368576047"/>
    <n v="0"/>
    <n v="0"/>
  </r>
  <r>
    <s v="Regular"/>
    <x v="1"/>
    <x v="0"/>
    <x v="0"/>
    <x v="0"/>
    <x v="0"/>
    <x v="0"/>
    <x v="2"/>
    <x v="2"/>
    <n v="3750"/>
    <n v="1888.4784374999999"/>
    <n v="0"/>
    <n v="0"/>
    <n v="0"/>
    <n v="0"/>
    <n v="0"/>
    <x v="0"/>
    <n v="0"/>
    <n v="9"/>
    <n v="0"/>
    <n v="0"/>
    <n v="29.39"/>
    <n v="0"/>
    <n v="0"/>
    <n v="40.092705868004103"/>
    <n v="143.45615825576942"/>
    <m/>
    <n v="55502.381278125002"/>
    <n v="0"/>
    <n v="0"/>
    <n v="75714.21053275546"/>
    <n v="0"/>
    <n v="0"/>
  </r>
  <r>
    <s v="Regular"/>
    <x v="1"/>
    <x v="0"/>
    <x v="0"/>
    <x v="0"/>
    <x v="0"/>
    <x v="0"/>
    <x v="2"/>
    <x v="3"/>
    <n v="3750"/>
    <n v="1891.9794374999999"/>
    <n v="0"/>
    <n v="0"/>
    <n v="0"/>
    <n v="0"/>
    <n v="0"/>
    <x v="0"/>
    <n v="0"/>
    <n v="9"/>
    <n v="0"/>
    <n v="0"/>
    <n v="29.39"/>
    <n v="0"/>
    <n v="0"/>
    <n v="40.092705868004103"/>
    <n v="143.45615825576942"/>
    <m/>
    <n v="55605.275668124996"/>
    <n v="0"/>
    <n v="0"/>
    <n v="75854.575095999346"/>
    <n v="0"/>
    <n v="0"/>
  </r>
  <r>
    <s v="Regular"/>
    <x v="1"/>
    <x v="1"/>
    <x v="1"/>
    <x v="0"/>
    <x v="1"/>
    <x v="1"/>
    <x v="1"/>
    <x v="4"/>
    <n v="1500"/>
    <n v="750"/>
    <n v="0"/>
    <n v="0"/>
    <n v="0"/>
    <n v="0"/>
    <n v="0"/>
    <x v="1"/>
    <n v="28195"/>
    <n v="17"/>
    <n v="0"/>
    <n v="0"/>
    <n v="6.96"/>
    <n v="0"/>
    <n v="0"/>
    <n v="8.6313330347690602"/>
    <m/>
    <m/>
    <n v="5220"/>
    <n v="0"/>
    <n v="0"/>
    <n v="6473.4997760767956"/>
    <n v="0"/>
    <n v="0"/>
  </r>
  <r>
    <s v="Regular"/>
    <x v="1"/>
    <x v="1"/>
    <x v="1"/>
    <x v="0"/>
    <x v="1"/>
    <x v="2"/>
    <x v="1"/>
    <x v="4"/>
    <n v="1250"/>
    <n v="625"/>
    <n v="0"/>
    <n v="0"/>
    <n v="0"/>
    <n v="0"/>
    <n v="0"/>
    <x v="1"/>
    <n v="29377"/>
    <n v="17"/>
    <n v="0"/>
    <n v="0"/>
    <n v="6.96"/>
    <n v="0"/>
    <n v="0"/>
    <n v="8.6313330347690602"/>
    <m/>
    <m/>
    <n v="4350"/>
    <n v="0"/>
    <n v="0"/>
    <n v="5394.5831467306625"/>
    <n v="0"/>
    <n v="0"/>
  </r>
  <r>
    <s v="Regular"/>
    <x v="1"/>
    <x v="1"/>
    <x v="1"/>
    <x v="0"/>
    <x v="1"/>
    <x v="1"/>
    <x v="1"/>
    <x v="5"/>
    <n v="1500"/>
    <n v="750"/>
    <n v="0"/>
    <n v="0"/>
    <n v="0"/>
    <n v="0"/>
    <n v="0"/>
    <x v="1"/>
    <n v="28195"/>
    <n v="17"/>
    <n v="0"/>
    <n v="0"/>
    <n v="6.96"/>
    <n v="0"/>
    <n v="0"/>
    <n v="8.6313330347690602"/>
    <m/>
    <m/>
    <n v="5220"/>
    <n v="0"/>
    <n v="0"/>
    <n v="6473.4997760767956"/>
    <n v="0"/>
    <n v="0"/>
  </r>
  <r>
    <s v="Regular"/>
    <x v="1"/>
    <x v="1"/>
    <x v="1"/>
    <x v="0"/>
    <x v="1"/>
    <x v="2"/>
    <x v="1"/>
    <x v="5"/>
    <n v="1250"/>
    <n v="625"/>
    <n v="0"/>
    <n v="0"/>
    <n v="0"/>
    <n v="0"/>
    <n v="0"/>
    <x v="1"/>
    <n v="29377"/>
    <n v="17"/>
    <n v="0"/>
    <n v="0"/>
    <n v="6.96"/>
    <n v="0"/>
    <n v="0"/>
    <n v="8.6313330347690602"/>
    <m/>
    <m/>
    <n v="4350"/>
    <n v="0"/>
    <n v="0"/>
    <n v="5394.5831467306625"/>
    <n v="0"/>
    <n v="0"/>
  </r>
  <r>
    <s v="Regular"/>
    <x v="1"/>
    <x v="1"/>
    <x v="1"/>
    <x v="0"/>
    <x v="1"/>
    <x v="1"/>
    <x v="1"/>
    <x v="6"/>
    <n v="1500"/>
    <n v="750"/>
    <n v="0"/>
    <n v="0"/>
    <n v="0"/>
    <n v="0"/>
    <n v="0"/>
    <x v="1"/>
    <n v="28195"/>
    <n v="17"/>
    <n v="0"/>
    <n v="0"/>
    <n v="6.96"/>
    <n v="0"/>
    <n v="0"/>
    <n v="8.6313330347690602"/>
    <m/>
    <m/>
    <n v="5220"/>
    <n v="0"/>
    <n v="0"/>
    <n v="6473.4997760767956"/>
    <n v="0"/>
    <n v="0"/>
  </r>
  <r>
    <s v="Regular"/>
    <x v="1"/>
    <x v="1"/>
    <x v="1"/>
    <x v="0"/>
    <x v="1"/>
    <x v="2"/>
    <x v="1"/>
    <x v="6"/>
    <n v="1250"/>
    <n v="625"/>
    <n v="0"/>
    <n v="0"/>
    <n v="0"/>
    <n v="0"/>
    <n v="0"/>
    <x v="1"/>
    <n v="29377"/>
    <n v="17"/>
    <n v="0"/>
    <n v="0"/>
    <n v="6.96"/>
    <n v="0"/>
    <n v="0"/>
    <n v="8.6313330347690602"/>
    <m/>
    <m/>
    <n v="4350"/>
    <n v="0"/>
    <n v="0"/>
    <n v="5394.5831467306625"/>
    <n v="0"/>
    <n v="0"/>
  </r>
  <r>
    <s v="Regular"/>
    <x v="1"/>
    <x v="1"/>
    <x v="1"/>
    <x v="0"/>
    <x v="1"/>
    <x v="1"/>
    <x v="1"/>
    <x v="7"/>
    <n v="1500"/>
    <n v="750"/>
    <n v="0"/>
    <n v="0"/>
    <n v="0"/>
    <n v="0"/>
    <n v="0"/>
    <x v="1"/>
    <n v="28195"/>
    <n v="17"/>
    <n v="0"/>
    <n v="0"/>
    <n v="6.96"/>
    <n v="0"/>
    <n v="0"/>
    <n v="8.6313330347690602"/>
    <m/>
    <m/>
    <n v="5220"/>
    <n v="0"/>
    <n v="0"/>
    <n v="6473.4997760767956"/>
    <n v="0"/>
    <n v="0"/>
  </r>
  <r>
    <s v="Regular"/>
    <x v="1"/>
    <x v="1"/>
    <x v="1"/>
    <x v="0"/>
    <x v="1"/>
    <x v="2"/>
    <x v="1"/>
    <x v="7"/>
    <n v="1250"/>
    <n v="625"/>
    <n v="0"/>
    <n v="0"/>
    <n v="0"/>
    <n v="0"/>
    <n v="0"/>
    <x v="1"/>
    <n v="29377"/>
    <n v="17"/>
    <n v="0"/>
    <n v="0"/>
    <n v="6.96"/>
    <n v="0"/>
    <n v="0"/>
    <n v="8.6313330347690602"/>
    <m/>
    <m/>
    <n v="4350"/>
    <n v="0"/>
    <n v="0"/>
    <n v="5394.5831467306625"/>
    <n v="0"/>
    <n v="0"/>
  </r>
  <r>
    <s v="Regular"/>
    <x v="1"/>
    <x v="1"/>
    <x v="1"/>
    <x v="0"/>
    <x v="1"/>
    <x v="1"/>
    <x v="1"/>
    <x v="8"/>
    <n v="1500"/>
    <n v="750"/>
    <n v="0"/>
    <n v="0"/>
    <n v="0"/>
    <n v="0"/>
    <n v="0"/>
    <x v="1"/>
    <n v="28195"/>
    <n v="17"/>
    <n v="0"/>
    <n v="0"/>
    <n v="6.96"/>
    <n v="0"/>
    <n v="0"/>
    <n v="8.6313330347690602"/>
    <m/>
    <m/>
    <n v="5220"/>
    <n v="0"/>
    <n v="0"/>
    <n v="6473.4997760767956"/>
    <n v="0"/>
    <n v="0"/>
  </r>
  <r>
    <s v="Regular"/>
    <x v="1"/>
    <x v="1"/>
    <x v="1"/>
    <x v="0"/>
    <x v="1"/>
    <x v="2"/>
    <x v="1"/>
    <x v="8"/>
    <n v="1250"/>
    <n v="625"/>
    <n v="0"/>
    <n v="0"/>
    <n v="0"/>
    <n v="0"/>
    <n v="0"/>
    <x v="1"/>
    <n v="29377"/>
    <n v="17"/>
    <n v="0"/>
    <n v="0"/>
    <n v="6.96"/>
    <n v="0"/>
    <n v="0"/>
    <n v="8.6313330347690602"/>
    <m/>
    <m/>
    <n v="4350"/>
    <n v="0"/>
    <n v="0"/>
    <n v="5394.5831467306625"/>
    <n v="0"/>
    <n v="0"/>
  </r>
  <r>
    <s v="Regular"/>
    <x v="1"/>
    <x v="1"/>
    <x v="1"/>
    <x v="0"/>
    <x v="1"/>
    <x v="1"/>
    <x v="1"/>
    <x v="9"/>
    <n v="1500"/>
    <n v="750"/>
    <n v="0"/>
    <n v="0"/>
    <n v="0"/>
    <n v="0"/>
    <n v="0"/>
    <x v="1"/>
    <n v="28195"/>
    <n v="17"/>
    <n v="0"/>
    <n v="0"/>
    <n v="6.96"/>
    <n v="0"/>
    <n v="0"/>
    <n v="8.6313330347690602"/>
    <m/>
    <m/>
    <n v="5220"/>
    <n v="0"/>
    <n v="0"/>
    <n v="6473.4997760767956"/>
    <n v="0"/>
    <n v="0"/>
  </r>
  <r>
    <s v="Regular"/>
    <x v="1"/>
    <x v="1"/>
    <x v="1"/>
    <x v="0"/>
    <x v="1"/>
    <x v="2"/>
    <x v="1"/>
    <x v="9"/>
    <n v="1250"/>
    <n v="625"/>
    <n v="0"/>
    <n v="0"/>
    <n v="0"/>
    <n v="0"/>
    <n v="0"/>
    <x v="1"/>
    <n v="29377"/>
    <n v="17"/>
    <n v="0"/>
    <n v="0"/>
    <n v="6.96"/>
    <n v="0"/>
    <n v="0"/>
    <n v="8.6313330347690602"/>
    <m/>
    <m/>
    <n v="4350"/>
    <n v="0"/>
    <n v="0"/>
    <n v="5394.5831467306625"/>
    <n v="0"/>
    <n v="0"/>
  </r>
  <r>
    <s v="Regular"/>
    <x v="1"/>
    <x v="1"/>
    <x v="1"/>
    <x v="0"/>
    <x v="1"/>
    <x v="1"/>
    <x v="1"/>
    <x v="10"/>
    <n v="1500"/>
    <n v="750"/>
    <n v="0"/>
    <n v="0"/>
    <n v="0"/>
    <n v="0"/>
    <n v="0"/>
    <x v="1"/>
    <n v="28195"/>
    <n v="17"/>
    <n v="0"/>
    <n v="0"/>
    <n v="6.96"/>
    <n v="0"/>
    <n v="0"/>
    <n v="8.6313330347690602"/>
    <m/>
    <m/>
    <n v="5220"/>
    <n v="0"/>
    <n v="0"/>
    <n v="6473.4997760767956"/>
    <n v="0"/>
    <n v="0"/>
  </r>
  <r>
    <s v="Regular"/>
    <x v="1"/>
    <x v="1"/>
    <x v="1"/>
    <x v="0"/>
    <x v="1"/>
    <x v="2"/>
    <x v="1"/>
    <x v="10"/>
    <n v="1250"/>
    <n v="625"/>
    <n v="0"/>
    <n v="0"/>
    <n v="0"/>
    <n v="0"/>
    <n v="0"/>
    <x v="1"/>
    <n v="29377"/>
    <n v="17"/>
    <n v="0"/>
    <n v="0"/>
    <n v="6.96"/>
    <n v="0"/>
    <n v="0"/>
    <n v="8.6313330347690602"/>
    <m/>
    <m/>
    <n v="4350"/>
    <n v="0"/>
    <n v="0"/>
    <n v="5394.5831467306625"/>
    <n v="0"/>
    <n v="0"/>
  </r>
  <r>
    <s v="Regular"/>
    <x v="1"/>
    <x v="1"/>
    <x v="1"/>
    <x v="0"/>
    <x v="1"/>
    <x v="1"/>
    <x v="1"/>
    <x v="11"/>
    <n v="1500"/>
    <n v="750"/>
    <n v="0"/>
    <n v="0"/>
    <n v="0"/>
    <n v="0"/>
    <n v="0"/>
    <x v="1"/>
    <n v="28195"/>
    <n v="17"/>
    <n v="0"/>
    <n v="0"/>
    <n v="6.96"/>
    <n v="0"/>
    <n v="0"/>
    <n v="8.6313330347690602"/>
    <m/>
    <m/>
    <n v="5220"/>
    <n v="0"/>
    <n v="0"/>
    <n v="6473.4997760767956"/>
    <n v="0"/>
    <n v="0"/>
  </r>
  <r>
    <s v="Regular"/>
    <x v="1"/>
    <x v="1"/>
    <x v="1"/>
    <x v="0"/>
    <x v="1"/>
    <x v="2"/>
    <x v="1"/>
    <x v="11"/>
    <n v="1250"/>
    <n v="625"/>
    <n v="0"/>
    <n v="0"/>
    <n v="0"/>
    <n v="0"/>
    <n v="0"/>
    <x v="1"/>
    <n v="29377"/>
    <n v="17"/>
    <n v="0"/>
    <n v="0"/>
    <n v="6.96"/>
    <n v="0"/>
    <n v="0"/>
    <n v="8.6313330347690602"/>
    <m/>
    <m/>
    <n v="4350"/>
    <n v="0"/>
    <n v="0"/>
    <n v="5394.5831467306625"/>
    <n v="0"/>
    <n v="0"/>
  </r>
  <r>
    <s v="Regular"/>
    <x v="1"/>
    <x v="1"/>
    <x v="1"/>
    <x v="0"/>
    <x v="1"/>
    <x v="1"/>
    <x v="1"/>
    <x v="0"/>
    <n v="1500"/>
    <n v="750"/>
    <n v="0"/>
    <n v="0"/>
    <n v="0"/>
    <n v="0"/>
    <n v="0"/>
    <x v="1"/>
    <n v="28195"/>
    <n v="17"/>
    <n v="0"/>
    <n v="0"/>
    <n v="6.96"/>
    <n v="0"/>
    <n v="0"/>
    <n v="8.6313330347690602"/>
    <m/>
    <m/>
    <n v="5220"/>
    <n v="0"/>
    <n v="0"/>
    <n v="6473.4997760767956"/>
    <n v="0"/>
    <n v="0"/>
  </r>
  <r>
    <s v="Regular"/>
    <x v="1"/>
    <x v="1"/>
    <x v="1"/>
    <x v="0"/>
    <x v="1"/>
    <x v="2"/>
    <x v="1"/>
    <x v="0"/>
    <n v="1250"/>
    <n v="625"/>
    <n v="0"/>
    <n v="0"/>
    <n v="0"/>
    <n v="0"/>
    <n v="0"/>
    <x v="1"/>
    <n v="29377"/>
    <n v="17"/>
    <n v="0"/>
    <n v="0"/>
    <n v="6.96"/>
    <n v="0"/>
    <n v="0"/>
    <n v="8.6313330347690602"/>
    <m/>
    <m/>
    <n v="4350"/>
    <n v="0"/>
    <n v="0"/>
    <n v="5394.5831467306625"/>
    <n v="0"/>
    <n v="0"/>
  </r>
  <r>
    <s v="Regular"/>
    <x v="1"/>
    <x v="1"/>
    <x v="1"/>
    <x v="0"/>
    <x v="1"/>
    <x v="1"/>
    <x v="1"/>
    <x v="1"/>
    <n v="1500"/>
    <n v="750"/>
    <n v="0"/>
    <n v="0"/>
    <n v="0"/>
    <n v="0"/>
    <n v="0"/>
    <x v="1"/>
    <n v="28195"/>
    <n v="17"/>
    <n v="0"/>
    <n v="0"/>
    <n v="6.96"/>
    <n v="0"/>
    <n v="0"/>
    <n v="8.6313330347690602"/>
    <m/>
    <m/>
    <n v="5220"/>
    <n v="0"/>
    <n v="0"/>
    <n v="6473.4997760767956"/>
    <n v="0"/>
    <n v="0"/>
  </r>
  <r>
    <s v="Regular"/>
    <x v="1"/>
    <x v="1"/>
    <x v="1"/>
    <x v="0"/>
    <x v="1"/>
    <x v="2"/>
    <x v="1"/>
    <x v="1"/>
    <n v="1250"/>
    <n v="625"/>
    <n v="0"/>
    <n v="0"/>
    <n v="0"/>
    <n v="0"/>
    <n v="0"/>
    <x v="1"/>
    <n v="29377"/>
    <n v="17"/>
    <n v="0"/>
    <n v="0"/>
    <n v="6.96"/>
    <n v="0"/>
    <n v="0"/>
    <n v="8.6313330347690602"/>
    <m/>
    <m/>
    <n v="4350"/>
    <n v="0"/>
    <n v="0"/>
    <n v="5394.5831467306625"/>
    <n v="0"/>
    <n v="0"/>
  </r>
  <r>
    <s v="Regular"/>
    <x v="1"/>
    <x v="1"/>
    <x v="1"/>
    <x v="0"/>
    <x v="1"/>
    <x v="1"/>
    <x v="1"/>
    <x v="2"/>
    <n v="1500"/>
    <n v="750"/>
    <n v="0"/>
    <n v="0"/>
    <n v="0"/>
    <n v="0"/>
    <n v="0"/>
    <x v="1"/>
    <n v="28195"/>
    <n v="17"/>
    <n v="0"/>
    <n v="0"/>
    <n v="6.96"/>
    <n v="0"/>
    <n v="0"/>
    <n v="8.6313330347690602"/>
    <m/>
    <m/>
    <n v="5220"/>
    <n v="0"/>
    <n v="0"/>
    <n v="6473.4997760767956"/>
    <n v="0"/>
    <n v="0"/>
  </r>
  <r>
    <s v="Regular"/>
    <x v="1"/>
    <x v="1"/>
    <x v="1"/>
    <x v="0"/>
    <x v="1"/>
    <x v="2"/>
    <x v="1"/>
    <x v="2"/>
    <n v="1250"/>
    <n v="625"/>
    <n v="0"/>
    <n v="0"/>
    <n v="0"/>
    <n v="0"/>
    <n v="0"/>
    <x v="1"/>
    <n v="29377"/>
    <n v="17"/>
    <n v="0"/>
    <n v="0"/>
    <n v="6.96"/>
    <n v="0"/>
    <n v="0"/>
    <n v="8.6313330347690602"/>
    <m/>
    <m/>
    <n v="4350"/>
    <n v="0"/>
    <n v="0"/>
    <n v="5394.5831467306625"/>
    <n v="0"/>
    <n v="0"/>
  </r>
  <r>
    <s v="Regular"/>
    <x v="1"/>
    <x v="1"/>
    <x v="1"/>
    <x v="0"/>
    <x v="1"/>
    <x v="1"/>
    <x v="1"/>
    <x v="3"/>
    <n v="1500"/>
    <n v="750"/>
    <n v="0"/>
    <n v="0"/>
    <n v="0"/>
    <n v="0"/>
    <n v="0"/>
    <x v="1"/>
    <n v="28195"/>
    <n v="17"/>
    <n v="0"/>
    <n v="0"/>
    <n v="6.96"/>
    <n v="0"/>
    <n v="0"/>
    <n v="8.6313330347690602"/>
    <m/>
    <m/>
    <n v="5220"/>
    <n v="0"/>
    <n v="0"/>
    <n v="6473.4997760767956"/>
    <n v="0"/>
    <n v="0"/>
  </r>
  <r>
    <s v="Regular"/>
    <x v="1"/>
    <x v="1"/>
    <x v="1"/>
    <x v="0"/>
    <x v="1"/>
    <x v="2"/>
    <x v="1"/>
    <x v="3"/>
    <n v="1250"/>
    <n v="625"/>
    <n v="0"/>
    <n v="0"/>
    <n v="0"/>
    <n v="0"/>
    <n v="0"/>
    <x v="1"/>
    <n v="29377"/>
    <n v="17"/>
    <n v="0"/>
    <n v="0"/>
    <n v="6.96"/>
    <n v="0"/>
    <n v="0"/>
    <n v="8.6313330347690602"/>
    <m/>
    <m/>
    <n v="4350"/>
    <n v="0"/>
    <n v="0"/>
    <n v="5394.5831467306625"/>
    <n v="0"/>
    <n v="0"/>
  </r>
  <r>
    <s v="Regular"/>
    <x v="1"/>
    <x v="2"/>
    <x v="2"/>
    <x v="0"/>
    <x v="1"/>
    <x v="0"/>
    <x v="0"/>
    <x v="4"/>
    <n v="0"/>
    <n v="0"/>
    <n v="41.445"/>
    <n v="41.445"/>
    <n v="41.445"/>
    <n v="41.445"/>
    <n v="0"/>
    <x v="2"/>
    <n v="0"/>
    <n v="0"/>
    <n v="22"/>
    <n v="84"/>
    <n v="0"/>
    <n v="73.28"/>
    <n v="286.76"/>
    <m/>
    <n v="143.45615825576942"/>
    <n v="271.35516669689775"/>
    <n v="0"/>
    <n v="3037.0896000000002"/>
    <n v="11884.7682"/>
    <n v="0"/>
    <n v="5945.5404789103641"/>
    <n v="11246.314883752928"/>
  </r>
  <r>
    <s v="Sistema de Compensação"/>
    <x v="1"/>
    <x v="2"/>
    <x v="2"/>
    <x v="0"/>
    <x v="1"/>
    <x v="0"/>
    <x v="0"/>
    <x v="4"/>
    <n v="0"/>
    <n v="0"/>
    <n v="6.4008000000000003"/>
    <n v="6.4008000000000003"/>
    <n v="6.4008000000000003"/>
    <n v="6.4008000000000003"/>
    <n v="0"/>
    <x v="2"/>
    <n v="0"/>
    <n v="0"/>
    <n v="22"/>
    <n v="84"/>
    <n v="0"/>
    <n v="73.28"/>
    <n v="286.76"/>
    <m/>
    <n v="143.45615825576942"/>
    <n v="271.35516669689775"/>
    <n v="0"/>
    <n v="469.05062400000003"/>
    <n v="1835.493408"/>
    <n v="0"/>
    <n v="918.23417776352892"/>
    <n v="1736.8901509935033"/>
  </r>
  <r>
    <s v="Regular"/>
    <x v="1"/>
    <x v="2"/>
    <x v="2"/>
    <x v="0"/>
    <x v="1"/>
    <x v="0"/>
    <x v="0"/>
    <x v="5"/>
    <n v="0"/>
    <n v="0"/>
    <n v="43.096699999999998"/>
    <n v="43.096699999999998"/>
    <n v="43.096699999999998"/>
    <n v="43.096699999999998"/>
    <n v="0"/>
    <x v="2"/>
    <n v="0"/>
    <n v="0"/>
    <n v="22"/>
    <n v="84"/>
    <n v="0"/>
    <n v="73.28"/>
    <n v="286.76"/>
    <m/>
    <n v="143.45615825576942"/>
    <n v="271.35516669689775"/>
    <n v="0"/>
    <n v="3158.1261759999998"/>
    <n v="12358.409691999999"/>
    <n v="0"/>
    <n v="6182.4870155014178"/>
    <n v="11694.512212586193"/>
  </r>
  <r>
    <s v="Sistema de Compensação"/>
    <x v="1"/>
    <x v="2"/>
    <x v="2"/>
    <x v="0"/>
    <x v="1"/>
    <x v="0"/>
    <x v="0"/>
    <x v="5"/>
    <n v="0"/>
    <n v="0"/>
    <n v="5.1446899999999998"/>
    <n v="5.1446899999999998"/>
    <n v="5.1446899999999998"/>
    <n v="5.1446899999999998"/>
    <n v="0"/>
    <x v="2"/>
    <n v="0"/>
    <n v="0"/>
    <n v="22"/>
    <n v="84"/>
    <n v="0"/>
    <n v="73.28"/>
    <n v="286.76"/>
    <m/>
    <n v="143.45615825576942"/>
    <n v="271.35516669689775"/>
    <n v="0"/>
    <n v="377.00288319999999"/>
    <n v="1475.2913043999999"/>
    <n v="0"/>
    <n v="738.03746281687438"/>
    <n v="1396.0382125538629"/>
  </r>
  <r>
    <s v="Regular"/>
    <x v="1"/>
    <x v="2"/>
    <x v="2"/>
    <x v="0"/>
    <x v="1"/>
    <x v="0"/>
    <x v="0"/>
    <x v="6"/>
    <n v="0"/>
    <n v="0"/>
    <n v="43.770319999999998"/>
    <n v="43.770319999999998"/>
    <n v="43.770319999999998"/>
    <n v="43.770319999999998"/>
    <n v="0"/>
    <x v="2"/>
    <n v="0"/>
    <n v="0"/>
    <n v="22"/>
    <n v="84"/>
    <n v="0"/>
    <n v="73.28"/>
    <n v="286.76"/>
    <m/>
    <n v="143.45615825576942"/>
    <n v="271.35516669689775"/>
    <n v="0"/>
    <n v="3207.4890495999998"/>
    <n v="12551.576963199999"/>
    <n v="0"/>
    <n v="6279.1219528256688"/>
    <n v="11877.302479976557"/>
  </r>
  <r>
    <s v="Sistema de Compensação"/>
    <x v="1"/>
    <x v="2"/>
    <x v="2"/>
    <x v="0"/>
    <x v="1"/>
    <x v="0"/>
    <x v="0"/>
    <x v="6"/>
    <n v="0"/>
    <n v="0"/>
    <n v="4.6870599999999998"/>
    <n v="4.6870599999999998"/>
    <n v="4.6870599999999998"/>
    <n v="4.6870599999999998"/>
    <n v="0"/>
    <x v="2"/>
    <n v="0"/>
    <n v="0"/>
    <n v="22"/>
    <n v="84"/>
    <n v="0"/>
    <n v="73.28"/>
    <n v="286.76"/>
    <m/>
    <n v="143.45615825576942"/>
    <n v="271.35516669689775"/>
    <n v="0"/>
    <n v="343.46775679999996"/>
    <n v="1344.0613255999999"/>
    <n v="0"/>
    <n v="672.38762111428662"/>
    <n v="1271.8579476183615"/>
  </r>
  <r>
    <s v="Regular"/>
    <x v="1"/>
    <x v="2"/>
    <x v="2"/>
    <x v="0"/>
    <x v="1"/>
    <x v="0"/>
    <x v="0"/>
    <x v="7"/>
    <n v="0"/>
    <n v="0"/>
    <n v="47.860999999999997"/>
    <n v="47.860999999999997"/>
    <n v="47.860999999999997"/>
    <n v="47.860999999999997"/>
    <n v="0"/>
    <x v="2"/>
    <n v="0"/>
    <n v="0"/>
    <n v="22"/>
    <n v="84"/>
    <n v="0"/>
    <n v="73.28"/>
    <n v="286.76"/>
    <m/>
    <n v="143.45615825576942"/>
    <n v="271.35516669689775"/>
    <n v="0"/>
    <n v="3507.2540799999997"/>
    <n v="13724.620359999999"/>
    <n v="0"/>
    <n v="6865.9551902793801"/>
    <n v="12987.329633280222"/>
  </r>
  <r>
    <s v="Sistema de Compensação"/>
    <x v="1"/>
    <x v="2"/>
    <x v="2"/>
    <x v="0"/>
    <x v="1"/>
    <x v="0"/>
    <x v="0"/>
    <x v="7"/>
    <n v="0"/>
    <n v="0"/>
    <n v="5.4560000000000004"/>
    <n v="5.4560000000000004"/>
    <n v="5.4560000000000004"/>
    <n v="5.4560000000000004"/>
    <n v="0"/>
    <x v="2"/>
    <n v="0"/>
    <n v="0"/>
    <n v="22"/>
    <n v="84"/>
    <n v="0"/>
    <n v="73.28"/>
    <n v="286.76"/>
    <m/>
    <n v="143.45615825576942"/>
    <n v="271.35516669689775"/>
    <n v="0"/>
    <n v="399.81568000000004"/>
    <n v="1564.5625600000001"/>
    <n v="0"/>
    <n v="782.69679944347808"/>
    <n v="1480.5137894982743"/>
  </r>
  <r>
    <s v="Regular"/>
    <x v="1"/>
    <x v="2"/>
    <x v="2"/>
    <x v="0"/>
    <x v="1"/>
    <x v="0"/>
    <x v="0"/>
    <x v="8"/>
    <n v="0"/>
    <n v="0"/>
    <n v="54.847859999999997"/>
    <n v="54.847859999999997"/>
    <n v="54.847859999999997"/>
    <n v="54.847859999999997"/>
    <n v="0"/>
    <x v="2"/>
    <n v="0"/>
    <n v="0"/>
    <n v="22"/>
    <n v="84"/>
    <n v="0"/>
    <n v="73.28"/>
    <n v="286.76"/>
    <m/>
    <n v="143.45615825576942"/>
    <n v="271.35516669689775"/>
    <n v="0"/>
    <n v="4019.2511807999999"/>
    <n v="15728.1723336"/>
    <n v="0"/>
    <n v="7868.2632841502855"/>
    <n v="14883.25019326811"/>
  </r>
  <r>
    <s v="Sistema de Compensação"/>
    <x v="1"/>
    <x v="2"/>
    <x v="2"/>
    <x v="0"/>
    <x v="1"/>
    <x v="0"/>
    <x v="0"/>
    <x v="8"/>
    <n v="0"/>
    <n v="0"/>
    <n v="8.0050000000000008"/>
    <n v="8.0050000000000008"/>
    <n v="8.0050000000000008"/>
    <n v="8.0050000000000008"/>
    <n v="0"/>
    <x v="2"/>
    <n v="0"/>
    <n v="0"/>
    <n v="22"/>
    <n v="84"/>
    <n v="0"/>
    <n v="73.28"/>
    <n v="286.76"/>
    <m/>
    <n v="143.45615825576942"/>
    <n v="271.35516669689775"/>
    <n v="0"/>
    <n v="586.60640000000012"/>
    <n v="2295.5138000000002"/>
    <n v="0"/>
    <n v="1148.3665468374343"/>
    <n v="2172.1981094086668"/>
  </r>
  <r>
    <s v="Regular"/>
    <x v="1"/>
    <x v="2"/>
    <x v="2"/>
    <x v="0"/>
    <x v="1"/>
    <x v="0"/>
    <x v="0"/>
    <x v="9"/>
    <n v="0"/>
    <n v="0"/>
    <n v="59.790999999999997"/>
    <n v="59.790999999999997"/>
    <n v="59.790999999999997"/>
    <n v="59.790999999999997"/>
    <n v="0"/>
    <x v="2"/>
    <n v="0"/>
    <n v="0"/>
    <n v="22"/>
    <n v="84"/>
    <n v="0"/>
    <n v="73.28"/>
    <n v="286.76"/>
    <m/>
    <n v="143.45615825576942"/>
    <n v="271.35516669689775"/>
    <n v="0"/>
    <n v="4381.4844800000001"/>
    <n v="17145.667159999997"/>
    <n v="0"/>
    <n v="8577.3871582707088"/>
    <n v="16224.596771974213"/>
  </r>
  <r>
    <s v="Sistema de Compensação"/>
    <x v="1"/>
    <x v="2"/>
    <x v="2"/>
    <x v="0"/>
    <x v="1"/>
    <x v="0"/>
    <x v="0"/>
    <x v="9"/>
    <n v="0"/>
    <n v="0"/>
    <n v="12.615"/>
    <n v="12.615"/>
    <n v="12.615"/>
    <n v="12.615"/>
    <n v="0"/>
    <x v="2"/>
    <n v="0"/>
    <n v="0"/>
    <n v="22"/>
    <n v="84"/>
    <n v="0"/>
    <n v="73.28"/>
    <n v="286.76"/>
    <m/>
    <n v="143.45615825576942"/>
    <n v="271.35516669689775"/>
    <n v="0"/>
    <n v="924.42720000000008"/>
    <n v="3617.4773999999998"/>
    <n v="0"/>
    <n v="1809.6994363965314"/>
    <n v="3423.1454278813653"/>
  </r>
  <r>
    <s v="Regular"/>
    <x v="1"/>
    <x v="2"/>
    <x v="2"/>
    <x v="0"/>
    <x v="1"/>
    <x v="0"/>
    <x v="0"/>
    <x v="10"/>
    <n v="0"/>
    <n v="0"/>
    <n v="51.537999999999997"/>
    <n v="51.537999999999997"/>
    <n v="51.537999999999997"/>
    <n v="51.537999999999997"/>
    <n v="0"/>
    <x v="2"/>
    <n v="0"/>
    <n v="0"/>
    <n v="22"/>
    <n v="84"/>
    <n v="0"/>
    <n v="73.28"/>
    <n v="286.76"/>
    <m/>
    <n v="143.45615825576942"/>
    <n v="271.35516669689775"/>
    <n v="0"/>
    <n v="3776.7046399999999"/>
    <n v="14779.036879999998"/>
    <n v="0"/>
    <n v="7393.4434841858438"/>
    <n v="13985.102581224715"/>
  </r>
  <r>
    <s v="Sistema de Compensação"/>
    <x v="1"/>
    <x v="2"/>
    <x v="2"/>
    <x v="0"/>
    <x v="1"/>
    <x v="0"/>
    <x v="0"/>
    <x v="10"/>
    <n v="0"/>
    <n v="0"/>
    <n v="10.870419999999999"/>
    <n v="10.870419999999999"/>
    <n v="10.870419999999999"/>
    <n v="10.870419999999999"/>
    <n v="0"/>
    <x v="2"/>
    <n v="0"/>
    <n v="0"/>
    <n v="22"/>
    <n v="84"/>
    <n v="0"/>
    <n v="73.28"/>
    <n v="286.76"/>
    <m/>
    <n v="143.45615825576942"/>
    <n v="271.35516669689775"/>
    <n v="0"/>
    <n v="796.58437759999993"/>
    <n v="3117.2016391999996"/>
    <n v="0"/>
    <n v="1559.428691826681"/>
    <n v="2949.7446311652911"/>
  </r>
  <r>
    <s v="Regular"/>
    <x v="1"/>
    <x v="2"/>
    <x v="2"/>
    <x v="0"/>
    <x v="1"/>
    <x v="0"/>
    <x v="0"/>
    <x v="11"/>
    <n v="0"/>
    <n v="0"/>
    <n v="51.117379999999997"/>
    <n v="51.117379999999997"/>
    <n v="51.117379999999997"/>
    <n v="51.117379999999997"/>
    <n v="0"/>
    <x v="2"/>
    <n v="0"/>
    <n v="0"/>
    <n v="22"/>
    <n v="84"/>
    <n v="0"/>
    <n v="73.28"/>
    <n v="286.76"/>
    <m/>
    <n v="143.45615825576942"/>
    <n v="271.35516669689775"/>
    <n v="0"/>
    <n v="3745.8816063999998"/>
    <n v="14658.419888799999"/>
    <n v="0"/>
    <n v="7333.1029549003024"/>
    <n v="13870.965171008667"/>
  </r>
  <r>
    <s v="Sistema de Compensação"/>
    <x v="1"/>
    <x v="2"/>
    <x v="2"/>
    <x v="0"/>
    <x v="1"/>
    <x v="0"/>
    <x v="0"/>
    <x v="11"/>
    <n v="0"/>
    <n v="0"/>
    <n v="10.050190000000001"/>
    <n v="10.050190000000001"/>
    <n v="10.050190000000001"/>
    <n v="10.050190000000001"/>
    <n v="0"/>
    <x v="2"/>
    <n v="0"/>
    <n v="0"/>
    <n v="22"/>
    <n v="84"/>
    <n v="0"/>
    <n v="73.28"/>
    <n v="286.76"/>
    <m/>
    <n v="143.45615825576942"/>
    <n v="271.35516669689775"/>
    <n v="0"/>
    <n v="736.47792320000008"/>
    <n v="2881.9924844000002"/>
    <n v="0"/>
    <n v="1441.7616471405513"/>
    <n v="2727.1709827854952"/>
  </r>
  <r>
    <s v="Regular"/>
    <x v="1"/>
    <x v="2"/>
    <x v="2"/>
    <x v="0"/>
    <x v="1"/>
    <x v="0"/>
    <x v="0"/>
    <x v="0"/>
    <n v="0"/>
    <n v="0"/>
    <n v="42.305770000000003"/>
    <n v="42.305770000000003"/>
    <n v="42.305770000000003"/>
    <n v="42.305770000000003"/>
    <n v="0"/>
    <x v="2"/>
    <n v="0"/>
    <n v="0"/>
    <n v="22"/>
    <n v="84"/>
    <n v="0"/>
    <n v="73.28"/>
    <n v="286.76"/>
    <m/>
    <n v="143.45615825576942"/>
    <n v="271.35516669689775"/>
    <n v="0"/>
    <n v="3100.1668256000003"/>
    <n v="12131.6026052"/>
    <n v="0"/>
    <n v="6069.0232362521829"/>
    <n v="11479.889270590616"/>
  </r>
  <r>
    <s v="Sistema de Compensação"/>
    <x v="1"/>
    <x v="2"/>
    <x v="2"/>
    <x v="0"/>
    <x v="1"/>
    <x v="0"/>
    <x v="0"/>
    <x v="0"/>
    <n v="0"/>
    <n v="0"/>
    <n v="4.5"/>
    <n v="4.5"/>
    <n v="4.5"/>
    <n v="4.5"/>
    <n v="0"/>
    <x v="2"/>
    <n v="0"/>
    <n v="0"/>
    <n v="22"/>
    <n v="84"/>
    <n v="0"/>
    <n v="73.28"/>
    <n v="286.76"/>
    <m/>
    <n v="143.45615825576942"/>
    <n v="271.35516669689775"/>
    <n v="0"/>
    <n v="329.76"/>
    <n v="1290.42"/>
    <n v="0"/>
    <n v="645.55271215096241"/>
    <n v="1221.09825013604"/>
  </r>
  <r>
    <s v="Regular"/>
    <x v="1"/>
    <x v="2"/>
    <x v="2"/>
    <x v="0"/>
    <x v="1"/>
    <x v="0"/>
    <x v="0"/>
    <x v="1"/>
    <n v="0"/>
    <n v="0"/>
    <n v="39.944510000000001"/>
    <n v="39.944510000000001"/>
    <n v="39.944510000000001"/>
    <n v="39.944510000000001"/>
    <n v="0"/>
    <x v="2"/>
    <n v="0"/>
    <n v="0"/>
    <n v="22"/>
    <n v="84"/>
    <n v="0"/>
    <n v="73.28"/>
    <n v="286.76"/>
    <m/>
    <n v="143.45615825576942"/>
    <n v="271.35516669689775"/>
    <n v="0"/>
    <n v="2927.1336928000001"/>
    <n v="11454.4876876"/>
    <n v="0"/>
    <n v="5730.2859480091647"/>
    <n v="10839.1491696759"/>
  </r>
  <r>
    <s v="Sistema de Compensação"/>
    <x v="1"/>
    <x v="2"/>
    <x v="2"/>
    <x v="0"/>
    <x v="1"/>
    <x v="0"/>
    <x v="0"/>
    <x v="1"/>
    <n v="0"/>
    <n v="0"/>
    <n v="2.7362899999999999"/>
    <n v="2.7362899999999999"/>
    <n v="2.7362899999999999"/>
    <n v="2.7362899999999999"/>
    <n v="0"/>
    <x v="2"/>
    <n v="0"/>
    <n v="0"/>
    <n v="22"/>
    <n v="84"/>
    <n v="0"/>
    <n v="73.28"/>
    <n v="286.76"/>
    <m/>
    <n v="143.45615825576942"/>
    <n v="271.35516669689775"/>
    <n v="0"/>
    <n v="200.51533119999999"/>
    <n v="784.65852039999993"/>
    <n v="0"/>
    <n v="392.53765127367927"/>
    <n v="742.50642908105431"/>
  </r>
  <r>
    <s v="Regular"/>
    <x v="1"/>
    <x v="2"/>
    <x v="2"/>
    <x v="0"/>
    <x v="1"/>
    <x v="0"/>
    <x v="0"/>
    <x v="2"/>
    <n v="0"/>
    <n v="0"/>
    <n v="35.257950000000001"/>
    <n v="35.257950000000001"/>
    <n v="35.257950000000001"/>
    <n v="35.257950000000001"/>
    <n v="0"/>
    <x v="2"/>
    <n v="0"/>
    <n v="0"/>
    <n v="22"/>
    <n v="84"/>
    <n v="0"/>
    <n v="73.28"/>
    <n v="286.76"/>
    <m/>
    <n v="143.45615825576942"/>
    <n v="271.35516669689775"/>
    <n v="0"/>
    <n v="2583.7025760000001"/>
    <n v="10110.569742"/>
    <n v="0"/>
    <n v="5057.9700549740055"/>
    <n v="9567.4268996408864"/>
  </r>
  <r>
    <s v="Sistema de Compensação"/>
    <x v="1"/>
    <x v="2"/>
    <x v="2"/>
    <x v="0"/>
    <x v="1"/>
    <x v="0"/>
    <x v="0"/>
    <x v="2"/>
    <n v="0"/>
    <n v="0"/>
    <n v="5.1189999999999998"/>
    <n v="5.1189999999999998"/>
    <n v="5.1189999999999998"/>
    <n v="5.1189999999999998"/>
    <n v="0"/>
    <x v="2"/>
    <n v="0"/>
    <n v="0"/>
    <n v="22"/>
    <n v="84"/>
    <n v="0"/>
    <n v="73.28"/>
    <n v="286.76"/>
    <m/>
    <n v="143.45615825576942"/>
    <n v="271.35516669689775"/>
    <n v="0"/>
    <n v="375.12031999999999"/>
    <n v="1467.9244399999998"/>
    <n v="0"/>
    <n v="734.35207411128363"/>
    <n v="1389.0670983214195"/>
  </r>
  <r>
    <s v="Regular"/>
    <x v="1"/>
    <x v="2"/>
    <x v="2"/>
    <x v="0"/>
    <x v="1"/>
    <x v="0"/>
    <x v="0"/>
    <x v="3"/>
    <n v="0"/>
    <n v="0"/>
    <n v="35.941000000000003"/>
    <n v="35.941000000000003"/>
    <n v="35.941000000000003"/>
    <n v="35.941000000000003"/>
    <n v="0"/>
    <x v="2"/>
    <n v="0"/>
    <n v="0"/>
    <n v="22"/>
    <n v="84"/>
    <n v="0"/>
    <n v="73.28"/>
    <n v="286.76"/>
    <m/>
    <n v="143.45615825576942"/>
    <n v="271.35516669689775"/>
    <n v="0"/>
    <n v="2633.75648"/>
    <n v="10306.44116"/>
    <n v="0"/>
    <n v="5155.9577838706091"/>
    <n v="9752.7760462532024"/>
  </r>
  <r>
    <s v="Sistema de Compensação"/>
    <x v="1"/>
    <x v="2"/>
    <x v="2"/>
    <x v="0"/>
    <x v="1"/>
    <x v="0"/>
    <x v="0"/>
    <x v="3"/>
    <n v="0"/>
    <n v="0"/>
    <n v="1.0893600000000001"/>
    <n v="1.0893600000000001"/>
    <n v="1.0893600000000001"/>
    <n v="1.0893600000000001"/>
    <n v="0"/>
    <x v="2"/>
    <n v="0"/>
    <n v="0"/>
    <n v="22"/>
    <n v="84"/>
    <n v="0"/>
    <n v="73.28"/>
    <n v="286.76"/>
    <m/>
    <n v="143.45615825576942"/>
    <n v="271.35516669689775"/>
    <n v="0"/>
    <n v="79.828300800000008"/>
    <n v="312.38487360000005"/>
    <n v="0"/>
    <n v="156.27540055750501"/>
    <n v="295.60346439293255"/>
  </r>
  <r>
    <s v="Regular"/>
    <x v="1"/>
    <x v="2"/>
    <x v="2"/>
    <x v="0"/>
    <x v="1"/>
    <x v="0"/>
    <x v="1"/>
    <x v="4"/>
    <n v="352"/>
    <n v="352"/>
    <n v="0"/>
    <n v="0"/>
    <n v="0"/>
    <n v="0"/>
    <n v="5"/>
    <x v="2"/>
    <n v="0"/>
    <n v="18"/>
    <n v="0"/>
    <n v="0"/>
    <n v="18.489999999999998"/>
    <n v="0"/>
    <n v="0"/>
    <n v="24.564572675892517"/>
    <m/>
    <m/>
    <n v="6508.48"/>
    <n v="0"/>
    <n v="0"/>
    <n v="8646.7295819141655"/>
    <n v="0"/>
    <n v="0"/>
  </r>
  <r>
    <s v="Sistema de Compensação"/>
    <x v="1"/>
    <x v="2"/>
    <x v="2"/>
    <x v="0"/>
    <x v="1"/>
    <x v="0"/>
    <x v="1"/>
    <x v="4"/>
    <n v="100"/>
    <n v="100"/>
    <n v="0"/>
    <n v="0"/>
    <n v="0"/>
    <n v="0"/>
    <n v="1"/>
    <x v="2"/>
    <n v="0"/>
    <n v="18"/>
    <n v="0"/>
    <n v="0"/>
    <n v="18.489999999999998"/>
    <n v="0"/>
    <n v="0"/>
    <n v="24.564572675892517"/>
    <m/>
    <m/>
    <n v="1848.9999999999998"/>
    <n v="0"/>
    <n v="0"/>
    <n v="2456.4572675892518"/>
    <n v="0"/>
    <n v="0"/>
  </r>
  <r>
    <s v="Regular"/>
    <x v="1"/>
    <x v="2"/>
    <x v="2"/>
    <x v="0"/>
    <x v="1"/>
    <x v="0"/>
    <x v="1"/>
    <x v="5"/>
    <n v="349.06"/>
    <n v="349.06"/>
    <n v="0"/>
    <n v="0"/>
    <n v="0"/>
    <n v="0"/>
    <n v="5"/>
    <x v="2"/>
    <n v="0"/>
    <n v="18"/>
    <n v="0"/>
    <n v="0"/>
    <n v="18.489999999999998"/>
    <n v="0"/>
    <n v="0"/>
    <n v="24.564572675892517"/>
    <m/>
    <m/>
    <n v="6454.1193999999996"/>
    <n v="0"/>
    <n v="0"/>
    <n v="8574.5097382470412"/>
    <n v="0"/>
    <n v="0"/>
  </r>
  <r>
    <s v="Sistema de Compensação"/>
    <x v="1"/>
    <x v="2"/>
    <x v="2"/>
    <x v="0"/>
    <x v="1"/>
    <x v="0"/>
    <x v="1"/>
    <x v="5"/>
    <n v="100"/>
    <n v="100"/>
    <n v="0"/>
    <n v="0"/>
    <n v="0"/>
    <n v="0"/>
    <n v="1"/>
    <x v="2"/>
    <n v="0"/>
    <n v="18"/>
    <n v="0"/>
    <n v="0"/>
    <n v="18.489999999999998"/>
    <n v="0"/>
    <n v="0"/>
    <n v="24.564572675892517"/>
    <m/>
    <m/>
    <n v="1848.9999999999998"/>
    <n v="0"/>
    <n v="0"/>
    <n v="2456.4572675892518"/>
    <n v="0"/>
    <n v="0"/>
  </r>
  <r>
    <s v="Regular"/>
    <x v="1"/>
    <x v="2"/>
    <x v="2"/>
    <x v="0"/>
    <x v="1"/>
    <x v="0"/>
    <x v="1"/>
    <x v="6"/>
    <n v="351.41"/>
    <n v="351.41"/>
    <n v="0"/>
    <n v="0"/>
    <n v="0"/>
    <n v="0"/>
    <n v="5"/>
    <x v="2"/>
    <n v="0"/>
    <n v="18"/>
    <n v="0"/>
    <n v="0"/>
    <n v="18.489999999999998"/>
    <n v="0"/>
    <n v="0"/>
    <n v="24.564572675892517"/>
    <m/>
    <m/>
    <n v="6497.5708999999997"/>
    <n v="0"/>
    <n v="0"/>
    <n v="8632.2364840353894"/>
    <n v="0"/>
    <n v="0"/>
  </r>
  <r>
    <s v="Sistema de Compensação"/>
    <x v="1"/>
    <x v="2"/>
    <x v="2"/>
    <x v="0"/>
    <x v="1"/>
    <x v="0"/>
    <x v="1"/>
    <x v="6"/>
    <n v="100"/>
    <n v="100"/>
    <n v="0"/>
    <n v="0"/>
    <n v="0"/>
    <n v="0"/>
    <n v="1"/>
    <x v="2"/>
    <n v="0"/>
    <n v="18"/>
    <n v="0"/>
    <n v="0"/>
    <n v="18.489999999999998"/>
    <n v="0"/>
    <n v="0"/>
    <n v="24.564572675892517"/>
    <m/>
    <m/>
    <n v="1848.9999999999998"/>
    <n v="0"/>
    <n v="0"/>
    <n v="2456.4572675892518"/>
    <n v="0"/>
    <n v="0"/>
  </r>
  <r>
    <s v="Regular"/>
    <x v="1"/>
    <x v="2"/>
    <x v="2"/>
    <x v="0"/>
    <x v="1"/>
    <x v="0"/>
    <x v="1"/>
    <x v="7"/>
    <n v="366"/>
    <n v="366"/>
    <n v="0"/>
    <n v="0"/>
    <n v="0"/>
    <n v="0"/>
    <n v="6"/>
    <x v="2"/>
    <n v="0"/>
    <n v="18"/>
    <n v="0"/>
    <n v="0"/>
    <n v="18.489999999999998"/>
    <n v="0"/>
    <n v="0"/>
    <n v="24.564572675892517"/>
    <m/>
    <m/>
    <n v="6767.3399999999992"/>
    <n v="0"/>
    <n v="0"/>
    <n v="8990.6335993766606"/>
    <n v="0"/>
    <n v="0"/>
  </r>
  <r>
    <s v="Sistema de Compensação"/>
    <x v="1"/>
    <x v="2"/>
    <x v="2"/>
    <x v="0"/>
    <x v="1"/>
    <x v="0"/>
    <x v="1"/>
    <x v="7"/>
    <n v="100"/>
    <n v="100"/>
    <n v="0"/>
    <n v="0"/>
    <n v="0"/>
    <n v="0"/>
    <n v="1"/>
    <x v="2"/>
    <n v="0"/>
    <n v="18"/>
    <n v="0"/>
    <n v="0"/>
    <n v="18.489999999999998"/>
    <n v="0"/>
    <n v="0"/>
    <n v="24.564572675892517"/>
    <m/>
    <m/>
    <n v="1848.9999999999998"/>
    <n v="0"/>
    <n v="0"/>
    <n v="2456.4572675892518"/>
    <n v="0"/>
    <n v="0"/>
  </r>
  <r>
    <s v="Regular"/>
    <x v="1"/>
    <x v="2"/>
    <x v="2"/>
    <x v="0"/>
    <x v="1"/>
    <x v="0"/>
    <x v="1"/>
    <x v="8"/>
    <n v="389.11"/>
    <n v="389.11"/>
    <n v="0"/>
    <n v="0"/>
    <n v="0"/>
    <n v="0"/>
    <n v="6"/>
    <x v="2"/>
    <n v="0"/>
    <n v="18"/>
    <n v="0"/>
    <n v="0"/>
    <n v="18.489999999999998"/>
    <n v="0"/>
    <n v="0"/>
    <n v="24.564572675892517"/>
    <m/>
    <m/>
    <n v="7194.6439"/>
    <n v="0"/>
    <n v="0"/>
    <n v="9558.3208739165384"/>
    <n v="0"/>
    <n v="0"/>
  </r>
  <r>
    <s v="Sistema de Compensação"/>
    <x v="1"/>
    <x v="2"/>
    <x v="2"/>
    <x v="0"/>
    <x v="1"/>
    <x v="0"/>
    <x v="1"/>
    <x v="8"/>
    <n v="100"/>
    <n v="100"/>
    <n v="0"/>
    <n v="0"/>
    <n v="0"/>
    <n v="0"/>
    <n v="1"/>
    <x v="2"/>
    <n v="0"/>
    <n v="18"/>
    <n v="0"/>
    <n v="0"/>
    <n v="18.489999999999998"/>
    <n v="0"/>
    <n v="0"/>
    <n v="24.564572675892517"/>
    <m/>
    <m/>
    <n v="1848.9999999999998"/>
    <n v="0"/>
    <n v="0"/>
    <n v="2456.4572675892518"/>
    <n v="0"/>
    <n v="0"/>
  </r>
  <r>
    <s v="Regular"/>
    <x v="1"/>
    <x v="2"/>
    <x v="2"/>
    <x v="0"/>
    <x v="1"/>
    <x v="0"/>
    <x v="1"/>
    <x v="9"/>
    <n v="394"/>
    <n v="394"/>
    <n v="0"/>
    <n v="0"/>
    <n v="0"/>
    <n v="0"/>
    <n v="6"/>
    <x v="2"/>
    <n v="0"/>
    <n v="18"/>
    <n v="0"/>
    <n v="0"/>
    <n v="18.489999999999998"/>
    <n v="0"/>
    <n v="0"/>
    <n v="24.564572675892517"/>
    <m/>
    <m/>
    <n v="7285.0599999999995"/>
    <n v="0"/>
    <n v="0"/>
    <n v="9678.441634301651"/>
    <n v="0"/>
    <n v="0"/>
  </r>
  <r>
    <s v="Sistema de Compensação"/>
    <x v="1"/>
    <x v="2"/>
    <x v="2"/>
    <x v="0"/>
    <x v="1"/>
    <x v="0"/>
    <x v="1"/>
    <x v="9"/>
    <n v="100"/>
    <n v="100"/>
    <n v="0"/>
    <n v="0"/>
    <n v="0"/>
    <n v="0"/>
    <n v="1"/>
    <x v="2"/>
    <n v="0"/>
    <n v="18"/>
    <n v="0"/>
    <n v="0"/>
    <n v="18.489999999999998"/>
    <n v="0"/>
    <n v="0"/>
    <n v="24.564572675892517"/>
    <m/>
    <m/>
    <n v="1848.9999999999998"/>
    <n v="0"/>
    <n v="0"/>
    <n v="2456.4572675892518"/>
    <n v="0"/>
    <n v="0"/>
  </r>
  <r>
    <s v="Regular"/>
    <x v="1"/>
    <x v="2"/>
    <x v="2"/>
    <x v="0"/>
    <x v="1"/>
    <x v="0"/>
    <x v="1"/>
    <x v="10"/>
    <n v="428"/>
    <n v="428"/>
    <n v="0"/>
    <n v="0"/>
    <n v="0"/>
    <n v="0"/>
    <n v="6"/>
    <x v="2"/>
    <n v="0"/>
    <n v="18"/>
    <n v="0"/>
    <n v="0"/>
    <n v="18.489999999999998"/>
    <n v="0"/>
    <n v="0"/>
    <n v="24.564572675892517"/>
    <m/>
    <m/>
    <n v="7913.7199999999993"/>
    <n v="0"/>
    <n v="0"/>
    <n v="10513.637105281998"/>
    <n v="0"/>
    <n v="0"/>
  </r>
  <r>
    <s v="Sistema de Compensação"/>
    <x v="1"/>
    <x v="2"/>
    <x v="2"/>
    <x v="0"/>
    <x v="1"/>
    <x v="0"/>
    <x v="1"/>
    <x v="10"/>
    <n v="100"/>
    <n v="100"/>
    <n v="0"/>
    <n v="0"/>
    <n v="0"/>
    <n v="0"/>
    <n v="1"/>
    <x v="2"/>
    <n v="0"/>
    <n v="18"/>
    <n v="0"/>
    <n v="0"/>
    <n v="18.489999999999998"/>
    <n v="0"/>
    <n v="0"/>
    <n v="24.564572675892517"/>
    <m/>
    <m/>
    <n v="1848.9999999999998"/>
    <n v="0"/>
    <n v="0"/>
    <n v="2456.4572675892518"/>
    <n v="0"/>
    <n v="0"/>
  </r>
  <r>
    <s v="Regular"/>
    <x v="1"/>
    <x v="2"/>
    <x v="2"/>
    <x v="0"/>
    <x v="1"/>
    <x v="0"/>
    <x v="1"/>
    <x v="11"/>
    <n v="425.34"/>
    <n v="425.34"/>
    <n v="0"/>
    <n v="0"/>
    <n v="0"/>
    <n v="0"/>
    <n v="6"/>
    <x v="2"/>
    <n v="0"/>
    <n v="18"/>
    <n v="0"/>
    <n v="0"/>
    <n v="18.489999999999998"/>
    <n v="0"/>
    <n v="0"/>
    <n v="24.564572675892517"/>
    <m/>
    <m/>
    <n v="7864.5365999999985"/>
    <n v="0"/>
    <n v="0"/>
    <n v="10448.295341964124"/>
    <n v="0"/>
    <n v="0"/>
  </r>
  <r>
    <s v="Sistema de Compensação"/>
    <x v="1"/>
    <x v="2"/>
    <x v="2"/>
    <x v="0"/>
    <x v="1"/>
    <x v="0"/>
    <x v="1"/>
    <x v="11"/>
    <n v="100"/>
    <n v="100"/>
    <n v="0"/>
    <n v="0"/>
    <n v="0"/>
    <n v="0"/>
    <n v="1"/>
    <x v="2"/>
    <n v="0"/>
    <n v="18"/>
    <n v="0"/>
    <n v="0"/>
    <n v="18.489999999999998"/>
    <n v="0"/>
    <n v="0"/>
    <n v="24.564572675892517"/>
    <m/>
    <m/>
    <n v="1848.9999999999998"/>
    <n v="0"/>
    <n v="0"/>
    <n v="2456.4572675892518"/>
    <n v="0"/>
    <n v="0"/>
  </r>
  <r>
    <s v="Regular"/>
    <x v="1"/>
    <x v="2"/>
    <x v="2"/>
    <x v="0"/>
    <x v="1"/>
    <x v="0"/>
    <x v="1"/>
    <x v="0"/>
    <n v="417.67"/>
    <n v="417.67"/>
    <n v="0"/>
    <n v="0"/>
    <n v="0"/>
    <n v="0"/>
    <n v="6"/>
    <x v="2"/>
    <n v="0"/>
    <n v="18"/>
    <n v="0"/>
    <n v="0"/>
    <n v="18.489999999999998"/>
    <n v="0"/>
    <n v="0"/>
    <n v="24.564572675892517"/>
    <m/>
    <m/>
    <n v="7722.7182999999995"/>
    <n v="0"/>
    <n v="0"/>
    <n v="10259.885069540029"/>
    <n v="0"/>
    <n v="0"/>
  </r>
  <r>
    <s v="Sistema de Compensação"/>
    <x v="1"/>
    <x v="2"/>
    <x v="2"/>
    <x v="0"/>
    <x v="1"/>
    <x v="0"/>
    <x v="1"/>
    <x v="0"/>
    <n v="100"/>
    <n v="100"/>
    <n v="0"/>
    <n v="0"/>
    <n v="0"/>
    <n v="0"/>
    <n v="1"/>
    <x v="2"/>
    <n v="0"/>
    <n v="18"/>
    <n v="0"/>
    <n v="0"/>
    <n v="18.489999999999998"/>
    <n v="0"/>
    <n v="0"/>
    <n v="24.564572675892517"/>
    <m/>
    <m/>
    <n v="1848.9999999999998"/>
    <n v="0"/>
    <n v="0"/>
    <n v="2456.4572675892518"/>
    <n v="0"/>
    <n v="0"/>
  </r>
  <r>
    <s v="Regular"/>
    <x v="1"/>
    <x v="2"/>
    <x v="2"/>
    <x v="0"/>
    <x v="1"/>
    <x v="0"/>
    <x v="1"/>
    <x v="1"/>
    <n v="403"/>
    <n v="403"/>
    <n v="0"/>
    <n v="0"/>
    <n v="0"/>
    <n v="0"/>
    <n v="6"/>
    <x v="2"/>
    <n v="0"/>
    <n v="18"/>
    <n v="0"/>
    <n v="0"/>
    <n v="18.489999999999998"/>
    <n v="0"/>
    <n v="0"/>
    <n v="24.564572675892517"/>
    <m/>
    <m/>
    <n v="7451.4699999999993"/>
    <n v="0"/>
    <n v="0"/>
    <n v="9899.5227883846837"/>
    <n v="0"/>
    <n v="0"/>
  </r>
  <r>
    <s v="Sistema de Compensação"/>
    <x v="1"/>
    <x v="2"/>
    <x v="2"/>
    <x v="0"/>
    <x v="1"/>
    <x v="0"/>
    <x v="1"/>
    <x v="1"/>
    <n v="100"/>
    <n v="100"/>
    <n v="0"/>
    <n v="0"/>
    <n v="0"/>
    <n v="0"/>
    <n v="1"/>
    <x v="2"/>
    <n v="0"/>
    <n v="18"/>
    <n v="0"/>
    <n v="0"/>
    <n v="18.489999999999998"/>
    <n v="0"/>
    <n v="0"/>
    <n v="24.564572675892517"/>
    <m/>
    <m/>
    <n v="1848.9999999999998"/>
    <n v="0"/>
    <n v="0"/>
    <n v="2456.4572675892518"/>
    <n v="0"/>
    <n v="0"/>
  </r>
  <r>
    <s v="Regular"/>
    <x v="1"/>
    <x v="2"/>
    <x v="2"/>
    <x v="0"/>
    <x v="1"/>
    <x v="0"/>
    <x v="1"/>
    <x v="2"/>
    <n v="403.07"/>
    <n v="403.07"/>
    <n v="0"/>
    <n v="0"/>
    <n v="0"/>
    <n v="0"/>
    <n v="6"/>
    <x v="2"/>
    <n v="0"/>
    <n v="18"/>
    <n v="0"/>
    <n v="0"/>
    <n v="18.489999999999998"/>
    <n v="0"/>
    <n v="0"/>
    <n v="24.564572675892517"/>
    <m/>
    <m/>
    <n v="7452.7642999999989"/>
    <n v="0"/>
    <n v="0"/>
    <n v="9901.2423084719976"/>
    <n v="0"/>
    <n v="0"/>
  </r>
  <r>
    <s v="Sistema de Compensação"/>
    <x v="1"/>
    <x v="2"/>
    <x v="2"/>
    <x v="0"/>
    <x v="1"/>
    <x v="0"/>
    <x v="1"/>
    <x v="2"/>
    <n v="100"/>
    <n v="100"/>
    <n v="0"/>
    <n v="0"/>
    <n v="0"/>
    <n v="0"/>
    <n v="1"/>
    <x v="2"/>
    <n v="0"/>
    <n v="18"/>
    <n v="0"/>
    <n v="0"/>
    <n v="18.489999999999998"/>
    <n v="0"/>
    <n v="0"/>
    <n v="24.564572675892517"/>
    <m/>
    <m/>
    <n v="1848.9999999999998"/>
    <n v="0"/>
    <n v="0"/>
    <n v="2456.4572675892518"/>
    <n v="0"/>
    <n v="0"/>
  </r>
  <r>
    <s v="Regular"/>
    <x v="1"/>
    <x v="2"/>
    <x v="2"/>
    <x v="0"/>
    <x v="1"/>
    <x v="0"/>
    <x v="1"/>
    <x v="3"/>
    <n v="406"/>
    <n v="406"/>
    <n v="0"/>
    <n v="0"/>
    <n v="0"/>
    <n v="0"/>
    <n v="6"/>
    <x v="2"/>
    <n v="0"/>
    <n v="18"/>
    <n v="0"/>
    <n v="0"/>
    <n v="18.489999999999998"/>
    <n v="0"/>
    <n v="0"/>
    <n v="24.564572675892517"/>
    <m/>
    <m/>
    <n v="7506.94"/>
    <n v="0"/>
    <n v="0"/>
    <n v="9973.2165064123619"/>
    <n v="0"/>
    <n v="0"/>
  </r>
  <r>
    <s v="Sistema de Compensação"/>
    <x v="1"/>
    <x v="2"/>
    <x v="2"/>
    <x v="0"/>
    <x v="1"/>
    <x v="0"/>
    <x v="1"/>
    <x v="3"/>
    <n v="100"/>
    <n v="100"/>
    <n v="0"/>
    <n v="0"/>
    <n v="0"/>
    <n v="0"/>
    <n v="1"/>
    <x v="2"/>
    <n v="0"/>
    <n v="18"/>
    <n v="0"/>
    <n v="0"/>
    <n v="18.489999999999998"/>
    <n v="0"/>
    <n v="0"/>
    <n v="24.564572675892517"/>
    <m/>
    <m/>
    <n v="1848.9999999999998"/>
    <n v="0"/>
    <n v="0"/>
    <n v="2456.4572675892518"/>
    <n v="0"/>
    <n v="0"/>
  </r>
  <r>
    <s v="Regular"/>
    <x v="1"/>
    <x v="2"/>
    <x v="2"/>
    <x v="0"/>
    <x v="1"/>
    <x v="0"/>
    <x v="2"/>
    <x v="4"/>
    <n v="0"/>
    <n v="0"/>
    <n v="3.7450000000000001"/>
    <n v="3.7450000000000001"/>
    <n v="3.7450000000000001"/>
    <n v="3.7450000000000001"/>
    <n v="0"/>
    <x v="2"/>
    <n v="0"/>
    <n v="0"/>
    <n v="21"/>
    <n v="83"/>
    <n v="0"/>
    <n v="789.62"/>
    <n v="488.15"/>
    <m/>
    <n v="1120.2502177732708"/>
    <n v="461.06028669645673"/>
    <n v="0"/>
    <n v="2957.1269000000002"/>
    <n v="1828.12175"/>
    <n v="0"/>
    <n v="4195.3370655608996"/>
    <n v="1726.6707736782305"/>
  </r>
  <r>
    <s v="Sistema de Compensação"/>
    <x v="1"/>
    <x v="2"/>
    <x v="2"/>
    <x v="0"/>
    <x v="1"/>
    <x v="0"/>
    <x v="2"/>
    <x v="4"/>
    <n v="0"/>
    <n v="0"/>
    <n v="0.83260999999999996"/>
    <n v="0.83260999999999996"/>
    <n v="0.83260999999999996"/>
    <n v="0.83260999999999996"/>
    <n v="0"/>
    <x v="2"/>
    <n v="0"/>
    <n v="0"/>
    <n v="21"/>
    <n v="83"/>
    <n v="0"/>
    <n v="789.62"/>
    <n v="488.15"/>
    <m/>
    <n v="1120.2502177732708"/>
    <n v="461.06028669645673"/>
    <n v="0"/>
    <n v="657.44550819999995"/>
    <n v="406.43857149999997"/>
    <n v="0"/>
    <n v="932.73153382020303"/>
    <n v="383.88340530633684"/>
  </r>
  <r>
    <s v="Regular"/>
    <x v="1"/>
    <x v="2"/>
    <x v="2"/>
    <x v="0"/>
    <x v="1"/>
    <x v="0"/>
    <x v="2"/>
    <x v="5"/>
    <n v="0"/>
    <n v="0"/>
    <n v="3.89899"/>
    <n v="3.89899"/>
    <n v="3.89899"/>
    <n v="3.89899"/>
    <n v="0"/>
    <x v="2"/>
    <n v="0"/>
    <n v="0"/>
    <n v="21"/>
    <n v="83"/>
    <n v="0"/>
    <n v="789.62"/>
    <n v="488.15"/>
    <m/>
    <n v="1120.2502177732708"/>
    <n v="461.06028669645673"/>
    <n v="0"/>
    <n v="3078.7204837999998"/>
    <n v="1903.2919684999999"/>
    <n v="0"/>
    <n v="4367.8443965958049"/>
    <n v="1797.6694472266179"/>
  </r>
  <r>
    <s v="Sistema de Compensação"/>
    <x v="1"/>
    <x v="2"/>
    <x v="2"/>
    <x v="0"/>
    <x v="1"/>
    <x v="0"/>
    <x v="2"/>
    <x v="5"/>
    <n v="0"/>
    <n v="0"/>
    <n v="0.81979000000000002"/>
    <n v="0.81979000000000002"/>
    <n v="0.81979000000000002"/>
    <n v="0.81979000000000002"/>
    <n v="0"/>
    <x v="2"/>
    <n v="0"/>
    <n v="0"/>
    <n v="21"/>
    <n v="83"/>
    <n v="0"/>
    <n v="789.62"/>
    <n v="488.15"/>
    <m/>
    <n v="1120.2502177732708"/>
    <n v="461.06028669645673"/>
    <n v="0"/>
    <n v="647.32257979999997"/>
    <n v="400.18048849999997"/>
    <n v="0"/>
    <n v="918.36992602834971"/>
    <n v="377.97261243088826"/>
  </r>
  <r>
    <s v="Regular"/>
    <x v="1"/>
    <x v="2"/>
    <x v="2"/>
    <x v="0"/>
    <x v="1"/>
    <x v="0"/>
    <x v="2"/>
    <x v="6"/>
    <n v="0"/>
    <n v="0"/>
    <n v="3.68018"/>
    <n v="3.68018"/>
    <n v="3.68018"/>
    <n v="3.68018"/>
    <n v="0"/>
    <x v="2"/>
    <n v="0"/>
    <n v="0"/>
    <n v="21"/>
    <n v="83"/>
    <n v="0"/>
    <n v="789.62"/>
    <n v="488.15"/>
    <m/>
    <n v="1120.2502177732708"/>
    <n v="461.06028669645673"/>
    <n v="0"/>
    <n v="2905.9437315999999"/>
    <n v="1796.479867"/>
    <n v="0"/>
    <n v="4122.7224464448354"/>
    <n v="1696.7848458945662"/>
  </r>
  <r>
    <s v="Sistema de Compensação"/>
    <x v="1"/>
    <x v="2"/>
    <x v="2"/>
    <x v="0"/>
    <x v="1"/>
    <x v="0"/>
    <x v="2"/>
    <x v="6"/>
    <n v="0"/>
    <n v="0"/>
    <n v="0.80769999999999997"/>
    <n v="0.80769999999999997"/>
    <n v="0.80769999999999997"/>
    <n v="0.80769999999999997"/>
    <n v="0"/>
    <x v="2"/>
    <n v="0"/>
    <n v="0"/>
    <n v="21"/>
    <n v="83"/>
    <n v="0"/>
    <n v="789.62"/>
    <n v="488.15"/>
    <m/>
    <n v="1120.2502177732708"/>
    <n v="461.06028669645673"/>
    <n v="0"/>
    <n v="637.77607399999999"/>
    <n v="394.27875499999999"/>
    <n v="0"/>
    <n v="904.82610089547086"/>
    <n v="372.39839356472811"/>
  </r>
  <r>
    <s v="Regular"/>
    <x v="1"/>
    <x v="2"/>
    <x v="2"/>
    <x v="0"/>
    <x v="1"/>
    <x v="0"/>
    <x v="2"/>
    <x v="7"/>
    <n v="0"/>
    <n v="0"/>
    <n v="4.1459999999999999"/>
    <n v="4.1459999999999999"/>
    <n v="4.1459999999999999"/>
    <n v="4.1459999999999999"/>
    <n v="0"/>
    <x v="2"/>
    <n v="0"/>
    <n v="0"/>
    <n v="21"/>
    <n v="83"/>
    <n v="0"/>
    <n v="789.62"/>
    <n v="488.15"/>
    <m/>
    <n v="1120.2502177732708"/>
    <n v="461.06028669645673"/>
    <n v="0"/>
    <n v="3273.7645199999997"/>
    <n v="2023.8698999999999"/>
    <n v="0"/>
    <n v="4644.557402887981"/>
    <n v="1911.5559486435095"/>
  </r>
  <r>
    <s v="Sistema de Compensação"/>
    <x v="1"/>
    <x v="2"/>
    <x v="2"/>
    <x v="0"/>
    <x v="1"/>
    <x v="0"/>
    <x v="2"/>
    <x v="7"/>
    <n v="0"/>
    <n v="0"/>
    <n v="0.97399999999999998"/>
    <n v="0.97399999999999998"/>
    <n v="0.97399999999999998"/>
    <n v="0.97399999999999998"/>
    <n v="0"/>
    <x v="2"/>
    <n v="0"/>
    <n v="0"/>
    <n v="21"/>
    <n v="83"/>
    <n v="0"/>
    <n v="789.62"/>
    <n v="488.15"/>
    <m/>
    <n v="1120.2502177732708"/>
    <n v="461.06028669645673"/>
    <n v="0"/>
    <n v="769.08987999999999"/>
    <n v="475.45809999999994"/>
    <n v="0"/>
    <n v="1091.1237121111658"/>
    <n v="449.07271924234885"/>
  </r>
  <r>
    <s v="Regular"/>
    <x v="1"/>
    <x v="2"/>
    <x v="2"/>
    <x v="0"/>
    <x v="1"/>
    <x v="0"/>
    <x v="2"/>
    <x v="8"/>
    <n v="0"/>
    <n v="0"/>
    <n v="5.6028099999999998"/>
    <n v="5.6028099999999998"/>
    <n v="5.6028099999999998"/>
    <n v="5.6028099999999998"/>
    <n v="0"/>
    <x v="2"/>
    <n v="0"/>
    <n v="0"/>
    <n v="21"/>
    <n v="83"/>
    <n v="0"/>
    <n v="789.62"/>
    <n v="488.15"/>
    <m/>
    <n v="1120.2502177732708"/>
    <n v="461.06028669645673"/>
    <n v="0"/>
    <n v="4424.0908321999996"/>
    <n v="2735.0117014999996"/>
    <n v="0"/>
    <n v="6276.5491226422591"/>
    <n v="2583.2331849057746"/>
  </r>
  <r>
    <s v="Sistema de Compensação"/>
    <x v="1"/>
    <x v="2"/>
    <x v="2"/>
    <x v="0"/>
    <x v="1"/>
    <x v="0"/>
    <x v="2"/>
    <x v="8"/>
    <n v="0"/>
    <n v="0"/>
    <n v="1.288"/>
    <n v="1.288"/>
    <n v="1.288"/>
    <n v="1.288"/>
    <n v="0"/>
    <x v="2"/>
    <n v="0"/>
    <n v="0"/>
    <n v="21"/>
    <n v="83"/>
    <n v="0"/>
    <n v="789.62"/>
    <n v="488.15"/>
    <m/>
    <n v="1120.2502177732708"/>
    <n v="461.06028669645673"/>
    <n v="0"/>
    <n v="1017.03056"/>
    <n v="628.73720000000003"/>
    <n v="0"/>
    <n v="1442.8822804919728"/>
    <n v="593.84564926503629"/>
  </r>
  <r>
    <s v="Regular"/>
    <x v="1"/>
    <x v="2"/>
    <x v="2"/>
    <x v="0"/>
    <x v="1"/>
    <x v="0"/>
    <x v="2"/>
    <x v="9"/>
    <n v="0"/>
    <n v="0"/>
    <n v="5.6550000000000002"/>
    <n v="5.6550000000000002"/>
    <n v="5.6550000000000002"/>
    <n v="5.6550000000000002"/>
    <n v="0"/>
    <x v="2"/>
    <n v="0"/>
    <n v="0"/>
    <n v="21"/>
    <n v="83"/>
    <n v="0"/>
    <n v="789.62"/>
    <n v="488.15"/>
    <m/>
    <n v="1120.2502177732708"/>
    <n v="461.06028669645673"/>
    <n v="0"/>
    <n v="4465.3011000000006"/>
    <n v="2760.4882499999999"/>
    <n v="0"/>
    <n v="6335.0149815078466"/>
    <n v="2607.2959212684627"/>
  </r>
  <r>
    <s v="Sistema de Compensação"/>
    <x v="1"/>
    <x v="2"/>
    <x v="2"/>
    <x v="0"/>
    <x v="1"/>
    <x v="0"/>
    <x v="2"/>
    <x v="9"/>
    <n v="0"/>
    <n v="0"/>
    <n v="1.835"/>
    <n v="1.835"/>
    <n v="1.835"/>
    <n v="1.835"/>
    <n v="0"/>
    <x v="2"/>
    <n v="0"/>
    <n v="0"/>
    <n v="21"/>
    <n v="83"/>
    <n v="0"/>
    <n v="789.62"/>
    <n v="488.15"/>
    <m/>
    <n v="1120.2502177732708"/>
    <n v="461.06028669645673"/>
    <n v="0"/>
    <n v="1448.9527"/>
    <n v="895.75524999999993"/>
    <n v="0"/>
    <n v="2055.6591496139517"/>
    <n v="846.04562608799813"/>
  </r>
  <r>
    <s v="Regular"/>
    <x v="1"/>
    <x v="2"/>
    <x v="2"/>
    <x v="0"/>
    <x v="1"/>
    <x v="0"/>
    <x v="2"/>
    <x v="10"/>
    <n v="0"/>
    <n v="0"/>
    <n v="4.7380000000000004"/>
    <n v="4.7380000000000004"/>
    <n v="4.7380000000000004"/>
    <n v="4.7380000000000004"/>
    <n v="0"/>
    <x v="2"/>
    <n v="0"/>
    <n v="0"/>
    <n v="21"/>
    <n v="83"/>
    <n v="0"/>
    <n v="789.62"/>
    <n v="488.15"/>
    <m/>
    <n v="1120.2502177732708"/>
    <n v="461.06028669645673"/>
    <n v="0"/>
    <n v="3741.2195600000005"/>
    <n v="2312.8547000000003"/>
    <n v="0"/>
    <n v="5307.7455318097573"/>
    <n v="2184.5036383678121"/>
  </r>
  <r>
    <s v="Sistema de Compensação"/>
    <x v="1"/>
    <x v="2"/>
    <x v="2"/>
    <x v="0"/>
    <x v="1"/>
    <x v="0"/>
    <x v="2"/>
    <x v="10"/>
    <n v="0"/>
    <n v="0"/>
    <n v="1.76458"/>
    <n v="1.76458"/>
    <n v="1.76458"/>
    <n v="1.76458"/>
    <n v="0"/>
    <x v="2"/>
    <n v="0"/>
    <n v="0"/>
    <n v="21"/>
    <n v="83"/>
    <n v="0"/>
    <n v="789.62"/>
    <n v="488.15"/>
    <m/>
    <n v="1120.2502177732708"/>
    <n v="461.06028669645673"/>
    <n v="0"/>
    <n v="1393.3476596"/>
    <n v="861.379727"/>
    <n v="0"/>
    <n v="1976.7711292783583"/>
    <n v="813.57776069883369"/>
  </r>
  <r>
    <s v="Regular"/>
    <x v="1"/>
    <x v="2"/>
    <x v="2"/>
    <x v="0"/>
    <x v="1"/>
    <x v="0"/>
    <x v="2"/>
    <x v="11"/>
    <n v="0"/>
    <n v="0"/>
    <n v="4.5263299999999997"/>
    <n v="4.5263299999999997"/>
    <n v="4.5263299999999997"/>
    <n v="4.5263299999999997"/>
    <n v="0"/>
    <x v="2"/>
    <n v="0"/>
    <n v="0"/>
    <n v="21"/>
    <n v="83"/>
    <n v="0"/>
    <n v="789.62"/>
    <n v="488.15"/>
    <m/>
    <n v="1120.2502177732708"/>
    <n v="461.06028669645673"/>
    <n v="0"/>
    <n v="3574.0806945999998"/>
    <n v="2209.5279894999999"/>
    <n v="0"/>
    <n v="5070.6221682136884"/>
    <n v="2086.9110074827727"/>
  </r>
  <r>
    <s v="Sistema de Compensação"/>
    <x v="1"/>
    <x v="2"/>
    <x v="2"/>
    <x v="0"/>
    <x v="1"/>
    <x v="0"/>
    <x v="2"/>
    <x v="11"/>
    <n v="0"/>
    <n v="0"/>
    <n v="1.5145900000000001"/>
    <n v="1.5145900000000001"/>
    <n v="1.5145900000000001"/>
    <n v="1.5145900000000001"/>
    <n v="0"/>
    <x v="2"/>
    <n v="0"/>
    <n v="0"/>
    <n v="21"/>
    <n v="83"/>
    <n v="0"/>
    <n v="789.62"/>
    <n v="488.15"/>
    <m/>
    <n v="1120.2502177732708"/>
    <n v="461.06028669645673"/>
    <n v="0"/>
    <n v="1195.9505558000001"/>
    <n v="739.34710849999999"/>
    <n v="0"/>
    <n v="1696.7197773372184"/>
    <n v="698.31729962758641"/>
  </r>
  <r>
    <s v="Regular"/>
    <x v="1"/>
    <x v="2"/>
    <x v="2"/>
    <x v="0"/>
    <x v="1"/>
    <x v="0"/>
    <x v="2"/>
    <x v="0"/>
    <n v="0"/>
    <n v="0"/>
    <n v="3.3103699999999998"/>
    <n v="3.3103699999999998"/>
    <n v="3.3103699999999998"/>
    <n v="3.3103699999999998"/>
    <n v="0"/>
    <x v="2"/>
    <n v="0"/>
    <n v="0"/>
    <n v="21"/>
    <n v="83"/>
    <n v="0"/>
    <n v="789.62"/>
    <n v="488.15"/>
    <m/>
    <n v="1120.2502177732708"/>
    <n v="461.06028669645673"/>
    <n v="0"/>
    <n v="2613.9343593999997"/>
    <n v="1615.9571154999999"/>
    <n v="0"/>
    <n v="3708.4427134101024"/>
    <n v="1526.2801412713493"/>
  </r>
  <r>
    <s v="Sistema de Compensação"/>
    <x v="1"/>
    <x v="2"/>
    <x v="2"/>
    <x v="0"/>
    <x v="1"/>
    <x v="0"/>
    <x v="2"/>
    <x v="0"/>
    <n v="0"/>
    <n v="0"/>
    <n v="0.872"/>
    <n v="0.872"/>
    <n v="0.872"/>
    <n v="0.872"/>
    <n v="0"/>
    <x v="2"/>
    <n v="0"/>
    <n v="0"/>
    <n v="21"/>
    <n v="83"/>
    <n v="0"/>
    <n v="789.62"/>
    <n v="488.15"/>
    <m/>
    <n v="1120.2502177732708"/>
    <n v="461.06028669645673"/>
    <n v="0"/>
    <n v="688.54863999999998"/>
    <n v="425.66679999999997"/>
    <n v="0"/>
    <n v="976.85818989829215"/>
    <n v="402.04456999931028"/>
  </r>
  <r>
    <s v="Regular"/>
    <x v="1"/>
    <x v="2"/>
    <x v="2"/>
    <x v="0"/>
    <x v="1"/>
    <x v="0"/>
    <x v="2"/>
    <x v="1"/>
    <n v="0"/>
    <n v="0"/>
    <n v="3.5286"/>
    <n v="3.5286"/>
    <n v="3.5286"/>
    <n v="3.5286"/>
    <n v="0"/>
    <x v="2"/>
    <n v="0"/>
    <n v="0"/>
    <n v="21"/>
    <n v="83"/>
    <n v="0"/>
    <n v="789.62"/>
    <n v="488.15"/>
    <m/>
    <n v="1120.2502177732708"/>
    <n v="461.06028669645673"/>
    <n v="0"/>
    <n v="2786.2531319999998"/>
    <n v="1722.4860899999999"/>
    <n v="0"/>
    <n v="3952.9149184347634"/>
    <n v="1626.8973276371171"/>
  </r>
  <r>
    <s v="Sistema de Compensação"/>
    <x v="1"/>
    <x v="2"/>
    <x v="2"/>
    <x v="0"/>
    <x v="1"/>
    <x v="0"/>
    <x v="2"/>
    <x v="1"/>
    <n v="0"/>
    <n v="0"/>
    <n v="0.83333000000000002"/>
    <n v="0.83333000000000002"/>
    <n v="0.83333000000000002"/>
    <n v="0.83333000000000002"/>
    <n v="0"/>
    <x v="2"/>
    <n v="0"/>
    <n v="0"/>
    <n v="21"/>
    <n v="83"/>
    <n v="0"/>
    <n v="789.62"/>
    <n v="488.15"/>
    <m/>
    <n v="1120.2502177732708"/>
    <n v="461.06028669645673"/>
    <n v="0"/>
    <n v="658.01403460000006"/>
    <n v="406.79003949999998"/>
    <n v="0"/>
    <n v="933.53811397699985"/>
    <n v="384.21536871275828"/>
  </r>
  <r>
    <s v="Regular"/>
    <x v="1"/>
    <x v="2"/>
    <x v="2"/>
    <x v="0"/>
    <x v="1"/>
    <x v="0"/>
    <x v="2"/>
    <x v="2"/>
    <n v="0"/>
    <n v="0"/>
    <n v="3.0912799999999998"/>
    <n v="3.0912799999999998"/>
    <n v="3.0912799999999998"/>
    <n v="3.0912799999999998"/>
    <n v="0"/>
    <x v="2"/>
    <n v="0"/>
    <n v="0"/>
    <n v="21"/>
    <n v="83"/>
    <n v="0"/>
    <n v="789.62"/>
    <n v="488.15"/>
    <m/>
    <n v="1120.2502177732708"/>
    <n v="461.06028669645673"/>
    <n v="0"/>
    <n v="2440.9365135999997"/>
    <n v="1509.0083319999999"/>
    <n v="0"/>
    <n v="3463.0070931981563"/>
    <n v="1425.2664430590228"/>
  </r>
  <r>
    <s v="Sistema de Compensação"/>
    <x v="1"/>
    <x v="2"/>
    <x v="2"/>
    <x v="0"/>
    <x v="1"/>
    <x v="0"/>
    <x v="2"/>
    <x v="2"/>
    <n v="0"/>
    <n v="0"/>
    <n v="0.80100000000000005"/>
    <n v="0.80100000000000005"/>
    <n v="0.80100000000000005"/>
    <n v="0.80100000000000005"/>
    <n v="0"/>
    <x v="2"/>
    <n v="0"/>
    <n v="0"/>
    <n v="21"/>
    <n v="83"/>
    <n v="0"/>
    <n v="789.62"/>
    <n v="488.15"/>
    <m/>
    <n v="1120.2502177732708"/>
    <n v="461.06028669645673"/>
    <n v="0"/>
    <n v="632.48562000000004"/>
    <n v="391.00815"/>
    <n v="0"/>
    <n v="897.32042443639"/>
    <n v="369.30928964386186"/>
  </r>
  <r>
    <s v="Regular"/>
    <x v="1"/>
    <x v="2"/>
    <x v="2"/>
    <x v="0"/>
    <x v="1"/>
    <x v="0"/>
    <x v="2"/>
    <x v="3"/>
    <n v="0"/>
    <n v="0"/>
    <n v="3.3119999999999998"/>
    <n v="3.3119999999999998"/>
    <n v="3.3119999999999998"/>
    <n v="3.3119999999999998"/>
    <n v="0"/>
    <x v="2"/>
    <n v="0"/>
    <n v="0"/>
    <n v="21"/>
    <n v="83"/>
    <n v="0"/>
    <n v="789.62"/>
    <n v="488.15"/>
    <m/>
    <n v="1120.2502177732708"/>
    <n v="461.06028669645673"/>
    <n v="0"/>
    <n v="2615.2214399999998"/>
    <n v="1616.7527999999998"/>
    <n v="0"/>
    <n v="3710.2687212650726"/>
    <n v="1527.0316695386646"/>
  </r>
  <r>
    <s v="Sistema de Compensação"/>
    <x v="1"/>
    <x v="2"/>
    <x v="2"/>
    <x v="0"/>
    <x v="1"/>
    <x v="0"/>
    <x v="2"/>
    <x v="3"/>
    <n v="0"/>
    <n v="0"/>
    <n v="0.75527999999999995"/>
    <n v="0.75527999999999995"/>
    <n v="0.75527999999999995"/>
    <n v="0.75527999999999995"/>
    <n v="0"/>
    <x v="2"/>
    <n v="0"/>
    <n v="0"/>
    <n v="21"/>
    <n v="83"/>
    <n v="0"/>
    <n v="789.62"/>
    <n v="488.15"/>
    <m/>
    <n v="1120.2502177732708"/>
    <n v="461.06028669645673"/>
    <n v="0"/>
    <n v="596.3841936"/>
    <n v="368.68993199999994"/>
    <n v="0"/>
    <n v="846.10258447979595"/>
    <n v="348.22961333609982"/>
  </r>
  <r>
    <s v="Regular"/>
    <x v="1"/>
    <x v="2"/>
    <x v="0"/>
    <x v="0"/>
    <x v="0"/>
    <x v="0"/>
    <x v="0"/>
    <x v="4"/>
    <n v="0"/>
    <n v="0"/>
    <n v="2970.8047099999999"/>
    <n v="2970.8047099999999"/>
    <n v="0"/>
    <n v="0"/>
    <n v="0"/>
    <x v="0"/>
    <n v="0"/>
    <n v="0"/>
    <n v="22"/>
    <n v="0"/>
    <n v="0"/>
    <n v="73.28"/>
    <n v="0"/>
    <m/>
    <n v="143.45615825576942"/>
    <m/>
    <n v="0"/>
    <n v="217700.56914879999"/>
    <n v="0"/>
    <n v="0"/>
    <n v="426180.23062474519"/>
    <n v="0"/>
  </r>
  <r>
    <s v="Regular"/>
    <x v="1"/>
    <x v="2"/>
    <x v="0"/>
    <x v="0"/>
    <x v="0"/>
    <x v="0"/>
    <x v="0"/>
    <x v="5"/>
    <n v="0"/>
    <n v="0"/>
    <n v="2776.491"/>
    <n v="2776.491"/>
    <n v="0"/>
    <n v="0"/>
    <n v="0"/>
    <x v="0"/>
    <n v="0"/>
    <n v="0"/>
    <n v="22"/>
    <n v="0"/>
    <n v="0"/>
    <n v="73.28"/>
    <n v="0"/>
    <m/>
    <n v="143.45615825576942"/>
    <m/>
    <n v="0"/>
    <n v="203461.26048"/>
    <n v="0"/>
    <n v="0"/>
    <n v="398304.73229171953"/>
    <n v="0"/>
  </r>
  <r>
    <s v="Regular"/>
    <x v="1"/>
    <x v="2"/>
    <x v="0"/>
    <x v="0"/>
    <x v="0"/>
    <x v="0"/>
    <x v="0"/>
    <x v="6"/>
    <n v="0"/>
    <n v="0"/>
    <n v="3080.5311900000002"/>
    <n v="3080.5311900000002"/>
    <n v="0"/>
    <n v="0"/>
    <n v="0"/>
    <x v="0"/>
    <n v="0"/>
    <n v="0"/>
    <n v="22"/>
    <n v="0"/>
    <n v="0"/>
    <n v="73.28"/>
    <n v="0"/>
    <m/>
    <n v="143.45615825576942"/>
    <m/>
    <n v="0"/>
    <n v="225741.32560320001"/>
    <n v="0"/>
    <n v="0"/>
    <n v="441921.1699044737"/>
    <n v="0"/>
  </r>
  <r>
    <s v="Regular"/>
    <x v="1"/>
    <x v="2"/>
    <x v="0"/>
    <x v="0"/>
    <x v="0"/>
    <x v="0"/>
    <x v="0"/>
    <x v="7"/>
    <n v="0"/>
    <n v="0"/>
    <n v="3219.0039999999999"/>
    <n v="3219.0039999999999"/>
    <n v="0"/>
    <n v="0"/>
    <n v="0"/>
    <x v="0"/>
    <n v="0"/>
    <n v="0"/>
    <n v="22"/>
    <n v="0"/>
    <n v="0"/>
    <n v="73.28"/>
    <n v="0"/>
    <m/>
    <n v="143.45615825576942"/>
    <m/>
    <n v="0"/>
    <n v="235888.61311999999"/>
    <n v="0"/>
    <n v="0"/>
    <n v="461785.9472499548"/>
    <n v="0"/>
  </r>
  <r>
    <s v="Regular"/>
    <x v="1"/>
    <x v="2"/>
    <x v="0"/>
    <x v="0"/>
    <x v="0"/>
    <x v="0"/>
    <x v="0"/>
    <x v="8"/>
    <n v="0"/>
    <n v="0"/>
    <n v="2476.0529999999999"/>
    <n v="2476.0529999999999"/>
    <n v="0"/>
    <n v="0"/>
    <n v="0"/>
    <x v="0"/>
    <n v="0"/>
    <n v="0"/>
    <n v="22"/>
    <n v="0"/>
    <n v="0"/>
    <n v="73.28"/>
    <n v="0"/>
    <m/>
    <n v="143.45615825576942"/>
    <m/>
    <n v="0"/>
    <n v="181445.16383999999"/>
    <n v="0"/>
    <n v="0"/>
    <n v="355205.05101767264"/>
    <n v="0"/>
  </r>
  <r>
    <s v="Regular"/>
    <x v="1"/>
    <x v="2"/>
    <x v="0"/>
    <x v="0"/>
    <x v="0"/>
    <x v="0"/>
    <x v="0"/>
    <x v="9"/>
    <n v="0"/>
    <n v="0"/>
    <n v="2614.6350000000002"/>
    <n v="2614.6350000000002"/>
    <n v="0"/>
    <n v="0"/>
    <n v="0"/>
    <x v="0"/>
    <n v="0"/>
    <n v="0"/>
    <n v="22"/>
    <n v="0"/>
    <n v="0"/>
    <n v="73.28"/>
    <n v="0"/>
    <m/>
    <n v="143.45615825576942"/>
    <m/>
    <n v="0"/>
    <n v="191600.45280000003"/>
    <n v="0"/>
    <n v="0"/>
    <n v="375085.4923410737"/>
    <n v="0"/>
  </r>
  <r>
    <s v="Regular"/>
    <x v="1"/>
    <x v="2"/>
    <x v="0"/>
    <x v="0"/>
    <x v="0"/>
    <x v="0"/>
    <x v="0"/>
    <x v="10"/>
    <n v="0"/>
    <n v="0"/>
    <n v="2692.8690000000001"/>
    <n v="2692.8690000000001"/>
    <n v="0"/>
    <n v="0"/>
    <n v="0"/>
    <x v="0"/>
    <n v="0"/>
    <n v="0"/>
    <n v="22"/>
    <n v="0"/>
    <n v="0"/>
    <n v="73.28"/>
    <n v="0"/>
    <m/>
    <n v="143.45615825576942"/>
    <m/>
    <n v="0"/>
    <n v="197333.44032000002"/>
    <n v="0"/>
    <n v="0"/>
    <n v="386308.64142605558"/>
    <n v="0"/>
  </r>
  <r>
    <s v="Regular"/>
    <x v="1"/>
    <x v="2"/>
    <x v="0"/>
    <x v="0"/>
    <x v="0"/>
    <x v="0"/>
    <x v="0"/>
    <x v="11"/>
    <n v="0"/>
    <n v="0"/>
    <n v="3033.424"/>
    <n v="3033.424"/>
    <n v="0"/>
    <n v="0"/>
    <n v="0"/>
    <x v="0"/>
    <n v="0"/>
    <n v="0"/>
    <n v="22"/>
    <n v="0"/>
    <n v="0"/>
    <n v="73.28"/>
    <n v="0"/>
    <m/>
    <n v="143.45615825576942"/>
    <m/>
    <n v="0"/>
    <n v="222289.31072000001"/>
    <n v="0"/>
    <n v="0"/>
    <n v="435163.3534008491"/>
    <n v="0"/>
  </r>
  <r>
    <s v="Regular"/>
    <x v="1"/>
    <x v="2"/>
    <x v="0"/>
    <x v="0"/>
    <x v="0"/>
    <x v="0"/>
    <x v="0"/>
    <x v="0"/>
    <n v="0"/>
    <n v="0"/>
    <n v="2854.1410000000001"/>
    <n v="2854.1410000000001"/>
    <n v="0"/>
    <n v="0"/>
    <n v="0"/>
    <x v="0"/>
    <n v="0"/>
    <n v="0"/>
    <n v="22"/>
    <n v="0"/>
    <n v="0"/>
    <n v="73.28"/>
    <n v="0"/>
    <m/>
    <n v="143.45615825576942"/>
    <m/>
    <n v="0"/>
    <n v="209151.45248000001"/>
    <n v="0"/>
    <n v="0"/>
    <n v="409444.10298028"/>
    <n v="0"/>
  </r>
  <r>
    <s v="Regular"/>
    <x v="1"/>
    <x v="2"/>
    <x v="0"/>
    <x v="0"/>
    <x v="0"/>
    <x v="0"/>
    <x v="0"/>
    <x v="1"/>
    <n v="0"/>
    <n v="0"/>
    <n v="2914.23"/>
    <n v="2914.23"/>
    <n v="0"/>
    <n v="0"/>
    <n v="0"/>
    <x v="0"/>
    <n v="0"/>
    <n v="0"/>
    <n v="22"/>
    <n v="0"/>
    <n v="0"/>
    <n v="73.28"/>
    <n v="0"/>
    <m/>
    <n v="143.45615825576942"/>
    <m/>
    <n v="0"/>
    <n v="213554.77439999999"/>
    <n v="0"/>
    <n v="0"/>
    <n v="418064.24007371091"/>
    <n v="0"/>
  </r>
  <r>
    <s v="Regular"/>
    <x v="1"/>
    <x v="2"/>
    <x v="0"/>
    <x v="0"/>
    <x v="0"/>
    <x v="0"/>
    <x v="0"/>
    <x v="2"/>
    <n v="0"/>
    <n v="0"/>
    <n v="2965.4425299999998"/>
    <n v="2965.4425299999998"/>
    <n v="0"/>
    <n v="0"/>
    <n v="0"/>
    <x v="0"/>
    <n v="0"/>
    <n v="0"/>
    <n v="22"/>
    <n v="0"/>
    <n v="0"/>
    <n v="73.28"/>
    <n v="0"/>
    <m/>
    <n v="143.45615825576942"/>
    <m/>
    <n v="0"/>
    <n v="217307.62859839998"/>
    <n v="0"/>
    <n v="0"/>
    <n v="425410.99288206926"/>
    <n v="0"/>
  </r>
  <r>
    <s v="Regular"/>
    <x v="1"/>
    <x v="2"/>
    <x v="0"/>
    <x v="0"/>
    <x v="0"/>
    <x v="0"/>
    <x v="0"/>
    <x v="3"/>
    <n v="0"/>
    <n v="0"/>
    <n v="3008.4816900000001"/>
    <n v="3008.4816900000001"/>
    <n v="0"/>
    <n v="0"/>
    <n v="0"/>
    <x v="0"/>
    <n v="0"/>
    <n v="0"/>
    <n v="22"/>
    <n v="0"/>
    <n v="0"/>
    <n v="73.28"/>
    <n v="0"/>
    <m/>
    <n v="143.45615825576942"/>
    <m/>
    <n v="0"/>
    <n v="220461.53824320002"/>
    <n v="0"/>
    <n v="0"/>
    <n v="431585.22543022467"/>
    <n v="0"/>
  </r>
  <r>
    <s v="Regular"/>
    <x v="1"/>
    <x v="2"/>
    <x v="0"/>
    <x v="0"/>
    <x v="0"/>
    <x v="0"/>
    <x v="1"/>
    <x v="4"/>
    <n v="10860.54"/>
    <n v="5493.7808088390002"/>
    <n v="0"/>
    <n v="0"/>
    <n v="0"/>
    <n v="0"/>
    <n v="12"/>
    <x v="0"/>
    <n v="0"/>
    <n v="18"/>
    <n v="0"/>
    <n v="0"/>
    <n v="18.489999999999998"/>
    <n v="0"/>
    <n v="0"/>
    <n v="24.564572675892517"/>
    <m/>
    <m/>
    <n v="101580.00715543311"/>
    <n v="0"/>
    <n v="0"/>
    <n v="134952.37794414919"/>
    <n v="0"/>
    <n v="0"/>
  </r>
  <r>
    <s v="Regular"/>
    <x v="1"/>
    <x v="2"/>
    <x v="0"/>
    <x v="0"/>
    <x v="0"/>
    <x v="0"/>
    <x v="1"/>
    <x v="5"/>
    <n v="10843"/>
    <n v="5470.3615940400005"/>
    <n v="0"/>
    <n v="0"/>
    <n v="0"/>
    <n v="0"/>
    <n v="12"/>
    <x v="0"/>
    <n v="0"/>
    <n v="18"/>
    <n v="0"/>
    <n v="0"/>
    <n v="18.489999999999998"/>
    <n v="0"/>
    <n v="0"/>
    <n v="24.564572675892517"/>
    <m/>
    <m/>
    <n v="101146.9858737996"/>
    <n v="0"/>
    <n v="0"/>
    <n v="134377.09494020682"/>
    <n v="0"/>
    <n v="0"/>
  </r>
  <r>
    <s v="Regular"/>
    <x v="1"/>
    <x v="2"/>
    <x v="0"/>
    <x v="0"/>
    <x v="0"/>
    <x v="0"/>
    <x v="1"/>
    <x v="6"/>
    <n v="11240.22"/>
    <n v="5671.8020857470001"/>
    <n v="0"/>
    <n v="0"/>
    <n v="0"/>
    <n v="0"/>
    <n v="12"/>
    <x v="0"/>
    <n v="0"/>
    <n v="18"/>
    <n v="0"/>
    <n v="0"/>
    <n v="18.489999999999998"/>
    <n v="0"/>
    <n v="0"/>
    <n v="24.564572675892517"/>
    <m/>
    <m/>
    <n v="104871.62056546203"/>
    <n v="0"/>
    <n v="0"/>
    <n v="139325.39453861094"/>
    <n v="0"/>
    <n v="0"/>
  </r>
  <r>
    <s v="Regular"/>
    <x v="1"/>
    <x v="2"/>
    <x v="0"/>
    <x v="0"/>
    <x v="0"/>
    <x v="0"/>
    <x v="1"/>
    <x v="7"/>
    <n v="11461"/>
    <n v="5831.1337689399998"/>
    <n v="0"/>
    <n v="0"/>
    <n v="0"/>
    <n v="0"/>
    <n v="12"/>
    <x v="0"/>
    <n v="0"/>
    <n v="18"/>
    <n v="0"/>
    <n v="0"/>
    <n v="18.489999999999998"/>
    <n v="0"/>
    <n v="0"/>
    <n v="24.564572675892517"/>
    <m/>
    <m/>
    <n v="107817.66338770058"/>
    <n v="0"/>
    <n v="0"/>
    <n v="143239.30924997767"/>
    <n v="0"/>
    <n v="0"/>
  </r>
  <r>
    <s v="Regular"/>
    <x v="1"/>
    <x v="2"/>
    <x v="0"/>
    <x v="0"/>
    <x v="0"/>
    <x v="0"/>
    <x v="1"/>
    <x v="8"/>
    <n v="11352"/>
    <n v="5753.7146567999998"/>
    <n v="0"/>
    <n v="0"/>
    <n v="0"/>
    <n v="0"/>
    <n v="12"/>
    <x v="0"/>
    <n v="0"/>
    <n v="18"/>
    <n v="0"/>
    <n v="0"/>
    <n v="18.489999999999998"/>
    <n v="0"/>
    <n v="0"/>
    <n v="24.564572675892517"/>
    <m/>
    <m/>
    <n v="106386.18400423198"/>
    <n v="0"/>
    <n v="0"/>
    <n v="141337.54184331157"/>
    <n v="0"/>
    <n v="0"/>
  </r>
  <r>
    <s v="Regular"/>
    <x v="1"/>
    <x v="2"/>
    <x v="0"/>
    <x v="0"/>
    <x v="0"/>
    <x v="0"/>
    <x v="1"/>
    <x v="9"/>
    <n v="11339"/>
    <n v="5732.9009979900002"/>
    <n v="0"/>
    <n v="0"/>
    <n v="0"/>
    <n v="0"/>
    <n v="12"/>
    <x v="0"/>
    <n v="0"/>
    <n v="18"/>
    <n v="0"/>
    <n v="0"/>
    <n v="18.489999999999998"/>
    <n v="0"/>
    <n v="0"/>
    <n v="24.564572675892517"/>
    <m/>
    <m/>
    <n v="106001.33945283509"/>
    <n v="0"/>
    <n v="0"/>
    <n v="140826.26320882211"/>
    <n v="0"/>
    <n v="0"/>
  </r>
  <r>
    <s v="Regular"/>
    <x v="1"/>
    <x v="2"/>
    <x v="0"/>
    <x v="0"/>
    <x v="0"/>
    <x v="0"/>
    <x v="1"/>
    <x v="10"/>
    <n v="11178"/>
    <n v="5654.33194482"/>
    <n v="0"/>
    <n v="0"/>
    <n v="0"/>
    <n v="0"/>
    <n v="12"/>
    <x v="0"/>
    <n v="0"/>
    <n v="18"/>
    <n v="0"/>
    <n v="0"/>
    <n v="18.489999999999998"/>
    <n v="0"/>
    <n v="0"/>
    <n v="24.564572675892517"/>
    <m/>
    <m/>
    <n v="104548.5976597218"/>
    <n v="0"/>
    <n v="0"/>
    <n v="138896.24799215156"/>
    <n v="0"/>
    <n v="0"/>
  </r>
  <r>
    <s v="Regular"/>
    <x v="1"/>
    <x v="2"/>
    <x v="0"/>
    <x v="0"/>
    <x v="0"/>
    <x v="0"/>
    <x v="1"/>
    <x v="11"/>
    <n v="11143"/>
    <n v="5667.1542977500003"/>
    <n v="0"/>
    <n v="0"/>
    <n v="0"/>
    <n v="0"/>
    <n v="12"/>
    <x v="0"/>
    <n v="0"/>
    <n v="18"/>
    <n v="0"/>
    <n v="0"/>
    <n v="18.489999999999998"/>
    <n v="0"/>
    <n v="0"/>
    <n v="24.564572675892517"/>
    <m/>
    <m/>
    <n v="104785.6829653975"/>
    <n v="0"/>
    <n v="0"/>
    <n v="139211.22361257649"/>
    <n v="0"/>
    <n v="0"/>
  </r>
  <r>
    <s v="Regular"/>
    <x v="1"/>
    <x v="2"/>
    <x v="0"/>
    <x v="0"/>
    <x v="0"/>
    <x v="0"/>
    <x v="1"/>
    <x v="0"/>
    <n v="11145"/>
    <n v="5626.5137967000001"/>
    <n v="0"/>
    <n v="0"/>
    <n v="0"/>
    <n v="0"/>
    <n v="12"/>
    <x v="0"/>
    <n v="0"/>
    <n v="18"/>
    <n v="0"/>
    <n v="0"/>
    <n v="18.489999999999998"/>
    <n v="0"/>
    <n v="0"/>
    <n v="24.564572675892517"/>
    <m/>
    <m/>
    <n v="104034.24010098299"/>
    <n v="0"/>
    <n v="0"/>
    <n v="138212.90707094909"/>
    <n v="0"/>
    <n v="0"/>
  </r>
  <r>
    <s v="Regular"/>
    <x v="1"/>
    <x v="2"/>
    <x v="0"/>
    <x v="0"/>
    <x v="0"/>
    <x v="0"/>
    <x v="1"/>
    <x v="1"/>
    <n v="11192"/>
    <n v="5663.6857464799996"/>
    <n v="0"/>
    <n v="0"/>
    <n v="0"/>
    <n v="0"/>
    <n v="12"/>
    <x v="0"/>
    <n v="0"/>
    <n v="18"/>
    <n v="0"/>
    <n v="0"/>
    <n v="18.489999999999998"/>
    <n v="0"/>
    <n v="0"/>
    <n v="24.564572675892517"/>
    <m/>
    <m/>
    <n v="104721.54945241519"/>
    <n v="0"/>
    <n v="0"/>
    <n v="139126.02013282452"/>
    <n v="0"/>
    <n v="0"/>
  </r>
  <r>
    <s v="Regular"/>
    <x v="1"/>
    <x v="2"/>
    <x v="0"/>
    <x v="0"/>
    <x v="0"/>
    <x v="0"/>
    <x v="1"/>
    <x v="2"/>
    <n v="11135"/>
    <n v="5673.2455318000002"/>
    <n v="0"/>
    <n v="0"/>
    <n v="0"/>
    <n v="0"/>
    <n v="12"/>
    <x v="0"/>
    <n v="0"/>
    <n v="18"/>
    <n v="0"/>
    <n v="0"/>
    <n v="18.489999999999998"/>
    <n v="0"/>
    <n v="0"/>
    <n v="24.564572675892517"/>
    <m/>
    <m/>
    <n v="104898.30988298199"/>
    <n v="0"/>
    <n v="0"/>
    <n v="139360.85217408359"/>
    <n v="0"/>
    <n v="0"/>
  </r>
  <r>
    <s v="Regular"/>
    <x v="1"/>
    <x v="2"/>
    <x v="0"/>
    <x v="0"/>
    <x v="0"/>
    <x v="0"/>
    <x v="1"/>
    <x v="3"/>
    <n v="11165.48"/>
    <n v="5624.0284935276004"/>
    <n v="0"/>
    <n v="0"/>
    <n v="0"/>
    <n v="0"/>
    <n v="12"/>
    <x v="0"/>
    <n v="0"/>
    <n v="18"/>
    <n v="0"/>
    <n v="0"/>
    <n v="18.489999999999998"/>
    <n v="0"/>
    <n v="0"/>
    <n v="24.564572675892517"/>
    <m/>
    <m/>
    <n v="103988.28684532532"/>
    <n v="0"/>
    <n v="0"/>
    <n v="138151.85666054906"/>
    <n v="0"/>
    <n v="0"/>
  </r>
  <r>
    <s v="Regular"/>
    <x v="1"/>
    <x v="2"/>
    <x v="0"/>
    <x v="0"/>
    <x v="0"/>
    <x v="0"/>
    <x v="2"/>
    <x v="4"/>
    <n v="0"/>
    <n v="0"/>
    <n v="321.35113999999999"/>
    <n v="162.49413787690801"/>
    <n v="0"/>
    <n v="0"/>
    <n v="0"/>
    <x v="0"/>
    <n v="0"/>
    <n v="0"/>
    <n v="21"/>
    <n v="0"/>
    <n v="0"/>
    <n v="789.62"/>
    <n v="0"/>
    <m/>
    <n v="1120.2502177732708"/>
    <m/>
    <n v="0"/>
    <n v="128308.62115036411"/>
    <n v="0"/>
    <n v="0"/>
    <n v="182034.09334348611"/>
    <n v="0"/>
  </r>
  <r>
    <s v="Regular"/>
    <x v="1"/>
    <x v="2"/>
    <x v="0"/>
    <x v="0"/>
    <x v="0"/>
    <x v="0"/>
    <x v="2"/>
    <x v="5"/>
    <n v="0"/>
    <n v="0"/>
    <n v="283.25900000000001"/>
    <n v="142.74908403008999"/>
    <n v="0"/>
    <n v="0"/>
    <n v="0"/>
    <x v="0"/>
    <n v="0"/>
    <n v="0"/>
    <n v="21"/>
    <n v="0"/>
    <n v="0"/>
    <n v="789.62"/>
    <n v="0"/>
    <m/>
    <n v="1120.2502177732708"/>
    <m/>
    <n v="0"/>
    <n v="112717.53173183966"/>
    <n v="0"/>
    <n v="0"/>
    <n v="159914.69247164324"/>
    <n v="0"/>
  </r>
  <r>
    <s v="Regular"/>
    <x v="1"/>
    <x v="2"/>
    <x v="0"/>
    <x v="0"/>
    <x v="0"/>
    <x v="0"/>
    <x v="2"/>
    <x v="6"/>
    <n v="0"/>
    <n v="0"/>
    <n v="304.5573"/>
    <n v="153.48364313974199"/>
    <n v="0"/>
    <n v="0"/>
    <n v="0"/>
    <x v="0"/>
    <n v="0"/>
    <n v="0"/>
    <n v="21"/>
    <n v="0"/>
    <n v="0"/>
    <n v="789.62"/>
    <n v="0"/>
    <m/>
    <n v="1120.2502177732708"/>
    <m/>
    <n v="0"/>
    <n v="121193.75429600307"/>
    <n v="0"/>
    <n v="0"/>
    <n v="171940.08465193096"/>
    <n v="0"/>
  </r>
  <r>
    <s v="Regular"/>
    <x v="1"/>
    <x v="2"/>
    <x v="0"/>
    <x v="0"/>
    <x v="0"/>
    <x v="0"/>
    <x v="2"/>
    <x v="7"/>
    <n v="0"/>
    <n v="0"/>
    <n v="286.74200000000002"/>
    <n v="145.64622895191999"/>
    <n v="0"/>
    <n v="0"/>
    <n v="0"/>
    <x v="0"/>
    <n v="0"/>
    <n v="0"/>
    <n v="21"/>
    <n v="0"/>
    <n v="0"/>
    <n v="789.62"/>
    <n v="0"/>
    <m/>
    <n v="1120.2502177732708"/>
    <m/>
    <n v="0"/>
    <n v="115005.17530501507"/>
    <n v="0"/>
    <n v="0"/>
    <n v="163160.21970124403"/>
    <n v="0"/>
  </r>
  <r>
    <s v="Regular"/>
    <x v="1"/>
    <x v="2"/>
    <x v="0"/>
    <x v="0"/>
    <x v="0"/>
    <x v="0"/>
    <x v="2"/>
    <x v="8"/>
    <n v="0"/>
    <n v="0"/>
    <n v="248.25200000000001"/>
    <n v="125.5233980954"/>
    <n v="0"/>
    <n v="0"/>
    <n v="0"/>
    <x v="0"/>
    <n v="0"/>
    <n v="0"/>
    <n v="21"/>
    <n v="0"/>
    <n v="0"/>
    <n v="789.62"/>
    <n v="0"/>
    <m/>
    <n v="1120.2502177732708"/>
    <m/>
    <n v="0"/>
    <n v="99115.785604089746"/>
    <n v="0"/>
    <n v="0"/>
    <n v="140617.61405201282"/>
    <n v="0"/>
  </r>
  <r>
    <s v="Regular"/>
    <x v="1"/>
    <x v="2"/>
    <x v="0"/>
    <x v="0"/>
    <x v="0"/>
    <x v="0"/>
    <x v="2"/>
    <x v="9"/>
    <n v="0"/>
    <n v="0"/>
    <n v="230.46899999999999"/>
    <n v="116.43120336843"/>
    <n v="0"/>
    <n v="0"/>
    <n v="0"/>
    <x v="0"/>
    <n v="0"/>
    <n v="0"/>
    <n v="21"/>
    <n v="0"/>
    <n v="0"/>
    <n v="789.62"/>
    <n v="0"/>
    <m/>
    <n v="1120.2502177732708"/>
    <m/>
    <n v="0"/>
    <n v="91936.406803779697"/>
    <n v="0"/>
    <n v="0"/>
    <n v="130432.08092908769"/>
    <n v="0"/>
  </r>
  <r>
    <s v="Regular"/>
    <x v="1"/>
    <x v="2"/>
    <x v="0"/>
    <x v="0"/>
    <x v="0"/>
    <x v="0"/>
    <x v="2"/>
    <x v="10"/>
    <n v="0"/>
    <n v="0"/>
    <n v="228.01300000000001"/>
    <n v="115.24984120822"/>
    <n v="0"/>
    <n v="0"/>
    <n v="0"/>
    <x v="0"/>
    <n v="0"/>
    <n v="0"/>
    <n v="21"/>
    <n v="0"/>
    <n v="0"/>
    <n v="789.62"/>
    <n v="0"/>
    <m/>
    <n v="1120.2502177732708"/>
    <m/>
    <n v="0"/>
    <n v="91003.579614834685"/>
    <n v="0"/>
    <n v="0"/>
    <n v="129108.65971184334"/>
    <n v="0"/>
  </r>
  <r>
    <s v="Regular"/>
    <x v="1"/>
    <x v="2"/>
    <x v="0"/>
    <x v="0"/>
    <x v="0"/>
    <x v="0"/>
    <x v="2"/>
    <x v="11"/>
    <n v="0"/>
    <n v="0"/>
    <n v="249.446"/>
    <n v="126.737027004"/>
    <n v="0"/>
    <n v="0"/>
    <n v="0"/>
    <x v="0"/>
    <n v="0"/>
    <n v="0"/>
    <n v="21"/>
    <n v="0"/>
    <n v="0"/>
    <n v="789.62"/>
    <n v="0"/>
    <m/>
    <n v="1120.2502177732708"/>
    <m/>
    <n v="0"/>
    <n v="100074.09126289848"/>
    <n v="0"/>
    <n v="0"/>
    <n v="141977.18210116791"/>
    <n v="0"/>
  </r>
  <r>
    <s v="Regular"/>
    <x v="1"/>
    <x v="2"/>
    <x v="0"/>
    <x v="0"/>
    <x v="0"/>
    <x v="0"/>
    <x v="2"/>
    <x v="0"/>
    <n v="0"/>
    <n v="0"/>
    <n v="214.226"/>
    <n v="108.15031656815999"/>
    <n v="0"/>
    <n v="0"/>
    <n v="0"/>
    <x v="0"/>
    <n v="0"/>
    <n v="0"/>
    <n v="21"/>
    <n v="0"/>
    <n v="0"/>
    <n v="789.62"/>
    <n v="0"/>
    <m/>
    <n v="1120.2502177732708"/>
    <m/>
    <n v="0"/>
    <n v="85397.652968550494"/>
    <n v="0"/>
    <n v="0"/>
    <n v="121155.41568772942"/>
    <n v="0"/>
  </r>
  <r>
    <s v="Regular"/>
    <x v="1"/>
    <x v="2"/>
    <x v="0"/>
    <x v="0"/>
    <x v="0"/>
    <x v="0"/>
    <x v="2"/>
    <x v="1"/>
    <n v="0"/>
    <n v="0"/>
    <n v="257.37099999999998"/>
    <n v="130.17359853232"/>
    <n v="0"/>
    <n v="0"/>
    <n v="0"/>
    <x v="0"/>
    <n v="0"/>
    <n v="0"/>
    <n v="21"/>
    <n v="0"/>
    <n v="0"/>
    <n v="789.62"/>
    <n v="0"/>
    <m/>
    <n v="1120.2502177732708"/>
    <m/>
    <n v="0"/>
    <n v="102787.67687309052"/>
    <n v="0"/>
    <n v="0"/>
    <n v="145827.0021041618"/>
    <n v="0"/>
  </r>
  <r>
    <s v="Regular"/>
    <x v="1"/>
    <x v="2"/>
    <x v="0"/>
    <x v="0"/>
    <x v="0"/>
    <x v="0"/>
    <x v="2"/>
    <x v="2"/>
    <n v="0"/>
    <n v="0"/>
    <n v="251.95477"/>
    <n v="128.185312520916"/>
    <n v="0"/>
    <n v="0"/>
    <n v="0"/>
    <x v="0"/>
    <n v="0"/>
    <n v="0"/>
    <n v="21"/>
    <n v="0"/>
    <n v="0"/>
    <n v="789.62"/>
    <n v="0"/>
    <m/>
    <n v="1120.2502177732708"/>
    <m/>
    <n v="0"/>
    <n v="101217.68647276569"/>
    <n v="0"/>
    <n v="0"/>
    <n v="143599.62426689093"/>
    <n v="0"/>
  </r>
  <r>
    <s v="Regular"/>
    <x v="1"/>
    <x v="2"/>
    <x v="0"/>
    <x v="0"/>
    <x v="0"/>
    <x v="0"/>
    <x v="2"/>
    <x v="3"/>
    <n v="0"/>
    <n v="0"/>
    <n v="246.23115999999999"/>
    <n v="124.163633384801"/>
    <n v="0"/>
    <n v="0"/>
    <n v="0"/>
    <x v="0"/>
    <n v="0"/>
    <n v="0"/>
    <n v="21"/>
    <n v="0"/>
    <n v="0"/>
    <n v="789.62"/>
    <n v="0"/>
    <m/>
    <n v="1120.2502177732708"/>
    <m/>
    <n v="0"/>
    <n v="98042.088193306568"/>
    <n v="0"/>
    <n v="0"/>
    <n v="139094.33733884388"/>
    <n v="0"/>
  </r>
  <r>
    <s v="Regular"/>
    <x v="1"/>
    <x v="2"/>
    <x v="0"/>
    <x v="0"/>
    <x v="1"/>
    <x v="0"/>
    <x v="0"/>
    <x v="4"/>
    <n v="0"/>
    <n v="0"/>
    <n v="187.76761999999999"/>
    <n v="187.76761999999999"/>
    <n v="187.76761999999999"/>
    <n v="187.76761999999999"/>
    <n v="0"/>
    <x v="2"/>
    <n v="0"/>
    <n v="0"/>
    <n v="22"/>
    <n v="84"/>
    <n v="0"/>
    <n v="73.28"/>
    <n v="286.76"/>
    <m/>
    <n v="143.45615825576942"/>
    <n v="271.35516669689775"/>
    <n v="0"/>
    <n v="13759.6111936"/>
    <n v="53844.242711199993"/>
    <n v="0"/>
    <n v="26936.421410029176"/>
    <n v="50951.713825379753"/>
  </r>
  <r>
    <s v="Sistema de Compensação"/>
    <x v="1"/>
    <x v="2"/>
    <x v="0"/>
    <x v="0"/>
    <x v="1"/>
    <x v="0"/>
    <x v="0"/>
    <x v="4"/>
    <n v="0"/>
    <n v="0"/>
    <n v="32.51632"/>
    <n v="32.51632"/>
    <n v="32.51632"/>
    <n v="32.51632"/>
    <n v="0"/>
    <x v="2"/>
    <n v="0"/>
    <n v="0"/>
    <n v="22"/>
    <n v="84"/>
    <n v="0"/>
    <n v="73.28"/>
    <n v="286.76"/>
    <m/>
    <n v="143.45615825576942"/>
    <n v="271.35516669689775"/>
    <n v="0"/>
    <n v="2382.7959295999999"/>
    <n v="9324.3799232000001"/>
    <n v="0"/>
    <n v="4664.6663478152404"/>
    <n v="8823.4714339696711"/>
  </r>
  <r>
    <s v="Regular"/>
    <x v="1"/>
    <x v="2"/>
    <x v="0"/>
    <x v="0"/>
    <x v="1"/>
    <x v="0"/>
    <x v="0"/>
    <x v="5"/>
    <n v="0"/>
    <n v="0"/>
    <n v="186.911"/>
    <n v="186.911"/>
    <n v="186.911"/>
    <n v="186.911"/>
    <n v="0"/>
    <x v="2"/>
    <n v="0"/>
    <n v="0"/>
    <n v="22"/>
    <n v="84"/>
    <n v="0"/>
    <n v="73.28"/>
    <n v="286.76"/>
    <m/>
    <n v="143.45615825576942"/>
    <n v="271.35516669689775"/>
    <n v="0"/>
    <n v="13696.83808"/>
    <n v="53598.598359999996"/>
    <n v="0"/>
    <n v="26813.533995744117"/>
    <n v="50719.265562483859"/>
  </r>
  <r>
    <s v="Sistema de Compensação"/>
    <x v="1"/>
    <x v="2"/>
    <x v="0"/>
    <x v="0"/>
    <x v="1"/>
    <x v="0"/>
    <x v="0"/>
    <x v="5"/>
    <n v="0"/>
    <n v="0"/>
    <n v="22.265999999999998"/>
    <n v="22.265999999999998"/>
    <n v="22.265999999999998"/>
    <n v="22.265999999999998"/>
    <n v="0"/>
    <x v="2"/>
    <n v="0"/>
    <n v="0"/>
    <n v="22"/>
    <n v="84"/>
    <n v="0"/>
    <n v="73.28"/>
    <n v="286.76"/>
    <m/>
    <n v="143.45615825576942"/>
    <n v="271.35516669689775"/>
    <n v="0"/>
    <n v="1631.65248"/>
    <n v="6384.9981599999992"/>
    <n v="0"/>
    <n v="3194.1948197229617"/>
    <n v="6041.9941416731253"/>
  </r>
  <r>
    <s v="Regular"/>
    <x v="1"/>
    <x v="2"/>
    <x v="0"/>
    <x v="0"/>
    <x v="1"/>
    <x v="0"/>
    <x v="0"/>
    <x v="6"/>
    <n v="0"/>
    <n v="0"/>
    <n v="177.922"/>
    <n v="177.922"/>
    <n v="177.922"/>
    <n v="177.922"/>
    <n v="0"/>
    <x v="2"/>
    <n v="0"/>
    <n v="0"/>
    <n v="22"/>
    <n v="84"/>
    <n v="0"/>
    <n v="73.28"/>
    <n v="286.76"/>
    <m/>
    <n v="143.45615825576942"/>
    <n v="271.35516669689775"/>
    <n v="0"/>
    <n v="13038.124159999999"/>
    <n v="51020.91272"/>
    <n v="0"/>
    <n v="25524.006589183005"/>
    <n v="48280.053969045439"/>
  </r>
  <r>
    <s v="Sistema de Compensação"/>
    <x v="1"/>
    <x v="2"/>
    <x v="0"/>
    <x v="0"/>
    <x v="1"/>
    <x v="0"/>
    <x v="0"/>
    <x v="6"/>
    <n v="0"/>
    <n v="0"/>
    <n v="16.67539"/>
    <n v="16.67539"/>
    <n v="16.67539"/>
    <n v="16.67539"/>
    <n v="0"/>
    <x v="2"/>
    <n v="0"/>
    <n v="0"/>
    <n v="22"/>
    <n v="84"/>
    <n v="0"/>
    <n v="73.28"/>
    <n v="286.76"/>
    <m/>
    <n v="143.45615825576942"/>
    <n v="271.35516669689775"/>
    <n v="0"/>
    <n v="1221.9725791999999"/>
    <n v="4781.8348364000003"/>
    <n v="0"/>
    <n v="2392.1873868166749"/>
    <n v="4524.9532331857818"/>
  </r>
  <r>
    <s v="Regular"/>
    <x v="1"/>
    <x v="2"/>
    <x v="0"/>
    <x v="0"/>
    <x v="1"/>
    <x v="0"/>
    <x v="0"/>
    <x v="7"/>
    <n v="0"/>
    <n v="0"/>
    <n v="177.07300000000001"/>
    <n v="177.07300000000001"/>
    <n v="177.07300000000001"/>
    <n v="177.07300000000001"/>
    <n v="0"/>
    <x v="2"/>
    <n v="0"/>
    <n v="0"/>
    <n v="22"/>
    <n v="84"/>
    <n v="0"/>
    <n v="73.28"/>
    <n v="286.76"/>
    <m/>
    <n v="143.45615825576942"/>
    <n v="271.35516669689775"/>
    <n v="0"/>
    <n v="12975.909440000001"/>
    <n v="50777.453480000004"/>
    <n v="0"/>
    <n v="25402.212310823859"/>
    <n v="48049.673432519776"/>
  </r>
  <r>
    <s v="Sistema de Compensação"/>
    <x v="1"/>
    <x v="2"/>
    <x v="0"/>
    <x v="0"/>
    <x v="1"/>
    <x v="0"/>
    <x v="0"/>
    <x v="7"/>
    <n v="0"/>
    <n v="0"/>
    <n v="10.463290000000001"/>
    <n v="10.463290000000001"/>
    <n v="10.463290000000001"/>
    <n v="10.463290000000001"/>
    <n v="0"/>
    <x v="2"/>
    <n v="0"/>
    <n v="0"/>
    <n v="22"/>
    <n v="84"/>
    <n v="0"/>
    <n v="73.28"/>
    <n v="286.76"/>
    <m/>
    <n v="143.45615825576942"/>
    <n v="271.35516669689775"/>
    <n v="0"/>
    <n v="766.74989120000009"/>
    <n v="3000.4530404000002"/>
    <n v="0"/>
    <n v="1501.0233861160098"/>
    <n v="2839.2678021479833"/>
  </r>
  <r>
    <s v="Regular"/>
    <x v="1"/>
    <x v="2"/>
    <x v="0"/>
    <x v="0"/>
    <x v="1"/>
    <x v="0"/>
    <x v="0"/>
    <x v="8"/>
    <n v="0"/>
    <n v="0"/>
    <n v="169.011"/>
    <n v="169.011"/>
    <n v="169.011"/>
    <n v="169.011"/>
    <n v="0"/>
    <x v="2"/>
    <n v="0"/>
    <n v="0"/>
    <n v="22"/>
    <n v="84"/>
    <n v="0"/>
    <n v="73.28"/>
    <n v="286.76"/>
    <m/>
    <n v="143.45615825576942"/>
    <n v="271.35516669689775"/>
    <n v="0"/>
    <n v="12385.12608"/>
    <n v="48465.594359999996"/>
    <n v="0"/>
    <n v="24245.668762965845"/>
    <n v="45862.008078609382"/>
  </r>
  <r>
    <s v="Sistema de Compensação"/>
    <x v="1"/>
    <x v="2"/>
    <x v="0"/>
    <x v="0"/>
    <x v="1"/>
    <x v="0"/>
    <x v="0"/>
    <x v="8"/>
    <n v="0"/>
    <n v="0"/>
    <n v="1.3240000000000001"/>
    <n v="1.3240000000000001"/>
    <n v="1.3240000000000001"/>
    <n v="1.3240000000000001"/>
    <n v="0"/>
    <x v="2"/>
    <n v="0"/>
    <n v="0"/>
    <n v="22"/>
    <n v="84"/>
    <n v="0"/>
    <n v="73.28"/>
    <n v="286.76"/>
    <m/>
    <n v="143.45615825576942"/>
    <n v="271.35516669689775"/>
    <n v="0"/>
    <n v="97.022720000000007"/>
    <n v="379.67023999999998"/>
    <n v="0"/>
    <n v="189.93595353063873"/>
    <n v="359.27424070669264"/>
  </r>
  <r>
    <s v="Regular"/>
    <x v="1"/>
    <x v="2"/>
    <x v="0"/>
    <x v="0"/>
    <x v="1"/>
    <x v="0"/>
    <x v="0"/>
    <x v="9"/>
    <n v="0"/>
    <n v="0"/>
    <n v="172.00299999999999"/>
    <n v="172.00299999999999"/>
    <n v="172.00299999999999"/>
    <n v="172.00299999999999"/>
    <n v="0"/>
    <x v="2"/>
    <n v="0"/>
    <n v="0"/>
    <n v="22"/>
    <n v="84"/>
    <n v="0"/>
    <n v="73.28"/>
    <n v="286.76"/>
    <m/>
    <n v="143.45615825576942"/>
    <n v="271.35516669689775"/>
    <n v="0"/>
    <n v="12604.37984"/>
    <n v="49323.580279999995"/>
    <n v="0"/>
    <n v="24674.889588467107"/>
    <n v="46673.902737366501"/>
  </r>
  <r>
    <s v="Sistema de Compensação"/>
    <x v="1"/>
    <x v="2"/>
    <x v="0"/>
    <x v="0"/>
    <x v="1"/>
    <x v="0"/>
    <x v="0"/>
    <x v="9"/>
    <n v="0"/>
    <n v="0"/>
    <n v="3.63"/>
    <n v="3.63"/>
    <n v="3.63"/>
    <n v="3.63"/>
    <n v="0"/>
    <x v="2"/>
    <n v="0"/>
    <n v="0"/>
    <n v="22"/>
    <n v="84"/>
    <n v="0"/>
    <n v="73.28"/>
    <n v="286.76"/>
    <m/>
    <n v="143.45615825576942"/>
    <n v="271.35516669689775"/>
    <n v="0"/>
    <n v="266.00639999999999"/>
    <n v="1040.9387999999999"/>
    <n v="0"/>
    <n v="520.74585446844299"/>
    <n v="985.01925510973876"/>
  </r>
  <r>
    <s v="Regular"/>
    <x v="1"/>
    <x v="2"/>
    <x v="0"/>
    <x v="0"/>
    <x v="1"/>
    <x v="0"/>
    <x v="0"/>
    <x v="10"/>
    <n v="0"/>
    <n v="0"/>
    <n v="165.65600000000001"/>
    <n v="165.65600000000001"/>
    <n v="165.65600000000001"/>
    <n v="165.65600000000001"/>
    <n v="0"/>
    <x v="2"/>
    <n v="0"/>
    <n v="0"/>
    <n v="22"/>
    <n v="84"/>
    <n v="0"/>
    <n v="73.28"/>
    <n v="286.76"/>
    <m/>
    <n v="143.45615825576942"/>
    <n v="271.35516669689775"/>
    <n v="0"/>
    <n v="12139.27168"/>
    <n v="47503.514560000003"/>
    <n v="0"/>
    <n v="23764.373352017741"/>
    <n v="44951.611494341298"/>
  </r>
  <r>
    <s v="Sistema de Compensação"/>
    <x v="1"/>
    <x v="2"/>
    <x v="0"/>
    <x v="0"/>
    <x v="1"/>
    <x v="0"/>
    <x v="0"/>
    <x v="10"/>
    <n v="0"/>
    <n v="0"/>
    <n v="8.5209200000000003"/>
    <n v="8.5209200000000003"/>
    <n v="8.5209200000000003"/>
    <n v="8.5209200000000003"/>
    <n v="0"/>
    <x v="2"/>
    <n v="0"/>
    <n v="0"/>
    <n v="22"/>
    <n v="84"/>
    <n v="0"/>
    <n v="73.28"/>
    <n v="286.76"/>
    <m/>
    <n v="143.45615825576942"/>
    <n v="271.35516669689775"/>
    <n v="0"/>
    <n v="624.41301759999999"/>
    <n v="2443.4590192000001"/>
    <n v="0"/>
    <n v="1222.3784480047509"/>
    <n v="2312.1956670109303"/>
  </r>
  <r>
    <s v="Regular"/>
    <x v="1"/>
    <x v="2"/>
    <x v="0"/>
    <x v="0"/>
    <x v="1"/>
    <x v="0"/>
    <x v="0"/>
    <x v="11"/>
    <n v="0"/>
    <n v="0"/>
    <n v="188.005"/>
    <n v="188.005"/>
    <n v="188.005"/>
    <n v="188.005"/>
    <n v="0"/>
    <x v="2"/>
    <n v="0"/>
    <n v="0"/>
    <n v="22"/>
    <n v="84"/>
    <n v="0"/>
    <n v="73.28"/>
    <n v="286.76"/>
    <m/>
    <n v="143.45615825576942"/>
    <n v="271.35516669689775"/>
    <n v="0"/>
    <n v="13777.0064"/>
    <n v="53912.313799999996"/>
    <n v="0"/>
    <n v="26970.475032875929"/>
    <n v="51016.12811485026"/>
  </r>
  <r>
    <s v="Sistema de Compensação"/>
    <x v="1"/>
    <x v="2"/>
    <x v="0"/>
    <x v="0"/>
    <x v="1"/>
    <x v="0"/>
    <x v="0"/>
    <x v="11"/>
    <n v="0"/>
    <n v="0"/>
    <n v="20.262239999999998"/>
    <n v="20.262239999999998"/>
    <n v="20.262239999999998"/>
    <n v="20.262239999999998"/>
    <n v="0"/>
    <x v="2"/>
    <n v="0"/>
    <n v="0"/>
    <n v="22"/>
    <n v="84"/>
    <n v="0"/>
    <n v="73.28"/>
    <n v="286.76"/>
    <m/>
    <n v="143.45615825576942"/>
    <n v="271.35516669689775"/>
    <n v="0"/>
    <n v="1484.8169472"/>
    <n v="5810.3999423999994"/>
    <n v="0"/>
    <n v="2906.7431080563811"/>
    <n v="5498.263512852549"/>
  </r>
  <r>
    <s v="Regular"/>
    <x v="1"/>
    <x v="2"/>
    <x v="0"/>
    <x v="0"/>
    <x v="1"/>
    <x v="0"/>
    <x v="0"/>
    <x v="0"/>
    <n v="0"/>
    <n v="0"/>
    <n v="157.31800000000001"/>
    <n v="157.31800000000001"/>
    <n v="157.31800000000001"/>
    <n v="157.31800000000001"/>
    <n v="0"/>
    <x v="2"/>
    <n v="0"/>
    <n v="0"/>
    <n v="22"/>
    <n v="84"/>
    <n v="0"/>
    <n v="73.28"/>
    <n v="286.76"/>
    <m/>
    <n v="143.45615825576942"/>
    <n v="271.35516669689775"/>
    <n v="0"/>
    <n v="11528.263040000002"/>
    <n v="45112.509680000003"/>
    <n v="0"/>
    <n v="22568.235904481135"/>
    <n v="42689.052114422564"/>
  </r>
  <r>
    <s v="Sistema de Compensação"/>
    <x v="1"/>
    <x v="2"/>
    <x v="0"/>
    <x v="0"/>
    <x v="1"/>
    <x v="0"/>
    <x v="0"/>
    <x v="0"/>
    <n v="0"/>
    <n v="0"/>
    <n v="17.570340000000002"/>
    <n v="17.570340000000002"/>
    <n v="17.570340000000002"/>
    <n v="17.570340000000002"/>
    <n v="0"/>
    <x v="2"/>
    <n v="0"/>
    <n v="0"/>
    <n v="22"/>
    <n v="84"/>
    <n v="0"/>
    <n v="73.28"/>
    <n v="286.76"/>
    <m/>
    <n v="143.45615825576942"/>
    <n v="271.35516669689775"/>
    <n v="0"/>
    <n v="1287.5545152000002"/>
    <n v="5038.4706984000004"/>
    <n v="0"/>
    <n v="2520.5734756476759"/>
    <n v="4767.8025396211706"/>
  </r>
  <r>
    <s v="Regular"/>
    <x v="1"/>
    <x v="2"/>
    <x v="0"/>
    <x v="0"/>
    <x v="1"/>
    <x v="0"/>
    <x v="0"/>
    <x v="1"/>
    <n v="0"/>
    <n v="0"/>
    <n v="175.25800000000001"/>
    <n v="175.25800000000001"/>
    <n v="175.25800000000001"/>
    <n v="175.25800000000001"/>
    <n v="0"/>
    <x v="2"/>
    <n v="0"/>
    <n v="0"/>
    <n v="22"/>
    <n v="84"/>
    <n v="0"/>
    <n v="73.28"/>
    <n v="286.76"/>
    <m/>
    <n v="143.45615825576942"/>
    <n v="271.35516669689775"/>
    <n v="0"/>
    <n v="12842.90624"/>
    <n v="50256.984080000002"/>
    <n v="0"/>
    <n v="25141.839383589639"/>
    <n v="47557.163804964912"/>
  </r>
  <r>
    <s v="Sistema de Compensação"/>
    <x v="1"/>
    <x v="2"/>
    <x v="0"/>
    <x v="0"/>
    <x v="1"/>
    <x v="0"/>
    <x v="0"/>
    <x v="1"/>
    <n v="0"/>
    <n v="0"/>
    <n v="24.851900000000001"/>
    <n v="24.851900000000001"/>
    <n v="24.851900000000001"/>
    <n v="24.851900000000001"/>
    <n v="0"/>
    <x v="2"/>
    <n v="0"/>
    <n v="0"/>
    <n v="22"/>
    <n v="84"/>
    <n v="0"/>
    <n v="73.28"/>
    <n v="286.76"/>
    <m/>
    <n v="143.45615825576942"/>
    <n v="271.35516669689775"/>
    <n v="0"/>
    <n v="1821.147232"/>
    <n v="7126.5308439999999"/>
    <n v="0"/>
    <n v="3565.1580993565562"/>
    <n v="6743.6914672346338"/>
  </r>
  <r>
    <s v="Regular"/>
    <x v="1"/>
    <x v="2"/>
    <x v="0"/>
    <x v="0"/>
    <x v="1"/>
    <x v="0"/>
    <x v="0"/>
    <x v="2"/>
    <n v="0"/>
    <n v="0"/>
    <n v="157.922"/>
    <n v="157.922"/>
    <n v="157.922"/>
    <n v="157.922"/>
    <n v="0"/>
    <x v="2"/>
    <n v="0"/>
    <n v="0"/>
    <n v="22"/>
    <n v="84"/>
    <n v="0"/>
    <n v="73.28"/>
    <n v="286.76"/>
    <m/>
    <n v="143.45615825576942"/>
    <n v="271.35516669689775"/>
    <n v="0"/>
    <n v="11572.524160000001"/>
    <n v="45285.712719999996"/>
    <n v="0"/>
    <n v="22654.883424067619"/>
    <n v="42852.950635107489"/>
  </r>
  <r>
    <s v="Sistema de Compensação"/>
    <x v="1"/>
    <x v="2"/>
    <x v="0"/>
    <x v="0"/>
    <x v="1"/>
    <x v="0"/>
    <x v="0"/>
    <x v="2"/>
    <n v="0"/>
    <n v="0"/>
    <n v="26.805409999999998"/>
    <n v="26.805409999999998"/>
    <n v="26.805409999999998"/>
    <n v="26.805409999999998"/>
    <n v="0"/>
    <x v="2"/>
    <n v="0"/>
    <n v="0"/>
    <n v="22"/>
    <n v="84"/>
    <n v="0"/>
    <n v="73.28"/>
    <n v="286.76"/>
    <m/>
    <n v="143.45615825576942"/>
    <n v="271.35516669689775"/>
    <n v="0"/>
    <n v="1964.3004447999999"/>
    <n v="7686.7193715999992"/>
    <n v="0"/>
    <n v="3845.4011390707842"/>
    <n v="7273.78649892869"/>
  </r>
  <r>
    <s v="Regular"/>
    <x v="1"/>
    <x v="2"/>
    <x v="0"/>
    <x v="0"/>
    <x v="1"/>
    <x v="0"/>
    <x v="0"/>
    <x v="3"/>
    <n v="0"/>
    <n v="0"/>
    <n v="153.59897000000001"/>
    <n v="153.59897000000001"/>
    <n v="153.59897000000001"/>
    <n v="153.59897000000001"/>
    <n v="0"/>
    <x v="2"/>
    <n v="0"/>
    <n v="0"/>
    <n v="22"/>
    <n v="84"/>
    <n v="0"/>
    <n v="73.28"/>
    <n v="286.76"/>
    <m/>
    <n v="143.45615825576942"/>
    <n v="271.35516669689775"/>
    <n v="0"/>
    <n v="11255.732521600001"/>
    <n v="44046.0406372"/>
    <n v="0"/>
    <n v="22034.718148243181"/>
    <n v="41679.874108821801"/>
  </r>
  <r>
    <s v="Sistema de Compensação"/>
    <x v="1"/>
    <x v="2"/>
    <x v="0"/>
    <x v="0"/>
    <x v="1"/>
    <x v="0"/>
    <x v="0"/>
    <x v="3"/>
    <n v="0"/>
    <n v="0"/>
    <n v="41.171619999999997"/>
    <n v="41.171619999999997"/>
    <n v="41.171619999999997"/>
    <n v="41.171619999999997"/>
    <n v="0"/>
    <x v="2"/>
    <n v="0"/>
    <n v="0"/>
    <n v="22"/>
    <n v="84"/>
    <n v="0"/>
    <n v="73.28"/>
    <n v="286.76"/>
    <m/>
    <n v="143.45615825576942"/>
    <n v="271.35516669689775"/>
    <n v="0"/>
    <n v="3017.0563136000001"/>
    <n v="11806.373751199999"/>
    <n v="0"/>
    <n v="5906.3224343664015"/>
    <n v="11172.131808281329"/>
  </r>
  <r>
    <s v="Regular"/>
    <x v="1"/>
    <x v="2"/>
    <x v="0"/>
    <x v="0"/>
    <x v="1"/>
    <x v="0"/>
    <x v="1"/>
    <x v="4"/>
    <n v="1378.57"/>
    <n v="1378.57"/>
    <n v="0"/>
    <n v="0"/>
    <n v="0"/>
    <n v="0"/>
    <n v="10"/>
    <x v="2"/>
    <n v="0"/>
    <n v="18"/>
    <n v="0"/>
    <n v="0"/>
    <n v="18.489999999999998"/>
    <n v="0"/>
    <n v="0"/>
    <n v="24.564572675892517"/>
    <m/>
    <m/>
    <n v="25489.759299999998"/>
    <n v="0"/>
    <n v="0"/>
    <n v="33863.982953805149"/>
    <n v="0"/>
    <n v="0"/>
  </r>
  <r>
    <s v="Sistema de Compensação"/>
    <x v="1"/>
    <x v="2"/>
    <x v="0"/>
    <x v="0"/>
    <x v="1"/>
    <x v="0"/>
    <x v="1"/>
    <x v="4"/>
    <n v="350"/>
    <n v="350"/>
    <n v="0"/>
    <n v="0"/>
    <n v="0"/>
    <n v="0"/>
    <n v="2"/>
    <x v="2"/>
    <n v="0"/>
    <n v="18"/>
    <n v="0"/>
    <n v="0"/>
    <n v="18.489999999999998"/>
    <n v="0"/>
    <n v="0"/>
    <n v="24.564572675892517"/>
    <m/>
    <m/>
    <n v="6471.4999999999991"/>
    <n v="0"/>
    <n v="0"/>
    <n v="8597.6004365623812"/>
    <n v="0"/>
    <n v="0"/>
  </r>
  <r>
    <s v="Regular"/>
    <x v="1"/>
    <x v="2"/>
    <x v="0"/>
    <x v="0"/>
    <x v="1"/>
    <x v="0"/>
    <x v="1"/>
    <x v="5"/>
    <n v="1369"/>
    <n v="1369"/>
    <n v="0"/>
    <n v="0"/>
    <n v="0"/>
    <n v="0"/>
    <n v="10"/>
    <x v="2"/>
    <n v="0"/>
    <n v="18"/>
    <n v="0"/>
    <n v="0"/>
    <n v="18.489999999999998"/>
    <n v="0"/>
    <n v="0"/>
    <n v="24.564572675892517"/>
    <m/>
    <m/>
    <n v="25312.809999999998"/>
    <n v="0"/>
    <n v="0"/>
    <n v="33628.899993296858"/>
    <n v="0"/>
    <n v="0"/>
  </r>
  <r>
    <s v="Sistema de Compensação"/>
    <x v="1"/>
    <x v="2"/>
    <x v="0"/>
    <x v="0"/>
    <x v="1"/>
    <x v="0"/>
    <x v="1"/>
    <x v="5"/>
    <n v="350"/>
    <n v="350"/>
    <n v="0"/>
    <n v="0"/>
    <n v="0"/>
    <n v="0"/>
    <n v="2"/>
    <x v="2"/>
    <n v="0"/>
    <n v="18"/>
    <n v="0"/>
    <n v="0"/>
    <n v="18.489999999999998"/>
    <n v="0"/>
    <n v="0"/>
    <n v="24.564572675892517"/>
    <m/>
    <m/>
    <n v="6471.4999999999991"/>
    <n v="0"/>
    <n v="0"/>
    <n v="8597.6004365623812"/>
    <n v="0"/>
    <n v="0"/>
  </r>
  <r>
    <s v="Regular"/>
    <x v="1"/>
    <x v="2"/>
    <x v="0"/>
    <x v="0"/>
    <x v="1"/>
    <x v="0"/>
    <x v="1"/>
    <x v="6"/>
    <n v="1399"/>
    <n v="1399"/>
    <n v="0"/>
    <n v="0"/>
    <n v="0"/>
    <n v="0"/>
    <n v="10"/>
    <x v="2"/>
    <n v="0"/>
    <n v="18"/>
    <n v="0"/>
    <n v="0"/>
    <n v="18.489999999999998"/>
    <n v="0"/>
    <n v="0"/>
    <n v="24.564572675892517"/>
    <m/>
    <m/>
    <n v="25867.51"/>
    <n v="0"/>
    <n v="0"/>
    <n v="34365.837173573629"/>
    <n v="0"/>
    <n v="0"/>
  </r>
  <r>
    <s v="Sistema de Compensação"/>
    <x v="1"/>
    <x v="2"/>
    <x v="0"/>
    <x v="0"/>
    <x v="1"/>
    <x v="0"/>
    <x v="1"/>
    <x v="6"/>
    <n v="350"/>
    <n v="350"/>
    <n v="0"/>
    <n v="0"/>
    <n v="0"/>
    <n v="0"/>
    <n v="2"/>
    <x v="2"/>
    <n v="0"/>
    <n v="18"/>
    <n v="0"/>
    <n v="0"/>
    <n v="18.489999999999998"/>
    <n v="0"/>
    <n v="0"/>
    <n v="24.564572675892517"/>
    <m/>
    <m/>
    <n v="6471.4999999999991"/>
    <n v="0"/>
    <n v="0"/>
    <n v="8597.6004365623812"/>
    <n v="0"/>
    <n v="0"/>
  </r>
  <r>
    <s v="Regular"/>
    <x v="1"/>
    <x v="2"/>
    <x v="0"/>
    <x v="0"/>
    <x v="1"/>
    <x v="0"/>
    <x v="1"/>
    <x v="7"/>
    <n v="1397"/>
    <n v="1397"/>
    <n v="0"/>
    <n v="0"/>
    <n v="0"/>
    <n v="0"/>
    <n v="10"/>
    <x v="2"/>
    <n v="0"/>
    <n v="18"/>
    <n v="0"/>
    <n v="0"/>
    <n v="18.489999999999998"/>
    <n v="0"/>
    <n v="0"/>
    <n v="24.564572675892517"/>
    <m/>
    <m/>
    <n v="25830.53"/>
    <n v="0"/>
    <n v="0"/>
    <n v="34316.708028221845"/>
    <n v="0"/>
    <n v="0"/>
  </r>
  <r>
    <s v="Sistema de Compensação"/>
    <x v="1"/>
    <x v="2"/>
    <x v="0"/>
    <x v="0"/>
    <x v="1"/>
    <x v="0"/>
    <x v="1"/>
    <x v="7"/>
    <n v="350"/>
    <n v="350"/>
    <n v="0"/>
    <n v="0"/>
    <n v="0"/>
    <n v="0"/>
    <n v="2"/>
    <x v="2"/>
    <n v="0"/>
    <n v="18"/>
    <n v="0"/>
    <n v="0"/>
    <n v="18.489999999999998"/>
    <n v="0"/>
    <n v="0"/>
    <n v="24.564572675892517"/>
    <m/>
    <m/>
    <n v="6471.4999999999991"/>
    <n v="0"/>
    <n v="0"/>
    <n v="8597.6004365623812"/>
    <n v="0"/>
    <n v="0"/>
  </r>
  <r>
    <s v="Regular"/>
    <x v="1"/>
    <x v="2"/>
    <x v="0"/>
    <x v="0"/>
    <x v="1"/>
    <x v="0"/>
    <x v="1"/>
    <x v="8"/>
    <n v="1411"/>
    <n v="1411"/>
    <n v="0"/>
    <n v="0"/>
    <n v="0"/>
    <n v="0"/>
    <n v="10"/>
    <x v="2"/>
    <n v="0"/>
    <n v="18"/>
    <n v="0"/>
    <n v="0"/>
    <n v="18.489999999999998"/>
    <n v="0"/>
    <n v="0"/>
    <n v="24.564572675892517"/>
    <m/>
    <m/>
    <n v="26089.39"/>
    <n v="0"/>
    <n v="0"/>
    <n v="34660.612045684342"/>
    <n v="0"/>
    <n v="0"/>
  </r>
  <r>
    <s v="Sistema de Compensação"/>
    <x v="1"/>
    <x v="2"/>
    <x v="0"/>
    <x v="0"/>
    <x v="1"/>
    <x v="0"/>
    <x v="1"/>
    <x v="8"/>
    <n v="350"/>
    <n v="350"/>
    <n v="0"/>
    <n v="0"/>
    <n v="0"/>
    <n v="0"/>
    <n v="2"/>
    <x v="2"/>
    <n v="0"/>
    <n v="18"/>
    <n v="0"/>
    <n v="0"/>
    <n v="18.489999999999998"/>
    <n v="0"/>
    <n v="0"/>
    <n v="24.564572675892517"/>
    <m/>
    <m/>
    <n v="6471.4999999999991"/>
    <n v="0"/>
    <n v="0"/>
    <n v="8597.6004365623812"/>
    <n v="0"/>
    <n v="0"/>
  </r>
  <r>
    <s v="Regular"/>
    <x v="1"/>
    <x v="2"/>
    <x v="0"/>
    <x v="0"/>
    <x v="1"/>
    <x v="0"/>
    <x v="1"/>
    <x v="9"/>
    <n v="1310"/>
    <n v="1310"/>
    <n v="0"/>
    <n v="0"/>
    <n v="0"/>
    <n v="0"/>
    <n v="10"/>
    <x v="2"/>
    <n v="0"/>
    <n v="18"/>
    <n v="0"/>
    <n v="0"/>
    <n v="18.489999999999998"/>
    <n v="0"/>
    <n v="0"/>
    <n v="24.564572675892517"/>
    <m/>
    <m/>
    <n v="24221.899999999998"/>
    <n v="0"/>
    <n v="0"/>
    <n v="32179.590205419197"/>
    <n v="0"/>
    <n v="0"/>
  </r>
  <r>
    <s v="Sistema de Compensação"/>
    <x v="1"/>
    <x v="2"/>
    <x v="0"/>
    <x v="0"/>
    <x v="1"/>
    <x v="0"/>
    <x v="1"/>
    <x v="9"/>
    <n v="350"/>
    <n v="350"/>
    <n v="0"/>
    <n v="0"/>
    <n v="0"/>
    <n v="0"/>
    <n v="2"/>
    <x v="2"/>
    <n v="0"/>
    <n v="18"/>
    <n v="0"/>
    <n v="0"/>
    <n v="18.489999999999998"/>
    <n v="0"/>
    <n v="0"/>
    <n v="24.564572675892517"/>
    <m/>
    <m/>
    <n v="6471.4999999999991"/>
    <n v="0"/>
    <n v="0"/>
    <n v="8597.6004365623812"/>
    <n v="0"/>
    <n v="0"/>
  </r>
  <r>
    <s v="Regular"/>
    <x v="1"/>
    <x v="2"/>
    <x v="0"/>
    <x v="0"/>
    <x v="1"/>
    <x v="0"/>
    <x v="1"/>
    <x v="10"/>
    <n v="1336"/>
    <n v="1336"/>
    <n v="0"/>
    <n v="0"/>
    <n v="0"/>
    <n v="0"/>
    <n v="10"/>
    <x v="2"/>
    <n v="0"/>
    <n v="18"/>
    <n v="0"/>
    <n v="0"/>
    <n v="18.489999999999998"/>
    <n v="0"/>
    <n v="0"/>
    <n v="24.564572675892517"/>
    <m/>
    <m/>
    <n v="24702.639999999999"/>
    <n v="0"/>
    <n v="0"/>
    <n v="32818.2690949924"/>
    <n v="0"/>
    <n v="0"/>
  </r>
  <r>
    <s v="Sistema de Compensação"/>
    <x v="1"/>
    <x v="2"/>
    <x v="0"/>
    <x v="0"/>
    <x v="1"/>
    <x v="0"/>
    <x v="1"/>
    <x v="10"/>
    <n v="350"/>
    <n v="350"/>
    <n v="0"/>
    <n v="0"/>
    <n v="0"/>
    <n v="0"/>
    <n v="2"/>
    <x v="2"/>
    <n v="0"/>
    <n v="18"/>
    <n v="0"/>
    <n v="0"/>
    <n v="18.489999999999998"/>
    <n v="0"/>
    <n v="0"/>
    <n v="24.564572675892517"/>
    <m/>
    <m/>
    <n v="6471.4999999999991"/>
    <n v="0"/>
    <n v="0"/>
    <n v="8597.6004365623812"/>
    <n v="0"/>
    <n v="0"/>
  </r>
  <r>
    <s v="Regular"/>
    <x v="1"/>
    <x v="2"/>
    <x v="0"/>
    <x v="0"/>
    <x v="1"/>
    <x v="0"/>
    <x v="1"/>
    <x v="11"/>
    <n v="1179"/>
    <n v="1179"/>
    <n v="0"/>
    <n v="0"/>
    <n v="0"/>
    <n v="0"/>
    <n v="9"/>
    <x v="2"/>
    <n v="0"/>
    <n v="18"/>
    <n v="0"/>
    <n v="0"/>
    <n v="18.489999999999998"/>
    <n v="0"/>
    <n v="0"/>
    <n v="24.564572675892517"/>
    <m/>
    <m/>
    <n v="21799.71"/>
    <n v="0"/>
    <n v="0"/>
    <n v="28961.631184877278"/>
    <n v="0"/>
    <n v="0"/>
  </r>
  <r>
    <s v="Sistema de Compensação"/>
    <x v="1"/>
    <x v="2"/>
    <x v="0"/>
    <x v="0"/>
    <x v="1"/>
    <x v="0"/>
    <x v="1"/>
    <x v="11"/>
    <n v="350"/>
    <n v="350"/>
    <n v="0"/>
    <n v="0"/>
    <n v="0"/>
    <n v="0"/>
    <n v="2"/>
    <x v="2"/>
    <n v="0"/>
    <n v="18"/>
    <n v="0"/>
    <n v="0"/>
    <n v="18.489999999999998"/>
    <n v="0"/>
    <n v="0"/>
    <n v="24.564572675892517"/>
    <m/>
    <m/>
    <n v="6471.4999999999991"/>
    <n v="0"/>
    <n v="0"/>
    <n v="8597.6004365623812"/>
    <n v="0"/>
    <n v="0"/>
  </r>
  <r>
    <s v="Regular"/>
    <x v="1"/>
    <x v="2"/>
    <x v="0"/>
    <x v="0"/>
    <x v="1"/>
    <x v="0"/>
    <x v="1"/>
    <x v="0"/>
    <n v="1394"/>
    <n v="1394"/>
    <n v="0"/>
    <n v="0"/>
    <n v="0"/>
    <n v="0"/>
    <n v="9"/>
    <x v="2"/>
    <n v="0"/>
    <n v="18"/>
    <n v="0"/>
    <n v="0"/>
    <n v="18.489999999999998"/>
    <n v="0"/>
    <n v="0"/>
    <n v="24.564572675892517"/>
    <m/>
    <m/>
    <n v="25775.059999999998"/>
    <n v="0"/>
    <n v="0"/>
    <n v="34243.014310194172"/>
    <n v="0"/>
    <n v="0"/>
  </r>
  <r>
    <s v="Sistema de Compensação"/>
    <x v="1"/>
    <x v="2"/>
    <x v="0"/>
    <x v="0"/>
    <x v="1"/>
    <x v="0"/>
    <x v="1"/>
    <x v="0"/>
    <n v="350"/>
    <n v="350"/>
    <n v="0"/>
    <n v="0"/>
    <n v="0"/>
    <n v="0"/>
    <n v="2"/>
    <x v="2"/>
    <n v="0"/>
    <n v="18"/>
    <n v="0"/>
    <n v="0"/>
    <n v="18.489999999999998"/>
    <n v="0"/>
    <n v="0"/>
    <n v="24.564572675892517"/>
    <m/>
    <m/>
    <n v="6471.4999999999991"/>
    <n v="0"/>
    <n v="0"/>
    <n v="8597.6004365623812"/>
    <n v="0"/>
    <n v="0"/>
  </r>
  <r>
    <s v="Regular"/>
    <x v="1"/>
    <x v="2"/>
    <x v="0"/>
    <x v="0"/>
    <x v="1"/>
    <x v="0"/>
    <x v="1"/>
    <x v="1"/>
    <n v="1382"/>
    <n v="1382"/>
    <n v="0"/>
    <n v="0"/>
    <n v="0"/>
    <n v="0"/>
    <n v="9"/>
    <x v="2"/>
    <n v="0"/>
    <n v="18"/>
    <n v="0"/>
    <n v="0"/>
    <n v="18.489999999999998"/>
    <n v="0"/>
    <n v="0"/>
    <n v="24.564572675892517"/>
    <m/>
    <m/>
    <n v="25553.179999999997"/>
    <n v="0"/>
    <n v="0"/>
    <n v="33948.239438083459"/>
    <n v="0"/>
    <n v="0"/>
  </r>
  <r>
    <s v="Sistema de Compensação"/>
    <x v="1"/>
    <x v="2"/>
    <x v="0"/>
    <x v="0"/>
    <x v="1"/>
    <x v="0"/>
    <x v="1"/>
    <x v="1"/>
    <n v="250"/>
    <n v="250"/>
    <n v="0"/>
    <n v="0"/>
    <n v="0"/>
    <n v="0"/>
    <n v="1"/>
    <x v="2"/>
    <n v="0"/>
    <n v="18"/>
    <n v="0"/>
    <n v="0"/>
    <n v="18.489999999999998"/>
    <n v="0"/>
    <n v="0"/>
    <n v="24.564572675892517"/>
    <m/>
    <m/>
    <n v="4622.5"/>
    <n v="0"/>
    <n v="0"/>
    <n v="6141.1431689731289"/>
    <n v="0"/>
    <n v="0"/>
  </r>
  <r>
    <s v="Regular"/>
    <x v="1"/>
    <x v="2"/>
    <x v="0"/>
    <x v="0"/>
    <x v="1"/>
    <x v="0"/>
    <x v="1"/>
    <x v="2"/>
    <n v="1251"/>
    <n v="1251"/>
    <n v="0"/>
    <n v="0"/>
    <n v="0"/>
    <n v="0"/>
    <n v="8"/>
    <x v="2"/>
    <n v="0"/>
    <n v="18"/>
    <n v="0"/>
    <n v="0"/>
    <n v="18.489999999999998"/>
    <n v="0"/>
    <n v="0"/>
    <n v="24.564572675892517"/>
    <m/>
    <m/>
    <n v="23130.989999999998"/>
    <n v="0"/>
    <n v="0"/>
    <n v="30730.28041754154"/>
    <n v="0"/>
    <n v="0"/>
  </r>
  <r>
    <s v="Sistema de Compensação"/>
    <x v="1"/>
    <x v="2"/>
    <x v="0"/>
    <x v="0"/>
    <x v="1"/>
    <x v="0"/>
    <x v="1"/>
    <x v="2"/>
    <n v="370"/>
    <n v="370"/>
    <n v="0"/>
    <n v="0"/>
    <n v="0"/>
    <n v="0"/>
    <n v="2"/>
    <x v="2"/>
    <n v="0"/>
    <n v="18"/>
    <n v="0"/>
    <n v="0"/>
    <n v="18.489999999999998"/>
    <n v="0"/>
    <n v="0"/>
    <n v="24.564572675892517"/>
    <m/>
    <m/>
    <n v="6841.2999999999993"/>
    <n v="0"/>
    <n v="0"/>
    <n v="9088.891890080231"/>
    <n v="0"/>
    <n v="0"/>
  </r>
  <r>
    <s v="Regular"/>
    <x v="1"/>
    <x v="2"/>
    <x v="0"/>
    <x v="0"/>
    <x v="1"/>
    <x v="0"/>
    <x v="1"/>
    <x v="3"/>
    <n v="1251.6600000000001"/>
    <n v="1251.6600000000001"/>
    <n v="0"/>
    <n v="0"/>
    <n v="0"/>
    <n v="0"/>
    <n v="8"/>
    <x v="2"/>
    <n v="0"/>
    <n v="18"/>
    <n v="0"/>
    <n v="0"/>
    <n v="18.489999999999998"/>
    <n v="0"/>
    <n v="0"/>
    <n v="24.564572675892517"/>
    <m/>
    <m/>
    <n v="23143.1934"/>
    <n v="0"/>
    <n v="0"/>
    <n v="30746.493035507629"/>
    <n v="0"/>
    <n v="0"/>
  </r>
  <r>
    <s v="Sistema de Compensação"/>
    <x v="1"/>
    <x v="2"/>
    <x v="0"/>
    <x v="0"/>
    <x v="1"/>
    <x v="0"/>
    <x v="1"/>
    <x v="3"/>
    <n v="370"/>
    <n v="370"/>
    <n v="0"/>
    <n v="0"/>
    <n v="0"/>
    <n v="0"/>
    <n v="2"/>
    <x v="2"/>
    <n v="0"/>
    <n v="18"/>
    <n v="0"/>
    <n v="0"/>
    <n v="18.489999999999998"/>
    <n v="0"/>
    <n v="0"/>
    <n v="24.564572675892517"/>
    <m/>
    <m/>
    <n v="6841.2999999999993"/>
    <n v="0"/>
    <n v="0"/>
    <n v="9088.891890080231"/>
    <n v="0"/>
    <n v="0"/>
  </r>
  <r>
    <s v="Regular"/>
    <x v="1"/>
    <x v="2"/>
    <x v="0"/>
    <x v="0"/>
    <x v="1"/>
    <x v="0"/>
    <x v="2"/>
    <x v="4"/>
    <n v="0"/>
    <n v="0"/>
    <n v="17.806629999999998"/>
    <n v="17.806629999999998"/>
    <n v="17.806629999999998"/>
    <n v="17.806629999999998"/>
    <n v="0"/>
    <x v="2"/>
    <n v="0"/>
    <n v="0"/>
    <n v="21"/>
    <n v="83"/>
    <n v="0"/>
    <n v="789.62"/>
    <n v="488.15"/>
    <m/>
    <n v="1120.2502177732708"/>
    <n v="461.06028669645673"/>
    <n v="0"/>
    <n v="14060.4711806"/>
    <n v="8692.3064344999984"/>
    <n v="0"/>
    <n v="19947.881135308056"/>
    <n v="8209.9299328977268"/>
  </r>
  <r>
    <s v="Sistema de Compensação"/>
    <x v="1"/>
    <x v="2"/>
    <x v="0"/>
    <x v="0"/>
    <x v="1"/>
    <x v="0"/>
    <x v="2"/>
    <x v="4"/>
    <n v="0"/>
    <n v="0"/>
    <n v="0.58309"/>
    <n v="0.58309"/>
    <n v="0.58309"/>
    <n v="0.58309"/>
    <n v="0"/>
    <x v="2"/>
    <n v="0"/>
    <n v="0"/>
    <n v="21"/>
    <n v="83"/>
    <n v="0"/>
    <n v="789.62"/>
    <n v="488.15"/>
    <m/>
    <n v="1120.2502177732708"/>
    <n v="461.06028669645673"/>
    <n v="0"/>
    <n v="460.41952579999997"/>
    <n v="284.63538349999999"/>
    <n v="0"/>
    <n v="653.20669948141654"/>
    <n v="268.83964256983694"/>
  </r>
  <r>
    <s v="Regular"/>
    <x v="1"/>
    <x v="2"/>
    <x v="0"/>
    <x v="0"/>
    <x v="1"/>
    <x v="0"/>
    <x v="2"/>
    <x v="5"/>
    <n v="0"/>
    <n v="0"/>
    <n v="17.073"/>
    <n v="17.073"/>
    <n v="17.073"/>
    <n v="17.073"/>
    <n v="0"/>
    <x v="2"/>
    <n v="0"/>
    <n v="0"/>
    <n v="21"/>
    <n v="83"/>
    <n v="0"/>
    <n v="789.62"/>
    <n v="488.15"/>
    <m/>
    <n v="1120.2502177732708"/>
    <n v="461.06028669645673"/>
    <n v="0"/>
    <n v="13481.18226"/>
    <n v="8334.1849499999989"/>
    <n v="0"/>
    <n v="19126.031968043055"/>
    <n v="7871.6822747686056"/>
  </r>
  <r>
    <s v="Sistema de Compensação"/>
    <x v="1"/>
    <x v="2"/>
    <x v="0"/>
    <x v="0"/>
    <x v="1"/>
    <x v="0"/>
    <x v="2"/>
    <x v="5"/>
    <n v="0"/>
    <n v="0"/>
    <n v="0.39"/>
    <n v="0.39"/>
    <n v="0.39"/>
    <n v="0.39"/>
    <n v="0"/>
    <x v="2"/>
    <n v="0"/>
    <n v="0"/>
    <n v="21"/>
    <n v="83"/>
    <n v="0"/>
    <n v="789.62"/>
    <n v="488.15"/>
    <m/>
    <n v="1120.2502177732708"/>
    <n v="461.06028669645673"/>
    <n v="0"/>
    <n v="307.95179999999999"/>
    <n v="190.3785"/>
    <n v="0"/>
    <n v="436.89758493157564"/>
    <n v="179.81351181161813"/>
  </r>
  <r>
    <s v="Regular"/>
    <x v="1"/>
    <x v="2"/>
    <x v="0"/>
    <x v="0"/>
    <x v="1"/>
    <x v="0"/>
    <x v="2"/>
    <x v="6"/>
    <n v="0"/>
    <n v="0"/>
    <n v="15.673"/>
    <n v="15.673"/>
    <n v="15.673"/>
    <n v="15.673"/>
    <n v="0"/>
    <x v="2"/>
    <n v="0"/>
    <n v="0"/>
    <n v="21"/>
    <n v="83"/>
    <n v="0"/>
    <n v="789.62"/>
    <n v="488.15"/>
    <m/>
    <n v="1120.2502177732708"/>
    <n v="461.06028669645673"/>
    <n v="0"/>
    <n v="12375.714260000001"/>
    <n v="7650.77495"/>
    <n v="0"/>
    <n v="17557.681663160474"/>
    <n v="7226.1978733935666"/>
  </r>
  <r>
    <s v="Sistema de Compensação"/>
    <x v="1"/>
    <x v="2"/>
    <x v="0"/>
    <x v="0"/>
    <x v="1"/>
    <x v="0"/>
    <x v="2"/>
    <x v="6"/>
    <n v="0"/>
    <n v="0"/>
    <n v="0.42138999999999999"/>
    <n v="0.42138999999999999"/>
    <n v="0.42138999999999999"/>
    <n v="0.42138999999999999"/>
    <n v="0"/>
    <x v="2"/>
    <n v="0"/>
    <n v="0"/>
    <n v="21"/>
    <n v="83"/>
    <n v="0"/>
    <n v="789.62"/>
    <n v="488.15"/>
    <m/>
    <n v="1120.2502177732708"/>
    <n v="461.06028669645673"/>
    <n v="0"/>
    <n v="332.73797179999997"/>
    <n v="205.70152849999999"/>
    <n v="0"/>
    <n v="472.06223926747856"/>
    <n v="194.2861942110199"/>
  </r>
  <r>
    <s v="Regular"/>
    <x v="1"/>
    <x v="2"/>
    <x v="0"/>
    <x v="0"/>
    <x v="1"/>
    <x v="0"/>
    <x v="2"/>
    <x v="7"/>
    <n v="0"/>
    <n v="0"/>
    <n v="15.188000000000001"/>
    <n v="15.188000000000001"/>
    <n v="15.188000000000001"/>
    <n v="15.188000000000001"/>
    <n v="0"/>
    <x v="2"/>
    <n v="0"/>
    <n v="0"/>
    <n v="21"/>
    <n v="83"/>
    <n v="0"/>
    <n v="789.62"/>
    <n v="488.15"/>
    <m/>
    <n v="1120.2502177732708"/>
    <n v="461.06028669645673"/>
    <n v="0"/>
    <n v="11992.74856"/>
    <n v="7414.0222000000003"/>
    <n v="0"/>
    <n v="17014.360307540439"/>
    <n v="7002.583634345785"/>
  </r>
  <r>
    <s v="Sistema de Compensação"/>
    <x v="1"/>
    <x v="2"/>
    <x v="0"/>
    <x v="0"/>
    <x v="1"/>
    <x v="0"/>
    <x v="2"/>
    <x v="7"/>
    <n v="0"/>
    <n v="0"/>
    <n v="0.43491000000000002"/>
    <n v="0.43491000000000002"/>
    <n v="0.43491000000000002"/>
    <n v="0.43491000000000002"/>
    <n v="0"/>
    <x v="2"/>
    <n v="0"/>
    <n v="0"/>
    <n v="21"/>
    <n v="83"/>
    <n v="0"/>
    <n v="789.62"/>
    <n v="488.15"/>
    <m/>
    <n v="1120.2502177732708"/>
    <n v="461.06028669645673"/>
    <n v="0"/>
    <n v="343.41363419999999"/>
    <n v="212.30131650000001"/>
    <n v="0"/>
    <n v="487.20802221177325"/>
    <n v="200.519729287156"/>
  </r>
  <r>
    <s v="Regular"/>
    <x v="1"/>
    <x v="2"/>
    <x v="0"/>
    <x v="0"/>
    <x v="1"/>
    <x v="0"/>
    <x v="2"/>
    <x v="8"/>
    <n v="0"/>
    <n v="0"/>
    <n v="14.321"/>
    <n v="14.321"/>
    <n v="14.321"/>
    <n v="14.321"/>
    <n v="0"/>
    <x v="2"/>
    <n v="0"/>
    <n v="0"/>
    <n v="21"/>
    <n v="83"/>
    <n v="0"/>
    <n v="789.62"/>
    <n v="488.15"/>
    <m/>
    <n v="1120.2502177732708"/>
    <n v="461.06028669645673"/>
    <n v="0"/>
    <n v="11308.148020000001"/>
    <n v="6990.7961499999992"/>
    <n v="0"/>
    <n v="16043.103368731012"/>
    <n v="6602.8443657799571"/>
  </r>
  <r>
    <s v="Sistema de Compensação"/>
    <x v="1"/>
    <x v="2"/>
    <x v="0"/>
    <x v="0"/>
    <x v="1"/>
    <x v="0"/>
    <x v="2"/>
    <x v="8"/>
    <n v="0"/>
    <n v="0"/>
    <n v="0.32100000000000001"/>
    <n v="0.32100000000000001"/>
    <n v="0.32100000000000001"/>
    <n v="0.32100000000000001"/>
    <n v="0"/>
    <x v="2"/>
    <n v="0"/>
    <n v="0"/>
    <n v="21"/>
    <n v="83"/>
    <n v="0"/>
    <n v="789.62"/>
    <n v="488.15"/>
    <m/>
    <n v="1120.2502177732708"/>
    <n v="461.06028669645673"/>
    <n v="0"/>
    <n v="253.46802"/>
    <n v="156.69614999999999"/>
    <n v="0"/>
    <n v="359.60031990521992"/>
    <n v="148.00035202956261"/>
  </r>
  <r>
    <s v="Regular"/>
    <x v="1"/>
    <x v="2"/>
    <x v="0"/>
    <x v="0"/>
    <x v="1"/>
    <x v="0"/>
    <x v="2"/>
    <x v="9"/>
    <n v="0"/>
    <n v="0"/>
    <n v="14.286"/>
    <n v="14.286"/>
    <n v="14.286"/>
    <n v="14.286"/>
    <n v="0"/>
    <x v="2"/>
    <n v="0"/>
    <n v="0"/>
    <n v="21"/>
    <n v="83"/>
    <n v="0"/>
    <n v="789.62"/>
    <n v="488.15"/>
    <m/>
    <n v="1120.2502177732708"/>
    <n v="461.06028669645673"/>
    <n v="0"/>
    <n v="11280.51132"/>
    <n v="6973.7108999999991"/>
    <n v="0"/>
    <n v="16003.894611108946"/>
    <n v="6586.7072557455804"/>
  </r>
  <r>
    <s v="Sistema de Compensação"/>
    <x v="1"/>
    <x v="2"/>
    <x v="0"/>
    <x v="0"/>
    <x v="1"/>
    <x v="0"/>
    <x v="2"/>
    <x v="9"/>
    <n v="0"/>
    <n v="0"/>
    <n v="0.29899999999999999"/>
    <n v="0.29899999999999999"/>
    <n v="0.29899999999999999"/>
    <n v="0.29899999999999999"/>
    <n v="0"/>
    <x v="2"/>
    <n v="0"/>
    <n v="0"/>
    <n v="21"/>
    <n v="83"/>
    <n v="0"/>
    <n v="789.62"/>
    <n v="488.15"/>
    <m/>
    <n v="1120.2502177732708"/>
    <n v="461.06028669645673"/>
    <n v="0"/>
    <n v="236.09637999999998"/>
    <n v="145.95684999999997"/>
    <n v="0"/>
    <n v="334.95481511420797"/>
    <n v="137.85702572224056"/>
  </r>
  <r>
    <s v="Regular"/>
    <x v="1"/>
    <x v="2"/>
    <x v="0"/>
    <x v="0"/>
    <x v="1"/>
    <x v="0"/>
    <x v="2"/>
    <x v="10"/>
    <n v="0"/>
    <n v="0"/>
    <n v="14.051"/>
    <n v="14.051"/>
    <n v="14.051"/>
    <n v="14.051"/>
    <n v="0"/>
    <x v="2"/>
    <n v="0"/>
    <n v="0"/>
    <n v="21"/>
    <n v="83"/>
    <n v="0"/>
    <n v="789.62"/>
    <n v="488.15"/>
    <m/>
    <n v="1120.2502177732708"/>
    <n v="461.06028669645673"/>
    <n v="0"/>
    <n v="11094.95062"/>
    <n v="6858.9956499999998"/>
    <n v="0"/>
    <n v="15740.635809932228"/>
    <n v="6478.3580883719133"/>
  </r>
  <r>
    <s v="Sistema de Compensação"/>
    <x v="1"/>
    <x v="2"/>
    <x v="0"/>
    <x v="0"/>
    <x v="1"/>
    <x v="0"/>
    <x v="2"/>
    <x v="10"/>
    <n v="0"/>
    <n v="0"/>
    <n v="0.39291999999999999"/>
    <n v="0.39291999999999999"/>
    <n v="0.39291999999999999"/>
    <n v="0.39291999999999999"/>
    <n v="0"/>
    <x v="2"/>
    <n v="0"/>
    <n v="0"/>
    <n v="21"/>
    <n v="83"/>
    <n v="0"/>
    <n v="789.62"/>
    <n v="488.15"/>
    <m/>
    <n v="1120.2502177732708"/>
    <n v="461.06028669645673"/>
    <n v="0"/>
    <n v="310.25749039999999"/>
    <n v="191.80389799999998"/>
    <n v="0"/>
    <n v="440.16871556747355"/>
    <n v="181.15980784877178"/>
  </r>
  <r>
    <s v="Regular"/>
    <x v="1"/>
    <x v="2"/>
    <x v="0"/>
    <x v="0"/>
    <x v="1"/>
    <x v="0"/>
    <x v="2"/>
    <x v="11"/>
    <n v="0"/>
    <n v="0"/>
    <n v="14.566000000000001"/>
    <n v="14.566000000000001"/>
    <n v="14.566000000000001"/>
    <n v="14.566000000000001"/>
    <n v="0"/>
    <x v="2"/>
    <n v="0"/>
    <n v="0"/>
    <n v="21"/>
    <n v="83"/>
    <n v="0"/>
    <n v="789.62"/>
    <n v="488.15"/>
    <m/>
    <n v="1120.2502177732708"/>
    <n v="461.06028669645673"/>
    <n v="0"/>
    <n v="11501.60492"/>
    <n v="7110.3928999999998"/>
    <n v="0"/>
    <n v="16317.564672085464"/>
    <n v="6715.8041360205889"/>
  </r>
  <r>
    <s v="Sistema de Compensação"/>
    <x v="1"/>
    <x v="2"/>
    <x v="0"/>
    <x v="0"/>
    <x v="1"/>
    <x v="0"/>
    <x v="2"/>
    <x v="11"/>
    <n v="0"/>
    <n v="0"/>
    <n v="0.40798000000000001"/>
    <n v="0.40798000000000001"/>
    <n v="0.40798000000000001"/>
    <n v="0.40798000000000001"/>
    <n v="0"/>
    <x v="2"/>
    <n v="0"/>
    <n v="0"/>
    <n v="21"/>
    <n v="83"/>
    <n v="0"/>
    <n v="789.62"/>
    <n v="488.15"/>
    <m/>
    <n v="1120.2502177732708"/>
    <n v="461.06028669645673"/>
    <n v="0"/>
    <n v="322.1491676"/>
    <n v="199.15543700000001"/>
    <n v="0"/>
    <n v="457.03968384713903"/>
    <n v="188.10337576642041"/>
  </r>
  <r>
    <s v="Regular"/>
    <x v="1"/>
    <x v="2"/>
    <x v="0"/>
    <x v="0"/>
    <x v="1"/>
    <x v="0"/>
    <x v="2"/>
    <x v="0"/>
    <n v="0"/>
    <n v="0"/>
    <n v="11.105"/>
    <n v="11.105"/>
    <n v="11.105"/>
    <n v="11.105"/>
    <n v="0"/>
    <x v="2"/>
    <n v="0"/>
    <n v="0"/>
    <n v="21"/>
    <n v="83"/>
    <n v="0"/>
    <n v="789.62"/>
    <n v="488.15"/>
    <m/>
    <n v="1120.2502177732708"/>
    <n v="461.06028669645673"/>
    <n v="0"/>
    <n v="8768.7301000000007"/>
    <n v="5420.9057499999999"/>
    <n v="0"/>
    <n v="12440.378668372174"/>
    <n v="5120.0744837641523"/>
  </r>
  <r>
    <s v="Sistema de Compensação"/>
    <x v="1"/>
    <x v="2"/>
    <x v="0"/>
    <x v="0"/>
    <x v="1"/>
    <x v="0"/>
    <x v="2"/>
    <x v="0"/>
    <n v="0"/>
    <n v="0"/>
    <n v="0.38883000000000001"/>
    <n v="0.38883000000000001"/>
    <n v="0.38883000000000001"/>
    <n v="0.38883000000000001"/>
    <n v="0"/>
    <x v="2"/>
    <n v="0"/>
    <n v="0"/>
    <n v="21"/>
    <n v="83"/>
    <n v="0"/>
    <n v="789.62"/>
    <n v="488.15"/>
    <m/>
    <n v="1120.2502177732708"/>
    <n v="461.06028669645673"/>
    <n v="0"/>
    <n v="307.02794460000001"/>
    <n v="189.80736450000001"/>
    <n v="0"/>
    <n v="435.58689217678091"/>
    <n v="179.27407127618326"/>
  </r>
  <r>
    <s v="Regular"/>
    <x v="1"/>
    <x v="2"/>
    <x v="0"/>
    <x v="0"/>
    <x v="1"/>
    <x v="0"/>
    <x v="2"/>
    <x v="1"/>
    <n v="0"/>
    <n v="0"/>
    <n v="15.603999999999999"/>
    <n v="15.603999999999999"/>
    <n v="15.603999999999999"/>
    <n v="15.603999999999999"/>
    <n v="0"/>
    <x v="2"/>
    <n v="0"/>
    <n v="0"/>
    <n v="21"/>
    <n v="83"/>
    <n v="0"/>
    <n v="789.62"/>
    <n v="488.15"/>
    <m/>
    <n v="1120.2502177732708"/>
    <n v="461.06028669645673"/>
    <n v="0"/>
    <n v="12321.23048"/>
    <n v="7617.092599999999"/>
    <n v="0"/>
    <n v="17480.384398134116"/>
    <n v="7194.3847136115101"/>
  </r>
  <r>
    <s v="Sistema de Compensação"/>
    <x v="1"/>
    <x v="2"/>
    <x v="0"/>
    <x v="0"/>
    <x v="1"/>
    <x v="0"/>
    <x v="2"/>
    <x v="1"/>
    <n v="0"/>
    <n v="0"/>
    <n v="0.49231999999999998"/>
    <n v="0.49231999999999998"/>
    <n v="0.49231999999999998"/>
    <n v="0.49231999999999998"/>
    <n v="0"/>
    <x v="2"/>
    <n v="0"/>
    <n v="0"/>
    <n v="21"/>
    <n v="83"/>
    <n v="0"/>
    <n v="789.62"/>
    <n v="488.15"/>
    <m/>
    <n v="1120.2502177732708"/>
    <n v="461.06028669645673"/>
    <n v="0"/>
    <n v="388.74571839999999"/>
    <n v="240.32600799999997"/>
    <n v="0"/>
    <n v="551.52158721413673"/>
    <n v="226.98920034639957"/>
  </r>
  <r>
    <s v="Regular"/>
    <x v="1"/>
    <x v="2"/>
    <x v="0"/>
    <x v="0"/>
    <x v="1"/>
    <x v="0"/>
    <x v="2"/>
    <x v="2"/>
    <n v="0"/>
    <n v="0"/>
    <n v="14.263"/>
    <n v="14.263"/>
    <n v="14.263"/>
    <n v="14.263"/>
    <n v="0"/>
    <x v="2"/>
    <n v="0"/>
    <n v="0"/>
    <n v="21"/>
    <n v="83"/>
    <n v="0"/>
    <n v="789.62"/>
    <n v="488.15"/>
    <m/>
    <n v="1120.2502177732708"/>
    <n v="461.06028669645673"/>
    <n v="0"/>
    <n v="11262.350060000001"/>
    <n v="6962.4834499999997"/>
    <n v="0"/>
    <n v="15978.128856100162"/>
    <n v="6576.1028691515621"/>
  </r>
  <r>
    <s v="Sistema de Compensação"/>
    <x v="1"/>
    <x v="2"/>
    <x v="0"/>
    <x v="0"/>
    <x v="1"/>
    <x v="0"/>
    <x v="2"/>
    <x v="2"/>
    <n v="0"/>
    <n v="0"/>
    <n v="0.80052000000000001"/>
    <n v="0.80052000000000001"/>
    <n v="0.80052000000000001"/>
    <n v="0.80052000000000001"/>
    <n v="0"/>
    <x v="2"/>
    <n v="0"/>
    <n v="0"/>
    <n v="21"/>
    <n v="83"/>
    <n v="0"/>
    <n v="789.62"/>
    <n v="488.15"/>
    <m/>
    <n v="1120.2502177732708"/>
    <n v="461.06028669645673"/>
    <n v="0"/>
    <n v="632.10660240000004"/>
    <n v="390.77383800000001"/>
    <n v="0"/>
    <n v="896.78270433185878"/>
    <n v="369.08798070624755"/>
  </r>
  <r>
    <s v="Regular"/>
    <x v="1"/>
    <x v="2"/>
    <x v="0"/>
    <x v="0"/>
    <x v="1"/>
    <x v="0"/>
    <x v="2"/>
    <x v="3"/>
    <n v="0"/>
    <n v="0"/>
    <n v="13.87434"/>
    <n v="13.87434"/>
    <n v="13.87434"/>
    <n v="13.87434"/>
    <n v="0"/>
    <x v="2"/>
    <n v="0"/>
    <n v="0"/>
    <n v="21"/>
    <n v="83"/>
    <n v="0"/>
    <n v="789.62"/>
    <n v="488.15"/>
    <m/>
    <n v="1120.2502177732708"/>
    <n v="461.06028669645673"/>
    <n v="0"/>
    <n v="10955.456350800001"/>
    <n v="6772.7590709999995"/>
    <n v="0"/>
    <n v="15542.732406460402"/>
    <n v="6396.9071781241173"/>
  </r>
  <r>
    <s v="Sistema de Compensação"/>
    <x v="1"/>
    <x v="2"/>
    <x v="0"/>
    <x v="0"/>
    <x v="1"/>
    <x v="0"/>
    <x v="2"/>
    <x v="3"/>
    <n v="0"/>
    <n v="0"/>
    <n v="1.2235799999999999"/>
    <n v="1.2235799999999999"/>
    <n v="1.2235799999999999"/>
    <n v="1.2235799999999999"/>
    <n v="0"/>
    <x v="2"/>
    <n v="0"/>
    <n v="0"/>
    <n v="21"/>
    <n v="83"/>
    <n v="0"/>
    <n v="789.62"/>
    <n v="488.15"/>
    <m/>
    <n v="1120.2502177732708"/>
    <n v="461.06028669645673"/>
    <n v="0"/>
    <n v="966.16323959999988"/>
    <n v="597.29057699999987"/>
    <n v="0"/>
    <n v="1370.7157614630187"/>
    <n v="564.14414559605052"/>
  </r>
  <r>
    <s v="Regular"/>
    <x v="1"/>
    <x v="2"/>
    <x v="3"/>
    <x v="0"/>
    <x v="1"/>
    <x v="0"/>
    <x v="0"/>
    <x v="4"/>
    <n v="0"/>
    <n v="0"/>
    <n v="9.8829999999999991"/>
    <n v="9.8829999999999991"/>
    <n v="9.8829999999999991"/>
    <n v="9.8829999999999991"/>
    <n v="0"/>
    <x v="2"/>
    <n v="0"/>
    <n v="0"/>
    <n v="22"/>
    <n v="84"/>
    <n v="0"/>
    <n v="73.28"/>
    <n v="286.76"/>
    <m/>
    <n v="143.45615825576942"/>
    <n v="271.35516669689775"/>
    <n v="0"/>
    <n v="724.22623999999996"/>
    <n v="2834.0490799999998"/>
    <n v="0"/>
    <n v="1417.7772120417692"/>
    <n v="2681.8031124654403"/>
  </r>
  <r>
    <s v="Regular"/>
    <x v="1"/>
    <x v="2"/>
    <x v="3"/>
    <x v="0"/>
    <x v="1"/>
    <x v="0"/>
    <x v="0"/>
    <x v="5"/>
    <n v="0"/>
    <n v="0"/>
    <n v="11.0678"/>
    <n v="11.0678"/>
    <n v="11.0678"/>
    <n v="11.0678"/>
    <n v="0"/>
    <x v="2"/>
    <n v="0"/>
    <n v="0"/>
    <n v="22"/>
    <n v="84"/>
    <n v="0"/>
    <n v="73.28"/>
    <n v="286.76"/>
    <m/>
    <n v="143.45615825576942"/>
    <n v="271.35516669689775"/>
    <n v="0"/>
    <n v="811.04838400000006"/>
    <n v="3173.8023279999998"/>
    <n v="0"/>
    <n v="1587.7440683432048"/>
    <n v="3003.3047139679252"/>
  </r>
  <r>
    <s v="Regular"/>
    <x v="1"/>
    <x v="2"/>
    <x v="3"/>
    <x v="0"/>
    <x v="1"/>
    <x v="0"/>
    <x v="0"/>
    <x v="6"/>
    <n v="0"/>
    <n v="0"/>
    <n v="11.593"/>
    <n v="11.593"/>
    <n v="11.593"/>
    <n v="11.593"/>
    <n v="0"/>
    <x v="2"/>
    <n v="0"/>
    <n v="0"/>
    <n v="22"/>
    <n v="84"/>
    <n v="0"/>
    <n v="73.28"/>
    <n v="286.76"/>
    <m/>
    <n v="143.45615825576942"/>
    <n v="271.35516669689775"/>
    <n v="0"/>
    <n v="849.53503999999998"/>
    <n v="3324.40868"/>
    <n v="0"/>
    <n v="1663.087242659135"/>
    <n v="3145.8204475171356"/>
  </r>
  <r>
    <s v="Regular"/>
    <x v="1"/>
    <x v="2"/>
    <x v="3"/>
    <x v="0"/>
    <x v="1"/>
    <x v="0"/>
    <x v="0"/>
    <x v="7"/>
    <n v="0"/>
    <n v="0"/>
    <n v="13.98794"/>
    <n v="13.98794"/>
    <n v="13.98794"/>
    <n v="13.98794"/>
    <n v="0"/>
    <x v="2"/>
    <n v="0"/>
    <n v="0"/>
    <n v="22"/>
    <n v="84"/>
    <n v="0"/>
    <n v="73.28"/>
    <n v="286.76"/>
    <m/>
    <n v="143.45615825576942"/>
    <n v="271.35516669689775"/>
    <n v="0"/>
    <n v="1025.0362431999999"/>
    <n v="4011.1816743999998"/>
    <n v="0"/>
    <n v="2006.6561343122073"/>
    <n v="3795.6997904462041"/>
  </r>
  <r>
    <s v="Regular"/>
    <x v="1"/>
    <x v="2"/>
    <x v="3"/>
    <x v="0"/>
    <x v="1"/>
    <x v="0"/>
    <x v="0"/>
    <x v="8"/>
    <n v="0"/>
    <n v="0"/>
    <n v="16.49072"/>
    <n v="16.49072"/>
    <n v="16.49072"/>
    <n v="16.49072"/>
    <n v="0"/>
    <x v="2"/>
    <n v="0"/>
    <n v="0"/>
    <n v="22"/>
    <n v="84"/>
    <n v="0"/>
    <n v="73.28"/>
    <n v="286.76"/>
    <m/>
    <n v="143.45615825576942"/>
    <n v="271.35516669689775"/>
    <n v="0"/>
    <n v="1208.4399616000001"/>
    <n v="4728.8788672000001"/>
    <n v="0"/>
    <n v="2365.6953380715818"/>
    <n v="4474.8420745518661"/>
  </r>
  <r>
    <s v="Regular"/>
    <x v="1"/>
    <x v="2"/>
    <x v="3"/>
    <x v="0"/>
    <x v="1"/>
    <x v="0"/>
    <x v="0"/>
    <x v="9"/>
    <n v="0"/>
    <n v="0"/>
    <n v="20.244700000000002"/>
    <n v="20.244700000000002"/>
    <n v="20.244700000000002"/>
    <n v="20.244700000000002"/>
    <n v="0"/>
    <x v="2"/>
    <n v="0"/>
    <n v="0"/>
    <n v="22"/>
    <n v="84"/>
    <n v="0"/>
    <n v="73.28"/>
    <n v="286.76"/>
    <m/>
    <n v="143.45615825576942"/>
    <n v="271.35516669689775"/>
    <n v="0"/>
    <n v="1483.5316160000002"/>
    <n v="5805.3701719999999"/>
    <n v="0"/>
    <n v="2904.2268870405755"/>
    <n v="5493.5039432286867"/>
  </r>
  <r>
    <s v="Regular"/>
    <x v="1"/>
    <x v="2"/>
    <x v="3"/>
    <x v="0"/>
    <x v="1"/>
    <x v="0"/>
    <x v="0"/>
    <x v="10"/>
    <n v="0"/>
    <n v="0"/>
    <n v="17.725000000000001"/>
    <n v="17.725000000000001"/>
    <n v="17.725000000000001"/>
    <n v="17.725000000000001"/>
    <n v="0"/>
    <x v="2"/>
    <n v="0"/>
    <n v="0"/>
    <n v="22"/>
    <n v="84"/>
    <n v="0"/>
    <n v="73.28"/>
    <n v="286.76"/>
    <m/>
    <n v="143.45615825576942"/>
    <n v="271.35516669689775"/>
    <n v="0"/>
    <n v="1298.8880000000001"/>
    <n v="5082.8209999999999"/>
    <n v="0"/>
    <n v="2542.7604050835134"/>
    <n v="4809.7703297025128"/>
  </r>
  <r>
    <s v="Regular"/>
    <x v="1"/>
    <x v="2"/>
    <x v="3"/>
    <x v="0"/>
    <x v="1"/>
    <x v="0"/>
    <x v="0"/>
    <x v="11"/>
    <n v="0"/>
    <n v="0"/>
    <n v="17.638680000000001"/>
    <n v="17.638680000000001"/>
    <n v="17.638680000000001"/>
    <n v="17.638680000000001"/>
    <n v="0"/>
    <x v="2"/>
    <n v="0"/>
    <n v="0"/>
    <n v="22"/>
    <n v="84"/>
    <n v="0"/>
    <n v="73.28"/>
    <n v="286.76"/>
    <m/>
    <n v="143.45615825576942"/>
    <n v="271.35516669689775"/>
    <n v="0"/>
    <n v="1292.5624704000002"/>
    <n v="5058.0678767999998"/>
    <n v="0"/>
    <n v="2530.3772695028752"/>
    <n v="4786.3469517132371"/>
  </r>
  <r>
    <s v="Regular"/>
    <x v="1"/>
    <x v="2"/>
    <x v="3"/>
    <x v="0"/>
    <x v="1"/>
    <x v="0"/>
    <x v="0"/>
    <x v="0"/>
    <n v="0"/>
    <n v="0"/>
    <n v="12.5853"/>
    <n v="12.5853"/>
    <n v="12.5853"/>
    <n v="12.5853"/>
    <n v="0"/>
    <x v="2"/>
    <n v="0"/>
    <n v="0"/>
    <n v="22"/>
    <n v="84"/>
    <n v="0"/>
    <n v="73.28"/>
    <n v="286.76"/>
    <m/>
    <n v="143.45615825576942"/>
    <n v="271.35516669689775"/>
    <n v="0"/>
    <n v="922.25078400000007"/>
    <n v="3608.9606279999998"/>
    <n v="0"/>
    <n v="1805.4387884963348"/>
    <n v="3415.0861794304674"/>
  </r>
  <r>
    <s v="Regular"/>
    <x v="1"/>
    <x v="2"/>
    <x v="3"/>
    <x v="0"/>
    <x v="1"/>
    <x v="0"/>
    <x v="0"/>
    <x v="1"/>
    <n v="0"/>
    <n v="0"/>
    <n v="9.7867800000000003"/>
    <n v="9.7867800000000003"/>
    <n v="9.7867800000000003"/>
    <n v="9.7867800000000003"/>
    <n v="0"/>
    <x v="2"/>
    <n v="0"/>
    <n v="0"/>
    <n v="22"/>
    <n v="84"/>
    <n v="0"/>
    <n v="73.28"/>
    <n v="286.76"/>
    <m/>
    <n v="143.45615825576942"/>
    <n v="271.35516669689775"/>
    <n v="0"/>
    <n v="717.17523840000001"/>
    <n v="2806.4570328"/>
    <n v="0"/>
    <n v="1403.9738604943991"/>
    <n v="2655.6933183258652"/>
  </r>
  <r>
    <s v="Regular"/>
    <x v="1"/>
    <x v="2"/>
    <x v="3"/>
    <x v="0"/>
    <x v="1"/>
    <x v="0"/>
    <x v="0"/>
    <x v="2"/>
    <n v="0"/>
    <n v="0"/>
    <n v="8.5603899999999999"/>
    <n v="8.5603899999999999"/>
    <n v="8.5603899999999999"/>
    <n v="8.5603899999999999"/>
    <n v="0"/>
    <x v="2"/>
    <n v="0"/>
    <n v="0"/>
    <n v="22"/>
    <n v="84"/>
    <n v="0"/>
    <n v="73.28"/>
    <n v="286.76"/>
    <m/>
    <n v="143.45615825576942"/>
    <n v="271.35516669689775"/>
    <n v="0"/>
    <n v="627.30537920000006"/>
    <n v="2454.7774363999997"/>
    <n v="0"/>
    <n v="1228.0406625711059"/>
    <n v="2322.9060554404564"/>
  </r>
  <r>
    <s v="Regular"/>
    <x v="1"/>
    <x v="2"/>
    <x v="3"/>
    <x v="0"/>
    <x v="1"/>
    <x v="0"/>
    <x v="0"/>
    <x v="3"/>
    <n v="0"/>
    <n v="0"/>
    <n v="10.27472"/>
    <n v="10.27472"/>
    <n v="10.27472"/>
    <n v="10.27472"/>
    <n v="0"/>
    <x v="2"/>
    <n v="0"/>
    <n v="0"/>
    <n v="22"/>
    <n v="84"/>
    <n v="0"/>
    <n v="73.28"/>
    <n v="286.76"/>
    <m/>
    <n v="143.45615825576942"/>
    <n v="271.35516669689775"/>
    <n v="0"/>
    <n v="752.93148159999998"/>
    <n v="2946.3787072"/>
    <n v="0"/>
    <n v="1473.9718583537192"/>
    <n v="2788.0983583639495"/>
  </r>
  <r>
    <s v="Regular"/>
    <x v="1"/>
    <x v="2"/>
    <x v="3"/>
    <x v="0"/>
    <x v="1"/>
    <x v="0"/>
    <x v="1"/>
    <x v="4"/>
    <n v="115"/>
    <n v="115"/>
    <n v="0"/>
    <n v="0"/>
    <n v="0"/>
    <n v="0"/>
    <n v="2"/>
    <x v="2"/>
    <n v="0"/>
    <n v="18"/>
    <n v="0"/>
    <n v="0"/>
    <n v="18.489999999999998"/>
    <n v="0"/>
    <n v="0"/>
    <n v="24.564572675892517"/>
    <m/>
    <m/>
    <n v="2126.35"/>
    <n v="0"/>
    <n v="0"/>
    <n v="2824.9258577276396"/>
    <n v="0"/>
    <n v="0"/>
  </r>
  <r>
    <s v="Regular"/>
    <x v="1"/>
    <x v="2"/>
    <x v="3"/>
    <x v="0"/>
    <x v="1"/>
    <x v="0"/>
    <x v="1"/>
    <x v="5"/>
    <n v="115"/>
    <n v="115"/>
    <n v="0"/>
    <n v="0"/>
    <n v="0"/>
    <n v="0"/>
    <n v="2"/>
    <x v="2"/>
    <n v="0"/>
    <n v="18"/>
    <n v="0"/>
    <n v="0"/>
    <n v="18.489999999999998"/>
    <n v="0"/>
    <n v="0"/>
    <n v="24.564572675892517"/>
    <m/>
    <m/>
    <n v="2126.35"/>
    <n v="0"/>
    <n v="0"/>
    <n v="2824.9258577276396"/>
    <n v="0"/>
    <n v="0"/>
  </r>
  <r>
    <s v="Regular"/>
    <x v="1"/>
    <x v="2"/>
    <x v="3"/>
    <x v="0"/>
    <x v="1"/>
    <x v="0"/>
    <x v="1"/>
    <x v="6"/>
    <n v="115"/>
    <n v="115"/>
    <n v="0"/>
    <n v="0"/>
    <n v="0"/>
    <n v="0"/>
    <n v="2"/>
    <x v="2"/>
    <n v="0"/>
    <n v="18"/>
    <n v="0"/>
    <n v="0"/>
    <n v="18.489999999999998"/>
    <n v="0"/>
    <n v="0"/>
    <n v="24.564572675892517"/>
    <m/>
    <m/>
    <n v="2126.35"/>
    <n v="0"/>
    <n v="0"/>
    <n v="2824.9258577276396"/>
    <n v="0"/>
    <n v="0"/>
  </r>
  <r>
    <s v="Regular"/>
    <x v="1"/>
    <x v="2"/>
    <x v="3"/>
    <x v="0"/>
    <x v="1"/>
    <x v="0"/>
    <x v="1"/>
    <x v="7"/>
    <n v="115.01"/>
    <n v="115.01"/>
    <n v="0"/>
    <n v="0"/>
    <n v="0"/>
    <n v="0"/>
    <n v="2"/>
    <x v="2"/>
    <n v="0"/>
    <n v="18"/>
    <n v="0"/>
    <n v="0"/>
    <n v="18.489999999999998"/>
    <n v="0"/>
    <n v="0"/>
    <n v="24.564572675892517"/>
    <m/>
    <m/>
    <n v="2126.5349000000001"/>
    <n v="0"/>
    <n v="0"/>
    <n v="2825.1715034543986"/>
    <n v="0"/>
    <n v="0"/>
  </r>
  <r>
    <s v="Regular"/>
    <x v="1"/>
    <x v="2"/>
    <x v="3"/>
    <x v="0"/>
    <x v="1"/>
    <x v="0"/>
    <x v="1"/>
    <x v="8"/>
    <n v="115"/>
    <n v="115"/>
    <n v="0"/>
    <n v="0"/>
    <n v="0"/>
    <n v="0"/>
    <n v="2"/>
    <x v="2"/>
    <n v="0"/>
    <n v="18"/>
    <n v="0"/>
    <n v="0"/>
    <n v="18.489999999999998"/>
    <n v="0"/>
    <n v="0"/>
    <n v="24.564572675892517"/>
    <m/>
    <m/>
    <n v="2126.35"/>
    <n v="0"/>
    <n v="0"/>
    <n v="2824.9258577276396"/>
    <n v="0"/>
    <n v="0"/>
  </r>
  <r>
    <s v="Regular"/>
    <x v="1"/>
    <x v="2"/>
    <x v="3"/>
    <x v="0"/>
    <x v="1"/>
    <x v="0"/>
    <x v="1"/>
    <x v="9"/>
    <n v="115"/>
    <n v="115"/>
    <n v="0"/>
    <n v="0"/>
    <n v="0"/>
    <n v="0"/>
    <n v="2"/>
    <x v="2"/>
    <n v="0"/>
    <n v="18"/>
    <n v="0"/>
    <n v="0"/>
    <n v="18.489999999999998"/>
    <n v="0"/>
    <n v="0"/>
    <n v="24.564572675892517"/>
    <m/>
    <m/>
    <n v="2126.35"/>
    <n v="0"/>
    <n v="0"/>
    <n v="2824.9258577276396"/>
    <n v="0"/>
    <n v="0"/>
  </r>
  <r>
    <s v="Regular"/>
    <x v="1"/>
    <x v="2"/>
    <x v="3"/>
    <x v="0"/>
    <x v="1"/>
    <x v="0"/>
    <x v="1"/>
    <x v="10"/>
    <n v="115"/>
    <n v="115"/>
    <n v="0"/>
    <n v="0"/>
    <n v="0"/>
    <n v="0"/>
    <n v="2"/>
    <x v="2"/>
    <n v="0"/>
    <n v="18"/>
    <n v="0"/>
    <n v="0"/>
    <n v="18.489999999999998"/>
    <n v="0"/>
    <n v="0"/>
    <n v="24.564572675892517"/>
    <m/>
    <m/>
    <n v="2126.35"/>
    <n v="0"/>
    <n v="0"/>
    <n v="2824.9258577276396"/>
    <n v="0"/>
    <n v="0"/>
  </r>
  <r>
    <s v="Regular"/>
    <x v="1"/>
    <x v="2"/>
    <x v="3"/>
    <x v="0"/>
    <x v="1"/>
    <x v="0"/>
    <x v="1"/>
    <x v="11"/>
    <n v="115"/>
    <n v="115"/>
    <n v="0"/>
    <n v="0"/>
    <n v="0"/>
    <n v="0"/>
    <n v="2"/>
    <x v="2"/>
    <n v="0"/>
    <n v="18"/>
    <n v="0"/>
    <n v="0"/>
    <n v="18.489999999999998"/>
    <n v="0"/>
    <n v="0"/>
    <n v="24.564572675892517"/>
    <m/>
    <m/>
    <n v="2126.35"/>
    <n v="0"/>
    <n v="0"/>
    <n v="2824.9258577276396"/>
    <n v="0"/>
    <n v="0"/>
  </r>
  <r>
    <s v="Regular"/>
    <x v="1"/>
    <x v="2"/>
    <x v="3"/>
    <x v="0"/>
    <x v="1"/>
    <x v="0"/>
    <x v="1"/>
    <x v="0"/>
    <n v="115"/>
    <n v="115"/>
    <n v="0"/>
    <n v="0"/>
    <n v="0"/>
    <n v="0"/>
    <n v="2"/>
    <x v="2"/>
    <n v="0"/>
    <n v="18"/>
    <n v="0"/>
    <n v="0"/>
    <n v="18.489999999999998"/>
    <n v="0"/>
    <n v="0"/>
    <n v="24.564572675892517"/>
    <m/>
    <m/>
    <n v="2126.35"/>
    <n v="0"/>
    <n v="0"/>
    <n v="2824.9258577276396"/>
    <n v="0"/>
    <n v="0"/>
  </r>
  <r>
    <s v="Regular"/>
    <x v="1"/>
    <x v="2"/>
    <x v="3"/>
    <x v="0"/>
    <x v="1"/>
    <x v="0"/>
    <x v="1"/>
    <x v="1"/>
    <n v="115"/>
    <n v="115"/>
    <n v="0"/>
    <n v="0"/>
    <n v="0"/>
    <n v="0"/>
    <n v="2"/>
    <x v="2"/>
    <n v="0"/>
    <n v="18"/>
    <n v="0"/>
    <n v="0"/>
    <n v="18.489999999999998"/>
    <n v="0"/>
    <n v="0"/>
    <n v="24.564572675892517"/>
    <m/>
    <m/>
    <n v="2126.35"/>
    <n v="0"/>
    <n v="0"/>
    <n v="2824.9258577276396"/>
    <n v="0"/>
    <n v="0"/>
  </r>
  <r>
    <s v="Regular"/>
    <x v="1"/>
    <x v="2"/>
    <x v="3"/>
    <x v="0"/>
    <x v="1"/>
    <x v="0"/>
    <x v="1"/>
    <x v="2"/>
    <n v="115"/>
    <n v="115"/>
    <n v="0"/>
    <n v="0"/>
    <n v="0"/>
    <n v="0"/>
    <n v="2"/>
    <x v="2"/>
    <n v="0"/>
    <n v="18"/>
    <n v="0"/>
    <n v="0"/>
    <n v="18.489999999999998"/>
    <n v="0"/>
    <n v="0"/>
    <n v="24.564572675892517"/>
    <m/>
    <m/>
    <n v="2126.35"/>
    <n v="0"/>
    <n v="0"/>
    <n v="2824.9258577276396"/>
    <n v="0"/>
    <n v="0"/>
  </r>
  <r>
    <s v="Regular"/>
    <x v="1"/>
    <x v="2"/>
    <x v="3"/>
    <x v="0"/>
    <x v="1"/>
    <x v="0"/>
    <x v="1"/>
    <x v="3"/>
    <n v="115"/>
    <n v="115"/>
    <n v="0"/>
    <n v="0"/>
    <n v="0"/>
    <n v="0"/>
    <n v="2"/>
    <x v="2"/>
    <n v="0"/>
    <n v="18"/>
    <n v="0"/>
    <n v="0"/>
    <n v="18.489999999999998"/>
    <n v="0"/>
    <n v="0"/>
    <n v="24.564572675892517"/>
    <m/>
    <m/>
    <n v="2126.35"/>
    <n v="0"/>
    <n v="0"/>
    <n v="2824.9258577276396"/>
    <n v="0"/>
    <n v="0"/>
  </r>
  <r>
    <s v="Regular"/>
    <x v="1"/>
    <x v="2"/>
    <x v="3"/>
    <x v="0"/>
    <x v="1"/>
    <x v="0"/>
    <x v="2"/>
    <x v="4"/>
    <n v="0"/>
    <n v="0"/>
    <n v="0.81699999999999995"/>
    <n v="0.81699999999999995"/>
    <n v="0.81699999999999995"/>
    <n v="0.81699999999999995"/>
    <n v="0"/>
    <x v="2"/>
    <n v="0"/>
    <n v="0"/>
    <n v="21"/>
    <n v="83"/>
    <n v="0"/>
    <n v="789.62"/>
    <n v="488.15"/>
    <m/>
    <n v="1120.2502177732708"/>
    <n v="461.06028669645673"/>
    <n v="0"/>
    <n v="645.11953999999992"/>
    <n v="398.81854999999996"/>
    <n v="0"/>
    <n v="915.24442792076218"/>
    <n v="376.68625423100514"/>
  </r>
  <r>
    <s v="Regular"/>
    <x v="1"/>
    <x v="2"/>
    <x v="3"/>
    <x v="0"/>
    <x v="1"/>
    <x v="0"/>
    <x v="2"/>
    <x v="5"/>
    <n v="0"/>
    <n v="0"/>
    <n v="0.82306000000000001"/>
    <n v="0.82306000000000001"/>
    <n v="0.82306000000000001"/>
    <n v="0.82306000000000001"/>
    <n v="0"/>
    <x v="2"/>
    <n v="0"/>
    <n v="0"/>
    <n v="21"/>
    <n v="83"/>
    <n v="0"/>
    <n v="789.62"/>
    <n v="488.15"/>
    <m/>
    <n v="1120.2502177732708"/>
    <n v="461.06028669645673"/>
    <n v="0"/>
    <n v="649.90463720000002"/>
    <n v="401.77673899999996"/>
    <n v="0"/>
    <n v="922.03314424046835"/>
    <n v="379.4802795683857"/>
  </r>
  <r>
    <s v="Regular"/>
    <x v="1"/>
    <x v="2"/>
    <x v="3"/>
    <x v="0"/>
    <x v="1"/>
    <x v="0"/>
    <x v="2"/>
    <x v="6"/>
    <n v="0"/>
    <n v="0"/>
    <n v="0.76600000000000001"/>
    <n v="0.76600000000000001"/>
    <n v="0.76600000000000001"/>
    <n v="0.76600000000000001"/>
    <n v="0"/>
    <x v="2"/>
    <n v="0"/>
    <n v="0"/>
    <n v="21"/>
    <n v="83"/>
    <n v="0"/>
    <n v="789.62"/>
    <n v="488.15"/>
    <m/>
    <n v="1120.2502177732708"/>
    <n v="461.06028669645673"/>
    <n v="0"/>
    <n v="604.84892000000002"/>
    <n v="373.92289999999997"/>
    <n v="0"/>
    <n v="858.11166681432542"/>
    <n v="353.17217960948585"/>
  </r>
  <r>
    <s v="Regular"/>
    <x v="1"/>
    <x v="2"/>
    <x v="3"/>
    <x v="0"/>
    <x v="1"/>
    <x v="0"/>
    <x v="2"/>
    <x v="7"/>
    <n v="0"/>
    <n v="0"/>
    <n v="0.80735000000000001"/>
    <n v="0.80735000000000001"/>
    <n v="0.80735000000000001"/>
    <n v="0.80735000000000001"/>
    <n v="0"/>
    <x v="2"/>
    <n v="0"/>
    <n v="0"/>
    <n v="21"/>
    <n v="83"/>
    <n v="0"/>
    <n v="789.62"/>
    <n v="488.15"/>
    <m/>
    <n v="1120.2502177732708"/>
    <n v="461.06028669645673"/>
    <n v="0"/>
    <n v="637.49970700000006"/>
    <n v="394.10790249999997"/>
    <n v="0"/>
    <n v="904.4340133192502"/>
    <n v="372.23702246438432"/>
  </r>
  <r>
    <s v="Regular"/>
    <x v="1"/>
    <x v="2"/>
    <x v="3"/>
    <x v="0"/>
    <x v="1"/>
    <x v="0"/>
    <x v="2"/>
    <x v="8"/>
    <n v="0"/>
    <n v="0"/>
    <n v="0.97685999999999995"/>
    <n v="0.97685999999999995"/>
    <n v="0.97685999999999995"/>
    <n v="0.97685999999999995"/>
    <n v="0"/>
    <x v="2"/>
    <n v="0"/>
    <n v="0"/>
    <n v="21"/>
    <n v="83"/>
    <n v="0"/>
    <n v="789.62"/>
    <n v="488.15"/>
    <m/>
    <n v="1120.2502177732708"/>
    <n v="461.06028669645673"/>
    <n v="0"/>
    <n v="771.34819319999997"/>
    <n v="476.85420899999997"/>
    <n v="0"/>
    <n v="1094.3276277339974"/>
    <n v="450.39135166230068"/>
  </r>
  <r>
    <s v="Regular"/>
    <x v="1"/>
    <x v="2"/>
    <x v="3"/>
    <x v="0"/>
    <x v="1"/>
    <x v="0"/>
    <x v="2"/>
    <x v="9"/>
    <n v="0"/>
    <n v="0"/>
    <n v="1.06816"/>
    <n v="1.06816"/>
    <n v="1.06816"/>
    <n v="1.06816"/>
    <n v="0"/>
    <x v="2"/>
    <n v="0"/>
    <n v="0"/>
    <n v="21"/>
    <n v="83"/>
    <n v="0"/>
    <n v="789.62"/>
    <n v="488.15"/>
    <m/>
    <n v="1120.2502177732708"/>
    <n v="461.06028669645673"/>
    <n v="0"/>
    <n v="843.44049919999998"/>
    <n v="521.42230399999994"/>
    <n v="0"/>
    <n v="1196.6064726166969"/>
    <n v="492.48615583768719"/>
  </r>
  <r>
    <s v="Regular"/>
    <x v="1"/>
    <x v="2"/>
    <x v="3"/>
    <x v="0"/>
    <x v="1"/>
    <x v="0"/>
    <x v="2"/>
    <x v="10"/>
    <n v="0"/>
    <n v="0"/>
    <n v="0.998"/>
    <n v="0.998"/>
    <n v="0.998"/>
    <n v="0.998"/>
    <n v="0"/>
    <x v="2"/>
    <n v="0"/>
    <n v="0"/>
    <n v="21"/>
    <n v="83"/>
    <n v="0"/>
    <n v="789.62"/>
    <n v="488.15"/>
    <m/>
    <n v="1120.2502177732708"/>
    <n v="461.06028669645673"/>
    <n v="0"/>
    <n v="788.04075999999998"/>
    <n v="487.1737"/>
    <n v="0"/>
    <n v="1118.0097173377244"/>
    <n v="460.1381661230638"/>
  </r>
  <r>
    <s v="Regular"/>
    <x v="1"/>
    <x v="2"/>
    <x v="3"/>
    <x v="0"/>
    <x v="1"/>
    <x v="0"/>
    <x v="2"/>
    <x v="11"/>
    <n v="0"/>
    <n v="0"/>
    <n v="1.04671"/>
    <n v="1.04671"/>
    <n v="1.04671"/>
    <n v="1.04671"/>
    <n v="0"/>
    <x v="2"/>
    <n v="0"/>
    <n v="0"/>
    <n v="21"/>
    <n v="83"/>
    <n v="0"/>
    <n v="789.62"/>
    <n v="488.15"/>
    <m/>
    <n v="1120.2502177732708"/>
    <n v="461.06028669645673"/>
    <n v="0"/>
    <n v="826.50315020000005"/>
    <n v="510.95148649999999"/>
    <n v="0"/>
    <n v="1172.5771054454603"/>
    <n v="482.59641268804825"/>
  </r>
  <r>
    <s v="Regular"/>
    <x v="1"/>
    <x v="2"/>
    <x v="3"/>
    <x v="0"/>
    <x v="1"/>
    <x v="0"/>
    <x v="2"/>
    <x v="0"/>
    <n v="0"/>
    <n v="0"/>
    <n v="0.77219000000000004"/>
    <n v="0.77219000000000004"/>
    <n v="0.77219000000000004"/>
    <n v="0.77219000000000004"/>
    <n v="0"/>
    <x v="2"/>
    <n v="0"/>
    <n v="0"/>
    <n v="21"/>
    <n v="83"/>
    <n v="0"/>
    <n v="789.62"/>
    <n v="488.15"/>
    <m/>
    <n v="1120.2502177732708"/>
    <n v="461.06028669645673"/>
    <n v="0"/>
    <n v="609.73666780000008"/>
    <n v="376.9445485"/>
    <n v="0"/>
    <n v="865.04601566234203"/>
    <n v="356.02614278413694"/>
  </r>
  <r>
    <s v="Regular"/>
    <x v="1"/>
    <x v="2"/>
    <x v="3"/>
    <x v="0"/>
    <x v="1"/>
    <x v="0"/>
    <x v="2"/>
    <x v="1"/>
    <n v="0"/>
    <n v="0"/>
    <n v="0.79690000000000005"/>
    <n v="0.79690000000000005"/>
    <n v="0.79690000000000005"/>
    <n v="0.79690000000000005"/>
    <n v="0"/>
    <x v="2"/>
    <n v="0"/>
    <n v="0"/>
    <n v="21"/>
    <n v="83"/>
    <n v="0"/>
    <n v="789.62"/>
    <n v="488.15"/>
    <m/>
    <n v="1120.2502177732708"/>
    <n v="461.06028669645673"/>
    <n v="0"/>
    <n v="629.24817800000005"/>
    <n v="389.00673499999999"/>
    <n v="0"/>
    <n v="892.7273985435196"/>
    <n v="367.41894246840639"/>
  </r>
  <r>
    <s v="Regular"/>
    <x v="1"/>
    <x v="2"/>
    <x v="3"/>
    <x v="0"/>
    <x v="1"/>
    <x v="0"/>
    <x v="2"/>
    <x v="2"/>
    <n v="0"/>
    <n v="0"/>
    <n v="0.72843999999999998"/>
    <n v="0.72843999999999998"/>
    <n v="0.72843999999999998"/>
    <n v="0.72843999999999998"/>
    <n v="0"/>
    <x v="2"/>
    <n v="0"/>
    <n v="0"/>
    <n v="21"/>
    <n v="83"/>
    <n v="0"/>
    <n v="789.62"/>
    <n v="488.15"/>
    <m/>
    <n v="1120.2502177732708"/>
    <n v="461.06028669645673"/>
    <n v="0"/>
    <n v="575.19079279999994"/>
    <n v="355.58798599999994"/>
    <n v="0"/>
    <n v="816.03506863476139"/>
    <n v="335.85475524116691"/>
  </r>
  <r>
    <s v="Regular"/>
    <x v="1"/>
    <x v="2"/>
    <x v="3"/>
    <x v="0"/>
    <x v="1"/>
    <x v="0"/>
    <x v="2"/>
    <x v="3"/>
    <n v="0"/>
    <n v="0"/>
    <n v="0.79681999999999997"/>
    <n v="0.79681999999999997"/>
    <n v="0.79681999999999997"/>
    <n v="0.79681999999999997"/>
    <n v="0"/>
    <x v="2"/>
    <n v="0"/>
    <n v="0"/>
    <n v="21"/>
    <n v="83"/>
    <n v="0"/>
    <n v="789.62"/>
    <n v="488.15"/>
    <m/>
    <n v="1120.2502177732708"/>
    <n v="461.06028669645673"/>
    <n v="0"/>
    <n v="629.18500840000002"/>
    <n v="388.96768299999997"/>
    <n v="0"/>
    <n v="892.63777852609769"/>
    <n v="367.38205764547064"/>
  </r>
  <r>
    <s v="Regular"/>
    <x v="2"/>
    <x v="3"/>
    <x v="4"/>
    <x v="1"/>
    <x v="1"/>
    <x v="0"/>
    <x v="1"/>
    <x v="4"/>
    <n v="0"/>
    <n v="0"/>
    <n v="905.87900000000002"/>
    <n v="905.87900000000002"/>
    <n v="905.87900000000002"/>
    <n v="905.87900000000002"/>
    <n v="5048"/>
    <x v="2"/>
    <n v="0"/>
    <n v="0"/>
    <n v="38"/>
    <n v="89"/>
    <n v="0"/>
    <n v="343.17"/>
    <n v="303.54000000000002"/>
    <m/>
    <n v="487.85329400621345"/>
    <n v="287.16392669686104"/>
    <n v="0"/>
    <n v="310870.49643"/>
    <n v="274970.51166000002"/>
    <n v="0"/>
    <n v="441936.05412105465"/>
    <n v="260135.7707522258"/>
  </r>
  <r>
    <s v="Sistema de Compensação"/>
    <x v="2"/>
    <x v="3"/>
    <x v="4"/>
    <x v="1"/>
    <x v="1"/>
    <x v="0"/>
    <x v="1"/>
    <x v="4"/>
    <n v="0"/>
    <n v="0"/>
    <n v="8.3460000000000001"/>
    <n v="8.3460000000000001"/>
    <n v="8.3460000000000001"/>
    <n v="8.3460000000000001"/>
    <n v="66"/>
    <x v="2"/>
    <n v="0"/>
    <n v="0"/>
    <n v="38"/>
    <n v="89"/>
    <n v="0"/>
    <n v="343.17"/>
    <n v="303.54000000000002"/>
    <m/>
    <n v="487.85329400621345"/>
    <n v="287.16392669686104"/>
    <n v="0"/>
    <n v="2864.0968200000002"/>
    <n v="2533.3448400000002"/>
    <n v="0"/>
    <n v="4071.6235917758577"/>
    <n v="2396.670132212002"/>
  </r>
  <r>
    <s v="Regular"/>
    <x v="2"/>
    <x v="3"/>
    <x v="4"/>
    <x v="1"/>
    <x v="1"/>
    <x v="0"/>
    <x v="1"/>
    <x v="5"/>
    <n v="0"/>
    <n v="0"/>
    <n v="965.36699999999996"/>
    <n v="965.36699999999996"/>
    <n v="965.36699999999996"/>
    <n v="965.36699999999996"/>
    <n v="5063"/>
    <x v="2"/>
    <n v="0"/>
    <n v="0"/>
    <n v="38"/>
    <n v="89"/>
    <n v="0"/>
    <n v="343.17"/>
    <n v="303.54000000000002"/>
    <m/>
    <n v="487.85329400621345"/>
    <n v="287.16392669686104"/>
    <n v="0"/>
    <n v="331284.99339000002"/>
    <n v="293027.49917999998"/>
    <n v="0"/>
    <n v="470957.47087489621"/>
    <n v="277218.57842356863"/>
  </r>
  <r>
    <s v="Sistema de Compensação"/>
    <x v="2"/>
    <x v="3"/>
    <x v="4"/>
    <x v="1"/>
    <x v="1"/>
    <x v="0"/>
    <x v="1"/>
    <x v="5"/>
    <n v="0"/>
    <n v="0"/>
    <n v="8.8989999999999991"/>
    <n v="8.8989999999999991"/>
    <n v="8.8989999999999991"/>
    <n v="8.8989999999999991"/>
    <n v="70"/>
    <x v="2"/>
    <n v="0"/>
    <n v="0"/>
    <n v="38"/>
    <n v="89"/>
    <n v="0"/>
    <n v="343.17"/>
    <n v="303.54000000000002"/>
    <m/>
    <n v="487.85329400621345"/>
    <n v="287.16392669686104"/>
    <n v="0"/>
    <n v="3053.8698299999996"/>
    <n v="2701.20246"/>
    <n v="0"/>
    <n v="4341.4064633612934"/>
    <n v="2555.4717836753662"/>
  </r>
  <r>
    <s v="Regular"/>
    <x v="2"/>
    <x v="3"/>
    <x v="4"/>
    <x v="1"/>
    <x v="1"/>
    <x v="0"/>
    <x v="1"/>
    <x v="6"/>
    <n v="0"/>
    <n v="0"/>
    <n v="857.79"/>
    <n v="857.79"/>
    <n v="857.79"/>
    <n v="857.79"/>
    <n v="5084"/>
    <x v="2"/>
    <n v="0"/>
    <n v="0"/>
    <n v="38"/>
    <n v="89"/>
    <n v="0"/>
    <n v="343.17"/>
    <n v="303.54000000000002"/>
    <m/>
    <n v="487.85329400621345"/>
    <n v="287.16392669686104"/>
    <n v="0"/>
    <n v="294367.79430000001"/>
    <n v="260373.5766"/>
    <n v="0"/>
    <n v="418475.67706558981"/>
    <n v="246326.34468130043"/>
  </r>
  <r>
    <s v="Sistema de Compensação"/>
    <x v="2"/>
    <x v="3"/>
    <x v="4"/>
    <x v="1"/>
    <x v="1"/>
    <x v="0"/>
    <x v="1"/>
    <x v="6"/>
    <n v="0"/>
    <n v="0"/>
    <n v="7.76"/>
    <n v="7.76"/>
    <n v="7.76"/>
    <n v="7.76"/>
    <n v="71"/>
    <x v="2"/>
    <n v="0"/>
    <n v="0"/>
    <n v="38"/>
    <n v="89"/>
    <n v="0"/>
    <n v="343.17"/>
    <n v="303.54000000000002"/>
    <m/>
    <n v="487.85329400621345"/>
    <n v="287.16392669686104"/>
    <n v="0"/>
    <n v="2662.9992000000002"/>
    <n v="2355.4704000000002"/>
    <n v="0"/>
    <n v="3785.7415614882161"/>
    <n v="2228.3920711676415"/>
  </r>
  <r>
    <s v="Regular"/>
    <x v="2"/>
    <x v="3"/>
    <x v="4"/>
    <x v="1"/>
    <x v="1"/>
    <x v="0"/>
    <x v="1"/>
    <x v="7"/>
    <n v="0"/>
    <n v="0"/>
    <n v="850.14300000000003"/>
    <n v="850.14300000000003"/>
    <n v="850.14300000000003"/>
    <n v="850.14300000000003"/>
    <n v="5097"/>
    <x v="2"/>
    <n v="0"/>
    <n v="0"/>
    <n v="38"/>
    <n v="89"/>
    <n v="0"/>
    <n v="343.17"/>
    <n v="303.54000000000002"/>
    <m/>
    <n v="487.85329400621345"/>
    <n v="287.16392669686104"/>
    <n v="0"/>
    <n v="291743.57331000001"/>
    <n v="258052.40622000003"/>
    <n v="0"/>
    <n v="414745.06292632432"/>
    <n v="244130.40213384954"/>
  </r>
  <r>
    <s v="Sistema de Compensação"/>
    <x v="2"/>
    <x v="3"/>
    <x v="4"/>
    <x v="1"/>
    <x v="1"/>
    <x v="0"/>
    <x v="1"/>
    <x v="7"/>
    <n v="0"/>
    <n v="0"/>
    <n v="6.6920000000000002"/>
    <n v="6.6920000000000002"/>
    <n v="6.6920000000000002"/>
    <n v="6.6920000000000002"/>
    <n v="72"/>
    <x v="2"/>
    <n v="0"/>
    <n v="0"/>
    <n v="38"/>
    <n v="89"/>
    <n v="0"/>
    <n v="343.17"/>
    <n v="303.54000000000002"/>
    <m/>
    <n v="487.85329400621345"/>
    <n v="287.16392669686104"/>
    <n v="0"/>
    <n v="2296.4936400000001"/>
    <n v="2031.2896800000001"/>
    <n v="0"/>
    <n v="3264.7142434895804"/>
    <n v="1921.7009974553941"/>
  </r>
  <r>
    <s v="Regular"/>
    <x v="2"/>
    <x v="3"/>
    <x v="4"/>
    <x v="1"/>
    <x v="1"/>
    <x v="0"/>
    <x v="1"/>
    <x v="8"/>
    <n v="0"/>
    <n v="0"/>
    <n v="960.702"/>
    <n v="960.702"/>
    <n v="960.702"/>
    <n v="960.702"/>
    <n v="5105"/>
    <x v="2"/>
    <n v="0"/>
    <n v="0"/>
    <n v="38"/>
    <n v="89"/>
    <n v="0"/>
    <n v="343.17"/>
    <n v="303.54000000000002"/>
    <m/>
    <n v="487.85329400621345"/>
    <n v="287.16392669686104"/>
    <n v="0"/>
    <n v="329684.10534000001"/>
    <n v="291611.48508000001"/>
    <n v="0"/>
    <n v="468681.63525835727"/>
    <n v="275878.95870552777"/>
  </r>
  <r>
    <s v="Sistema de Compensação"/>
    <x v="2"/>
    <x v="3"/>
    <x v="4"/>
    <x v="1"/>
    <x v="1"/>
    <x v="0"/>
    <x v="1"/>
    <x v="8"/>
    <n v="0"/>
    <n v="0"/>
    <n v="7.8049999999999997"/>
    <n v="7.8049999999999997"/>
    <n v="7.8049999999999997"/>
    <n v="7.8049999999999997"/>
    <n v="78"/>
    <x v="2"/>
    <n v="0"/>
    <n v="0"/>
    <n v="38"/>
    <n v="89"/>
    <n v="0"/>
    <n v="343.17"/>
    <n v="303.54000000000002"/>
    <m/>
    <n v="487.85329400621345"/>
    <n v="287.16392669686104"/>
    <n v="0"/>
    <n v="2678.4418500000002"/>
    <n v="2369.1297"/>
    <n v="0"/>
    <n v="3807.6949597184957"/>
    <n v="2241.3144478690006"/>
  </r>
  <r>
    <s v="Regular"/>
    <x v="2"/>
    <x v="3"/>
    <x v="4"/>
    <x v="1"/>
    <x v="1"/>
    <x v="0"/>
    <x v="1"/>
    <x v="9"/>
    <n v="0"/>
    <n v="0"/>
    <n v="935.45699999999999"/>
    <n v="935.45699999999999"/>
    <n v="935.45699999999999"/>
    <n v="935.45699999999999"/>
    <n v="5108"/>
    <x v="2"/>
    <n v="0"/>
    <n v="0"/>
    <n v="38"/>
    <n v="89"/>
    <n v="0"/>
    <n v="343.17"/>
    <n v="303.54000000000002"/>
    <m/>
    <n v="487.85329400621345"/>
    <n v="287.16392669686104"/>
    <n v="0"/>
    <n v="321020.77869000001"/>
    <n v="283948.61778000003"/>
    <n v="0"/>
    <n v="456365.77885117038"/>
    <n v="268629.50537606556"/>
  </r>
  <r>
    <s v="Sistema de Compensação"/>
    <x v="2"/>
    <x v="3"/>
    <x v="4"/>
    <x v="1"/>
    <x v="1"/>
    <x v="0"/>
    <x v="1"/>
    <x v="9"/>
    <n v="0"/>
    <n v="0"/>
    <n v="8.8699999999999992"/>
    <n v="8.8699999999999992"/>
    <n v="8.8699999999999992"/>
    <n v="8.8699999999999992"/>
    <n v="84"/>
    <x v="2"/>
    <n v="0"/>
    <n v="0"/>
    <n v="38"/>
    <n v="89"/>
    <n v="0"/>
    <n v="343.17"/>
    <n v="303.54000000000002"/>
    <m/>
    <n v="487.85329400621345"/>
    <n v="287.16392669686104"/>
    <n v="0"/>
    <n v="3043.9178999999999"/>
    <n v="2692.3998000000001"/>
    <n v="0"/>
    <n v="4327.2587178351132"/>
    <n v="2547.1440298011571"/>
  </r>
  <r>
    <s v="Regular"/>
    <x v="2"/>
    <x v="3"/>
    <x v="4"/>
    <x v="1"/>
    <x v="1"/>
    <x v="0"/>
    <x v="1"/>
    <x v="10"/>
    <n v="0"/>
    <n v="0"/>
    <n v="1210.3520000000001"/>
    <n v="1210.3520000000001"/>
    <n v="1210.3520000000001"/>
    <n v="1210.3520000000001"/>
    <n v="5094"/>
    <x v="2"/>
    <n v="0"/>
    <n v="0"/>
    <n v="38"/>
    <n v="89"/>
    <n v="0"/>
    <n v="343.17"/>
    <n v="303.54000000000002"/>
    <m/>
    <n v="487.85329400621345"/>
    <n v="287.16392669686104"/>
    <n v="0"/>
    <n v="415356.49584000005"/>
    <n v="367390.24608000007"/>
    <n v="0"/>
    <n v="590474.21010700846"/>
    <n v="347569.43300539919"/>
  </r>
  <r>
    <s v="Sistema de Compensação"/>
    <x v="2"/>
    <x v="3"/>
    <x v="4"/>
    <x v="1"/>
    <x v="1"/>
    <x v="0"/>
    <x v="1"/>
    <x v="10"/>
    <n v="0"/>
    <n v="0"/>
    <n v="12.363"/>
    <n v="12.363"/>
    <n v="12.363"/>
    <n v="12.363"/>
    <n v="85"/>
    <x v="2"/>
    <n v="0"/>
    <n v="0"/>
    <n v="38"/>
    <n v="89"/>
    <n v="0"/>
    <n v="343.17"/>
    <n v="303.54000000000002"/>
    <m/>
    <n v="487.85329400621345"/>
    <n v="287.16392669686104"/>
    <n v="0"/>
    <n v="4242.6107099999999"/>
    <n v="3752.6650199999999"/>
    <n v="0"/>
    <n v="6031.330273798817"/>
    <n v="3550.2076257532931"/>
  </r>
  <r>
    <s v="Regular"/>
    <x v="2"/>
    <x v="3"/>
    <x v="4"/>
    <x v="1"/>
    <x v="1"/>
    <x v="0"/>
    <x v="1"/>
    <x v="11"/>
    <n v="0"/>
    <n v="0"/>
    <n v="1064.2370000000001"/>
    <n v="1064.2370000000001"/>
    <n v="1064.2370000000001"/>
    <n v="1064.2370000000001"/>
    <n v="5065"/>
    <x v="2"/>
    <n v="0"/>
    <n v="0"/>
    <n v="38"/>
    <n v="89"/>
    <n v="0"/>
    <n v="343.17"/>
    <n v="303.54000000000002"/>
    <m/>
    <n v="487.85329400621345"/>
    <n v="287.16392669686104"/>
    <n v="0"/>
    <n v="365214.21129000006"/>
    <n v="323038.49898000003"/>
    <n v="0"/>
    <n v="519191.52605329064"/>
    <n v="305610.47585608735"/>
  </r>
  <r>
    <s v="Sistema de Compensação"/>
    <x v="2"/>
    <x v="3"/>
    <x v="4"/>
    <x v="1"/>
    <x v="1"/>
    <x v="0"/>
    <x v="1"/>
    <x v="11"/>
    <n v="0"/>
    <n v="0"/>
    <n v="11.416"/>
    <n v="11.416"/>
    <n v="11.416"/>
    <n v="11.416"/>
    <n v="91"/>
    <x v="2"/>
    <n v="0"/>
    <n v="0"/>
    <n v="38"/>
    <n v="89"/>
    <n v="0"/>
    <n v="343.17"/>
    <n v="303.54000000000002"/>
    <m/>
    <n v="487.85329400621345"/>
    <n v="287.16392669686104"/>
    <n v="0"/>
    <n v="3917.6287200000002"/>
    <n v="3465.2126400000002"/>
    <n v="0"/>
    <n v="5569.3332043749333"/>
    <n v="3278.2633871713656"/>
  </r>
  <r>
    <s v="Regular"/>
    <x v="2"/>
    <x v="3"/>
    <x v="4"/>
    <x v="1"/>
    <x v="1"/>
    <x v="0"/>
    <x v="1"/>
    <x v="0"/>
    <n v="0"/>
    <n v="0"/>
    <n v="938.63199999999995"/>
    <n v="938.63199999999995"/>
    <n v="938.63199999999995"/>
    <n v="938.63199999999995"/>
    <n v="5073"/>
    <x v="2"/>
    <n v="0"/>
    <n v="0"/>
    <n v="38"/>
    <n v="89"/>
    <n v="0"/>
    <n v="343.17"/>
    <n v="303.54000000000002"/>
    <m/>
    <n v="487.85329400621345"/>
    <n v="287.16392669686104"/>
    <n v="0"/>
    <n v="322110.34344000003"/>
    <n v="284912.35728"/>
    <n v="0"/>
    <n v="457914.71305964014"/>
    <n v="269541.25084332807"/>
  </r>
  <r>
    <s v="Sistema de Compensação"/>
    <x v="2"/>
    <x v="3"/>
    <x v="4"/>
    <x v="1"/>
    <x v="1"/>
    <x v="0"/>
    <x v="1"/>
    <x v="0"/>
    <n v="0"/>
    <n v="0"/>
    <n v="11.135999999999999"/>
    <n v="11.135999999999999"/>
    <n v="11.135999999999999"/>
    <n v="11.135999999999999"/>
    <n v="94"/>
    <x v="2"/>
    <n v="0"/>
    <n v="0"/>
    <n v="38"/>
    <n v="89"/>
    <n v="0"/>
    <n v="343.17"/>
    <n v="303.54000000000002"/>
    <m/>
    <n v="487.85329400621345"/>
    <n v="287.16392669686104"/>
    <n v="0"/>
    <n v="3821.5411199999999"/>
    <n v="3380.2214399999998"/>
    <n v="0"/>
    <n v="5432.7342820531921"/>
    <n v="3197.8574876962443"/>
  </r>
  <r>
    <s v="Regular"/>
    <x v="2"/>
    <x v="3"/>
    <x v="4"/>
    <x v="1"/>
    <x v="1"/>
    <x v="0"/>
    <x v="1"/>
    <x v="1"/>
    <n v="0"/>
    <n v="0"/>
    <n v="825.43399999999997"/>
    <n v="825.43399999999997"/>
    <n v="825.43399999999997"/>
    <n v="825.43399999999997"/>
    <n v="5049"/>
    <x v="2"/>
    <n v="0"/>
    <n v="0"/>
    <n v="38"/>
    <n v="89"/>
    <n v="0"/>
    <n v="343.17"/>
    <n v="303.54000000000002"/>
    <m/>
    <n v="487.85329400621345"/>
    <n v="287.16392669686104"/>
    <n v="0"/>
    <n v="283264.18578"/>
    <n v="250552.23636000001"/>
    <n v="0"/>
    <n v="402690.69588472479"/>
    <n v="237034.86866909679"/>
  </r>
  <r>
    <s v="Sistema de Compensação"/>
    <x v="2"/>
    <x v="3"/>
    <x v="4"/>
    <x v="1"/>
    <x v="1"/>
    <x v="0"/>
    <x v="1"/>
    <x v="1"/>
    <n v="0"/>
    <n v="0"/>
    <n v="8.3059999999999992"/>
    <n v="8.3059999999999992"/>
    <n v="8.3059999999999992"/>
    <n v="8.3059999999999992"/>
    <n v="100"/>
    <x v="2"/>
    <n v="0"/>
    <n v="0"/>
    <n v="38"/>
    <n v="89"/>
    <n v="0"/>
    <n v="343.17"/>
    <n v="303.54000000000002"/>
    <m/>
    <n v="487.85329400621345"/>
    <n v="287.16392669686104"/>
    <n v="0"/>
    <n v="2850.3700199999998"/>
    <n v="2521.2032399999998"/>
    <n v="0"/>
    <n v="4052.1094600156084"/>
    <n v="2385.1835751441276"/>
  </r>
  <r>
    <s v="Regular"/>
    <x v="2"/>
    <x v="3"/>
    <x v="4"/>
    <x v="1"/>
    <x v="1"/>
    <x v="0"/>
    <x v="1"/>
    <x v="2"/>
    <n v="0"/>
    <n v="0"/>
    <n v="939.94399999999996"/>
    <n v="939.94399999999996"/>
    <n v="939.94399999999996"/>
    <n v="939.94399999999996"/>
    <n v="5130"/>
    <x v="2"/>
    <n v="0"/>
    <n v="0"/>
    <n v="38"/>
    <n v="89"/>
    <n v="0"/>
    <n v="343.17"/>
    <n v="303.54000000000002"/>
    <m/>
    <n v="487.85329400621345"/>
    <n v="287.16392669686104"/>
    <n v="0"/>
    <n v="322560.58247999998"/>
    <n v="285310.60175999999"/>
    <n v="0"/>
    <n v="458554.77658137627"/>
    <n v="269918.00991515437"/>
  </r>
  <r>
    <s v="Sistema de Compensação"/>
    <x v="2"/>
    <x v="3"/>
    <x v="4"/>
    <x v="1"/>
    <x v="1"/>
    <x v="0"/>
    <x v="1"/>
    <x v="2"/>
    <n v="0"/>
    <n v="0"/>
    <n v="12.606"/>
    <n v="12.606"/>
    <n v="12.606"/>
    <n v="12.606"/>
    <n v="101"/>
    <x v="2"/>
    <n v="0"/>
    <n v="0"/>
    <n v="38"/>
    <n v="89"/>
    <n v="0"/>
    <n v="343.17"/>
    <n v="303.54000000000002"/>
    <m/>
    <n v="487.85329400621345"/>
    <n v="287.16392669686104"/>
    <n v="0"/>
    <n v="4326.0010200000006"/>
    <n v="3826.42524"/>
    <n v="0"/>
    <n v="6149.8786242423266"/>
    <n v="3619.98845994063"/>
  </r>
  <r>
    <s v="Regular"/>
    <x v="2"/>
    <x v="3"/>
    <x v="4"/>
    <x v="1"/>
    <x v="1"/>
    <x v="0"/>
    <x v="1"/>
    <x v="3"/>
    <n v="0"/>
    <n v="0"/>
    <n v="954.72799999999995"/>
    <n v="954.72799999999995"/>
    <n v="954.72799999999995"/>
    <n v="954.72799999999995"/>
    <n v="5090"/>
    <x v="2"/>
    <n v="0"/>
    <n v="0"/>
    <n v="38"/>
    <n v="89"/>
    <n v="0"/>
    <n v="343.17"/>
    <n v="303.54000000000002"/>
    <m/>
    <n v="487.85329400621345"/>
    <n v="287.16392669686104"/>
    <n v="0"/>
    <n v="327634.00776000001"/>
    <n v="289798.13712000003"/>
    <n v="0"/>
    <n v="465767.19967996411"/>
    <n v="274163.44140744075"/>
  </r>
  <r>
    <s v="Sistema de Compensação"/>
    <x v="2"/>
    <x v="3"/>
    <x v="4"/>
    <x v="1"/>
    <x v="1"/>
    <x v="0"/>
    <x v="1"/>
    <x v="3"/>
    <n v="0"/>
    <n v="0"/>
    <n v="17.584"/>
    <n v="17.584"/>
    <n v="17.584"/>
    <n v="17.584"/>
    <n v="104"/>
    <x v="2"/>
    <n v="0"/>
    <n v="0"/>
    <n v="38"/>
    <n v="89"/>
    <n v="0"/>
    <n v="343.17"/>
    <n v="303.54000000000002"/>
    <m/>
    <n v="487.85329400621345"/>
    <n v="287.16392669686104"/>
    <n v="0"/>
    <n v="6034.3012800000006"/>
    <n v="5337.4473600000001"/>
    <n v="0"/>
    <n v="8578.4123218052573"/>
    <n v="5049.490487037604"/>
  </r>
  <r>
    <s v="Regular"/>
    <x v="2"/>
    <x v="3"/>
    <x v="4"/>
    <x v="2"/>
    <x v="1"/>
    <x v="0"/>
    <x v="1"/>
    <x v="4"/>
    <n v="0"/>
    <n v="0"/>
    <n v="8.9700000000000006"/>
    <n v="8.9700000000000006"/>
    <n v="8.9700000000000006"/>
    <n v="8.9700000000000006"/>
    <n v="14"/>
    <x v="2"/>
    <n v="0"/>
    <n v="0"/>
    <n v="41"/>
    <n v="90"/>
    <n v="0"/>
    <n v="94.95"/>
    <n v="106.24"/>
    <m/>
    <n v="115.90881422960153"/>
    <n v="100.50737434390136"/>
    <n v="0"/>
    <n v="851.70150000000012"/>
    <n v="952.97280000000001"/>
    <n v="0"/>
    <n v="1039.7020636395257"/>
    <n v="901.55114786479533"/>
  </r>
  <r>
    <s v="Regular"/>
    <x v="2"/>
    <x v="3"/>
    <x v="4"/>
    <x v="2"/>
    <x v="1"/>
    <x v="0"/>
    <x v="1"/>
    <x v="5"/>
    <n v="0"/>
    <n v="0"/>
    <n v="9.2100000000000009"/>
    <n v="9.2100000000000009"/>
    <n v="9.2100000000000009"/>
    <n v="9.2100000000000009"/>
    <n v="10"/>
    <x v="2"/>
    <n v="0"/>
    <n v="0"/>
    <n v="41"/>
    <n v="90"/>
    <n v="0"/>
    <n v="94.95"/>
    <n v="106.24"/>
    <m/>
    <n v="115.90881422960153"/>
    <n v="100.50737434390136"/>
    <n v="0"/>
    <n v="874.48950000000013"/>
    <n v="978.47040000000004"/>
    <n v="0"/>
    <n v="1067.5201790546303"/>
    <n v="925.67291770733164"/>
  </r>
  <r>
    <s v="Regular"/>
    <x v="2"/>
    <x v="3"/>
    <x v="4"/>
    <x v="2"/>
    <x v="1"/>
    <x v="0"/>
    <x v="1"/>
    <x v="6"/>
    <n v="0"/>
    <n v="0"/>
    <n v="9.09"/>
    <n v="9.09"/>
    <n v="9.09"/>
    <n v="9.09"/>
    <n v="11"/>
    <x v="2"/>
    <n v="0"/>
    <n v="0"/>
    <n v="41"/>
    <n v="90"/>
    <n v="0"/>
    <n v="94.95"/>
    <n v="106.24"/>
    <m/>
    <n v="115.90881422960153"/>
    <n v="100.50737434390136"/>
    <n v="0"/>
    <n v="863.09550000000002"/>
    <n v="965.72159999999997"/>
    <n v="0"/>
    <n v="1053.6111213470779"/>
    <n v="913.61203278606331"/>
  </r>
  <r>
    <s v="Regular"/>
    <x v="2"/>
    <x v="3"/>
    <x v="4"/>
    <x v="2"/>
    <x v="1"/>
    <x v="0"/>
    <x v="1"/>
    <x v="7"/>
    <n v="0"/>
    <n v="0"/>
    <n v="9.27"/>
    <n v="9.27"/>
    <n v="9.27"/>
    <n v="9.27"/>
    <n v="12"/>
    <x v="2"/>
    <n v="0"/>
    <n v="0"/>
    <n v="41"/>
    <n v="90"/>
    <n v="0"/>
    <n v="94.95"/>
    <n v="106.24"/>
    <m/>
    <n v="115.90881422960153"/>
    <n v="100.50737434390136"/>
    <n v="0"/>
    <n v="880.18650000000002"/>
    <n v="984.84479999999996"/>
    <n v="0"/>
    <n v="1074.4747079084061"/>
    <n v="931.70336016796557"/>
  </r>
  <r>
    <s v="Regular"/>
    <x v="2"/>
    <x v="3"/>
    <x v="4"/>
    <x v="2"/>
    <x v="1"/>
    <x v="0"/>
    <x v="1"/>
    <x v="8"/>
    <n v="0"/>
    <n v="0"/>
    <n v="9.48"/>
    <n v="9.48"/>
    <n v="9.48"/>
    <n v="9.48"/>
    <n v="11"/>
    <x v="2"/>
    <n v="0"/>
    <n v="0"/>
    <n v="41"/>
    <n v="90"/>
    <n v="0"/>
    <n v="94.95"/>
    <n v="106.24"/>
    <m/>
    <n v="115.90881422960153"/>
    <n v="100.50737434390136"/>
    <n v="0"/>
    <n v="900.12600000000009"/>
    <n v="1007.1552"/>
    <n v="0"/>
    <n v="1098.8155588966226"/>
    <n v="952.80990878018497"/>
  </r>
  <r>
    <s v="Regular"/>
    <x v="2"/>
    <x v="3"/>
    <x v="4"/>
    <x v="2"/>
    <x v="1"/>
    <x v="0"/>
    <x v="1"/>
    <x v="9"/>
    <n v="0"/>
    <n v="0"/>
    <n v="9.69"/>
    <n v="9.69"/>
    <n v="9.69"/>
    <n v="9.69"/>
    <n v="10"/>
    <x v="2"/>
    <n v="0"/>
    <n v="0"/>
    <n v="41"/>
    <n v="90"/>
    <n v="0"/>
    <n v="94.95"/>
    <n v="106.24"/>
    <m/>
    <n v="115.90881422960153"/>
    <n v="100.50737434390136"/>
    <n v="0"/>
    <n v="920.06549999999993"/>
    <n v="1029.4656"/>
    <n v="0"/>
    <n v="1123.1564098848387"/>
    <n v="973.91645739240414"/>
  </r>
  <r>
    <s v="Regular"/>
    <x v="2"/>
    <x v="3"/>
    <x v="4"/>
    <x v="2"/>
    <x v="1"/>
    <x v="0"/>
    <x v="1"/>
    <x v="10"/>
    <n v="0"/>
    <n v="0"/>
    <n v="10.56"/>
    <n v="10.56"/>
    <n v="10.56"/>
    <n v="10.56"/>
    <n v="9"/>
    <x v="2"/>
    <n v="0"/>
    <n v="0"/>
    <n v="41"/>
    <n v="90"/>
    <n v="0"/>
    <n v="94.95"/>
    <n v="106.24"/>
    <m/>
    <n v="115.90881422960153"/>
    <n v="100.50737434390136"/>
    <n v="0"/>
    <n v="1002.672"/>
    <n v="1121.8943999999999"/>
    <n v="0"/>
    <n v="1223.9970782645923"/>
    <n v="1061.3578730715985"/>
  </r>
  <r>
    <s v="Regular"/>
    <x v="2"/>
    <x v="3"/>
    <x v="4"/>
    <x v="2"/>
    <x v="1"/>
    <x v="0"/>
    <x v="1"/>
    <x v="11"/>
    <n v="0"/>
    <n v="0"/>
    <n v="11.22"/>
    <n v="11.22"/>
    <n v="11.22"/>
    <n v="11.22"/>
    <n v="11"/>
    <x v="2"/>
    <n v="0"/>
    <n v="0"/>
    <n v="41"/>
    <n v="90"/>
    <n v="0"/>
    <n v="94.95"/>
    <n v="106.24"/>
    <m/>
    <n v="115.90881422960153"/>
    <n v="100.50737434390136"/>
    <n v="0"/>
    <n v="1065.3390000000002"/>
    <n v="1192.0128"/>
    <n v="0"/>
    <n v="1300.4968956561293"/>
    <n v="1127.6927401385733"/>
  </r>
  <r>
    <s v="Regular"/>
    <x v="2"/>
    <x v="3"/>
    <x v="4"/>
    <x v="2"/>
    <x v="1"/>
    <x v="0"/>
    <x v="1"/>
    <x v="0"/>
    <n v="0"/>
    <n v="0"/>
    <n v="11.37"/>
    <n v="11.37"/>
    <n v="11.37"/>
    <n v="11.37"/>
    <n v="14"/>
    <x v="2"/>
    <n v="0"/>
    <n v="0"/>
    <n v="41"/>
    <n v="90"/>
    <n v="0"/>
    <n v="94.95"/>
    <n v="106.24"/>
    <m/>
    <n v="115.90881422960153"/>
    <n v="100.50737434390136"/>
    <n v="0"/>
    <n v="1079.5815"/>
    <n v="1207.9487999999999"/>
    <n v="0"/>
    <n v="1317.8832177905692"/>
    <n v="1142.7688462901583"/>
  </r>
  <r>
    <s v="Regular"/>
    <x v="2"/>
    <x v="3"/>
    <x v="4"/>
    <x v="2"/>
    <x v="1"/>
    <x v="0"/>
    <x v="1"/>
    <x v="1"/>
    <n v="0"/>
    <n v="0"/>
    <n v="11.82"/>
    <n v="11.82"/>
    <n v="11.82"/>
    <n v="11.82"/>
    <n v="9"/>
    <x v="2"/>
    <n v="0"/>
    <n v="0"/>
    <n v="41"/>
    <n v="90"/>
    <n v="0"/>
    <n v="94.95"/>
    <n v="106.24"/>
    <m/>
    <n v="115.90881422960153"/>
    <n v="100.50737434390136"/>
    <n v="0"/>
    <n v="1122.309"/>
    <n v="1255.7567999999999"/>
    <n v="0"/>
    <n v="1370.0421841938901"/>
    <n v="1187.997164744914"/>
  </r>
  <r>
    <s v="Regular"/>
    <x v="2"/>
    <x v="3"/>
    <x v="4"/>
    <x v="2"/>
    <x v="1"/>
    <x v="0"/>
    <x v="1"/>
    <x v="2"/>
    <n v="0"/>
    <n v="0"/>
    <n v="9.6300000000000008"/>
    <n v="9.6300000000000008"/>
    <n v="9.6300000000000008"/>
    <n v="9.6300000000000008"/>
    <n v="10"/>
    <x v="2"/>
    <n v="0"/>
    <n v="0"/>
    <n v="41"/>
    <n v="90"/>
    <n v="0"/>
    <n v="94.95"/>
    <n v="106.24"/>
    <m/>
    <n v="115.90881422960153"/>
    <n v="100.50737434390136"/>
    <n v="0"/>
    <n v="914.36850000000015"/>
    <n v="1023.0912000000001"/>
    <n v="0"/>
    <n v="1116.2018810310628"/>
    <n v="967.88601493177021"/>
  </r>
  <r>
    <s v="Regular"/>
    <x v="2"/>
    <x v="3"/>
    <x v="4"/>
    <x v="2"/>
    <x v="1"/>
    <x v="0"/>
    <x v="1"/>
    <x v="3"/>
    <n v="0"/>
    <n v="0"/>
    <n v="10.95"/>
    <n v="10.95"/>
    <n v="10.95"/>
    <n v="10.95"/>
    <n v="17"/>
    <x v="2"/>
    <n v="0"/>
    <n v="0"/>
    <n v="41"/>
    <n v="90"/>
    <n v="0"/>
    <n v="94.95"/>
    <n v="106.24"/>
    <m/>
    <n v="115.90881422960153"/>
    <n v="100.50737434390136"/>
    <n v="0"/>
    <n v="1039.7024999999999"/>
    <n v="1163.328"/>
    <n v="0"/>
    <n v="1269.2015158141367"/>
    <n v="1100.5557490657197"/>
  </r>
  <r>
    <s v="Regular"/>
    <x v="2"/>
    <x v="3"/>
    <x v="4"/>
    <x v="3"/>
    <x v="1"/>
    <x v="0"/>
    <x v="1"/>
    <x v="4"/>
    <n v="0"/>
    <n v="0"/>
    <n v="18.370999999999999"/>
    <n v="18.370999999999999"/>
    <n v="18.370999999999999"/>
    <n v="18.370999999999999"/>
    <n v="56"/>
    <x v="2"/>
    <n v="0"/>
    <n v="0"/>
    <n v="42"/>
    <n v="91"/>
    <n v="0"/>
    <n v="162.77000000000001"/>
    <n v="182.12"/>
    <m/>
    <n v="198.70082439360263"/>
    <n v="172.29835601811661"/>
    <n v="0"/>
    <n v="2990.2476699999997"/>
    <n v="3345.7265199999997"/>
    <n v="0"/>
    <n v="3650.3328449348737"/>
    <n v="3165.2930984088198"/>
  </r>
  <r>
    <s v="Regular"/>
    <x v="2"/>
    <x v="3"/>
    <x v="4"/>
    <x v="3"/>
    <x v="1"/>
    <x v="0"/>
    <x v="1"/>
    <x v="5"/>
    <n v="0"/>
    <n v="0"/>
    <n v="19.5"/>
    <n v="19.5"/>
    <n v="19.5"/>
    <n v="19.5"/>
    <n v="42"/>
    <x v="2"/>
    <n v="0"/>
    <n v="0"/>
    <n v="42"/>
    <n v="91"/>
    <n v="0"/>
    <n v="162.77000000000001"/>
    <n v="182.12"/>
    <m/>
    <n v="198.70082439360263"/>
    <n v="172.29835601811661"/>
    <n v="0"/>
    <n v="3174.0150000000003"/>
    <n v="3551.34"/>
    <n v="0"/>
    <n v="3874.6660756752512"/>
    <n v="3359.8179423532738"/>
  </r>
  <r>
    <s v="Regular"/>
    <x v="2"/>
    <x v="3"/>
    <x v="4"/>
    <x v="3"/>
    <x v="1"/>
    <x v="0"/>
    <x v="1"/>
    <x v="6"/>
    <n v="0"/>
    <n v="0"/>
    <n v="19.084"/>
    <n v="19.084"/>
    <n v="19.084"/>
    <n v="19.084"/>
    <n v="58"/>
    <x v="2"/>
    <n v="0"/>
    <n v="0"/>
    <n v="42"/>
    <n v="91"/>
    <n v="0"/>
    <n v="162.77000000000001"/>
    <n v="182.12"/>
    <m/>
    <n v="198.70082439360263"/>
    <n v="172.29835601811661"/>
    <n v="0"/>
    <n v="3106.3026800000002"/>
    <n v="3475.5780800000002"/>
    <n v="0"/>
    <n v="3792.0065327275124"/>
    <n v="3288.1418262497373"/>
  </r>
  <r>
    <s v="Regular"/>
    <x v="2"/>
    <x v="3"/>
    <x v="4"/>
    <x v="3"/>
    <x v="1"/>
    <x v="0"/>
    <x v="1"/>
    <x v="7"/>
    <n v="0"/>
    <n v="0"/>
    <n v="18.992999999999999"/>
    <n v="18.992999999999999"/>
    <n v="18.992999999999999"/>
    <n v="18.992999999999999"/>
    <n v="67"/>
    <x v="2"/>
    <n v="0"/>
    <n v="0"/>
    <n v="42"/>
    <n v="91"/>
    <n v="0"/>
    <n v="162.77000000000001"/>
    <n v="182.12"/>
    <m/>
    <n v="198.70082439360263"/>
    <n v="172.29835601811661"/>
    <n v="0"/>
    <n v="3091.4906099999998"/>
    <n v="3459.0051599999997"/>
    <n v="0"/>
    <n v="3773.9247577076944"/>
    <n v="3272.4626758520885"/>
  </r>
  <r>
    <s v="Regular"/>
    <x v="2"/>
    <x v="3"/>
    <x v="4"/>
    <x v="3"/>
    <x v="1"/>
    <x v="0"/>
    <x v="1"/>
    <x v="8"/>
    <n v="0"/>
    <n v="0"/>
    <n v="20.306999999999999"/>
    <n v="20.306999999999999"/>
    <n v="20.306999999999999"/>
    <n v="20.306999999999999"/>
    <n v="47"/>
    <x v="2"/>
    <n v="0"/>
    <n v="0"/>
    <n v="42"/>
    <n v="91"/>
    <n v="0"/>
    <n v="162.77000000000001"/>
    <n v="182.12"/>
    <m/>
    <n v="198.70082439360263"/>
    <n v="172.29835601811661"/>
    <n v="0"/>
    <n v="3305.37039"/>
    <n v="3698.3108399999996"/>
    <n v="0"/>
    <n v="4035.0176409608885"/>
    <n v="3498.8627156598936"/>
  </r>
  <r>
    <s v="Regular"/>
    <x v="2"/>
    <x v="3"/>
    <x v="4"/>
    <x v="3"/>
    <x v="1"/>
    <x v="0"/>
    <x v="1"/>
    <x v="9"/>
    <n v="0"/>
    <n v="0"/>
    <n v="20.56"/>
    <n v="20.56"/>
    <n v="20.56"/>
    <n v="20.56"/>
    <n v="54"/>
    <x v="2"/>
    <n v="0"/>
    <n v="0"/>
    <n v="42"/>
    <n v="91"/>
    <n v="0"/>
    <n v="162.77000000000001"/>
    <n v="182.12"/>
    <m/>
    <n v="198.70082439360263"/>
    <n v="172.29835601811661"/>
    <n v="0"/>
    <n v="3346.5511999999999"/>
    <n v="3744.3871999999997"/>
    <n v="0"/>
    <n v="4085.2889495324698"/>
    <n v="3542.4541997324773"/>
  </r>
  <r>
    <s v="Regular"/>
    <x v="2"/>
    <x v="3"/>
    <x v="4"/>
    <x v="3"/>
    <x v="1"/>
    <x v="0"/>
    <x v="1"/>
    <x v="10"/>
    <n v="0"/>
    <n v="0"/>
    <n v="23.015999999999998"/>
    <n v="23.015999999999998"/>
    <n v="23.015999999999998"/>
    <n v="23.015999999999998"/>
    <n v="37"/>
    <x v="2"/>
    <n v="0"/>
    <n v="0"/>
    <n v="42"/>
    <n v="91"/>
    <n v="0"/>
    <n v="162.77000000000001"/>
    <n v="182.12"/>
    <m/>
    <n v="198.70082439360263"/>
    <n v="172.29835601811661"/>
    <n v="0"/>
    <n v="3746.31432"/>
    <n v="4191.6739200000002"/>
    <n v="0"/>
    <n v="4573.2981742431575"/>
    <n v="3965.6189621129715"/>
  </r>
  <r>
    <s v="Regular"/>
    <x v="2"/>
    <x v="3"/>
    <x v="4"/>
    <x v="3"/>
    <x v="1"/>
    <x v="0"/>
    <x v="1"/>
    <x v="11"/>
    <n v="0"/>
    <n v="0"/>
    <n v="24"/>
    <n v="24"/>
    <n v="24"/>
    <n v="24"/>
    <n v="55"/>
    <x v="2"/>
    <n v="0"/>
    <n v="0"/>
    <n v="42"/>
    <n v="91"/>
    <n v="0"/>
    <n v="162.77000000000001"/>
    <n v="182.12"/>
    <m/>
    <n v="198.70082439360263"/>
    <n v="172.29835601811661"/>
    <n v="0"/>
    <n v="3906.4800000000005"/>
    <n v="4370.88"/>
    <n v="0"/>
    <n v="4768.8197854464634"/>
    <n v="4135.1605444347988"/>
  </r>
  <r>
    <s v="Regular"/>
    <x v="2"/>
    <x v="3"/>
    <x v="4"/>
    <x v="3"/>
    <x v="1"/>
    <x v="0"/>
    <x v="1"/>
    <x v="0"/>
    <n v="0"/>
    <n v="0"/>
    <n v="23.969000000000001"/>
    <n v="23.969000000000001"/>
    <n v="23.969000000000001"/>
    <n v="23.969000000000001"/>
    <n v="65"/>
    <x v="2"/>
    <n v="0"/>
    <n v="0"/>
    <n v="42"/>
    <n v="91"/>
    <n v="0"/>
    <n v="162.77000000000001"/>
    <n v="182.12"/>
    <m/>
    <n v="198.70082439360263"/>
    <n v="172.29835601811661"/>
    <n v="0"/>
    <n v="3901.4341300000006"/>
    <n v="4365.2342800000006"/>
    <n v="0"/>
    <n v="4762.6600598902614"/>
    <n v="4129.819295398237"/>
  </r>
  <r>
    <s v="Regular"/>
    <x v="2"/>
    <x v="3"/>
    <x v="4"/>
    <x v="3"/>
    <x v="1"/>
    <x v="0"/>
    <x v="1"/>
    <x v="1"/>
    <n v="0"/>
    <n v="0"/>
    <n v="24.436"/>
    <n v="24.436"/>
    <n v="24.436"/>
    <n v="24.436"/>
    <n v="97"/>
    <x v="2"/>
    <n v="0"/>
    <n v="0"/>
    <n v="42"/>
    <n v="91"/>
    <n v="0"/>
    <n v="162.77000000000001"/>
    <n v="182.12"/>
    <m/>
    <n v="198.70082439360263"/>
    <n v="172.29835601811661"/>
    <n v="0"/>
    <n v="3977.4477200000001"/>
    <n v="4450.2843199999998"/>
    <n v="0"/>
    <n v="4855.4533448820739"/>
    <n v="4210.2826276586975"/>
  </r>
  <r>
    <s v="Regular"/>
    <x v="2"/>
    <x v="3"/>
    <x v="4"/>
    <x v="3"/>
    <x v="1"/>
    <x v="0"/>
    <x v="1"/>
    <x v="2"/>
    <n v="0"/>
    <n v="0"/>
    <n v="19.992999999999999"/>
    <n v="19.992999999999999"/>
    <n v="19.992999999999999"/>
    <n v="19.992999999999999"/>
    <n v="64"/>
    <x v="2"/>
    <n v="0"/>
    <n v="0"/>
    <n v="42"/>
    <n v="91"/>
    <n v="0"/>
    <n v="162.77000000000001"/>
    <n v="182.12"/>
    <m/>
    <n v="198.70082439360263"/>
    <n v="172.29835601811661"/>
    <n v="0"/>
    <n v="3254.2606099999998"/>
    <n v="3641.1251600000001"/>
    <n v="0"/>
    <n v="3972.6255821012969"/>
    <n v="3444.761031870205"/>
  </r>
  <r>
    <s v="Regular"/>
    <x v="2"/>
    <x v="3"/>
    <x v="4"/>
    <x v="3"/>
    <x v="1"/>
    <x v="0"/>
    <x v="1"/>
    <x v="3"/>
    <n v="0"/>
    <n v="0"/>
    <n v="22.091000000000001"/>
    <n v="22.091000000000001"/>
    <n v="22.091000000000001"/>
    <n v="22.091000000000001"/>
    <n v="78"/>
    <x v="2"/>
    <n v="0"/>
    <n v="0"/>
    <n v="42"/>
    <n v="91"/>
    <n v="0"/>
    <n v="162.77000000000001"/>
    <n v="182.12"/>
    <m/>
    <n v="198.70082439360263"/>
    <n v="172.29835601811661"/>
    <n v="0"/>
    <n v="3595.7520700000005"/>
    <n v="4023.2129200000004"/>
    <n v="0"/>
    <n v="4389.4999116790759"/>
    <n v="3806.2429827962142"/>
  </r>
  <r>
    <s v="Regular"/>
    <x v="2"/>
    <x v="3"/>
    <x v="4"/>
    <x v="4"/>
    <x v="1"/>
    <x v="0"/>
    <x v="1"/>
    <x v="4"/>
    <n v="0"/>
    <n v="0"/>
    <n v="17.896999999999998"/>
    <n v="17.896999999999998"/>
    <n v="17.896999999999998"/>
    <n v="17.896999999999998"/>
    <n v="147"/>
    <x v="2"/>
    <n v="0"/>
    <n v="0"/>
    <n v="45"/>
    <n v="2"/>
    <n v="0"/>
    <n v="244.15"/>
    <n v="273.19"/>
    <m/>
    <n v="298.05123659040396"/>
    <n v="258.44753402717492"/>
    <n v="0"/>
    <n v="4369.5525499999994"/>
    <n v="4889.2814299999991"/>
    <n v="0"/>
    <n v="5334.2229812584592"/>
    <n v="4625.4355164843491"/>
  </r>
  <r>
    <s v="Regular"/>
    <x v="2"/>
    <x v="3"/>
    <x v="4"/>
    <x v="4"/>
    <x v="1"/>
    <x v="0"/>
    <x v="1"/>
    <x v="5"/>
    <n v="0"/>
    <n v="0"/>
    <n v="20.79"/>
    <n v="20.79"/>
    <n v="20.79"/>
    <n v="20.79"/>
    <n v="159"/>
    <x v="2"/>
    <n v="0"/>
    <n v="0"/>
    <n v="45"/>
    <n v="2"/>
    <n v="0"/>
    <n v="244.15"/>
    <n v="273.19"/>
    <m/>
    <n v="298.05123659040396"/>
    <n v="258.44753402717492"/>
    <n v="0"/>
    <n v="5075.8784999999998"/>
    <n v="5679.6201000000001"/>
    <n v="0"/>
    <n v="6196.4852087144982"/>
    <n v="5373.1242324249661"/>
  </r>
  <r>
    <s v="Regular"/>
    <x v="2"/>
    <x v="3"/>
    <x v="4"/>
    <x v="4"/>
    <x v="1"/>
    <x v="0"/>
    <x v="1"/>
    <x v="6"/>
    <n v="0"/>
    <n v="0"/>
    <n v="17.515999999999998"/>
    <n v="17.515999999999998"/>
    <n v="17.515999999999998"/>
    <n v="17.515999999999998"/>
    <n v="170"/>
    <x v="2"/>
    <n v="0"/>
    <n v="0"/>
    <n v="45"/>
    <n v="2"/>
    <n v="0"/>
    <n v="244.15"/>
    <n v="273.19"/>
    <m/>
    <n v="298.05123659040396"/>
    <n v="258.44753402717492"/>
    <n v="0"/>
    <n v="4276.5313999999998"/>
    <n v="4785.1960399999998"/>
    <n v="0"/>
    <n v="5220.6654601175151"/>
    <n v="4526.9670060199951"/>
  </r>
  <r>
    <s v="Regular"/>
    <x v="2"/>
    <x v="3"/>
    <x v="4"/>
    <x v="4"/>
    <x v="1"/>
    <x v="0"/>
    <x v="1"/>
    <x v="7"/>
    <n v="0"/>
    <n v="0"/>
    <n v="16.582999999999998"/>
    <n v="16.582999999999998"/>
    <n v="16.582999999999998"/>
    <n v="16.582999999999998"/>
    <n v="170"/>
    <x v="2"/>
    <n v="0"/>
    <n v="0"/>
    <n v="45"/>
    <n v="2"/>
    <n v="0"/>
    <n v="244.15"/>
    <n v="273.19"/>
    <m/>
    <n v="298.05123659040396"/>
    <n v="258.44753402717492"/>
    <n v="0"/>
    <n v="4048.7394499999996"/>
    <n v="4530.3097699999998"/>
    <n v="0"/>
    <n v="4942.5836563786688"/>
    <n v="4285.835456772641"/>
  </r>
  <r>
    <s v="Regular"/>
    <x v="2"/>
    <x v="3"/>
    <x v="4"/>
    <x v="4"/>
    <x v="1"/>
    <x v="0"/>
    <x v="1"/>
    <x v="8"/>
    <n v="0"/>
    <n v="0"/>
    <n v="20.638999999999999"/>
    <n v="20.638999999999999"/>
    <n v="20.638999999999999"/>
    <n v="20.638999999999999"/>
    <n v="161"/>
    <x v="2"/>
    <n v="0"/>
    <n v="0"/>
    <n v="45"/>
    <n v="2"/>
    <n v="0"/>
    <n v="244.15"/>
    <n v="273.19"/>
    <m/>
    <n v="298.05123659040396"/>
    <n v="258.44753402717492"/>
    <n v="0"/>
    <n v="5039.0118499999999"/>
    <n v="5638.36841"/>
    <n v="0"/>
    <n v="6151.4794719893471"/>
    <n v="5334.0986547868633"/>
  </r>
  <r>
    <s v="Regular"/>
    <x v="2"/>
    <x v="3"/>
    <x v="4"/>
    <x v="4"/>
    <x v="1"/>
    <x v="0"/>
    <x v="1"/>
    <x v="9"/>
    <n v="0"/>
    <n v="0"/>
    <n v="19.594000000000001"/>
    <n v="19.594000000000001"/>
    <n v="19.594000000000001"/>
    <n v="19.594000000000001"/>
    <n v="172"/>
    <x v="2"/>
    <n v="0"/>
    <n v="0"/>
    <n v="45"/>
    <n v="2"/>
    <n v="0"/>
    <n v="244.15"/>
    <n v="273.19"/>
    <m/>
    <n v="298.05123659040396"/>
    <n v="258.44753402717492"/>
    <n v="0"/>
    <n v="4783.8751000000002"/>
    <n v="5352.8848600000001"/>
    <n v="0"/>
    <n v="5840.015929752376"/>
    <n v="5064.0209817284658"/>
  </r>
  <r>
    <s v="Regular"/>
    <x v="2"/>
    <x v="3"/>
    <x v="4"/>
    <x v="4"/>
    <x v="1"/>
    <x v="0"/>
    <x v="1"/>
    <x v="10"/>
    <n v="0"/>
    <n v="0"/>
    <n v="26.75"/>
    <n v="26.75"/>
    <n v="26.75"/>
    <n v="26.75"/>
    <n v="163"/>
    <x v="2"/>
    <n v="0"/>
    <n v="0"/>
    <n v="45"/>
    <n v="2"/>
    <n v="0"/>
    <n v="244.15"/>
    <n v="273.19"/>
    <m/>
    <n v="298.05123659040396"/>
    <n v="258.44753402717492"/>
    <n v="0"/>
    <n v="6531.0124999999998"/>
    <n v="7307.8324999999995"/>
    <n v="0"/>
    <n v="7972.8705787933059"/>
    <n v="6913.4715352269295"/>
  </r>
  <r>
    <s v="Regular"/>
    <x v="2"/>
    <x v="3"/>
    <x v="4"/>
    <x v="4"/>
    <x v="1"/>
    <x v="0"/>
    <x v="1"/>
    <x v="11"/>
    <n v="0"/>
    <n v="0"/>
    <n v="25.718"/>
    <n v="25.718"/>
    <n v="25.718"/>
    <n v="25.718"/>
    <n v="190"/>
    <x v="2"/>
    <n v="0"/>
    <n v="0"/>
    <n v="45"/>
    <n v="2"/>
    <n v="0"/>
    <n v="244.15"/>
    <n v="273.19"/>
    <m/>
    <n v="298.05123659040396"/>
    <n v="258.44753402717492"/>
    <n v="0"/>
    <n v="6279.0497000000005"/>
    <n v="7025.9004199999999"/>
    <n v="0"/>
    <n v="7665.281702632009"/>
    <n v="6646.7536801108845"/>
  </r>
  <r>
    <s v="Regular"/>
    <x v="2"/>
    <x v="3"/>
    <x v="4"/>
    <x v="4"/>
    <x v="1"/>
    <x v="0"/>
    <x v="1"/>
    <x v="0"/>
    <n v="0"/>
    <n v="0"/>
    <n v="22.731999999999999"/>
    <n v="22.731999999999999"/>
    <n v="22.731999999999999"/>
    <n v="22.731999999999999"/>
    <n v="205"/>
    <x v="2"/>
    <n v="0"/>
    <n v="0"/>
    <n v="45"/>
    <n v="2"/>
    <n v="0"/>
    <n v="244.15"/>
    <n v="273.19"/>
    <m/>
    <n v="298.05123659040396"/>
    <n v="258.44753402717492"/>
    <n v="0"/>
    <n v="5550.0177999999996"/>
    <n v="6210.1550799999995"/>
    <n v="0"/>
    <n v="6775.3007101730627"/>
    <n v="5875.0293435057401"/>
  </r>
  <r>
    <s v="Regular"/>
    <x v="2"/>
    <x v="3"/>
    <x v="4"/>
    <x v="4"/>
    <x v="1"/>
    <x v="0"/>
    <x v="1"/>
    <x v="1"/>
    <n v="0"/>
    <n v="0"/>
    <n v="21.222999999999999"/>
    <n v="21.222999999999999"/>
    <n v="21.222999999999999"/>
    <n v="21.222999999999999"/>
    <n v="212"/>
    <x v="2"/>
    <n v="0"/>
    <n v="0"/>
    <n v="45"/>
    <n v="2"/>
    <n v="0"/>
    <n v="244.15"/>
    <n v="273.19"/>
    <m/>
    <n v="298.05123659040396"/>
    <n v="258.44753402717492"/>
    <n v="0"/>
    <n v="5181.5954499999998"/>
    <n v="5797.9113699999998"/>
    <n v="0"/>
    <n v="6325.5413941581428"/>
    <n v="5485.0320146587328"/>
  </r>
  <r>
    <s v="Regular"/>
    <x v="2"/>
    <x v="3"/>
    <x v="4"/>
    <x v="4"/>
    <x v="1"/>
    <x v="0"/>
    <x v="1"/>
    <x v="2"/>
    <n v="0"/>
    <n v="0"/>
    <n v="18.413"/>
    <n v="18.413"/>
    <n v="18.413"/>
    <n v="18.413"/>
    <n v="178"/>
    <x v="2"/>
    <n v="0"/>
    <n v="0"/>
    <n v="45"/>
    <n v="2"/>
    <n v="0"/>
    <n v="244.15"/>
    <n v="273.19"/>
    <m/>
    <n v="298.05123659040396"/>
    <n v="258.44753402717492"/>
    <n v="0"/>
    <n v="4495.53395"/>
    <n v="5030.2474700000002"/>
    <n v="0"/>
    <n v="5488.0174193391085"/>
    <n v="4758.7944440423717"/>
  </r>
  <r>
    <s v="Regular"/>
    <x v="2"/>
    <x v="3"/>
    <x v="4"/>
    <x v="4"/>
    <x v="1"/>
    <x v="0"/>
    <x v="1"/>
    <x v="3"/>
    <n v="0"/>
    <n v="0"/>
    <n v="20.666"/>
    <n v="20.666"/>
    <n v="20.666"/>
    <n v="20.666"/>
    <n v="180"/>
    <x v="2"/>
    <n v="0"/>
    <n v="0"/>
    <n v="45"/>
    <n v="2"/>
    <n v="0"/>
    <n v="244.15"/>
    <n v="273.19"/>
    <m/>
    <n v="298.05123659040396"/>
    <n v="258.44753402717492"/>
    <n v="0"/>
    <n v="5045.6039000000001"/>
    <n v="5645.7445399999997"/>
    <n v="0"/>
    <n v="6159.5268553772885"/>
    <n v="5341.0767382055974"/>
  </r>
  <r>
    <s v="Regular"/>
    <x v="2"/>
    <x v="3"/>
    <x v="4"/>
    <x v="5"/>
    <x v="1"/>
    <x v="0"/>
    <x v="1"/>
    <x v="4"/>
    <n v="0"/>
    <n v="0"/>
    <n v="5.9829999999999997"/>
    <n v="5.9829999999999997"/>
    <n v="5.9829999999999997"/>
    <n v="5.9829999999999997"/>
    <n v="82"/>
    <x v="2"/>
    <n v="0"/>
    <n v="0"/>
    <n v="46"/>
    <n v="4"/>
    <n v="0"/>
    <n v="271.27999999999997"/>
    <n v="303.54000000000002"/>
    <m/>
    <n v="331.16804065600439"/>
    <n v="287.16392669686104"/>
    <n v="0"/>
    <n v="1623.0682399999998"/>
    <n v="1816.0798199999999"/>
    <n v="0"/>
    <n v="1981.3783872448741"/>
    <n v="1718.1017734273196"/>
  </r>
  <r>
    <s v="Regular"/>
    <x v="2"/>
    <x v="3"/>
    <x v="4"/>
    <x v="5"/>
    <x v="1"/>
    <x v="0"/>
    <x v="1"/>
    <x v="5"/>
    <n v="0"/>
    <n v="0"/>
    <n v="7.6020000000000003"/>
    <n v="7.6020000000000003"/>
    <n v="7.6020000000000003"/>
    <n v="7.6020000000000003"/>
    <n v="96"/>
    <x v="2"/>
    <n v="0"/>
    <n v="0"/>
    <n v="46"/>
    <n v="4"/>
    <n v="0"/>
    <n v="271.27999999999997"/>
    <n v="303.54000000000002"/>
    <m/>
    <n v="331.16804065600439"/>
    <n v="287.16392669686104"/>
    <n v="0"/>
    <n v="2062.2705599999999"/>
    <n v="2307.5110800000002"/>
    <n v="0"/>
    <n v="2517.5394450669455"/>
    <n v="2183.0201707495376"/>
  </r>
  <r>
    <s v="Regular"/>
    <x v="2"/>
    <x v="3"/>
    <x v="4"/>
    <x v="5"/>
    <x v="1"/>
    <x v="0"/>
    <x v="1"/>
    <x v="6"/>
    <n v="0"/>
    <n v="0"/>
    <n v="4.5890000000000004"/>
    <n v="4.5890000000000004"/>
    <n v="4.5890000000000004"/>
    <n v="4.5890000000000004"/>
    <n v="64"/>
    <x v="2"/>
    <n v="0"/>
    <n v="0"/>
    <n v="46"/>
    <n v="4"/>
    <n v="0"/>
    <n v="271.27999999999997"/>
    <n v="303.54000000000002"/>
    <m/>
    <n v="331.16804065600439"/>
    <n v="287.16392669686104"/>
    <n v="0"/>
    <n v="1244.90392"/>
    <n v="1392.9450600000002"/>
    <n v="0"/>
    <n v="1519.7301385704043"/>
    <n v="1317.7952596118955"/>
  </r>
  <r>
    <s v="Regular"/>
    <x v="2"/>
    <x v="3"/>
    <x v="4"/>
    <x v="5"/>
    <x v="1"/>
    <x v="0"/>
    <x v="1"/>
    <x v="7"/>
    <n v="0"/>
    <n v="0"/>
    <n v="3.7509999999999999"/>
    <n v="3.7509999999999999"/>
    <n v="3.7509999999999999"/>
    <n v="3.7509999999999999"/>
    <n v="60"/>
    <x v="2"/>
    <n v="0"/>
    <n v="0"/>
    <n v="46"/>
    <n v="4"/>
    <n v="0"/>
    <n v="271.27999999999997"/>
    <n v="303.54000000000002"/>
    <m/>
    <n v="331.16804065600439"/>
    <n v="287.16392669686104"/>
    <n v="0"/>
    <n v="1017.5712799999999"/>
    <n v="1138.57854"/>
    <n v="0"/>
    <n v="1242.2113205006724"/>
    <n v="1077.1518890399257"/>
  </r>
  <r>
    <s v="Regular"/>
    <x v="2"/>
    <x v="3"/>
    <x v="4"/>
    <x v="5"/>
    <x v="1"/>
    <x v="0"/>
    <x v="1"/>
    <x v="8"/>
    <n v="0"/>
    <n v="0"/>
    <n v="7.5640000000000001"/>
    <n v="7.5640000000000001"/>
    <n v="7.5640000000000001"/>
    <n v="7.5640000000000001"/>
    <n v="97"/>
    <x v="2"/>
    <n v="0"/>
    <n v="0"/>
    <n v="46"/>
    <n v="4"/>
    <n v="0"/>
    <n v="271.27999999999997"/>
    <n v="303.54000000000002"/>
    <m/>
    <n v="331.16804065600439"/>
    <n v="287.16392669686104"/>
    <n v="0"/>
    <n v="2051.9619199999997"/>
    <n v="2295.9765600000001"/>
    <n v="0"/>
    <n v="2504.9550595220171"/>
    <n v="2172.1079415350569"/>
  </r>
  <r>
    <s v="Regular"/>
    <x v="2"/>
    <x v="3"/>
    <x v="4"/>
    <x v="5"/>
    <x v="1"/>
    <x v="0"/>
    <x v="1"/>
    <x v="9"/>
    <n v="0"/>
    <n v="0"/>
    <n v="6.6920000000000002"/>
    <n v="6.6920000000000002"/>
    <n v="6.6920000000000002"/>
    <n v="6.6920000000000002"/>
    <n v="87"/>
    <x v="2"/>
    <n v="0"/>
    <n v="0"/>
    <n v="46"/>
    <n v="4"/>
    <n v="0"/>
    <n v="271.27999999999997"/>
    <n v="303.54000000000002"/>
    <m/>
    <n v="331.16804065600439"/>
    <n v="287.16392669686104"/>
    <n v="0"/>
    <n v="1815.4057599999999"/>
    <n v="2031.2896800000001"/>
    <n v="0"/>
    <n v="2216.1765280699815"/>
    <n v="1921.7009974553941"/>
  </r>
  <r>
    <s v="Regular"/>
    <x v="2"/>
    <x v="3"/>
    <x v="4"/>
    <x v="5"/>
    <x v="1"/>
    <x v="0"/>
    <x v="1"/>
    <x v="10"/>
    <n v="0"/>
    <n v="0"/>
    <n v="15.93"/>
    <n v="15.93"/>
    <n v="15.93"/>
    <n v="15.93"/>
    <n v="143"/>
    <x v="2"/>
    <n v="0"/>
    <n v="0"/>
    <n v="46"/>
    <n v="4"/>
    <n v="0"/>
    <n v="271.27999999999997"/>
    <n v="303.54000000000002"/>
    <m/>
    <n v="331.16804065600439"/>
    <n v="287.16392669686104"/>
    <n v="0"/>
    <n v="4321.4903999999997"/>
    <n v="4835.3922000000002"/>
    <n v="0"/>
    <n v="5275.50688765015"/>
    <n v="4574.5213522809963"/>
  </r>
  <r>
    <s v="Regular"/>
    <x v="2"/>
    <x v="3"/>
    <x v="4"/>
    <x v="5"/>
    <x v="1"/>
    <x v="0"/>
    <x v="1"/>
    <x v="11"/>
    <n v="0"/>
    <n v="0"/>
    <n v="12.44"/>
    <n v="12.44"/>
    <n v="12.44"/>
    <n v="12.44"/>
    <n v="118"/>
    <x v="2"/>
    <n v="0"/>
    <n v="0"/>
    <n v="46"/>
    <n v="4"/>
    <n v="0"/>
    <n v="271.27999999999997"/>
    <n v="303.54000000000002"/>
    <m/>
    <n v="331.16804065600439"/>
    <n v="287.16392669686104"/>
    <n v="0"/>
    <n v="3374.7231999999995"/>
    <n v="3776.0376000000001"/>
    <n v="0"/>
    <n v="4119.7304257606947"/>
    <n v="3572.3192481089513"/>
  </r>
  <r>
    <s v="Regular"/>
    <x v="2"/>
    <x v="3"/>
    <x v="4"/>
    <x v="5"/>
    <x v="1"/>
    <x v="0"/>
    <x v="1"/>
    <x v="0"/>
    <n v="0"/>
    <n v="0"/>
    <n v="7.141"/>
    <n v="7.141"/>
    <n v="7.141"/>
    <n v="7.141"/>
    <n v="95"/>
    <x v="2"/>
    <n v="0"/>
    <n v="0"/>
    <n v="46"/>
    <n v="4"/>
    <n v="0"/>
    <n v="271.27999999999997"/>
    <n v="303.54000000000002"/>
    <m/>
    <n v="331.16804065600439"/>
    <n v="287.16392669686104"/>
    <n v="0"/>
    <n v="1937.2104799999997"/>
    <n v="2167.5791400000003"/>
    <n v="0"/>
    <n v="2364.8709783245272"/>
    <n v="2050.6376005422849"/>
  </r>
  <r>
    <s v="Regular"/>
    <x v="2"/>
    <x v="3"/>
    <x v="4"/>
    <x v="5"/>
    <x v="1"/>
    <x v="0"/>
    <x v="1"/>
    <x v="1"/>
    <n v="0"/>
    <n v="0"/>
    <n v="5.4130000000000003"/>
    <n v="5.4130000000000003"/>
    <n v="5.4130000000000003"/>
    <n v="5.4130000000000003"/>
    <n v="76"/>
    <x v="2"/>
    <n v="0"/>
    <n v="0"/>
    <n v="46"/>
    <n v="4"/>
    <n v="0"/>
    <n v="271.27999999999997"/>
    <n v="303.54000000000002"/>
    <m/>
    <n v="331.16804065600439"/>
    <n v="287.16392669686104"/>
    <n v="0"/>
    <n v="1468.4386399999999"/>
    <n v="1643.0620200000001"/>
    <n v="0"/>
    <n v="1792.6126040709519"/>
    <n v="1554.4183352101088"/>
  </r>
  <r>
    <s v="Regular"/>
    <x v="2"/>
    <x v="3"/>
    <x v="4"/>
    <x v="5"/>
    <x v="1"/>
    <x v="0"/>
    <x v="1"/>
    <x v="2"/>
    <n v="0"/>
    <n v="0"/>
    <n v="6.1180000000000003"/>
    <n v="6.1180000000000003"/>
    <n v="6.1180000000000003"/>
    <n v="6.1180000000000003"/>
    <n v="69"/>
    <x v="2"/>
    <n v="0"/>
    <n v="0"/>
    <n v="46"/>
    <n v="4"/>
    <n v="0"/>
    <n v="271.27999999999997"/>
    <n v="303.54000000000002"/>
    <m/>
    <n v="331.16804065600439"/>
    <n v="287.16392669686104"/>
    <n v="0"/>
    <n v="1659.6910399999999"/>
    <n v="1857.0577200000002"/>
    <n v="0"/>
    <n v="2026.086072733435"/>
    <n v="1756.868903531396"/>
  </r>
  <r>
    <s v="Regular"/>
    <x v="2"/>
    <x v="3"/>
    <x v="4"/>
    <x v="5"/>
    <x v="1"/>
    <x v="0"/>
    <x v="1"/>
    <x v="3"/>
    <n v="0"/>
    <n v="0"/>
    <n v="8.77"/>
    <n v="8.77"/>
    <n v="8.77"/>
    <n v="8.77"/>
    <n v="90"/>
    <x v="2"/>
    <n v="0"/>
    <n v="0"/>
    <n v="46"/>
    <n v="4"/>
    <n v="0"/>
    <n v="271.27999999999997"/>
    <n v="303.54000000000002"/>
    <m/>
    <n v="331.16804065600439"/>
    <n v="287.16392669686104"/>
    <n v="0"/>
    <n v="2379.1255999999998"/>
    <n v="2662.0457999999999"/>
    <n v="0"/>
    <n v="2904.3437165531582"/>
    <n v="2518.4276371314713"/>
  </r>
  <r>
    <s v="Regular"/>
    <x v="3"/>
    <x v="3"/>
    <x v="5"/>
    <x v="6"/>
    <x v="2"/>
    <x v="0"/>
    <x v="1"/>
    <x v="4"/>
    <n v="0"/>
    <n v="0"/>
    <n v="0.1"/>
    <n v="0.1"/>
    <n v="0.1"/>
    <n v="0.1"/>
    <n v="0"/>
    <x v="2"/>
    <n v="0"/>
    <n v="0"/>
    <n v="62"/>
    <n v="23"/>
    <n v="0"/>
    <n v="301.99"/>
    <n v="267.11"/>
    <m/>
    <n v="458.58209636584064"/>
    <n v="269.93409109504938"/>
    <n v="0"/>
    <n v="30.199000000000002"/>
    <n v="26.711000000000002"/>
    <n v="0"/>
    <n v="45.858209636584064"/>
    <n v="26.993409109504938"/>
  </r>
  <r>
    <s v="Regular"/>
    <x v="3"/>
    <x v="3"/>
    <x v="5"/>
    <x v="6"/>
    <x v="2"/>
    <x v="0"/>
    <x v="1"/>
    <x v="5"/>
    <n v="0"/>
    <n v="0"/>
    <n v="0.1"/>
    <n v="0.1"/>
    <n v="0.1"/>
    <n v="0.1"/>
    <n v="0"/>
    <x v="2"/>
    <n v="0"/>
    <n v="0"/>
    <n v="62"/>
    <n v="23"/>
    <n v="0"/>
    <n v="301.99"/>
    <n v="267.11"/>
    <m/>
    <n v="458.58209636584064"/>
    <n v="269.93409109504938"/>
    <n v="0"/>
    <n v="30.199000000000002"/>
    <n v="26.711000000000002"/>
    <n v="0"/>
    <n v="45.858209636584064"/>
    <n v="26.993409109504938"/>
  </r>
  <r>
    <s v="Regular"/>
    <x v="3"/>
    <x v="3"/>
    <x v="5"/>
    <x v="6"/>
    <x v="2"/>
    <x v="0"/>
    <x v="1"/>
    <x v="6"/>
    <n v="0"/>
    <n v="0"/>
    <n v="0.221"/>
    <n v="0.221"/>
    <n v="0.221"/>
    <n v="0.221"/>
    <n v="0"/>
    <x v="2"/>
    <n v="0"/>
    <n v="0"/>
    <n v="62"/>
    <n v="23"/>
    <n v="0"/>
    <n v="301.99"/>
    <n v="267.11"/>
    <m/>
    <n v="458.58209636584064"/>
    <n v="269.93409109504938"/>
    <n v="0"/>
    <n v="66.739789999999999"/>
    <n v="59.031310000000005"/>
    <n v="0"/>
    <n v="101.34664329685079"/>
    <n v="59.655434132005915"/>
  </r>
  <r>
    <s v="Regular"/>
    <x v="3"/>
    <x v="3"/>
    <x v="5"/>
    <x v="6"/>
    <x v="2"/>
    <x v="0"/>
    <x v="1"/>
    <x v="7"/>
    <n v="0"/>
    <n v="0"/>
    <n v="0.16200000000000001"/>
    <n v="0.16200000000000001"/>
    <n v="0.16200000000000001"/>
    <n v="0.16200000000000001"/>
    <n v="0"/>
    <x v="2"/>
    <n v="0"/>
    <n v="0"/>
    <n v="62"/>
    <n v="23"/>
    <n v="0"/>
    <n v="301.99"/>
    <n v="267.11"/>
    <m/>
    <n v="458.58209636584064"/>
    <n v="269.93409109504938"/>
    <n v="0"/>
    <n v="48.922380000000004"/>
    <n v="43.271820000000005"/>
    <n v="0"/>
    <n v="74.290299611266192"/>
    <n v="43.729322757398002"/>
  </r>
  <r>
    <s v="Regular"/>
    <x v="3"/>
    <x v="3"/>
    <x v="5"/>
    <x v="6"/>
    <x v="2"/>
    <x v="0"/>
    <x v="1"/>
    <x v="8"/>
    <n v="0"/>
    <n v="0"/>
    <n v="0.20599999999999999"/>
    <n v="0.20599999999999999"/>
    <n v="0.20599999999999999"/>
    <n v="0.20599999999999999"/>
    <n v="0"/>
    <x v="2"/>
    <n v="0"/>
    <n v="0"/>
    <n v="62"/>
    <n v="23"/>
    <n v="0"/>
    <n v="301.99"/>
    <n v="267.11"/>
    <m/>
    <n v="458.58209636584064"/>
    <n v="269.93409109504938"/>
    <n v="0"/>
    <n v="62.209939999999996"/>
    <n v="55.024659999999997"/>
    <n v="0"/>
    <n v="94.467911851363169"/>
    <n v="55.60642276558017"/>
  </r>
  <r>
    <s v="Regular"/>
    <x v="3"/>
    <x v="3"/>
    <x v="5"/>
    <x v="6"/>
    <x v="2"/>
    <x v="0"/>
    <x v="1"/>
    <x v="9"/>
    <n v="0"/>
    <n v="0"/>
    <n v="0.1"/>
    <n v="0.1"/>
    <n v="0.1"/>
    <n v="0.1"/>
    <n v="0"/>
    <x v="2"/>
    <n v="0"/>
    <n v="0"/>
    <n v="62"/>
    <n v="23"/>
    <n v="0"/>
    <n v="301.99"/>
    <n v="267.11"/>
    <m/>
    <n v="458.58209636584064"/>
    <n v="269.93409109504938"/>
    <n v="0"/>
    <n v="30.199000000000002"/>
    <n v="26.711000000000002"/>
    <n v="0"/>
    <n v="45.858209636584064"/>
    <n v="26.993409109504938"/>
  </r>
  <r>
    <s v="Regular"/>
    <x v="3"/>
    <x v="3"/>
    <x v="5"/>
    <x v="6"/>
    <x v="2"/>
    <x v="0"/>
    <x v="1"/>
    <x v="10"/>
    <n v="0"/>
    <n v="0"/>
    <n v="0.5"/>
    <n v="0.5"/>
    <n v="0.5"/>
    <n v="0.5"/>
    <n v="0"/>
    <x v="2"/>
    <n v="0"/>
    <n v="0"/>
    <n v="62"/>
    <n v="23"/>
    <n v="0"/>
    <n v="301.99"/>
    <n v="267.11"/>
    <m/>
    <n v="458.58209636584064"/>
    <n v="269.93409109504938"/>
    <n v="0"/>
    <n v="150.995"/>
    <n v="133.55500000000001"/>
    <n v="0"/>
    <n v="229.29104818292032"/>
    <n v="134.96704554752469"/>
  </r>
  <r>
    <s v="Regular"/>
    <x v="3"/>
    <x v="3"/>
    <x v="5"/>
    <x v="6"/>
    <x v="2"/>
    <x v="0"/>
    <x v="1"/>
    <x v="11"/>
    <n v="0"/>
    <n v="0"/>
    <n v="0.313"/>
    <n v="0.313"/>
    <n v="0.313"/>
    <n v="0.313"/>
    <n v="0"/>
    <x v="2"/>
    <n v="0"/>
    <n v="0"/>
    <n v="62"/>
    <n v="23"/>
    <n v="0"/>
    <n v="301.99"/>
    <n v="267.11"/>
    <m/>
    <n v="458.58209636584064"/>
    <n v="269.93409109504938"/>
    <n v="0"/>
    <n v="94.522869999999998"/>
    <n v="83.605429999999998"/>
    <n v="0"/>
    <n v="143.53619616250813"/>
    <n v="84.489370512750455"/>
  </r>
  <r>
    <s v="Regular"/>
    <x v="3"/>
    <x v="3"/>
    <x v="5"/>
    <x v="6"/>
    <x v="2"/>
    <x v="0"/>
    <x v="1"/>
    <x v="0"/>
    <n v="0"/>
    <n v="0"/>
    <n v="0.24299999999999999"/>
    <n v="0.24299999999999999"/>
    <n v="0.24299999999999999"/>
    <n v="0.24299999999999999"/>
    <n v="0"/>
    <x v="2"/>
    <n v="0"/>
    <n v="0"/>
    <n v="62"/>
    <n v="23"/>
    <n v="0"/>
    <n v="301.99"/>
    <n v="267.11"/>
    <m/>
    <n v="458.58209636584064"/>
    <n v="269.93409109504938"/>
    <n v="0"/>
    <n v="73.383570000000006"/>
    <n v="64.907730000000001"/>
    <n v="0"/>
    <n v="111.43544941689927"/>
    <n v="65.593984136096992"/>
  </r>
  <r>
    <s v="Regular"/>
    <x v="3"/>
    <x v="3"/>
    <x v="5"/>
    <x v="6"/>
    <x v="2"/>
    <x v="0"/>
    <x v="1"/>
    <x v="1"/>
    <n v="0"/>
    <n v="0"/>
    <n v="0.309"/>
    <n v="0.309"/>
    <n v="0.309"/>
    <n v="0.309"/>
    <n v="0"/>
    <x v="2"/>
    <n v="0"/>
    <n v="0"/>
    <n v="62"/>
    <n v="23"/>
    <n v="0"/>
    <n v="301.99"/>
    <n v="267.11"/>
    <m/>
    <n v="458.58209636584064"/>
    <n v="269.93409109504938"/>
    <n v="0"/>
    <n v="93.314909999999998"/>
    <n v="82.536990000000003"/>
    <n v="0"/>
    <n v="141.70186777704475"/>
    <n v="83.409634148370259"/>
  </r>
  <r>
    <s v="Regular"/>
    <x v="3"/>
    <x v="3"/>
    <x v="5"/>
    <x v="6"/>
    <x v="2"/>
    <x v="0"/>
    <x v="1"/>
    <x v="2"/>
    <n v="0"/>
    <n v="0"/>
    <n v="0.2"/>
    <n v="0.2"/>
    <n v="0.2"/>
    <n v="0.2"/>
    <n v="0"/>
    <x v="2"/>
    <n v="0"/>
    <n v="0"/>
    <n v="62"/>
    <n v="23"/>
    <n v="0"/>
    <n v="301.99"/>
    <n v="267.11"/>
    <m/>
    <n v="458.58209636584064"/>
    <n v="269.93409109504938"/>
    <n v="0"/>
    <n v="60.398000000000003"/>
    <n v="53.422000000000004"/>
    <n v="0"/>
    <n v="91.716419273168128"/>
    <n v="53.986818219009876"/>
  </r>
  <r>
    <s v="Regular"/>
    <x v="3"/>
    <x v="3"/>
    <x v="5"/>
    <x v="6"/>
    <x v="2"/>
    <x v="0"/>
    <x v="1"/>
    <x v="3"/>
    <n v="0"/>
    <n v="0"/>
    <n v="0.22500000000000001"/>
    <n v="0.22500000000000001"/>
    <n v="0.22500000000000001"/>
    <n v="0.22500000000000001"/>
    <n v="0"/>
    <x v="2"/>
    <n v="0"/>
    <n v="0"/>
    <n v="62"/>
    <n v="23"/>
    <n v="0"/>
    <n v="301.99"/>
    <n v="267.11"/>
    <m/>
    <n v="458.58209636584064"/>
    <n v="269.93409109504938"/>
    <n v="0"/>
    <n v="67.947749999999999"/>
    <n v="60.099750000000007"/>
    <n v="0"/>
    <n v="103.18097168231415"/>
    <n v="60.735170496386111"/>
  </r>
  <r>
    <s v="Regular"/>
    <x v="3"/>
    <x v="3"/>
    <x v="5"/>
    <x v="6"/>
    <x v="3"/>
    <x v="0"/>
    <x v="1"/>
    <x v="7"/>
    <n v="0"/>
    <n v="0"/>
    <n v="1.9E-2"/>
    <n v="7.6E-3"/>
    <n v="1.9E-2"/>
    <n v="7.6E-3"/>
    <n v="0"/>
    <x v="2"/>
    <n v="0"/>
    <n v="0"/>
    <n v="62"/>
    <n v="23"/>
    <n v="0"/>
    <n v="301.99"/>
    <n v="267.11"/>
    <m/>
    <n v="458.58209636584064"/>
    <n v="269.93409109504938"/>
    <n v="0"/>
    <n v="2.2951239999999999"/>
    <n v="2.030036"/>
    <n v="0"/>
    <n v="3.4852239323803889"/>
    <n v="2.0514990923223753"/>
  </r>
  <r>
    <s v="Regular"/>
    <x v="3"/>
    <x v="3"/>
    <x v="5"/>
    <x v="6"/>
    <x v="3"/>
    <x v="0"/>
    <x v="1"/>
    <x v="11"/>
    <n v="0"/>
    <n v="0"/>
    <n v="0.93799999999999994"/>
    <n v="0.37519999999999998"/>
    <n v="0.93799999999999994"/>
    <n v="0.37519999999999998"/>
    <n v="0"/>
    <x v="2"/>
    <n v="0"/>
    <n v="0"/>
    <n v="62"/>
    <n v="23"/>
    <n v="0"/>
    <n v="301.99"/>
    <n v="267.11"/>
    <m/>
    <n v="458.58209636584064"/>
    <n v="269.93409109504938"/>
    <n v="0"/>
    <n v="113.306648"/>
    <n v="100.219672"/>
    <n v="0"/>
    <n v="172.06000255646339"/>
    <n v="101.27927097886253"/>
  </r>
  <r>
    <s v="Regular"/>
    <x v="3"/>
    <x v="3"/>
    <x v="5"/>
    <x v="6"/>
    <x v="3"/>
    <x v="0"/>
    <x v="1"/>
    <x v="0"/>
    <n v="0"/>
    <n v="0"/>
    <n v="0.309"/>
    <n v="0.1236"/>
    <n v="0.309"/>
    <n v="0.1236"/>
    <n v="0"/>
    <x v="2"/>
    <n v="0"/>
    <n v="0"/>
    <n v="62"/>
    <n v="23"/>
    <n v="0"/>
    <n v="301.99"/>
    <n v="267.11"/>
    <m/>
    <n v="458.58209636584064"/>
    <n v="269.93409109504938"/>
    <n v="0"/>
    <n v="37.325963999999999"/>
    <n v="33.014796000000004"/>
    <n v="0"/>
    <n v="56.680747110817904"/>
    <n v="33.363853659348102"/>
  </r>
  <r>
    <s v="Regular"/>
    <x v="3"/>
    <x v="3"/>
    <x v="5"/>
    <x v="7"/>
    <x v="2"/>
    <x v="0"/>
    <x v="1"/>
    <x v="4"/>
    <n v="0"/>
    <n v="0"/>
    <n v="0.96799999999999997"/>
    <n v="0.96799999999999997"/>
    <n v="0.96799999999999997"/>
    <n v="0.96799999999999997"/>
    <n v="0"/>
    <x v="2"/>
    <n v="0"/>
    <n v="0"/>
    <n v="62"/>
    <n v="23"/>
    <n v="0"/>
    <n v="301.99"/>
    <n v="267.11"/>
    <m/>
    <n v="458.58209636584064"/>
    <n v="269.93409109504938"/>
    <n v="0"/>
    <n v="292.32632000000001"/>
    <n v="258.56247999999999"/>
    <n v="0"/>
    <n v="443.90746928213372"/>
    <n v="261.29620018000782"/>
  </r>
  <r>
    <s v="Regular"/>
    <x v="3"/>
    <x v="3"/>
    <x v="5"/>
    <x v="7"/>
    <x v="2"/>
    <x v="0"/>
    <x v="1"/>
    <x v="5"/>
    <n v="0"/>
    <n v="0"/>
    <n v="0.85199999999999998"/>
    <n v="0.85199999999999998"/>
    <n v="0.85199999999999998"/>
    <n v="0.85199999999999998"/>
    <n v="0"/>
    <x v="2"/>
    <n v="0"/>
    <n v="0"/>
    <n v="62"/>
    <n v="23"/>
    <n v="0"/>
    <n v="301.99"/>
    <n v="267.11"/>
    <m/>
    <n v="458.58209636584064"/>
    <n v="269.93409109504938"/>
    <n v="0"/>
    <n v="257.29548"/>
    <n v="227.57772"/>
    <n v="0"/>
    <n v="390.71194610369622"/>
    <n v="229.98384561298207"/>
  </r>
  <r>
    <s v="Regular"/>
    <x v="3"/>
    <x v="3"/>
    <x v="5"/>
    <x v="7"/>
    <x v="2"/>
    <x v="0"/>
    <x v="1"/>
    <x v="6"/>
    <n v="0"/>
    <n v="0"/>
    <n v="1.4"/>
    <n v="1.4"/>
    <n v="1.4"/>
    <n v="1.4"/>
    <n v="0"/>
    <x v="2"/>
    <n v="0"/>
    <n v="0"/>
    <n v="62"/>
    <n v="23"/>
    <n v="0"/>
    <n v="301.99"/>
    <n v="267.11"/>
    <m/>
    <n v="458.58209636584064"/>
    <n v="269.93409109504938"/>
    <n v="0"/>
    <n v="422.786"/>
    <n v="373.95400000000001"/>
    <n v="0"/>
    <n v="642.01493491217684"/>
    <n v="377.90772753306914"/>
  </r>
  <r>
    <s v="Regular"/>
    <x v="3"/>
    <x v="3"/>
    <x v="5"/>
    <x v="7"/>
    <x v="2"/>
    <x v="0"/>
    <x v="1"/>
    <x v="7"/>
    <n v="0"/>
    <n v="0"/>
    <n v="0.52100000000000002"/>
    <n v="0.52100000000000002"/>
    <n v="0.52100000000000002"/>
    <n v="0.52100000000000002"/>
    <n v="0"/>
    <x v="2"/>
    <n v="0"/>
    <n v="0"/>
    <n v="62"/>
    <n v="23"/>
    <n v="0"/>
    <n v="301.99"/>
    <n v="267.11"/>
    <m/>
    <n v="458.58209636584064"/>
    <n v="269.93409109504938"/>
    <n v="0"/>
    <n v="157.33679000000001"/>
    <n v="139.16431"/>
    <n v="0"/>
    <n v="238.92127220660299"/>
    <n v="140.63566146052074"/>
  </r>
  <r>
    <s v="Regular"/>
    <x v="3"/>
    <x v="3"/>
    <x v="5"/>
    <x v="7"/>
    <x v="2"/>
    <x v="0"/>
    <x v="1"/>
    <x v="8"/>
    <n v="0"/>
    <n v="0"/>
    <n v="1.2849999999999999"/>
    <n v="1.2849999999999999"/>
    <n v="1.2849999999999999"/>
    <n v="1.2849999999999999"/>
    <n v="0"/>
    <x v="2"/>
    <n v="0"/>
    <n v="0"/>
    <n v="62"/>
    <n v="23"/>
    <n v="0"/>
    <n v="301.99"/>
    <n v="267.11"/>
    <m/>
    <n v="458.58209636584064"/>
    <n v="269.93409109504938"/>
    <n v="0"/>
    <n v="388.05714999999998"/>
    <n v="343.23635000000002"/>
    <n v="0"/>
    <n v="589.27799383010517"/>
    <n v="346.86530705713841"/>
  </r>
  <r>
    <s v="Regular"/>
    <x v="3"/>
    <x v="3"/>
    <x v="5"/>
    <x v="7"/>
    <x v="2"/>
    <x v="0"/>
    <x v="1"/>
    <x v="9"/>
    <n v="0"/>
    <n v="0"/>
    <n v="1.57"/>
    <n v="1.57"/>
    <n v="1.57"/>
    <n v="1.57"/>
    <n v="0"/>
    <x v="2"/>
    <n v="0"/>
    <n v="0"/>
    <n v="62"/>
    <n v="23"/>
    <n v="0"/>
    <n v="301.99"/>
    <n v="267.11"/>
    <m/>
    <n v="458.58209636584064"/>
    <n v="269.93409109504938"/>
    <n v="0"/>
    <n v="474.12430000000001"/>
    <n v="419.36270000000002"/>
    <n v="0"/>
    <n v="719.97389129436988"/>
    <n v="423.79652301922755"/>
  </r>
  <r>
    <s v="Regular"/>
    <x v="3"/>
    <x v="3"/>
    <x v="5"/>
    <x v="7"/>
    <x v="2"/>
    <x v="0"/>
    <x v="1"/>
    <x v="10"/>
    <n v="0"/>
    <n v="0"/>
    <n v="1.621"/>
    <n v="1.621"/>
    <n v="1.621"/>
    <n v="1.621"/>
    <n v="0"/>
    <x v="2"/>
    <n v="0"/>
    <n v="0"/>
    <n v="62"/>
    <n v="23"/>
    <n v="0"/>
    <n v="301.99"/>
    <n v="267.11"/>
    <m/>
    <n v="458.58209636584064"/>
    <n v="269.93409109504938"/>
    <n v="0"/>
    <n v="489.52579000000003"/>
    <n v="432.98531000000003"/>
    <n v="0"/>
    <n v="743.3615782090277"/>
    <n v="437.56316166507503"/>
  </r>
  <r>
    <s v="Regular"/>
    <x v="3"/>
    <x v="3"/>
    <x v="5"/>
    <x v="7"/>
    <x v="2"/>
    <x v="0"/>
    <x v="1"/>
    <x v="11"/>
    <n v="0"/>
    <n v="0"/>
    <n v="0.90700000000000003"/>
    <n v="0.90700000000000003"/>
    <n v="0.90700000000000003"/>
    <n v="0.90700000000000003"/>
    <n v="0"/>
    <x v="2"/>
    <n v="0"/>
    <n v="0"/>
    <n v="62"/>
    <n v="23"/>
    <n v="0"/>
    <n v="301.99"/>
    <n v="267.11"/>
    <m/>
    <n v="458.58209636584064"/>
    <n v="269.93409109504938"/>
    <n v="0"/>
    <n v="273.90493000000004"/>
    <n v="242.26877000000002"/>
    <n v="0"/>
    <n v="415.93396140381748"/>
    <n v="244.83022062320981"/>
  </r>
  <r>
    <s v="Regular"/>
    <x v="3"/>
    <x v="3"/>
    <x v="5"/>
    <x v="7"/>
    <x v="2"/>
    <x v="0"/>
    <x v="1"/>
    <x v="0"/>
    <n v="0"/>
    <n v="0"/>
    <n v="1.081"/>
    <n v="1.081"/>
    <n v="1.081"/>
    <n v="1.081"/>
    <n v="0"/>
    <x v="2"/>
    <n v="0"/>
    <n v="0"/>
    <n v="62"/>
    <n v="23"/>
    <n v="0"/>
    <n v="301.99"/>
    <n v="267.11"/>
    <m/>
    <n v="458.58209636584064"/>
    <n v="269.93409109504938"/>
    <n v="0"/>
    <n v="326.45119"/>
    <n v="288.74590999999998"/>
    <n v="0"/>
    <n v="495.72724617147372"/>
    <n v="291.79875247374838"/>
  </r>
  <r>
    <s v="Regular"/>
    <x v="3"/>
    <x v="3"/>
    <x v="5"/>
    <x v="7"/>
    <x v="2"/>
    <x v="0"/>
    <x v="1"/>
    <x v="1"/>
    <n v="0"/>
    <n v="0"/>
    <n v="1.173"/>
    <n v="1.173"/>
    <n v="1.173"/>
    <n v="1.173"/>
    <n v="0"/>
    <x v="2"/>
    <n v="0"/>
    <n v="0"/>
    <n v="62"/>
    <n v="23"/>
    <n v="0"/>
    <n v="301.99"/>
    <n v="267.11"/>
    <m/>
    <n v="458.58209636584064"/>
    <n v="269.93409109504938"/>
    <n v="0"/>
    <n v="354.23427000000004"/>
    <n v="313.32003000000003"/>
    <n v="0"/>
    <n v="537.91679903713111"/>
    <n v="316.63268885449293"/>
  </r>
  <r>
    <s v="Regular"/>
    <x v="3"/>
    <x v="3"/>
    <x v="5"/>
    <x v="7"/>
    <x v="2"/>
    <x v="0"/>
    <x v="1"/>
    <x v="2"/>
    <n v="0"/>
    <n v="0"/>
    <n v="0.95299999999999996"/>
    <n v="0.95299999999999996"/>
    <n v="0.95299999999999996"/>
    <n v="0.95299999999999996"/>
    <n v="0"/>
    <x v="2"/>
    <n v="0"/>
    <n v="0"/>
    <n v="62"/>
    <n v="23"/>
    <n v="0"/>
    <n v="301.99"/>
    <n v="267.11"/>
    <m/>
    <n v="458.58209636584064"/>
    <n v="269.93409109504938"/>
    <n v="0"/>
    <n v="287.79647"/>
    <n v="254.55583000000001"/>
    <n v="0"/>
    <n v="437.02873783664609"/>
    <n v="257.24718881358206"/>
  </r>
  <r>
    <s v="Regular"/>
    <x v="3"/>
    <x v="3"/>
    <x v="5"/>
    <x v="7"/>
    <x v="2"/>
    <x v="0"/>
    <x v="1"/>
    <x v="3"/>
    <n v="0"/>
    <n v="0"/>
    <n v="0.73699999999999999"/>
    <n v="0.73699999999999999"/>
    <n v="0.73699999999999999"/>
    <n v="0.73699999999999999"/>
    <n v="0"/>
    <x v="2"/>
    <n v="0"/>
    <n v="0"/>
    <n v="62"/>
    <n v="23"/>
    <n v="0"/>
    <n v="301.99"/>
    <n v="267.11"/>
    <m/>
    <n v="458.58209636584064"/>
    <n v="269.93409109504938"/>
    <n v="0"/>
    <n v="222.56663"/>
    <n v="196.86007000000001"/>
    <n v="0"/>
    <n v="337.97500502162455"/>
    <n v="198.9414251370514"/>
  </r>
  <r>
    <s v="Regular"/>
    <x v="3"/>
    <x v="3"/>
    <x v="5"/>
    <x v="7"/>
    <x v="3"/>
    <x v="0"/>
    <x v="1"/>
    <x v="4"/>
    <n v="0"/>
    <n v="0"/>
    <n v="1.992"/>
    <n v="0.79679999999999995"/>
    <n v="1.992"/>
    <n v="0.79679999999999995"/>
    <n v="0"/>
    <x v="2"/>
    <n v="0"/>
    <n v="0"/>
    <n v="62"/>
    <n v="23"/>
    <n v="0"/>
    <n v="301.99"/>
    <n v="267.11"/>
    <m/>
    <n v="458.58209636584064"/>
    <n v="269.93409109504938"/>
    <n v="0"/>
    <n v="240.625632"/>
    <n v="212.833248"/>
    <n v="0"/>
    <n v="365.39821438430181"/>
    <n v="215.08348378453533"/>
  </r>
  <r>
    <s v="Regular"/>
    <x v="3"/>
    <x v="3"/>
    <x v="5"/>
    <x v="7"/>
    <x v="3"/>
    <x v="0"/>
    <x v="1"/>
    <x v="5"/>
    <n v="0"/>
    <n v="0"/>
    <n v="2.012"/>
    <n v="0.80479999999999996"/>
    <n v="2.012"/>
    <n v="0.80479999999999996"/>
    <n v="0"/>
    <x v="2"/>
    <n v="0"/>
    <n v="0"/>
    <n v="62"/>
    <n v="23"/>
    <n v="0"/>
    <n v="301.99"/>
    <n v="267.11"/>
    <m/>
    <n v="458.58209636584064"/>
    <n v="269.93409109504938"/>
    <n v="0"/>
    <n v="243.041552"/>
    <n v="214.97012799999999"/>
    <n v="0"/>
    <n v="369.06687115522851"/>
    <n v="217.24295651329572"/>
  </r>
  <r>
    <s v="Regular"/>
    <x v="3"/>
    <x v="3"/>
    <x v="5"/>
    <x v="7"/>
    <x v="3"/>
    <x v="0"/>
    <x v="1"/>
    <x v="6"/>
    <n v="0"/>
    <n v="0"/>
    <n v="1.7290000000000001"/>
    <n v="0.69159999999999999"/>
    <n v="1.7290000000000001"/>
    <n v="0.69159999999999999"/>
    <n v="0"/>
    <x v="2"/>
    <n v="0"/>
    <n v="0"/>
    <n v="62"/>
    <n v="23"/>
    <n v="0"/>
    <n v="301.99"/>
    <n v="267.11"/>
    <m/>
    <n v="458.58209636584064"/>
    <n v="269.93409109504938"/>
    <n v="0"/>
    <n v="208.85628400000002"/>
    <n v="184.73327600000002"/>
    <n v="0"/>
    <n v="317.15537784661541"/>
    <n v="186.68641740133614"/>
  </r>
  <r>
    <s v="Regular"/>
    <x v="3"/>
    <x v="3"/>
    <x v="5"/>
    <x v="7"/>
    <x v="3"/>
    <x v="0"/>
    <x v="1"/>
    <x v="7"/>
    <n v="0"/>
    <n v="0"/>
    <n v="0.91200000000000003"/>
    <n v="0.36480000000000001"/>
    <n v="0.91200000000000003"/>
    <n v="0.36480000000000001"/>
    <n v="0"/>
    <x v="2"/>
    <n v="0"/>
    <n v="0"/>
    <n v="62"/>
    <n v="23"/>
    <n v="0"/>
    <n v="301.99"/>
    <n v="267.11"/>
    <m/>
    <n v="458.58209636584064"/>
    <n v="269.93409109504938"/>
    <n v="0"/>
    <n v="110.165952"/>
    <n v="97.441728000000012"/>
    <n v="0"/>
    <n v="167.29074875425866"/>
    <n v="98.471956431474013"/>
  </r>
  <r>
    <s v="Regular"/>
    <x v="3"/>
    <x v="3"/>
    <x v="5"/>
    <x v="7"/>
    <x v="3"/>
    <x v="0"/>
    <x v="1"/>
    <x v="8"/>
    <n v="0"/>
    <n v="0"/>
    <n v="1.5309999999999999"/>
    <n v="0.61240000000000006"/>
    <n v="1.5309999999999999"/>
    <n v="0.61240000000000006"/>
    <n v="0"/>
    <x v="2"/>
    <n v="0"/>
    <n v="0"/>
    <n v="62"/>
    <n v="23"/>
    <n v="0"/>
    <n v="301.99"/>
    <n v="267.11"/>
    <m/>
    <n v="458.58209636584064"/>
    <n v="269.93409109504938"/>
    <n v="0"/>
    <n v="184.93867600000002"/>
    <n v="163.57816400000002"/>
    <n v="0"/>
    <n v="280.83567581444083"/>
    <n v="165.30763738660826"/>
  </r>
  <r>
    <s v="Regular"/>
    <x v="3"/>
    <x v="3"/>
    <x v="5"/>
    <x v="7"/>
    <x v="3"/>
    <x v="0"/>
    <x v="1"/>
    <x v="9"/>
    <n v="0"/>
    <n v="0"/>
    <n v="1.302"/>
    <n v="0.52080000000000004"/>
    <n v="1.302"/>
    <n v="0.52080000000000004"/>
    <n v="0"/>
    <x v="2"/>
    <n v="0"/>
    <n v="0"/>
    <n v="62"/>
    <n v="23"/>
    <n v="0"/>
    <n v="301.99"/>
    <n v="267.11"/>
    <m/>
    <n v="458.58209636584064"/>
    <n v="269.93409109504938"/>
    <n v="0"/>
    <n v="157.27639200000002"/>
    <n v="139.11088800000002"/>
    <n v="0"/>
    <n v="238.82955578732984"/>
    <n v="140.58167464230172"/>
  </r>
  <r>
    <s v="Regular"/>
    <x v="3"/>
    <x v="3"/>
    <x v="5"/>
    <x v="7"/>
    <x v="3"/>
    <x v="0"/>
    <x v="1"/>
    <x v="10"/>
    <n v="0"/>
    <n v="0"/>
    <n v="1.1479999999999999"/>
    <n v="0.4592"/>
    <n v="1.1479999999999999"/>
    <n v="0.4592"/>
    <n v="0"/>
    <x v="2"/>
    <n v="0"/>
    <n v="0"/>
    <n v="62"/>
    <n v="23"/>
    <n v="0"/>
    <n v="301.99"/>
    <n v="267.11"/>
    <m/>
    <n v="458.58209636584064"/>
    <n v="269.93409109504938"/>
    <n v="0"/>
    <n v="138.67380800000001"/>
    <n v="122.65691200000001"/>
    <n v="0"/>
    <n v="210.58089865119402"/>
    <n v="123.95373463084668"/>
  </r>
  <r>
    <s v="Regular"/>
    <x v="3"/>
    <x v="3"/>
    <x v="5"/>
    <x v="7"/>
    <x v="3"/>
    <x v="0"/>
    <x v="1"/>
    <x v="11"/>
    <n v="0"/>
    <n v="0"/>
    <n v="0.73399999999999999"/>
    <n v="0.29360000000000003"/>
    <n v="0.73399999999999999"/>
    <n v="0.29360000000000003"/>
    <n v="0"/>
    <x v="2"/>
    <n v="0"/>
    <n v="0"/>
    <n v="62"/>
    <n v="23"/>
    <n v="0"/>
    <n v="301.99"/>
    <n v="267.11"/>
    <m/>
    <n v="458.58209636584064"/>
    <n v="269.93409109504938"/>
    <n v="0"/>
    <n v="88.664264000000017"/>
    <n v="78.423496000000014"/>
    <n v="0"/>
    <n v="134.63970349301081"/>
    <n v="79.25264914550651"/>
  </r>
  <r>
    <s v="Regular"/>
    <x v="3"/>
    <x v="3"/>
    <x v="5"/>
    <x v="7"/>
    <x v="3"/>
    <x v="0"/>
    <x v="1"/>
    <x v="0"/>
    <n v="0"/>
    <n v="0"/>
    <n v="0.89300000000000002"/>
    <n v="0.35720000000000002"/>
    <n v="0.89300000000000002"/>
    <n v="0.35720000000000002"/>
    <n v="0"/>
    <x v="2"/>
    <n v="0"/>
    <n v="0"/>
    <n v="62"/>
    <n v="23"/>
    <n v="0"/>
    <n v="301.99"/>
    <n v="267.11"/>
    <m/>
    <n v="458.58209636584064"/>
    <n v="269.93409109504938"/>
    <n v="0"/>
    <n v="107.870828"/>
    <n v="95.411692000000016"/>
    <n v="0"/>
    <n v="163.80552482187829"/>
    <n v="96.420457339151639"/>
  </r>
  <r>
    <s v="Regular"/>
    <x v="3"/>
    <x v="3"/>
    <x v="5"/>
    <x v="7"/>
    <x v="3"/>
    <x v="0"/>
    <x v="1"/>
    <x v="1"/>
    <n v="0"/>
    <n v="0"/>
    <n v="1.534"/>
    <n v="0.61360000000000003"/>
    <n v="1.534"/>
    <n v="0.61360000000000003"/>
    <n v="0"/>
    <x v="2"/>
    <n v="0"/>
    <n v="0"/>
    <n v="62"/>
    <n v="23"/>
    <n v="0"/>
    <n v="301.99"/>
    <n v="267.11"/>
    <m/>
    <n v="458.58209636584064"/>
    <n v="269.93409109504938"/>
    <n v="0"/>
    <n v="185.30106400000003"/>
    <n v="163.89869600000003"/>
    <n v="0"/>
    <n v="281.38597433007982"/>
    <n v="165.6315582959223"/>
  </r>
  <r>
    <s v="Regular"/>
    <x v="3"/>
    <x v="3"/>
    <x v="5"/>
    <x v="7"/>
    <x v="3"/>
    <x v="0"/>
    <x v="1"/>
    <x v="2"/>
    <n v="0"/>
    <n v="0"/>
    <n v="1.4730000000000001"/>
    <n v="0.58919999999999995"/>
    <n v="1.4730000000000001"/>
    <n v="0.58919999999999995"/>
    <n v="0"/>
    <x v="2"/>
    <n v="0"/>
    <n v="0"/>
    <n v="62"/>
    <n v="23"/>
    <n v="0"/>
    <n v="301.99"/>
    <n v="267.11"/>
    <m/>
    <n v="458.58209636584064"/>
    <n v="269.93409109504938"/>
    <n v="0"/>
    <n v="177.93250799999998"/>
    <n v="157.381212"/>
    <n v="0"/>
    <n v="270.19657117875329"/>
    <n v="159.04516647320307"/>
  </r>
  <r>
    <s v="Regular"/>
    <x v="3"/>
    <x v="3"/>
    <x v="5"/>
    <x v="7"/>
    <x v="3"/>
    <x v="0"/>
    <x v="1"/>
    <x v="3"/>
    <n v="0"/>
    <n v="0"/>
    <n v="0.89500000000000002"/>
    <n v="0.35799999999999998"/>
    <n v="0.89500000000000002"/>
    <n v="0.35799999999999998"/>
    <n v="0"/>
    <x v="2"/>
    <n v="0"/>
    <n v="0"/>
    <n v="62"/>
    <n v="23"/>
    <n v="0"/>
    <n v="301.99"/>
    <n v="267.11"/>
    <m/>
    <n v="458.58209636584064"/>
    <n v="269.93409109504938"/>
    <n v="0"/>
    <n v="108.11242"/>
    <n v="95.625380000000007"/>
    <n v="0"/>
    <n v="164.17239049897094"/>
    <n v="96.636404612027675"/>
  </r>
  <r>
    <s v="Regular"/>
    <x v="3"/>
    <x v="3"/>
    <x v="5"/>
    <x v="0"/>
    <x v="1"/>
    <x v="0"/>
    <x v="1"/>
    <x v="4"/>
    <n v="0"/>
    <n v="0"/>
    <n v="201.24"/>
    <n v="201.24"/>
    <n v="201.24"/>
    <n v="201.24"/>
    <n v="794"/>
    <x v="2"/>
    <n v="0"/>
    <n v="0"/>
    <n v="62"/>
    <n v="23"/>
    <n v="0"/>
    <n v="301.99"/>
    <n v="267.11"/>
    <m/>
    <n v="458.58209636584064"/>
    <n v="269.93409109504938"/>
    <n v="0"/>
    <n v="60772.467600000004"/>
    <n v="53753.216400000005"/>
    <n v="0"/>
    <n v="92285.061072661774"/>
    <n v="54321.536491967738"/>
  </r>
  <r>
    <s v="Sistema de Compensação"/>
    <x v="3"/>
    <x v="3"/>
    <x v="5"/>
    <x v="0"/>
    <x v="1"/>
    <x v="0"/>
    <x v="1"/>
    <x v="4"/>
    <n v="0"/>
    <n v="0"/>
    <n v="4.51"/>
    <n v="4.51"/>
    <n v="4.51"/>
    <n v="4.51"/>
    <n v="32"/>
    <x v="2"/>
    <n v="0"/>
    <n v="0"/>
    <n v="62"/>
    <n v="23"/>
    <n v="0"/>
    <n v="301.99"/>
    <n v="267.11"/>
    <m/>
    <n v="458.58209636584064"/>
    <n v="269.93409109504938"/>
    <n v="0"/>
    <n v="1361.9748999999999"/>
    <n v="1204.6660999999999"/>
    <n v="0"/>
    <n v="2068.2052546099412"/>
    <n v="1217.4027508386725"/>
  </r>
  <r>
    <s v="Regular"/>
    <x v="3"/>
    <x v="3"/>
    <x v="5"/>
    <x v="0"/>
    <x v="1"/>
    <x v="0"/>
    <x v="1"/>
    <x v="5"/>
    <n v="0"/>
    <n v="0"/>
    <n v="228.11099999999999"/>
    <n v="228.11099999999999"/>
    <n v="228.11099999999999"/>
    <n v="228.11099999999999"/>
    <n v="791"/>
    <x v="2"/>
    <n v="0"/>
    <n v="0"/>
    <n v="62"/>
    <n v="23"/>
    <n v="0"/>
    <n v="301.99"/>
    <n v="267.11"/>
    <m/>
    <n v="458.58209636584064"/>
    <n v="269.93409109504938"/>
    <n v="0"/>
    <n v="68887.240890000001"/>
    <n v="60930.729209999998"/>
    <n v="0"/>
    <n v="104607.62058410827"/>
    <n v="61574.935453782804"/>
  </r>
  <r>
    <s v="Sistema de Compensação"/>
    <x v="3"/>
    <x v="3"/>
    <x v="5"/>
    <x v="0"/>
    <x v="1"/>
    <x v="0"/>
    <x v="1"/>
    <x v="5"/>
    <n v="0"/>
    <n v="0"/>
    <n v="7.26"/>
    <n v="7.26"/>
    <n v="7.26"/>
    <n v="7.26"/>
    <n v="33"/>
    <x v="2"/>
    <n v="0"/>
    <n v="0"/>
    <n v="62"/>
    <n v="23"/>
    <n v="0"/>
    <n v="301.99"/>
    <n v="267.11"/>
    <m/>
    <n v="458.58209636584064"/>
    <n v="269.93409109504938"/>
    <n v="0"/>
    <n v="2192.4474"/>
    <n v="1939.2186000000002"/>
    <n v="0"/>
    <n v="3329.3060196160031"/>
    <n v="1959.7215013500584"/>
  </r>
  <r>
    <s v="Regular"/>
    <x v="3"/>
    <x v="3"/>
    <x v="5"/>
    <x v="0"/>
    <x v="1"/>
    <x v="0"/>
    <x v="1"/>
    <x v="6"/>
    <n v="0"/>
    <n v="0"/>
    <n v="223.05"/>
    <n v="223.05"/>
    <n v="223.05"/>
    <n v="223.05"/>
    <n v="797"/>
    <x v="2"/>
    <n v="0"/>
    <n v="0"/>
    <n v="62"/>
    <n v="23"/>
    <n v="0"/>
    <n v="301.99"/>
    <n v="267.11"/>
    <m/>
    <n v="458.58209636584064"/>
    <n v="269.93409109504938"/>
    <n v="0"/>
    <n v="67358.869500000001"/>
    <n v="59578.885500000004"/>
    <n v="0"/>
    <n v="102286.73659440076"/>
    <n v="60208.799018750768"/>
  </r>
  <r>
    <s v="Sistema de Compensação"/>
    <x v="3"/>
    <x v="3"/>
    <x v="5"/>
    <x v="0"/>
    <x v="1"/>
    <x v="0"/>
    <x v="1"/>
    <x v="6"/>
    <n v="0"/>
    <n v="0"/>
    <n v="10.824"/>
    <n v="10.824"/>
    <n v="10.824"/>
    <n v="10.824"/>
    <n v="33"/>
    <x v="2"/>
    <n v="0"/>
    <n v="0"/>
    <n v="62"/>
    <n v="23"/>
    <n v="0"/>
    <n v="301.99"/>
    <n v="267.11"/>
    <m/>
    <n v="458.58209636584064"/>
    <n v="269.93409109504938"/>
    <n v="0"/>
    <n v="3268.7397599999999"/>
    <n v="2891.1986400000001"/>
    <n v="0"/>
    <n v="4963.6926110638587"/>
    <n v="2921.7666020128145"/>
  </r>
  <r>
    <s v="Regular"/>
    <x v="3"/>
    <x v="3"/>
    <x v="5"/>
    <x v="0"/>
    <x v="1"/>
    <x v="0"/>
    <x v="1"/>
    <x v="7"/>
    <n v="0"/>
    <n v="0"/>
    <n v="284.45699999999999"/>
    <n v="284.45699999999999"/>
    <n v="284.45699999999999"/>
    <n v="284.45699999999999"/>
    <n v="797"/>
    <x v="2"/>
    <n v="0"/>
    <n v="0"/>
    <n v="62"/>
    <n v="23"/>
    <n v="0"/>
    <n v="301.99"/>
    <n v="267.11"/>
    <m/>
    <n v="458.58209636584064"/>
    <n v="269.93409109504938"/>
    <n v="0"/>
    <n v="85903.169429999994"/>
    <n v="75981.309269999998"/>
    <n v="0"/>
    <n v="130446.88738593792"/>
    <n v="76784.641750624462"/>
  </r>
  <r>
    <s v="Sistema de Compensação"/>
    <x v="3"/>
    <x v="3"/>
    <x v="5"/>
    <x v="0"/>
    <x v="1"/>
    <x v="0"/>
    <x v="1"/>
    <x v="7"/>
    <n v="0"/>
    <n v="0"/>
    <n v="16.957999999999998"/>
    <n v="16.957999999999998"/>
    <n v="16.957999999999998"/>
    <n v="16.957999999999998"/>
    <n v="33"/>
    <x v="2"/>
    <n v="0"/>
    <n v="0"/>
    <n v="62"/>
    <n v="23"/>
    <n v="0"/>
    <n v="301.99"/>
    <n v="267.11"/>
    <m/>
    <n v="458.58209636584064"/>
    <n v="269.93409109504938"/>
    <n v="0"/>
    <n v="5121.14642"/>
    <n v="4529.6513800000002"/>
    <n v="0"/>
    <n v="7776.6351901719245"/>
    <n v="4577.5423167898471"/>
  </r>
  <r>
    <s v="Regular"/>
    <x v="3"/>
    <x v="3"/>
    <x v="5"/>
    <x v="0"/>
    <x v="1"/>
    <x v="0"/>
    <x v="1"/>
    <x v="8"/>
    <n v="0"/>
    <n v="0"/>
    <n v="345.952"/>
    <n v="345.952"/>
    <n v="345.952"/>
    <n v="345.952"/>
    <n v="797"/>
    <x v="2"/>
    <n v="0"/>
    <n v="0"/>
    <n v="62"/>
    <n v="23"/>
    <n v="0"/>
    <n v="301.99"/>
    <n v="267.11"/>
    <m/>
    <n v="458.58209636584064"/>
    <n v="269.93409109504938"/>
    <n v="0"/>
    <n v="104474.04448"/>
    <n v="92407.238720000008"/>
    <n v="0"/>
    <n v="158647.39340195531"/>
    <n v="93384.238682514522"/>
  </r>
  <r>
    <s v="Sistema de Compensação"/>
    <x v="3"/>
    <x v="3"/>
    <x v="5"/>
    <x v="0"/>
    <x v="1"/>
    <x v="0"/>
    <x v="1"/>
    <x v="8"/>
    <n v="0"/>
    <n v="0"/>
    <n v="36.584000000000003"/>
    <n v="36.584000000000003"/>
    <n v="36.584000000000003"/>
    <n v="36.584000000000003"/>
    <n v="34"/>
    <x v="2"/>
    <n v="0"/>
    <n v="0"/>
    <n v="62"/>
    <n v="23"/>
    <n v="0"/>
    <n v="301.99"/>
    <n v="267.11"/>
    <m/>
    <n v="458.58209636584064"/>
    <n v="269.93409109504938"/>
    <n v="0"/>
    <n v="11048.002160000002"/>
    <n v="9771.9522400000005"/>
    <n v="0"/>
    <n v="16776.767413447917"/>
    <n v="9875.268788621288"/>
  </r>
  <r>
    <s v="Regular"/>
    <x v="3"/>
    <x v="3"/>
    <x v="5"/>
    <x v="0"/>
    <x v="1"/>
    <x v="0"/>
    <x v="1"/>
    <x v="9"/>
    <n v="0"/>
    <n v="0"/>
    <n v="302.08199999999999"/>
    <n v="302.08199999999999"/>
    <n v="302.08199999999999"/>
    <n v="302.08199999999999"/>
    <n v="792"/>
    <x v="2"/>
    <n v="0"/>
    <n v="0"/>
    <n v="62"/>
    <n v="23"/>
    <n v="0"/>
    <n v="301.99"/>
    <n v="267.11"/>
    <m/>
    <n v="458.58209636584064"/>
    <n v="269.93409109504938"/>
    <n v="0"/>
    <n v="91225.743180000005"/>
    <n v="80689.123019999999"/>
    <n v="0"/>
    <n v="138529.39683438587"/>
    <n v="81542.230106174713"/>
  </r>
  <r>
    <s v="Sistema de Compensação"/>
    <x v="3"/>
    <x v="3"/>
    <x v="5"/>
    <x v="0"/>
    <x v="1"/>
    <x v="0"/>
    <x v="1"/>
    <x v="9"/>
    <n v="0"/>
    <n v="0"/>
    <n v="26.65"/>
    <n v="26.65"/>
    <n v="26.65"/>
    <n v="26.65"/>
    <n v="38"/>
    <x v="2"/>
    <n v="0"/>
    <n v="0"/>
    <n v="62"/>
    <n v="23"/>
    <n v="0"/>
    <n v="301.99"/>
    <n v="267.11"/>
    <m/>
    <n v="458.58209636584064"/>
    <n v="269.93409109504938"/>
    <n v="0"/>
    <n v="8048.0334999999995"/>
    <n v="7118.4814999999999"/>
    <n v="0"/>
    <n v="12221.212868149652"/>
    <n v="7193.7435276830656"/>
  </r>
  <r>
    <s v="Regular"/>
    <x v="3"/>
    <x v="3"/>
    <x v="5"/>
    <x v="0"/>
    <x v="1"/>
    <x v="0"/>
    <x v="1"/>
    <x v="10"/>
    <n v="0"/>
    <n v="0"/>
    <n v="276.39600000000002"/>
    <n v="276.39600000000002"/>
    <n v="276.39600000000002"/>
    <n v="276.39600000000002"/>
    <n v="790"/>
    <x v="2"/>
    <n v="0"/>
    <n v="0"/>
    <n v="62"/>
    <n v="23"/>
    <n v="0"/>
    <n v="301.99"/>
    <n v="267.11"/>
    <m/>
    <n v="458.58209636584064"/>
    <n v="269.93409109504938"/>
    <n v="0"/>
    <n v="83468.828040000008"/>
    <n v="73828.13556000001"/>
    <n v="0"/>
    <n v="126750.2571071329"/>
    <n v="74608.703042307272"/>
  </r>
  <r>
    <s v="Sistema de Compensação"/>
    <x v="3"/>
    <x v="3"/>
    <x v="5"/>
    <x v="0"/>
    <x v="1"/>
    <x v="0"/>
    <x v="1"/>
    <x v="10"/>
    <n v="0"/>
    <n v="0"/>
    <n v="38.256999999999998"/>
    <n v="38.256999999999998"/>
    <n v="38.256999999999998"/>
    <n v="38.256999999999998"/>
    <n v="38"/>
    <x v="2"/>
    <n v="0"/>
    <n v="0"/>
    <n v="62"/>
    <n v="23"/>
    <n v="0"/>
    <n v="301.99"/>
    <n v="267.11"/>
    <m/>
    <n v="458.58209636584064"/>
    <n v="269.93409109504938"/>
    <n v="0"/>
    <n v="11553.23143"/>
    <n v="10218.82727"/>
    <n v="0"/>
    <n v="17543.975260667965"/>
    <n v="10326.868523023304"/>
  </r>
  <r>
    <s v="Regular"/>
    <x v="3"/>
    <x v="3"/>
    <x v="5"/>
    <x v="0"/>
    <x v="1"/>
    <x v="0"/>
    <x v="1"/>
    <x v="11"/>
    <n v="0"/>
    <n v="0"/>
    <n v="228.57900000000001"/>
    <n v="228.57900000000001"/>
    <n v="228.57900000000001"/>
    <n v="228.57900000000001"/>
    <n v="788"/>
    <x v="2"/>
    <n v="0"/>
    <n v="0"/>
    <n v="62"/>
    <n v="23"/>
    <n v="0"/>
    <n v="301.99"/>
    <n v="267.11"/>
    <m/>
    <n v="458.58209636584064"/>
    <n v="269.93409109504938"/>
    <n v="0"/>
    <n v="69028.572209999998"/>
    <n v="61055.736690000005"/>
    <n v="0"/>
    <n v="104822.2370052075"/>
    <n v="61701.264608415295"/>
  </r>
  <r>
    <s v="Sistema de Compensação"/>
    <x v="3"/>
    <x v="3"/>
    <x v="5"/>
    <x v="0"/>
    <x v="1"/>
    <x v="0"/>
    <x v="1"/>
    <x v="11"/>
    <n v="0"/>
    <n v="0"/>
    <n v="8.7840000000000007"/>
    <n v="8.7840000000000007"/>
    <n v="8.7840000000000007"/>
    <n v="8.7840000000000007"/>
    <n v="38"/>
    <x v="2"/>
    <n v="0"/>
    <n v="0"/>
    <n v="62"/>
    <n v="23"/>
    <n v="0"/>
    <n v="301.99"/>
    <n v="267.11"/>
    <m/>
    <n v="458.58209636584064"/>
    <n v="269.93409109504938"/>
    <n v="0"/>
    <n v="2652.6801600000003"/>
    <n v="2346.2942400000002"/>
    <n v="0"/>
    <n v="4028.1851344775446"/>
    <n v="2371.101056178914"/>
  </r>
  <r>
    <s v="Regular"/>
    <x v="3"/>
    <x v="3"/>
    <x v="5"/>
    <x v="0"/>
    <x v="1"/>
    <x v="0"/>
    <x v="1"/>
    <x v="0"/>
    <n v="0"/>
    <n v="0"/>
    <n v="197.05199999999999"/>
    <n v="197.05199999999999"/>
    <n v="197.05199999999999"/>
    <n v="197.05199999999999"/>
    <n v="790"/>
    <x v="2"/>
    <n v="0"/>
    <n v="0"/>
    <n v="62"/>
    <n v="23"/>
    <n v="0"/>
    <n v="301.99"/>
    <n v="267.11"/>
    <m/>
    <n v="458.58209636584064"/>
    <n v="269.93409109504938"/>
    <n v="0"/>
    <n v="59507.733480000003"/>
    <n v="52634.559719999997"/>
    <n v="0"/>
    <n v="90364.519253081628"/>
    <n v="53191.052518461671"/>
  </r>
  <r>
    <s v="Sistema de Compensação"/>
    <x v="3"/>
    <x v="3"/>
    <x v="5"/>
    <x v="0"/>
    <x v="1"/>
    <x v="0"/>
    <x v="1"/>
    <x v="0"/>
    <n v="0"/>
    <n v="0"/>
    <n v="13.965999999999999"/>
    <n v="13.965999999999999"/>
    <n v="13.965999999999999"/>
    <n v="13.965999999999999"/>
    <n v="39"/>
    <x v="2"/>
    <n v="0"/>
    <n v="0"/>
    <n v="62"/>
    <n v="23"/>
    <n v="0"/>
    <n v="301.99"/>
    <n v="267.11"/>
    <m/>
    <n v="458.58209636584064"/>
    <n v="269.93409109504938"/>
    <n v="0"/>
    <n v="4217.5923400000001"/>
    <n v="3730.4582599999999"/>
    <n v="0"/>
    <n v="6404.5575578453299"/>
    <n v="3769.8995162334595"/>
  </r>
  <r>
    <s v="Regular"/>
    <x v="3"/>
    <x v="3"/>
    <x v="5"/>
    <x v="0"/>
    <x v="1"/>
    <x v="0"/>
    <x v="1"/>
    <x v="1"/>
    <n v="0"/>
    <n v="0"/>
    <n v="186.18"/>
    <n v="186.18"/>
    <n v="186.18"/>
    <n v="186.18"/>
    <n v="789"/>
    <x v="2"/>
    <n v="0"/>
    <n v="0"/>
    <n v="62"/>
    <n v="23"/>
    <n v="0"/>
    <n v="301.99"/>
    <n v="267.11"/>
    <m/>
    <n v="458.58209636584064"/>
    <n v="269.93409109504938"/>
    <n v="0"/>
    <n v="56224.498200000002"/>
    <n v="49730.539800000006"/>
    <n v="0"/>
    <n v="85378.814701392213"/>
    <n v="50256.329080076299"/>
  </r>
  <r>
    <s v="Sistema de Compensação"/>
    <x v="3"/>
    <x v="3"/>
    <x v="5"/>
    <x v="0"/>
    <x v="1"/>
    <x v="0"/>
    <x v="1"/>
    <x v="1"/>
    <n v="0"/>
    <n v="0"/>
    <n v="8.7940000000000005"/>
    <n v="8.7940000000000005"/>
    <n v="8.7940000000000005"/>
    <n v="8.7940000000000005"/>
    <n v="40"/>
    <x v="2"/>
    <n v="0"/>
    <n v="0"/>
    <n v="62"/>
    <n v="23"/>
    <n v="0"/>
    <n v="301.99"/>
    <n v="267.11"/>
    <m/>
    <n v="458.58209636584064"/>
    <n v="269.93409109504938"/>
    <n v="0"/>
    <n v="2655.7000600000001"/>
    <n v="2348.9653400000002"/>
    <n v="0"/>
    <n v="4032.7709554412027"/>
    <n v="2373.8003970898644"/>
  </r>
  <r>
    <s v="Regular"/>
    <x v="3"/>
    <x v="3"/>
    <x v="5"/>
    <x v="0"/>
    <x v="1"/>
    <x v="0"/>
    <x v="1"/>
    <x v="2"/>
    <n v="0"/>
    <n v="0"/>
    <n v="202.459"/>
    <n v="202.459"/>
    <n v="202.459"/>
    <n v="202.459"/>
    <n v="792"/>
    <x v="2"/>
    <n v="0"/>
    <n v="0"/>
    <n v="62"/>
    <n v="23"/>
    <n v="0"/>
    <n v="301.99"/>
    <n v="267.11"/>
    <m/>
    <n v="458.58209636584064"/>
    <n v="269.93409109504938"/>
    <n v="0"/>
    <n v="61140.593410000001"/>
    <n v="54078.823490000002"/>
    <n v="0"/>
    <n v="92844.072648131725"/>
    <n v="54650.586149012604"/>
  </r>
  <r>
    <s v="Sistema de Compensação"/>
    <x v="3"/>
    <x v="3"/>
    <x v="5"/>
    <x v="0"/>
    <x v="1"/>
    <x v="0"/>
    <x v="1"/>
    <x v="2"/>
    <n v="0"/>
    <n v="0"/>
    <n v="12.084"/>
    <n v="12.084"/>
    <n v="12.084"/>
    <n v="12.084"/>
    <n v="41"/>
    <x v="2"/>
    <n v="0"/>
    <n v="0"/>
    <n v="62"/>
    <n v="23"/>
    <n v="0"/>
    <n v="301.99"/>
    <n v="267.11"/>
    <m/>
    <n v="458.58209636584064"/>
    <n v="269.93409109504938"/>
    <n v="0"/>
    <n v="3649.2471599999999"/>
    <n v="3227.7572399999999"/>
    <n v="0"/>
    <n v="5541.5060524848177"/>
    <n v="3261.8835567925767"/>
  </r>
  <r>
    <s v="Regular"/>
    <x v="3"/>
    <x v="3"/>
    <x v="5"/>
    <x v="0"/>
    <x v="1"/>
    <x v="0"/>
    <x v="1"/>
    <x v="3"/>
    <n v="0"/>
    <n v="0"/>
    <n v="207.00899999999999"/>
    <n v="207.00899999999999"/>
    <n v="207.00899999999999"/>
    <n v="207.00899999999999"/>
    <n v="791"/>
    <x v="2"/>
    <n v="0"/>
    <n v="0"/>
    <n v="62"/>
    <n v="23"/>
    <n v="0"/>
    <n v="301.99"/>
    <n v="267.11"/>
    <m/>
    <n v="458.58209636584064"/>
    <n v="269.93409109504938"/>
    <n v="0"/>
    <n v="62514.64791"/>
    <n v="55294.173989999996"/>
    <n v="0"/>
    <n v="94930.621186596298"/>
    <n v="55878.786263495072"/>
  </r>
  <r>
    <s v="Sistema de Compensação"/>
    <x v="3"/>
    <x v="3"/>
    <x v="5"/>
    <x v="0"/>
    <x v="1"/>
    <x v="0"/>
    <x v="1"/>
    <x v="3"/>
    <n v="0"/>
    <n v="0"/>
    <n v="12.455"/>
    <n v="12.455"/>
    <n v="12.455"/>
    <n v="12.455"/>
    <n v="41"/>
    <x v="2"/>
    <n v="0"/>
    <n v="0"/>
    <n v="62"/>
    <n v="23"/>
    <n v="0"/>
    <n v="301.99"/>
    <n v="267.11"/>
    <m/>
    <n v="458.58209636584064"/>
    <n v="269.93409109504938"/>
    <n v="0"/>
    <n v="3761.2854500000003"/>
    <n v="3326.8550500000001"/>
    <n v="0"/>
    <n v="5711.6400102365451"/>
    <n v="3362.0291045888403"/>
  </r>
  <r>
    <s v="Regular"/>
    <x v="4"/>
    <x v="4"/>
    <x v="2"/>
    <x v="0"/>
    <x v="1"/>
    <x v="0"/>
    <x v="0"/>
    <x v="4"/>
    <n v="0"/>
    <n v="0"/>
    <n v="4.5380000000000003"/>
    <n v="4.5380000000000003"/>
    <n v="4.5380000000000003"/>
    <n v="4.5380000000000003"/>
    <n v="0"/>
    <x v="2"/>
    <n v="0"/>
    <n v="0"/>
    <n v="76"/>
    <n v="51"/>
    <n v="0"/>
    <n v="225.41"/>
    <n v="286.76"/>
    <m/>
    <n v="340.51509208459936"/>
    <n v="271.35516669689775"/>
    <n v="0"/>
    <n v="1022.9105800000001"/>
    <n v="1301.3168800000001"/>
    <n v="0"/>
    <n v="1545.2574878799119"/>
    <n v="1231.4097464705221"/>
  </r>
  <r>
    <s v="Regular"/>
    <x v="4"/>
    <x v="4"/>
    <x v="2"/>
    <x v="0"/>
    <x v="1"/>
    <x v="0"/>
    <x v="0"/>
    <x v="5"/>
    <n v="0"/>
    <n v="0"/>
    <n v="4.0140000000000002"/>
    <n v="4.0140000000000002"/>
    <n v="4.0140000000000002"/>
    <n v="4.0140000000000002"/>
    <n v="0"/>
    <x v="2"/>
    <n v="0"/>
    <n v="0"/>
    <n v="76"/>
    <n v="51"/>
    <n v="0"/>
    <n v="225.41"/>
    <n v="286.76"/>
    <m/>
    <n v="340.51509208459936"/>
    <n v="271.35516669689775"/>
    <n v="0"/>
    <n v="904.79574000000002"/>
    <n v="1151.0546400000001"/>
    <n v="0"/>
    <n v="1366.8275796275818"/>
    <n v="1089.2196391213477"/>
  </r>
  <r>
    <s v="Regular"/>
    <x v="4"/>
    <x v="4"/>
    <x v="2"/>
    <x v="0"/>
    <x v="1"/>
    <x v="0"/>
    <x v="0"/>
    <x v="6"/>
    <n v="0"/>
    <n v="0"/>
    <n v="4.2480000000000002"/>
    <n v="4.2480000000000002"/>
    <n v="4.2480000000000002"/>
    <n v="4.2480000000000002"/>
    <n v="0"/>
    <x v="2"/>
    <n v="0"/>
    <n v="0"/>
    <n v="76"/>
    <n v="51"/>
    <n v="0"/>
    <n v="225.41"/>
    <n v="286.76"/>
    <m/>
    <n v="340.51509208459936"/>
    <n v="271.35516669689775"/>
    <n v="0"/>
    <n v="957.54168000000004"/>
    <n v="1218.1564800000001"/>
    <n v="0"/>
    <n v="1446.5081111753782"/>
    <n v="1152.7167481284216"/>
  </r>
  <r>
    <s v="Regular"/>
    <x v="4"/>
    <x v="4"/>
    <x v="2"/>
    <x v="0"/>
    <x v="1"/>
    <x v="0"/>
    <x v="0"/>
    <x v="7"/>
    <n v="0"/>
    <n v="0"/>
    <n v="4.3120000000000003"/>
    <n v="4.3120000000000003"/>
    <n v="4.3120000000000003"/>
    <n v="4.3120000000000003"/>
    <n v="0"/>
    <x v="2"/>
    <n v="0"/>
    <n v="0"/>
    <n v="76"/>
    <n v="51"/>
    <n v="0"/>
    <n v="225.41"/>
    <n v="286.76"/>
    <m/>
    <n v="340.51509208459936"/>
    <n v="271.35516669689775"/>
    <n v="0"/>
    <n v="971.96792000000005"/>
    <n v="1236.5091199999999"/>
    <n v="0"/>
    <n v="1468.3010770687924"/>
    <n v="1170.0834787970232"/>
  </r>
  <r>
    <s v="Regular"/>
    <x v="4"/>
    <x v="4"/>
    <x v="2"/>
    <x v="0"/>
    <x v="1"/>
    <x v="0"/>
    <x v="0"/>
    <x v="8"/>
    <n v="0"/>
    <n v="0"/>
    <n v="4.9260000000000002"/>
    <n v="4.9260000000000002"/>
    <n v="4.9260000000000002"/>
    <n v="4.9260000000000002"/>
    <n v="0"/>
    <x v="2"/>
    <n v="0"/>
    <n v="0"/>
    <n v="76"/>
    <n v="51"/>
    <n v="0"/>
    <n v="225.41"/>
    <n v="286.76"/>
    <m/>
    <n v="340.51509208459936"/>
    <n v="271.35516669689775"/>
    <n v="0"/>
    <n v="1110.3696600000001"/>
    <n v="1412.5797600000001"/>
    <n v="0"/>
    <n v="1677.3773436087365"/>
    <n v="1336.6955511489184"/>
  </r>
  <r>
    <s v="Regular"/>
    <x v="4"/>
    <x v="4"/>
    <x v="2"/>
    <x v="0"/>
    <x v="1"/>
    <x v="0"/>
    <x v="0"/>
    <x v="9"/>
    <n v="0"/>
    <n v="0"/>
    <n v="6.1130000000000004"/>
    <n v="6.1130000000000004"/>
    <n v="6.1130000000000004"/>
    <n v="6.1130000000000004"/>
    <n v="0"/>
    <x v="2"/>
    <n v="0"/>
    <n v="0"/>
    <n v="76"/>
    <n v="51"/>
    <n v="0"/>
    <n v="225.41"/>
    <n v="286.76"/>
    <m/>
    <n v="340.51509208459936"/>
    <n v="271.35516669689775"/>
    <n v="0"/>
    <n v="1377.9313300000001"/>
    <n v="1752.96388"/>
    <n v="0"/>
    <n v="2081.5687579131559"/>
    <n v="1658.794134018136"/>
  </r>
  <r>
    <s v="Regular"/>
    <x v="4"/>
    <x v="4"/>
    <x v="2"/>
    <x v="0"/>
    <x v="1"/>
    <x v="0"/>
    <x v="0"/>
    <x v="10"/>
    <n v="0"/>
    <n v="0"/>
    <n v="7.43"/>
    <n v="7.43"/>
    <n v="7.43"/>
    <n v="7.43"/>
    <n v="0"/>
    <x v="2"/>
    <n v="0"/>
    <n v="0"/>
    <n v="76"/>
    <n v="51"/>
    <n v="0"/>
    <n v="225.41"/>
    <n v="286.76"/>
    <m/>
    <n v="340.51509208459936"/>
    <n v="271.35516669689775"/>
    <n v="0"/>
    <n v="1674.7963"/>
    <n v="2130.6268"/>
    <n v="0"/>
    <n v="2530.0271341885732"/>
    <n v="2016.1688885579501"/>
  </r>
  <r>
    <s v="Regular"/>
    <x v="4"/>
    <x v="4"/>
    <x v="2"/>
    <x v="0"/>
    <x v="1"/>
    <x v="0"/>
    <x v="0"/>
    <x v="11"/>
    <n v="0"/>
    <n v="0"/>
    <n v="6.3680000000000003"/>
    <n v="6.3680000000000003"/>
    <n v="6.3680000000000003"/>
    <n v="6.3680000000000003"/>
    <n v="0"/>
    <x v="2"/>
    <n v="0"/>
    <n v="0"/>
    <n v="76"/>
    <n v="51"/>
    <n v="0"/>
    <n v="225.41"/>
    <n v="286.76"/>
    <m/>
    <n v="340.51509208459936"/>
    <n v="271.35516669689775"/>
    <n v="0"/>
    <n v="1435.4108800000001"/>
    <n v="1826.0876800000001"/>
    <n v="0"/>
    <n v="2168.4001063947289"/>
    <n v="1727.989701525845"/>
  </r>
  <r>
    <s v="Regular"/>
    <x v="4"/>
    <x v="4"/>
    <x v="2"/>
    <x v="0"/>
    <x v="1"/>
    <x v="0"/>
    <x v="0"/>
    <x v="0"/>
    <n v="0"/>
    <n v="0"/>
    <n v="5.8129999999999997"/>
    <n v="5.8129999999999997"/>
    <n v="5.8129999999999997"/>
    <n v="5.8129999999999997"/>
    <n v="0"/>
    <x v="2"/>
    <n v="0"/>
    <n v="0"/>
    <n v="76"/>
    <n v="51"/>
    <n v="0"/>
    <n v="225.41"/>
    <n v="286.76"/>
    <m/>
    <n v="340.51509208459936"/>
    <n v="271.35516669689775"/>
    <n v="0"/>
    <n v="1310.3083299999998"/>
    <n v="1666.9358799999998"/>
    <n v="0"/>
    <n v="1979.414230287776"/>
    <n v="1577.3875840090666"/>
  </r>
  <r>
    <s v="Regular"/>
    <x v="4"/>
    <x v="4"/>
    <x v="2"/>
    <x v="0"/>
    <x v="1"/>
    <x v="0"/>
    <x v="0"/>
    <x v="1"/>
    <n v="0"/>
    <n v="0"/>
    <n v="4.8"/>
    <n v="4.8"/>
    <n v="4.8"/>
    <n v="4.8"/>
    <n v="0"/>
    <x v="2"/>
    <n v="0"/>
    <n v="0"/>
    <n v="76"/>
    <n v="51"/>
    <n v="0"/>
    <n v="225.41"/>
    <n v="286.76"/>
    <m/>
    <n v="340.51509208459936"/>
    <n v="271.35516669689775"/>
    <n v="0"/>
    <n v="1081.9679999999998"/>
    <n v="1376.4479999999999"/>
    <n v="0"/>
    <n v="1634.4724420060768"/>
    <n v="1302.5048001451091"/>
  </r>
  <r>
    <s v="Regular"/>
    <x v="4"/>
    <x v="4"/>
    <x v="2"/>
    <x v="0"/>
    <x v="1"/>
    <x v="0"/>
    <x v="0"/>
    <x v="2"/>
    <n v="0"/>
    <n v="0"/>
    <n v="5.0640000000000001"/>
    <n v="5.0640000000000001"/>
    <n v="5.0640000000000001"/>
    <n v="5.0640000000000001"/>
    <n v="0"/>
    <x v="2"/>
    <n v="0"/>
    <n v="0"/>
    <n v="76"/>
    <n v="51"/>
    <n v="0"/>
    <n v="225.41"/>
    <n v="286.76"/>
    <m/>
    <n v="340.51509208459936"/>
    <n v="271.35516669689775"/>
    <n v="0"/>
    <n v="1141.47624"/>
    <n v="1452.15264"/>
    <n v="0"/>
    <n v="1724.3684263164112"/>
    <n v="1374.1425641530902"/>
  </r>
  <r>
    <s v="Regular"/>
    <x v="4"/>
    <x v="4"/>
    <x v="2"/>
    <x v="0"/>
    <x v="1"/>
    <x v="0"/>
    <x v="0"/>
    <x v="3"/>
    <n v="0"/>
    <n v="0"/>
    <n v="5.016"/>
    <n v="5.016"/>
    <n v="5.016"/>
    <n v="5.016"/>
    <n v="0"/>
    <x v="2"/>
    <n v="0"/>
    <n v="0"/>
    <n v="76"/>
    <n v="51"/>
    <n v="0"/>
    <n v="225.41"/>
    <n v="286.76"/>
    <m/>
    <n v="340.51509208459936"/>
    <n v="271.35516669689775"/>
    <n v="0"/>
    <n v="1130.6565599999999"/>
    <n v="1438.38816"/>
    <n v="0"/>
    <n v="1708.0237018963503"/>
    <n v="1361.1175161516392"/>
  </r>
  <r>
    <s v="Regular"/>
    <x v="4"/>
    <x v="4"/>
    <x v="2"/>
    <x v="0"/>
    <x v="1"/>
    <x v="0"/>
    <x v="3"/>
    <x v="4"/>
    <n v="0"/>
    <n v="0"/>
    <n v="0.317"/>
    <n v="0.317"/>
    <n v="0.317"/>
    <n v="0.317"/>
    <n v="0"/>
    <x v="2"/>
    <n v="0"/>
    <n v="0"/>
    <n v="75"/>
    <n v="48"/>
    <n v="0"/>
    <n v="543.07000000000005"/>
    <n v="286.76"/>
    <m/>
    <n v="737.96016987181849"/>
    <n v="271.35516669689775"/>
    <n v="0"/>
    <n v="172.15319000000002"/>
    <n v="90.902919999999995"/>
    <n v="0"/>
    <n v="233.93337384936646"/>
    <n v="86.019587842916593"/>
  </r>
  <r>
    <s v="Regular"/>
    <x v="4"/>
    <x v="4"/>
    <x v="2"/>
    <x v="0"/>
    <x v="1"/>
    <x v="0"/>
    <x v="3"/>
    <x v="5"/>
    <n v="0"/>
    <n v="0"/>
    <n v="0.27900000000000003"/>
    <n v="0.27900000000000003"/>
    <n v="0.27900000000000003"/>
    <n v="0.27900000000000003"/>
    <n v="0"/>
    <x v="2"/>
    <n v="0"/>
    <n v="0"/>
    <n v="75"/>
    <n v="48"/>
    <n v="0"/>
    <n v="543.07000000000005"/>
    <n v="286.76"/>
    <m/>
    <n v="737.96016987181849"/>
    <n v="271.35516669689775"/>
    <n v="0"/>
    <n v="151.51653000000002"/>
    <n v="80.006039999999999"/>
    <n v="0"/>
    <n v="205.89088739423738"/>
    <n v="75.708091508434478"/>
  </r>
  <r>
    <s v="Regular"/>
    <x v="4"/>
    <x v="4"/>
    <x v="2"/>
    <x v="0"/>
    <x v="1"/>
    <x v="0"/>
    <x v="3"/>
    <x v="6"/>
    <n v="0"/>
    <n v="0"/>
    <n v="0.27600000000000002"/>
    <n v="0.27600000000000002"/>
    <n v="0.27600000000000002"/>
    <n v="0.27600000000000002"/>
    <n v="0"/>
    <x v="2"/>
    <n v="0"/>
    <n v="0"/>
    <n v="75"/>
    <n v="48"/>
    <n v="0"/>
    <n v="543.07000000000005"/>
    <n v="286.76"/>
    <m/>
    <n v="737.96016987181849"/>
    <n v="271.35516669689775"/>
    <n v="0"/>
    <n v="149.88732000000002"/>
    <n v="79.14576000000001"/>
    <n v="0"/>
    <n v="203.67700688462193"/>
    <n v="74.894026008343786"/>
  </r>
  <r>
    <s v="Regular"/>
    <x v="4"/>
    <x v="4"/>
    <x v="2"/>
    <x v="0"/>
    <x v="1"/>
    <x v="0"/>
    <x v="3"/>
    <x v="7"/>
    <n v="0"/>
    <n v="0"/>
    <n v="0.26500000000000001"/>
    <n v="0.26500000000000001"/>
    <n v="0.26500000000000001"/>
    <n v="0.26500000000000001"/>
    <n v="0"/>
    <x v="2"/>
    <n v="0"/>
    <n v="0"/>
    <n v="75"/>
    <n v="48"/>
    <n v="0"/>
    <n v="543.07000000000005"/>
    <n v="286.76"/>
    <m/>
    <n v="737.96016987181849"/>
    <n v="271.35516669689775"/>
    <n v="0"/>
    <n v="143.91355000000001"/>
    <n v="75.991399999999999"/>
    <n v="0"/>
    <n v="195.5594450160319"/>
    <n v="71.909119174677912"/>
  </r>
  <r>
    <s v="Regular"/>
    <x v="4"/>
    <x v="4"/>
    <x v="2"/>
    <x v="0"/>
    <x v="1"/>
    <x v="0"/>
    <x v="3"/>
    <x v="8"/>
    <n v="0"/>
    <n v="0"/>
    <n v="0.27800000000000002"/>
    <n v="0.27800000000000002"/>
    <n v="0.27800000000000002"/>
    <n v="0.27800000000000002"/>
    <n v="0"/>
    <x v="2"/>
    <n v="0"/>
    <n v="0"/>
    <n v="75"/>
    <n v="48"/>
    <n v="0"/>
    <n v="543.07000000000005"/>
    <n v="286.76"/>
    <m/>
    <n v="737.96016987181849"/>
    <n v="271.35516669689775"/>
    <n v="0"/>
    <n v="150.97346000000002"/>
    <n v="79.719279999999998"/>
    <n v="0"/>
    <n v="205.15292722436556"/>
    <n v="75.436736341737586"/>
  </r>
  <r>
    <s v="Regular"/>
    <x v="4"/>
    <x v="4"/>
    <x v="2"/>
    <x v="0"/>
    <x v="1"/>
    <x v="0"/>
    <x v="3"/>
    <x v="9"/>
    <n v="0"/>
    <n v="0"/>
    <n v="0.309"/>
    <n v="0.309"/>
    <n v="0.309"/>
    <n v="0.309"/>
    <n v="0"/>
    <x v="2"/>
    <n v="0"/>
    <n v="0"/>
    <n v="75"/>
    <n v="48"/>
    <n v="0"/>
    <n v="543.07000000000005"/>
    <n v="286.76"/>
    <m/>
    <n v="737.96016987181849"/>
    <n v="271.35516669689775"/>
    <n v="0"/>
    <n v="167.80863000000002"/>
    <n v="88.608840000000001"/>
    <n v="0"/>
    <n v="228.02969249039191"/>
    <n v="83.84874650934141"/>
  </r>
  <r>
    <s v="Regular"/>
    <x v="4"/>
    <x v="4"/>
    <x v="2"/>
    <x v="0"/>
    <x v="1"/>
    <x v="0"/>
    <x v="3"/>
    <x v="10"/>
    <n v="0"/>
    <n v="0"/>
    <n v="0.38400000000000001"/>
    <n v="0.38400000000000001"/>
    <n v="0.38400000000000001"/>
    <n v="0.38400000000000001"/>
    <n v="0"/>
    <x v="2"/>
    <n v="0"/>
    <n v="0"/>
    <n v="75"/>
    <n v="48"/>
    <n v="0"/>
    <n v="543.07000000000005"/>
    <n v="286.76"/>
    <m/>
    <n v="737.96016987181849"/>
    <n v="271.35516669689775"/>
    <n v="0"/>
    <n v="208.53888000000003"/>
    <n v="110.11584000000001"/>
    <n v="0"/>
    <n v="283.37670523077833"/>
    <n v="104.20038401160873"/>
  </r>
  <r>
    <s v="Regular"/>
    <x v="4"/>
    <x v="4"/>
    <x v="2"/>
    <x v="0"/>
    <x v="1"/>
    <x v="0"/>
    <x v="3"/>
    <x v="11"/>
    <n v="0"/>
    <n v="0"/>
    <n v="0.29599999999999999"/>
    <n v="0.29599999999999999"/>
    <n v="0.29599999999999999"/>
    <n v="0.29599999999999999"/>
    <n v="0"/>
    <x v="2"/>
    <n v="0"/>
    <n v="0"/>
    <n v="75"/>
    <n v="48"/>
    <n v="0"/>
    <n v="543.07000000000005"/>
    <n v="286.76"/>
    <m/>
    <n v="737.96016987181849"/>
    <n v="271.35516669689775"/>
    <n v="0"/>
    <n v="160.74872000000002"/>
    <n v="84.880959999999988"/>
    <n v="0"/>
    <n v="218.43621028205825"/>
    <n v="80.321129342281736"/>
  </r>
  <r>
    <s v="Regular"/>
    <x v="4"/>
    <x v="4"/>
    <x v="2"/>
    <x v="0"/>
    <x v="1"/>
    <x v="0"/>
    <x v="3"/>
    <x v="0"/>
    <n v="0"/>
    <n v="0"/>
    <n v="0.317"/>
    <n v="0.317"/>
    <n v="0.317"/>
    <n v="0.317"/>
    <n v="0"/>
    <x v="2"/>
    <n v="0"/>
    <n v="0"/>
    <n v="75"/>
    <n v="48"/>
    <n v="0"/>
    <n v="543.07000000000005"/>
    <n v="286.76"/>
    <m/>
    <n v="737.96016987181849"/>
    <n v="271.35516669689775"/>
    <n v="0"/>
    <n v="172.15319000000002"/>
    <n v="90.902919999999995"/>
    <n v="0"/>
    <n v="233.93337384936646"/>
    <n v="86.019587842916593"/>
  </r>
  <r>
    <s v="Regular"/>
    <x v="4"/>
    <x v="4"/>
    <x v="2"/>
    <x v="0"/>
    <x v="1"/>
    <x v="0"/>
    <x v="3"/>
    <x v="1"/>
    <n v="0"/>
    <n v="0"/>
    <n v="0.32100000000000001"/>
    <n v="0.32100000000000001"/>
    <n v="0.32100000000000001"/>
    <n v="0.32100000000000001"/>
    <n v="0"/>
    <x v="2"/>
    <n v="0"/>
    <n v="0"/>
    <n v="75"/>
    <n v="48"/>
    <n v="0"/>
    <n v="543.07000000000005"/>
    <n v="286.76"/>
    <m/>
    <n v="737.96016987181849"/>
    <n v="271.35516669689775"/>
    <n v="0"/>
    <n v="174.32547000000002"/>
    <n v="92.049959999999999"/>
    <n v="0"/>
    <n v="236.88521452885374"/>
    <n v="87.105008509704177"/>
  </r>
  <r>
    <s v="Regular"/>
    <x v="4"/>
    <x v="4"/>
    <x v="2"/>
    <x v="0"/>
    <x v="1"/>
    <x v="0"/>
    <x v="3"/>
    <x v="2"/>
    <n v="0"/>
    <n v="0"/>
    <n v="0.35"/>
    <n v="0.35"/>
    <n v="0.35"/>
    <n v="0.35"/>
    <n v="0"/>
    <x v="2"/>
    <n v="0"/>
    <n v="0"/>
    <n v="75"/>
    <n v="48"/>
    <n v="0"/>
    <n v="543.07000000000005"/>
    <n v="286.76"/>
    <m/>
    <n v="737.96016987181849"/>
    <n v="271.35516669689775"/>
    <n v="0"/>
    <n v="190.0745"/>
    <n v="100.36599999999999"/>
    <n v="0"/>
    <n v="258.28605945513647"/>
    <n v="94.974308343914203"/>
  </r>
  <r>
    <s v="Regular"/>
    <x v="4"/>
    <x v="4"/>
    <x v="2"/>
    <x v="0"/>
    <x v="1"/>
    <x v="0"/>
    <x v="3"/>
    <x v="3"/>
    <n v="0"/>
    <n v="0"/>
    <n v="0.36599999999999999"/>
    <n v="0.36599999999999999"/>
    <n v="0.36599999999999999"/>
    <n v="0.36599999999999999"/>
    <n v="0"/>
    <x v="2"/>
    <n v="0"/>
    <n v="0"/>
    <n v="75"/>
    <n v="48"/>
    <n v="0"/>
    <n v="543.07000000000005"/>
    <n v="286.76"/>
    <m/>
    <n v="737.96016987181849"/>
    <n v="271.35516669689775"/>
    <n v="0"/>
    <n v="198.76362"/>
    <n v="104.95415999999999"/>
    <n v="0"/>
    <n v="270.09342217308557"/>
    <n v="99.315991011064582"/>
  </r>
  <r>
    <s v="Regular"/>
    <x v="4"/>
    <x v="4"/>
    <x v="2"/>
    <x v="0"/>
    <x v="1"/>
    <x v="0"/>
    <x v="2"/>
    <x v="4"/>
    <n v="0"/>
    <n v="0"/>
    <n v="0.32400000000000001"/>
    <n v="0.32400000000000001"/>
    <n v="0.32400000000000001"/>
    <n v="0.32400000000000001"/>
    <n v="0"/>
    <x v="2"/>
    <n v="0"/>
    <n v="0"/>
    <n v="74"/>
    <n v="47"/>
    <n v="0"/>
    <n v="1905.55"/>
    <n v="488.15"/>
    <m/>
    <n v="2442.6646753468553"/>
    <n v="461.06028669645673"/>
    <n v="0"/>
    <n v="617.39819999999997"/>
    <n v="158.16059999999999"/>
    <n v="0"/>
    <n v="791.42335481238115"/>
    <n v="149.38353288965197"/>
  </r>
  <r>
    <s v="Regular"/>
    <x v="4"/>
    <x v="4"/>
    <x v="2"/>
    <x v="0"/>
    <x v="1"/>
    <x v="0"/>
    <x v="2"/>
    <x v="5"/>
    <n v="0"/>
    <n v="0"/>
    <n v="0.315"/>
    <n v="0.315"/>
    <n v="0.315"/>
    <n v="0.315"/>
    <n v="0"/>
    <x v="2"/>
    <n v="0"/>
    <n v="0"/>
    <n v="74"/>
    <n v="47"/>
    <n v="0"/>
    <n v="1905.55"/>
    <n v="488.15"/>
    <m/>
    <n v="2442.6646753468553"/>
    <n v="461.06028669645673"/>
    <n v="0"/>
    <n v="600.24824999999998"/>
    <n v="153.76724999999999"/>
    <n v="0"/>
    <n v="769.43937273425945"/>
    <n v="145.23399030938387"/>
  </r>
  <r>
    <s v="Regular"/>
    <x v="4"/>
    <x v="4"/>
    <x v="2"/>
    <x v="0"/>
    <x v="1"/>
    <x v="0"/>
    <x v="2"/>
    <x v="6"/>
    <n v="0"/>
    <n v="0"/>
    <n v="0.311"/>
    <n v="0.311"/>
    <n v="0.311"/>
    <n v="0.311"/>
    <n v="0"/>
    <x v="2"/>
    <n v="0"/>
    <n v="0"/>
    <n v="74"/>
    <n v="47"/>
    <n v="0"/>
    <n v="1905.55"/>
    <n v="488.15"/>
    <m/>
    <n v="2442.6646753468553"/>
    <n v="461.06028669645673"/>
    <n v="0"/>
    <n v="592.62604999999996"/>
    <n v="151.81465"/>
    <n v="0"/>
    <n v="759.668714032872"/>
    <n v="143.38974916259804"/>
  </r>
  <r>
    <s v="Regular"/>
    <x v="4"/>
    <x v="4"/>
    <x v="2"/>
    <x v="0"/>
    <x v="1"/>
    <x v="0"/>
    <x v="2"/>
    <x v="7"/>
    <n v="0"/>
    <n v="0"/>
    <n v="0.29399999999999998"/>
    <n v="0.29399999999999998"/>
    <n v="0.29399999999999998"/>
    <n v="0.29399999999999998"/>
    <n v="0"/>
    <x v="2"/>
    <n v="0"/>
    <n v="0"/>
    <n v="74"/>
    <n v="47"/>
    <n v="0"/>
    <n v="1905.55"/>
    <n v="488.15"/>
    <m/>
    <n v="2442.6646753468553"/>
    <n v="461.06028669645673"/>
    <n v="0"/>
    <n v="560.23169999999993"/>
    <n v="143.51609999999999"/>
    <n v="0"/>
    <n v="718.14341455197541"/>
    <n v="135.55172428875827"/>
  </r>
  <r>
    <s v="Regular"/>
    <x v="4"/>
    <x v="4"/>
    <x v="2"/>
    <x v="0"/>
    <x v="1"/>
    <x v="0"/>
    <x v="2"/>
    <x v="8"/>
    <n v="0"/>
    <n v="0"/>
    <n v="0.27800000000000002"/>
    <n v="0.27800000000000002"/>
    <n v="0.27800000000000002"/>
    <n v="0.27800000000000002"/>
    <n v="0"/>
    <x v="2"/>
    <n v="0"/>
    <n v="0"/>
    <n v="74"/>
    <n v="47"/>
    <n v="0"/>
    <n v="1905.55"/>
    <n v="488.15"/>
    <m/>
    <n v="2442.6646753468553"/>
    <n v="461.06028669645673"/>
    <n v="0"/>
    <n v="529.74290000000008"/>
    <n v="135.70570000000001"/>
    <n v="0"/>
    <n v="679.06077974642585"/>
    <n v="128.17475970161499"/>
  </r>
  <r>
    <s v="Regular"/>
    <x v="4"/>
    <x v="4"/>
    <x v="2"/>
    <x v="0"/>
    <x v="1"/>
    <x v="0"/>
    <x v="2"/>
    <x v="9"/>
    <n v="0"/>
    <n v="0"/>
    <n v="0.40500000000000003"/>
    <n v="0.40500000000000003"/>
    <n v="0.40500000000000003"/>
    <n v="0.40500000000000003"/>
    <n v="0"/>
    <x v="2"/>
    <n v="0"/>
    <n v="0"/>
    <n v="74"/>
    <n v="47"/>
    <n v="0"/>
    <n v="1905.55"/>
    <n v="488.15"/>
    <m/>
    <n v="2442.6646753468553"/>
    <n v="461.06028669645673"/>
    <n v="0"/>
    <n v="771.74775"/>
    <n v="197.70075"/>
    <n v="0"/>
    <n v="989.27919351547644"/>
    <n v="186.729416112065"/>
  </r>
  <r>
    <s v="Regular"/>
    <x v="4"/>
    <x v="4"/>
    <x v="2"/>
    <x v="0"/>
    <x v="1"/>
    <x v="0"/>
    <x v="2"/>
    <x v="10"/>
    <n v="0"/>
    <n v="0"/>
    <n v="0.36899999999999999"/>
    <n v="0.36899999999999999"/>
    <n v="0.36899999999999999"/>
    <n v="0.36899999999999999"/>
    <n v="0"/>
    <x v="2"/>
    <n v="0"/>
    <n v="0"/>
    <n v="74"/>
    <n v="47"/>
    <n v="0"/>
    <n v="1905.55"/>
    <n v="488.15"/>
    <m/>
    <n v="2442.6646753468553"/>
    <n v="461.06028669645673"/>
    <n v="0"/>
    <n v="703.14794999999992"/>
    <n v="180.12734999999998"/>
    <n v="0"/>
    <n v="901.34326520298964"/>
    <n v="170.13124579099252"/>
  </r>
  <r>
    <s v="Regular"/>
    <x v="4"/>
    <x v="4"/>
    <x v="2"/>
    <x v="0"/>
    <x v="1"/>
    <x v="0"/>
    <x v="2"/>
    <x v="11"/>
    <n v="0"/>
    <n v="0"/>
    <n v="0.29699999999999999"/>
    <n v="0.29699999999999999"/>
    <n v="0.29699999999999999"/>
    <n v="0.29699999999999999"/>
    <n v="0"/>
    <x v="2"/>
    <n v="0"/>
    <n v="0"/>
    <n v="74"/>
    <n v="47"/>
    <n v="0"/>
    <n v="1905.55"/>
    <n v="488.15"/>
    <m/>
    <n v="2442.6646753468553"/>
    <n v="461.06028669645673"/>
    <n v="0"/>
    <n v="565.94835"/>
    <n v="144.98054999999999"/>
    <n v="0"/>
    <n v="725.47140857801605"/>
    <n v="136.93490514884763"/>
  </r>
  <r>
    <s v="Regular"/>
    <x v="4"/>
    <x v="4"/>
    <x v="2"/>
    <x v="0"/>
    <x v="1"/>
    <x v="0"/>
    <x v="2"/>
    <x v="0"/>
    <n v="0"/>
    <n v="0"/>
    <n v="0.32100000000000001"/>
    <n v="0.32100000000000001"/>
    <n v="0.32100000000000001"/>
    <n v="0.32100000000000001"/>
    <n v="0"/>
    <x v="2"/>
    <n v="0"/>
    <n v="0"/>
    <n v="74"/>
    <n v="47"/>
    <n v="0"/>
    <n v="1905.55"/>
    <n v="488.15"/>
    <m/>
    <n v="2442.6646753468553"/>
    <n v="461.06028669645673"/>
    <n v="0"/>
    <n v="611.68155000000002"/>
    <n v="156.69614999999999"/>
    <n v="0"/>
    <n v="784.09536078634062"/>
    <n v="148.00035202956261"/>
  </r>
  <r>
    <s v="Regular"/>
    <x v="4"/>
    <x v="4"/>
    <x v="2"/>
    <x v="0"/>
    <x v="1"/>
    <x v="0"/>
    <x v="2"/>
    <x v="1"/>
    <n v="0"/>
    <n v="0"/>
    <n v="0.35299999999999998"/>
    <n v="0.35299999999999998"/>
    <n v="0.35299999999999998"/>
    <n v="0.35299999999999998"/>
    <n v="0"/>
    <x v="2"/>
    <n v="0"/>
    <n v="0"/>
    <n v="74"/>
    <n v="47"/>
    <n v="0"/>
    <n v="1905.55"/>
    <n v="488.15"/>
    <m/>
    <n v="2442.6646753468553"/>
    <n v="461.06028669645673"/>
    <n v="0"/>
    <n v="672.65914999999995"/>
    <n v="172.31694999999999"/>
    <n v="0"/>
    <n v="862.26063039743985"/>
    <n v="162.75428120384922"/>
  </r>
  <r>
    <s v="Regular"/>
    <x v="4"/>
    <x v="4"/>
    <x v="2"/>
    <x v="0"/>
    <x v="1"/>
    <x v="0"/>
    <x v="2"/>
    <x v="2"/>
    <n v="0"/>
    <n v="0"/>
    <n v="0.36399999999999999"/>
    <n v="0.36399999999999999"/>
    <n v="0.36399999999999999"/>
    <n v="0.36399999999999999"/>
    <n v="0"/>
    <x v="2"/>
    <n v="0"/>
    <n v="0"/>
    <n v="74"/>
    <n v="47"/>
    <n v="0"/>
    <n v="1905.55"/>
    <n v="488.15"/>
    <m/>
    <n v="2442.6646753468553"/>
    <n v="461.06028669645673"/>
    <n v="0"/>
    <n v="693.62019999999995"/>
    <n v="177.6866"/>
    <n v="0"/>
    <n v="889.12994182625528"/>
    <n v="167.82594435751025"/>
  </r>
  <r>
    <s v="Regular"/>
    <x v="4"/>
    <x v="4"/>
    <x v="2"/>
    <x v="0"/>
    <x v="1"/>
    <x v="0"/>
    <x v="2"/>
    <x v="3"/>
    <n v="0"/>
    <n v="0"/>
    <n v="0.34799999999999998"/>
    <n v="0.34799999999999998"/>
    <n v="0.34799999999999998"/>
    <n v="0.34799999999999998"/>
    <n v="0"/>
    <x v="2"/>
    <n v="0"/>
    <n v="0"/>
    <n v="74"/>
    <n v="47"/>
    <n v="0"/>
    <n v="1905.55"/>
    <n v="488.15"/>
    <m/>
    <n v="2442.6646753468553"/>
    <n v="461.06028669645673"/>
    <n v="0"/>
    <n v="663.13139999999999"/>
    <n v="169.87619999999998"/>
    <n v="0"/>
    <n v="850.0473070207056"/>
    <n v="160.44897977036692"/>
  </r>
  <r>
    <s v="Regular"/>
    <x v="4"/>
    <x v="4"/>
    <x v="0"/>
    <x v="0"/>
    <x v="1"/>
    <x v="0"/>
    <x v="0"/>
    <x v="4"/>
    <n v="0"/>
    <n v="0"/>
    <n v="6.9989999999999997"/>
    <n v="6.9989999999999997"/>
    <n v="6.9989999999999997"/>
    <n v="6.9989999999999997"/>
    <n v="0"/>
    <x v="2"/>
    <n v="0"/>
    <n v="0"/>
    <n v="76"/>
    <n v="51"/>
    <n v="0"/>
    <n v="225.41"/>
    <n v="286.76"/>
    <m/>
    <n v="340.51509208459936"/>
    <n v="271.35516669689775"/>
    <n v="0"/>
    <n v="1577.6445899999999"/>
    <n v="2007.0332399999998"/>
    <n v="0"/>
    <n v="2383.265129500111"/>
    <n v="1899.2148117115873"/>
  </r>
  <r>
    <s v="Regular"/>
    <x v="4"/>
    <x v="4"/>
    <x v="0"/>
    <x v="0"/>
    <x v="1"/>
    <x v="0"/>
    <x v="0"/>
    <x v="5"/>
    <n v="0"/>
    <n v="0"/>
    <n v="7.8239999999999998"/>
    <n v="7.8239999999999998"/>
    <n v="7.8239999999999998"/>
    <n v="7.8239999999999998"/>
    <n v="0"/>
    <x v="2"/>
    <n v="0"/>
    <n v="0"/>
    <n v="76"/>
    <n v="51"/>
    <n v="0"/>
    <n v="225.41"/>
    <n v="286.76"/>
    <m/>
    <n v="340.51509208459936"/>
    <n v="271.35516669689775"/>
    <n v="0"/>
    <n v="1763.6078399999999"/>
    <n v="2243.61024"/>
    <n v="0"/>
    <n v="2664.1900804699053"/>
    <n v="2123.0828242365278"/>
  </r>
  <r>
    <s v="Regular"/>
    <x v="4"/>
    <x v="4"/>
    <x v="0"/>
    <x v="0"/>
    <x v="1"/>
    <x v="0"/>
    <x v="0"/>
    <x v="6"/>
    <n v="0"/>
    <n v="0"/>
    <n v="8.3190000000000008"/>
    <n v="8.3190000000000008"/>
    <n v="8.3190000000000008"/>
    <n v="8.3190000000000008"/>
    <n v="0"/>
    <x v="2"/>
    <n v="0"/>
    <n v="0"/>
    <n v="76"/>
    <n v="51"/>
    <n v="0"/>
    <n v="225.41"/>
    <n v="286.76"/>
    <m/>
    <n v="340.51509208459936"/>
    <n v="271.35516669689775"/>
    <n v="0"/>
    <n v="1875.1857900000002"/>
    <n v="2385.5564400000003"/>
    <n v="0"/>
    <n v="2832.7450510517824"/>
    <n v="2257.4036317514929"/>
  </r>
  <r>
    <s v="Regular"/>
    <x v="4"/>
    <x v="4"/>
    <x v="0"/>
    <x v="0"/>
    <x v="1"/>
    <x v="0"/>
    <x v="0"/>
    <x v="7"/>
    <n v="0"/>
    <n v="0"/>
    <n v="7.0270000000000001"/>
    <n v="7.0270000000000001"/>
    <n v="7.0270000000000001"/>
    <n v="7.0270000000000001"/>
    <n v="0"/>
    <x v="2"/>
    <n v="0"/>
    <n v="0"/>
    <n v="76"/>
    <n v="51"/>
    <n v="0"/>
    <n v="225.41"/>
    <n v="286.76"/>
    <m/>
    <n v="340.51509208459936"/>
    <n v="271.35516669689775"/>
    <n v="0"/>
    <n v="1583.95607"/>
    <n v="2015.0625199999999"/>
    <n v="0"/>
    <n v="2392.7995520784798"/>
    <n v="1906.8127563791006"/>
  </r>
  <r>
    <s v="Regular"/>
    <x v="4"/>
    <x v="4"/>
    <x v="0"/>
    <x v="0"/>
    <x v="1"/>
    <x v="0"/>
    <x v="0"/>
    <x v="8"/>
    <n v="0"/>
    <n v="0"/>
    <n v="6.6589999999999998"/>
    <n v="6.6589999999999998"/>
    <n v="6.6589999999999998"/>
    <n v="6.6589999999999998"/>
    <n v="0"/>
    <x v="2"/>
    <n v="0"/>
    <n v="0"/>
    <n v="76"/>
    <n v="51"/>
    <n v="0"/>
    <n v="225.41"/>
    <n v="286.76"/>
    <m/>
    <n v="340.51509208459936"/>
    <n v="271.35516669689775"/>
    <n v="0"/>
    <n v="1501.0051899999999"/>
    <n v="1909.5348399999998"/>
    <n v="0"/>
    <n v="2267.4899981913472"/>
    <n v="1806.9540550346421"/>
  </r>
  <r>
    <s v="Regular"/>
    <x v="4"/>
    <x v="4"/>
    <x v="0"/>
    <x v="0"/>
    <x v="1"/>
    <x v="0"/>
    <x v="0"/>
    <x v="9"/>
    <n v="0"/>
    <n v="0"/>
    <n v="7.5110000000000001"/>
    <n v="7.5110000000000001"/>
    <n v="7.5110000000000001"/>
    <n v="7.5110000000000001"/>
    <n v="0"/>
    <x v="2"/>
    <n v="0"/>
    <n v="0"/>
    <n v="76"/>
    <n v="51"/>
    <n v="0"/>
    <n v="225.41"/>
    <n v="286.76"/>
    <m/>
    <n v="340.51509208459936"/>
    <n v="271.35516669689775"/>
    <n v="0"/>
    <n v="1693.0545099999999"/>
    <n v="2153.8543599999998"/>
    <n v="0"/>
    <n v="2557.6088566474259"/>
    <n v="2038.148657060399"/>
  </r>
  <r>
    <s v="Regular"/>
    <x v="4"/>
    <x v="4"/>
    <x v="0"/>
    <x v="0"/>
    <x v="1"/>
    <x v="0"/>
    <x v="0"/>
    <x v="10"/>
    <n v="0"/>
    <n v="0"/>
    <n v="8.2100000000000009"/>
    <n v="8.2100000000000009"/>
    <n v="8.2100000000000009"/>
    <n v="8.2100000000000009"/>
    <n v="0"/>
    <x v="2"/>
    <n v="0"/>
    <n v="0"/>
    <n v="76"/>
    <n v="51"/>
    <n v="0"/>
    <n v="225.41"/>
    <n v="286.76"/>
    <m/>
    <n v="340.51509208459936"/>
    <n v="271.35516669689775"/>
    <n v="0"/>
    <n v="1850.6161000000002"/>
    <n v="2354.2996000000003"/>
    <n v="0"/>
    <n v="2795.6289060145609"/>
    <n v="2227.8259185815309"/>
  </r>
  <r>
    <s v="Regular"/>
    <x v="4"/>
    <x v="4"/>
    <x v="0"/>
    <x v="0"/>
    <x v="1"/>
    <x v="0"/>
    <x v="0"/>
    <x v="11"/>
    <n v="0"/>
    <n v="0"/>
    <n v="6.6219999999999999"/>
    <n v="6.6219999999999999"/>
    <n v="6.6219999999999999"/>
    <n v="6.6219999999999999"/>
    <n v="0"/>
    <x v="2"/>
    <n v="0"/>
    <n v="0"/>
    <n v="76"/>
    <n v="51"/>
    <n v="0"/>
    <n v="225.41"/>
    <n v="286.76"/>
    <m/>
    <n v="340.51509208459936"/>
    <n v="271.35516669689775"/>
    <n v="0"/>
    <n v="1492.6650199999999"/>
    <n v="1898.92472"/>
    <n v="0"/>
    <n v="2254.8909397842167"/>
    <n v="1796.913913866857"/>
  </r>
  <r>
    <s v="Regular"/>
    <x v="4"/>
    <x v="4"/>
    <x v="0"/>
    <x v="0"/>
    <x v="1"/>
    <x v="0"/>
    <x v="0"/>
    <x v="0"/>
    <n v="0"/>
    <n v="0"/>
    <n v="6.51"/>
    <n v="6.51"/>
    <n v="6.51"/>
    <n v="6.51"/>
    <n v="0"/>
    <x v="2"/>
    <n v="0"/>
    <n v="0"/>
    <n v="76"/>
    <n v="51"/>
    <n v="0"/>
    <n v="225.41"/>
    <n v="286.76"/>
    <m/>
    <n v="340.51509208459936"/>
    <n v="271.35516669689775"/>
    <n v="0"/>
    <n v="1467.4190999999998"/>
    <n v="1866.8075999999999"/>
    <n v="0"/>
    <n v="2216.7532494707416"/>
    <n v="1766.5221351968044"/>
  </r>
  <r>
    <s v="Regular"/>
    <x v="4"/>
    <x v="4"/>
    <x v="0"/>
    <x v="0"/>
    <x v="1"/>
    <x v="0"/>
    <x v="0"/>
    <x v="1"/>
    <n v="0"/>
    <n v="0"/>
    <n v="7.702"/>
    <n v="7.702"/>
    <n v="7.702"/>
    <n v="7.702"/>
    <n v="0"/>
    <x v="2"/>
    <n v="0"/>
    <n v="0"/>
    <n v="76"/>
    <n v="51"/>
    <n v="0"/>
    <n v="225.41"/>
    <n v="286.76"/>
    <m/>
    <n v="340.51509208459936"/>
    <n v="271.35516669689775"/>
    <n v="0"/>
    <n v="1736.1078199999999"/>
    <n v="2208.6255200000001"/>
    <n v="0"/>
    <n v="2622.647239235584"/>
    <n v="2089.9774938995065"/>
  </r>
  <r>
    <s v="Regular"/>
    <x v="4"/>
    <x v="4"/>
    <x v="0"/>
    <x v="0"/>
    <x v="1"/>
    <x v="0"/>
    <x v="0"/>
    <x v="2"/>
    <n v="0"/>
    <n v="0"/>
    <n v="8.7870000000000008"/>
    <n v="8.7870000000000008"/>
    <n v="8.7870000000000008"/>
    <n v="8.7870000000000008"/>
    <n v="0"/>
    <x v="2"/>
    <n v="0"/>
    <n v="0"/>
    <n v="76"/>
    <n v="51"/>
    <n v="0"/>
    <n v="225.41"/>
    <n v="286.76"/>
    <m/>
    <n v="340.51509208459936"/>
    <n v="271.35516669689775"/>
    <n v="0"/>
    <n v="1980.6776700000003"/>
    <n v="2519.7601200000004"/>
    <n v="0"/>
    <n v="2992.1061141473747"/>
    <n v="2384.3978497656408"/>
  </r>
  <r>
    <s v="Regular"/>
    <x v="4"/>
    <x v="4"/>
    <x v="0"/>
    <x v="0"/>
    <x v="1"/>
    <x v="0"/>
    <x v="0"/>
    <x v="3"/>
    <n v="0"/>
    <n v="0"/>
    <n v="8.8219999999999992"/>
    <n v="8.8219999999999992"/>
    <n v="8.8219999999999992"/>
    <n v="8.8219999999999992"/>
    <n v="0"/>
    <x v="2"/>
    <n v="0"/>
    <n v="0"/>
    <n v="76"/>
    <n v="51"/>
    <n v="0"/>
    <n v="225.41"/>
    <n v="286.76"/>
    <m/>
    <n v="340.51509208459936"/>
    <n v="271.35516669689775"/>
    <n v="0"/>
    <n v="1988.5670199999997"/>
    <n v="2529.7967199999998"/>
    <n v="0"/>
    <n v="3004.0241423703351"/>
    <n v="2393.8952806000316"/>
  </r>
  <r>
    <s v="Regular"/>
    <x v="4"/>
    <x v="4"/>
    <x v="0"/>
    <x v="0"/>
    <x v="1"/>
    <x v="0"/>
    <x v="3"/>
    <x v="4"/>
    <n v="0"/>
    <n v="0"/>
    <n v="0.121"/>
    <n v="0.121"/>
    <n v="0.121"/>
    <n v="0.121"/>
    <n v="0"/>
    <x v="2"/>
    <n v="0"/>
    <n v="0"/>
    <n v="75"/>
    <n v="48"/>
    <n v="0"/>
    <n v="543.07000000000005"/>
    <n v="286.76"/>
    <m/>
    <n v="737.96016987181849"/>
    <n v="271.35516669689775"/>
    <n v="0"/>
    <n v="65.711470000000006"/>
    <n v="34.697959999999995"/>
    <n v="0"/>
    <n v="89.293180554490036"/>
    <n v="32.833975170324628"/>
  </r>
  <r>
    <s v="Regular"/>
    <x v="4"/>
    <x v="4"/>
    <x v="0"/>
    <x v="0"/>
    <x v="1"/>
    <x v="0"/>
    <x v="3"/>
    <x v="5"/>
    <n v="0"/>
    <n v="0"/>
    <n v="9.9000000000000005E-2"/>
    <n v="9.9000000000000005E-2"/>
    <n v="9.9000000000000005E-2"/>
    <n v="9.9000000000000005E-2"/>
    <n v="0"/>
    <x v="2"/>
    <n v="0"/>
    <n v="0"/>
    <n v="75"/>
    <n v="48"/>
    <n v="0"/>
    <n v="543.07000000000005"/>
    <n v="286.76"/>
    <m/>
    <n v="737.96016987181849"/>
    <n v="271.35516669689775"/>
    <n v="0"/>
    <n v="53.763930000000009"/>
    <n v="28.389240000000001"/>
    <n v="0"/>
    <n v="73.058056817310032"/>
    <n v="26.864161502992879"/>
  </r>
  <r>
    <s v="Regular"/>
    <x v="4"/>
    <x v="4"/>
    <x v="0"/>
    <x v="0"/>
    <x v="1"/>
    <x v="0"/>
    <x v="3"/>
    <x v="6"/>
    <n v="0"/>
    <n v="0"/>
    <n v="0.112"/>
    <n v="0.112"/>
    <n v="0.112"/>
    <n v="0.112"/>
    <n v="0"/>
    <x v="2"/>
    <n v="0"/>
    <n v="0"/>
    <n v="75"/>
    <n v="48"/>
    <n v="0"/>
    <n v="543.07000000000005"/>
    <n v="286.76"/>
    <m/>
    <n v="737.96016987181849"/>
    <n v="271.35516669689775"/>
    <n v="0"/>
    <n v="60.823840000000004"/>
    <n v="32.11712"/>
    <n v="0"/>
    <n v="82.651539025643672"/>
    <n v="30.391778670052549"/>
  </r>
  <r>
    <s v="Regular"/>
    <x v="4"/>
    <x v="4"/>
    <x v="0"/>
    <x v="0"/>
    <x v="1"/>
    <x v="0"/>
    <x v="3"/>
    <x v="7"/>
    <n v="0"/>
    <n v="0"/>
    <n v="7.5999999999999998E-2"/>
    <n v="7.5999999999999998E-2"/>
    <n v="7.5999999999999998E-2"/>
    <n v="7.5999999999999998E-2"/>
    <n v="0"/>
    <x v="2"/>
    <n v="0"/>
    <n v="0"/>
    <n v="75"/>
    <n v="48"/>
    <n v="0"/>
    <n v="543.07000000000005"/>
    <n v="286.76"/>
    <m/>
    <n v="737.96016987181849"/>
    <n v="271.35516669689775"/>
    <n v="0"/>
    <n v="41.273320000000005"/>
    <n v="21.793759999999999"/>
    <n v="0"/>
    <n v="56.084972910258202"/>
    <n v="20.62299266896423"/>
  </r>
  <r>
    <s v="Regular"/>
    <x v="4"/>
    <x v="4"/>
    <x v="0"/>
    <x v="0"/>
    <x v="1"/>
    <x v="0"/>
    <x v="3"/>
    <x v="8"/>
    <n v="0"/>
    <n v="0"/>
    <n v="8.5000000000000006E-2"/>
    <n v="8.5000000000000006E-2"/>
    <n v="8.5000000000000006E-2"/>
    <n v="8.5000000000000006E-2"/>
    <n v="0"/>
    <x v="2"/>
    <n v="0"/>
    <n v="0"/>
    <n v="75"/>
    <n v="48"/>
    <n v="0"/>
    <n v="543.07000000000005"/>
    <n v="286.76"/>
    <m/>
    <n v="737.96016987181849"/>
    <n v="271.35516669689775"/>
    <n v="0"/>
    <n v="46.160950000000007"/>
    <n v="24.374600000000001"/>
    <n v="0"/>
    <n v="62.72661443910458"/>
    <n v="23.065189169236312"/>
  </r>
  <r>
    <s v="Regular"/>
    <x v="4"/>
    <x v="4"/>
    <x v="0"/>
    <x v="0"/>
    <x v="1"/>
    <x v="0"/>
    <x v="3"/>
    <x v="9"/>
    <n v="0"/>
    <n v="0"/>
    <n v="7.9000000000000001E-2"/>
    <n v="7.9000000000000001E-2"/>
    <n v="7.9000000000000001E-2"/>
    <n v="7.9000000000000001E-2"/>
    <n v="0"/>
    <x v="2"/>
    <n v="0"/>
    <n v="0"/>
    <n v="75"/>
    <n v="48"/>
    <n v="0"/>
    <n v="543.07000000000005"/>
    <n v="286.76"/>
    <m/>
    <n v="737.96016987181849"/>
    <n v="271.35516669689775"/>
    <n v="0"/>
    <n v="42.902530000000006"/>
    <n v="22.654039999999998"/>
    <n v="0"/>
    <n v="58.298853419873659"/>
    <n v="21.437058169054922"/>
  </r>
  <r>
    <s v="Regular"/>
    <x v="4"/>
    <x v="4"/>
    <x v="0"/>
    <x v="0"/>
    <x v="1"/>
    <x v="0"/>
    <x v="3"/>
    <x v="10"/>
    <n v="0"/>
    <n v="0"/>
    <n v="9.0999999999999998E-2"/>
    <n v="9.0999999999999998E-2"/>
    <n v="9.0999999999999998E-2"/>
    <n v="9.0999999999999998E-2"/>
    <n v="0"/>
    <x v="2"/>
    <n v="0"/>
    <n v="0"/>
    <n v="75"/>
    <n v="48"/>
    <n v="0"/>
    <n v="543.07000000000005"/>
    <n v="286.76"/>
    <m/>
    <n v="737.96016987181849"/>
    <n v="271.35516669689775"/>
    <n v="0"/>
    <n v="49.419370000000001"/>
    <n v="26.09516"/>
    <n v="0"/>
    <n v="67.15437545833548"/>
    <n v="24.693320169417696"/>
  </r>
  <r>
    <s v="Regular"/>
    <x v="4"/>
    <x v="4"/>
    <x v="0"/>
    <x v="0"/>
    <x v="1"/>
    <x v="0"/>
    <x v="3"/>
    <x v="11"/>
    <n v="0"/>
    <n v="0"/>
    <n v="5.6000000000000001E-2"/>
    <n v="5.6000000000000001E-2"/>
    <n v="5.6000000000000001E-2"/>
    <n v="5.6000000000000001E-2"/>
    <n v="0"/>
    <x v="2"/>
    <n v="0"/>
    <n v="0"/>
    <n v="75"/>
    <n v="48"/>
    <n v="0"/>
    <n v="543.07000000000005"/>
    <n v="286.76"/>
    <m/>
    <n v="737.96016987181849"/>
    <n v="271.35516669689775"/>
    <n v="0"/>
    <n v="30.411920000000002"/>
    <n v="16.05856"/>
    <n v="0"/>
    <n v="41.325769512821836"/>
    <n v="15.195889335026274"/>
  </r>
  <r>
    <s v="Regular"/>
    <x v="4"/>
    <x v="4"/>
    <x v="0"/>
    <x v="0"/>
    <x v="1"/>
    <x v="0"/>
    <x v="3"/>
    <x v="0"/>
    <n v="0"/>
    <n v="0"/>
    <n v="9.0999999999999998E-2"/>
    <n v="9.0999999999999998E-2"/>
    <n v="9.0999999999999998E-2"/>
    <n v="9.0999999999999998E-2"/>
    <n v="0"/>
    <x v="2"/>
    <n v="0"/>
    <n v="0"/>
    <n v="75"/>
    <n v="48"/>
    <n v="0"/>
    <n v="543.07000000000005"/>
    <n v="286.76"/>
    <m/>
    <n v="737.96016987181849"/>
    <n v="271.35516669689775"/>
    <n v="0"/>
    <n v="49.419370000000001"/>
    <n v="26.09516"/>
    <n v="0"/>
    <n v="67.15437545833548"/>
    <n v="24.693320169417696"/>
  </r>
  <r>
    <s v="Regular"/>
    <x v="4"/>
    <x v="4"/>
    <x v="0"/>
    <x v="0"/>
    <x v="1"/>
    <x v="0"/>
    <x v="3"/>
    <x v="1"/>
    <n v="0"/>
    <n v="0"/>
    <n v="5.3999999999999999E-2"/>
    <n v="5.3999999999999999E-2"/>
    <n v="5.3999999999999999E-2"/>
    <n v="5.3999999999999999E-2"/>
    <n v="0"/>
    <x v="2"/>
    <n v="0"/>
    <n v="0"/>
    <n v="75"/>
    <n v="48"/>
    <n v="0"/>
    <n v="543.07000000000005"/>
    <n v="286.76"/>
    <m/>
    <n v="737.96016987181849"/>
    <n v="271.35516669689775"/>
    <n v="0"/>
    <n v="29.325780000000002"/>
    <n v="15.48504"/>
    <n v="0"/>
    <n v="39.849849173078198"/>
    <n v="14.653179001632479"/>
  </r>
  <r>
    <s v="Regular"/>
    <x v="4"/>
    <x v="4"/>
    <x v="0"/>
    <x v="0"/>
    <x v="1"/>
    <x v="0"/>
    <x v="3"/>
    <x v="2"/>
    <n v="0"/>
    <n v="0"/>
    <n v="8.7999999999999995E-2"/>
    <n v="8.7999999999999995E-2"/>
    <n v="8.7999999999999995E-2"/>
    <n v="8.7999999999999995E-2"/>
    <n v="0"/>
    <x v="2"/>
    <n v="0"/>
    <n v="0"/>
    <n v="75"/>
    <n v="48"/>
    <n v="0"/>
    <n v="543.07000000000005"/>
    <n v="286.76"/>
    <m/>
    <n v="737.96016987181849"/>
    <n v="271.35516669689775"/>
    <n v="0"/>
    <n v="47.79016"/>
    <n v="25.234879999999997"/>
    <n v="0"/>
    <n v="64.94049494872003"/>
    <n v="23.879254669327"/>
  </r>
  <r>
    <s v="Regular"/>
    <x v="4"/>
    <x v="4"/>
    <x v="0"/>
    <x v="0"/>
    <x v="1"/>
    <x v="0"/>
    <x v="3"/>
    <x v="3"/>
    <n v="0"/>
    <n v="0"/>
    <n v="7.5999999999999998E-2"/>
    <n v="7.5999999999999998E-2"/>
    <n v="7.5999999999999998E-2"/>
    <n v="7.5999999999999998E-2"/>
    <n v="0"/>
    <x v="2"/>
    <n v="0"/>
    <n v="0"/>
    <n v="75"/>
    <n v="48"/>
    <n v="0"/>
    <n v="543.07000000000005"/>
    <n v="286.76"/>
    <m/>
    <n v="737.96016987181849"/>
    <n v="271.35516669689775"/>
    <n v="0"/>
    <n v="41.273320000000005"/>
    <n v="21.793759999999999"/>
    <n v="0"/>
    <n v="56.084972910258202"/>
    <n v="20.62299266896423"/>
  </r>
  <r>
    <s v="Regular"/>
    <x v="4"/>
    <x v="4"/>
    <x v="0"/>
    <x v="0"/>
    <x v="1"/>
    <x v="0"/>
    <x v="2"/>
    <x v="4"/>
    <n v="0"/>
    <n v="0"/>
    <n v="1.6E-2"/>
    <n v="1.6E-2"/>
    <n v="1.6E-2"/>
    <n v="1.6E-2"/>
    <n v="0"/>
    <x v="2"/>
    <n v="0"/>
    <n v="0"/>
    <n v="74"/>
    <n v="47"/>
    <n v="0"/>
    <n v="1905.55"/>
    <n v="488.15"/>
    <m/>
    <n v="2442.6646753468553"/>
    <n v="461.06028669645673"/>
    <n v="0"/>
    <n v="30.488800000000001"/>
    <n v="7.8103999999999996"/>
    <n v="0"/>
    <n v="39.082634805549688"/>
    <n v="7.3769645871433074"/>
  </r>
  <r>
    <s v="Regular"/>
    <x v="4"/>
    <x v="4"/>
    <x v="0"/>
    <x v="0"/>
    <x v="1"/>
    <x v="0"/>
    <x v="2"/>
    <x v="5"/>
    <n v="0"/>
    <n v="0"/>
    <n v="2.1000000000000001E-2"/>
    <n v="2.1000000000000001E-2"/>
    <n v="2.1000000000000001E-2"/>
    <n v="2.1000000000000001E-2"/>
    <n v="0"/>
    <x v="2"/>
    <n v="0"/>
    <n v="0"/>
    <n v="74"/>
    <n v="47"/>
    <n v="0"/>
    <n v="1905.55"/>
    <n v="488.15"/>
    <m/>
    <n v="2442.6646753468553"/>
    <n v="461.06028669645673"/>
    <n v="0"/>
    <n v="40.016550000000002"/>
    <n v="10.251150000000001"/>
    <n v="0"/>
    <n v="51.295958182283968"/>
    <n v="9.6822660206255922"/>
  </r>
  <r>
    <s v="Regular"/>
    <x v="4"/>
    <x v="4"/>
    <x v="0"/>
    <x v="0"/>
    <x v="1"/>
    <x v="0"/>
    <x v="2"/>
    <x v="6"/>
    <n v="0"/>
    <n v="0"/>
    <n v="0.03"/>
    <n v="0.03"/>
    <n v="0.03"/>
    <n v="0.03"/>
    <n v="0"/>
    <x v="2"/>
    <n v="0"/>
    <n v="0"/>
    <n v="74"/>
    <n v="47"/>
    <n v="0"/>
    <n v="1905.55"/>
    <n v="488.15"/>
    <m/>
    <n v="2442.6646753468553"/>
    <n v="461.06028669645673"/>
    <n v="0"/>
    <n v="57.166499999999999"/>
    <n v="14.644499999999999"/>
    <n v="0"/>
    <n v="73.279940260405652"/>
    <n v="13.831808600893702"/>
  </r>
  <r>
    <s v="Regular"/>
    <x v="4"/>
    <x v="4"/>
    <x v="0"/>
    <x v="0"/>
    <x v="1"/>
    <x v="0"/>
    <x v="2"/>
    <x v="7"/>
    <n v="0"/>
    <n v="0"/>
    <n v="2.9000000000000001E-2"/>
    <n v="2.9000000000000001E-2"/>
    <n v="2.9000000000000001E-2"/>
    <n v="2.9000000000000001E-2"/>
    <n v="0"/>
    <x v="2"/>
    <n v="0"/>
    <n v="0"/>
    <n v="74"/>
    <n v="47"/>
    <n v="0"/>
    <n v="1905.55"/>
    <n v="488.15"/>
    <m/>
    <n v="2442.6646753468553"/>
    <n v="461.06028669645673"/>
    <n v="0"/>
    <n v="55.260950000000001"/>
    <n v="14.15635"/>
    <n v="0"/>
    <n v="70.837275585058805"/>
    <n v="13.370748314197245"/>
  </r>
  <r>
    <s v="Regular"/>
    <x v="4"/>
    <x v="4"/>
    <x v="0"/>
    <x v="0"/>
    <x v="1"/>
    <x v="0"/>
    <x v="2"/>
    <x v="8"/>
    <n v="0"/>
    <n v="0"/>
    <n v="3.1E-2"/>
    <n v="3.1E-2"/>
    <n v="3.1E-2"/>
    <n v="3.1E-2"/>
    <n v="0"/>
    <x v="2"/>
    <n v="0"/>
    <n v="0"/>
    <n v="74"/>
    <n v="47"/>
    <n v="0"/>
    <n v="1905.55"/>
    <n v="488.15"/>
    <m/>
    <n v="2442.6646753468553"/>
    <n v="461.06028669645673"/>
    <n v="0"/>
    <n v="59.072049999999997"/>
    <n v="15.13265"/>
    <n v="0"/>
    <n v="75.722604935752514"/>
    <n v="14.292868887590158"/>
  </r>
  <r>
    <s v="Regular"/>
    <x v="4"/>
    <x v="4"/>
    <x v="0"/>
    <x v="0"/>
    <x v="1"/>
    <x v="0"/>
    <x v="2"/>
    <x v="9"/>
    <n v="0"/>
    <n v="0"/>
    <n v="4.2000000000000003E-2"/>
    <n v="4.2000000000000003E-2"/>
    <n v="4.2000000000000003E-2"/>
    <n v="4.2000000000000003E-2"/>
    <n v="0"/>
    <x v="2"/>
    <n v="0"/>
    <n v="0"/>
    <n v="74"/>
    <n v="47"/>
    <n v="0"/>
    <n v="1905.55"/>
    <n v="488.15"/>
    <m/>
    <n v="2442.6646753468553"/>
    <n v="461.06028669645673"/>
    <n v="0"/>
    <n v="80.033100000000005"/>
    <n v="20.502300000000002"/>
    <n v="0"/>
    <n v="102.59191636456794"/>
    <n v="19.364532041251184"/>
  </r>
  <r>
    <s v="Regular"/>
    <x v="4"/>
    <x v="4"/>
    <x v="0"/>
    <x v="0"/>
    <x v="1"/>
    <x v="0"/>
    <x v="2"/>
    <x v="10"/>
    <n v="0"/>
    <n v="0"/>
    <n v="3.5999999999999997E-2"/>
    <n v="3.5999999999999997E-2"/>
    <n v="3.5999999999999997E-2"/>
    <n v="3.5999999999999997E-2"/>
    <n v="0"/>
    <x v="2"/>
    <n v="0"/>
    <n v="0"/>
    <n v="74"/>
    <n v="47"/>
    <n v="0"/>
    <n v="1905.55"/>
    <n v="488.15"/>
    <m/>
    <n v="2442.6646753468553"/>
    <n v="461.06028669645673"/>
    <n v="0"/>
    <n v="68.599799999999988"/>
    <n v="17.573399999999999"/>
    <n v="0"/>
    <n v="87.93592831248678"/>
    <n v="16.598170321072441"/>
  </r>
  <r>
    <s v="Regular"/>
    <x v="4"/>
    <x v="4"/>
    <x v="0"/>
    <x v="0"/>
    <x v="1"/>
    <x v="0"/>
    <x v="2"/>
    <x v="11"/>
    <n v="0"/>
    <n v="0"/>
    <n v="4.3999999999999997E-2"/>
    <n v="4.3999999999999997E-2"/>
    <n v="4.3999999999999997E-2"/>
    <n v="4.3999999999999997E-2"/>
    <n v="0"/>
    <x v="2"/>
    <n v="0"/>
    <n v="0"/>
    <n v="74"/>
    <n v="47"/>
    <n v="0"/>
    <n v="1905.55"/>
    <n v="488.15"/>
    <m/>
    <n v="2442.6646753468553"/>
    <n v="461.06028669645673"/>
    <n v="0"/>
    <n v="83.844199999999987"/>
    <n v="21.478599999999997"/>
    <n v="0"/>
    <n v="107.47724571526163"/>
    <n v="20.286652614644094"/>
  </r>
  <r>
    <s v="Regular"/>
    <x v="4"/>
    <x v="4"/>
    <x v="0"/>
    <x v="0"/>
    <x v="1"/>
    <x v="0"/>
    <x v="2"/>
    <x v="0"/>
    <n v="0"/>
    <n v="0"/>
    <n v="5.2999999999999999E-2"/>
    <n v="5.2999999999999999E-2"/>
    <n v="5.2999999999999999E-2"/>
    <n v="5.2999999999999999E-2"/>
    <n v="0"/>
    <x v="2"/>
    <n v="0"/>
    <n v="0"/>
    <n v="74"/>
    <n v="47"/>
    <n v="0"/>
    <n v="1905.55"/>
    <n v="488.15"/>
    <m/>
    <n v="2442.6646753468553"/>
    <n v="461.06028669645673"/>
    <n v="0"/>
    <n v="100.99414999999999"/>
    <n v="25.871949999999998"/>
    <n v="0"/>
    <n v="129.46122779338333"/>
    <n v="24.436195194912205"/>
  </r>
  <r>
    <s v="Regular"/>
    <x v="4"/>
    <x v="4"/>
    <x v="0"/>
    <x v="0"/>
    <x v="1"/>
    <x v="0"/>
    <x v="2"/>
    <x v="1"/>
    <n v="0"/>
    <n v="0"/>
    <n v="0.04"/>
    <n v="0.04"/>
    <n v="0.04"/>
    <n v="0.04"/>
    <n v="0"/>
    <x v="2"/>
    <n v="0"/>
    <n v="0"/>
    <n v="74"/>
    <n v="47"/>
    <n v="0"/>
    <n v="1905.55"/>
    <n v="488.15"/>
    <m/>
    <n v="2442.6646753468553"/>
    <n v="461.06028669645673"/>
    <n v="0"/>
    <n v="76.221999999999994"/>
    <n v="19.526"/>
    <n v="0"/>
    <n v="97.706587013874213"/>
    <n v="18.442411467858271"/>
  </r>
  <r>
    <s v="Regular"/>
    <x v="4"/>
    <x v="4"/>
    <x v="0"/>
    <x v="0"/>
    <x v="1"/>
    <x v="0"/>
    <x v="2"/>
    <x v="2"/>
    <n v="0"/>
    <n v="0"/>
    <n v="9.1999999999999998E-2"/>
    <n v="9.1999999999999998E-2"/>
    <n v="9.1999999999999998E-2"/>
    <n v="9.1999999999999998E-2"/>
    <n v="0"/>
    <x v="2"/>
    <n v="0"/>
    <n v="0"/>
    <n v="74"/>
    <n v="47"/>
    <n v="0"/>
    <n v="1905.55"/>
    <n v="488.15"/>
    <m/>
    <n v="2442.6646753468553"/>
    <n v="461.06028669645673"/>
    <n v="0"/>
    <n v="175.31059999999999"/>
    <n v="44.909799999999997"/>
    <n v="0"/>
    <n v="224.72515013191068"/>
    <n v="42.417546376074021"/>
  </r>
  <r>
    <s v="Regular"/>
    <x v="4"/>
    <x v="4"/>
    <x v="0"/>
    <x v="0"/>
    <x v="1"/>
    <x v="0"/>
    <x v="2"/>
    <x v="3"/>
    <n v="0"/>
    <n v="0"/>
    <n v="5.5E-2"/>
    <n v="5.5E-2"/>
    <n v="5.5E-2"/>
    <n v="5.5E-2"/>
    <n v="0"/>
    <x v="2"/>
    <n v="0"/>
    <n v="0"/>
    <n v="74"/>
    <n v="47"/>
    <n v="0"/>
    <n v="1905.55"/>
    <n v="488.15"/>
    <m/>
    <n v="2442.6646753468553"/>
    <n v="461.06028669645673"/>
    <n v="0"/>
    <n v="104.80525"/>
    <n v="26.84825"/>
    <n v="0"/>
    <n v="134.34655714407705"/>
    <n v="25.358315768305122"/>
  </r>
  <r>
    <s v="Regular"/>
    <x v="4"/>
    <x v="3"/>
    <x v="2"/>
    <x v="0"/>
    <x v="1"/>
    <x v="0"/>
    <x v="1"/>
    <x v="4"/>
    <n v="0"/>
    <n v="0"/>
    <n v="253.59399999999999"/>
    <n v="253.59399999999999"/>
    <n v="253.59399999999999"/>
    <n v="253.59399999999999"/>
    <n v="714"/>
    <x v="2"/>
    <n v="0"/>
    <n v="0"/>
    <n v="77"/>
    <n v="52"/>
    <n v="0"/>
    <n v="343.17"/>
    <n v="303.54000000000002"/>
    <m/>
    <n v="487.85329400621345"/>
    <n v="287.16392669686104"/>
    <n v="0"/>
    <n v="87025.852979999996"/>
    <n v="76975.922760000001"/>
    <n v="0"/>
    <n v="123716.66824021169"/>
    <n v="72823.04882676377"/>
  </r>
  <r>
    <s v="Sistema de Compensação"/>
    <x v="4"/>
    <x v="3"/>
    <x v="2"/>
    <x v="0"/>
    <x v="1"/>
    <x v="0"/>
    <x v="1"/>
    <x v="4"/>
    <n v="0"/>
    <n v="0"/>
    <n v="7.8559999999999999"/>
    <n v="7.8559999999999999"/>
    <n v="7.8559999999999999"/>
    <n v="7.8559999999999999"/>
    <n v="23"/>
    <x v="2"/>
    <n v="0"/>
    <n v="0"/>
    <n v="77"/>
    <n v="52"/>
    <n v="0"/>
    <n v="343.17"/>
    <n v="303.54000000000002"/>
    <m/>
    <n v="487.85329400621345"/>
    <n v="287.16392669686104"/>
    <n v="0"/>
    <n v="2695.9435200000003"/>
    <n v="2384.61024"/>
    <n v="0"/>
    <n v="3832.5754777128127"/>
    <n v="2255.9598081305403"/>
  </r>
  <r>
    <s v="Regular"/>
    <x v="4"/>
    <x v="3"/>
    <x v="2"/>
    <x v="0"/>
    <x v="1"/>
    <x v="0"/>
    <x v="1"/>
    <x v="5"/>
    <n v="0"/>
    <n v="0"/>
    <n v="273.43200000000002"/>
    <n v="273.43200000000002"/>
    <n v="273.43200000000002"/>
    <n v="273.43200000000002"/>
    <n v="723"/>
    <x v="2"/>
    <n v="0"/>
    <n v="0"/>
    <n v="77"/>
    <n v="52"/>
    <n v="0"/>
    <n v="343.17"/>
    <n v="303.54000000000002"/>
    <m/>
    <n v="487.85329400621345"/>
    <n v="287.16392669686104"/>
    <n v="0"/>
    <n v="93833.659440000003"/>
    <n v="82997.549280000007"/>
    <n v="0"/>
    <n v="133394.70188670696"/>
    <n v="78519.806804576117"/>
  </r>
  <r>
    <s v="Sistema de Compensação"/>
    <x v="4"/>
    <x v="3"/>
    <x v="2"/>
    <x v="0"/>
    <x v="1"/>
    <x v="0"/>
    <x v="1"/>
    <x v="5"/>
    <n v="0"/>
    <n v="0"/>
    <n v="10.975"/>
    <n v="10.975"/>
    <n v="10.975"/>
    <n v="10.975"/>
    <n v="24"/>
    <x v="2"/>
    <n v="0"/>
    <n v="0"/>
    <n v="77"/>
    <n v="52"/>
    <n v="0"/>
    <n v="343.17"/>
    <n v="303.54000000000002"/>
    <m/>
    <n v="487.85329400621345"/>
    <n v="287.16392669686104"/>
    <n v="0"/>
    <n v="3766.2907500000001"/>
    <n v="3331.3515000000002"/>
    <n v="0"/>
    <n v="5354.1899017181922"/>
    <n v="3151.6240954980499"/>
  </r>
  <r>
    <s v="Regular"/>
    <x v="4"/>
    <x v="3"/>
    <x v="2"/>
    <x v="0"/>
    <x v="1"/>
    <x v="0"/>
    <x v="1"/>
    <x v="6"/>
    <n v="0"/>
    <n v="0"/>
    <n v="256.66800000000001"/>
    <n v="256.66800000000001"/>
    <n v="256.66800000000001"/>
    <n v="256.66800000000001"/>
    <n v="725"/>
    <x v="2"/>
    <n v="0"/>
    <n v="0"/>
    <n v="77"/>
    <n v="52"/>
    <n v="0"/>
    <n v="343.17"/>
    <n v="303.54000000000002"/>
    <m/>
    <n v="487.85329400621345"/>
    <n v="287.16392669686104"/>
    <n v="0"/>
    <n v="88080.757560000013"/>
    <n v="77909.004720000012"/>
    <n v="0"/>
    <n v="125216.3292659868"/>
    <n v="73705.790737429925"/>
  </r>
  <r>
    <s v="Sistema de Compensação"/>
    <x v="4"/>
    <x v="3"/>
    <x v="2"/>
    <x v="0"/>
    <x v="1"/>
    <x v="0"/>
    <x v="1"/>
    <x v="6"/>
    <n v="0"/>
    <n v="0"/>
    <n v="12.308"/>
    <n v="12.308"/>
    <n v="12.308"/>
    <n v="12.308"/>
    <n v="25"/>
    <x v="2"/>
    <n v="0"/>
    <n v="0"/>
    <n v="77"/>
    <n v="52"/>
    <n v="0"/>
    <n v="343.17"/>
    <n v="303.54000000000002"/>
    <m/>
    <n v="487.85329400621345"/>
    <n v="287.16392669686104"/>
    <n v="0"/>
    <n v="4223.7363599999999"/>
    <n v="3735.9703200000004"/>
    <n v="0"/>
    <n v="6004.4983426284753"/>
    <n v="3534.4136097849655"/>
  </r>
  <r>
    <s v="Regular"/>
    <x v="4"/>
    <x v="3"/>
    <x v="2"/>
    <x v="0"/>
    <x v="1"/>
    <x v="0"/>
    <x v="1"/>
    <x v="7"/>
    <n v="0"/>
    <n v="0"/>
    <n v="260.02"/>
    <n v="260.02"/>
    <n v="260.02"/>
    <n v="260.02"/>
    <n v="721"/>
    <x v="2"/>
    <n v="0"/>
    <n v="0"/>
    <n v="77"/>
    <n v="52"/>
    <n v="0"/>
    <n v="343.17"/>
    <n v="303.54000000000002"/>
    <m/>
    <n v="487.85329400621345"/>
    <n v="287.16392669686104"/>
    <n v="0"/>
    <n v="89231.063399999999"/>
    <n v="78926.470799999996"/>
    <n v="0"/>
    <n v="126851.61350749561"/>
    <n v="74668.364219717798"/>
  </r>
  <r>
    <s v="Sistema de Compensação"/>
    <x v="4"/>
    <x v="3"/>
    <x v="2"/>
    <x v="0"/>
    <x v="1"/>
    <x v="0"/>
    <x v="1"/>
    <x v="7"/>
    <n v="0"/>
    <n v="0"/>
    <n v="10.545999999999999"/>
    <n v="10.545999999999999"/>
    <n v="10.545999999999999"/>
    <n v="10.545999999999999"/>
    <n v="25"/>
    <x v="2"/>
    <n v="0"/>
    <n v="0"/>
    <n v="77"/>
    <n v="52"/>
    <n v="0"/>
    <n v="343.17"/>
    <n v="303.54000000000002"/>
    <m/>
    <n v="487.85329400621345"/>
    <n v="287.16392669686104"/>
    <n v="0"/>
    <n v="3619.0708199999999"/>
    <n v="3201.1328400000002"/>
    <n v="0"/>
    <n v="5144.9008385895268"/>
    <n v="3028.4307709450964"/>
  </r>
  <r>
    <s v="Regular"/>
    <x v="4"/>
    <x v="3"/>
    <x v="2"/>
    <x v="0"/>
    <x v="1"/>
    <x v="0"/>
    <x v="1"/>
    <x v="8"/>
    <n v="0"/>
    <n v="0"/>
    <n v="310.25799999999998"/>
    <n v="310.25799999999998"/>
    <n v="310.25799999999998"/>
    <n v="310.25799999999998"/>
    <n v="721"/>
    <x v="2"/>
    <n v="0"/>
    <n v="0"/>
    <n v="77"/>
    <n v="52"/>
    <n v="0"/>
    <n v="343.17"/>
    <n v="303.54000000000002"/>
    <m/>
    <n v="487.85329400621345"/>
    <n v="287.16392669686104"/>
    <n v="0"/>
    <n v="106471.23785999999"/>
    <n v="94175.713319999995"/>
    <n v="0"/>
    <n v="151360.38729177977"/>
    <n v="89094.905569114708"/>
  </r>
  <r>
    <s v="Sistema de Compensação"/>
    <x v="4"/>
    <x v="3"/>
    <x v="2"/>
    <x v="0"/>
    <x v="1"/>
    <x v="0"/>
    <x v="1"/>
    <x v="8"/>
    <n v="0"/>
    <n v="0"/>
    <n v="11.718999999999999"/>
    <n v="11.718999999999999"/>
    <n v="11.718999999999999"/>
    <n v="11.718999999999999"/>
    <n v="25"/>
    <x v="2"/>
    <n v="0"/>
    <n v="0"/>
    <n v="77"/>
    <n v="52"/>
    <n v="0"/>
    <n v="343.17"/>
    <n v="303.54000000000002"/>
    <m/>
    <n v="487.85329400621345"/>
    <n v="287.16392669686104"/>
    <n v="0"/>
    <n v="4021.60923"/>
    <n v="3557.1852600000002"/>
    <n v="0"/>
    <n v="5717.1527524588155"/>
    <n v="3365.2740569605144"/>
  </r>
  <r>
    <s v="Regular"/>
    <x v="4"/>
    <x v="3"/>
    <x v="2"/>
    <x v="0"/>
    <x v="1"/>
    <x v="0"/>
    <x v="1"/>
    <x v="9"/>
    <n v="0"/>
    <n v="0"/>
    <n v="333.21699999999998"/>
    <n v="333.21699999999998"/>
    <n v="333.21699999999998"/>
    <n v="333.21699999999998"/>
    <n v="723"/>
    <x v="2"/>
    <n v="0"/>
    <n v="0"/>
    <n v="77"/>
    <n v="52"/>
    <n v="0"/>
    <n v="343.17"/>
    <n v="303.54000000000002"/>
    <m/>
    <n v="487.85329400621345"/>
    <n v="287.16392669686104"/>
    <n v="0"/>
    <n v="114350.07789"/>
    <n v="101144.68818"/>
    <n v="0"/>
    <n v="162561.01106886842"/>
    <n v="95687.902162147948"/>
  </r>
  <r>
    <s v="Sistema de Compensação"/>
    <x v="4"/>
    <x v="3"/>
    <x v="2"/>
    <x v="0"/>
    <x v="1"/>
    <x v="0"/>
    <x v="1"/>
    <x v="9"/>
    <n v="0"/>
    <n v="0"/>
    <n v="13.016"/>
    <n v="13.016"/>
    <n v="13.016"/>
    <n v="13.016"/>
    <n v="25"/>
    <x v="2"/>
    <n v="0"/>
    <n v="0"/>
    <n v="77"/>
    <n v="52"/>
    <n v="0"/>
    <n v="343.17"/>
    <n v="303.54000000000002"/>
    <m/>
    <n v="487.85329400621345"/>
    <n v="287.16392669686104"/>
    <n v="0"/>
    <n v="4466.7007199999998"/>
    <n v="3950.8766400000004"/>
    <n v="0"/>
    <n v="6349.8984747848745"/>
    <n v="3737.7256698863434"/>
  </r>
  <r>
    <s v="Regular"/>
    <x v="4"/>
    <x v="3"/>
    <x v="2"/>
    <x v="0"/>
    <x v="1"/>
    <x v="0"/>
    <x v="1"/>
    <x v="10"/>
    <n v="0"/>
    <n v="0"/>
    <n v="391.59899999999999"/>
    <n v="391.59899999999999"/>
    <n v="391.59899999999999"/>
    <n v="391.59899999999999"/>
    <n v="720"/>
    <x v="2"/>
    <n v="0"/>
    <n v="0"/>
    <n v="77"/>
    <n v="52"/>
    <n v="0"/>
    <n v="343.17"/>
    <n v="303.54000000000002"/>
    <m/>
    <n v="487.85329400621345"/>
    <n v="287.16392669686104"/>
    <n v="0"/>
    <n v="134385.02883"/>
    <n v="118865.96046"/>
    <n v="0"/>
    <n v="191042.86207953916"/>
    <n v="112453.10653056408"/>
  </r>
  <r>
    <s v="Sistema de Compensação"/>
    <x v="4"/>
    <x v="3"/>
    <x v="2"/>
    <x v="0"/>
    <x v="1"/>
    <x v="0"/>
    <x v="1"/>
    <x v="10"/>
    <n v="0"/>
    <n v="0"/>
    <n v="12.395"/>
    <n v="12.395"/>
    <n v="12.395"/>
    <n v="12.395"/>
    <n v="25"/>
    <x v="2"/>
    <n v="0"/>
    <n v="0"/>
    <n v="77"/>
    <n v="52"/>
    <n v="0"/>
    <n v="343.17"/>
    <n v="303.54000000000002"/>
    <m/>
    <n v="487.85329400621345"/>
    <n v="287.16392669686104"/>
    <n v="0"/>
    <n v="4253.5921500000004"/>
    <n v="3762.3783000000003"/>
    <n v="0"/>
    <n v="6046.9415792070158"/>
    <n v="3559.3968714075922"/>
  </r>
  <r>
    <s v="Regular"/>
    <x v="4"/>
    <x v="3"/>
    <x v="2"/>
    <x v="0"/>
    <x v="1"/>
    <x v="0"/>
    <x v="1"/>
    <x v="11"/>
    <n v="0"/>
    <n v="0"/>
    <n v="368.37599999999998"/>
    <n v="368.37599999999998"/>
    <n v="368.37599999999998"/>
    <n v="368.37599999999998"/>
    <n v="723"/>
    <x v="2"/>
    <n v="0"/>
    <n v="0"/>
    <n v="77"/>
    <n v="52"/>
    <n v="0"/>
    <n v="343.17"/>
    <n v="303.54000000000002"/>
    <m/>
    <n v="487.85329400621345"/>
    <n v="287.16392669686104"/>
    <n v="0"/>
    <n v="126415.59191999999"/>
    <n v="111816.85103999999"/>
    <n v="0"/>
    <n v="179713.44503283288"/>
    <n v="105784.29866088288"/>
  </r>
  <r>
    <s v="Sistema de Compensação"/>
    <x v="4"/>
    <x v="3"/>
    <x v="2"/>
    <x v="0"/>
    <x v="1"/>
    <x v="0"/>
    <x v="1"/>
    <x v="11"/>
    <n v="0"/>
    <n v="0"/>
    <n v="11.8"/>
    <n v="11.8"/>
    <n v="11.8"/>
    <n v="11.8"/>
    <n v="25"/>
    <x v="2"/>
    <n v="0"/>
    <n v="0"/>
    <n v="77"/>
    <n v="52"/>
    <n v="0"/>
    <n v="343.17"/>
    <n v="303.54000000000002"/>
    <m/>
    <n v="487.85329400621345"/>
    <n v="287.16392669686104"/>
    <n v="0"/>
    <n v="4049.4060000000004"/>
    <n v="3581.7720000000004"/>
    <n v="0"/>
    <n v="5756.6688692733187"/>
    <n v="3388.5343350229605"/>
  </r>
  <r>
    <s v="Regular"/>
    <x v="4"/>
    <x v="3"/>
    <x v="2"/>
    <x v="0"/>
    <x v="1"/>
    <x v="0"/>
    <x v="1"/>
    <x v="0"/>
    <n v="0"/>
    <n v="0"/>
    <n v="326.64400000000001"/>
    <n v="326.64400000000001"/>
    <n v="326.64400000000001"/>
    <n v="326.64400000000001"/>
    <n v="719"/>
    <x v="2"/>
    <n v="0"/>
    <n v="0"/>
    <n v="77"/>
    <n v="52"/>
    <n v="0"/>
    <n v="343.17"/>
    <n v="303.54000000000002"/>
    <m/>
    <n v="487.85329400621345"/>
    <n v="287.16392669686104"/>
    <n v="0"/>
    <n v="112094.42148"/>
    <n v="99149.51976000001"/>
    <n v="0"/>
    <n v="159354.3513673656"/>
    <n v="93800.373671969486"/>
  </r>
  <r>
    <s v="Sistema de Compensação"/>
    <x v="4"/>
    <x v="3"/>
    <x v="2"/>
    <x v="0"/>
    <x v="1"/>
    <x v="0"/>
    <x v="1"/>
    <x v="0"/>
    <n v="0"/>
    <n v="0"/>
    <n v="17.266999999999999"/>
    <n v="17.266999999999999"/>
    <n v="17.266999999999999"/>
    <n v="17.266999999999999"/>
    <n v="27"/>
    <x v="2"/>
    <n v="0"/>
    <n v="0"/>
    <n v="77"/>
    <n v="52"/>
    <n v="0"/>
    <n v="343.17"/>
    <n v="303.54000000000002"/>
    <m/>
    <n v="487.85329400621345"/>
    <n v="287.16392669686104"/>
    <n v="0"/>
    <n v="5925.5163899999998"/>
    <n v="5241.2251800000004"/>
    <n v="0"/>
    <n v="8423.7628276052874"/>
    <n v="4958.4595222746993"/>
  </r>
  <r>
    <s v="Regular"/>
    <x v="4"/>
    <x v="3"/>
    <x v="2"/>
    <x v="0"/>
    <x v="1"/>
    <x v="0"/>
    <x v="1"/>
    <x v="1"/>
    <n v="0"/>
    <n v="0"/>
    <n v="256.05"/>
    <n v="256.05"/>
    <n v="256.05"/>
    <n v="256.05"/>
    <n v="725"/>
    <x v="2"/>
    <n v="0"/>
    <n v="0"/>
    <n v="77"/>
    <n v="52"/>
    <n v="0"/>
    <n v="343.17"/>
    <n v="303.54000000000002"/>
    <m/>
    <n v="487.85329400621345"/>
    <n v="287.16392669686104"/>
    <n v="0"/>
    <n v="87868.678500000009"/>
    <n v="77721.417000000016"/>
    <n v="0"/>
    <n v="124914.83593029095"/>
    <n v="73528.323430731267"/>
  </r>
  <r>
    <s v="Sistema de Compensação"/>
    <x v="4"/>
    <x v="3"/>
    <x v="2"/>
    <x v="0"/>
    <x v="1"/>
    <x v="0"/>
    <x v="1"/>
    <x v="1"/>
    <n v="0"/>
    <n v="0"/>
    <n v="11.25"/>
    <n v="11.25"/>
    <n v="11.25"/>
    <n v="11.25"/>
    <n v="27"/>
    <x v="2"/>
    <n v="0"/>
    <n v="0"/>
    <n v="77"/>
    <n v="52"/>
    <n v="0"/>
    <n v="343.17"/>
    <n v="303.54000000000002"/>
    <m/>
    <n v="487.85329400621345"/>
    <n v="287.16392669686104"/>
    <n v="0"/>
    <n v="3860.6625000000004"/>
    <n v="3414.8250000000003"/>
    <n v="0"/>
    <n v="5488.3495575699017"/>
    <n v="3230.5941753396869"/>
  </r>
  <r>
    <s v="Regular"/>
    <x v="4"/>
    <x v="3"/>
    <x v="2"/>
    <x v="0"/>
    <x v="1"/>
    <x v="0"/>
    <x v="1"/>
    <x v="2"/>
    <n v="0"/>
    <n v="0"/>
    <n v="258.20400000000001"/>
    <n v="258.20400000000001"/>
    <n v="258.20400000000001"/>
    <n v="258.20400000000001"/>
    <n v="720"/>
    <x v="2"/>
    <n v="0"/>
    <n v="0"/>
    <n v="77"/>
    <n v="52"/>
    <n v="0"/>
    <n v="343.17"/>
    <n v="303.54000000000002"/>
    <m/>
    <n v="487.85329400621345"/>
    <n v="287.16392669686104"/>
    <n v="0"/>
    <n v="88607.866680000006"/>
    <n v="78375.242160000009"/>
    <n v="0"/>
    <n v="125965.67192558035"/>
    <n v="74146.874528836313"/>
  </r>
  <r>
    <s v="Sistema de Compensação"/>
    <x v="4"/>
    <x v="3"/>
    <x v="2"/>
    <x v="0"/>
    <x v="1"/>
    <x v="0"/>
    <x v="1"/>
    <x v="2"/>
    <n v="0"/>
    <n v="0"/>
    <n v="16.280999999999999"/>
    <n v="16.280999999999999"/>
    <n v="16.280999999999999"/>
    <n v="16.280999999999999"/>
    <n v="27"/>
    <x v="2"/>
    <n v="0"/>
    <n v="0"/>
    <n v="77"/>
    <n v="52"/>
    <n v="0"/>
    <n v="343.17"/>
    <n v="303.54000000000002"/>
    <m/>
    <n v="487.85329400621345"/>
    <n v="287.16392669686104"/>
    <n v="0"/>
    <n v="5587.1507700000002"/>
    <n v="4941.9347399999997"/>
    <n v="0"/>
    <n v="7942.7394797151601"/>
    <n v="4675.3158905515938"/>
  </r>
  <r>
    <s v="Regular"/>
    <x v="4"/>
    <x v="3"/>
    <x v="2"/>
    <x v="0"/>
    <x v="1"/>
    <x v="0"/>
    <x v="1"/>
    <x v="3"/>
    <n v="0"/>
    <n v="0"/>
    <n v="244.58199999999999"/>
    <n v="244.58199999999999"/>
    <n v="244.58199999999999"/>
    <n v="244.58199999999999"/>
    <n v="727"/>
    <x v="2"/>
    <n v="0"/>
    <n v="0"/>
    <n v="77"/>
    <n v="52"/>
    <n v="0"/>
    <n v="343.17"/>
    <n v="303.54000000000002"/>
    <m/>
    <n v="487.85329400621345"/>
    <n v="287.16392669686104"/>
    <n v="0"/>
    <n v="83933.204939999996"/>
    <n v="74240.420280000006"/>
    <n v="0"/>
    <n v="119320.13435462769"/>
    <n v="70235.127519371672"/>
  </r>
  <r>
    <s v="Sistema de Compensação"/>
    <x v="4"/>
    <x v="3"/>
    <x v="2"/>
    <x v="0"/>
    <x v="1"/>
    <x v="0"/>
    <x v="1"/>
    <x v="3"/>
    <n v="0"/>
    <n v="0"/>
    <n v="16.545000000000002"/>
    <n v="16.545000000000002"/>
    <n v="16.545000000000002"/>
    <n v="16.545000000000002"/>
    <n v="27"/>
    <x v="2"/>
    <n v="0"/>
    <n v="0"/>
    <n v="77"/>
    <n v="52"/>
    <n v="0"/>
    <n v="343.17"/>
    <n v="303.54000000000002"/>
    <m/>
    <n v="487.85329400621345"/>
    <n v="287.16392669686104"/>
    <n v="0"/>
    <n v="5677.7476500000012"/>
    <n v="5022.069300000001"/>
    <n v="0"/>
    <n v="8071.5327493328023"/>
    <n v="4751.1271671995664"/>
  </r>
  <r>
    <s v="Regular"/>
    <x v="4"/>
    <x v="3"/>
    <x v="6"/>
    <x v="0"/>
    <x v="1"/>
    <x v="0"/>
    <x v="1"/>
    <x v="4"/>
    <n v="0"/>
    <n v="0"/>
    <n v="2.41"/>
    <n v="2.41"/>
    <n v="2.41"/>
    <n v="2.41"/>
    <n v="2"/>
    <x v="2"/>
    <n v="0"/>
    <n v="0"/>
    <n v="77"/>
    <n v="52"/>
    <n v="0"/>
    <n v="343.17"/>
    <n v="303.54000000000002"/>
    <m/>
    <n v="487.85329400621345"/>
    <n v="287.16392669686104"/>
    <n v="0"/>
    <n v="827.03970000000004"/>
    <n v="731.53140000000008"/>
    <n v="0"/>
    <n v="1175.7264385549745"/>
    <n v="692.06506333943514"/>
  </r>
  <r>
    <s v="Regular"/>
    <x v="4"/>
    <x v="3"/>
    <x v="6"/>
    <x v="0"/>
    <x v="1"/>
    <x v="0"/>
    <x v="1"/>
    <x v="5"/>
    <n v="0"/>
    <n v="0"/>
    <n v="2.89"/>
    <n v="2.89"/>
    <n v="2.89"/>
    <n v="2.89"/>
    <n v="2"/>
    <x v="2"/>
    <n v="0"/>
    <n v="0"/>
    <n v="77"/>
    <n v="52"/>
    <n v="0"/>
    <n v="343.17"/>
    <n v="303.54000000000002"/>
    <m/>
    <n v="487.85329400621345"/>
    <n v="287.16392669686104"/>
    <n v="0"/>
    <n v="991.76130000000012"/>
    <n v="877.23060000000009"/>
    <n v="0"/>
    <n v="1409.8960196779569"/>
    <n v="829.9037481539284"/>
  </r>
  <r>
    <s v="Regular"/>
    <x v="4"/>
    <x v="3"/>
    <x v="6"/>
    <x v="0"/>
    <x v="1"/>
    <x v="0"/>
    <x v="1"/>
    <x v="6"/>
    <n v="0"/>
    <n v="0"/>
    <n v="2.83"/>
    <n v="2.83"/>
    <n v="2.83"/>
    <n v="2.83"/>
    <n v="2"/>
    <x v="2"/>
    <n v="0"/>
    <n v="0"/>
    <n v="77"/>
    <n v="52"/>
    <n v="0"/>
    <n v="343.17"/>
    <n v="303.54000000000002"/>
    <m/>
    <n v="487.85329400621345"/>
    <n v="287.16392669686104"/>
    <n v="0"/>
    <n v="971.17110000000002"/>
    <n v="859.01820000000009"/>
    <n v="0"/>
    <n v="1380.6248220375842"/>
    <n v="812.6739125521168"/>
  </r>
  <r>
    <s v="Regular"/>
    <x v="4"/>
    <x v="3"/>
    <x v="6"/>
    <x v="0"/>
    <x v="1"/>
    <x v="0"/>
    <x v="1"/>
    <x v="7"/>
    <n v="0"/>
    <n v="0"/>
    <n v="3.46"/>
    <n v="3.46"/>
    <n v="3.46"/>
    <n v="3.46"/>
    <n v="2"/>
    <x v="2"/>
    <n v="0"/>
    <n v="0"/>
    <n v="77"/>
    <n v="52"/>
    <n v="0"/>
    <n v="343.17"/>
    <n v="303.54000000000002"/>
    <m/>
    <n v="487.85329400621345"/>
    <n v="287.16392669686104"/>
    <n v="0"/>
    <n v="1187.3682000000001"/>
    <n v="1050.2483999999999"/>
    <n v="0"/>
    <n v="1687.9723972614986"/>
    <n v="993.58718637113918"/>
  </r>
  <r>
    <s v="Regular"/>
    <x v="4"/>
    <x v="3"/>
    <x v="6"/>
    <x v="0"/>
    <x v="1"/>
    <x v="0"/>
    <x v="1"/>
    <x v="8"/>
    <n v="0"/>
    <n v="0"/>
    <n v="4.12"/>
    <n v="4.12"/>
    <n v="4.12"/>
    <n v="4.12"/>
    <n v="2"/>
    <x v="2"/>
    <n v="0"/>
    <n v="0"/>
    <n v="77"/>
    <n v="52"/>
    <n v="0"/>
    <n v="343.17"/>
    <n v="303.54000000000002"/>
    <m/>
    <n v="487.85329400621345"/>
    <n v="287.16392669686104"/>
    <n v="0"/>
    <n v="1413.8604"/>
    <n v="1250.5848000000001"/>
    <n v="0"/>
    <n v="2009.9555713055995"/>
    <n v="1183.1153779910676"/>
  </r>
  <r>
    <s v="Regular"/>
    <x v="4"/>
    <x v="3"/>
    <x v="6"/>
    <x v="0"/>
    <x v="1"/>
    <x v="0"/>
    <x v="1"/>
    <x v="9"/>
    <n v="0"/>
    <n v="0"/>
    <n v="4.63"/>
    <n v="4.63"/>
    <n v="4.63"/>
    <n v="4.63"/>
    <n v="2"/>
    <x v="2"/>
    <n v="0"/>
    <n v="0"/>
    <n v="77"/>
    <n v="52"/>
    <n v="0"/>
    <n v="343.17"/>
    <n v="303.54000000000002"/>
    <m/>
    <n v="487.85329400621345"/>
    <n v="287.16392669686104"/>
    <n v="0"/>
    <n v="1588.8770999999999"/>
    <n v="1405.3902"/>
    <n v="0"/>
    <n v="2258.7607512487684"/>
    <n v="1329.5689806064665"/>
  </r>
  <r>
    <s v="Regular"/>
    <x v="4"/>
    <x v="3"/>
    <x v="6"/>
    <x v="0"/>
    <x v="1"/>
    <x v="0"/>
    <x v="1"/>
    <x v="10"/>
    <n v="0"/>
    <n v="0"/>
    <n v="6.49"/>
    <n v="6.49"/>
    <n v="6.49"/>
    <n v="6.49"/>
    <n v="2"/>
    <x v="2"/>
    <n v="0"/>
    <n v="0"/>
    <n v="77"/>
    <n v="52"/>
    <n v="0"/>
    <n v="343.17"/>
    <n v="303.54000000000002"/>
    <m/>
    <n v="487.85329400621345"/>
    <n v="287.16392669686104"/>
    <n v="0"/>
    <n v="2227.1733000000004"/>
    <n v="1969.9746000000002"/>
    <n v="0"/>
    <n v="3166.1678781003252"/>
    <n v="1863.6938842626282"/>
  </r>
  <r>
    <s v="Regular"/>
    <x v="4"/>
    <x v="3"/>
    <x v="6"/>
    <x v="0"/>
    <x v="1"/>
    <x v="0"/>
    <x v="1"/>
    <x v="11"/>
    <n v="0"/>
    <n v="0"/>
    <n v="5.14"/>
    <n v="5.14"/>
    <n v="5.14"/>
    <n v="5.14"/>
    <n v="2"/>
    <x v="2"/>
    <n v="0"/>
    <n v="0"/>
    <n v="77"/>
    <n v="52"/>
    <n v="0"/>
    <n v="343.17"/>
    <n v="303.54000000000002"/>
    <m/>
    <n v="487.85329400621345"/>
    <n v="287.16392669686104"/>
    <n v="0"/>
    <n v="1763.8938000000001"/>
    <n v="1560.1956"/>
    <n v="0"/>
    <n v="2507.5659311919371"/>
    <n v="1476.0225832218657"/>
  </r>
  <r>
    <s v="Regular"/>
    <x v="4"/>
    <x v="3"/>
    <x v="6"/>
    <x v="0"/>
    <x v="1"/>
    <x v="0"/>
    <x v="1"/>
    <x v="0"/>
    <n v="0"/>
    <n v="0"/>
    <n v="4.57"/>
    <n v="4.57"/>
    <n v="4.57"/>
    <n v="4.57"/>
    <n v="2"/>
    <x v="2"/>
    <n v="0"/>
    <n v="0"/>
    <n v="77"/>
    <n v="52"/>
    <n v="0"/>
    <n v="343.17"/>
    <n v="303.54000000000002"/>
    <m/>
    <n v="487.85329400621345"/>
    <n v="287.16392669686104"/>
    <n v="0"/>
    <n v="1568.2869000000001"/>
    <n v="1387.1778000000002"/>
    <n v="0"/>
    <n v="2229.4895536083955"/>
    <n v="1312.3391450046549"/>
  </r>
  <r>
    <s v="Regular"/>
    <x v="4"/>
    <x v="3"/>
    <x v="6"/>
    <x v="0"/>
    <x v="1"/>
    <x v="0"/>
    <x v="1"/>
    <x v="1"/>
    <n v="0"/>
    <n v="0"/>
    <n v="2.68"/>
    <n v="2.68"/>
    <n v="2.68"/>
    <n v="2.68"/>
    <n v="2"/>
    <x v="2"/>
    <n v="0"/>
    <n v="0"/>
    <n v="77"/>
    <n v="52"/>
    <n v="0"/>
    <n v="343.17"/>
    <n v="303.54000000000002"/>
    <m/>
    <n v="487.85329400621345"/>
    <n v="287.16392669686104"/>
    <n v="0"/>
    <n v="919.69560000000013"/>
    <n v="813.48720000000014"/>
    <n v="0"/>
    <n v="1307.4468279366522"/>
    <n v="769.59932354758769"/>
  </r>
  <r>
    <s v="Regular"/>
    <x v="4"/>
    <x v="3"/>
    <x v="6"/>
    <x v="0"/>
    <x v="1"/>
    <x v="0"/>
    <x v="1"/>
    <x v="2"/>
    <n v="0"/>
    <n v="0"/>
    <n v="2.68"/>
    <n v="2.68"/>
    <n v="2.68"/>
    <n v="2.68"/>
    <n v="2"/>
    <x v="2"/>
    <n v="0"/>
    <n v="0"/>
    <n v="77"/>
    <n v="52"/>
    <n v="0"/>
    <n v="343.17"/>
    <n v="303.54000000000002"/>
    <m/>
    <n v="487.85329400621345"/>
    <n v="287.16392669686104"/>
    <n v="0"/>
    <n v="919.69560000000013"/>
    <n v="813.48720000000014"/>
    <n v="0"/>
    <n v="1307.4468279366522"/>
    <n v="769.59932354758769"/>
  </r>
  <r>
    <s v="Regular"/>
    <x v="4"/>
    <x v="3"/>
    <x v="6"/>
    <x v="0"/>
    <x v="1"/>
    <x v="0"/>
    <x v="1"/>
    <x v="3"/>
    <n v="0"/>
    <n v="0"/>
    <n v="2.38"/>
    <n v="2.38"/>
    <n v="2.38"/>
    <n v="2.38"/>
    <n v="2"/>
    <x v="2"/>
    <n v="0"/>
    <n v="0"/>
    <n v="77"/>
    <n v="52"/>
    <n v="0"/>
    <n v="343.17"/>
    <n v="303.54000000000002"/>
    <m/>
    <n v="487.85329400621345"/>
    <n v="287.16392669686104"/>
    <n v="0"/>
    <n v="816.74459999999999"/>
    <n v="722.42520000000002"/>
    <n v="0"/>
    <n v="1161.090839734788"/>
    <n v="683.45014553852923"/>
  </r>
  <r>
    <s v="Regular"/>
    <x v="4"/>
    <x v="3"/>
    <x v="0"/>
    <x v="0"/>
    <x v="1"/>
    <x v="0"/>
    <x v="1"/>
    <x v="4"/>
    <n v="0"/>
    <n v="0"/>
    <n v="98.552999999999997"/>
    <n v="98.552999999999997"/>
    <n v="98.552999999999997"/>
    <n v="98.552999999999997"/>
    <n v="89"/>
    <x v="2"/>
    <n v="0"/>
    <n v="0"/>
    <n v="77"/>
    <n v="52"/>
    <n v="0"/>
    <n v="343.17"/>
    <n v="303.54000000000002"/>
    <m/>
    <n v="487.85329400621345"/>
    <n v="287.16392669686104"/>
    <n v="0"/>
    <n v="33820.433010000001"/>
    <n v="29914.777620000001"/>
    <n v="0"/>
    <n v="48079.405684194353"/>
    <n v="28300.866467755746"/>
  </r>
  <r>
    <s v="Sistema de Compensação"/>
    <x v="4"/>
    <x v="3"/>
    <x v="0"/>
    <x v="0"/>
    <x v="1"/>
    <x v="0"/>
    <x v="1"/>
    <x v="4"/>
    <n v="0"/>
    <n v="0"/>
    <n v="0.45500000000000002"/>
    <n v="0.45500000000000002"/>
    <n v="0.45500000000000002"/>
    <n v="0.45500000000000002"/>
    <n v="3"/>
    <x v="2"/>
    <n v="0"/>
    <n v="0"/>
    <n v="77"/>
    <n v="52"/>
    <n v="0"/>
    <n v="343.17"/>
    <n v="303.54000000000002"/>
    <m/>
    <n v="487.85329400621345"/>
    <n v="287.16392669686104"/>
    <n v="0"/>
    <n v="156.14235000000002"/>
    <n v="138.11070000000001"/>
    <n v="0"/>
    <n v="221.97324877282713"/>
    <n v="130.65958664707179"/>
  </r>
  <r>
    <s v="Regular"/>
    <x v="4"/>
    <x v="3"/>
    <x v="0"/>
    <x v="0"/>
    <x v="1"/>
    <x v="0"/>
    <x v="1"/>
    <x v="5"/>
    <n v="0"/>
    <n v="0"/>
    <n v="105.804"/>
    <n v="105.804"/>
    <n v="105.804"/>
    <n v="105.804"/>
    <n v="88"/>
    <x v="2"/>
    <n v="0"/>
    <n v="0"/>
    <n v="77"/>
    <n v="52"/>
    <n v="0"/>
    <n v="343.17"/>
    <n v="303.54000000000002"/>
    <m/>
    <n v="487.85329400621345"/>
    <n v="287.16392669686104"/>
    <n v="0"/>
    <n v="36308.758679999999"/>
    <n v="32115.746160000002"/>
    <n v="0"/>
    <n v="51616.829919033407"/>
    <n v="30383.092100234688"/>
  </r>
  <r>
    <s v="Sistema de Compensação"/>
    <x v="4"/>
    <x v="3"/>
    <x v="0"/>
    <x v="0"/>
    <x v="1"/>
    <x v="0"/>
    <x v="1"/>
    <x v="5"/>
    <n v="0"/>
    <n v="0"/>
    <n v="0.97899999999999998"/>
    <n v="0.97899999999999998"/>
    <n v="0.97899999999999998"/>
    <n v="0.97899999999999998"/>
    <n v="3"/>
    <x v="2"/>
    <n v="0"/>
    <n v="0"/>
    <n v="77"/>
    <n v="52"/>
    <n v="0"/>
    <n v="343.17"/>
    <n v="303.54000000000002"/>
    <m/>
    <n v="487.85329400621345"/>
    <n v="287.16392669686104"/>
    <n v="0"/>
    <n v="335.96343000000002"/>
    <n v="297.16566"/>
    <n v="0"/>
    <n v="477.60837483208297"/>
    <n v="281.13348423622693"/>
  </r>
  <r>
    <s v="Regular"/>
    <x v="4"/>
    <x v="3"/>
    <x v="0"/>
    <x v="0"/>
    <x v="1"/>
    <x v="0"/>
    <x v="1"/>
    <x v="6"/>
    <n v="0"/>
    <n v="0"/>
    <n v="97.123999999999995"/>
    <n v="97.123999999999995"/>
    <n v="97.123999999999995"/>
    <n v="97.123999999999995"/>
    <n v="87"/>
    <x v="2"/>
    <n v="0"/>
    <n v="0"/>
    <n v="77"/>
    <n v="52"/>
    <n v="0"/>
    <n v="343.17"/>
    <n v="303.54000000000002"/>
    <m/>
    <n v="487.85329400621345"/>
    <n v="287.16392669686104"/>
    <n v="0"/>
    <n v="33330.043080000003"/>
    <n v="29481.018960000001"/>
    <n v="0"/>
    <n v="47382.263327059474"/>
    <n v="27890.509216505929"/>
  </r>
  <r>
    <s v="Sistema de Compensação"/>
    <x v="4"/>
    <x v="3"/>
    <x v="0"/>
    <x v="0"/>
    <x v="1"/>
    <x v="0"/>
    <x v="1"/>
    <x v="6"/>
    <n v="0"/>
    <n v="0"/>
    <n v="2.5230000000000001"/>
    <n v="2.5230000000000001"/>
    <n v="2.5230000000000001"/>
    <n v="2.5230000000000001"/>
    <n v="4"/>
    <x v="2"/>
    <n v="0"/>
    <n v="0"/>
    <n v="77"/>
    <n v="52"/>
    <n v="0"/>
    <n v="343.17"/>
    <n v="303.54000000000002"/>
    <m/>
    <n v="487.85329400621345"/>
    <n v="287.16392669686104"/>
    <n v="0"/>
    <n v="865.8179100000001"/>
    <n v="765.83142000000009"/>
    <n v="0"/>
    <n v="1230.8538607776766"/>
    <n v="724.5145870561804"/>
  </r>
  <r>
    <s v="Regular"/>
    <x v="4"/>
    <x v="3"/>
    <x v="0"/>
    <x v="0"/>
    <x v="1"/>
    <x v="0"/>
    <x v="1"/>
    <x v="7"/>
    <n v="0"/>
    <n v="0"/>
    <n v="97.576999999999998"/>
    <n v="97.576999999999998"/>
    <n v="97.576999999999998"/>
    <n v="97.576999999999998"/>
    <n v="88"/>
    <x v="2"/>
    <n v="0"/>
    <n v="0"/>
    <n v="77"/>
    <n v="52"/>
    <n v="0"/>
    <n v="343.17"/>
    <n v="303.54000000000002"/>
    <m/>
    <n v="487.85329400621345"/>
    <n v="287.16392669686104"/>
    <n v="0"/>
    <n v="33485.499089999998"/>
    <n v="29618.522580000001"/>
    <n v="0"/>
    <n v="47603.260869244288"/>
    <n v="28020.594475299607"/>
  </r>
  <r>
    <s v="Sistema de Compensação"/>
    <x v="4"/>
    <x v="3"/>
    <x v="0"/>
    <x v="0"/>
    <x v="1"/>
    <x v="0"/>
    <x v="1"/>
    <x v="7"/>
    <n v="0"/>
    <n v="0"/>
    <n v="0.55400000000000005"/>
    <n v="0.55400000000000005"/>
    <n v="0.55400000000000005"/>
    <n v="0.55400000000000005"/>
    <n v="4"/>
    <x v="2"/>
    <n v="0"/>
    <n v="0"/>
    <n v="77"/>
    <n v="52"/>
    <n v="0"/>
    <n v="343.17"/>
    <n v="303.54000000000002"/>
    <m/>
    <n v="487.85329400621345"/>
    <n v="287.16392669686104"/>
    <n v="0"/>
    <n v="190.11618000000001"/>
    <n v="168.16116000000002"/>
    <n v="0"/>
    <n v="270.2707248794423"/>
    <n v="159.08881539006103"/>
  </r>
  <r>
    <s v="Regular"/>
    <x v="4"/>
    <x v="3"/>
    <x v="0"/>
    <x v="0"/>
    <x v="1"/>
    <x v="0"/>
    <x v="1"/>
    <x v="8"/>
    <n v="0"/>
    <n v="0"/>
    <n v="108.20099999999999"/>
    <n v="108.20099999999999"/>
    <n v="108.20099999999999"/>
    <n v="108.20099999999999"/>
    <n v="88"/>
    <x v="2"/>
    <n v="0"/>
    <n v="0"/>
    <n v="77"/>
    <n v="52"/>
    <n v="0"/>
    <n v="343.17"/>
    <n v="303.54000000000002"/>
    <m/>
    <n v="487.85329400621345"/>
    <n v="287.16392669686104"/>
    <n v="0"/>
    <n v="37131.337169999999"/>
    <n v="32843.331539999999"/>
    <n v="0"/>
    <n v="52786.214264766299"/>
    <n v="31071.424032527058"/>
  </r>
  <r>
    <s v="Sistema de Compensação"/>
    <x v="4"/>
    <x v="3"/>
    <x v="0"/>
    <x v="0"/>
    <x v="1"/>
    <x v="0"/>
    <x v="1"/>
    <x v="8"/>
    <n v="0"/>
    <n v="0"/>
    <n v="0.66600000000000004"/>
    <n v="0.66600000000000004"/>
    <n v="0.66600000000000004"/>
    <n v="0.66600000000000004"/>
    <n v="4"/>
    <x v="2"/>
    <n v="0"/>
    <n v="0"/>
    <n v="77"/>
    <n v="52"/>
    <n v="0"/>
    <n v="343.17"/>
    <n v="303.54000000000002"/>
    <m/>
    <n v="487.85329400621345"/>
    <n v="287.16392669686104"/>
    <n v="0"/>
    <n v="228.55122000000003"/>
    <n v="202.15764000000001"/>
    <n v="0"/>
    <n v="324.91029380813819"/>
    <n v="191.25117518010947"/>
  </r>
  <r>
    <s v="Regular"/>
    <x v="4"/>
    <x v="3"/>
    <x v="0"/>
    <x v="0"/>
    <x v="1"/>
    <x v="0"/>
    <x v="1"/>
    <x v="9"/>
    <n v="0"/>
    <n v="0"/>
    <n v="94.998000000000005"/>
    <n v="94.998000000000005"/>
    <n v="94.998000000000005"/>
    <n v="94.998000000000005"/>
    <n v="87"/>
    <x v="2"/>
    <n v="0"/>
    <n v="0"/>
    <n v="77"/>
    <n v="52"/>
    <n v="0"/>
    <n v="343.17"/>
    <n v="303.54000000000002"/>
    <m/>
    <n v="487.85329400621345"/>
    <n v="287.16392669686104"/>
    <n v="0"/>
    <n v="32600.463660000005"/>
    <n v="28835.692920000005"/>
    <n v="0"/>
    <n v="46345.087224002265"/>
    <n v="27279.998708348405"/>
  </r>
  <r>
    <s v="Sistema de Compensação"/>
    <x v="4"/>
    <x v="3"/>
    <x v="0"/>
    <x v="0"/>
    <x v="1"/>
    <x v="0"/>
    <x v="1"/>
    <x v="9"/>
    <n v="0"/>
    <n v="0"/>
    <n v="0.4"/>
    <n v="0.4"/>
    <n v="0.4"/>
    <n v="0.4"/>
    <n v="4"/>
    <x v="2"/>
    <n v="0"/>
    <n v="0"/>
    <n v="77"/>
    <n v="52"/>
    <n v="0"/>
    <n v="343.17"/>
    <n v="303.54000000000002"/>
    <m/>
    <n v="487.85329400621345"/>
    <n v="287.16392669686104"/>
    <n v="0"/>
    <n v="137.268"/>
    <n v="121.41600000000001"/>
    <n v="0"/>
    <n v="195.1413176024854"/>
    <n v="114.86557067874442"/>
  </r>
  <r>
    <s v="Regular"/>
    <x v="4"/>
    <x v="3"/>
    <x v="0"/>
    <x v="0"/>
    <x v="1"/>
    <x v="0"/>
    <x v="1"/>
    <x v="10"/>
    <n v="0"/>
    <n v="0"/>
    <n v="110.358"/>
    <n v="110.358"/>
    <n v="110.358"/>
    <n v="110.358"/>
    <n v="87"/>
    <x v="2"/>
    <n v="0"/>
    <n v="0"/>
    <n v="77"/>
    <n v="52"/>
    <n v="0"/>
    <n v="343.17"/>
    <n v="303.54000000000002"/>
    <m/>
    <n v="487.85329400621345"/>
    <n v="287.16392669686104"/>
    <n v="0"/>
    <n v="37871.554860000004"/>
    <n v="33498.067320000002"/>
    <n v="0"/>
    <n v="53838.513819937703"/>
    <n v="31690.836622412193"/>
  </r>
  <r>
    <s v="Sistema de Compensação"/>
    <x v="4"/>
    <x v="3"/>
    <x v="0"/>
    <x v="0"/>
    <x v="1"/>
    <x v="0"/>
    <x v="1"/>
    <x v="10"/>
    <n v="0"/>
    <n v="0"/>
    <n v="0.4"/>
    <n v="0.4"/>
    <n v="0.4"/>
    <n v="0.4"/>
    <n v="4"/>
    <x v="2"/>
    <n v="0"/>
    <n v="0"/>
    <n v="77"/>
    <n v="52"/>
    <n v="0"/>
    <n v="343.17"/>
    <n v="303.54000000000002"/>
    <m/>
    <n v="487.85329400621345"/>
    <n v="287.16392669686104"/>
    <n v="0"/>
    <n v="137.268"/>
    <n v="121.41600000000001"/>
    <n v="0"/>
    <n v="195.1413176024854"/>
    <n v="114.86557067874442"/>
  </r>
  <r>
    <s v="Regular"/>
    <x v="4"/>
    <x v="3"/>
    <x v="0"/>
    <x v="0"/>
    <x v="1"/>
    <x v="0"/>
    <x v="1"/>
    <x v="11"/>
    <n v="0"/>
    <n v="0"/>
    <n v="111.623"/>
    <n v="111.623"/>
    <n v="111.623"/>
    <n v="111.623"/>
    <n v="86"/>
    <x v="2"/>
    <n v="0"/>
    <n v="0"/>
    <n v="77"/>
    <n v="52"/>
    <n v="0"/>
    <n v="343.17"/>
    <n v="303.54000000000002"/>
    <m/>
    <n v="487.85329400621345"/>
    <n v="287.16392669686104"/>
    <n v="0"/>
    <n v="38305.664910000007"/>
    <n v="33882.045420000002"/>
    <n v="0"/>
    <n v="54455.648236855566"/>
    <n v="32054.09898968372"/>
  </r>
  <r>
    <s v="Sistema de Compensação"/>
    <x v="4"/>
    <x v="3"/>
    <x v="0"/>
    <x v="0"/>
    <x v="1"/>
    <x v="0"/>
    <x v="1"/>
    <x v="11"/>
    <n v="0"/>
    <n v="0"/>
    <n v="0.4"/>
    <n v="0.4"/>
    <n v="0.4"/>
    <n v="0.4"/>
    <n v="4"/>
    <x v="2"/>
    <n v="0"/>
    <n v="0"/>
    <n v="77"/>
    <n v="52"/>
    <n v="0"/>
    <n v="343.17"/>
    <n v="303.54000000000002"/>
    <m/>
    <n v="487.85329400621345"/>
    <n v="287.16392669686104"/>
    <n v="0"/>
    <n v="137.268"/>
    <n v="121.41600000000001"/>
    <n v="0"/>
    <n v="195.1413176024854"/>
    <n v="114.86557067874442"/>
  </r>
  <r>
    <s v="Regular"/>
    <x v="4"/>
    <x v="3"/>
    <x v="0"/>
    <x v="0"/>
    <x v="1"/>
    <x v="0"/>
    <x v="1"/>
    <x v="0"/>
    <n v="0"/>
    <n v="0"/>
    <n v="100.437"/>
    <n v="100.437"/>
    <n v="100.437"/>
    <n v="100.437"/>
    <n v="88"/>
    <x v="2"/>
    <n v="0"/>
    <n v="0"/>
    <n v="77"/>
    <n v="52"/>
    <n v="0"/>
    <n v="343.17"/>
    <n v="303.54000000000002"/>
    <m/>
    <n v="487.85329400621345"/>
    <n v="287.16392669686104"/>
    <n v="0"/>
    <n v="34466.96529"/>
    <n v="30486.646980000001"/>
    <n v="0"/>
    <n v="48998.521290102057"/>
    <n v="28841.883305652631"/>
  </r>
  <r>
    <s v="Sistema de Compensação"/>
    <x v="4"/>
    <x v="3"/>
    <x v="0"/>
    <x v="0"/>
    <x v="1"/>
    <x v="0"/>
    <x v="1"/>
    <x v="0"/>
    <n v="0"/>
    <n v="0"/>
    <n v="0.4"/>
    <n v="0.4"/>
    <n v="0.4"/>
    <n v="0.4"/>
    <n v="4"/>
    <x v="2"/>
    <n v="0"/>
    <n v="0"/>
    <n v="77"/>
    <n v="52"/>
    <n v="0"/>
    <n v="343.17"/>
    <n v="303.54000000000002"/>
    <m/>
    <n v="487.85329400621345"/>
    <n v="287.16392669686104"/>
    <n v="0"/>
    <n v="137.268"/>
    <n v="121.41600000000001"/>
    <n v="0"/>
    <n v="195.1413176024854"/>
    <n v="114.86557067874442"/>
  </r>
  <r>
    <s v="Regular"/>
    <x v="4"/>
    <x v="3"/>
    <x v="0"/>
    <x v="0"/>
    <x v="1"/>
    <x v="0"/>
    <x v="1"/>
    <x v="1"/>
    <n v="0"/>
    <n v="0"/>
    <n v="90.561999999999998"/>
    <n v="90.561999999999998"/>
    <n v="90.561999999999998"/>
    <n v="90.561999999999998"/>
    <n v="87"/>
    <x v="2"/>
    <n v="0"/>
    <n v="0"/>
    <n v="77"/>
    <n v="52"/>
    <n v="0"/>
    <n v="343.17"/>
    <n v="303.54000000000002"/>
    <m/>
    <n v="487.85329400621345"/>
    <n v="287.16392669686104"/>
    <n v="0"/>
    <n v="31078.161540000001"/>
    <n v="27489.189480000001"/>
    <n v="0"/>
    <n v="44180.970011790698"/>
    <n v="26006.13952952113"/>
  </r>
  <r>
    <s v="Sistema de Compensação"/>
    <x v="4"/>
    <x v="3"/>
    <x v="0"/>
    <x v="0"/>
    <x v="1"/>
    <x v="0"/>
    <x v="1"/>
    <x v="1"/>
    <n v="0"/>
    <n v="0"/>
    <n v="0.4"/>
    <n v="0.4"/>
    <n v="0.4"/>
    <n v="0.4"/>
    <n v="4"/>
    <x v="2"/>
    <n v="0"/>
    <n v="0"/>
    <n v="77"/>
    <n v="52"/>
    <n v="0"/>
    <n v="343.17"/>
    <n v="303.54000000000002"/>
    <m/>
    <n v="487.85329400621345"/>
    <n v="287.16392669686104"/>
    <n v="0"/>
    <n v="137.268"/>
    <n v="121.41600000000001"/>
    <n v="0"/>
    <n v="195.1413176024854"/>
    <n v="114.86557067874442"/>
  </r>
  <r>
    <s v="Regular"/>
    <x v="4"/>
    <x v="3"/>
    <x v="0"/>
    <x v="0"/>
    <x v="1"/>
    <x v="0"/>
    <x v="1"/>
    <x v="2"/>
    <n v="0"/>
    <n v="0"/>
    <n v="99.206000000000003"/>
    <n v="99.206000000000003"/>
    <n v="99.206000000000003"/>
    <n v="99.206000000000003"/>
    <n v="86"/>
    <x v="2"/>
    <n v="0"/>
    <n v="0"/>
    <n v="77"/>
    <n v="52"/>
    <n v="0"/>
    <n v="343.17"/>
    <n v="303.54000000000002"/>
    <m/>
    <n v="487.85329400621345"/>
    <n v="287.16392669686104"/>
    <n v="0"/>
    <n v="34044.523020000001"/>
    <n v="30112.989240000003"/>
    <n v="0"/>
    <n v="48397.973885180414"/>
    <n v="28488.384511888798"/>
  </r>
  <r>
    <s v="Sistema de Compensação"/>
    <x v="4"/>
    <x v="3"/>
    <x v="0"/>
    <x v="0"/>
    <x v="1"/>
    <x v="0"/>
    <x v="1"/>
    <x v="2"/>
    <n v="0"/>
    <n v="0"/>
    <n v="2.3279999999999998"/>
    <n v="2.3279999999999998"/>
    <n v="2.3279999999999998"/>
    <n v="2.3279999999999998"/>
    <n v="5"/>
    <x v="2"/>
    <n v="0"/>
    <n v="0"/>
    <n v="77"/>
    <n v="52"/>
    <n v="0"/>
    <n v="343.17"/>
    <n v="303.54000000000002"/>
    <m/>
    <n v="487.85329400621345"/>
    <n v="287.16392669686104"/>
    <n v="0"/>
    <n v="798.89976000000001"/>
    <n v="706.64112"/>
    <n v="0"/>
    <n v="1135.7224684464647"/>
    <n v="668.51762135029242"/>
  </r>
  <r>
    <s v="Regular"/>
    <x v="4"/>
    <x v="3"/>
    <x v="0"/>
    <x v="0"/>
    <x v="1"/>
    <x v="0"/>
    <x v="1"/>
    <x v="3"/>
    <n v="0"/>
    <n v="0"/>
    <n v="106.953"/>
    <n v="106.953"/>
    <n v="106.953"/>
    <n v="106.953"/>
    <n v="83"/>
    <x v="2"/>
    <n v="0"/>
    <n v="0"/>
    <n v="77"/>
    <n v="52"/>
    <n v="0"/>
    <n v="343.17"/>
    <n v="303.54000000000002"/>
    <m/>
    <n v="487.85329400621345"/>
    <n v="287.16392669686104"/>
    <n v="0"/>
    <n v="36703.061010000005"/>
    <n v="32464.513620000002"/>
    <n v="0"/>
    <n v="52177.373353846546"/>
    <n v="30713.04345200938"/>
  </r>
  <r>
    <s v="Sistema de Compensação"/>
    <x v="4"/>
    <x v="3"/>
    <x v="0"/>
    <x v="0"/>
    <x v="1"/>
    <x v="0"/>
    <x v="1"/>
    <x v="3"/>
    <n v="0"/>
    <n v="0"/>
    <n v="6.556"/>
    <n v="6.556"/>
    <n v="6.556"/>
    <n v="6.556"/>
    <n v="6"/>
    <x v="2"/>
    <n v="0"/>
    <n v="0"/>
    <n v="77"/>
    <n v="52"/>
    <n v="0"/>
    <n v="343.17"/>
    <n v="303.54000000000002"/>
    <m/>
    <n v="487.85329400621345"/>
    <n v="287.16392669686104"/>
    <n v="0"/>
    <n v="2249.8225200000002"/>
    <n v="1990.0082400000001"/>
    <n v="0"/>
    <n v="3198.3661955047355"/>
    <n v="1882.6467034246209"/>
  </r>
  <r>
    <s v="Regular"/>
    <x v="4"/>
    <x v="3"/>
    <x v="3"/>
    <x v="0"/>
    <x v="1"/>
    <x v="0"/>
    <x v="1"/>
    <x v="4"/>
    <n v="0"/>
    <n v="0"/>
    <n v="67.95"/>
    <n v="67.95"/>
    <n v="67.95"/>
    <n v="67.95"/>
    <n v="75"/>
    <x v="2"/>
    <n v="0"/>
    <n v="0"/>
    <n v="77"/>
    <n v="52"/>
    <n v="0"/>
    <n v="343.17"/>
    <n v="303.54000000000002"/>
    <m/>
    <n v="487.85329400621345"/>
    <n v="287.16392669686104"/>
    <n v="0"/>
    <n v="23318.401500000004"/>
    <n v="20625.543000000001"/>
    <n v="0"/>
    <n v="33149.631327722207"/>
    <n v="19512.788819051708"/>
  </r>
  <r>
    <s v="Sistema de Compensação"/>
    <x v="4"/>
    <x v="3"/>
    <x v="3"/>
    <x v="0"/>
    <x v="1"/>
    <x v="0"/>
    <x v="1"/>
    <x v="4"/>
    <n v="0"/>
    <n v="0"/>
    <n v="0.52400000000000002"/>
    <n v="0.52400000000000002"/>
    <n v="0.52400000000000002"/>
    <n v="0.52400000000000002"/>
    <n v="2"/>
    <x v="2"/>
    <n v="0"/>
    <n v="0"/>
    <n v="77"/>
    <n v="52"/>
    <n v="0"/>
    <n v="343.17"/>
    <n v="303.54000000000002"/>
    <m/>
    <n v="487.85329400621345"/>
    <n v="287.16392669686104"/>
    <n v="0"/>
    <n v="179.82108000000002"/>
    <n v="159.05496000000002"/>
    <n v="0"/>
    <n v="255.63512605925587"/>
    <n v="150.4738975891552"/>
  </r>
  <r>
    <s v="Regular"/>
    <x v="4"/>
    <x v="3"/>
    <x v="3"/>
    <x v="0"/>
    <x v="1"/>
    <x v="0"/>
    <x v="1"/>
    <x v="5"/>
    <n v="0"/>
    <n v="0"/>
    <n v="71.960999999999999"/>
    <n v="71.960999999999999"/>
    <n v="71.960999999999999"/>
    <n v="71.960999999999999"/>
    <n v="75"/>
    <x v="2"/>
    <n v="0"/>
    <n v="0"/>
    <n v="77"/>
    <n v="52"/>
    <n v="0"/>
    <n v="343.17"/>
    <n v="303.54000000000002"/>
    <m/>
    <n v="487.85329400621345"/>
    <n v="287.16392669686104"/>
    <n v="0"/>
    <n v="24694.856370000001"/>
    <n v="21843.041940000003"/>
    <n v="0"/>
    <n v="35106.410889981125"/>
    <n v="20664.603329032816"/>
  </r>
  <r>
    <s v="Sistema de Compensação"/>
    <x v="4"/>
    <x v="3"/>
    <x v="3"/>
    <x v="0"/>
    <x v="1"/>
    <x v="0"/>
    <x v="1"/>
    <x v="5"/>
    <n v="0"/>
    <n v="0"/>
    <n v="0.65500000000000003"/>
    <n v="0.65500000000000003"/>
    <n v="0.65500000000000003"/>
    <n v="0.65500000000000003"/>
    <n v="2"/>
    <x v="2"/>
    <n v="0"/>
    <n v="0"/>
    <n v="77"/>
    <n v="52"/>
    <n v="0"/>
    <n v="343.17"/>
    <n v="303.54000000000002"/>
    <m/>
    <n v="487.85329400621345"/>
    <n v="287.16392669686104"/>
    <n v="0"/>
    <n v="224.77635000000001"/>
    <n v="198.81870000000004"/>
    <n v="0"/>
    <n v="319.54390757406981"/>
    <n v="188.09237198644399"/>
  </r>
  <r>
    <s v="Regular"/>
    <x v="4"/>
    <x v="3"/>
    <x v="3"/>
    <x v="0"/>
    <x v="1"/>
    <x v="0"/>
    <x v="1"/>
    <x v="6"/>
    <n v="0"/>
    <n v="0"/>
    <n v="69.941000000000003"/>
    <n v="69.941000000000003"/>
    <n v="69.941000000000003"/>
    <n v="69.941000000000003"/>
    <n v="75"/>
    <x v="2"/>
    <n v="0"/>
    <n v="0"/>
    <n v="77"/>
    <n v="52"/>
    <n v="0"/>
    <n v="343.17"/>
    <n v="303.54000000000002"/>
    <m/>
    <n v="487.85329400621345"/>
    <n v="287.16392669686104"/>
    <n v="0"/>
    <n v="24001.652970000003"/>
    <n v="21229.891140000003"/>
    <n v="0"/>
    <n v="34120.947236088577"/>
    <n v="20084.53219710516"/>
  </r>
  <r>
    <s v="Sistema de Compensação"/>
    <x v="4"/>
    <x v="3"/>
    <x v="3"/>
    <x v="0"/>
    <x v="1"/>
    <x v="0"/>
    <x v="1"/>
    <x v="6"/>
    <n v="0"/>
    <n v="0"/>
    <n v="0.67200000000000004"/>
    <n v="0.67200000000000004"/>
    <n v="0.67200000000000004"/>
    <n v="0.67200000000000004"/>
    <n v="2"/>
    <x v="2"/>
    <n v="0"/>
    <n v="0"/>
    <n v="77"/>
    <n v="52"/>
    <n v="0"/>
    <n v="343.17"/>
    <n v="303.54000000000002"/>
    <m/>
    <n v="487.85329400621345"/>
    <n v="287.16392669686104"/>
    <n v="0"/>
    <n v="230.61024000000003"/>
    <n v="203.97888000000003"/>
    <n v="0"/>
    <n v="327.83741357217548"/>
    <n v="192.97415874029062"/>
  </r>
  <r>
    <s v="Regular"/>
    <x v="4"/>
    <x v="3"/>
    <x v="3"/>
    <x v="0"/>
    <x v="1"/>
    <x v="0"/>
    <x v="1"/>
    <x v="7"/>
    <n v="0"/>
    <n v="0"/>
    <n v="69.537999999999997"/>
    <n v="69.537999999999997"/>
    <n v="69.537999999999997"/>
    <n v="69.537999999999997"/>
    <n v="75"/>
    <x v="2"/>
    <n v="0"/>
    <n v="0"/>
    <n v="77"/>
    <n v="52"/>
    <n v="0"/>
    <n v="343.17"/>
    <n v="303.54000000000002"/>
    <m/>
    <n v="487.85329400621345"/>
    <n v="287.16392669686104"/>
    <n v="0"/>
    <n v="23863.355459999999"/>
    <n v="21107.56452"/>
    <n v="0"/>
    <n v="33924.342358604066"/>
    <n v="19968.805134646322"/>
  </r>
  <r>
    <s v="Sistema de Compensação"/>
    <x v="4"/>
    <x v="3"/>
    <x v="3"/>
    <x v="0"/>
    <x v="1"/>
    <x v="0"/>
    <x v="1"/>
    <x v="7"/>
    <n v="0"/>
    <n v="0"/>
    <n v="0.82699999999999996"/>
    <n v="0.82699999999999996"/>
    <n v="0.82699999999999996"/>
    <n v="0.82699999999999996"/>
    <n v="2"/>
    <x v="2"/>
    <n v="0"/>
    <n v="0"/>
    <n v="77"/>
    <n v="52"/>
    <n v="0"/>
    <n v="343.17"/>
    <n v="303.54000000000002"/>
    <m/>
    <n v="487.85329400621345"/>
    <n v="287.16392669686104"/>
    <n v="0"/>
    <n v="283.80158999999998"/>
    <n v="251.02758"/>
    <n v="0"/>
    <n v="403.4546741431385"/>
    <n v="237.48456737830406"/>
  </r>
  <r>
    <s v="Regular"/>
    <x v="4"/>
    <x v="3"/>
    <x v="3"/>
    <x v="0"/>
    <x v="1"/>
    <x v="0"/>
    <x v="1"/>
    <x v="8"/>
    <n v="0"/>
    <n v="0"/>
    <n v="87.212999999999994"/>
    <n v="87.212999999999994"/>
    <n v="87.212999999999994"/>
    <n v="87.212999999999994"/>
    <n v="73"/>
    <x v="2"/>
    <n v="0"/>
    <n v="0"/>
    <n v="77"/>
    <n v="52"/>
    <n v="0"/>
    <n v="343.17"/>
    <n v="303.54000000000002"/>
    <m/>
    <n v="487.85329400621345"/>
    <n v="287.16392669686104"/>
    <n v="0"/>
    <n v="29928.88521"/>
    <n v="26472.634020000001"/>
    <n v="0"/>
    <n v="42547.149330163891"/>
    <n v="25044.427539013341"/>
  </r>
  <r>
    <s v="Sistema de Compensação"/>
    <x v="4"/>
    <x v="3"/>
    <x v="3"/>
    <x v="0"/>
    <x v="1"/>
    <x v="0"/>
    <x v="1"/>
    <x v="8"/>
    <n v="0"/>
    <n v="0"/>
    <n v="1.367"/>
    <n v="1.367"/>
    <n v="1.367"/>
    <n v="1.367"/>
    <n v="2"/>
    <x v="2"/>
    <n v="0"/>
    <n v="0"/>
    <n v="77"/>
    <n v="52"/>
    <n v="0"/>
    <n v="343.17"/>
    <n v="303.54000000000002"/>
    <m/>
    <n v="487.85329400621345"/>
    <n v="287.16392669686104"/>
    <n v="0"/>
    <n v="469.11339000000004"/>
    <n v="414.93918000000002"/>
    <n v="0"/>
    <n v="666.8954529064938"/>
    <n v="392.55308779460904"/>
  </r>
  <r>
    <s v="Regular"/>
    <x v="4"/>
    <x v="3"/>
    <x v="3"/>
    <x v="0"/>
    <x v="1"/>
    <x v="0"/>
    <x v="1"/>
    <x v="9"/>
    <n v="0"/>
    <n v="0"/>
    <n v="77.984999999999999"/>
    <n v="77.984999999999999"/>
    <n v="77.984999999999999"/>
    <n v="77.984999999999999"/>
    <n v="73"/>
    <x v="2"/>
    <n v="0"/>
    <n v="0"/>
    <n v="77"/>
    <n v="52"/>
    <n v="0"/>
    <n v="343.17"/>
    <n v="303.54000000000002"/>
    <m/>
    <n v="487.85329400621345"/>
    <n v="287.16392669686104"/>
    <n v="0"/>
    <n v="26762.112450000001"/>
    <n v="23671.566900000002"/>
    <n v="0"/>
    <n v="38045.239133074552"/>
    <n v="22394.478823454709"/>
  </r>
  <r>
    <s v="Sistema de Compensação"/>
    <x v="4"/>
    <x v="3"/>
    <x v="3"/>
    <x v="0"/>
    <x v="1"/>
    <x v="0"/>
    <x v="1"/>
    <x v="9"/>
    <n v="0"/>
    <n v="0"/>
    <n v="0.65600000000000003"/>
    <n v="0.65600000000000003"/>
    <n v="0.65600000000000003"/>
    <n v="0.65600000000000003"/>
    <n v="2"/>
    <x v="2"/>
    <n v="0"/>
    <n v="0"/>
    <n v="77"/>
    <n v="52"/>
    <n v="0"/>
    <n v="343.17"/>
    <n v="303.54000000000002"/>
    <m/>
    <n v="487.85329400621345"/>
    <n v="287.16392669686104"/>
    <n v="0"/>
    <n v="225.11952000000002"/>
    <n v="199.12224000000003"/>
    <n v="0"/>
    <n v="320.03176086807605"/>
    <n v="188.37953591314084"/>
  </r>
  <r>
    <s v="Regular"/>
    <x v="4"/>
    <x v="3"/>
    <x v="3"/>
    <x v="0"/>
    <x v="1"/>
    <x v="0"/>
    <x v="1"/>
    <x v="10"/>
    <n v="0"/>
    <n v="0"/>
    <n v="88.49"/>
    <n v="88.49"/>
    <n v="88.49"/>
    <n v="88.49"/>
    <n v="73"/>
    <x v="2"/>
    <n v="0"/>
    <n v="0"/>
    <n v="77"/>
    <n v="52"/>
    <n v="0"/>
    <n v="343.17"/>
    <n v="303.54000000000002"/>
    <m/>
    <n v="487.85329400621345"/>
    <n v="287.16392669686104"/>
    <n v="0"/>
    <n v="30367.113300000001"/>
    <n v="26860.2546"/>
    <n v="0"/>
    <n v="43170.137986609829"/>
    <n v="25411.135873405234"/>
  </r>
  <r>
    <s v="Sistema de Compensação"/>
    <x v="4"/>
    <x v="3"/>
    <x v="3"/>
    <x v="0"/>
    <x v="1"/>
    <x v="0"/>
    <x v="1"/>
    <x v="10"/>
    <n v="0"/>
    <n v="0"/>
    <n v="0.2"/>
    <n v="0.2"/>
    <n v="0.2"/>
    <n v="0.2"/>
    <n v="2"/>
    <x v="2"/>
    <n v="0"/>
    <n v="0"/>
    <n v="77"/>
    <n v="52"/>
    <n v="0"/>
    <n v="343.17"/>
    <n v="303.54000000000002"/>
    <m/>
    <n v="487.85329400621345"/>
    <n v="287.16392669686104"/>
    <n v="0"/>
    <n v="68.634"/>
    <n v="60.708000000000006"/>
    <n v="0"/>
    <n v="97.570658801242701"/>
    <n v="57.432785339372209"/>
  </r>
  <r>
    <s v="Regular"/>
    <x v="4"/>
    <x v="3"/>
    <x v="3"/>
    <x v="0"/>
    <x v="1"/>
    <x v="0"/>
    <x v="1"/>
    <x v="11"/>
    <n v="0"/>
    <n v="0"/>
    <n v="109.11199999999999"/>
    <n v="109.11199999999999"/>
    <n v="109.11199999999999"/>
    <n v="109.11199999999999"/>
    <n v="73"/>
    <x v="2"/>
    <n v="0"/>
    <n v="0"/>
    <n v="77"/>
    <n v="52"/>
    <n v="0"/>
    <n v="343.17"/>
    <n v="303.54000000000002"/>
    <m/>
    <n v="487.85329400621345"/>
    <n v="287.16392669686104"/>
    <n v="0"/>
    <n v="37443.965040000003"/>
    <n v="33119.856480000002"/>
    <n v="0"/>
    <n v="53230.648615605962"/>
    <n v="31333.030369747899"/>
  </r>
  <r>
    <s v="Sistema de Compensação"/>
    <x v="4"/>
    <x v="3"/>
    <x v="3"/>
    <x v="0"/>
    <x v="1"/>
    <x v="0"/>
    <x v="1"/>
    <x v="11"/>
    <n v="0"/>
    <n v="0"/>
    <n v="1.6080000000000001"/>
    <n v="1.6080000000000001"/>
    <n v="1.6080000000000001"/>
    <n v="1.6080000000000001"/>
    <n v="2"/>
    <x v="2"/>
    <n v="0"/>
    <n v="0"/>
    <n v="77"/>
    <n v="52"/>
    <n v="0"/>
    <n v="343.17"/>
    <n v="303.54000000000002"/>
    <m/>
    <n v="487.85329400621345"/>
    <n v="287.16392669686104"/>
    <n v="0"/>
    <n v="551.81736000000001"/>
    <n v="488.09232000000009"/>
    <n v="0"/>
    <n v="784.46809676199132"/>
    <n v="461.75959412855258"/>
  </r>
  <r>
    <s v="Regular"/>
    <x v="4"/>
    <x v="3"/>
    <x v="3"/>
    <x v="0"/>
    <x v="1"/>
    <x v="0"/>
    <x v="1"/>
    <x v="0"/>
    <n v="0"/>
    <n v="0"/>
    <n v="107.56399999999999"/>
    <n v="107.56399999999999"/>
    <n v="107.56399999999999"/>
    <n v="107.56399999999999"/>
    <n v="73"/>
    <x v="2"/>
    <n v="0"/>
    <n v="0"/>
    <n v="77"/>
    <n v="52"/>
    <n v="0"/>
    <n v="343.17"/>
    <n v="303.54000000000002"/>
    <m/>
    <n v="487.85329400621345"/>
    <n v="287.16392669686104"/>
    <n v="0"/>
    <n v="36912.737880000001"/>
    <n v="32649.976559999999"/>
    <n v="0"/>
    <n v="52475.451716484342"/>
    <n v="30888.500611221159"/>
  </r>
  <r>
    <s v="Sistema de Compensação"/>
    <x v="4"/>
    <x v="3"/>
    <x v="3"/>
    <x v="0"/>
    <x v="1"/>
    <x v="0"/>
    <x v="1"/>
    <x v="0"/>
    <n v="0"/>
    <n v="0"/>
    <n v="1.5760000000000001"/>
    <n v="1.5760000000000001"/>
    <n v="1.5760000000000001"/>
    <n v="1.5760000000000001"/>
    <n v="2"/>
    <x v="2"/>
    <n v="0"/>
    <n v="0"/>
    <n v="77"/>
    <n v="52"/>
    <n v="0"/>
    <n v="343.17"/>
    <n v="303.54000000000002"/>
    <m/>
    <n v="487.85329400621345"/>
    <n v="287.16392669686104"/>
    <n v="0"/>
    <n v="540.8359200000001"/>
    <n v="478.37904000000003"/>
    <n v="0"/>
    <n v="768.85679135379246"/>
    <n v="452.57034847425302"/>
  </r>
  <r>
    <s v="Regular"/>
    <x v="4"/>
    <x v="3"/>
    <x v="3"/>
    <x v="0"/>
    <x v="1"/>
    <x v="0"/>
    <x v="1"/>
    <x v="1"/>
    <n v="0"/>
    <n v="0"/>
    <n v="70.241"/>
    <n v="70.241"/>
    <n v="70.241"/>
    <n v="70.241"/>
    <n v="73"/>
    <x v="2"/>
    <n v="0"/>
    <n v="0"/>
    <n v="77"/>
    <n v="52"/>
    <n v="0"/>
    <n v="343.17"/>
    <n v="303.54000000000002"/>
    <m/>
    <n v="487.85329400621345"/>
    <n v="287.16392669686104"/>
    <n v="0"/>
    <n v="24104.60397"/>
    <n v="21320.953140000001"/>
    <n v="0"/>
    <n v="34267.303224290437"/>
    <n v="20170.681375114214"/>
  </r>
  <r>
    <s v="Sistema de Compensação"/>
    <x v="4"/>
    <x v="3"/>
    <x v="3"/>
    <x v="0"/>
    <x v="1"/>
    <x v="0"/>
    <x v="1"/>
    <x v="1"/>
    <n v="0"/>
    <n v="0"/>
    <n v="0.2"/>
    <n v="0.2"/>
    <n v="0.2"/>
    <n v="0.2"/>
    <n v="2"/>
    <x v="2"/>
    <n v="0"/>
    <n v="0"/>
    <n v="77"/>
    <n v="52"/>
    <n v="0"/>
    <n v="343.17"/>
    <n v="303.54000000000002"/>
    <m/>
    <n v="487.85329400621345"/>
    <n v="287.16392669686104"/>
    <n v="0"/>
    <n v="68.634"/>
    <n v="60.708000000000006"/>
    <n v="0"/>
    <n v="97.570658801242701"/>
    <n v="57.432785339372209"/>
  </r>
  <r>
    <s v="Regular"/>
    <x v="4"/>
    <x v="3"/>
    <x v="3"/>
    <x v="0"/>
    <x v="1"/>
    <x v="0"/>
    <x v="1"/>
    <x v="2"/>
    <n v="0"/>
    <n v="0"/>
    <n v="68.995000000000005"/>
    <n v="68.995000000000005"/>
    <n v="68.995000000000005"/>
    <n v="68.995000000000005"/>
    <n v="73"/>
    <x v="2"/>
    <n v="0"/>
    <n v="0"/>
    <n v="77"/>
    <n v="52"/>
    <n v="0"/>
    <n v="343.17"/>
    <n v="303.54000000000002"/>
    <m/>
    <n v="487.85329400621345"/>
    <n v="287.16392669686104"/>
    <n v="0"/>
    <n v="23677.014150000003"/>
    <n v="20942.742300000002"/>
    <n v="0"/>
    <n v="33659.438019958696"/>
    <n v="19812.875122449928"/>
  </r>
  <r>
    <s v="Sistema de Compensação"/>
    <x v="4"/>
    <x v="3"/>
    <x v="3"/>
    <x v="0"/>
    <x v="1"/>
    <x v="0"/>
    <x v="1"/>
    <x v="2"/>
    <n v="0"/>
    <n v="0"/>
    <n v="0.63"/>
    <n v="0.63"/>
    <n v="0.63"/>
    <n v="0.63"/>
    <n v="2"/>
    <x v="2"/>
    <n v="0"/>
    <n v="0"/>
    <n v="77"/>
    <n v="52"/>
    <n v="0"/>
    <n v="343.17"/>
    <n v="303.54000000000002"/>
    <m/>
    <n v="487.85329400621345"/>
    <n v="287.16392669686104"/>
    <n v="0"/>
    <n v="216.19710000000001"/>
    <n v="191.23020000000002"/>
    <n v="0"/>
    <n v="307.34757522391448"/>
    <n v="180.91327381902246"/>
  </r>
  <r>
    <s v="Regular"/>
    <x v="4"/>
    <x v="3"/>
    <x v="3"/>
    <x v="0"/>
    <x v="1"/>
    <x v="0"/>
    <x v="1"/>
    <x v="3"/>
    <n v="0"/>
    <n v="0"/>
    <n v="70.135999999999996"/>
    <n v="70.135999999999996"/>
    <n v="70.135999999999996"/>
    <n v="70.135999999999996"/>
    <n v="73"/>
    <x v="2"/>
    <n v="0"/>
    <n v="0"/>
    <n v="77"/>
    <n v="52"/>
    <n v="0"/>
    <n v="343.17"/>
    <n v="303.54000000000002"/>
    <m/>
    <n v="487.85329400621345"/>
    <n v="287.16392669686104"/>
    <n v="0"/>
    <n v="24068.571120000001"/>
    <n v="21289.081440000002"/>
    <n v="0"/>
    <n v="34216.078628419782"/>
    <n v="20140.529162811046"/>
  </r>
  <r>
    <s v="Sistema de Compensação"/>
    <x v="4"/>
    <x v="3"/>
    <x v="3"/>
    <x v="0"/>
    <x v="1"/>
    <x v="0"/>
    <x v="1"/>
    <x v="3"/>
    <n v="0"/>
    <n v="0"/>
    <n v="0.68200000000000005"/>
    <n v="0.68200000000000005"/>
    <n v="0.68200000000000005"/>
    <n v="0.68200000000000005"/>
    <n v="2"/>
    <x v="2"/>
    <n v="0"/>
    <n v="0"/>
    <n v="77"/>
    <n v="52"/>
    <n v="0"/>
    <n v="343.17"/>
    <n v="303.54000000000002"/>
    <m/>
    <n v="487.85329400621345"/>
    <n v="287.16392669686104"/>
    <n v="0"/>
    <n v="234.04194000000004"/>
    <n v="207.01428000000004"/>
    <n v="0"/>
    <n v="332.71594651223762"/>
    <n v="195.84579800725925"/>
  </r>
  <r>
    <s v="Regular"/>
    <x v="4"/>
    <x v="3"/>
    <x v="7"/>
    <x v="8"/>
    <x v="1"/>
    <x v="0"/>
    <x v="1"/>
    <x v="4"/>
    <n v="0"/>
    <n v="0"/>
    <n v="35.756999999999998"/>
    <n v="33.611579999999996"/>
    <n v="35.756999999999998"/>
    <n v="33.611579999999996"/>
    <n v="32"/>
    <x v="2"/>
    <n v="0"/>
    <n v="0"/>
    <n v="77"/>
    <n v="52"/>
    <n v="0"/>
    <n v="343.17"/>
    <n v="303.54000000000002"/>
    <m/>
    <n v="487.85329400621345"/>
    <n v="287.16392669686104"/>
    <n v="0"/>
    <n v="11534.4859086"/>
    <n v="10202.4589932"/>
    <n v="0"/>
    <n v="16397.520019753363"/>
    <n v="9652.0332952856788"/>
  </r>
  <r>
    <s v="Regular"/>
    <x v="4"/>
    <x v="3"/>
    <x v="7"/>
    <x v="8"/>
    <x v="1"/>
    <x v="0"/>
    <x v="1"/>
    <x v="5"/>
    <n v="0"/>
    <n v="0"/>
    <n v="42.151000000000003"/>
    <n v="39.621940000000002"/>
    <n v="42.151000000000003"/>
    <n v="39.621940000000002"/>
    <n v="32"/>
    <x v="2"/>
    <n v="0"/>
    <n v="0"/>
    <n v="77"/>
    <n v="52"/>
    <n v="0"/>
    <n v="343.17"/>
    <n v="303.54000000000002"/>
    <m/>
    <n v="487.85329400621345"/>
    <n v="287.16392669686104"/>
    <n v="0"/>
    <n v="13597.061149800002"/>
    <n v="12026.843667600002"/>
    <n v="0"/>
    <n v="19329.693943916551"/>
    <n v="11377.991873747427"/>
  </r>
  <r>
    <s v="Regular"/>
    <x v="4"/>
    <x v="3"/>
    <x v="7"/>
    <x v="8"/>
    <x v="1"/>
    <x v="0"/>
    <x v="1"/>
    <x v="6"/>
    <n v="0"/>
    <n v="0"/>
    <n v="39.543999999999997"/>
    <n v="37.171359999999993"/>
    <n v="39.543999999999997"/>
    <n v="37.171359999999993"/>
    <n v="32"/>
    <x v="2"/>
    <n v="0"/>
    <n v="0"/>
    <n v="77"/>
    <n v="52"/>
    <n v="0"/>
    <n v="343.17"/>
    <n v="303.54000000000002"/>
    <m/>
    <n v="487.85329400621345"/>
    <n v="287.16392669686104"/>
    <n v="0"/>
    <n v="12756.095611199999"/>
    <n v="11282.994614399999"/>
    <n v="0"/>
    <n v="18134.170418690799"/>
    <n v="10674.27369826263"/>
  </r>
  <r>
    <s v="Regular"/>
    <x v="4"/>
    <x v="3"/>
    <x v="7"/>
    <x v="8"/>
    <x v="1"/>
    <x v="0"/>
    <x v="1"/>
    <x v="7"/>
    <n v="0"/>
    <n v="0"/>
    <n v="37.927"/>
    <n v="35.651380000000003"/>
    <n v="37.927"/>
    <n v="35.651380000000003"/>
    <n v="32"/>
    <x v="2"/>
    <n v="0"/>
    <n v="0"/>
    <n v="77"/>
    <n v="52"/>
    <n v="0"/>
    <n v="343.17"/>
    <n v="303.54000000000002"/>
    <m/>
    <n v="487.85329400621345"/>
    <n v="287.16392669686104"/>
    <n v="0"/>
    <n v="12234.484074600001"/>
    <n v="10821.619885200002"/>
    <n v="0"/>
    <n v="17392.643168867238"/>
    <n v="10237.790272961938"/>
  </r>
  <r>
    <s v="Regular"/>
    <x v="4"/>
    <x v="3"/>
    <x v="7"/>
    <x v="8"/>
    <x v="1"/>
    <x v="0"/>
    <x v="1"/>
    <x v="8"/>
    <n v="0"/>
    <n v="0"/>
    <n v="42.985999999999997"/>
    <n v="40.406840000000003"/>
    <n v="42.985999999999997"/>
    <n v="40.406840000000003"/>
    <n v="32"/>
    <x v="2"/>
    <n v="0"/>
    <n v="0"/>
    <n v="77"/>
    <n v="52"/>
    <n v="0"/>
    <n v="343.17"/>
    <n v="303.54000000000002"/>
    <m/>
    <n v="487.85329400621345"/>
    <n v="287.16392669686104"/>
    <n v="0"/>
    <n v="13866.415282800002"/>
    <n v="12265.092213600001"/>
    <n v="0"/>
    <n v="19712.609994382026"/>
    <n v="11603.386839811794"/>
  </r>
  <r>
    <s v="Regular"/>
    <x v="4"/>
    <x v="3"/>
    <x v="7"/>
    <x v="8"/>
    <x v="1"/>
    <x v="0"/>
    <x v="1"/>
    <x v="9"/>
    <n v="0"/>
    <n v="0"/>
    <n v="47.173999999999999"/>
    <n v="44.343559999999997"/>
    <n v="47.173999999999999"/>
    <n v="44.343559999999997"/>
    <n v="32"/>
    <x v="2"/>
    <n v="0"/>
    <n v="0"/>
    <n v="77"/>
    <n v="52"/>
    <n v="0"/>
    <n v="343.17"/>
    <n v="303.54000000000002"/>
    <m/>
    <n v="487.85329400621345"/>
    <n v="287.16392669686104"/>
    <n v="0"/>
    <n v="15217.379485199999"/>
    <n v="13460.0442024"/>
    <n v="0"/>
    <n v="21633.151813962166"/>
    <n v="12733.870813317859"/>
  </r>
  <r>
    <s v="Regular"/>
    <x v="4"/>
    <x v="3"/>
    <x v="7"/>
    <x v="8"/>
    <x v="1"/>
    <x v="0"/>
    <x v="1"/>
    <x v="10"/>
    <n v="0"/>
    <n v="0"/>
    <n v="51.765999999999998"/>
    <n v="48.660040000000002"/>
    <n v="51.765999999999998"/>
    <n v="48.660040000000002"/>
    <n v="32"/>
    <x v="2"/>
    <n v="0"/>
    <n v="0"/>
    <n v="77"/>
    <n v="52"/>
    <n v="0"/>
    <n v="343.17"/>
    <n v="303.54000000000002"/>
    <m/>
    <n v="487.85329400621345"/>
    <n v="287.16392669686104"/>
    <n v="0"/>
    <n v="16698.6659268"/>
    <n v="14770.268541600002"/>
    <n v="0"/>
    <n v="23738.960800474106"/>
    <n v="13973.408159626326"/>
  </r>
  <r>
    <s v="Regular"/>
    <x v="4"/>
    <x v="3"/>
    <x v="7"/>
    <x v="8"/>
    <x v="1"/>
    <x v="0"/>
    <x v="1"/>
    <x v="11"/>
    <n v="0"/>
    <n v="0"/>
    <n v="43.442"/>
    <n v="40.835479999999997"/>
    <n v="43.442"/>
    <n v="40.835479999999997"/>
    <n v="32"/>
    <x v="2"/>
    <n v="0"/>
    <n v="0"/>
    <n v="77"/>
    <n v="52"/>
    <n v="0"/>
    <n v="343.17"/>
    <n v="303.54000000000002"/>
    <m/>
    <n v="487.85329400621345"/>
    <n v="287.16392669686104"/>
    <n v="0"/>
    <n v="14013.511671599999"/>
    <n v="12395.2015992"/>
    <n v="0"/>
    <n v="19921.723430324848"/>
    <n v="11726.476785351135"/>
  </r>
  <r>
    <s v="Regular"/>
    <x v="4"/>
    <x v="3"/>
    <x v="7"/>
    <x v="8"/>
    <x v="1"/>
    <x v="0"/>
    <x v="1"/>
    <x v="0"/>
    <n v="0"/>
    <n v="0"/>
    <n v="43.895000000000003"/>
    <n v="41.261299999999999"/>
    <n v="43.895000000000003"/>
    <n v="41.261299999999999"/>
    <n v="32"/>
    <x v="2"/>
    <n v="0"/>
    <n v="0"/>
    <n v="77"/>
    <n v="52"/>
    <n v="0"/>
    <n v="343.17"/>
    <n v="303.54000000000002"/>
    <m/>
    <n v="487.85329400621345"/>
    <n v="287.16392669686104"/>
    <n v="0"/>
    <n v="14159.640321000001"/>
    <n v="12524.455002000001"/>
    <n v="0"/>
    <n v="20129.461119978576"/>
    <n v="11848.756928617193"/>
  </r>
  <r>
    <s v="Regular"/>
    <x v="4"/>
    <x v="3"/>
    <x v="7"/>
    <x v="8"/>
    <x v="1"/>
    <x v="0"/>
    <x v="1"/>
    <x v="1"/>
    <n v="0"/>
    <n v="0"/>
    <n v="40.804000000000002"/>
    <n v="38.355759999999997"/>
    <n v="40.804000000000002"/>
    <n v="38.355759999999997"/>
    <n v="32"/>
    <x v="2"/>
    <n v="0"/>
    <n v="0"/>
    <n v="77"/>
    <n v="52"/>
    <n v="0"/>
    <n v="343.17"/>
    <n v="303.54000000000002"/>
    <m/>
    <n v="487.85329400621345"/>
    <n v="287.16392669686104"/>
    <n v="0"/>
    <n v="13162.546159199999"/>
    <n v="11642.5073904"/>
    <n v="0"/>
    <n v="18711.983860111759"/>
    <n v="11014.390653042394"/>
  </r>
  <r>
    <s v="Regular"/>
    <x v="4"/>
    <x v="3"/>
    <x v="7"/>
    <x v="8"/>
    <x v="1"/>
    <x v="0"/>
    <x v="1"/>
    <x v="2"/>
    <n v="0"/>
    <n v="0"/>
    <n v="38.534999999999997"/>
    <n v="36.222900000000003"/>
    <n v="38.534999999999997"/>
    <n v="36.222900000000003"/>
    <n v="32"/>
    <x v="2"/>
    <n v="0"/>
    <n v="0"/>
    <n v="77"/>
    <n v="52"/>
    <n v="0"/>
    <n v="343.17"/>
    <n v="303.54000000000002"/>
    <m/>
    <n v="487.85329400621345"/>
    <n v="287.16392669686104"/>
    <n v="0"/>
    <n v="12430.612593000002"/>
    <n v="10995.099066000001"/>
    <n v="0"/>
    <n v="17671.461083457671"/>
    <n v="10401.910200347729"/>
  </r>
  <r>
    <s v="Regular"/>
    <x v="4"/>
    <x v="3"/>
    <x v="7"/>
    <x v="8"/>
    <x v="1"/>
    <x v="0"/>
    <x v="1"/>
    <x v="3"/>
    <n v="0"/>
    <n v="0"/>
    <n v="35.773000000000003"/>
    <n v="33.626620000000003"/>
    <n v="35.773000000000003"/>
    <n v="33.626620000000003"/>
    <n v="32"/>
    <x v="2"/>
    <n v="0"/>
    <n v="0"/>
    <n v="77"/>
    <n v="52"/>
    <n v="0"/>
    <n v="343.17"/>
    <n v="303.54000000000002"/>
    <m/>
    <n v="487.85329400621345"/>
    <n v="287.16392669686104"/>
    <n v="0"/>
    <n v="11539.647185400001"/>
    <n v="10207.024234800001"/>
    <n v="0"/>
    <n v="16404.857333295218"/>
    <n v="9656.3522407432029"/>
  </r>
  <r>
    <s v="Regular"/>
    <x v="5"/>
    <x v="3"/>
    <x v="8"/>
    <x v="9"/>
    <x v="1"/>
    <x v="0"/>
    <x v="1"/>
    <x v="4"/>
    <n v="0"/>
    <n v="0"/>
    <n v="214.02199999999999"/>
    <n v="214.02199999999999"/>
    <n v="214.02199999999999"/>
    <n v="214.02199999999999"/>
    <n v="2"/>
    <x v="2"/>
    <n v="0"/>
    <n v="0"/>
    <n v="79"/>
    <n v="56"/>
    <n v="0"/>
    <n v="188.74"/>
    <n v="166.95"/>
    <m/>
    <n v="268.31931170341738"/>
    <n v="157.94015968327355"/>
    <n v="0"/>
    <n v="40394.512280000003"/>
    <n v="35730.972899999993"/>
    <n v="0"/>
    <n v="57426.235729388791"/>
    <n v="33802.668855733573"/>
  </r>
  <r>
    <s v="Regular"/>
    <x v="5"/>
    <x v="3"/>
    <x v="8"/>
    <x v="9"/>
    <x v="1"/>
    <x v="0"/>
    <x v="1"/>
    <x v="5"/>
    <n v="0"/>
    <n v="0"/>
    <n v="192.84399999999999"/>
    <n v="192.84399999999999"/>
    <n v="192.84399999999999"/>
    <n v="192.84399999999999"/>
    <n v="2"/>
    <x v="2"/>
    <n v="0"/>
    <n v="0"/>
    <n v="79"/>
    <n v="56"/>
    <n v="0"/>
    <n v="188.74"/>
    <n v="166.95"/>
    <m/>
    <n v="268.31931170341738"/>
    <n v="157.94015968327355"/>
    <n v="0"/>
    <n v="36397.376560000004"/>
    <n v="32195.305799999998"/>
    <n v="0"/>
    <n v="51743.76934613382"/>
    <n v="30457.812153961204"/>
  </r>
  <r>
    <s v="Regular"/>
    <x v="5"/>
    <x v="3"/>
    <x v="8"/>
    <x v="9"/>
    <x v="1"/>
    <x v="0"/>
    <x v="1"/>
    <x v="6"/>
    <n v="0"/>
    <n v="0"/>
    <n v="191.751"/>
    <n v="191.751"/>
    <n v="191.751"/>
    <n v="191.751"/>
    <n v="2"/>
    <x v="2"/>
    <n v="0"/>
    <n v="0"/>
    <n v="79"/>
    <n v="56"/>
    <n v="0"/>
    <n v="188.74"/>
    <n v="166.95"/>
    <m/>
    <n v="268.31931170341738"/>
    <n v="157.94015968327355"/>
    <n v="0"/>
    <n v="36191.083740000002"/>
    <n v="32012.829449999997"/>
    <n v="0"/>
    <n v="51450.49633844199"/>
    <n v="30285.183559427387"/>
  </r>
  <r>
    <s v="Regular"/>
    <x v="5"/>
    <x v="3"/>
    <x v="8"/>
    <x v="9"/>
    <x v="1"/>
    <x v="0"/>
    <x v="1"/>
    <x v="7"/>
    <n v="0"/>
    <n v="0"/>
    <n v="170.47399999999999"/>
    <n v="170.47399999999999"/>
    <n v="170.47399999999999"/>
    <n v="170.47399999999999"/>
    <n v="2"/>
    <x v="2"/>
    <n v="0"/>
    <n v="0"/>
    <n v="79"/>
    <n v="56"/>
    <n v="0"/>
    <n v="188.74"/>
    <n v="166.95"/>
    <m/>
    <n v="268.31931170341738"/>
    <n v="157.94015968327355"/>
    <n v="0"/>
    <n v="32175.262759999998"/>
    <n v="28460.634299999998"/>
    <n v="0"/>
    <n v="45741.466343328371"/>
    <n v="26924.690781846373"/>
  </r>
  <r>
    <s v="Regular"/>
    <x v="5"/>
    <x v="3"/>
    <x v="8"/>
    <x v="9"/>
    <x v="1"/>
    <x v="0"/>
    <x v="1"/>
    <x v="8"/>
    <n v="0"/>
    <n v="0"/>
    <n v="175.501"/>
    <n v="175.501"/>
    <n v="175.501"/>
    <n v="175.501"/>
    <n v="2"/>
    <x v="2"/>
    <n v="0"/>
    <n v="0"/>
    <n v="79"/>
    <n v="56"/>
    <n v="0"/>
    <n v="188.74"/>
    <n v="166.95"/>
    <m/>
    <n v="268.31931170341738"/>
    <n v="157.94015968327355"/>
    <n v="0"/>
    <n v="33124.05874"/>
    <n v="29299.891949999997"/>
    <n v="0"/>
    <n v="47090.307523261457"/>
    <n v="27718.655964574191"/>
  </r>
  <r>
    <s v="Regular"/>
    <x v="5"/>
    <x v="3"/>
    <x v="8"/>
    <x v="9"/>
    <x v="1"/>
    <x v="0"/>
    <x v="1"/>
    <x v="9"/>
    <n v="0"/>
    <n v="0"/>
    <n v="177.334"/>
    <n v="177.334"/>
    <n v="177.334"/>
    <n v="177.334"/>
    <n v="2"/>
    <x v="2"/>
    <n v="0"/>
    <n v="0"/>
    <n v="79"/>
    <n v="56"/>
    <n v="0"/>
    <n v="188.74"/>
    <n v="166.95"/>
    <m/>
    <n v="268.31931170341738"/>
    <n v="157.94015968327355"/>
    <n v="0"/>
    <n v="33470.019160000003"/>
    <n v="29605.9113"/>
    <n v="0"/>
    <n v="47582.136821613822"/>
    <n v="28008.160277273633"/>
  </r>
  <r>
    <s v="Regular"/>
    <x v="5"/>
    <x v="3"/>
    <x v="8"/>
    <x v="9"/>
    <x v="1"/>
    <x v="0"/>
    <x v="1"/>
    <x v="10"/>
    <n v="0"/>
    <n v="0"/>
    <n v="171.881"/>
    <n v="171.881"/>
    <n v="171.881"/>
    <n v="171.881"/>
    <n v="2"/>
    <x v="2"/>
    <n v="0"/>
    <n v="0"/>
    <n v="79"/>
    <n v="56"/>
    <n v="0"/>
    <n v="188.74"/>
    <n v="166.95"/>
    <m/>
    <n v="268.31931170341738"/>
    <n v="157.94015968327355"/>
    <n v="0"/>
    <n v="32440.819940000001"/>
    <n v="28695.532949999997"/>
    <n v="0"/>
    <n v="46118.991614895087"/>
    <n v="27146.912586520742"/>
  </r>
  <r>
    <s v="Regular"/>
    <x v="5"/>
    <x v="3"/>
    <x v="8"/>
    <x v="9"/>
    <x v="1"/>
    <x v="0"/>
    <x v="1"/>
    <x v="11"/>
    <n v="0"/>
    <n v="0"/>
    <n v="205.21799999999999"/>
    <n v="205.21799999999999"/>
    <n v="205.21799999999999"/>
    <n v="205.21799999999999"/>
    <n v="2"/>
    <x v="2"/>
    <n v="0"/>
    <n v="0"/>
    <n v="79"/>
    <n v="56"/>
    <n v="0"/>
    <n v="188.74"/>
    <n v="166.95"/>
    <m/>
    <n v="268.31931170341738"/>
    <n v="157.94015968327355"/>
    <n v="0"/>
    <n v="38732.84532"/>
    <n v="34261.145099999994"/>
    <n v="0"/>
    <n v="55063.952509151903"/>
    <n v="32412.163689882029"/>
  </r>
  <r>
    <s v="Regular"/>
    <x v="5"/>
    <x v="3"/>
    <x v="8"/>
    <x v="9"/>
    <x v="1"/>
    <x v="0"/>
    <x v="1"/>
    <x v="0"/>
    <n v="0"/>
    <n v="0"/>
    <n v="215.04300000000001"/>
    <n v="215.04300000000001"/>
    <n v="215.04300000000001"/>
    <n v="215.04300000000001"/>
    <n v="2"/>
    <x v="2"/>
    <n v="0"/>
    <n v="0"/>
    <n v="79"/>
    <n v="56"/>
    <n v="0"/>
    <n v="188.74"/>
    <n v="166.95"/>
    <m/>
    <n v="268.31931170341738"/>
    <n v="157.94015968327355"/>
    <n v="0"/>
    <n v="40587.215820000005"/>
    <n v="35901.428849999997"/>
    <n v="0"/>
    <n v="57700.189746637989"/>
    <n v="33963.925758770194"/>
  </r>
  <r>
    <s v="Regular"/>
    <x v="5"/>
    <x v="3"/>
    <x v="8"/>
    <x v="9"/>
    <x v="1"/>
    <x v="0"/>
    <x v="1"/>
    <x v="1"/>
    <n v="0"/>
    <n v="0"/>
    <n v="229.447"/>
    <n v="229.447"/>
    <n v="229.447"/>
    <n v="229.447"/>
    <n v="2"/>
    <x v="2"/>
    <n v="0"/>
    <n v="0"/>
    <n v="79"/>
    <n v="56"/>
    <n v="0"/>
    <n v="188.74"/>
    <n v="166.95"/>
    <m/>
    <n v="268.31931170341738"/>
    <n v="157.94015968327355"/>
    <n v="0"/>
    <n v="43305.826780000003"/>
    <n v="38306.176650000001"/>
    <n v="0"/>
    <n v="61565.061112414012"/>
    <n v="36238.895818848068"/>
  </r>
  <r>
    <s v="Regular"/>
    <x v="5"/>
    <x v="3"/>
    <x v="8"/>
    <x v="9"/>
    <x v="1"/>
    <x v="0"/>
    <x v="1"/>
    <x v="2"/>
    <n v="0"/>
    <n v="0"/>
    <n v="240.41900000000001"/>
    <n v="240.41900000000001"/>
    <n v="240.41900000000001"/>
    <n v="240.41900000000001"/>
    <n v="2"/>
    <x v="2"/>
    <n v="0"/>
    <n v="0"/>
    <n v="79"/>
    <n v="56"/>
    <n v="0"/>
    <n v="188.74"/>
    <n v="166.95"/>
    <m/>
    <n v="268.31931170341738"/>
    <n v="157.94015968327355"/>
    <n v="0"/>
    <n v="45376.682060000006"/>
    <n v="40137.95205"/>
    <n v="0"/>
    <n v="64509.060600423909"/>
    <n v="37971.815250892949"/>
  </r>
  <r>
    <s v="Regular"/>
    <x v="5"/>
    <x v="3"/>
    <x v="8"/>
    <x v="9"/>
    <x v="1"/>
    <x v="0"/>
    <x v="1"/>
    <x v="3"/>
    <n v="0"/>
    <n v="0"/>
    <n v="231.773"/>
    <n v="231.773"/>
    <n v="231.773"/>
    <n v="231.773"/>
    <n v="2"/>
    <x v="2"/>
    <n v="0"/>
    <n v="0"/>
    <n v="79"/>
    <n v="56"/>
    <n v="0"/>
    <n v="188.74"/>
    <n v="166.95"/>
    <m/>
    <n v="268.31931170341738"/>
    <n v="157.94015968327355"/>
    <n v="0"/>
    <n v="43744.836020000002"/>
    <n v="38694.502349999995"/>
    <n v="0"/>
    <n v="62189.171831436157"/>
    <n v="36606.26463027136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">
  <r>
    <s v="Regular"/>
    <x v="0"/>
    <x v="0"/>
    <x v="0"/>
    <x v="0"/>
    <x v="0"/>
    <x v="0"/>
    <x v="0"/>
    <x v="0"/>
    <n v="3469.2"/>
    <n v="1735.4571699359999"/>
    <n v="0"/>
    <n v="0"/>
    <n v="0"/>
    <n v="0"/>
    <n v="0"/>
    <s v="LIVRE"/>
    <n v="0"/>
    <n v="3"/>
    <n v="0"/>
    <n v="0"/>
    <n v="13.87"/>
    <n v="0"/>
    <n v="0"/>
    <n v="18.423358094150419"/>
    <n v="111.26624833098249"/>
    <m/>
    <n v="24047.013052987677"/>
    <n v="0"/>
    <n v="31941.36500143485"/>
    <n v="0"/>
    <x v="0"/>
  </r>
  <r>
    <s v="Regular"/>
    <x v="0"/>
    <x v="0"/>
    <x v="0"/>
    <x v="0"/>
    <x v="0"/>
    <x v="0"/>
    <x v="0"/>
    <x v="1"/>
    <n v="3738"/>
    <n v="1869.74565624"/>
    <n v="0"/>
    <n v="0"/>
    <n v="0"/>
    <n v="0"/>
    <n v="0"/>
    <s v="LIVRE"/>
    <n v="0"/>
    <n v="3"/>
    <n v="0"/>
    <n v="0"/>
    <n v="13.87"/>
    <n v="0"/>
    <n v="0"/>
    <n v="18.423358094150419"/>
    <n v="111.26624833098249"/>
    <m/>
    <n v="25912.687747951197"/>
    <n v="0"/>
    <n v="34419.518786042478"/>
    <n v="0"/>
    <x v="0"/>
  </r>
  <r>
    <s v="Regular"/>
    <x v="0"/>
    <x v="0"/>
    <x v="0"/>
    <x v="0"/>
    <x v="0"/>
    <x v="0"/>
    <x v="0"/>
    <x v="2"/>
    <n v="3763.2"/>
    <n v="1900.6458562559999"/>
    <n v="0"/>
    <n v="0"/>
    <n v="0"/>
    <n v="0"/>
    <n v="0"/>
    <s v="LIVRE"/>
    <n v="0"/>
    <n v="3"/>
    <n v="0"/>
    <n v="0"/>
    <n v="13.87"/>
    <n v="0"/>
    <n v="0"/>
    <n v="18.423358094150419"/>
    <n v="111.26624833098249"/>
    <m/>
    <n v="25833.625973729278"/>
    <n v="0"/>
    <n v="34314.501959939422"/>
    <n v="0"/>
    <x v="0"/>
  </r>
  <r>
    <s v="Regular"/>
    <x v="0"/>
    <x v="0"/>
    <x v="0"/>
    <x v="0"/>
    <x v="0"/>
    <x v="0"/>
    <x v="0"/>
    <x v="3"/>
    <n v="4100"/>
    <n v="2087.3986829999999"/>
    <n v="0"/>
    <n v="0"/>
    <n v="0"/>
    <n v="0"/>
    <n v="0"/>
    <s v="LIVRE"/>
    <n v="0"/>
    <n v="3"/>
    <n v="0"/>
    <n v="0"/>
    <n v="13.87"/>
    <n v="0"/>
    <n v="0"/>
    <n v="18.423358094150419"/>
    <n v="111.26624833098249"/>
    <m/>
    <n v="27914.78026679"/>
    <n v="0"/>
    <n v="37078.874763849744"/>
    <n v="0"/>
    <x v="0"/>
  </r>
  <r>
    <s v="Regular"/>
    <x v="0"/>
    <x v="0"/>
    <x v="0"/>
    <x v="0"/>
    <x v="0"/>
    <x v="0"/>
    <x v="1"/>
    <x v="0"/>
    <n v="0"/>
    <n v="0"/>
    <n v="1349.6216999999999"/>
    <n v="1349.6216999999999"/>
    <n v="0"/>
    <n v="0"/>
    <n v="1"/>
    <s v="LIVRE"/>
    <n v="0"/>
    <n v="0"/>
    <n v="5"/>
    <n v="0"/>
    <n v="0"/>
    <n v="57.86"/>
    <n v="0"/>
    <m/>
    <n v="111.26624833098249"/>
    <m/>
    <n v="0"/>
    <n v="0"/>
    <n v="0"/>
    <n v="0"/>
    <x v="0"/>
  </r>
  <r>
    <s v="Regular"/>
    <x v="0"/>
    <x v="0"/>
    <x v="0"/>
    <x v="0"/>
    <x v="0"/>
    <x v="0"/>
    <x v="1"/>
    <x v="1"/>
    <n v="0"/>
    <n v="0"/>
    <n v="2026.143"/>
    <n v="2026.143"/>
    <n v="0"/>
    <n v="0"/>
    <n v="1"/>
    <s v="LIVRE"/>
    <n v="0"/>
    <n v="0"/>
    <n v="5"/>
    <n v="0"/>
    <n v="0"/>
    <n v="57.86"/>
    <n v="0"/>
    <m/>
    <n v="111.26624833098249"/>
    <m/>
    <n v="0"/>
    <n v="0"/>
    <n v="0"/>
    <n v="0"/>
    <x v="0"/>
  </r>
  <r>
    <s v="Regular"/>
    <x v="0"/>
    <x v="0"/>
    <x v="0"/>
    <x v="0"/>
    <x v="0"/>
    <x v="0"/>
    <x v="1"/>
    <x v="2"/>
    <n v="0"/>
    <n v="0"/>
    <n v="2090.6046000000001"/>
    <n v="2090.6046000000001"/>
    <n v="0"/>
    <n v="0"/>
    <n v="1"/>
    <s v="LIVRE"/>
    <n v="0"/>
    <n v="0"/>
    <n v="5"/>
    <n v="0"/>
    <n v="0"/>
    <n v="57.86"/>
    <n v="0"/>
    <m/>
    <n v="111.26624833098249"/>
    <m/>
    <n v="0"/>
    <n v="0"/>
    <n v="0"/>
    <n v="0"/>
    <x v="0"/>
  </r>
  <r>
    <s v="Regular"/>
    <x v="0"/>
    <x v="0"/>
    <x v="0"/>
    <x v="0"/>
    <x v="0"/>
    <x v="0"/>
    <x v="1"/>
    <x v="3"/>
    <n v="0"/>
    <n v="0"/>
    <n v="2175.5034000000001"/>
    <n v="2175.5034000000001"/>
    <n v="0"/>
    <n v="0"/>
    <n v="1"/>
    <s v="LIVRE"/>
    <n v="0"/>
    <n v="0"/>
    <n v="5"/>
    <n v="0"/>
    <n v="0"/>
    <n v="57.86"/>
    <n v="0"/>
    <m/>
    <n v="111.26624833098249"/>
    <m/>
    <n v="0"/>
    <n v="0"/>
    <n v="0"/>
    <n v="0"/>
    <x v="0"/>
  </r>
  <r>
    <s v="Regular"/>
    <x v="0"/>
    <x v="0"/>
    <x v="0"/>
    <x v="0"/>
    <x v="0"/>
    <x v="0"/>
    <x v="2"/>
    <x v="0"/>
    <n v="3427.2"/>
    <n v="1714.446792576"/>
    <n v="0"/>
    <n v="0"/>
    <n v="0"/>
    <n v="0"/>
    <n v="0"/>
    <s v="LIVRE"/>
    <n v="0"/>
    <n v="1"/>
    <n v="0"/>
    <n v="0"/>
    <n v="22.04"/>
    <n v="0"/>
    <n v="0"/>
    <n v="30.069501619822329"/>
    <n v="111.26624833098249"/>
    <m/>
    <n v="37749.080691624957"/>
    <n v="0"/>
    <n v="51501.635344991853"/>
    <n v="0"/>
    <x v="0"/>
  </r>
  <r>
    <s v="Regular"/>
    <x v="0"/>
    <x v="0"/>
    <x v="0"/>
    <x v="0"/>
    <x v="0"/>
    <x v="0"/>
    <x v="2"/>
    <x v="1"/>
    <n v="3679.2"/>
    <n v="1840.333926816"/>
    <n v="0"/>
    <n v="0"/>
    <n v="0"/>
    <n v="0"/>
    <n v="0"/>
    <s v="LIVRE"/>
    <n v="0"/>
    <n v="1"/>
    <n v="0"/>
    <n v="0"/>
    <n v="22.04"/>
    <n v="0"/>
    <n v="0"/>
    <n v="30.069501619822329"/>
    <n v="111.26624833098249"/>
    <m/>
    <n v="40528.608252975355"/>
    <n v="0"/>
    <n v="55293.78636624261"/>
    <n v="0"/>
    <x v="0"/>
  </r>
  <r>
    <s v="Regular"/>
    <x v="0"/>
    <x v="0"/>
    <x v="0"/>
    <x v="0"/>
    <x v="0"/>
    <x v="0"/>
    <x v="2"/>
    <x v="2"/>
    <n v="3670.8"/>
    <n v="1853.9782124640001"/>
    <n v="0"/>
    <n v="0"/>
    <n v="0"/>
    <n v="0"/>
    <n v="0"/>
    <s v="LIVRE"/>
    <n v="0"/>
    <n v="1"/>
    <n v="0"/>
    <n v="0"/>
    <n v="22.04"/>
    <n v="0"/>
    <n v="0"/>
    <n v="30.069501619822329"/>
    <n v="111.26624833098249"/>
    <m/>
    <n v="40042.752197293441"/>
    <n v="0"/>
    <n v="54630.925683242254"/>
    <n v="0"/>
    <x v="0"/>
  </r>
  <r>
    <s v="Regular"/>
    <x v="0"/>
    <x v="0"/>
    <x v="0"/>
    <x v="0"/>
    <x v="0"/>
    <x v="0"/>
    <x v="2"/>
    <x v="3"/>
    <n v="4100"/>
    <n v="2087.3986829999999"/>
    <n v="0"/>
    <n v="0"/>
    <n v="0"/>
    <n v="0"/>
    <n v="0"/>
    <s v="LIVRE"/>
    <n v="0"/>
    <n v="1"/>
    <n v="0"/>
    <n v="0"/>
    <n v="22.04"/>
    <n v="0"/>
    <n v="0"/>
    <n v="30.069501619822329"/>
    <n v="111.26624833098249"/>
    <m/>
    <n v="44357.733026679998"/>
    <n v="0"/>
    <n v="60517.918561588056"/>
    <n v="0"/>
    <x v="0"/>
  </r>
  <r>
    <s v="Regular"/>
    <x v="1"/>
    <x v="0"/>
    <x v="0"/>
    <x v="0"/>
    <x v="0"/>
    <x v="0"/>
    <x v="0"/>
    <x v="4"/>
    <n v="7449"/>
    <n v="3724.7023148399999"/>
    <n v="0"/>
    <n v="0"/>
    <n v="0"/>
    <n v="0"/>
    <n v="0"/>
    <s v="LIVRE"/>
    <n v="0"/>
    <n v="10"/>
    <n v="0"/>
    <n v="0"/>
    <n v="18.489999999999998"/>
    <n v="0"/>
    <n v="0"/>
    <n v="24.564572675892517"/>
    <n v="143.45615825576942"/>
    <m/>
    <n v="68862.264198608391"/>
    <n v="0"/>
    <n v="91485.781153771095"/>
    <n v="0"/>
    <x v="0"/>
  </r>
  <r>
    <s v="Regular"/>
    <x v="1"/>
    <x v="0"/>
    <x v="0"/>
    <x v="0"/>
    <x v="0"/>
    <x v="0"/>
    <x v="0"/>
    <x v="5"/>
    <n v="7484"/>
    <n v="3746.0831207199999"/>
    <n v="0"/>
    <n v="0"/>
    <n v="0"/>
    <n v="0"/>
    <n v="0"/>
    <s v="LIVRE"/>
    <n v="0"/>
    <n v="10"/>
    <n v="0"/>
    <n v="0"/>
    <n v="18.489999999999998"/>
    <n v="0"/>
    <n v="0"/>
    <n v="24.564572675892517"/>
    <n v="143.45615825576942"/>
    <m/>
    <n v="69114.083097887196"/>
    <n v="0"/>
    <n v="91820.330837518923"/>
    <n v="0"/>
    <x v="0"/>
  </r>
  <r>
    <s v="Regular"/>
    <x v="1"/>
    <x v="0"/>
    <x v="0"/>
    <x v="0"/>
    <x v="0"/>
    <x v="0"/>
    <x v="0"/>
    <x v="6"/>
    <n v="7491"/>
    <n v="3748.5737071200001"/>
    <n v="0"/>
    <n v="0"/>
    <n v="0"/>
    <n v="0"/>
    <n v="0"/>
    <s v="LIVRE"/>
    <n v="0"/>
    <n v="10"/>
    <n v="0"/>
    <n v="0"/>
    <n v="18.489999999999998"/>
    <n v="0"/>
    <n v="0"/>
    <n v="24.564572675892517"/>
    <n v="143.45615825576942"/>
    <m/>
    <n v="69197.462155351197"/>
    <n v="0"/>
    <n v="91931.102655621769"/>
    <n v="0"/>
    <x v="0"/>
  </r>
  <r>
    <s v="Regular"/>
    <x v="1"/>
    <x v="0"/>
    <x v="0"/>
    <x v="0"/>
    <x v="0"/>
    <x v="0"/>
    <x v="0"/>
    <x v="7"/>
    <n v="7478"/>
    <n v="3742.4309811799999"/>
    <n v="0"/>
    <n v="0"/>
    <n v="0"/>
    <n v="0"/>
    <n v="0"/>
    <s v="LIVRE"/>
    <n v="0"/>
    <n v="10"/>
    <n v="0"/>
    <n v="0"/>
    <n v="18.489999999999998"/>
    <n v="0"/>
    <n v="0"/>
    <n v="24.564572675892517"/>
    <n v="143.45615825576942"/>
    <m/>
    <n v="69070.671157981793"/>
    <n v="0"/>
    <n v="91762.656648616394"/>
    <n v="0"/>
    <x v="0"/>
  </r>
  <r>
    <s v="Regular"/>
    <x v="1"/>
    <x v="0"/>
    <x v="0"/>
    <x v="0"/>
    <x v="0"/>
    <x v="0"/>
    <x v="0"/>
    <x v="8"/>
    <n v="7501"/>
    <n v="3759.8354445599998"/>
    <n v="0"/>
    <n v="0"/>
    <n v="0"/>
    <n v="0"/>
    <n v="0"/>
    <s v="LIVRE"/>
    <n v="0"/>
    <n v="10"/>
    <n v="0"/>
    <n v="0"/>
    <n v="18.489999999999998"/>
    <n v="0"/>
    <n v="0"/>
    <n v="24.564572675892517"/>
    <n v="143.45615825576942"/>
    <m/>
    <n v="69174.132630085602"/>
    <n v="0"/>
    <n v="91900.108614579003"/>
    <n v="0"/>
    <x v="0"/>
  </r>
  <r>
    <s v="Regular"/>
    <x v="1"/>
    <x v="0"/>
    <x v="0"/>
    <x v="0"/>
    <x v="0"/>
    <x v="0"/>
    <x v="0"/>
    <x v="9"/>
    <n v="7458"/>
    <n v="3750.2420247599998"/>
    <n v="0"/>
    <n v="0"/>
    <n v="0"/>
    <n v="0"/>
    <n v="0"/>
    <s v="LIVRE"/>
    <n v="0"/>
    <n v="10"/>
    <n v="0"/>
    <n v="0"/>
    <n v="18.489999999999998"/>
    <n v="0"/>
    <n v="0"/>
    <n v="24.564572675892517"/>
    <n v="143.45615825576942"/>
    <m/>
    <n v="68556.444962187597"/>
    <n v="0"/>
    <n v="91079.490247403068"/>
    <n v="0"/>
    <x v="0"/>
  </r>
  <r>
    <s v="Regular"/>
    <x v="1"/>
    <x v="0"/>
    <x v="0"/>
    <x v="0"/>
    <x v="0"/>
    <x v="0"/>
    <x v="0"/>
    <x v="10"/>
    <n v="7471"/>
    <n v="3737.6955774799999"/>
    <n v="0"/>
    <n v="0"/>
    <n v="0"/>
    <n v="0"/>
    <n v="0"/>
    <s v="LIVRE"/>
    <n v="0"/>
    <n v="10"/>
    <n v="0"/>
    <n v="0"/>
    <n v="18.489999999999998"/>
    <n v="0"/>
    <n v="0"/>
    <n v="24.564572675892517"/>
    <n v="143.45615825576942"/>
    <m/>
    <n v="69028.798772394803"/>
    <n v="0"/>
    <n v="91707.027808223487"/>
    <n v="0"/>
    <x v="0"/>
  </r>
  <r>
    <s v="Regular"/>
    <x v="1"/>
    <x v="0"/>
    <x v="0"/>
    <x v="0"/>
    <x v="0"/>
    <x v="0"/>
    <x v="0"/>
    <x v="11"/>
    <n v="7050"/>
    <n v="3526.0792139999999"/>
    <n v="0"/>
    <n v="0"/>
    <n v="0"/>
    <n v="0"/>
    <n v="0"/>
    <s v="LIVRE"/>
    <n v="0"/>
    <n v="10"/>
    <n v="0"/>
    <n v="0"/>
    <n v="18.489999999999998"/>
    <n v="0"/>
    <n v="0"/>
    <n v="24.564572675892517"/>
    <n v="143.45615825576942"/>
    <m/>
    <n v="65157.295333139999"/>
    <n v="0"/>
    <n v="86563.608251785292"/>
    <n v="0"/>
    <x v="0"/>
  </r>
  <r>
    <s v="Regular"/>
    <x v="1"/>
    <x v="0"/>
    <x v="0"/>
    <x v="0"/>
    <x v="0"/>
    <x v="0"/>
    <x v="0"/>
    <x v="0"/>
    <n v="7050"/>
    <n v="3527.2197630000001"/>
    <n v="0"/>
    <n v="0"/>
    <n v="0"/>
    <n v="0"/>
    <n v="0"/>
    <s v="LIVRE"/>
    <n v="0"/>
    <n v="10"/>
    <n v="0"/>
    <n v="0"/>
    <n v="18.489999999999998"/>
    <n v="0"/>
    <n v="0"/>
    <n v="24.564572675892517"/>
    <n v="143.45615825576942"/>
    <m/>
    <n v="65136.206582129991"/>
    <n v="0"/>
    <n v="86535.591152984358"/>
    <n v="0"/>
    <x v="0"/>
  </r>
  <r>
    <s v="Regular"/>
    <x v="1"/>
    <x v="0"/>
    <x v="0"/>
    <x v="0"/>
    <x v="0"/>
    <x v="0"/>
    <x v="0"/>
    <x v="1"/>
    <n v="4250"/>
    <n v="2125.60707"/>
    <n v="0"/>
    <n v="0"/>
    <n v="0"/>
    <n v="0"/>
    <n v="0"/>
    <s v="LIVRE"/>
    <n v="0"/>
    <n v="10"/>
    <n v="0"/>
    <n v="0"/>
    <n v="18.489999999999998"/>
    <n v="0"/>
    <n v="0"/>
    <n v="24.564572675892517"/>
    <n v="143.45615825576942"/>
    <m/>
    <n v="39280.025275699998"/>
    <n v="0"/>
    <n v="52184.804521137245"/>
    <n v="0"/>
    <x v="0"/>
  </r>
  <r>
    <s v="Regular"/>
    <x v="1"/>
    <x v="0"/>
    <x v="0"/>
    <x v="0"/>
    <x v="0"/>
    <x v="0"/>
    <x v="0"/>
    <x v="2"/>
    <n v="4250"/>
    <n v="2139.1935125"/>
    <n v="0"/>
    <n v="0"/>
    <n v="0"/>
    <n v="0"/>
    <n v="0"/>
    <s v="LIVRE"/>
    <n v="0"/>
    <n v="10"/>
    <n v="0"/>
    <n v="0"/>
    <n v="18.489999999999998"/>
    <n v="0"/>
    <n v="0"/>
    <n v="24.564572675892517"/>
    <n v="143.45615825576942"/>
    <m/>
    <n v="39028.811953874996"/>
    <n v="0"/>
    <n v="51851.05936693916"/>
    <n v="0"/>
    <x v="0"/>
  </r>
  <r>
    <s v="Regular"/>
    <x v="1"/>
    <x v="0"/>
    <x v="0"/>
    <x v="0"/>
    <x v="0"/>
    <x v="0"/>
    <x v="0"/>
    <x v="3"/>
    <n v="4250"/>
    <n v="2143.1871099999998"/>
    <n v="0"/>
    <n v="0"/>
    <n v="0"/>
    <n v="0"/>
    <n v="0"/>
    <s v="LIVRE"/>
    <n v="0"/>
    <n v="10"/>
    <n v="0"/>
    <n v="0"/>
    <n v="18.489999999999998"/>
    <n v="0"/>
    <n v="0"/>
    <n v="24.564572675892517"/>
    <n v="143.45615825576942"/>
    <m/>
    <n v="38954.970336099999"/>
    <n v="0"/>
    <n v="51752.958350912151"/>
    <n v="0"/>
    <x v="0"/>
  </r>
  <r>
    <s v="Regular"/>
    <x v="1"/>
    <x v="0"/>
    <x v="0"/>
    <x v="0"/>
    <x v="0"/>
    <x v="0"/>
    <x v="1"/>
    <x v="4"/>
    <n v="0"/>
    <n v="0"/>
    <n v="3512.64"/>
    <n v="3512.64"/>
    <n v="0"/>
    <n v="0"/>
    <n v="3"/>
    <s v="LIVRE"/>
    <n v="0"/>
    <n v="0"/>
    <n v="13"/>
    <n v="0"/>
    <n v="0"/>
    <n v="73.28"/>
    <n v="0"/>
    <m/>
    <n v="143.45615825576942"/>
    <m/>
    <n v="0"/>
    <n v="0"/>
    <n v="0"/>
    <n v="0"/>
    <x v="0"/>
  </r>
  <r>
    <s v="Regular"/>
    <x v="1"/>
    <x v="0"/>
    <x v="0"/>
    <x v="0"/>
    <x v="0"/>
    <x v="0"/>
    <x v="1"/>
    <x v="5"/>
    <n v="0"/>
    <n v="0"/>
    <n v="3376.123"/>
    <n v="3376.123"/>
    <n v="0"/>
    <n v="0"/>
    <n v="3"/>
    <s v="LIVRE"/>
    <n v="0"/>
    <n v="0"/>
    <n v="13"/>
    <n v="0"/>
    <n v="0"/>
    <n v="73.28"/>
    <n v="0"/>
    <m/>
    <n v="143.45615825576942"/>
    <m/>
    <n v="0"/>
    <n v="0"/>
    <n v="0"/>
    <n v="0"/>
    <x v="0"/>
  </r>
  <r>
    <s v="Regular"/>
    <x v="1"/>
    <x v="0"/>
    <x v="0"/>
    <x v="0"/>
    <x v="0"/>
    <x v="0"/>
    <x v="1"/>
    <x v="6"/>
    <n v="0"/>
    <n v="0"/>
    <n v="3601.8670000000002"/>
    <n v="3601.8670000000002"/>
    <n v="0"/>
    <n v="0"/>
    <n v="3"/>
    <s v="LIVRE"/>
    <n v="0"/>
    <n v="0"/>
    <n v="13"/>
    <n v="0"/>
    <n v="0"/>
    <n v="73.28"/>
    <n v="0"/>
    <m/>
    <n v="143.45615825576942"/>
    <m/>
    <n v="0"/>
    <n v="0"/>
    <n v="0"/>
    <n v="0"/>
    <x v="0"/>
  </r>
  <r>
    <s v="Regular"/>
    <x v="1"/>
    <x v="0"/>
    <x v="0"/>
    <x v="0"/>
    <x v="0"/>
    <x v="0"/>
    <x v="1"/>
    <x v="7"/>
    <n v="0"/>
    <n v="0"/>
    <n v="3387.4169999999999"/>
    <n v="3387.4169999999999"/>
    <n v="0"/>
    <n v="0"/>
    <n v="3"/>
    <s v="LIVRE"/>
    <n v="0"/>
    <n v="0"/>
    <n v="13"/>
    <n v="0"/>
    <n v="0"/>
    <n v="73.28"/>
    <n v="0"/>
    <m/>
    <n v="143.45615825576942"/>
    <m/>
    <n v="0"/>
    <n v="0"/>
    <n v="0"/>
    <n v="0"/>
    <x v="0"/>
  </r>
  <r>
    <s v="Regular"/>
    <x v="1"/>
    <x v="0"/>
    <x v="0"/>
    <x v="0"/>
    <x v="0"/>
    <x v="0"/>
    <x v="1"/>
    <x v="8"/>
    <n v="0"/>
    <n v="0"/>
    <n v="3401.2669999999998"/>
    <n v="3401.2669999999998"/>
    <n v="0"/>
    <n v="0"/>
    <n v="3"/>
    <s v="LIVRE"/>
    <n v="0"/>
    <n v="0"/>
    <n v="13"/>
    <n v="0"/>
    <n v="0"/>
    <n v="73.28"/>
    <n v="0"/>
    <m/>
    <n v="143.45615825576942"/>
    <m/>
    <n v="0"/>
    <n v="0"/>
    <n v="0"/>
    <n v="0"/>
    <x v="0"/>
  </r>
  <r>
    <s v="Regular"/>
    <x v="1"/>
    <x v="0"/>
    <x v="0"/>
    <x v="0"/>
    <x v="0"/>
    <x v="0"/>
    <x v="1"/>
    <x v="9"/>
    <n v="0"/>
    <n v="0"/>
    <n v="3342.7750000000001"/>
    <n v="3342.7750000000001"/>
    <n v="0"/>
    <n v="0"/>
    <n v="3"/>
    <s v="LIVRE"/>
    <n v="0"/>
    <n v="0"/>
    <n v="13"/>
    <n v="0"/>
    <n v="0"/>
    <n v="73.28"/>
    <n v="0"/>
    <m/>
    <n v="143.45615825576942"/>
    <m/>
    <n v="0"/>
    <n v="0"/>
    <n v="0"/>
    <n v="0"/>
    <x v="0"/>
  </r>
  <r>
    <s v="Regular"/>
    <x v="1"/>
    <x v="0"/>
    <x v="0"/>
    <x v="0"/>
    <x v="0"/>
    <x v="0"/>
    <x v="1"/>
    <x v="10"/>
    <n v="0"/>
    <n v="0"/>
    <n v="3270.0790000000002"/>
    <n v="3270.0790000000002"/>
    <n v="0"/>
    <n v="0"/>
    <n v="3"/>
    <s v="LIVRE"/>
    <n v="0"/>
    <n v="0"/>
    <n v="13"/>
    <n v="0"/>
    <n v="0"/>
    <n v="73.28"/>
    <n v="0"/>
    <m/>
    <n v="143.45615825576942"/>
    <m/>
    <n v="0"/>
    <n v="0"/>
    <n v="0"/>
    <n v="0"/>
    <x v="0"/>
  </r>
  <r>
    <s v="Regular"/>
    <x v="1"/>
    <x v="0"/>
    <x v="0"/>
    <x v="0"/>
    <x v="0"/>
    <x v="0"/>
    <x v="1"/>
    <x v="11"/>
    <n v="0"/>
    <n v="0"/>
    <n v="3338.7429999999999"/>
    <n v="3338.7429999999999"/>
    <n v="0"/>
    <n v="0"/>
    <n v="3"/>
    <s v="LIVRE"/>
    <n v="0"/>
    <n v="0"/>
    <n v="13"/>
    <n v="0"/>
    <n v="0"/>
    <n v="73.28"/>
    <n v="0"/>
    <m/>
    <n v="143.45615825576942"/>
    <m/>
    <n v="0"/>
    <n v="0"/>
    <n v="0"/>
    <n v="0"/>
    <x v="0"/>
  </r>
  <r>
    <s v="Regular"/>
    <x v="1"/>
    <x v="0"/>
    <x v="0"/>
    <x v="0"/>
    <x v="0"/>
    <x v="0"/>
    <x v="1"/>
    <x v="0"/>
    <n v="0"/>
    <n v="0"/>
    <n v="1875.12024"/>
    <n v="1875.12024"/>
    <n v="0"/>
    <n v="0"/>
    <n v="3"/>
    <s v="LIVRE"/>
    <n v="0"/>
    <n v="0"/>
    <n v="13"/>
    <n v="0"/>
    <n v="0"/>
    <n v="73.28"/>
    <n v="0"/>
    <m/>
    <n v="143.45615825576942"/>
    <m/>
    <n v="0"/>
    <n v="0"/>
    <n v="0"/>
    <n v="0"/>
    <x v="0"/>
  </r>
  <r>
    <s v="Regular"/>
    <x v="1"/>
    <x v="0"/>
    <x v="0"/>
    <x v="0"/>
    <x v="0"/>
    <x v="0"/>
    <x v="1"/>
    <x v="1"/>
    <n v="0"/>
    <n v="0"/>
    <n v="1588.5139200000001"/>
    <n v="1588.5139200000001"/>
    <n v="0"/>
    <n v="0"/>
    <n v="2"/>
    <s v="LIVRE"/>
    <n v="0"/>
    <n v="0"/>
    <n v="13"/>
    <n v="0"/>
    <n v="0"/>
    <n v="73.28"/>
    <n v="0"/>
    <m/>
    <n v="143.45615825576942"/>
    <m/>
    <n v="0"/>
    <n v="0"/>
    <n v="0"/>
    <n v="0"/>
    <x v="0"/>
  </r>
  <r>
    <s v="Regular"/>
    <x v="1"/>
    <x v="0"/>
    <x v="0"/>
    <x v="0"/>
    <x v="0"/>
    <x v="0"/>
    <x v="1"/>
    <x v="2"/>
    <n v="0"/>
    <n v="0"/>
    <n v="1451.1084000000001"/>
    <n v="1451.1084000000001"/>
    <n v="0"/>
    <n v="0"/>
    <n v="2"/>
    <s v="LIVRE"/>
    <n v="0"/>
    <n v="0"/>
    <n v="13"/>
    <n v="0"/>
    <n v="0"/>
    <n v="73.28"/>
    <n v="0"/>
    <m/>
    <n v="143.45615825576942"/>
    <m/>
    <n v="0"/>
    <n v="0"/>
    <n v="0"/>
    <n v="0"/>
    <x v="0"/>
  </r>
  <r>
    <s v="Regular"/>
    <x v="1"/>
    <x v="0"/>
    <x v="0"/>
    <x v="0"/>
    <x v="0"/>
    <x v="0"/>
    <x v="1"/>
    <x v="3"/>
    <n v="0"/>
    <n v="0"/>
    <n v="954.17448000000002"/>
    <n v="954.17448000000002"/>
    <n v="0"/>
    <n v="0"/>
    <n v="2"/>
    <s v="LIVRE"/>
    <n v="0"/>
    <n v="0"/>
    <n v="13"/>
    <n v="0"/>
    <n v="0"/>
    <n v="73.28"/>
    <n v="0"/>
    <m/>
    <n v="143.45615825576942"/>
    <m/>
    <n v="0"/>
    <n v="0"/>
    <n v="0"/>
    <n v="0"/>
    <x v="0"/>
  </r>
  <r>
    <s v="Regular"/>
    <x v="1"/>
    <x v="0"/>
    <x v="0"/>
    <x v="0"/>
    <x v="0"/>
    <x v="0"/>
    <x v="2"/>
    <x v="4"/>
    <n v="7150"/>
    <n v="3575.2025595"/>
    <n v="0"/>
    <n v="0"/>
    <n v="0"/>
    <n v="0"/>
    <n v="0"/>
    <s v="LIVRE"/>
    <n v="0"/>
    <n v="9"/>
    <n v="0"/>
    <n v="0"/>
    <n v="29.39"/>
    <n v="0"/>
    <n v="0"/>
    <n v="40.092705868004103"/>
    <n v="143.45615825576942"/>
    <m/>
    <n v="105063.296776295"/>
    <n v="0"/>
    <n v="143323.3023196604"/>
    <n v="0"/>
    <x v="0"/>
  </r>
  <r>
    <s v="Regular"/>
    <x v="1"/>
    <x v="0"/>
    <x v="0"/>
    <x v="0"/>
    <x v="0"/>
    <x v="0"/>
    <x v="2"/>
    <x v="5"/>
    <n v="7158"/>
    <n v="3583.0537901399998"/>
    <n v="0"/>
    <n v="0"/>
    <n v="0"/>
    <n v="0"/>
    <n v="0"/>
    <s v="LIVRE"/>
    <n v="0"/>
    <n v="9"/>
    <n v="0"/>
    <n v="0"/>
    <n v="29.39"/>
    <n v="0"/>
    <n v="0"/>
    <n v="40.092705868004103"/>
    <n v="143.45615825576942"/>
    <m/>
    <n v="105067.6691077854"/>
    <n v="0"/>
    <n v="143329.26688585305"/>
    <n v="0"/>
    <x v="0"/>
  </r>
  <r>
    <s v="Regular"/>
    <x v="1"/>
    <x v="0"/>
    <x v="0"/>
    <x v="0"/>
    <x v="0"/>
    <x v="0"/>
    <x v="2"/>
    <x v="6"/>
    <n v="7192"/>
    <n v="3599.06537424"/>
    <n v="0"/>
    <n v="0"/>
    <n v="0"/>
    <n v="0"/>
    <n v="0"/>
    <s v="LIVRE"/>
    <n v="0"/>
    <n v="9"/>
    <n v="0"/>
    <n v="0"/>
    <n v="29.39"/>
    <n v="0"/>
    <n v="0"/>
    <n v="40.092705868004103"/>
    <n v="143.45615825576942"/>
    <m/>
    <n v="105596.3486510864"/>
    <n v="0"/>
    <n v="144050.47115356309"/>
    <n v="0"/>
    <x v="0"/>
  </r>
  <r>
    <s v="Regular"/>
    <x v="1"/>
    <x v="0"/>
    <x v="0"/>
    <x v="0"/>
    <x v="0"/>
    <x v="0"/>
    <x v="2"/>
    <x v="7"/>
    <n v="7149"/>
    <n v="3577.8967758600002"/>
    <n v="0"/>
    <n v="0"/>
    <n v="0"/>
    <n v="0"/>
    <n v="0"/>
    <s v="LIVRE"/>
    <n v="0"/>
    <n v="9"/>
    <n v="0"/>
    <n v="0"/>
    <n v="29.39"/>
    <n v="0"/>
    <n v="0"/>
    <n v="40.092705868004103"/>
    <n v="143.45615825576942"/>
    <m/>
    <n v="104954.7237574746"/>
    <n v="0"/>
    <n v="143175.19118972615"/>
    <n v="0"/>
    <x v="0"/>
  </r>
  <r>
    <s v="Regular"/>
    <x v="1"/>
    <x v="0"/>
    <x v="0"/>
    <x v="0"/>
    <x v="0"/>
    <x v="0"/>
    <x v="2"/>
    <x v="8"/>
    <n v="7149"/>
    <n v="3583.7158473899999"/>
    <n v="0"/>
    <n v="0"/>
    <n v="0"/>
    <n v="0"/>
    <n v="0"/>
    <s v="LIVRE"/>
    <n v="0"/>
    <n v="9"/>
    <n v="0"/>
    <n v="0"/>
    <n v="29.39"/>
    <n v="0"/>
    <n v="0"/>
    <n v="40.092705868004103"/>
    <n v="143.45615825576942"/>
    <m/>
    <n v="104783.70124520791"/>
    <n v="0"/>
    <n v="142941.88886644898"/>
    <n v="0"/>
    <x v="0"/>
  </r>
  <r>
    <s v="Regular"/>
    <x v="1"/>
    <x v="0"/>
    <x v="0"/>
    <x v="0"/>
    <x v="0"/>
    <x v="0"/>
    <x v="2"/>
    <x v="9"/>
    <n v="7150"/>
    <n v="3595.9309815000001"/>
    <n v="0"/>
    <n v="0"/>
    <n v="0"/>
    <n v="0"/>
    <n v="0"/>
    <s v="LIVRE"/>
    <n v="0"/>
    <n v="9"/>
    <n v="0"/>
    <n v="0"/>
    <n v="29.39"/>
    <n v="0"/>
    <n v="0"/>
    <n v="40.092705868004103"/>
    <n v="143.45615825576942"/>
    <m/>
    <n v="104454.088453715"/>
    <n v="0"/>
    <n v="142492.24379330652"/>
    <n v="0"/>
    <x v="0"/>
  </r>
  <r>
    <s v="Regular"/>
    <x v="1"/>
    <x v="0"/>
    <x v="0"/>
    <x v="0"/>
    <x v="0"/>
    <x v="0"/>
    <x v="2"/>
    <x v="10"/>
    <n v="7149"/>
    <n v="3576.6673623299998"/>
    <n v="0"/>
    <n v="0"/>
    <n v="0"/>
    <n v="0"/>
    <n v="0"/>
    <s v="LIVRE"/>
    <n v="0"/>
    <n v="9"/>
    <n v="0"/>
    <n v="0"/>
    <n v="29.39"/>
    <n v="0"/>
    <n v="0"/>
    <n v="40.092705868004103"/>
    <n v="143.45615825576942"/>
    <m/>
    <n v="104990.85622112131"/>
    <n v="0"/>
    <n v="143224.4817047746"/>
    <n v="0"/>
    <x v="0"/>
  </r>
  <r>
    <s v="Regular"/>
    <x v="1"/>
    <x v="0"/>
    <x v="0"/>
    <x v="0"/>
    <x v="0"/>
    <x v="0"/>
    <x v="2"/>
    <x v="11"/>
    <n v="6550"/>
    <n v="3276.0449214999999"/>
    <n v="0"/>
    <n v="0"/>
    <n v="0"/>
    <n v="0"/>
    <n v="0"/>
    <s v="LIVRE"/>
    <n v="0"/>
    <n v="9"/>
    <n v="0"/>
    <n v="0"/>
    <n v="29.39"/>
    <n v="0"/>
    <n v="0"/>
    <n v="40.092705868004103"/>
    <n v="143.45615825576942"/>
    <m/>
    <n v="96221.53975711501"/>
    <n v="0"/>
    <n v="131261.71798735877"/>
    <n v="0"/>
    <x v="0"/>
  </r>
  <r>
    <s v="Regular"/>
    <x v="1"/>
    <x v="0"/>
    <x v="0"/>
    <x v="0"/>
    <x v="0"/>
    <x v="0"/>
    <x v="2"/>
    <x v="0"/>
    <n v="6550"/>
    <n v="3277.0388840000001"/>
    <n v="0"/>
    <n v="0"/>
    <n v="0"/>
    <n v="0"/>
    <n v="0"/>
    <s v="LIVRE"/>
    <n v="0"/>
    <n v="9"/>
    <n v="0"/>
    <n v="0"/>
    <n v="29.39"/>
    <n v="0"/>
    <n v="0"/>
    <n v="40.092705868004103"/>
    <n v="143.45615825576942"/>
    <m/>
    <n v="96192.327199239997"/>
    <n v="0"/>
    <n v="131221.86734120245"/>
    <n v="0"/>
    <x v="0"/>
  </r>
  <r>
    <s v="Regular"/>
    <x v="1"/>
    <x v="0"/>
    <x v="0"/>
    <x v="0"/>
    <x v="0"/>
    <x v="0"/>
    <x v="2"/>
    <x v="1"/>
    <n v="3750"/>
    <n v="1875.5648624999999"/>
    <n v="0"/>
    <n v="0"/>
    <n v="0"/>
    <n v="0"/>
    <n v="0"/>
    <s v="LIVRE"/>
    <n v="0"/>
    <n v="9"/>
    <n v="0"/>
    <n v="0"/>
    <n v="29.39"/>
    <n v="0"/>
    <n v="0"/>
    <n v="40.092705868004103"/>
    <n v="143.45615825576942"/>
    <m/>
    <n v="55089.648691125003"/>
    <n v="0"/>
    <n v="75151.176636439326"/>
    <n v="0"/>
    <x v="0"/>
  </r>
  <r>
    <s v="Regular"/>
    <x v="1"/>
    <x v="0"/>
    <x v="0"/>
    <x v="0"/>
    <x v="0"/>
    <x v="0"/>
    <x v="2"/>
    <x v="2"/>
    <n v="3750"/>
    <n v="1888.4784374999999"/>
    <n v="0"/>
    <n v="0"/>
    <n v="0"/>
    <n v="0"/>
    <n v="0"/>
    <s v="LIVRE"/>
    <n v="0"/>
    <n v="9"/>
    <n v="0"/>
    <n v="0"/>
    <n v="29.39"/>
    <n v="0"/>
    <n v="0"/>
    <n v="40.092705868004103"/>
    <n v="143.45615825576942"/>
    <m/>
    <n v="54710.118721875006"/>
    <n v="0"/>
    <n v="74633.436472259913"/>
    <n v="0"/>
    <x v="0"/>
  </r>
  <r>
    <s v="Regular"/>
    <x v="1"/>
    <x v="0"/>
    <x v="0"/>
    <x v="0"/>
    <x v="0"/>
    <x v="0"/>
    <x v="2"/>
    <x v="3"/>
    <n v="3750"/>
    <n v="1891.9794374999999"/>
    <n v="0"/>
    <n v="0"/>
    <n v="0"/>
    <n v="0"/>
    <n v="0"/>
    <s v="LIVRE"/>
    <n v="0"/>
    <n v="9"/>
    <n v="0"/>
    <n v="0"/>
    <n v="29.39"/>
    <n v="0"/>
    <n v="0"/>
    <n v="40.092705868004103"/>
    <n v="143.45615825576942"/>
    <m/>
    <n v="54607.224331875004"/>
    <n v="0"/>
    <n v="74493.071909016042"/>
    <n v="0"/>
    <x v="0"/>
  </r>
  <r>
    <s v="Regular"/>
    <x v="1"/>
    <x v="1"/>
    <x v="1"/>
    <x v="0"/>
    <x v="1"/>
    <x v="1"/>
    <x v="1"/>
    <x v="4"/>
    <n v="1500"/>
    <n v="750"/>
    <n v="0"/>
    <n v="0"/>
    <n v="0"/>
    <n v="0"/>
    <n v="0"/>
    <s v="GERAÇÃO"/>
    <n v="28195"/>
    <n v="17"/>
    <n v="0"/>
    <n v="0"/>
    <n v="6.96"/>
    <n v="0"/>
    <n v="0"/>
    <n v="8.6313330347690602"/>
    <m/>
    <m/>
    <n v="5220"/>
    <n v="0"/>
    <n v="6473.4997760767956"/>
    <n v="0"/>
    <x v="1"/>
  </r>
  <r>
    <s v="Regular"/>
    <x v="1"/>
    <x v="1"/>
    <x v="1"/>
    <x v="0"/>
    <x v="1"/>
    <x v="2"/>
    <x v="1"/>
    <x v="4"/>
    <n v="1250"/>
    <n v="625"/>
    <n v="0"/>
    <n v="0"/>
    <n v="0"/>
    <n v="0"/>
    <n v="0"/>
    <s v="GERAÇÃO"/>
    <n v="29377"/>
    <n v="17"/>
    <n v="0"/>
    <n v="0"/>
    <n v="6.96"/>
    <n v="0"/>
    <n v="0"/>
    <n v="8.6313330347690602"/>
    <m/>
    <m/>
    <n v="4350"/>
    <n v="0"/>
    <n v="5394.5831467306625"/>
    <n v="0"/>
    <x v="1"/>
  </r>
  <r>
    <s v="Regular"/>
    <x v="1"/>
    <x v="1"/>
    <x v="1"/>
    <x v="0"/>
    <x v="1"/>
    <x v="1"/>
    <x v="1"/>
    <x v="5"/>
    <n v="1500"/>
    <n v="750"/>
    <n v="0"/>
    <n v="0"/>
    <n v="0"/>
    <n v="0"/>
    <n v="0"/>
    <s v="GERAÇÃO"/>
    <n v="28195"/>
    <n v="17"/>
    <n v="0"/>
    <n v="0"/>
    <n v="6.96"/>
    <n v="0"/>
    <n v="0"/>
    <n v="8.6313330347690602"/>
    <m/>
    <m/>
    <n v="5220"/>
    <n v="0"/>
    <n v="6473.4997760767956"/>
    <n v="0"/>
    <x v="1"/>
  </r>
  <r>
    <s v="Regular"/>
    <x v="1"/>
    <x v="1"/>
    <x v="1"/>
    <x v="0"/>
    <x v="1"/>
    <x v="2"/>
    <x v="1"/>
    <x v="5"/>
    <n v="1250"/>
    <n v="625"/>
    <n v="0"/>
    <n v="0"/>
    <n v="0"/>
    <n v="0"/>
    <n v="0"/>
    <s v="GERAÇÃO"/>
    <n v="29377"/>
    <n v="17"/>
    <n v="0"/>
    <n v="0"/>
    <n v="6.96"/>
    <n v="0"/>
    <n v="0"/>
    <n v="8.6313330347690602"/>
    <m/>
    <m/>
    <n v="4350"/>
    <n v="0"/>
    <n v="5394.5831467306625"/>
    <n v="0"/>
    <x v="1"/>
  </r>
  <r>
    <s v="Regular"/>
    <x v="1"/>
    <x v="1"/>
    <x v="1"/>
    <x v="0"/>
    <x v="1"/>
    <x v="1"/>
    <x v="1"/>
    <x v="6"/>
    <n v="1500"/>
    <n v="750"/>
    <n v="0"/>
    <n v="0"/>
    <n v="0"/>
    <n v="0"/>
    <n v="0"/>
    <s v="GERAÇÃO"/>
    <n v="28195"/>
    <n v="17"/>
    <n v="0"/>
    <n v="0"/>
    <n v="6.96"/>
    <n v="0"/>
    <n v="0"/>
    <n v="8.6313330347690602"/>
    <m/>
    <m/>
    <n v="5220"/>
    <n v="0"/>
    <n v="6473.4997760767956"/>
    <n v="0"/>
    <x v="1"/>
  </r>
  <r>
    <s v="Regular"/>
    <x v="1"/>
    <x v="1"/>
    <x v="1"/>
    <x v="0"/>
    <x v="1"/>
    <x v="2"/>
    <x v="1"/>
    <x v="6"/>
    <n v="1250"/>
    <n v="625"/>
    <n v="0"/>
    <n v="0"/>
    <n v="0"/>
    <n v="0"/>
    <n v="0"/>
    <s v="GERAÇÃO"/>
    <n v="29377"/>
    <n v="17"/>
    <n v="0"/>
    <n v="0"/>
    <n v="6.96"/>
    <n v="0"/>
    <n v="0"/>
    <n v="8.6313330347690602"/>
    <m/>
    <m/>
    <n v="4350"/>
    <n v="0"/>
    <n v="5394.5831467306625"/>
    <n v="0"/>
    <x v="1"/>
  </r>
  <r>
    <s v="Regular"/>
    <x v="1"/>
    <x v="1"/>
    <x v="1"/>
    <x v="0"/>
    <x v="1"/>
    <x v="1"/>
    <x v="1"/>
    <x v="7"/>
    <n v="1500"/>
    <n v="750"/>
    <n v="0"/>
    <n v="0"/>
    <n v="0"/>
    <n v="0"/>
    <n v="0"/>
    <s v="GERAÇÃO"/>
    <n v="28195"/>
    <n v="17"/>
    <n v="0"/>
    <n v="0"/>
    <n v="6.96"/>
    <n v="0"/>
    <n v="0"/>
    <n v="8.6313330347690602"/>
    <m/>
    <m/>
    <n v="5220"/>
    <n v="0"/>
    <n v="6473.4997760767956"/>
    <n v="0"/>
    <x v="1"/>
  </r>
  <r>
    <s v="Regular"/>
    <x v="1"/>
    <x v="1"/>
    <x v="1"/>
    <x v="0"/>
    <x v="1"/>
    <x v="2"/>
    <x v="1"/>
    <x v="7"/>
    <n v="1250"/>
    <n v="625"/>
    <n v="0"/>
    <n v="0"/>
    <n v="0"/>
    <n v="0"/>
    <n v="0"/>
    <s v="GERAÇÃO"/>
    <n v="29377"/>
    <n v="17"/>
    <n v="0"/>
    <n v="0"/>
    <n v="6.96"/>
    <n v="0"/>
    <n v="0"/>
    <n v="8.6313330347690602"/>
    <m/>
    <m/>
    <n v="4350"/>
    <n v="0"/>
    <n v="5394.5831467306625"/>
    <n v="0"/>
    <x v="1"/>
  </r>
  <r>
    <s v="Regular"/>
    <x v="1"/>
    <x v="1"/>
    <x v="1"/>
    <x v="0"/>
    <x v="1"/>
    <x v="1"/>
    <x v="1"/>
    <x v="8"/>
    <n v="1500"/>
    <n v="750"/>
    <n v="0"/>
    <n v="0"/>
    <n v="0"/>
    <n v="0"/>
    <n v="0"/>
    <s v="GERAÇÃO"/>
    <n v="28195"/>
    <n v="17"/>
    <n v="0"/>
    <n v="0"/>
    <n v="6.96"/>
    <n v="0"/>
    <n v="0"/>
    <n v="8.6313330347690602"/>
    <m/>
    <m/>
    <n v="5220"/>
    <n v="0"/>
    <n v="6473.4997760767956"/>
    <n v="0"/>
    <x v="1"/>
  </r>
  <r>
    <s v="Regular"/>
    <x v="1"/>
    <x v="1"/>
    <x v="1"/>
    <x v="0"/>
    <x v="1"/>
    <x v="2"/>
    <x v="1"/>
    <x v="8"/>
    <n v="1250"/>
    <n v="625"/>
    <n v="0"/>
    <n v="0"/>
    <n v="0"/>
    <n v="0"/>
    <n v="0"/>
    <s v="GERAÇÃO"/>
    <n v="29377"/>
    <n v="17"/>
    <n v="0"/>
    <n v="0"/>
    <n v="6.96"/>
    <n v="0"/>
    <n v="0"/>
    <n v="8.6313330347690602"/>
    <m/>
    <m/>
    <n v="4350"/>
    <n v="0"/>
    <n v="5394.5831467306625"/>
    <n v="0"/>
    <x v="1"/>
  </r>
  <r>
    <s v="Regular"/>
    <x v="1"/>
    <x v="1"/>
    <x v="1"/>
    <x v="0"/>
    <x v="1"/>
    <x v="1"/>
    <x v="1"/>
    <x v="9"/>
    <n v="1500"/>
    <n v="750"/>
    <n v="0"/>
    <n v="0"/>
    <n v="0"/>
    <n v="0"/>
    <n v="0"/>
    <s v="GERAÇÃO"/>
    <n v="28195"/>
    <n v="17"/>
    <n v="0"/>
    <n v="0"/>
    <n v="6.96"/>
    <n v="0"/>
    <n v="0"/>
    <n v="8.6313330347690602"/>
    <m/>
    <m/>
    <n v="5220"/>
    <n v="0"/>
    <n v="6473.4997760767956"/>
    <n v="0"/>
    <x v="1"/>
  </r>
  <r>
    <s v="Regular"/>
    <x v="1"/>
    <x v="1"/>
    <x v="1"/>
    <x v="0"/>
    <x v="1"/>
    <x v="2"/>
    <x v="1"/>
    <x v="9"/>
    <n v="1250"/>
    <n v="625"/>
    <n v="0"/>
    <n v="0"/>
    <n v="0"/>
    <n v="0"/>
    <n v="0"/>
    <s v="GERAÇÃO"/>
    <n v="29377"/>
    <n v="17"/>
    <n v="0"/>
    <n v="0"/>
    <n v="6.96"/>
    <n v="0"/>
    <n v="0"/>
    <n v="8.6313330347690602"/>
    <m/>
    <m/>
    <n v="4350"/>
    <n v="0"/>
    <n v="5394.5831467306625"/>
    <n v="0"/>
    <x v="1"/>
  </r>
  <r>
    <s v="Regular"/>
    <x v="1"/>
    <x v="1"/>
    <x v="1"/>
    <x v="0"/>
    <x v="1"/>
    <x v="1"/>
    <x v="1"/>
    <x v="10"/>
    <n v="1500"/>
    <n v="750"/>
    <n v="0"/>
    <n v="0"/>
    <n v="0"/>
    <n v="0"/>
    <n v="0"/>
    <s v="GERAÇÃO"/>
    <n v="28195"/>
    <n v="17"/>
    <n v="0"/>
    <n v="0"/>
    <n v="6.96"/>
    <n v="0"/>
    <n v="0"/>
    <n v="8.6313330347690602"/>
    <m/>
    <m/>
    <n v="5220"/>
    <n v="0"/>
    <n v="6473.4997760767956"/>
    <n v="0"/>
    <x v="1"/>
  </r>
  <r>
    <s v="Regular"/>
    <x v="1"/>
    <x v="1"/>
    <x v="1"/>
    <x v="0"/>
    <x v="1"/>
    <x v="2"/>
    <x v="1"/>
    <x v="10"/>
    <n v="1250"/>
    <n v="625"/>
    <n v="0"/>
    <n v="0"/>
    <n v="0"/>
    <n v="0"/>
    <n v="0"/>
    <s v="GERAÇÃO"/>
    <n v="29377"/>
    <n v="17"/>
    <n v="0"/>
    <n v="0"/>
    <n v="6.96"/>
    <n v="0"/>
    <n v="0"/>
    <n v="8.6313330347690602"/>
    <m/>
    <m/>
    <n v="4350"/>
    <n v="0"/>
    <n v="5394.5831467306625"/>
    <n v="0"/>
    <x v="1"/>
  </r>
  <r>
    <s v="Regular"/>
    <x v="1"/>
    <x v="1"/>
    <x v="1"/>
    <x v="0"/>
    <x v="1"/>
    <x v="1"/>
    <x v="1"/>
    <x v="11"/>
    <n v="1500"/>
    <n v="750"/>
    <n v="0"/>
    <n v="0"/>
    <n v="0"/>
    <n v="0"/>
    <n v="0"/>
    <s v="GERAÇÃO"/>
    <n v="28195"/>
    <n v="17"/>
    <n v="0"/>
    <n v="0"/>
    <n v="6.96"/>
    <n v="0"/>
    <n v="0"/>
    <n v="8.6313330347690602"/>
    <m/>
    <m/>
    <n v="5220"/>
    <n v="0"/>
    <n v="6473.4997760767956"/>
    <n v="0"/>
    <x v="1"/>
  </r>
  <r>
    <s v="Regular"/>
    <x v="1"/>
    <x v="1"/>
    <x v="1"/>
    <x v="0"/>
    <x v="1"/>
    <x v="2"/>
    <x v="1"/>
    <x v="11"/>
    <n v="1250"/>
    <n v="625"/>
    <n v="0"/>
    <n v="0"/>
    <n v="0"/>
    <n v="0"/>
    <n v="0"/>
    <s v="GERAÇÃO"/>
    <n v="29377"/>
    <n v="17"/>
    <n v="0"/>
    <n v="0"/>
    <n v="6.96"/>
    <n v="0"/>
    <n v="0"/>
    <n v="8.6313330347690602"/>
    <m/>
    <m/>
    <n v="4350"/>
    <n v="0"/>
    <n v="5394.5831467306625"/>
    <n v="0"/>
    <x v="1"/>
  </r>
  <r>
    <s v="Regular"/>
    <x v="1"/>
    <x v="1"/>
    <x v="1"/>
    <x v="0"/>
    <x v="1"/>
    <x v="1"/>
    <x v="1"/>
    <x v="0"/>
    <n v="1500"/>
    <n v="750"/>
    <n v="0"/>
    <n v="0"/>
    <n v="0"/>
    <n v="0"/>
    <n v="0"/>
    <s v="GERAÇÃO"/>
    <n v="28195"/>
    <n v="17"/>
    <n v="0"/>
    <n v="0"/>
    <n v="6.96"/>
    <n v="0"/>
    <n v="0"/>
    <n v="8.6313330347690602"/>
    <m/>
    <m/>
    <n v="5220"/>
    <n v="0"/>
    <n v="6473.4997760767956"/>
    <n v="0"/>
    <x v="1"/>
  </r>
  <r>
    <s v="Regular"/>
    <x v="1"/>
    <x v="1"/>
    <x v="1"/>
    <x v="0"/>
    <x v="1"/>
    <x v="2"/>
    <x v="1"/>
    <x v="0"/>
    <n v="1250"/>
    <n v="625"/>
    <n v="0"/>
    <n v="0"/>
    <n v="0"/>
    <n v="0"/>
    <n v="0"/>
    <s v="GERAÇÃO"/>
    <n v="29377"/>
    <n v="17"/>
    <n v="0"/>
    <n v="0"/>
    <n v="6.96"/>
    <n v="0"/>
    <n v="0"/>
    <n v="8.6313330347690602"/>
    <m/>
    <m/>
    <n v="4350"/>
    <n v="0"/>
    <n v="5394.5831467306625"/>
    <n v="0"/>
    <x v="1"/>
  </r>
  <r>
    <s v="Regular"/>
    <x v="1"/>
    <x v="1"/>
    <x v="1"/>
    <x v="0"/>
    <x v="1"/>
    <x v="1"/>
    <x v="1"/>
    <x v="1"/>
    <n v="1500"/>
    <n v="750"/>
    <n v="0"/>
    <n v="0"/>
    <n v="0"/>
    <n v="0"/>
    <n v="0"/>
    <s v="GERAÇÃO"/>
    <n v="28195"/>
    <n v="17"/>
    <n v="0"/>
    <n v="0"/>
    <n v="6.96"/>
    <n v="0"/>
    <n v="0"/>
    <n v="8.6313330347690602"/>
    <m/>
    <m/>
    <n v="5220"/>
    <n v="0"/>
    <n v="6473.4997760767956"/>
    <n v="0"/>
    <x v="1"/>
  </r>
  <r>
    <s v="Regular"/>
    <x v="1"/>
    <x v="1"/>
    <x v="1"/>
    <x v="0"/>
    <x v="1"/>
    <x v="2"/>
    <x v="1"/>
    <x v="1"/>
    <n v="1250"/>
    <n v="625"/>
    <n v="0"/>
    <n v="0"/>
    <n v="0"/>
    <n v="0"/>
    <n v="0"/>
    <s v="GERAÇÃO"/>
    <n v="29377"/>
    <n v="17"/>
    <n v="0"/>
    <n v="0"/>
    <n v="6.96"/>
    <n v="0"/>
    <n v="0"/>
    <n v="8.6313330347690602"/>
    <m/>
    <m/>
    <n v="4350"/>
    <n v="0"/>
    <n v="5394.5831467306625"/>
    <n v="0"/>
    <x v="1"/>
  </r>
  <r>
    <s v="Regular"/>
    <x v="1"/>
    <x v="1"/>
    <x v="1"/>
    <x v="0"/>
    <x v="1"/>
    <x v="1"/>
    <x v="1"/>
    <x v="2"/>
    <n v="1500"/>
    <n v="750"/>
    <n v="0"/>
    <n v="0"/>
    <n v="0"/>
    <n v="0"/>
    <n v="0"/>
    <s v="GERAÇÃO"/>
    <n v="28195"/>
    <n v="17"/>
    <n v="0"/>
    <n v="0"/>
    <n v="6.96"/>
    <n v="0"/>
    <n v="0"/>
    <n v="8.6313330347690602"/>
    <m/>
    <m/>
    <n v="5220"/>
    <n v="0"/>
    <n v="6473.4997760767956"/>
    <n v="0"/>
    <x v="1"/>
  </r>
  <r>
    <s v="Regular"/>
    <x v="1"/>
    <x v="1"/>
    <x v="1"/>
    <x v="0"/>
    <x v="1"/>
    <x v="2"/>
    <x v="1"/>
    <x v="2"/>
    <n v="1250"/>
    <n v="625"/>
    <n v="0"/>
    <n v="0"/>
    <n v="0"/>
    <n v="0"/>
    <n v="0"/>
    <s v="GERAÇÃO"/>
    <n v="29377"/>
    <n v="17"/>
    <n v="0"/>
    <n v="0"/>
    <n v="6.96"/>
    <n v="0"/>
    <n v="0"/>
    <n v="8.6313330347690602"/>
    <m/>
    <m/>
    <n v="4350"/>
    <n v="0"/>
    <n v="5394.5831467306625"/>
    <n v="0"/>
    <x v="1"/>
  </r>
  <r>
    <s v="Regular"/>
    <x v="1"/>
    <x v="1"/>
    <x v="1"/>
    <x v="0"/>
    <x v="1"/>
    <x v="1"/>
    <x v="1"/>
    <x v="3"/>
    <n v="1500"/>
    <n v="750"/>
    <n v="0"/>
    <n v="0"/>
    <n v="0"/>
    <n v="0"/>
    <n v="0"/>
    <s v="GERAÇÃO"/>
    <n v="28195"/>
    <n v="17"/>
    <n v="0"/>
    <n v="0"/>
    <n v="6.96"/>
    <n v="0"/>
    <n v="0"/>
    <n v="8.6313330347690602"/>
    <m/>
    <m/>
    <n v="5220"/>
    <n v="0"/>
    <n v="6473.4997760767956"/>
    <n v="0"/>
    <x v="1"/>
  </r>
  <r>
    <s v="Regular"/>
    <x v="1"/>
    <x v="1"/>
    <x v="1"/>
    <x v="0"/>
    <x v="1"/>
    <x v="2"/>
    <x v="1"/>
    <x v="3"/>
    <n v="1250"/>
    <n v="625"/>
    <n v="0"/>
    <n v="0"/>
    <n v="0"/>
    <n v="0"/>
    <n v="0"/>
    <s v="GERAÇÃO"/>
    <n v="29377"/>
    <n v="17"/>
    <n v="0"/>
    <n v="0"/>
    <n v="6.96"/>
    <n v="0"/>
    <n v="0"/>
    <n v="8.6313330347690602"/>
    <m/>
    <m/>
    <n v="4350"/>
    <n v="0"/>
    <n v="5394.5831467306625"/>
    <n v="0"/>
    <x v="1"/>
  </r>
  <r>
    <s v="Regular"/>
    <x v="1"/>
    <x v="2"/>
    <x v="0"/>
    <x v="0"/>
    <x v="0"/>
    <x v="0"/>
    <x v="0"/>
    <x v="4"/>
    <n v="0"/>
    <n v="0"/>
    <n v="2970.8047099999999"/>
    <n v="2970.8047099999999"/>
    <n v="0"/>
    <n v="0"/>
    <n v="0"/>
    <s v="LIVRE"/>
    <n v="0"/>
    <n v="0"/>
    <n v="22"/>
    <n v="0"/>
    <n v="0"/>
    <n v="73.28"/>
    <n v="0"/>
    <m/>
    <n v="143.45615825576942"/>
    <m/>
    <n v="0"/>
    <n v="0"/>
    <n v="0"/>
    <n v="0"/>
    <x v="0"/>
  </r>
  <r>
    <s v="Regular"/>
    <x v="1"/>
    <x v="2"/>
    <x v="0"/>
    <x v="0"/>
    <x v="0"/>
    <x v="0"/>
    <x v="0"/>
    <x v="5"/>
    <n v="0"/>
    <n v="0"/>
    <n v="2776.491"/>
    <n v="2776.491"/>
    <n v="0"/>
    <n v="0"/>
    <n v="0"/>
    <s v="LIVRE"/>
    <n v="0"/>
    <n v="0"/>
    <n v="22"/>
    <n v="0"/>
    <n v="0"/>
    <n v="73.28"/>
    <n v="0"/>
    <m/>
    <n v="143.45615825576942"/>
    <m/>
    <n v="0"/>
    <n v="0"/>
    <n v="0"/>
    <n v="0"/>
    <x v="0"/>
  </r>
  <r>
    <s v="Regular"/>
    <x v="1"/>
    <x v="2"/>
    <x v="0"/>
    <x v="0"/>
    <x v="0"/>
    <x v="0"/>
    <x v="0"/>
    <x v="6"/>
    <n v="0"/>
    <n v="0"/>
    <n v="3080.5311900000002"/>
    <n v="3080.5311900000002"/>
    <n v="0"/>
    <n v="0"/>
    <n v="0"/>
    <s v="LIVRE"/>
    <n v="0"/>
    <n v="0"/>
    <n v="22"/>
    <n v="0"/>
    <n v="0"/>
    <n v="73.28"/>
    <n v="0"/>
    <m/>
    <n v="143.45615825576942"/>
    <m/>
    <n v="0"/>
    <n v="0"/>
    <n v="0"/>
    <n v="0"/>
    <x v="0"/>
  </r>
  <r>
    <s v="Regular"/>
    <x v="1"/>
    <x v="2"/>
    <x v="0"/>
    <x v="0"/>
    <x v="0"/>
    <x v="0"/>
    <x v="0"/>
    <x v="7"/>
    <n v="0"/>
    <n v="0"/>
    <n v="3219.0039999999999"/>
    <n v="3219.0039999999999"/>
    <n v="0"/>
    <n v="0"/>
    <n v="0"/>
    <s v="LIVRE"/>
    <n v="0"/>
    <n v="0"/>
    <n v="22"/>
    <n v="0"/>
    <n v="0"/>
    <n v="73.28"/>
    <n v="0"/>
    <m/>
    <n v="143.45615825576942"/>
    <m/>
    <n v="0"/>
    <n v="0"/>
    <n v="0"/>
    <n v="0"/>
    <x v="0"/>
  </r>
  <r>
    <s v="Regular"/>
    <x v="1"/>
    <x v="2"/>
    <x v="0"/>
    <x v="0"/>
    <x v="0"/>
    <x v="0"/>
    <x v="0"/>
    <x v="8"/>
    <n v="0"/>
    <n v="0"/>
    <n v="2476.0529999999999"/>
    <n v="2476.0529999999999"/>
    <n v="0"/>
    <n v="0"/>
    <n v="0"/>
    <s v="LIVRE"/>
    <n v="0"/>
    <n v="0"/>
    <n v="22"/>
    <n v="0"/>
    <n v="0"/>
    <n v="73.28"/>
    <n v="0"/>
    <m/>
    <n v="143.45615825576942"/>
    <m/>
    <n v="0"/>
    <n v="0"/>
    <n v="0"/>
    <n v="0"/>
    <x v="0"/>
  </r>
  <r>
    <s v="Regular"/>
    <x v="1"/>
    <x v="2"/>
    <x v="0"/>
    <x v="0"/>
    <x v="0"/>
    <x v="0"/>
    <x v="0"/>
    <x v="9"/>
    <n v="0"/>
    <n v="0"/>
    <n v="2614.6350000000002"/>
    <n v="2614.6350000000002"/>
    <n v="0"/>
    <n v="0"/>
    <n v="0"/>
    <s v="LIVRE"/>
    <n v="0"/>
    <n v="0"/>
    <n v="22"/>
    <n v="0"/>
    <n v="0"/>
    <n v="73.28"/>
    <n v="0"/>
    <m/>
    <n v="143.45615825576942"/>
    <m/>
    <n v="0"/>
    <n v="0"/>
    <n v="0"/>
    <n v="0"/>
    <x v="0"/>
  </r>
  <r>
    <s v="Regular"/>
    <x v="1"/>
    <x v="2"/>
    <x v="0"/>
    <x v="0"/>
    <x v="0"/>
    <x v="0"/>
    <x v="0"/>
    <x v="10"/>
    <n v="0"/>
    <n v="0"/>
    <n v="2692.8690000000001"/>
    <n v="2692.8690000000001"/>
    <n v="0"/>
    <n v="0"/>
    <n v="0"/>
    <s v="LIVRE"/>
    <n v="0"/>
    <n v="0"/>
    <n v="22"/>
    <n v="0"/>
    <n v="0"/>
    <n v="73.28"/>
    <n v="0"/>
    <m/>
    <n v="143.45615825576942"/>
    <m/>
    <n v="0"/>
    <n v="0"/>
    <n v="0"/>
    <n v="0"/>
    <x v="0"/>
  </r>
  <r>
    <s v="Regular"/>
    <x v="1"/>
    <x v="2"/>
    <x v="0"/>
    <x v="0"/>
    <x v="0"/>
    <x v="0"/>
    <x v="0"/>
    <x v="11"/>
    <n v="0"/>
    <n v="0"/>
    <n v="3033.424"/>
    <n v="3033.424"/>
    <n v="0"/>
    <n v="0"/>
    <n v="0"/>
    <s v="LIVRE"/>
    <n v="0"/>
    <n v="0"/>
    <n v="22"/>
    <n v="0"/>
    <n v="0"/>
    <n v="73.28"/>
    <n v="0"/>
    <m/>
    <n v="143.45615825576942"/>
    <m/>
    <n v="0"/>
    <n v="0"/>
    <n v="0"/>
    <n v="0"/>
    <x v="0"/>
  </r>
  <r>
    <s v="Regular"/>
    <x v="1"/>
    <x v="2"/>
    <x v="0"/>
    <x v="0"/>
    <x v="0"/>
    <x v="0"/>
    <x v="0"/>
    <x v="0"/>
    <n v="0"/>
    <n v="0"/>
    <n v="2854.1410000000001"/>
    <n v="2854.1410000000001"/>
    <n v="0"/>
    <n v="0"/>
    <n v="0"/>
    <s v="LIVRE"/>
    <n v="0"/>
    <n v="0"/>
    <n v="22"/>
    <n v="0"/>
    <n v="0"/>
    <n v="73.28"/>
    <n v="0"/>
    <m/>
    <n v="143.45615825576942"/>
    <m/>
    <n v="0"/>
    <n v="0"/>
    <n v="0"/>
    <n v="0"/>
    <x v="0"/>
  </r>
  <r>
    <s v="Regular"/>
    <x v="1"/>
    <x v="2"/>
    <x v="0"/>
    <x v="0"/>
    <x v="0"/>
    <x v="0"/>
    <x v="0"/>
    <x v="1"/>
    <n v="0"/>
    <n v="0"/>
    <n v="2914.23"/>
    <n v="2914.23"/>
    <n v="0"/>
    <n v="0"/>
    <n v="0"/>
    <s v="LIVRE"/>
    <n v="0"/>
    <n v="0"/>
    <n v="22"/>
    <n v="0"/>
    <n v="0"/>
    <n v="73.28"/>
    <n v="0"/>
    <m/>
    <n v="143.45615825576942"/>
    <m/>
    <n v="0"/>
    <n v="0"/>
    <n v="0"/>
    <n v="0"/>
    <x v="0"/>
  </r>
  <r>
    <s v="Regular"/>
    <x v="1"/>
    <x v="2"/>
    <x v="0"/>
    <x v="0"/>
    <x v="0"/>
    <x v="0"/>
    <x v="0"/>
    <x v="2"/>
    <n v="0"/>
    <n v="0"/>
    <n v="2965.4425299999998"/>
    <n v="2965.4425299999998"/>
    <n v="0"/>
    <n v="0"/>
    <n v="0"/>
    <s v="LIVRE"/>
    <n v="0"/>
    <n v="0"/>
    <n v="22"/>
    <n v="0"/>
    <n v="0"/>
    <n v="73.28"/>
    <n v="0"/>
    <m/>
    <n v="143.45615825576942"/>
    <m/>
    <n v="0"/>
    <n v="0"/>
    <n v="0"/>
    <n v="0"/>
    <x v="0"/>
  </r>
  <r>
    <s v="Regular"/>
    <x v="1"/>
    <x v="2"/>
    <x v="0"/>
    <x v="0"/>
    <x v="0"/>
    <x v="0"/>
    <x v="0"/>
    <x v="3"/>
    <n v="0"/>
    <n v="0"/>
    <n v="3008.4816900000001"/>
    <n v="3008.4816900000001"/>
    <n v="0"/>
    <n v="0"/>
    <n v="0"/>
    <s v="LIVRE"/>
    <n v="0"/>
    <n v="0"/>
    <n v="22"/>
    <n v="0"/>
    <n v="0"/>
    <n v="73.28"/>
    <n v="0"/>
    <m/>
    <n v="143.45615825576942"/>
    <m/>
    <n v="0"/>
    <n v="0"/>
    <n v="0"/>
    <n v="0"/>
    <x v="0"/>
  </r>
  <r>
    <s v="Regular"/>
    <x v="1"/>
    <x v="2"/>
    <x v="0"/>
    <x v="0"/>
    <x v="0"/>
    <x v="0"/>
    <x v="1"/>
    <x v="4"/>
    <n v="10860.54"/>
    <n v="5493.7808088390002"/>
    <n v="0"/>
    <n v="0"/>
    <n v="0"/>
    <n v="0"/>
    <n v="12"/>
    <s v="LIVRE"/>
    <n v="0"/>
    <n v="18"/>
    <n v="0"/>
    <n v="0"/>
    <n v="18.489999999999998"/>
    <n v="0"/>
    <n v="0"/>
    <n v="24.564572675892517"/>
    <m/>
    <m/>
    <n v="99231.377444566897"/>
    <n v="0"/>
    <n v="131832.14618528855"/>
    <n v="0"/>
    <x v="0"/>
  </r>
  <r>
    <s v="Regular"/>
    <x v="1"/>
    <x v="2"/>
    <x v="0"/>
    <x v="0"/>
    <x v="0"/>
    <x v="0"/>
    <x v="1"/>
    <x v="5"/>
    <n v="10843"/>
    <n v="5470.3615940400005"/>
    <n v="0"/>
    <n v="0"/>
    <n v="0"/>
    <n v="0"/>
    <n v="12"/>
    <s v="LIVRE"/>
    <n v="0"/>
    <n v="18"/>
    <n v="0"/>
    <n v="0"/>
    <n v="18.489999999999998"/>
    <n v="0"/>
    <n v="0"/>
    <n v="24.564572675892517"/>
    <m/>
    <m/>
    <n v="99340.084126200381"/>
    <n v="0"/>
    <n v="131976.56658449574"/>
    <n v="0"/>
    <x v="0"/>
  </r>
  <r>
    <s v="Regular"/>
    <x v="1"/>
    <x v="2"/>
    <x v="0"/>
    <x v="0"/>
    <x v="0"/>
    <x v="0"/>
    <x v="1"/>
    <x v="6"/>
    <n v="11240.22"/>
    <n v="5671.8020857470001"/>
    <n v="0"/>
    <n v="0"/>
    <n v="0"/>
    <n v="0"/>
    <n v="12"/>
    <s v="LIVRE"/>
    <n v="0"/>
    <n v="18"/>
    <n v="0"/>
    <n v="0"/>
    <n v="18.489999999999998"/>
    <n v="0"/>
    <n v="0"/>
    <n v="24.564572675892517"/>
    <m/>
    <m/>
    <n v="102960.04723453795"/>
    <n v="0"/>
    <n v="136785.80654440963"/>
    <n v="0"/>
    <x v="0"/>
  </r>
  <r>
    <s v="Regular"/>
    <x v="1"/>
    <x v="2"/>
    <x v="0"/>
    <x v="0"/>
    <x v="0"/>
    <x v="0"/>
    <x v="1"/>
    <x v="7"/>
    <n v="11461"/>
    <n v="5831.1337689399998"/>
    <n v="0"/>
    <n v="0"/>
    <n v="0"/>
    <n v="0"/>
    <n v="12"/>
    <s v="LIVRE"/>
    <n v="0"/>
    <n v="18"/>
    <n v="0"/>
    <n v="0"/>
    <n v="18.489999999999998"/>
    <n v="0"/>
    <n v="0"/>
    <n v="24.564572675892517"/>
    <m/>
    <m/>
    <n v="104096.22661229939"/>
    <n v="0"/>
    <n v="138295.25818842647"/>
    <n v="0"/>
    <x v="0"/>
  </r>
  <r>
    <s v="Regular"/>
    <x v="1"/>
    <x v="2"/>
    <x v="0"/>
    <x v="0"/>
    <x v="0"/>
    <x v="0"/>
    <x v="1"/>
    <x v="8"/>
    <n v="11352"/>
    <n v="5753.7146567999998"/>
    <n v="0"/>
    <n v="0"/>
    <n v="0"/>
    <n v="0"/>
    <n v="12"/>
    <s v="LIVRE"/>
    <n v="0"/>
    <n v="18"/>
    <n v="0"/>
    <n v="0"/>
    <n v="18.489999999999998"/>
    <n v="0"/>
    <n v="0"/>
    <n v="24.564572675892517"/>
    <m/>
    <m/>
    <n v="103512.295995768"/>
    <n v="0"/>
    <n v="137519.48717342029"/>
    <n v="0"/>
    <x v="0"/>
  </r>
  <r>
    <s v="Regular"/>
    <x v="1"/>
    <x v="2"/>
    <x v="0"/>
    <x v="0"/>
    <x v="0"/>
    <x v="0"/>
    <x v="1"/>
    <x v="9"/>
    <n v="11339"/>
    <n v="5732.9009979900002"/>
    <n v="0"/>
    <n v="0"/>
    <n v="0"/>
    <n v="0"/>
    <n v="12"/>
    <s v="LIVRE"/>
    <n v="0"/>
    <n v="18"/>
    <n v="0"/>
    <n v="0"/>
    <n v="18.489999999999998"/>
    <n v="0"/>
    <n v="0"/>
    <n v="24.564572675892517"/>
    <m/>
    <m/>
    <n v="103656.7705471649"/>
    <n v="0"/>
    <n v="137711.42636312314"/>
    <n v="0"/>
    <x v="0"/>
  </r>
  <r>
    <s v="Regular"/>
    <x v="1"/>
    <x v="2"/>
    <x v="0"/>
    <x v="0"/>
    <x v="0"/>
    <x v="0"/>
    <x v="1"/>
    <x v="10"/>
    <n v="11178"/>
    <n v="5654.33194482"/>
    <n v="0"/>
    <n v="0"/>
    <n v="0"/>
    <n v="0"/>
    <n v="12"/>
    <s v="LIVRE"/>
    <n v="0"/>
    <n v="18"/>
    <n v="0"/>
    <n v="0"/>
    <n v="18.489999999999998"/>
    <n v="0"/>
    <n v="0"/>
    <n v="24.564572675892517"/>
    <m/>
    <m/>
    <n v="102132.62234027819"/>
    <n v="0"/>
    <n v="135686.54537897499"/>
    <n v="0"/>
    <x v="0"/>
  </r>
  <r>
    <s v="Regular"/>
    <x v="1"/>
    <x v="2"/>
    <x v="0"/>
    <x v="0"/>
    <x v="0"/>
    <x v="0"/>
    <x v="1"/>
    <x v="11"/>
    <n v="11143"/>
    <n v="5667.1542977500003"/>
    <n v="0"/>
    <n v="0"/>
    <n v="0"/>
    <n v="0"/>
    <n v="12"/>
    <s v="LIVRE"/>
    <n v="0"/>
    <n v="18"/>
    <n v="0"/>
    <n v="0"/>
    <n v="18.489999999999998"/>
    <n v="0"/>
    <n v="0"/>
    <n v="24.564572675892517"/>
    <m/>
    <m/>
    <n v="101248.38703460249"/>
    <n v="0"/>
    <n v="134511.80971489381"/>
    <n v="0"/>
    <x v="0"/>
  </r>
  <r>
    <s v="Regular"/>
    <x v="1"/>
    <x v="2"/>
    <x v="0"/>
    <x v="0"/>
    <x v="0"/>
    <x v="0"/>
    <x v="1"/>
    <x v="0"/>
    <n v="11145"/>
    <n v="5626.5137967000001"/>
    <n v="0"/>
    <n v="0"/>
    <n v="0"/>
    <n v="0"/>
    <n v="12"/>
    <s v="LIVRE"/>
    <n v="0"/>
    <n v="18"/>
    <n v="0"/>
    <n v="0"/>
    <n v="18.489999999999998"/>
    <n v="0"/>
    <n v="0"/>
    <n v="24.564572675892517"/>
    <m/>
    <m/>
    <n v="102036.809899017"/>
    <n v="0"/>
    <n v="135559.25540187303"/>
    <n v="0"/>
    <x v="0"/>
  </r>
  <r>
    <s v="Regular"/>
    <x v="1"/>
    <x v="2"/>
    <x v="0"/>
    <x v="0"/>
    <x v="0"/>
    <x v="0"/>
    <x v="1"/>
    <x v="1"/>
    <n v="11192"/>
    <n v="5663.6857464799996"/>
    <n v="0"/>
    <n v="0"/>
    <n v="0"/>
    <n v="0"/>
    <n v="12"/>
    <s v="LIVRE"/>
    <n v="0"/>
    <n v="18"/>
    <n v="0"/>
    <n v="0"/>
    <n v="18.489999999999998"/>
    <n v="0"/>
    <n v="0"/>
    <n v="24.564572675892517"/>
    <m/>
    <m/>
    <n v="102218.5305475848"/>
    <n v="0"/>
    <n v="135800.67725576455"/>
    <n v="0"/>
    <x v="0"/>
  </r>
  <r>
    <s v="Regular"/>
    <x v="1"/>
    <x v="2"/>
    <x v="0"/>
    <x v="0"/>
    <x v="0"/>
    <x v="0"/>
    <x v="1"/>
    <x v="2"/>
    <n v="11135"/>
    <n v="5673.2455318000002"/>
    <n v="0"/>
    <n v="0"/>
    <n v="0"/>
    <n v="0"/>
    <n v="12"/>
    <s v="LIVRE"/>
    <n v="0"/>
    <n v="18"/>
    <n v="0"/>
    <n v="0"/>
    <n v="18.489999999999998"/>
    <n v="0"/>
    <n v="0"/>
    <n v="24.564572675892517"/>
    <m/>
    <m/>
    <n v="100987.84011701799"/>
    <n v="0"/>
    <n v="134165.66457197958"/>
    <n v="0"/>
    <x v="0"/>
  </r>
  <r>
    <s v="Regular"/>
    <x v="1"/>
    <x v="2"/>
    <x v="0"/>
    <x v="0"/>
    <x v="0"/>
    <x v="0"/>
    <x v="1"/>
    <x v="3"/>
    <n v="11165.48"/>
    <n v="5624.0284935276004"/>
    <n v="0"/>
    <n v="0"/>
    <n v="0"/>
    <n v="0"/>
    <n v="12"/>
    <s v="LIVRE"/>
    <n v="0"/>
    <n v="18"/>
    <n v="0"/>
    <n v="0"/>
    <n v="18.489999999999998"/>
    <n v="0"/>
    <n v="0"/>
    <n v="24.564572675892517"/>
    <m/>
    <m/>
    <n v="102461.43835467465"/>
    <n v="0"/>
    <n v="136123.38826067533"/>
    <n v="0"/>
    <x v="0"/>
  </r>
  <r>
    <s v="Regular"/>
    <x v="1"/>
    <x v="2"/>
    <x v="0"/>
    <x v="0"/>
    <x v="0"/>
    <x v="0"/>
    <x v="2"/>
    <x v="4"/>
    <n v="0"/>
    <n v="0"/>
    <n v="321.35113999999999"/>
    <n v="162.49413787690801"/>
    <n v="0"/>
    <n v="0"/>
    <n v="0"/>
    <s v="LIVRE"/>
    <n v="0"/>
    <n v="0"/>
    <n v="21"/>
    <n v="0"/>
    <n v="0"/>
    <n v="789.62"/>
    <n v="0"/>
    <m/>
    <n v="1120.2502177732708"/>
    <m/>
    <n v="0"/>
    <n v="125436.66601643589"/>
    <n v="0"/>
    <n v="177959.59122320273"/>
    <x v="0"/>
  </r>
  <r>
    <s v="Regular"/>
    <x v="1"/>
    <x v="2"/>
    <x v="0"/>
    <x v="0"/>
    <x v="0"/>
    <x v="0"/>
    <x v="2"/>
    <x v="5"/>
    <n v="0"/>
    <n v="0"/>
    <n v="283.25900000000001"/>
    <n v="142.74908403008999"/>
    <n v="0"/>
    <n v="0"/>
    <n v="0"/>
    <s v="LIVRE"/>
    <n v="0"/>
    <n v="0"/>
    <n v="21"/>
    <n v="0"/>
    <n v="0"/>
    <n v="789.62"/>
    <n v="0"/>
    <m/>
    <n v="1120.2502177732708"/>
    <m/>
    <n v="0"/>
    <n v="110949.43984816036"/>
    <n v="0"/>
    <n v="157406.26396459568"/>
    <x v="0"/>
  </r>
  <r>
    <s v="Regular"/>
    <x v="1"/>
    <x v="2"/>
    <x v="0"/>
    <x v="0"/>
    <x v="0"/>
    <x v="0"/>
    <x v="2"/>
    <x v="6"/>
    <n v="0"/>
    <n v="0"/>
    <n v="304.5573"/>
    <n v="153.48364313974199"/>
    <n v="0"/>
    <n v="0"/>
    <n v="0"/>
    <s v="LIVRE"/>
    <n v="0"/>
    <n v="0"/>
    <n v="21"/>
    <n v="0"/>
    <n v="0"/>
    <n v="789.62"/>
    <n v="0"/>
    <m/>
    <n v="1120.2502177732708"/>
    <m/>
    <n v="0"/>
    <n v="119290.78092999694"/>
    <n v="0"/>
    <n v="169240.29699750844"/>
    <x v="0"/>
  </r>
  <r>
    <s v="Regular"/>
    <x v="1"/>
    <x v="2"/>
    <x v="0"/>
    <x v="0"/>
    <x v="0"/>
    <x v="0"/>
    <x v="2"/>
    <x v="7"/>
    <n v="0"/>
    <n v="0"/>
    <n v="286.74200000000002"/>
    <n v="145.64622895191999"/>
    <n v="0"/>
    <n v="0"/>
    <n v="0"/>
    <s v="LIVRE"/>
    <n v="0"/>
    <n v="0"/>
    <n v="21"/>
    <n v="0"/>
    <n v="0"/>
    <n v="789.62"/>
    <n v="0"/>
    <m/>
    <n v="1120.2502177732708"/>
    <m/>
    <n v="0"/>
    <n v="111412.04273498495"/>
    <n v="0"/>
    <n v="158062.5682434992"/>
    <x v="0"/>
  </r>
  <r>
    <s v="Regular"/>
    <x v="1"/>
    <x v="2"/>
    <x v="0"/>
    <x v="0"/>
    <x v="0"/>
    <x v="0"/>
    <x v="2"/>
    <x v="8"/>
    <n v="0"/>
    <n v="0"/>
    <n v="248.25200000000001"/>
    <n v="125.5233980954"/>
    <n v="0"/>
    <n v="0"/>
    <n v="0"/>
    <s v="LIVRE"/>
    <n v="0"/>
    <n v="0"/>
    <n v="21"/>
    <n v="0"/>
    <n v="0"/>
    <n v="789.62"/>
    <n v="0"/>
    <m/>
    <n v="1120.2502177732708"/>
    <m/>
    <n v="0"/>
    <n v="96908.958635910269"/>
    <n v="0"/>
    <n v="137486.74301063723"/>
    <x v="0"/>
  </r>
  <r>
    <s v="Regular"/>
    <x v="1"/>
    <x v="2"/>
    <x v="0"/>
    <x v="0"/>
    <x v="0"/>
    <x v="0"/>
    <x v="2"/>
    <x v="9"/>
    <n v="0"/>
    <n v="0"/>
    <n v="230.46899999999999"/>
    <n v="116.43120336843"/>
    <n v="0"/>
    <n v="0"/>
    <n v="0"/>
    <s v="LIVRE"/>
    <n v="0"/>
    <n v="0"/>
    <n v="21"/>
    <n v="0"/>
    <n v="0"/>
    <n v="789.62"/>
    <n v="0"/>
    <m/>
    <n v="1120.2502177732708"/>
    <m/>
    <n v="0"/>
    <n v="90046.524976220302"/>
    <n v="0"/>
    <n v="127750.86651090025"/>
    <x v="0"/>
  </r>
  <r>
    <s v="Regular"/>
    <x v="1"/>
    <x v="2"/>
    <x v="0"/>
    <x v="0"/>
    <x v="0"/>
    <x v="0"/>
    <x v="2"/>
    <x v="10"/>
    <n v="0"/>
    <n v="0"/>
    <n v="228.01300000000001"/>
    <n v="115.24984120822"/>
    <n v="0"/>
    <n v="0"/>
    <n v="0"/>
    <s v="LIVRE"/>
    <n v="0"/>
    <n v="0"/>
    <n v="21"/>
    <n v="0"/>
    <n v="0"/>
    <n v="789.62"/>
    <n v="0"/>
    <m/>
    <n v="1120.2502177732708"/>
    <m/>
    <n v="0"/>
    <n v="89040.04544516532"/>
    <n v="0"/>
    <n v="126322.95319329346"/>
    <x v="0"/>
  </r>
  <r>
    <s v="Regular"/>
    <x v="1"/>
    <x v="2"/>
    <x v="0"/>
    <x v="0"/>
    <x v="0"/>
    <x v="0"/>
    <x v="2"/>
    <x v="11"/>
    <n v="0"/>
    <n v="0"/>
    <n v="249.446"/>
    <n v="126.737027004"/>
    <n v="0"/>
    <n v="0"/>
    <n v="0"/>
    <s v="LIVRE"/>
    <n v="0"/>
    <n v="0"/>
    <n v="21"/>
    <n v="0"/>
    <n v="0"/>
    <n v="789.62"/>
    <n v="0"/>
    <m/>
    <n v="1120.2502177732708"/>
    <m/>
    <n v="0"/>
    <n v="96893.459257101524"/>
    <n v="0"/>
    <n v="137464.7537215034"/>
    <x v="0"/>
  </r>
  <r>
    <s v="Regular"/>
    <x v="1"/>
    <x v="2"/>
    <x v="0"/>
    <x v="0"/>
    <x v="0"/>
    <x v="0"/>
    <x v="2"/>
    <x v="0"/>
    <n v="0"/>
    <n v="0"/>
    <n v="214.226"/>
    <n v="108.15031656815999"/>
    <n v="0"/>
    <n v="0"/>
    <n v="0"/>
    <s v="LIVRE"/>
    <n v="0"/>
    <n v="0"/>
    <n v="21"/>
    <n v="0"/>
    <n v="0"/>
    <n v="789.62"/>
    <n v="0"/>
    <m/>
    <n v="1120.2502177732708"/>
    <m/>
    <n v="0"/>
    <n v="83759.481151449509"/>
    <n v="0"/>
    <n v="118831.30746496731"/>
    <x v="0"/>
  </r>
  <r>
    <s v="Regular"/>
    <x v="1"/>
    <x v="2"/>
    <x v="0"/>
    <x v="0"/>
    <x v="0"/>
    <x v="0"/>
    <x v="2"/>
    <x v="1"/>
    <n v="0"/>
    <n v="0"/>
    <n v="257.37099999999998"/>
    <n v="130.17359853232"/>
    <n v="0"/>
    <n v="0"/>
    <n v="0"/>
    <s v="LIVRE"/>
    <n v="0"/>
    <n v="0"/>
    <n v="21"/>
    <n v="0"/>
    <n v="0"/>
    <n v="789.62"/>
    <n v="0"/>
    <m/>
    <n v="1120.2502177732708"/>
    <m/>
    <n v="0"/>
    <n v="100437.61214690947"/>
    <n v="0"/>
    <n v="142492.91669436265"/>
    <x v="0"/>
  </r>
  <r>
    <s v="Regular"/>
    <x v="1"/>
    <x v="2"/>
    <x v="0"/>
    <x v="0"/>
    <x v="0"/>
    <x v="0"/>
    <x v="2"/>
    <x v="2"/>
    <n v="0"/>
    <n v="0"/>
    <n v="251.95477"/>
    <n v="128.185312520916"/>
    <n v="0"/>
    <n v="0"/>
    <n v="0"/>
    <s v="LIVRE"/>
    <n v="0"/>
    <n v="0"/>
    <n v="21"/>
    <n v="0"/>
    <n v="0"/>
    <n v="789.62"/>
    <n v="0"/>
    <m/>
    <n v="1120.2502177732708"/>
    <m/>
    <n v="0"/>
    <n v="97730.839014634301"/>
    <n v="0"/>
    <n v="138652.76169462342"/>
    <x v="0"/>
  </r>
  <r>
    <s v="Regular"/>
    <x v="1"/>
    <x v="2"/>
    <x v="0"/>
    <x v="0"/>
    <x v="0"/>
    <x v="0"/>
    <x v="2"/>
    <x v="3"/>
    <n v="0"/>
    <n v="0"/>
    <n v="246.23115999999999"/>
    <n v="124.163633384801"/>
    <n v="0"/>
    <n v="0"/>
    <n v="0"/>
    <s v="LIVRE"/>
    <n v="0"/>
    <n v="0"/>
    <n v="21"/>
    <n v="0"/>
    <n v="0"/>
    <n v="789.62"/>
    <n v="0"/>
    <m/>
    <n v="1120.2502177732708"/>
    <m/>
    <n v="0"/>
    <n v="96386.960365893421"/>
    <n v="0"/>
    <n v="136746.17327372119"/>
    <x v="0"/>
  </r>
  <r>
    <s v="Regular"/>
    <x v="2"/>
    <x v="3"/>
    <x v="2"/>
    <x v="1"/>
    <x v="1"/>
    <x v="0"/>
    <x v="1"/>
    <x v="4"/>
    <n v="0"/>
    <n v="0"/>
    <n v="905.87900000000002"/>
    <n v="905.87900000000002"/>
    <n v="905.87900000000002"/>
    <n v="905.87900000000002"/>
    <n v="5048"/>
    <s v="CATIVO"/>
    <n v="0"/>
    <n v="0"/>
    <n v="38"/>
    <n v="89"/>
    <n v="0"/>
    <n v="343.17"/>
    <n v="303.54000000000002"/>
    <m/>
    <n v="487.85329400621345"/>
    <n v="287.16392669686104"/>
    <n v="0"/>
    <n v="0"/>
    <n v="0"/>
    <n v="0"/>
    <x v="2"/>
  </r>
  <r>
    <s v="Regular"/>
    <x v="2"/>
    <x v="3"/>
    <x v="2"/>
    <x v="2"/>
    <x v="1"/>
    <x v="0"/>
    <x v="1"/>
    <x v="4"/>
    <n v="0"/>
    <n v="0"/>
    <n v="8.9700000000000006"/>
    <n v="8.9700000000000006"/>
    <n v="8.9700000000000006"/>
    <n v="8.9700000000000006"/>
    <n v="14"/>
    <s v="CATIVO"/>
    <n v="0"/>
    <n v="0"/>
    <n v="41"/>
    <n v="90"/>
    <n v="0"/>
    <n v="94.95"/>
    <n v="106.24"/>
    <m/>
    <n v="115.90881422960153"/>
    <n v="100.50737434390136"/>
    <n v="0"/>
    <n v="3351.4610999999995"/>
    <n v="0"/>
    <n v="3605.1845356508816"/>
    <x v="3"/>
  </r>
  <r>
    <s v="Regular"/>
    <x v="2"/>
    <x v="3"/>
    <x v="2"/>
    <x v="2"/>
    <x v="1"/>
    <x v="0"/>
    <x v="1"/>
    <x v="5"/>
    <n v="0"/>
    <n v="0"/>
    <n v="9.2100000000000009"/>
    <n v="9.2100000000000009"/>
    <n v="9.2100000000000009"/>
    <n v="9.2100000000000009"/>
    <n v="10"/>
    <s v="CATIVO"/>
    <n v="0"/>
    <n v="0"/>
    <n v="41"/>
    <n v="90"/>
    <n v="0"/>
    <n v="94.95"/>
    <n v="106.24"/>
    <m/>
    <n v="115.90881422960153"/>
    <n v="100.50737434390136"/>
    <n v="0"/>
    <n v="3441.1322999999998"/>
    <n v="0"/>
    <n v="3701.6443225579287"/>
    <x v="3"/>
  </r>
  <r>
    <s v="Regular"/>
    <x v="2"/>
    <x v="3"/>
    <x v="2"/>
    <x v="2"/>
    <x v="1"/>
    <x v="0"/>
    <x v="1"/>
    <x v="6"/>
    <n v="0"/>
    <n v="0"/>
    <n v="9.09"/>
    <n v="9.09"/>
    <n v="9.09"/>
    <n v="9.09"/>
    <n v="11"/>
    <s v="CATIVO"/>
    <n v="0"/>
    <n v="0"/>
    <n v="41"/>
    <n v="90"/>
    <n v="0"/>
    <n v="94.95"/>
    <n v="106.24"/>
    <m/>
    <n v="115.90881422960153"/>
    <n v="100.50737434390136"/>
    <n v="0"/>
    <n v="3396.2966999999994"/>
    <n v="0"/>
    <n v="3653.4144291044049"/>
    <x v="3"/>
  </r>
  <r>
    <s v="Regular"/>
    <x v="2"/>
    <x v="3"/>
    <x v="2"/>
    <x v="2"/>
    <x v="1"/>
    <x v="0"/>
    <x v="1"/>
    <x v="7"/>
    <n v="0"/>
    <n v="0"/>
    <n v="9.27"/>
    <n v="9.27"/>
    <n v="9.27"/>
    <n v="9.27"/>
    <n v="12"/>
    <s v="CATIVO"/>
    <n v="0"/>
    <n v="0"/>
    <n v="41"/>
    <n v="90"/>
    <n v="0"/>
    <n v="94.95"/>
    <n v="106.24"/>
    <m/>
    <n v="115.90881422960153"/>
    <n v="100.50737434390136"/>
    <n v="0"/>
    <n v="3463.5500999999995"/>
    <n v="0"/>
    <n v="3725.7592692846902"/>
    <x v="3"/>
  </r>
  <r>
    <s v="Regular"/>
    <x v="2"/>
    <x v="3"/>
    <x v="2"/>
    <x v="2"/>
    <x v="1"/>
    <x v="0"/>
    <x v="1"/>
    <x v="8"/>
    <n v="0"/>
    <n v="0"/>
    <n v="9.48"/>
    <n v="9.48"/>
    <n v="9.48"/>
    <n v="9.48"/>
    <n v="11"/>
    <s v="CATIVO"/>
    <n v="0"/>
    <n v="0"/>
    <n v="41"/>
    <n v="90"/>
    <n v="0"/>
    <n v="94.95"/>
    <n v="106.24"/>
    <m/>
    <n v="115.90881422960153"/>
    <n v="100.50737434390136"/>
    <n v="0"/>
    <n v="3542.0123999999996"/>
    <n v="0"/>
    <n v="3810.1615828283566"/>
    <x v="3"/>
  </r>
  <r>
    <s v="Regular"/>
    <x v="2"/>
    <x v="3"/>
    <x v="2"/>
    <x v="2"/>
    <x v="1"/>
    <x v="0"/>
    <x v="1"/>
    <x v="9"/>
    <n v="0"/>
    <n v="0"/>
    <n v="9.69"/>
    <n v="9.69"/>
    <n v="9.69"/>
    <n v="9.69"/>
    <n v="10"/>
    <s v="CATIVO"/>
    <n v="0"/>
    <n v="0"/>
    <n v="41"/>
    <n v="90"/>
    <n v="0"/>
    <n v="94.95"/>
    <n v="106.24"/>
    <m/>
    <n v="115.90881422960153"/>
    <n v="100.50737434390136"/>
    <n v="0"/>
    <n v="3620.4746999999993"/>
    <n v="0"/>
    <n v="3894.5638963720221"/>
    <x v="3"/>
  </r>
  <r>
    <s v="Regular"/>
    <x v="2"/>
    <x v="3"/>
    <x v="2"/>
    <x v="2"/>
    <x v="1"/>
    <x v="0"/>
    <x v="1"/>
    <x v="10"/>
    <n v="0"/>
    <n v="0"/>
    <n v="10.56"/>
    <n v="10.56"/>
    <n v="10.56"/>
    <n v="10.56"/>
    <n v="9"/>
    <s v="CATIVO"/>
    <n v="0"/>
    <n v="0"/>
    <n v="41"/>
    <n v="90"/>
    <n v="0"/>
    <n v="94.95"/>
    <n v="106.24"/>
    <m/>
    <n v="115.90881422960153"/>
    <n v="100.50737434390136"/>
    <n v="0"/>
    <n v="3945.5327999999995"/>
    <n v="0"/>
    <n v="4244.2306239100681"/>
    <x v="3"/>
  </r>
  <r>
    <s v="Regular"/>
    <x v="2"/>
    <x v="3"/>
    <x v="2"/>
    <x v="2"/>
    <x v="1"/>
    <x v="0"/>
    <x v="1"/>
    <x v="11"/>
    <n v="0"/>
    <n v="0"/>
    <n v="11.22"/>
    <n v="11.22"/>
    <n v="11.22"/>
    <n v="11.22"/>
    <n v="11"/>
    <s v="CATIVO"/>
    <n v="0"/>
    <n v="0"/>
    <n v="41"/>
    <n v="90"/>
    <n v="0"/>
    <n v="94.95"/>
    <n v="106.24"/>
    <m/>
    <n v="115.90881422960153"/>
    <n v="100.50737434390136"/>
    <n v="0"/>
    <n v="4192.1285999999991"/>
    <n v="0"/>
    <n v="4509.4950379044476"/>
    <x v="3"/>
  </r>
  <r>
    <s v="Regular"/>
    <x v="2"/>
    <x v="3"/>
    <x v="2"/>
    <x v="2"/>
    <x v="1"/>
    <x v="0"/>
    <x v="1"/>
    <x v="0"/>
    <n v="0"/>
    <n v="0"/>
    <n v="11.37"/>
    <n v="11.37"/>
    <n v="11.37"/>
    <n v="11.37"/>
    <n v="14"/>
    <s v="CATIVO"/>
    <n v="0"/>
    <n v="0"/>
    <n v="41"/>
    <n v="90"/>
    <n v="0"/>
    <n v="94.95"/>
    <n v="106.24"/>
    <m/>
    <n v="115.90881422960153"/>
    <n v="100.50737434390136"/>
    <n v="0"/>
    <n v="4248.1730999999991"/>
    <n v="0"/>
    <n v="4569.7824047213508"/>
    <x v="3"/>
  </r>
  <r>
    <s v="Regular"/>
    <x v="2"/>
    <x v="3"/>
    <x v="2"/>
    <x v="2"/>
    <x v="1"/>
    <x v="0"/>
    <x v="1"/>
    <x v="1"/>
    <n v="0"/>
    <n v="0"/>
    <n v="11.82"/>
    <n v="11.82"/>
    <n v="11.82"/>
    <n v="11.82"/>
    <n v="9"/>
    <s v="CATIVO"/>
    <n v="0"/>
    <n v="0"/>
    <n v="41"/>
    <n v="90"/>
    <n v="0"/>
    <n v="94.95"/>
    <n v="106.24"/>
    <m/>
    <n v="115.90881422960153"/>
    <n v="100.50737434390136"/>
    <n v="0"/>
    <n v="4416.306599999999"/>
    <n v="0"/>
    <n v="4750.6445051720648"/>
    <x v="3"/>
  </r>
  <r>
    <s v="Regular"/>
    <x v="2"/>
    <x v="3"/>
    <x v="2"/>
    <x v="2"/>
    <x v="1"/>
    <x v="0"/>
    <x v="1"/>
    <x v="2"/>
    <n v="0"/>
    <n v="0"/>
    <n v="9.6300000000000008"/>
    <n v="9.6300000000000008"/>
    <n v="9.6300000000000008"/>
    <n v="9.6300000000000008"/>
    <n v="10"/>
    <s v="CATIVO"/>
    <n v="0"/>
    <n v="0"/>
    <n v="41"/>
    <n v="90"/>
    <n v="0"/>
    <n v="94.95"/>
    <n v="106.24"/>
    <m/>
    <n v="115.90881422960153"/>
    <n v="100.50737434390136"/>
    <n v="0"/>
    <n v="3598.0568999999996"/>
    <n v="0"/>
    <n v="3870.4489496452611"/>
    <x v="3"/>
  </r>
  <r>
    <s v="Regular"/>
    <x v="2"/>
    <x v="3"/>
    <x v="2"/>
    <x v="2"/>
    <x v="1"/>
    <x v="0"/>
    <x v="1"/>
    <x v="3"/>
    <n v="0"/>
    <n v="0"/>
    <n v="10.95"/>
    <n v="10.95"/>
    <n v="10.95"/>
    <n v="10.95"/>
    <n v="17"/>
    <s v="CATIVO"/>
    <n v="0"/>
    <n v="0"/>
    <n v="41"/>
    <n v="90"/>
    <n v="0"/>
    <n v="94.95"/>
    <n v="106.24"/>
    <m/>
    <n v="115.90881422960153"/>
    <n v="100.50737434390136"/>
    <n v="0"/>
    <n v="4091.2484999999992"/>
    <n v="0"/>
    <n v="4400.9777776340188"/>
    <x v="3"/>
  </r>
  <r>
    <s v="Regular"/>
    <x v="2"/>
    <x v="3"/>
    <x v="2"/>
    <x v="3"/>
    <x v="1"/>
    <x v="0"/>
    <x v="1"/>
    <x v="4"/>
    <n v="0"/>
    <n v="0"/>
    <n v="18.370999999999999"/>
    <n v="18.370999999999999"/>
    <n v="18.370999999999999"/>
    <n v="18.370999999999999"/>
    <n v="56"/>
    <s v="CATIVO"/>
    <n v="0"/>
    <n v="0"/>
    <n v="42"/>
    <n v="91"/>
    <n v="0"/>
    <n v="162.77000000000001"/>
    <n v="182.12"/>
    <m/>
    <n v="198.70082439360263"/>
    <n v="172.29835601811661"/>
    <n v="0"/>
    <n v="4224.0440299999991"/>
    <n v="0"/>
    <n v="4543.7506288957957"/>
    <x v="3"/>
  </r>
  <r>
    <s v="Regular"/>
    <x v="2"/>
    <x v="3"/>
    <x v="2"/>
    <x v="3"/>
    <x v="1"/>
    <x v="0"/>
    <x v="1"/>
    <x v="5"/>
    <n v="0"/>
    <n v="0"/>
    <n v="19.5"/>
    <n v="19.5"/>
    <n v="19.5"/>
    <n v="19.5"/>
    <n v="42"/>
    <s v="CATIVO"/>
    <n v="0"/>
    <n v="0"/>
    <n v="42"/>
    <n v="91"/>
    <n v="0"/>
    <n v="162.77000000000001"/>
    <n v="182.12"/>
    <m/>
    <n v="198.70082439360263"/>
    <n v="172.29835601811661"/>
    <n v="0"/>
    <n v="4483.6349999999993"/>
    <n v="0"/>
    <n v="4822.98934535235"/>
    <x v="3"/>
  </r>
  <r>
    <s v="Regular"/>
    <x v="2"/>
    <x v="3"/>
    <x v="2"/>
    <x v="3"/>
    <x v="1"/>
    <x v="0"/>
    <x v="1"/>
    <x v="6"/>
    <n v="0"/>
    <n v="0"/>
    <n v="19.084"/>
    <n v="19.084"/>
    <n v="19.084"/>
    <n v="19.084"/>
    <n v="58"/>
    <s v="CATIVO"/>
    <n v="0"/>
    <n v="0"/>
    <n v="42"/>
    <n v="91"/>
    <n v="0"/>
    <n v="162.77000000000001"/>
    <n v="182.12"/>
    <m/>
    <n v="198.70082439360263"/>
    <n v="172.29835601811661"/>
    <n v="0"/>
    <n v="4387.9841199999992"/>
    <n v="0"/>
    <n v="4720.0989059848334"/>
    <x v="3"/>
  </r>
  <r>
    <s v="Regular"/>
    <x v="2"/>
    <x v="3"/>
    <x v="2"/>
    <x v="3"/>
    <x v="1"/>
    <x v="0"/>
    <x v="1"/>
    <x v="7"/>
    <n v="0"/>
    <n v="0"/>
    <n v="18.992999999999999"/>
    <n v="18.992999999999999"/>
    <n v="18.992999999999999"/>
    <n v="18.992999999999999"/>
    <n v="67"/>
    <s v="CATIVO"/>
    <n v="0"/>
    <n v="0"/>
    <n v="42"/>
    <n v="91"/>
    <n v="0"/>
    <n v="162.77000000000001"/>
    <n v="182.12"/>
    <m/>
    <n v="198.70082439360263"/>
    <n v="172.29835601811661"/>
    <n v="0"/>
    <n v="4367.0604899999989"/>
    <n v="0"/>
    <n v="4697.5916223731892"/>
    <x v="3"/>
  </r>
  <r>
    <s v="Regular"/>
    <x v="2"/>
    <x v="3"/>
    <x v="2"/>
    <x v="3"/>
    <x v="1"/>
    <x v="0"/>
    <x v="1"/>
    <x v="8"/>
    <n v="0"/>
    <n v="0"/>
    <n v="20.306999999999999"/>
    <n v="20.306999999999999"/>
    <n v="20.306999999999999"/>
    <n v="20.306999999999999"/>
    <n v="47"/>
    <s v="CATIVO"/>
    <n v="0"/>
    <n v="0"/>
    <n v="42"/>
    <n v="91"/>
    <n v="0"/>
    <n v="162.77000000000001"/>
    <n v="182.12"/>
    <m/>
    <n v="198.70082439360263"/>
    <n v="172.29835601811661"/>
    <n v="0"/>
    <n v="4669.188509999999"/>
    <n v="0"/>
    <n v="5022.5869044138553"/>
    <x v="3"/>
  </r>
  <r>
    <s v="Regular"/>
    <x v="2"/>
    <x v="3"/>
    <x v="2"/>
    <x v="3"/>
    <x v="1"/>
    <x v="0"/>
    <x v="1"/>
    <x v="9"/>
    <n v="0"/>
    <n v="0"/>
    <n v="20.56"/>
    <n v="20.56"/>
    <n v="20.56"/>
    <n v="20.56"/>
    <n v="54"/>
    <s v="CATIVO"/>
    <n v="0"/>
    <n v="0"/>
    <n v="42"/>
    <n v="91"/>
    <n v="0"/>
    <n v="162.77000000000001"/>
    <n v="182.12"/>
    <m/>
    <n v="198.70082439360263"/>
    <n v="172.29835601811661"/>
    <n v="0"/>
    <n v="4727.3607999999986"/>
    <n v="0"/>
    <n v="5085.1620995099647"/>
    <x v="3"/>
  </r>
  <r>
    <s v="Regular"/>
    <x v="2"/>
    <x v="3"/>
    <x v="2"/>
    <x v="3"/>
    <x v="1"/>
    <x v="0"/>
    <x v="1"/>
    <x v="10"/>
    <n v="0"/>
    <n v="0"/>
    <n v="23.015999999999998"/>
    <n v="23.015999999999998"/>
    <n v="23.015999999999998"/>
    <n v="23.015999999999998"/>
    <n v="37"/>
    <s v="CATIVO"/>
    <n v="0"/>
    <n v="0"/>
    <n v="42"/>
    <n v="91"/>
    <n v="0"/>
    <n v="162.77000000000001"/>
    <n v="182.12"/>
    <m/>
    <n v="198.70082439360263"/>
    <n v="172.29835601811661"/>
    <n v="0"/>
    <n v="5292.068879999998"/>
    <n v="0"/>
    <n v="5692.6114242374197"/>
    <x v="3"/>
  </r>
  <r>
    <s v="Regular"/>
    <x v="2"/>
    <x v="3"/>
    <x v="2"/>
    <x v="3"/>
    <x v="1"/>
    <x v="0"/>
    <x v="1"/>
    <x v="11"/>
    <n v="0"/>
    <n v="0"/>
    <n v="24"/>
    <n v="24"/>
    <n v="24"/>
    <n v="24"/>
    <n v="55"/>
    <s v="CATIVO"/>
    <n v="0"/>
    <n v="0"/>
    <n v="42"/>
    <n v="91"/>
    <n v="0"/>
    <n v="162.77000000000001"/>
    <n v="182.12"/>
    <m/>
    <n v="198.70082439360263"/>
    <n v="172.29835601811661"/>
    <n v="0"/>
    <n v="5518.3199999999988"/>
    <n v="0"/>
    <n v="5935.9868865875078"/>
    <x v="3"/>
  </r>
  <r>
    <s v="Regular"/>
    <x v="2"/>
    <x v="3"/>
    <x v="2"/>
    <x v="3"/>
    <x v="1"/>
    <x v="0"/>
    <x v="1"/>
    <x v="0"/>
    <n v="0"/>
    <n v="0"/>
    <n v="23.969000000000001"/>
    <n v="23.969000000000001"/>
    <n v="23.969000000000001"/>
    <n v="23.969000000000001"/>
    <n v="65"/>
    <s v="CATIVO"/>
    <n v="0"/>
    <n v="0"/>
    <n v="42"/>
    <n v="91"/>
    <n v="0"/>
    <n v="162.77000000000001"/>
    <n v="182.12"/>
    <m/>
    <n v="198.70082439360263"/>
    <n v="172.29835601811661"/>
    <n v="0"/>
    <n v="5511.1921699999994"/>
    <n v="0"/>
    <n v="5928.3195701923332"/>
    <x v="3"/>
  </r>
  <r>
    <s v="Regular"/>
    <x v="2"/>
    <x v="3"/>
    <x v="2"/>
    <x v="3"/>
    <x v="1"/>
    <x v="0"/>
    <x v="1"/>
    <x v="1"/>
    <n v="0"/>
    <n v="0"/>
    <n v="24.436"/>
    <n v="24.436"/>
    <n v="24.436"/>
    <n v="24.436"/>
    <n v="97"/>
    <s v="CATIVO"/>
    <n v="0"/>
    <n v="0"/>
    <n v="42"/>
    <n v="91"/>
    <n v="0"/>
    <n v="162.77000000000001"/>
    <n v="182.12"/>
    <m/>
    <n v="198.70082439360263"/>
    <n v="172.29835601811661"/>
    <n v="0"/>
    <n v="5618.5694799999992"/>
    <n v="0"/>
    <n v="6043.8239816938476"/>
    <x v="3"/>
  </r>
  <r>
    <s v="Regular"/>
    <x v="2"/>
    <x v="3"/>
    <x v="2"/>
    <x v="3"/>
    <x v="1"/>
    <x v="0"/>
    <x v="1"/>
    <x v="2"/>
    <n v="0"/>
    <n v="0"/>
    <n v="19.992999999999999"/>
    <n v="19.992999999999999"/>
    <n v="19.992999999999999"/>
    <n v="19.992999999999999"/>
    <n v="64"/>
    <s v="CATIVO"/>
    <n v="0"/>
    <n v="0"/>
    <n v="42"/>
    <n v="91"/>
    <n v="0"/>
    <n v="162.77000000000001"/>
    <n v="182.12"/>
    <m/>
    <n v="198.70082439360263"/>
    <n v="172.29835601811661"/>
    <n v="0"/>
    <n v="4596.9904899999983"/>
    <n v="0"/>
    <n v="4944.9244093143352"/>
    <x v="3"/>
  </r>
  <r>
    <s v="Regular"/>
    <x v="2"/>
    <x v="3"/>
    <x v="2"/>
    <x v="3"/>
    <x v="1"/>
    <x v="0"/>
    <x v="1"/>
    <x v="3"/>
    <n v="0"/>
    <n v="0"/>
    <n v="22.091000000000001"/>
    <n v="22.091000000000001"/>
    <n v="22.091000000000001"/>
    <n v="22.091000000000001"/>
    <n v="78"/>
    <s v="CATIVO"/>
    <n v="0"/>
    <n v="0"/>
    <n v="42"/>
    <n v="91"/>
    <n v="0"/>
    <n v="162.77000000000001"/>
    <n v="182.12"/>
    <m/>
    <n v="198.70082439360263"/>
    <n v="172.29835601811661"/>
    <n v="0"/>
    <n v="5079.3836299999994"/>
    <n v="0"/>
    <n v="5463.8285963168601"/>
    <x v="3"/>
  </r>
  <r>
    <s v="Regular"/>
    <x v="2"/>
    <x v="3"/>
    <x v="2"/>
    <x v="4"/>
    <x v="1"/>
    <x v="0"/>
    <x v="1"/>
    <x v="4"/>
    <n v="0"/>
    <n v="0"/>
    <n v="17.896999999999998"/>
    <n v="17.896999999999998"/>
    <n v="17.896999999999998"/>
    <n v="17.896999999999998"/>
    <n v="147"/>
    <s v="CATIVO"/>
    <n v="0"/>
    <n v="0"/>
    <n v="45"/>
    <n v="2"/>
    <n v="0"/>
    <n v="244.15"/>
    <n v="273.19"/>
    <m/>
    <n v="298.05123659040396"/>
    <n v="258.44753402717492"/>
    <n v="0"/>
    <n v="1028.7195599999993"/>
    <n v="0"/>
    <n v="1106.6287219714222"/>
    <x v="3"/>
  </r>
  <r>
    <s v="Regular"/>
    <x v="2"/>
    <x v="3"/>
    <x v="2"/>
    <x v="4"/>
    <x v="1"/>
    <x v="0"/>
    <x v="1"/>
    <x v="5"/>
    <n v="0"/>
    <n v="0"/>
    <n v="20.79"/>
    <n v="20.79"/>
    <n v="20.79"/>
    <n v="20.79"/>
    <n v="159"/>
    <s v="CATIVO"/>
    <n v="0"/>
    <n v="0"/>
    <n v="45"/>
    <n v="2"/>
    <n v="0"/>
    <n v="244.15"/>
    <n v="273.19"/>
    <m/>
    <n v="298.05123659040396"/>
    <n v="258.44753402717492"/>
    <n v="0"/>
    <n v="1195.0091999999991"/>
    <n v="0"/>
    <n v="1285.5121601266062"/>
    <x v="3"/>
  </r>
  <r>
    <s v="Regular"/>
    <x v="2"/>
    <x v="3"/>
    <x v="2"/>
    <x v="4"/>
    <x v="1"/>
    <x v="0"/>
    <x v="1"/>
    <x v="6"/>
    <n v="0"/>
    <n v="0"/>
    <n v="17.515999999999998"/>
    <n v="17.515999999999998"/>
    <n v="17.515999999999998"/>
    <n v="17.515999999999998"/>
    <n v="170"/>
    <s v="CATIVO"/>
    <n v="0"/>
    <n v="0"/>
    <n v="45"/>
    <n v="2"/>
    <n v="0"/>
    <n v="244.15"/>
    <n v="273.19"/>
    <m/>
    <n v="298.05123659040396"/>
    <n v="258.44753402717492"/>
    <n v="0"/>
    <n v="1006.8196799999993"/>
    <n v="0"/>
    <n v="1083.0702740152781"/>
    <x v="3"/>
  </r>
  <r>
    <s v="Regular"/>
    <x v="2"/>
    <x v="3"/>
    <x v="2"/>
    <x v="4"/>
    <x v="1"/>
    <x v="0"/>
    <x v="1"/>
    <x v="7"/>
    <n v="0"/>
    <n v="0"/>
    <n v="16.582999999999998"/>
    <n v="16.582999999999998"/>
    <n v="16.582999999999998"/>
    <n v="16.582999999999998"/>
    <n v="170"/>
    <s v="CATIVO"/>
    <n v="0"/>
    <n v="0"/>
    <n v="45"/>
    <n v="2"/>
    <n v="0"/>
    <n v="244.15"/>
    <n v="273.19"/>
    <m/>
    <n v="298.05123659040396"/>
    <n v="258.44753402717492"/>
    <n v="0"/>
    <n v="953.1908399999993"/>
    <n v="0"/>
    <n v="1025.3799014612557"/>
    <x v="3"/>
  </r>
  <r>
    <s v="Regular"/>
    <x v="2"/>
    <x v="3"/>
    <x v="2"/>
    <x v="4"/>
    <x v="1"/>
    <x v="0"/>
    <x v="1"/>
    <x v="8"/>
    <n v="0"/>
    <n v="0"/>
    <n v="20.638999999999999"/>
    <n v="20.638999999999999"/>
    <n v="20.638999999999999"/>
    <n v="20.638999999999999"/>
    <n v="161"/>
    <s v="CATIVO"/>
    <n v="0"/>
    <n v="0"/>
    <n v="45"/>
    <n v="2"/>
    <n v="0"/>
    <n v="244.15"/>
    <n v="273.19"/>
    <m/>
    <n v="298.05123659040396"/>
    <n v="258.44753402717492"/>
    <n v="0"/>
    <n v="1186.3297199999993"/>
    <n v="0"/>
    <n v="1276.175347419578"/>
    <x v="3"/>
  </r>
  <r>
    <s v="Regular"/>
    <x v="2"/>
    <x v="3"/>
    <x v="2"/>
    <x v="4"/>
    <x v="1"/>
    <x v="0"/>
    <x v="1"/>
    <x v="9"/>
    <n v="0"/>
    <n v="0"/>
    <n v="19.594000000000001"/>
    <n v="19.594000000000001"/>
    <n v="19.594000000000001"/>
    <n v="19.594000000000001"/>
    <n v="172"/>
    <s v="CATIVO"/>
    <n v="0"/>
    <n v="0"/>
    <n v="45"/>
    <n v="2"/>
    <n v="0"/>
    <n v="244.15"/>
    <n v="273.19"/>
    <m/>
    <n v="298.05123659040396"/>
    <n v="258.44753402717492"/>
    <n v="0"/>
    <n v="1126.2631199999994"/>
    <n v="0"/>
    <n v="1211.5596568312037"/>
    <x v="3"/>
  </r>
  <r>
    <s v="Regular"/>
    <x v="2"/>
    <x v="3"/>
    <x v="2"/>
    <x v="4"/>
    <x v="1"/>
    <x v="0"/>
    <x v="1"/>
    <x v="10"/>
    <n v="0"/>
    <n v="0"/>
    <n v="26.75"/>
    <n v="26.75"/>
    <n v="26.75"/>
    <n v="26.75"/>
    <n v="163"/>
    <s v="CATIVO"/>
    <n v="0"/>
    <n v="0"/>
    <n v="45"/>
    <n v="2"/>
    <n v="0"/>
    <n v="244.15"/>
    <n v="273.19"/>
    <m/>
    <n v="298.05123659040396"/>
    <n v="258.44753402717492"/>
    <n v="0"/>
    <n v="1537.589999999999"/>
    <n v="0"/>
    <n v="1654.0380126689138"/>
    <x v="3"/>
  </r>
  <r>
    <s v="Regular"/>
    <x v="2"/>
    <x v="3"/>
    <x v="2"/>
    <x v="4"/>
    <x v="1"/>
    <x v="0"/>
    <x v="1"/>
    <x v="11"/>
    <n v="0"/>
    <n v="0"/>
    <n v="25.718"/>
    <n v="25.718"/>
    <n v="25.718"/>
    <n v="25.718"/>
    <n v="190"/>
    <s v="CATIVO"/>
    <n v="0"/>
    <n v="0"/>
    <n v="45"/>
    <n v="2"/>
    <n v="0"/>
    <n v="244.15"/>
    <n v="273.19"/>
    <m/>
    <n v="298.05123659040396"/>
    <n v="258.44753402717492"/>
    <n v="0"/>
    <n v="1478.270639999999"/>
    <n v="0"/>
    <n v="1590.2261536380979"/>
    <x v="3"/>
  </r>
  <r>
    <s v="Regular"/>
    <x v="2"/>
    <x v="3"/>
    <x v="2"/>
    <x v="4"/>
    <x v="1"/>
    <x v="0"/>
    <x v="1"/>
    <x v="0"/>
    <n v="0"/>
    <n v="0"/>
    <n v="22.731999999999999"/>
    <n v="22.731999999999999"/>
    <n v="22.731999999999999"/>
    <n v="22.731999999999999"/>
    <n v="205"/>
    <s v="CATIVO"/>
    <n v="0"/>
    <n v="0"/>
    <n v="45"/>
    <n v="2"/>
    <n v="0"/>
    <n v="244.15"/>
    <n v="273.19"/>
    <m/>
    <n v="298.05123659040396"/>
    <n v="258.44753402717492"/>
    <n v="0"/>
    <n v="1306.6353599999991"/>
    <n v="0"/>
    <n v="1405.5922281865326"/>
    <x v="3"/>
  </r>
  <r>
    <s v="Regular"/>
    <x v="2"/>
    <x v="3"/>
    <x v="2"/>
    <x v="4"/>
    <x v="1"/>
    <x v="0"/>
    <x v="1"/>
    <x v="1"/>
    <n v="0"/>
    <n v="0"/>
    <n v="21.222999999999999"/>
    <n v="21.222999999999999"/>
    <n v="21.222999999999999"/>
    <n v="21.222999999999999"/>
    <n v="212"/>
    <s v="CATIVO"/>
    <n v="0"/>
    <n v="0"/>
    <n v="45"/>
    <n v="2"/>
    <n v="0"/>
    <n v="244.15"/>
    <n v="273.19"/>
    <m/>
    <n v="298.05123659040396"/>
    <n v="258.44753402717492"/>
    <n v="0"/>
    <n v="1219.8980399999991"/>
    <n v="0"/>
    <n v="1312.2859343129851"/>
    <x v="3"/>
  </r>
  <r>
    <s v="Regular"/>
    <x v="2"/>
    <x v="3"/>
    <x v="2"/>
    <x v="4"/>
    <x v="1"/>
    <x v="0"/>
    <x v="1"/>
    <x v="2"/>
    <n v="0"/>
    <n v="0"/>
    <n v="18.413"/>
    <n v="18.413"/>
    <n v="18.413"/>
    <n v="18.413"/>
    <n v="178"/>
    <s v="CATIVO"/>
    <n v="0"/>
    <n v="0"/>
    <n v="45"/>
    <n v="2"/>
    <n v="0"/>
    <n v="244.15"/>
    <n v="273.19"/>
    <m/>
    <n v="298.05123659040396"/>
    <n v="258.44753402717492"/>
    <n v="0"/>
    <n v="1058.3792399999993"/>
    <n v="0"/>
    <n v="1138.5346514868302"/>
    <x v="3"/>
  </r>
  <r>
    <s v="Regular"/>
    <x v="2"/>
    <x v="3"/>
    <x v="2"/>
    <x v="4"/>
    <x v="1"/>
    <x v="0"/>
    <x v="1"/>
    <x v="3"/>
    <n v="0"/>
    <n v="0"/>
    <n v="20.666"/>
    <n v="20.666"/>
    <n v="20.666"/>
    <n v="20.666"/>
    <n v="180"/>
    <s v="CATIVO"/>
    <n v="0"/>
    <n v="0"/>
    <n v="45"/>
    <n v="2"/>
    <n v="0"/>
    <n v="244.15"/>
    <n v="273.19"/>
    <m/>
    <n v="298.05123659040396"/>
    <n v="258.44753402717492"/>
    <n v="0"/>
    <n v="1187.8816799999993"/>
    <n v="0"/>
    <n v="1277.8448437314307"/>
    <x v="3"/>
  </r>
  <r>
    <s v="Regular"/>
    <x v="2"/>
    <x v="3"/>
    <x v="2"/>
    <x v="5"/>
    <x v="1"/>
    <x v="0"/>
    <x v="1"/>
    <x v="4"/>
    <n v="0"/>
    <n v="0"/>
    <n v="5.9829999999999997"/>
    <n v="5.9829999999999997"/>
    <n v="5.9829999999999997"/>
    <n v="5.9829999999999997"/>
    <n v="82"/>
    <s v="CATIVO"/>
    <n v="0"/>
    <n v="0"/>
    <n v="46"/>
    <n v="4"/>
    <n v="0"/>
    <n v="271.27999999999997"/>
    <n v="303.54000000000002"/>
    <m/>
    <n v="331.16804065600439"/>
    <n v="287.16392669686104"/>
    <n v="0"/>
    <n v="-3.4009417504421433E-13"/>
    <n v="0"/>
    <n v="-3.4009417504421433E-13"/>
    <x v="3"/>
  </r>
  <r>
    <s v="Regular"/>
    <x v="2"/>
    <x v="3"/>
    <x v="2"/>
    <x v="5"/>
    <x v="1"/>
    <x v="0"/>
    <x v="1"/>
    <x v="5"/>
    <n v="0"/>
    <n v="0"/>
    <n v="7.6020000000000003"/>
    <n v="7.6020000000000003"/>
    <n v="7.6020000000000003"/>
    <n v="7.6020000000000003"/>
    <n v="96"/>
    <s v="CATIVO"/>
    <n v="0"/>
    <n v="0"/>
    <n v="46"/>
    <n v="4"/>
    <n v="0"/>
    <n v="271.27999999999997"/>
    <n v="303.54000000000002"/>
    <m/>
    <n v="331.16804065600439"/>
    <n v="287.16392669686104"/>
    <n v="0"/>
    <n v="-4.3212367017986255E-13"/>
    <n v="0"/>
    <n v="-4.3212367017986255E-13"/>
    <x v="3"/>
  </r>
  <r>
    <s v="Regular"/>
    <x v="2"/>
    <x v="3"/>
    <x v="2"/>
    <x v="5"/>
    <x v="1"/>
    <x v="0"/>
    <x v="1"/>
    <x v="6"/>
    <n v="0"/>
    <n v="0"/>
    <n v="4.5890000000000004"/>
    <n v="4.5890000000000004"/>
    <n v="4.5890000000000004"/>
    <n v="4.5890000000000004"/>
    <n v="64"/>
    <s v="CATIVO"/>
    <n v="0"/>
    <n v="0"/>
    <n v="46"/>
    <n v="4"/>
    <n v="0"/>
    <n v="271.27999999999997"/>
    <n v="303.54000000000002"/>
    <m/>
    <n v="331.16804065600439"/>
    <n v="287.16392669686104"/>
    <n v="0"/>
    <n v="-2.60854449152248E-13"/>
    <n v="0"/>
    <n v="-2.60854449152248E-13"/>
    <x v="3"/>
  </r>
  <r>
    <s v="Regular"/>
    <x v="2"/>
    <x v="3"/>
    <x v="2"/>
    <x v="5"/>
    <x v="1"/>
    <x v="0"/>
    <x v="1"/>
    <x v="7"/>
    <n v="0"/>
    <n v="0"/>
    <n v="3.7509999999999999"/>
    <n v="3.7509999999999999"/>
    <n v="3.7509999999999999"/>
    <n v="3.7509999999999999"/>
    <n v="60"/>
    <s v="CATIVO"/>
    <n v="0"/>
    <n v="0"/>
    <n v="46"/>
    <n v="4"/>
    <n v="0"/>
    <n v="271.27999999999997"/>
    <n v="303.54000000000002"/>
    <m/>
    <n v="331.16804065600439"/>
    <n v="287.16392669686104"/>
    <n v="0"/>
    <n v="-2.1321966414689086E-13"/>
    <n v="0"/>
    <n v="-2.1321966414689086E-13"/>
    <x v="3"/>
  </r>
  <r>
    <s v="Regular"/>
    <x v="2"/>
    <x v="3"/>
    <x v="2"/>
    <x v="5"/>
    <x v="1"/>
    <x v="0"/>
    <x v="1"/>
    <x v="8"/>
    <n v="0"/>
    <n v="0"/>
    <n v="7.5640000000000001"/>
    <n v="7.5640000000000001"/>
    <n v="7.5640000000000001"/>
    <n v="7.5640000000000001"/>
    <n v="97"/>
    <s v="CATIVO"/>
    <n v="0"/>
    <n v="0"/>
    <n v="46"/>
    <n v="4"/>
    <n v="0"/>
    <n v="271.27999999999997"/>
    <n v="303.54000000000002"/>
    <m/>
    <n v="331.16804065600439"/>
    <n v="287.16392669686104"/>
    <n v="0"/>
    <n v="-4.2996362026315183E-13"/>
    <n v="0"/>
    <n v="-4.2996362026315183E-13"/>
    <x v="3"/>
  </r>
  <r>
    <s v="Regular"/>
    <x v="2"/>
    <x v="3"/>
    <x v="2"/>
    <x v="5"/>
    <x v="1"/>
    <x v="0"/>
    <x v="1"/>
    <x v="9"/>
    <n v="0"/>
    <n v="0"/>
    <n v="6.6920000000000002"/>
    <n v="6.6920000000000002"/>
    <n v="6.6920000000000002"/>
    <n v="6.6920000000000002"/>
    <n v="87"/>
    <s v="CATIVO"/>
    <n v="0"/>
    <n v="0"/>
    <n v="46"/>
    <n v="4"/>
    <n v="0"/>
    <n v="271.27999999999997"/>
    <n v="303.54000000000002"/>
    <m/>
    <n v="331.16804065600439"/>
    <n v="287.16392669686104"/>
    <n v="0"/>
    <n v="-3.8039615901652725E-13"/>
    <n v="0"/>
    <n v="-3.8039615901652725E-13"/>
    <x v="3"/>
  </r>
  <r>
    <s v="Regular"/>
    <x v="2"/>
    <x v="3"/>
    <x v="2"/>
    <x v="5"/>
    <x v="1"/>
    <x v="0"/>
    <x v="1"/>
    <x v="10"/>
    <n v="0"/>
    <n v="0"/>
    <n v="15.93"/>
    <n v="15.93"/>
    <n v="15.93"/>
    <n v="15.93"/>
    <n v="143"/>
    <s v="CATIVO"/>
    <n v="0"/>
    <n v="0"/>
    <n v="46"/>
    <n v="4"/>
    <n v="0"/>
    <n v="271.27999999999997"/>
    <n v="303.54000000000002"/>
    <m/>
    <n v="331.16804065600439"/>
    <n v="287.16392669686104"/>
    <n v="0"/>
    <n v="-9.0551566245267166E-13"/>
    <n v="0"/>
    <n v="-9.0551566245267166E-13"/>
    <x v="3"/>
  </r>
  <r>
    <s v="Regular"/>
    <x v="2"/>
    <x v="3"/>
    <x v="2"/>
    <x v="5"/>
    <x v="1"/>
    <x v="0"/>
    <x v="1"/>
    <x v="11"/>
    <n v="0"/>
    <n v="0"/>
    <n v="12.44"/>
    <n v="12.44"/>
    <n v="12.44"/>
    <n v="12.44"/>
    <n v="118"/>
    <s v="CATIVO"/>
    <n v="0"/>
    <n v="0"/>
    <n v="46"/>
    <n v="4"/>
    <n v="0"/>
    <n v="271.27999999999997"/>
    <n v="303.54000000000002"/>
    <m/>
    <n v="331.16804065600439"/>
    <n v="287.16392669686104"/>
    <n v="0"/>
    <n v="-7.0713213062845168E-13"/>
    <n v="0"/>
    <n v="-7.0713213062845168E-13"/>
    <x v="3"/>
  </r>
  <r>
    <s v="Regular"/>
    <x v="2"/>
    <x v="3"/>
    <x v="2"/>
    <x v="5"/>
    <x v="1"/>
    <x v="0"/>
    <x v="1"/>
    <x v="0"/>
    <n v="0"/>
    <n v="0"/>
    <n v="7.141"/>
    <n v="7.141"/>
    <n v="7.141"/>
    <n v="7.141"/>
    <n v="95"/>
    <s v="CATIVO"/>
    <n v="0"/>
    <n v="0"/>
    <n v="46"/>
    <n v="4"/>
    <n v="0"/>
    <n v="271.27999999999997"/>
    <n v="303.54000000000002"/>
    <m/>
    <n v="331.16804065600439"/>
    <n v="287.16392669686104"/>
    <n v="0"/>
    <n v="-4.0591885408503003E-13"/>
    <n v="0"/>
    <n v="-4.0591885408503003E-13"/>
    <x v="3"/>
  </r>
  <r>
    <s v="Regular"/>
    <x v="2"/>
    <x v="3"/>
    <x v="2"/>
    <x v="5"/>
    <x v="1"/>
    <x v="0"/>
    <x v="1"/>
    <x v="1"/>
    <n v="0"/>
    <n v="0"/>
    <n v="5.4130000000000003"/>
    <n v="5.4130000000000003"/>
    <n v="5.4130000000000003"/>
    <n v="5.4130000000000003"/>
    <n v="76"/>
    <s v="CATIVO"/>
    <n v="0"/>
    <n v="0"/>
    <n v="46"/>
    <n v="4"/>
    <n v="0"/>
    <n v="271.27999999999997"/>
    <n v="303.54000000000002"/>
    <m/>
    <n v="331.16804065600439"/>
    <n v="287.16392669686104"/>
    <n v="0"/>
    <n v="-3.076934262935538E-13"/>
    <n v="0"/>
    <n v="-3.076934262935538E-13"/>
    <x v="3"/>
  </r>
  <r>
    <s v="Regular"/>
    <x v="2"/>
    <x v="3"/>
    <x v="2"/>
    <x v="5"/>
    <x v="1"/>
    <x v="0"/>
    <x v="1"/>
    <x v="2"/>
    <n v="0"/>
    <n v="0"/>
    <n v="6.1180000000000003"/>
    <n v="6.1180000000000003"/>
    <n v="6.1180000000000003"/>
    <n v="6.1180000000000003"/>
    <n v="69"/>
    <s v="CATIVO"/>
    <n v="0"/>
    <n v="0"/>
    <n v="46"/>
    <n v="4"/>
    <n v="0"/>
    <n v="271.27999999999997"/>
    <n v="303.54000000000002"/>
    <m/>
    <n v="331.16804065600439"/>
    <n v="287.16392669686104"/>
    <n v="0"/>
    <n v="-3.4776803659042345E-13"/>
    <n v="0"/>
    <n v="-3.4776803659042345E-13"/>
    <x v="3"/>
  </r>
  <r>
    <s v="Regular"/>
    <x v="2"/>
    <x v="3"/>
    <x v="2"/>
    <x v="5"/>
    <x v="1"/>
    <x v="0"/>
    <x v="1"/>
    <x v="3"/>
    <n v="0"/>
    <n v="0"/>
    <n v="8.77"/>
    <n v="8.77"/>
    <n v="8.77"/>
    <n v="8.77"/>
    <n v="90"/>
    <s v="CATIVO"/>
    <n v="0"/>
    <n v="0"/>
    <n v="46"/>
    <n v="4"/>
    <n v="0"/>
    <n v="271.27999999999997"/>
    <n v="303.54000000000002"/>
    <m/>
    <n v="331.16804065600439"/>
    <n v="287.16392669686104"/>
    <n v="0"/>
    <n v="-4.9851678340928627E-13"/>
    <n v="0"/>
    <n v="-4.9851678340928627E-13"/>
    <x v="3"/>
  </r>
  <r>
    <s v="Regular"/>
    <x v="3"/>
    <x v="3"/>
    <x v="3"/>
    <x v="6"/>
    <x v="2"/>
    <x v="0"/>
    <x v="1"/>
    <x v="4"/>
    <n v="0"/>
    <n v="0"/>
    <n v="0.1"/>
    <n v="0.1"/>
    <n v="0.1"/>
    <n v="0.1"/>
    <n v="0"/>
    <s v="CATIVO"/>
    <n v="0"/>
    <n v="0"/>
    <n v="62"/>
    <n v="23"/>
    <n v="0"/>
    <n v="301.99"/>
    <n v="267.11"/>
    <m/>
    <n v="458.58209636584064"/>
    <n v="269.93409109504938"/>
    <n v="0"/>
    <n v="7.7610000000000019"/>
    <n v="0"/>
    <n v="4.6501033242184464"/>
    <x v="4"/>
  </r>
  <r>
    <s v="Regular"/>
    <x v="3"/>
    <x v="3"/>
    <x v="3"/>
    <x v="6"/>
    <x v="2"/>
    <x v="0"/>
    <x v="1"/>
    <x v="5"/>
    <n v="0"/>
    <n v="0"/>
    <n v="0.1"/>
    <n v="0.1"/>
    <n v="0.1"/>
    <n v="0.1"/>
    <n v="0"/>
    <s v="CATIVO"/>
    <n v="0"/>
    <n v="0"/>
    <n v="62"/>
    <n v="23"/>
    <n v="0"/>
    <n v="301.99"/>
    <n v="267.11"/>
    <m/>
    <n v="458.58209636584064"/>
    <n v="269.93409109504938"/>
    <n v="0"/>
    <n v="7.7610000000000019"/>
    <n v="0"/>
    <n v="4.6501033242184464"/>
    <x v="4"/>
  </r>
  <r>
    <s v="Regular"/>
    <x v="3"/>
    <x v="3"/>
    <x v="3"/>
    <x v="6"/>
    <x v="2"/>
    <x v="0"/>
    <x v="1"/>
    <x v="6"/>
    <n v="0"/>
    <n v="0"/>
    <n v="0.221"/>
    <n v="0.221"/>
    <n v="0.221"/>
    <n v="0.221"/>
    <n v="0"/>
    <s v="CATIVO"/>
    <n v="0"/>
    <n v="0"/>
    <n v="62"/>
    <n v="23"/>
    <n v="0"/>
    <n v="301.99"/>
    <n v="267.11"/>
    <m/>
    <n v="458.58209636584064"/>
    <n v="269.93409109504938"/>
    <n v="0"/>
    <n v="17.151810000000005"/>
    <n v="0"/>
    <n v="10.276728346522766"/>
    <x v="4"/>
  </r>
  <r>
    <s v="Regular"/>
    <x v="3"/>
    <x v="3"/>
    <x v="3"/>
    <x v="6"/>
    <x v="2"/>
    <x v="0"/>
    <x v="1"/>
    <x v="7"/>
    <n v="0"/>
    <n v="0"/>
    <n v="0.16200000000000001"/>
    <n v="0.16200000000000001"/>
    <n v="0.16200000000000001"/>
    <n v="0.16200000000000001"/>
    <n v="0"/>
    <s v="CATIVO"/>
    <n v="0"/>
    <n v="0"/>
    <n v="62"/>
    <n v="23"/>
    <n v="0"/>
    <n v="301.99"/>
    <n v="267.11"/>
    <m/>
    <n v="458.58209636584064"/>
    <n v="269.93409109504938"/>
    <n v="0"/>
    <n v="12.572820000000002"/>
    <n v="0"/>
    <n v="7.5331673852338827"/>
    <x v="4"/>
  </r>
  <r>
    <s v="Regular"/>
    <x v="3"/>
    <x v="3"/>
    <x v="3"/>
    <x v="6"/>
    <x v="2"/>
    <x v="0"/>
    <x v="1"/>
    <x v="8"/>
    <n v="0"/>
    <n v="0"/>
    <n v="0.20599999999999999"/>
    <n v="0.20599999999999999"/>
    <n v="0.20599999999999999"/>
    <n v="0.20599999999999999"/>
    <n v="0"/>
    <s v="CATIVO"/>
    <n v="0"/>
    <n v="0"/>
    <n v="62"/>
    <n v="23"/>
    <n v="0"/>
    <n v="301.99"/>
    <n v="267.11"/>
    <m/>
    <n v="458.58209636584064"/>
    <n v="269.93409109504938"/>
    <n v="0"/>
    <n v="15.987660000000002"/>
    <n v="0"/>
    <n v="9.5792128478899983"/>
    <x v="4"/>
  </r>
  <r>
    <s v="Regular"/>
    <x v="3"/>
    <x v="3"/>
    <x v="3"/>
    <x v="6"/>
    <x v="2"/>
    <x v="0"/>
    <x v="1"/>
    <x v="9"/>
    <n v="0"/>
    <n v="0"/>
    <n v="0.1"/>
    <n v="0.1"/>
    <n v="0.1"/>
    <n v="0.1"/>
    <n v="0"/>
    <s v="CATIVO"/>
    <n v="0"/>
    <n v="0"/>
    <n v="62"/>
    <n v="23"/>
    <n v="0"/>
    <n v="301.99"/>
    <n v="267.11"/>
    <m/>
    <n v="458.58209636584064"/>
    <n v="269.93409109504938"/>
    <n v="0"/>
    <n v="7.7610000000000019"/>
    <n v="0"/>
    <n v="4.6501033242184464"/>
    <x v="4"/>
  </r>
  <r>
    <s v="Regular"/>
    <x v="3"/>
    <x v="3"/>
    <x v="3"/>
    <x v="6"/>
    <x v="2"/>
    <x v="0"/>
    <x v="1"/>
    <x v="10"/>
    <n v="0"/>
    <n v="0"/>
    <n v="0.5"/>
    <n v="0.5"/>
    <n v="0.5"/>
    <n v="0.5"/>
    <n v="0"/>
    <s v="CATIVO"/>
    <n v="0"/>
    <n v="0"/>
    <n v="62"/>
    <n v="23"/>
    <n v="0"/>
    <n v="301.99"/>
    <n v="267.11"/>
    <m/>
    <n v="458.58209636584064"/>
    <n v="269.93409109504938"/>
    <n v="0"/>
    <n v="38.805000000000007"/>
    <n v="0"/>
    <n v="23.250516621092231"/>
    <x v="4"/>
  </r>
  <r>
    <s v="Regular"/>
    <x v="3"/>
    <x v="3"/>
    <x v="3"/>
    <x v="6"/>
    <x v="2"/>
    <x v="0"/>
    <x v="1"/>
    <x v="11"/>
    <n v="0"/>
    <n v="0"/>
    <n v="0.313"/>
    <n v="0.313"/>
    <n v="0.313"/>
    <n v="0.313"/>
    <n v="0"/>
    <s v="CATIVO"/>
    <n v="0"/>
    <n v="0"/>
    <n v="62"/>
    <n v="23"/>
    <n v="0"/>
    <n v="301.99"/>
    <n v="267.11"/>
    <m/>
    <n v="458.58209636584064"/>
    <n v="269.93409109504938"/>
    <n v="0"/>
    <n v="24.291930000000004"/>
    <n v="0"/>
    <n v="14.554823404803736"/>
    <x v="4"/>
  </r>
  <r>
    <s v="Regular"/>
    <x v="3"/>
    <x v="3"/>
    <x v="3"/>
    <x v="6"/>
    <x v="2"/>
    <x v="0"/>
    <x v="1"/>
    <x v="0"/>
    <n v="0"/>
    <n v="0"/>
    <n v="0.24299999999999999"/>
    <n v="0.24299999999999999"/>
    <n v="0.24299999999999999"/>
    <n v="0.24299999999999999"/>
    <n v="0"/>
    <s v="CATIVO"/>
    <n v="0"/>
    <n v="0"/>
    <n v="62"/>
    <n v="23"/>
    <n v="0"/>
    <n v="301.99"/>
    <n v="267.11"/>
    <m/>
    <n v="458.58209636584064"/>
    <n v="269.93409109504938"/>
    <n v="0"/>
    <n v="18.859230000000004"/>
    <n v="0"/>
    <n v="11.299751077850823"/>
    <x v="4"/>
  </r>
  <r>
    <s v="Regular"/>
    <x v="3"/>
    <x v="3"/>
    <x v="3"/>
    <x v="6"/>
    <x v="2"/>
    <x v="0"/>
    <x v="1"/>
    <x v="1"/>
    <n v="0"/>
    <n v="0"/>
    <n v="0.309"/>
    <n v="0.309"/>
    <n v="0.309"/>
    <n v="0.309"/>
    <n v="0"/>
    <s v="CATIVO"/>
    <n v="0"/>
    <n v="0"/>
    <n v="62"/>
    <n v="23"/>
    <n v="0"/>
    <n v="301.99"/>
    <n v="267.11"/>
    <m/>
    <n v="458.58209636584064"/>
    <n v="269.93409109504938"/>
    <n v="0"/>
    <n v="23.981490000000004"/>
    <n v="0"/>
    <n v="14.368819271834999"/>
    <x v="4"/>
  </r>
  <r>
    <s v="Regular"/>
    <x v="3"/>
    <x v="3"/>
    <x v="3"/>
    <x v="6"/>
    <x v="2"/>
    <x v="0"/>
    <x v="1"/>
    <x v="2"/>
    <n v="0"/>
    <n v="0"/>
    <n v="0.2"/>
    <n v="0.2"/>
    <n v="0.2"/>
    <n v="0.2"/>
    <n v="0"/>
    <s v="CATIVO"/>
    <n v="0"/>
    <n v="0"/>
    <n v="62"/>
    <n v="23"/>
    <n v="0"/>
    <n v="301.99"/>
    <n v="267.11"/>
    <m/>
    <n v="458.58209636584064"/>
    <n v="269.93409109504938"/>
    <n v="0"/>
    <n v="15.522000000000004"/>
    <n v="0"/>
    <n v="9.3002066484368928"/>
    <x v="4"/>
  </r>
  <r>
    <s v="Regular"/>
    <x v="3"/>
    <x v="3"/>
    <x v="3"/>
    <x v="6"/>
    <x v="2"/>
    <x v="0"/>
    <x v="1"/>
    <x v="3"/>
    <n v="0"/>
    <n v="0"/>
    <n v="0.22500000000000001"/>
    <n v="0.22500000000000001"/>
    <n v="0.22500000000000001"/>
    <n v="0.22500000000000001"/>
    <n v="0"/>
    <s v="CATIVO"/>
    <n v="0"/>
    <n v="0"/>
    <n v="62"/>
    <n v="23"/>
    <n v="0"/>
    <n v="301.99"/>
    <n v="267.11"/>
    <m/>
    <n v="458.58209636584064"/>
    <n v="269.93409109504938"/>
    <n v="0"/>
    <n v="17.462250000000004"/>
    <n v="0"/>
    <n v="10.462732479491505"/>
    <x v="4"/>
  </r>
  <r>
    <s v="Regular"/>
    <x v="3"/>
    <x v="3"/>
    <x v="3"/>
    <x v="6"/>
    <x v="3"/>
    <x v="0"/>
    <x v="1"/>
    <x v="7"/>
    <n v="0"/>
    <n v="0"/>
    <n v="1.9E-2"/>
    <n v="7.6E-3"/>
    <n v="1.9E-2"/>
    <n v="7.6E-3"/>
    <n v="0"/>
    <s v="CATIVO"/>
    <n v="0"/>
    <n v="0"/>
    <n v="62"/>
    <n v="23"/>
    <n v="0"/>
    <n v="301.99"/>
    <n v="267.11"/>
    <m/>
    <n v="458.58209636584064"/>
    <n v="269.93409109504938"/>
    <n v="0"/>
    <n v="7.9623300000000006"/>
    <n v="0"/>
    <n v="9.188604168655651"/>
    <x v="5"/>
  </r>
  <r>
    <s v="Regular"/>
    <x v="3"/>
    <x v="3"/>
    <x v="3"/>
    <x v="6"/>
    <x v="3"/>
    <x v="0"/>
    <x v="1"/>
    <x v="11"/>
    <n v="0"/>
    <n v="0"/>
    <n v="0.93799999999999994"/>
    <n v="0.37519999999999998"/>
    <n v="0.93799999999999994"/>
    <n v="0.37519999999999998"/>
    <n v="0"/>
    <s v="CATIVO"/>
    <n v="0"/>
    <n v="0"/>
    <n v="62"/>
    <n v="23"/>
    <n v="0"/>
    <n v="301.99"/>
    <n v="267.11"/>
    <m/>
    <n v="458.58209636584064"/>
    <n v="269.93409109504938"/>
    <n v="0"/>
    <n v="393.08765999999997"/>
    <n v="0"/>
    <n v="453.62687948415794"/>
    <x v="5"/>
  </r>
  <r>
    <s v="Regular"/>
    <x v="3"/>
    <x v="3"/>
    <x v="3"/>
    <x v="6"/>
    <x v="3"/>
    <x v="0"/>
    <x v="1"/>
    <x v="0"/>
    <n v="0"/>
    <n v="0"/>
    <n v="0.309"/>
    <n v="0.1236"/>
    <n v="0.309"/>
    <n v="0.1236"/>
    <n v="0"/>
    <s v="CATIVO"/>
    <n v="0"/>
    <n v="0"/>
    <n v="62"/>
    <n v="23"/>
    <n v="0"/>
    <n v="301.99"/>
    <n v="267.11"/>
    <m/>
    <n v="458.58209636584064"/>
    <n v="269.93409109504938"/>
    <n v="0"/>
    <n v="129.49263000000002"/>
    <n v="0"/>
    <n v="149.43572042708402"/>
    <x v="5"/>
  </r>
  <r>
    <s v="Regular"/>
    <x v="3"/>
    <x v="3"/>
    <x v="3"/>
    <x v="7"/>
    <x v="2"/>
    <x v="0"/>
    <x v="1"/>
    <x v="4"/>
    <n v="0"/>
    <n v="0"/>
    <n v="0.96799999999999997"/>
    <n v="0.96799999999999997"/>
    <n v="0.96799999999999997"/>
    <n v="0.96799999999999997"/>
    <n v="0"/>
    <s v="CATIVO"/>
    <n v="0"/>
    <n v="0"/>
    <n v="62"/>
    <n v="23"/>
    <n v="0"/>
    <n v="301.99"/>
    <n v="267.11"/>
    <m/>
    <n v="458.58209636584064"/>
    <n v="269.93409109504938"/>
    <n v="0"/>
    <n v="75.126480000000015"/>
    <n v="0"/>
    <n v="45.013000178434559"/>
    <x v="4"/>
  </r>
  <r>
    <s v="Regular"/>
    <x v="3"/>
    <x v="3"/>
    <x v="3"/>
    <x v="7"/>
    <x v="2"/>
    <x v="0"/>
    <x v="1"/>
    <x v="5"/>
    <n v="0"/>
    <n v="0"/>
    <n v="0.85199999999999998"/>
    <n v="0.85199999999999998"/>
    <n v="0.85199999999999998"/>
    <n v="0.85199999999999998"/>
    <n v="0"/>
    <s v="CATIVO"/>
    <n v="0"/>
    <n v="0"/>
    <n v="62"/>
    <n v="23"/>
    <n v="0"/>
    <n v="301.99"/>
    <n v="267.11"/>
    <m/>
    <n v="458.58209636584064"/>
    <n v="269.93409109504938"/>
    <n v="0"/>
    <n v="66.123720000000006"/>
    <n v="0"/>
    <n v="39.618880322341163"/>
    <x v="4"/>
  </r>
  <r>
    <s v="Regular"/>
    <x v="3"/>
    <x v="3"/>
    <x v="3"/>
    <x v="7"/>
    <x v="2"/>
    <x v="0"/>
    <x v="1"/>
    <x v="6"/>
    <n v="0"/>
    <n v="0"/>
    <n v="1.4"/>
    <n v="1.4"/>
    <n v="1.4"/>
    <n v="1.4"/>
    <n v="0"/>
    <s v="CATIVO"/>
    <n v="0"/>
    <n v="0"/>
    <n v="62"/>
    <n v="23"/>
    <n v="0"/>
    <n v="301.99"/>
    <n v="267.11"/>
    <m/>
    <n v="458.58209636584064"/>
    <n v="269.93409109504938"/>
    <n v="0"/>
    <n v="108.65400000000001"/>
    <n v="0"/>
    <n v="65.101446539058244"/>
    <x v="4"/>
  </r>
  <r>
    <s v="Regular"/>
    <x v="3"/>
    <x v="3"/>
    <x v="3"/>
    <x v="7"/>
    <x v="2"/>
    <x v="0"/>
    <x v="1"/>
    <x v="7"/>
    <n v="0"/>
    <n v="0"/>
    <n v="0.52100000000000002"/>
    <n v="0.52100000000000002"/>
    <n v="0.52100000000000002"/>
    <n v="0.52100000000000002"/>
    <n v="0"/>
    <s v="CATIVO"/>
    <n v="0"/>
    <n v="0"/>
    <n v="62"/>
    <n v="23"/>
    <n v="0"/>
    <n v="301.99"/>
    <n v="267.11"/>
    <m/>
    <n v="458.58209636584064"/>
    <n v="269.93409109504938"/>
    <n v="0"/>
    <n v="40.434810000000006"/>
    <n v="0"/>
    <n v="24.227038319178106"/>
    <x v="4"/>
  </r>
  <r>
    <s v="Regular"/>
    <x v="3"/>
    <x v="3"/>
    <x v="3"/>
    <x v="7"/>
    <x v="2"/>
    <x v="0"/>
    <x v="1"/>
    <x v="8"/>
    <n v="0"/>
    <n v="0"/>
    <n v="1.2849999999999999"/>
    <n v="1.2849999999999999"/>
    <n v="1.2849999999999999"/>
    <n v="1.2849999999999999"/>
    <n v="0"/>
    <s v="CATIVO"/>
    <n v="0"/>
    <n v="0"/>
    <n v="62"/>
    <n v="23"/>
    <n v="0"/>
    <n v="301.99"/>
    <n v="267.11"/>
    <m/>
    <n v="458.58209636584064"/>
    <n v="269.93409109504938"/>
    <n v="0"/>
    <n v="99.728850000000008"/>
    <n v="0"/>
    <n v="59.753827716207027"/>
    <x v="4"/>
  </r>
  <r>
    <s v="Regular"/>
    <x v="3"/>
    <x v="3"/>
    <x v="3"/>
    <x v="7"/>
    <x v="2"/>
    <x v="0"/>
    <x v="1"/>
    <x v="9"/>
    <n v="0"/>
    <n v="0"/>
    <n v="1.57"/>
    <n v="1.57"/>
    <n v="1.57"/>
    <n v="1.57"/>
    <n v="0"/>
    <s v="CATIVO"/>
    <n v="0"/>
    <n v="0"/>
    <n v="62"/>
    <n v="23"/>
    <n v="0"/>
    <n v="301.99"/>
    <n v="267.11"/>
    <m/>
    <n v="458.58209636584064"/>
    <n v="269.93409109504938"/>
    <n v="0"/>
    <n v="121.84770000000003"/>
    <n v="0"/>
    <n v="73.006622190229606"/>
    <x v="4"/>
  </r>
  <r>
    <s v="Regular"/>
    <x v="3"/>
    <x v="3"/>
    <x v="3"/>
    <x v="7"/>
    <x v="2"/>
    <x v="0"/>
    <x v="1"/>
    <x v="10"/>
    <n v="0"/>
    <n v="0"/>
    <n v="1.621"/>
    <n v="1.621"/>
    <n v="1.621"/>
    <n v="1.621"/>
    <n v="0"/>
    <s v="CATIVO"/>
    <n v="0"/>
    <n v="0"/>
    <n v="62"/>
    <n v="23"/>
    <n v="0"/>
    <n v="301.99"/>
    <n v="267.11"/>
    <m/>
    <n v="458.58209636584064"/>
    <n v="269.93409109504938"/>
    <n v="0"/>
    <n v="125.80581000000002"/>
    <n v="0"/>
    <n v="75.378174885581018"/>
    <x v="4"/>
  </r>
  <r>
    <s v="Regular"/>
    <x v="3"/>
    <x v="3"/>
    <x v="3"/>
    <x v="7"/>
    <x v="2"/>
    <x v="0"/>
    <x v="1"/>
    <x v="11"/>
    <n v="0"/>
    <n v="0"/>
    <n v="0.90700000000000003"/>
    <n v="0.90700000000000003"/>
    <n v="0.90700000000000003"/>
    <n v="0.90700000000000003"/>
    <n v="0"/>
    <s v="CATIVO"/>
    <n v="0"/>
    <n v="0"/>
    <n v="62"/>
    <n v="23"/>
    <n v="0"/>
    <n v="301.99"/>
    <n v="267.11"/>
    <m/>
    <n v="458.58209636584064"/>
    <n v="269.93409109504938"/>
    <n v="0"/>
    <n v="70.392270000000011"/>
    <n v="0"/>
    <n v="42.176437150661307"/>
    <x v="4"/>
  </r>
  <r>
    <s v="Regular"/>
    <x v="3"/>
    <x v="3"/>
    <x v="3"/>
    <x v="7"/>
    <x v="2"/>
    <x v="0"/>
    <x v="1"/>
    <x v="0"/>
    <n v="0"/>
    <n v="0"/>
    <n v="1.081"/>
    <n v="1.081"/>
    <n v="1.081"/>
    <n v="1.081"/>
    <n v="0"/>
    <s v="CATIVO"/>
    <n v="0"/>
    <n v="0"/>
    <n v="62"/>
    <n v="23"/>
    <n v="0"/>
    <n v="301.99"/>
    <n v="267.11"/>
    <m/>
    <n v="458.58209636584064"/>
    <n v="269.93409109504938"/>
    <n v="0"/>
    <n v="83.896410000000017"/>
    <n v="0"/>
    <n v="50.267616934801403"/>
    <x v="4"/>
  </r>
  <r>
    <s v="Regular"/>
    <x v="3"/>
    <x v="3"/>
    <x v="3"/>
    <x v="7"/>
    <x v="2"/>
    <x v="0"/>
    <x v="1"/>
    <x v="1"/>
    <n v="0"/>
    <n v="0"/>
    <n v="1.173"/>
    <n v="1.173"/>
    <n v="1.173"/>
    <n v="1.173"/>
    <n v="0"/>
    <s v="CATIVO"/>
    <n v="0"/>
    <n v="0"/>
    <n v="62"/>
    <n v="23"/>
    <n v="0"/>
    <n v="301.99"/>
    <n v="267.11"/>
    <m/>
    <n v="458.58209636584064"/>
    <n v="269.93409109504938"/>
    <n v="0"/>
    <n v="91.036530000000013"/>
    <n v="0"/>
    <n v="54.545711993082378"/>
    <x v="4"/>
  </r>
  <r>
    <s v="Regular"/>
    <x v="3"/>
    <x v="3"/>
    <x v="3"/>
    <x v="7"/>
    <x v="2"/>
    <x v="0"/>
    <x v="1"/>
    <x v="2"/>
    <n v="0"/>
    <n v="0"/>
    <n v="0.95299999999999996"/>
    <n v="0.95299999999999996"/>
    <n v="0.95299999999999996"/>
    <n v="0.95299999999999996"/>
    <n v="0"/>
    <s v="CATIVO"/>
    <n v="0"/>
    <n v="0"/>
    <n v="62"/>
    <n v="23"/>
    <n v="0"/>
    <n v="301.99"/>
    <n v="267.11"/>
    <m/>
    <n v="458.58209636584064"/>
    <n v="269.93409109504938"/>
    <n v="0"/>
    <n v="73.962330000000009"/>
    <n v="0"/>
    <n v="44.315484679801791"/>
    <x v="4"/>
  </r>
  <r>
    <s v="Regular"/>
    <x v="3"/>
    <x v="3"/>
    <x v="3"/>
    <x v="7"/>
    <x v="2"/>
    <x v="0"/>
    <x v="1"/>
    <x v="3"/>
    <n v="0"/>
    <n v="0"/>
    <n v="0.73699999999999999"/>
    <n v="0.73699999999999999"/>
    <n v="0.73699999999999999"/>
    <n v="0.73699999999999999"/>
    <n v="0"/>
    <s v="CATIVO"/>
    <n v="0"/>
    <n v="0"/>
    <n v="62"/>
    <n v="23"/>
    <n v="0"/>
    <n v="301.99"/>
    <n v="267.11"/>
    <m/>
    <n v="458.58209636584064"/>
    <n v="269.93409109504938"/>
    <n v="0"/>
    <n v="57.198570000000011"/>
    <n v="0"/>
    <n v="34.271261499489945"/>
    <x v="4"/>
  </r>
  <r>
    <s v="Regular"/>
    <x v="3"/>
    <x v="3"/>
    <x v="3"/>
    <x v="7"/>
    <x v="3"/>
    <x v="0"/>
    <x v="1"/>
    <x v="4"/>
    <n v="0"/>
    <n v="0"/>
    <n v="1.992"/>
    <n v="0.79679999999999995"/>
    <n v="1.992"/>
    <n v="0.79679999999999995"/>
    <n v="0"/>
    <s v="CATIVO"/>
    <n v="0"/>
    <n v="0"/>
    <n v="62"/>
    <n v="23"/>
    <n v="0"/>
    <n v="301.99"/>
    <n v="267.11"/>
    <m/>
    <n v="458.58209636584064"/>
    <n v="269.93409109504938"/>
    <n v="0"/>
    <n v="834.78744000000006"/>
    <n v="0"/>
    <n v="963.3526054716873"/>
    <x v="5"/>
  </r>
  <r>
    <s v="Regular"/>
    <x v="3"/>
    <x v="3"/>
    <x v="3"/>
    <x v="7"/>
    <x v="3"/>
    <x v="0"/>
    <x v="1"/>
    <x v="5"/>
    <n v="0"/>
    <n v="0"/>
    <n v="2.012"/>
    <n v="0.80479999999999996"/>
    <n v="2.012"/>
    <n v="0.80479999999999996"/>
    <n v="0"/>
    <s v="CATIVO"/>
    <n v="0"/>
    <n v="0"/>
    <n v="62"/>
    <n v="23"/>
    <n v="0"/>
    <n v="301.99"/>
    <n v="267.11"/>
    <m/>
    <n v="458.58209636584064"/>
    <n v="269.93409109504938"/>
    <n v="0"/>
    <n v="843.16884000000016"/>
    <n v="0"/>
    <n v="973.02482038606172"/>
    <x v="5"/>
  </r>
  <r>
    <s v="Regular"/>
    <x v="3"/>
    <x v="3"/>
    <x v="3"/>
    <x v="7"/>
    <x v="3"/>
    <x v="0"/>
    <x v="1"/>
    <x v="6"/>
    <n v="0"/>
    <n v="0"/>
    <n v="1.7290000000000001"/>
    <n v="0.69159999999999999"/>
    <n v="1.7290000000000001"/>
    <n v="0.69159999999999999"/>
    <n v="0"/>
    <s v="CATIVO"/>
    <n v="0"/>
    <n v="0"/>
    <n v="62"/>
    <n v="23"/>
    <n v="0"/>
    <n v="301.99"/>
    <n v="267.11"/>
    <m/>
    <n v="458.58209636584064"/>
    <n v="269.93409109504938"/>
    <n v="0"/>
    <n v="724.57203000000004"/>
    <n v="0"/>
    <n v="836.1629793476643"/>
    <x v="5"/>
  </r>
  <r>
    <s v="Regular"/>
    <x v="3"/>
    <x v="3"/>
    <x v="3"/>
    <x v="7"/>
    <x v="3"/>
    <x v="0"/>
    <x v="1"/>
    <x v="7"/>
    <n v="0"/>
    <n v="0"/>
    <n v="0.91200000000000003"/>
    <n v="0.36480000000000001"/>
    <n v="0.91200000000000003"/>
    <n v="0.36480000000000001"/>
    <n v="0"/>
    <s v="CATIVO"/>
    <n v="0"/>
    <n v="0"/>
    <n v="62"/>
    <n v="23"/>
    <n v="0"/>
    <n v="301.99"/>
    <n v="267.11"/>
    <m/>
    <n v="458.58209636584064"/>
    <n v="269.93409109504938"/>
    <n v="0"/>
    <n v="382.19184000000001"/>
    <n v="0"/>
    <n v="441.0530000954713"/>
    <x v="5"/>
  </r>
  <r>
    <s v="Regular"/>
    <x v="3"/>
    <x v="3"/>
    <x v="3"/>
    <x v="7"/>
    <x v="3"/>
    <x v="0"/>
    <x v="1"/>
    <x v="8"/>
    <n v="0"/>
    <n v="0"/>
    <n v="1.5309999999999999"/>
    <n v="0.61240000000000006"/>
    <n v="1.5309999999999999"/>
    <n v="0.61240000000000006"/>
    <n v="0"/>
    <s v="CATIVO"/>
    <n v="0"/>
    <n v="0"/>
    <n v="62"/>
    <n v="23"/>
    <n v="0"/>
    <n v="301.99"/>
    <n v="267.11"/>
    <m/>
    <n v="458.58209636584064"/>
    <n v="269.93409109504938"/>
    <n v="0"/>
    <n v="641.59616999999992"/>
    <n v="0"/>
    <n v="740.40805169535793"/>
    <x v="5"/>
  </r>
  <r>
    <s v="Regular"/>
    <x v="3"/>
    <x v="3"/>
    <x v="3"/>
    <x v="7"/>
    <x v="3"/>
    <x v="0"/>
    <x v="1"/>
    <x v="9"/>
    <n v="0"/>
    <n v="0"/>
    <n v="1.302"/>
    <n v="0.52080000000000004"/>
    <n v="1.302"/>
    <n v="0.52080000000000004"/>
    <n v="0"/>
    <s v="CATIVO"/>
    <n v="0"/>
    <n v="0"/>
    <n v="62"/>
    <n v="23"/>
    <n v="0"/>
    <n v="301.99"/>
    <n v="267.11"/>
    <m/>
    <n v="458.58209636584064"/>
    <n v="269.93409109504938"/>
    <n v="0"/>
    <n v="545.62914000000001"/>
    <n v="0"/>
    <n v="629.66119092577139"/>
    <x v="5"/>
  </r>
  <r>
    <s v="Regular"/>
    <x v="3"/>
    <x v="3"/>
    <x v="3"/>
    <x v="7"/>
    <x v="3"/>
    <x v="0"/>
    <x v="1"/>
    <x v="10"/>
    <n v="0"/>
    <n v="0"/>
    <n v="1.1479999999999999"/>
    <n v="0.4592"/>
    <n v="1.1479999999999999"/>
    <n v="0.4592"/>
    <n v="0"/>
    <s v="CATIVO"/>
    <n v="0"/>
    <n v="0"/>
    <n v="62"/>
    <n v="23"/>
    <n v="0"/>
    <n v="301.99"/>
    <n v="267.11"/>
    <m/>
    <n v="458.58209636584064"/>
    <n v="269.93409109504938"/>
    <n v="0"/>
    <n v="481.09235999999999"/>
    <n v="0"/>
    <n v="555.18513608508874"/>
    <x v="5"/>
  </r>
  <r>
    <s v="Regular"/>
    <x v="3"/>
    <x v="3"/>
    <x v="3"/>
    <x v="7"/>
    <x v="3"/>
    <x v="0"/>
    <x v="1"/>
    <x v="11"/>
    <n v="0"/>
    <n v="0"/>
    <n v="0.73399999999999999"/>
    <n v="0.29360000000000003"/>
    <n v="0.73399999999999999"/>
    <n v="0.29360000000000003"/>
    <n v="0"/>
    <s v="CATIVO"/>
    <n v="0"/>
    <n v="0"/>
    <n v="62"/>
    <n v="23"/>
    <n v="0"/>
    <n v="301.99"/>
    <n v="267.11"/>
    <m/>
    <n v="458.58209636584064"/>
    <n v="269.93409109504938"/>
    <n v="0"/>
    <n v="307.59737999999999"/>
    <n v="0"/>
    <n v="354.97028735753935"/>
    <x v="5"/>
  </r>
  <r>
    <s v="Regular"/>
    <x v="3"/>
    <x v="3"/>
    <x v="3"/>
    <x v="7"/>
    <x v="3"/>
    <x v="0"/>
    <x v="1"/>
    <x v="0"/>
    <n v="0"/>
    <n v="0"/>
    <n v="0.89300000000000002"/>
    <n v="0.35720000000000002"/>
    <n v="0.89300000000000002"/>
    <n v="0.35720000000000002"/>
    <n v="0"/>
    <s v="CATIVO"/>
    <n v="0"/>
    <n v="0"/>
    <n v="62"/>
    <n v="23"/>
    <n v="0"/>
    <n v="301.99"/>
    <n v="267.11"/>
    <m/>
    <n v="458.58209636584064"/>
    <n v="269.93409109504938"/>
    <n v="0"/>
    <n v="374.22951"/>
    <n v="0"/>
    <n v="431.86439592681563"/>
    <x v="5"/>
  </r>
  <r>
    <s v="Regular"/>
    <x v="3"/>
    <x v="3"/>
    <x v="3"/>
    <x v="7"/>
    <x v="3"/>
    <x v="0"/>
    <x v="1"/>
    <x v="1"/>
    <n v="0"/>
    <n v="0"/>
    <n v="1.534"/>
    <n v="0.61360000000000003"/>
    <n v="1.534"/>
    <n v="0.61360000000000003"/>
    <n v="0"/>
    <s v="CATIVO"/>
    <n v="0"/>
    <n v="0"/>
    <n v="62"/>
    <n v="23"/>
    <n v="0"/>
    <n v="301.99"/>
    <n v="267.11"/>
    <m/>
    <n v="458.58209636584064"/>
    <n v="269.93409109504938"/>
    <n v="0"/>
    <n v="642.85338000000013"/>
    <n v="0"/>
    <n v="741.85888393251412"/>
    <x v="5"/>
  </r>
  <r>
    <s v="Regular"/>
    <x v="3"/>
    <x v="3"/>
    <x v="3"/>
    <x v="7"/>
    <x v="3"/>
    <x v="0"/>
    <x v="1"/>
    <x v="2"/>
    <n v="0"/>
    <n v="0"/>
    <n v="1.4730000000000001"/>
    <n v="0.58919999999999995"/>
    <n v="1.4730000000000001"/>
    <n v="0.58919999999999995"/>
    <n v="0"/>
    <s v="CATIVO"/>
    <n v="0"/>
    <n v="0"/>
    <n v="62"/>
    <n v="23"/>
    <n v="0"/>
    <n v="301.99"/>
    <n v="267.11"/>
    <m/>
    <n v="458.58209636584064"/>
    <n v="269.93409109504938"/>
    <n v="0"/>
    <n v="617.29011000000014"/>
    <n v="0"/>
    <n v="712.35862844367239"/>
    <x v="5"/>
  </r>
  <r>
    <s v="Regular"/>
    <x v="3"/>
    <x v="3"/>
    <x v="3"/>
    <x v="7"/>
    <x v="3"/>
    <x v="0"/>
    <x v="1"/>
    <x v="3"/>
    <n v="0"/>
    <n v="0"/>
    <n v="0.89500000000000002"/>
    <n v="0.35799999999999998"/>
    <n v="0.89500000000000002"/>
    <n v="0.35799999999999998"/>
    <n v="0"/>
    <s v="CATIVO"/>
    <n v="0"/>
    <n v="0"/>
    <n v="62"/>
    <n v="23"/>
    <n v="0"/>
    <n v="301.99"/>
    <n v="267.11"/>
    <m/>
    <n v="458.58209636584064"/>
    <n v="269.93409109504938"/>
    <n v="0"/>
    <n v="375.06765000000007"/>
    <n v="0"/>
    <n v="432.83161741825302"/>
    <x v="5"/>
  </r>
  <r>
    <s v="Regular"/>
    <x v="3"/>
    <x v="3"/>
    <x v="3"/>
    <x v="0"/>
    <x v="1"/>
    <x v="0"/>
    <x v="1"/>
    <x v="4"/>
    <n v="0"/>
    <n v="0"/>
    <n v="201.24"/>
    <n v="201.24"/>
    <n v="201.24"/>
    <n v="201.24"/>
    <n v="794"/>
    <s v="CATIVO"/>
    <n v="0"/>
    <n v="0"/>
    <n v="62"/>
    <n v="23"/>
    <n v="0"/>
    <n v="301.99"/>
    <n v="267.11"/>
    <m/>
    <n v="458.58209636584064"/>
    <n v="269.93409109504938"/>
    <n v="0"/>
    <n v="15618.236400000003"/>
    <n v="0"/>
    <n v="9357.8679296572009"/>
    <x v="4"/>
  </r>
  <r>
    <s v="Sistema de Compensação"/>
    <x v="3"/>
    <x v="3"/>
    <x v="3"/>
    <x v="0"/>
    <x v="1"/>
    <x v="0"/>
    <x v="1"/>
    <x v="4"/>
    <n v="0"/>
    <n v="0"/>
    <n v="4.51"/>
    <n v="4.51"/>
    <n v="4.51"/>
    <n v="4.51"/>
    <n v="32"/>
    <s v="CATIVO"/>
    <n v="0"/>
    <n v="0"/>
    <n v="62"/>
    <n v="23"/>
    <n v="0"/>
    <n v="301.99"/>
    <n v="267.11"/>
    <m/>
    <n v="458.58209636584064"/>
    <n v="269.93409109504938"/>
    <n v="0"/>
    <n v="350.02110000000005"/>
    <n v="0"/>
    <n v="209.71965992225191"/>
    <x v="4"/>
  </r>
  <r>
    <s v="Regular"/>
    <x v="3"/>
    <x v="3"/>
    <x v="3"/>
    <x v="0"/>
    <x v="1"/>
    <x v="0"/>
    <x v="1"/>
    <x v="5"/>
    <n v="0"/>
    <n v="0"/>
    <n v="228.11099999999999"/>
    <n v="228.11099999999999"/>
    <n v="228.11099999999999"/>
    <n v="228.11099999999999"/>
    <n v="791"/>
    <s v="CATIVO"/>
    <n v="0"/>
    <n v="0"/>
    <n v="62"/>
    <n v="23"/>
    <n v="0"/>
    <n v="301.99"/>
    <n v="267.11"/>
    <m/>
    <n v="458.58209636584064"/>
    <n v="269.93409109504938"/>
    <n v="0"/>
    <n v="17703.694710000003"/>
    <n v="0"/>
    <n v="10607.39719390794"/>
    <x v="4"/>
  </r>
  <r>
    <s v="Sistema de Compensação"/>
    <x v="3"/>
    <x v="3"/>
    <x v="3"/>
    <x v="0"/>
    <x v="1"/>
    <x v="0"/>
    <x v="1"/>
    <x v="5"/>
    <n v="0"/>
    <n v="0"/>
    <n v="7.26"/>
    <n v="7.26"/>
    <n v="7.26"/>
    <n v="7.26"/>
    <n v="33"/>
    <s v="CATIVO"/>
    <n v="0"/>
    <n v="0"/>
    <n v="62"/>
    <n v="23"/>
    <n v="0"/>
    <n v="301.99"/>
    <n v="267.11"/>
    <m/>
    <n v="458.58209636584064"/>
    <n v="269.93409109504938"/>
    <n v="0"/>
    <n v="563.44860000000006"/>
    <n v="0"/>
    <n v="337.59750133825918"/>
    <x v="4"/>
  </r>
  <r>
    <s v="Regular"/>
    <x v="3"/>
    <x v="3"/>
    <x v="3"/>
    <x v="0"/>
    <x v="1"/>
    <x v="0"/>
    <x v="1"/>
    <x v="6"/>
    <n v="0"/>
    <n v="0"/>
    <n v="223.05"/>
    <n v="223.05"/>
    <n v="223.05"/>
    <n v="223.05"/>
    <n v="797"/>
    <s v="CATIVO"/>
    <n v="0"/>
    <n v="0"/>
    <n v="62"/>
    <n v="23"/>
    <n v="0"/>
    <n v="301.99"/>
    <n v="267.11"/>
    <m/>
    <n v="458.58209636584064"/>
    <n v="269.93409109504938"/>
    <n v="0"/>
    <n v="17310.910500000005"/>
    <n v="0"/>
    <n v="10372.055464669245"/>
    <x v="4"/>
  </r>
  <r>
    <s v="Sistema de Compensação"/>
    <x v="3"/>
    <x v="3"/>
    <x v="3"/>
    <x v="0"/>
    <x v="1"/>
    <x v="0"/>
    <x v="1"/>
    <x v="6"/>
    <n v="0"/>
    <n v="0"/>
    <n v="10.824"/>
    <n v="10.824"/>
    <n v="10.824"/>
    <n v="10.824"/>
    <n v="33"/>
    <s v="CATIVO"/>
    <n v="0"/>
    <n v="0"/>
    <n v="62"/>
    <n v="23"/>
    <n v="0"/>
    <n v="301.99"/>
    <n v="267.11"/>
    <m/>
    <n v="458.58209636584064"/>
    <n v="269.93409109504938"/>
    <n v="0"/>
    <n v="840.05064000000016"/>
    <n v="0"/>
    <n v="503.32718381340459"/>
    <x v="4"/>
  </r>
  <r>
    <s v="Regular"/>
    <x v="3"/>
    <x v="3"/>
    <x v="3"/>
    <x v="0"/>
    <x v="1"/>
    <x v="0"/>
    <x v="1"/>
    <x v="7"/>
    <n v="0"/>
    <n v="0"/>
    <n v="284.45699999999999"/>
    <n v="284.45699999999999"/>
    <n v="284.45699999999999"/>
    <n v="284.45699999999999"/>
    <n v="797"/>
    <s v="CATIVO"/>
    <n v="0"/>
    <n v="0"/>
    <n v="62"/>
    <n v="23"/>
    <n v="0"/>
    <n v="301.99"/>
    <n v="267.11"/>
    <m/>
    <n v="458.58209636584064"/>
    <n v="269.93409109504938"/>
    <n v="0"/>
    <n v="22076.707770000005"/>
    <n v="0"/>
    <n v="13227.544412972065"/>
    <x v="4"/>
  </r>
  <r>
    <s v="Sistema de Compensação"/>
    <x v="3"/>
    <x v="3"/>
    <x v="3"/>
    <x v="0"/>
    <x v="1"/>
    <x v="0"/>
    <x v="1"/>
    <x v="7"/>
    <n v="0"/>
    <n v="0"/>
    <n v="16.957999999999998"/>
    <n v="16.957999999999998"/>
    <n v="16.957999999999998"/>
    <n v="16.957999999999998"/>
    <n v="33"/>
    <s v="CATIVO"/>
    <n v="0"/>
    <n v="0"/>
    <n v="62"/>
    <n v="23"/>
    <n v="0"/>
    <n v="301.99"/>
    <n v="267.11"/>
    <m/>
    <n v="458.58209636584064"/>
    <n v="269.93409109504938"/>
    <n v="0"/>
    <n v="1316.1103800000001"/>
    <n v="0"/>
    <n v="788.56452172096408"/>
    <x v="4"/>
  </r>
  <r>
    <s v="Regular"/>
    <x v="3"/>
    <x v="3"/>
    <x v="3"/>
    <x v="0"/>
    <x v="1"/>
    <x v="0"/>
    <x v="1"/>
    <x v="8"/>
    <n v="0"/>
    <n v="0"/>
    <n v="345.952"/>
    <n v="345.952"/>
    <n v="345.952"/>
    <n v="345.952"/>
    <n v="797"/>
    <s v="CATIVO"/>
    <n v="0"/>
    <n v="0"/>
    <n v="62"/>
    <n v="23"/>
    <n v="0"/>
    <n v="301.99"/>
    <n v="267.11"/>
    <m/>
    <n v="458.58209636584064"/>
    <n v="269.93409109504938"/>
    <n v="0"/>
    <n v="26849.334720000006"/>
    <n v="0"/>
    <n v="16087.125452200198"/>
    <x v="4"/>
  </r>
  <r>
    <s v="Sistema de Compensação"/>
    <x v="3"/>
    <x v="3"/>
    <x v="3"/>
    <x v="0"/>
    <x v="1"/>
    <x v="0"/>
    <x v="1"/>
    <x v="8"/>
    <n v="0"/>
    <n v="0"/>
    <n v="36.584000000000003"/>
    <n v="36.584000000000003"/>
    <n v="36.584000000000003"/>
    <n v="36.584000000000003"/>
    <n v="34"/>
    <s v="CATIVO"/>
    <n v="0"/>
    <n v="0"/>
    <n v="62"/>
    <n v="23"/>
    <n v="0"/>
    <n v="301.99"/>
    <n v="267.11"/>
    <m/>
    <n v="458.58209636584064"/>
    <n v="269.93409109504938"/>
    <n v="0"/>
    <n v="2839.2842400000009"/>
    <n v="0"/>
    <n v="1701.1938001320766"/>
    <x v="4"/>
  </r>
  <r>
    <s v="Regular"/>
    <x v="3"/>
    <x v="3"/>
    <x v="3"/>
    <x v="0"/>
    <x v="1"/>
    <x v="0"/>
    <x v="1"/>
    <x v="9"/>
    <n v="0"/>
    <n v="0"/>
    <n v="302.08199999999999"/>
    <n v="302.08199999999999"/>
    <n v="302.08199999999999"/>
    <n v="302.08199999999999"/>
    <n v="792"/>
    <s v="CATIVO"/>
    <n v="0"/>
    <n v="0"/>
    <n v="62"/>
    <n v="23"/>
    <n v="0"/>
    <n v="301.99"/>
    <n v="267.11"/>
    <m/>
    <n v="458.58209636584064"/>
    <n v="269.93409109504938"/>
    <n v="0"/>
    <n v="23444.584020000002"/>
    <n v="0"/>
    <n v="14047.125123865566"/>
    <x v="4"/>
  </r>
  <r>
    <s v="Sistema de Compensação"/>
    <x v="3"/>
    <x v="3"/>
    <x v="3"/>
    <x v="0"/>
    <x v="1"/>
    <x v="0"/>
    <x v="1"/>
    <x v="9"/>
    <n v="0"/>
    <n v="0"/>
    <n v="26.65"/>
    <n v="26.65"/>
    <n v="26.65"/>
    <n v="26.65"/>
    <n v="38"/>
    <s v="CATIVO"/>
    <n v="0"/>
    <n v="0"/>
    <n v="62"/>
    <n v="23"/>
    <n v="0"/>
    <n v="301.99"/>
    <n v="267.11"/>
    <m/>
    <n v="458.58209636584064"/>
    <n v="269.93409109504938"/>
    <n v="0"/>
    <n v="2068.3065000000001"/>
    <n v="0"/>
    <n v="1239.2525359042158"/>
    <x v="4"/>
  </r>
  <r>
    <s v="Regular"/>
    <x v="3"/>
    <x v="3"/>
    <x v="3"/>
    <x v="0"/>
    <x v="1"/>
    <x v="0"/>
    <x v="1"/>
    <x v="10"/>
    <n v="0"/>
    <n v="0"/>
    <n v="276.39600000000002"/>
    <n v="276.39600000000002"/>
    <n v="276.39600000000002"/>
    <n v="276.39600000000002"/>
    <n v="790"/>
    <s v="CATIVO"/>
    <n v="0"/>
    <n v="0"/>
    <n v="62"/>
    <n v="23"/>
    <n v="0"/>
    <n v="301.99"/>
    <n v="267.11"/>
    <m/>
    <n v="458.58209636584064"/>
    <n v="269.93409109504938"/>
    <n v="0"/>
    <n v="21451.093560000005"/>
    <n v="0"/>
    <n v="12852.699584006818"/>
    <x v="4"/>
  </r>
  <r>
    <s v="Sistema de Compensação"/>
    <x v="3"/>
    <x v="3"/>
    <x v="3"/>
    <x v="0"/>
    <x v="1"/>
    <x v="0"/>
    <x v="1"/>
    <x v="10"/>
    <n v="0"/>
    <n v="0"/>
    <n v="38.256999999999998"/>
    <n v="38.256999999999998"/>
    <n v="38.256999999999998"/>
    <n v="38.256999999999998"/>
    <n v="38"/>
    <s v="CATIVO"/>
    <n v="0"/>
    <n v="0"/>
    <n v="62"/>
    <n v="23"/>
    <n v="0"/>
    <n v="301.99"/>
    <n v="267.11"/>
    <m/>
    <n v="458.58209636584064"/>
    <n v="269.93409109504938"/>
    <n v="0"/>
    <n v="2969.1257700000006"/>
    <n v="0"/>
    <n v="1778.9900287462508"/>
    <x v="4"/>
  </r>
  <r>
    <s v="Regular"/>
    <x v="3"/>
    <x v="3"/>
    <x v="3"/>
    <x v="0"/>
    <x v="1"/>
    <x v="0"/>
    <x v="1"/>
    <x v="11"/>
    <n v="0"/>
    <n v="0"/>
    <n v="228.57900000000001"/>
    <n v="228.57900000000001"/>
    <n v="228.57900000000001"/>
    <n v="228.57900000000001"/>
    <n v="788"/>
    <s v="CATIVO"/>
    <n v="0"/>
    <n v="0"/>
    <n v="62"/>
    <n v="23"/>
    <n v="0"/>
    <n v="301.99"/>
    <n v="267.11"/>
    <m/>
    <n v="458.58209636584064"/>
    <n v="269.93409109504938"/>
    <n v="0"/>
    <n v="17740.016190000002"/>
    <n v="0"/>
    <n v="10629.159677465283"/>
    <x v="4"/>
  </r>
  <r>
    <s v="Sistema de Compensação"/>
    <x v="3"/>
    <x v="3"/>
    <x v="3"/>
    <x v="0"/>
    <x v="1"/>
    <x v="0"/>
    <x v="1"/>
    <x v="11"/>
    <n v="0"/>
    <n v="0"/>
    <n v="8.7840000000000007"/>
    <n v="8.7840000000000007"/>
    <n v="8.7840000000000007"/>
    <n v="8.7840000000000007"/>
    <n v="38"/>
    <s v="CATIVO"/>
    <n v="0"/>
    <n v="0"/>
    <n v="62"/>
    <n v="23"/>
    <n v="0"/>
    <n v="301.99"/>
    <n v="267.11"/>
    <m/>
    <n v="458.58209636584064"/>
    <n v="269.93409109504938"/>
    <n v="0"/>
    <n v="681.72624000000019"/>
    <n v="0"/>
    <n v="408.46507599934836"/>
    <x v="4"/>
  </r>
  <r>
    <s v="Regular"/>
    <x v="3"/>
    <x v="3"/>
    <x v="3"/>
    <x v="0"/>
    <x v="1"/>
    <x v="0"/>
    <x v="1"/>
    <x v="0"/>
    <n v="0"/>
    <n v="0"/>
    <n v="197.05199999999999"/>
    <n v="197.05199999999999"/>
    <n v="197.05199999999999"/>
    <n v="197.05199999999999"/>
    <n v="790"/>
    <s v="CATIVO"/>
    <n v="0"/>
    <n v="0"/>
    <n v="62"/>
    <n v="23"/>
    <n v="0"/>
    <n v="301.99"/>
    <n v="267.11"/>
    <m/>
    <n v="458.58209636584064"/>
    <n v="269.93409109504938"/>
    <n v="0"/>
    <n v="15293.205720000002"/>
    <n v="0"/>
    <n v="9163.1216024389323"/>
    <x v="4"/>
  </r>
  <r>
    <s v="Sistema de Compensação"/>
    <x v="3"/>
    <x v="3"/>
    <x v="3"/>
    <x v="0"/>
    <x v="1"/>
    <x v="0"/>
    <x v="1"/>
    <x v="0"/>
    <n v="0"/>
    <n v="0"/>
    <n v="13.965999999999999"/>
    <n v="13.965999999999999"/>
    <n v="13.965999999999999"/>
    <n v="13.965999999999999"/>
    <n v="39"/>
    <s v="CATIVO"/>
    <n v="0"/>
    <n v="0"/>
    <n v="62"/>
    <n v="23"/>
    <n v="0"/>
    <n v="301.99"/>
    <n v="267.11"/>
    <m/>
    <n v="458.58209636584064"/>
    <n v="269.93409109504938"/>
    <n v="0"/>
    <n v="1083.9012600000001"/>
    <n v="0"/>
    <n v="649.43343026034813"/>
    <x v="4"/>
  </r>
  <r>
    <s v="Regular"/>
    <x v="3"/>
    <x v="3"/>
    <x v="3"/>
    <x v="0"/>
    <x v="1"/>
    <x v="0"/>
    <x v="1"/>
    <x v="1"/>
    <n v="0"/>
    <n v="0"/>
    <n v="186.18"/>
    <n v="186.18"/>
    <n v="186.18"/>
    <n v="186.18"/>
    <n v="789"/>
    <s v="CATIVO"/>
    <n v="0"/>
    <n v="0"/>
    <n v="62"/>
    <n v="23"/>
    <n v="0"/>
    <n v="301.99"/>
    <n v="267.11"/>
    <m/>
    <n v="458.58209636584064"/>
    <n v="269.93409109504938"/>
    <n v="0"/>
    <n v="14449.429800000004"/>
    <n v="0"/>
    <n v="8657.5623690299035"/>
    <x v="4"/>
  </r>
  <r>
    <s v="Sistema de Compensação"/>
    <x v="3"/>
    <x v="3"/>
    <x v="3"/>
    <x v="0"/>
    <x v="1"/>
    <x v="0"/>
    <x v="1"/>
    <x v="1"/>
    <n v="0"/>
    <n v="0"/>
    <n v="8.7940000000000005"/>
    <n v="8.7940000000000005"/>
    <n v="8.7940000000000005"/>
    <n v="8.7940000000000005"/>
    <n v="40"/>
    <s v="CATIVO"/>
    <n v="0"/>
    <n v="0"/>
    <n v="62"/>
    <n v="23"/>
    <n v="0"/>
    <n v="301.99"/>
    <n v="267.11"/>
    <m/>
    <n v="458.58209636584064"/>
    <n v="269.93409109504938"/>
    <n v="0"/>
    <n v="682.50234000000012"/>
    <n v="0"/>
    <n v="408.93008633177021"/>
    <x v="4"/>
  </r>
  <r>
    <s v="Regular"/>
    <x v="3"/>
    <x v="3"/>
    <x v="3"/>
    <x v="0"/>
    <x v="1"/>
    <x v="0"/>
    <x v="1"/>
    <x v="2"/>
    <n v="0"/>
    <n v="0"/>
    <n v="202.459"/>
    <n v="202.459"/>
    <n v="202.459"/>
    <n v="202.459"/>
    <n v="792"/>
    <s v="CATIVO"/>
    <n v="0"/>
    <n v="0"/>
    <n v="62"/>
    <n v="23"/>
    <n v="0"/>
    <n v="301.99"/>
    <n v="267.11"/>
    <m/>
    <n v="458.58209636584064"/>
    <n v="269.93409109504938"/>
    <n v="0"/>
    <n v="15712.842990000003"/>
    <n v="0"/>
    <n v="9414.5526891794234"/>
    <x v="4"/>
  </r>
  <r>
    <s v="Sistema de Compensação"/>
    <x v="3"/>
    <x v="3"/>
    <x v="3"/>
    <x v="0"/>
    <x v="1"/>
    <x v="0"/>
    <x v="1"/>
    <x v="2"/>
    <n v="0"/>
    <n v="0"/>
    <n v="12.084"/>
    <n v="12.084"/>
    <n v="12.084"/>
    <n v="12.084"/>
    <n v="41"/>
    <s v="CATIVO"/>
    <n v="0"/>
    <n v="0"/>
    <n v="62"/>
    <n v="23"/>
    <n v="0"/>
    <n v="301.99"/>
    <n v="267.11"/>
    <m/>
    <n v="458.58209636584064"/>
    <n v="269.93409109504938"/>
    <n v="0"/>
    <n v="937.83924000000013"/>
    <n v="0"/>
    <n v="561.91848569855699"/>
    <x v="4"/>
  </r>
  <r>
    <s v="Regular"/>
    <x v="3"/>
    <x v="3"/>
    <x v="3"/>
    <x v="0"/>
    <x v="1"/>
    <x v="0"/>
    <x v="1"/>
    <x v="3"/>
    <n v="0"/>
    <n v="0"/>
    <n v="207.00899999999999"/>
    <n v="207.00899999999999"/>
    <n v="207.00899999999999"/>
    <n v="207.00899999999999"/>
    <n v="791"/>
    <s v="CATIVO"/>
    <n v="0"/>
    <n v="0"/>
    <n v="62"/>
    <n v="23"/>
    <n v="0"/>
    <n v="301.99"/>
    <n v="267.11"/>
    <m/>
    <n v="458.58209636584064"/>
    <n v="269.93409109504938"/>
    <n v="0"/>
    <n v="16065.968490000001"/>
    <n v="0"/>
    <n v="9626.1323904313631"/>
    <x v="4"/>
  </r>
  <r>
    <s v="Sistema de Compensação"/>
    <x v="3"/>
    <x v="3"/>
    <x v="3"/>
    <x v="0"/>
    <x v="1"/>
    <x v="0"/>
    <x v="1"/>
    <x v="3"/>
    <n v="0"/>
    <n v="0"/>
    <n v="12.455"/>
    <n v="12.455"/>
    <n v="12.455"/>
    <n v="12.455"/>
    <n v="41"/>
    <s v="CATIVO"/>
    <n v="0"/>
    <n v="0"/>
    <n v="62"/>
    <n v="23"/>
    <n v="0"/>
    <n v="301.99"/>
    <n v="267.11"/>
    <m/>
    <n v="458.58209636584064"/>
    <n v="269.93409109504938"/>
    <n v="0"/>
    <n v="966.63255000000015"/>
    <n v="0"/>
    <n v="579.17036903140752"/>
    <x v="4"/>
  </r>
  <r>
    <s v="Regular"/>
    <x v="4"/>
    <x v="3"/>
    <x v="4"/>
    <x v="8"/>
    <x v="1"/>
    <x v="0"/>
    <x v="1"/>
    <x v="4"/>
    <n v="0"/>
    <n v="0"/>
    <n v="35.756999999999998"/>
    <n v="33.611579999999996"/>
    <n v="35.756999999999998"/>
    <n v="33.611579999999996"/>
    <n v="32"/>
    <s v="CATIVO"/>
    <n v="0"/>
    <n v="0"/>
    <n v="77"/>
    <n v="52"/>
    <n v="0"/>
    <n v="343.17"/>
    <n v="303.54000000000002"/>
    <m/>
    <n v="487.85329400621345"/>
    <n v="287.16392669686104"/>
    <n v="0"/>
    <n v="1387.4645682000009"/>
    <n v="0"/>
    <n v="1662.7374456407913"/>
    <x v="6"/>
  </r>
  <r>
    <s v="Regular"/>
    <x v="4"/>
    <x v="3"/>
    <x v="4"/>
    <x v="8"/>
    <x v="1"/>
    <x v="0"/>
    <x v="1"/>
    <x v="5"/>
    <n v="0"/>
    <n v="0"/>
    <n v="42.151000000000003"/>
    <n v="39.621940000000002"/>
    <n v="42.151000000000003"/>
    <n v="39.621940000000002"/>
    <n v="32"/>
    <s v="CATIVO"/>
    <n v="0"/>
    <n v="0"/>
    <n v="77"/>
    <n v="52"/>
    <n v="0"/>
    <n v="343.17"/>
    <n v="303.54000000000002"/>
    <m/>
    <n v="487.85329400621345"/>
    <n v="287.16392669686104"/>
    <n v="0"/>
    <n v="1635.5683926000011"/>
    <n v="0"/>
    <n v="1960.0650521913185"/>
    <x v="6"/>
  </r>
  <r>
    <s v="Regular"/>
    <x v="4"/>
    <x v="3"/>
    <x v="4"/>
    <x v="8"/>
    <x v="1"/>
    <x v="0"/>
    <x v="1"/>
    <x v="6"/>
    <n v="0"/>
    <n v="0"/>
    <n v="39.543999999999997"/>
    <n v="37.171359999999993"/>
    <n v="39.543999999999997"/>
    <n v="37.171359999999993"/>
    <n v="32"/>
    <s v="CATIVO"/>
    <n v="0"/>
    <n v="0"/>
    <n v="77"/>
    <n v="52"/>
    <n v="0"/>
    <n v="343.17"/>
    <n v="303.54000000000002"/>
    <m/>
    <n v="487.85329400621345"/>
    <n v="287.16392669686104"/>
    <n v="0"/>
    <n v="1534.4100144000026"/>
    <n v="0"/>
    <n v="1838.8368585289459"/>
    <x v="6"/>
  </r>
  <r>
    <s v="Regular"/>
    <x v="4"/>
    <x v="3"/>
    <x v="4"/>
    <x v="8"/>
    <x v="1"/>
    <x v="0"/>
    <x v="1"/>
    <x v="7"/>
    <n v="0"/>
    <n v="0"/>
    <n v="37.927"/>
    <n v="35.651380000000003"/>
    <n v="37.927"/>
    <n v="35.651380000000003"/>
    <n v="32"/>
    <s v="CATIVO"/>
    <n v="0"/>
    <n v="0"/>
    <n v="77"/>
    <n v="52"/>
    <n v="0"/>
    <n v="343.17"/>
    <n v="303.54000000000002"/>
    <m/>
    <n v="487.85329400621345"/>
    <n v="287.16392669686104"/>
    <n v="0"/>
    <n v="1471.6662101999977"/>
    <n v="0"/>
    <n v="1763.6446877763278"/>
    <x v="6"/>
  </r>
  <r>
    <s v="Regular"/>
    <x v="4"/>
    <x v="3"/>
    <x v="4"/>
    <x v="8"/>
    <x v="1"/>
    <x v="0"/>
    <x v="1"/>
    <x v="8"/>
    <n v="0"/>
    <n v="0"/>
    <n v="42.985999999999997"/>
    <n v="40.406840000000003"/>
    <n v="42.985999999999997"/>
    <n v="40.406840000000003"/>
    <n v="32"/>
    <s v="CATIVO"/>
    <n v="0"/>
    <n v="0"/>
    <n v="77"/>
    <n v="52"/>
    <n v="0"/>
    <n v="343.17"/>
    <n v="303.54000000000002"/>
    <m/>
    <n v="487.85329400621345"/>
    <n v="287.16392669686104"/>
    <n v="0"/>
    <n v="1667.9685635999967"/>
    <n v="0"/>
    <n v="1998.8934149485372"/>
    <x v="6"/>
  </r>
  <r>
    <s v="Regular"/>
    <x v="4"/>
    <x v="3"/>
    <x v="4"/>
    <x v="8"/>
    <x v="1"/>
    <x v="0"/>
    <x v="1"/>
    <x v="9"/>
    <n v="0"/>
    <n v="0"/>
    <n v="47.173999999999999"/>
    <n v="44.343559999999997"/>
    <n v="47.173999999999999"/>
    <n v="44.343559999999997"/>
    <n v="32"/>
    <s v="CATIVO"/>
    <n v="0"/>
    <n v="0"/>
    <n v="77"/>
    <n v="52"/>
    <n v="0"/>
    <n v="343.17"/>
    <n v="303.54000000000002"/>
    <m/>
    <n v="487.85329400621345"/>
    <n v="287.16392669686104"/>
    <n v="0"/>
    <n v="1830.473852400002"/>
    <n v="0"/>
    <n v="2193.6397421668125"/>
    <x v="6"/>
  </r>
  <r>
    <s v="Regular"/>
    <x v="4"/>
    <x v="3"/>
    <x v="4"/>
    <x v="8"/>
    <x v="1"/>
    <x v="0"/>
    <x v="1"/>
    <x v="10"/>
    <n v="0"/>
    <n v="0"/>
    <n v="51.765999999999998"/>
    <n v="48.660040000000002"/>
    <n v="51.765999999999998"/>
    <n v="48.660040000000002"/>
    <n v="32"/>
    <s v="CATIVO"/>
    <n v="0"/>
    <n v="0"/>
    <n v="77"/>
    <n v="52"/>
    <n v="0"/>
    <n v="343.17"/>
    <n v="303.54000000000002"/>
    <m/>
    <n v="487.85329400621345"/>
    <n v="287.16392669686104"/>
    <n v="0"/>
    <n v="2008.6553915999975"/>
    <n v="0"/>
    <n v="2407.1724868149181"/>
    <x v="6"/>
  </r>
  <r>
    <s v="Regular"/>
    <x v="4"/>
    <x v="3"/>
    <x v="4"/>
    <x v="8"/>
    <x v="1"/>
    <x v="0"/>
    <x v="1"/>
    <x v="11"/>
    <n v="0"/>
    <n v="0"/>
    <n v="43.442"/>
    <n v="40.835479999999997"/>
    <n v="43.442"/>
    <n v="40.835479999999997"/>
    <n v="32"/>
    <s v="CATIVO"/>
    <n v="0"/>
    <n v="0"/>
    <n v="77"/>
    <n v="52"/>
    <n v="0"/>
    <n v="343.17"/>
    <n v="303.54000000000002"/>
    <m/>
    <n v="487.85329400621345"/>
    <n v="287.16392669686104"/>
    <n v="0"/>
    <n v="1685.6625492000021"/>
    <n v="0"/>
    <n v="2020.0978861069802"/>
    <x v="6"/>
  </r>
  <r>
    <s v="Regular"/>
    <x v="4"/>
    <x v="3"/>
    <x v="4"/>
    <x v="8"/>
    <x v="1"/>
    <x v="0"/>
    <x v="1"/>
    <x v="0"/>
    <n v="0"/>
    <n v="0"/>
    <n v="43.895000000000003"/>
    <n v="41.261299999999999"/>
    <n v="43.895000000000003"/>
    <n v="41.261299999999999"/>
    <n v="32"/>
    <s v="CATIVO"/>
    <n v="0"/>
    <n v="0"/>
    <n v="77"/>
    <n v="52"/>
    <n v="0"/>
    <n v="343.17"/>
    <n v="303.54000000000002"/>
    <m/>
    <n v="487.85329400621345"/>
    <n v="287.16392669686104"/>
    <n v="0"/>
    <n v="1703.240127000003"/>
    <n v="0"/>
    <n v="2041.1628541656908"/>
    <x v="6"/>
  </r>
  <r>
    <s v="Regular"/>
    <x v="4"/>
    <x v="3"/>
    <x v="4"/>
    <x v="8"/>
    <x v="1"/>
    <x v="0"/>
    <x v="1"/>
    <x v="1"/>
    <n v="0"/>
    <n v="0"/>
    <n v="40.804000000000002"/>
    <n v="38.355759999999997"/>
    <n v="40.804000000000002"/>
    <n v="38.355759999999997"/>
    <n v="32"/>
    <s v="CATIVO"/>
    <n v="0"/>
    <n v="0"/>
    <n v="77"/>
    <n v="52"/>
    <n v="0"/>
    <n v="343.17"/>
    <n v="303.54000000000002"/>
    <m/>
    <n v="487.85329400621345"/>
    <n v="287.16392669686104"/>
    <n v="0"/>
    <n v="1583.3012904000038"/>
    <n v="0"/>
    <n v="1897.4281604140992"/>
    <x v="6"/>
  </r>
  <r>
    <s v="Regular"/>
    <x v="4"/>
    <x v="3"/>
    <x v="4"/>
    <x v="8"/>
    <x v="1"/>
    <x v="0"/>
    <x v="1"/>
    <x v="2"/>
    <n v="0"/>
    <n v="0"/>
    <n v="38.534999999999997"/>
    <n v="36.222900000000003"/>
    <n v="38.534999999999997"/>
    <n v="36.222900000000003"/>
    <n v="32"/>
    <s v="CATIVO"/>
    <n v="0"/>
    <n v="0"/>
    <n v="77"/>
    <n v="52"/>
    <n v="0"/>
    <n v="343.17"/>
    <n v="303.54000000000002"/>
    <m/>
    <n v="487.85329400621345"/>
    <n v="287.16392669686104"/>
    <n v="0"/>
    <n v="1495.2581909999963"/>
    <n v="0"/>
    <n v="1791.9173159875736"/>
    <x v="6"/>
  </r>
  <r>
    <s v="Regular"/>
    <x v="4"/>
    <x v="3"/>
    <x v="4"/>
    <x v="8"/>
    <x v="1"/>
    <x v="0"/>
    <x v="1"/>
    <x v="3"/>
    <n v="0"/>
    <n v="0"/>
    <n v="35.773000000000003"/>
    <n v="33.626620000000003"/>
    <n v="35.773000000000003"/>
    <n v="33.626620000000003"/>
    <n v="32"/>
    <s v="CATIVO"/>
    <n v="0"/>
    <n v="0"/>
    <n v="77"/>
    <n v="52"/>
    <n v="0"/>
    <n v="343.17"/>
    <n v="303.54000000000002"/>
    <m/>
    <n v="487.85329400621345"/>
    <n v="287.16392669686104"/>
    <n v="0"/>
    <n v="1388.0854098000004"/>
    <n v="0"/>
    <n v="1663.4814621726655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3">
  <r>
    <s v="Regular"/>
    <x v="0"/>
    <x v="0"/>
    <x v="0"/>
    <x v="0"/>
    <x v="0"/>
    <x v="0"/>
    <x v="0"/>
    <x v="0"/>
    <n v="3469.2"/>
    <n v="1735.4571699359999"/>
    <n v="0"/>
    <n v="0"/>
    <n v="0"/>
    <n v="0"/>
    <n v="0"/>
    <x v="0"/>
    <n v="0"/>
    <n v="3"/>
    <n v="0"/>
    <n v="0"/>
    <n v="13.87"/>
    <n v="0"/>
    <n v="0"/>
    <n v="12.29"/>
    <n v="94.14"/>
    <m/>
    <n v="24070.790947012316"/>
    <n v="0"/>
    <n v="0"/>
    <n v="30774.595671629864"/>
    <n v="0"/>
    <n v="0"/>
  </r>
  <r>
    <s v="Regular"/>
    <x v="0"/>
    <x v="0"/>
    <x v="0"/>
    <x v="0"/>
    <x v="0"/>
    <x v="0"/>
    <x v="0"/>
    <x v="1"/>
    <n v="3738"/>
    <n v="1869.74565624"/>
    <n v="0"/>
    <n v="0"/>
    <n v="0"/>
    <n v="0"/>
    <n v="0"/>
    <x v="0"/>
    <n v="0"/>
    <n v="3"/>
    <n v="0"/>
    <n v="0"/>
    <n v="13.87"/>
    <n v="0"/>
    <n v="0"/>
    <n v="12.29"/>
    <n v="94.14"/>
    <m/>
    <n v="25933.372252048797"/>
    <n v="0"/>
    <n v="0"/>
    <n v="33155.91279137948"/>
    <n v="0"/>
    <n v="0"/>
  </r>
  <r>
    <s v="Regular"/>
    <x v="0"/>
    <x v="0"/>
    <x v="0"/>
    <x v="0"/>
    <x v="0"/>
    <x v="0"/>
    <x v="0"/>
    <x v="2"/>
    <n v="3763.2"/>
    <n v="1900.6458562559999"/>
    <n v="0"/>
    <n v="0"/>
    <n v="0"/>
    <n v="0"/>
    <n v="0"/>
    <x v="0"/>
    <n v="0"/>
    <n v="3"/>
    <n v="0"/>
    <n v="0"/>
    <n v="13.87"/>
    <n v="0"/>
    <n v="0"/>
    <n v="12.29"/>
    <n v="94.14"/>
    <m/>
    <n v="26361.958026270717"/>
    <n v="0"/>
    <n v="0"/>
    <n v="33703.861296325849"/>
    <n v="0"/>
    <n v="0"/>
  </r>
  <r>
    <s v="Regular"/>
    <x v="0"/>
    <x v="0"/>
    <x v="0"/>
    <x v="0"/>
    <x v="0"/>
    <x v="0"/>
    <x v="0"/>
    <x v="3"/>
    <n v="4100"/>
    <n v="2087.3986829999999"/>
    <n v="0"/>
    <n v="0"/>
    <n v="0"/>
    <n v="0"/>
    <n v="0"/>
    <x v="0"/>
    <n v="0"/>
    <n v="3"/>
    <n v="0"/>
    <n v="0"/>
    <n v="13.87"/>
    <n v="0"/>
    <n v="0"/>
    <n v="12.29"/>
    <n v="94.14"/>
    <m/>
    <n v="28952.219733209997"/>
    <n v="0"/>
    <n v="0"/>
    <n v="37015.520513932752"/>
    <n v="0"/>
    <n v="0"/>
  </r>
  <r>
    <s v="Regular"/>
    <x v="0"/>
    <x v="0"/>
    <x v="0"/>
    <x v="0"/>
    <x v="0"/>
    <x v="0"/>
    <x v="1"/>
    <x v="0"/>
    <n v="0"/>
    <n v="0"/>
    <n v="1349.6216999999999"/>
    <n v="1349.6216999999999"/>
    <n v="0"/>
    <n v="0"/>
    <n v="1"/>
    <x v="0"/>
    <n v="0"/>
    <n v="0"/>
    <n v="5"/>
    <n v="0"/>
    <n v="0"/>
    <n v="57.86"/>
    <n v="0"/>
    <m/>
    <n v="94.14"/>
    <m/>
    <n v="0"/>
    <n v="78089.111561999991"/>
    <n v="0"/>
    <n v="0"/>
    <n v="146397.5415025964"/>
    <n v="0"/>
  </r>
  <r>
    <s v="Regular"/>
    <x v="0"/>
    <x v="0"/>
    <x v="0"/>
    <x v="0"/>
    <x v="0"/>
    <x v="0"/>
    <x v="1"/>
    <x v="1"/>
    <n v="0"/>
    <n v="0"/>
    <n v="2026.143"/>
    <n v="2026.143"/>
    <n v="0"/>
    <n v="0"/>
    <n v="1"/>
    <x v="0"/>
    <n v="0"/>
    <n v="0"/>
    <n v="5"/>
    <n v="0"/>
    <n v="0"/>
    <n v="57.86"/>
    <n v="0"/>
    <m/>
    <n v="94.14"/>
    <m/>
    <n v="0"/>
    <n v="117232.63398"/>
    <n v="0"/>
    <n v="0"/>
    <n v="219781.84993075856"/>
    <n v="0"/>
  </r>
  <r>
    <s v="Regular"/>
    <x v="0"/>
    <x v="0"/>
    <x v="0"/>
    <x v="0"/>
    <x v="0"/>
    <x v="0"/>
    <x v="1"/>
    <x v="2"/>
    <n v="0"/>
    <n v="0"/>
    <n v="2090.6046000000001"/>
    <n v="2090.6046000000001"/>
    <n v="0"/>
    <n v="0"/>
    <n v="1"/>
    <x v="0"/>
    <n v="0"/>
    <n v="0"/>
    <n v="5"/>
    <n v="0"/>
    <n v="0"/>
    <n v="57.86"/>
    <n v="0"/>
    <m/>
    <n v="94.14"/>
    <m/>
    <n v="0"/>
    <n v="120962.38215600001"/>
    <n v="0"/>
    <n v="0"/>
    <n v="226774.19434943807"/>
    <n v="0"/>
  </r>
  <r>
    <s v="Regular"/>
    <x v="0"/>
    <x v="0"/>
    <x v="0"/>
    <x v="0"/>
    <x v="0"/>
    <x v="0"/>
    <x v="1"/>
    <x v="3"/>
    <n v="0"/>
    <n v="0"/>
    <n v="2175.5034000000001"/>
    <n v="2175.5034000000001"/>
    <n v="0"/>
    <n v="0"/>
    <n v="1"/>
    <x v="0"/>
    <n v="0"/>
    <n v="0"/>
    <n v="5"/>
    <n v="0"/>
    <n v="0"/>
    <n v="57.86"/>
    <n v="0"/>
    <m/>
    <n v="94.14"/>
    <m/>
    <n v="0"/>
    <n v="125874.626724"/>
    <n v="0"/>
    <n v="0"/>
    <n v="235983.42357013054"/>
    <n v="0"/>
  </r>
  <r>
    <s v="Regular"/>
    <x v="0"/>
    <x v="0"/>
    <x v="0"/>
    <x v="0"/>
    <x v="0"/>
    <x v="0"/>
    <x v="2"/>
    <x v="0"/>
    <n v="3427.2"/>
    <n v="1714.446792576"/>
    <n v="0"/>
    <n v="0"/>
    <n v="0"/>
    <n v="0"/>
    <n v="0"/>
    <x v="0"/>
    <n v="0"/>
    <n v="1"/>
    <n v="0"/>
    <n v="0"/>
    <n v="22.04"/>
    <n v="0"/>
    <n v="0"/>
    <n v="22.32"/>
    <n v="94.14"/>
    <m/>
    <n v="37786.407308375041"/>
    <n v="0"/>
    <n v="0"/>
    <n v="49639.209079301865"/>
    <n v="0"/>
    <n v="0"/>
  </r>
  <r>
    <s v="Regular"/>
    <x v="0"/>
    <x v="0"/>
    <x v="0"/>
    <x v="0"/>
    <x v="0"/>
    <x v="0"/>
    <x v="2"/>
    <x v="1"/>
    <n v="3679.2"/>
    <n v="1840.333926816"/>
    <n v="0"/>
    <n v="0"/>
    <n v="0"/>
    <n v="0"/>
    <n v="0"/>
    <x v="0"/>
    <n v="0"/>
    <n v="1"/>
    <n v="0"/>
    <n v="0"/>
    <n v="22.04"/>
    <n v="0"/>
    <n v="0"/>
    <n v="22.32"/>
    <n v="94.14"/>
    <m/>
    <n v="40560.959747024637"/>
    <n v="0"/>
    <n v="0"/>
    <n v="53284.080301898583"/>
    <n v="0"/>
    <n v="0"/>
  </r>
  <r>
    <s v="Regular"/>
    <x v="0"/>
    <x v="0"/>
    <x v="0"/>
    <x v="0"/>
    <x v="0"/>
    <x v="0"/>
    <x v="2"/>
    <x v="2"/>
    <n v="3670.8"/>
    <n v="1853.9782124640001"/>
    <n v="0"/>
    <n v="0"/>
    <n v="0"/>
    <n v="0"/>
    <n v="0"/>
    <x v="0"/>
    <n v="0"/>
    <n v="1"/>
    <n v="0"/>
    <n v="0"/>
    <n v="22.04"/>
    <n v="0"/>
    <n v="0"/>
    <n v="22.32"/>
    <n v="94.14"/>
    <m/>
    <n v="40861.67980270656"/>
    <n v="0"/>
    <n v="0"/>
    <n v="53679.129918458071"/>
    <n v="0"/>
    <n v="0"/>
  </r>
  <r>
    <s v="Regular"/>
    <x v="0"/>
    <x v="0"/>
    <x v="0"/>
    <x v="0"/>
    <x v="0"/>
    <x v="0"/>
    <x v="2"/>
    <x v="3"/>
    <n v="4100"/>
    <n v="2087.3986829999999"/>
    <n v="0"/>
    <n v="0"/>
    <n v="0"/>
    <n v="0"/>
    <n v="0"/>
    <x v="0"/>
    <n v="0"/>
    <n v="1"/>
    <n v="0"/>
    <n v="0"/>
    <n v="22.04"/>
    <n v="0"/>
    <n v="0"/>
    <n v="22.32"/>
    <n v="94.14"/>
    <m/>
    <n v="46006.266973319995"/>
    <n v="0"/>
    <n v="0"/>
    <n v="60437.465954606523"/>
    <n v="0"/>
    <n v="0"/>
  </r>
  <r>
    <s v="Regular"/>
    <x v="1"/>
    <x v="0"/>
    <x v="0"/>
    <x v="0"/>
    <x v="0"/>
    <x v="0"/>
    <x v="0"/>
    <x v="4"/>
    <n v="7449"/>
    <n v="3724.7023148399999"/>
    <n v="0"/>
    <n v="0"/>
    <n v="0"/>
    <n v="0"/>
    <n v="0"/>
    <x v="0"/>
    <n v="0"/>
    <n v="10"/>
    <n v="0"/>
    <n v="0"/>
    <n v="18.489999999999998"/>
    <n v="0"/>
    <n v="0"/>
    <n v="15.64"/>
    <n v="126.25"/>
    <m/>
    <n v="68869.745801391589"/>
    <n v="0"/>
    <n v="0"/>
    <n v="88066.440727865425"/>
    <n v="0"/>
    <n v="0"/>
  </r>
  <r>
    <s v="Regular"/>
    <x v="1"/>
    <x v="0"/>
    <x v="0"/>
    <x v="0"/>
    <x v="0"/>
    <x v="0"/>
    <x v="0"/>
    <x v="5"/>
    <n v="7484"/>
    <n v="3746.0831207199999"/>
    <n v="0"/>
    <n v="0"/>
    <n v="0"/>
    <n v="0"/>
    <n v="0"/>
    <x v="0"/>
    <n v="0"/>
    <n v="10"/>
    <n v="0"/>
    <n v="0"/>
    <n v="18.489999999999998"/>
    <n v="0"/>
    <n v="0"/>
    <n v="15.64"/>
    <n v="126.25"/>
    <m/>
    <n v="69265.076902112793"/>
    <n v="0"/>
    <n v="0"/>
    <n v="88571.966086561355"/>
    <n v="0"/>
    <n v="0"/>
  </r>
  <r>
    <s v="Regular"/>
    <x v="1"/>
    <x v="0"/>
    <x v="0"/>
    <x v="0"/>
    <x v="0"/>
    <x v="0"/>
    <x v="0"/>
    <x v="6"/>
    <n v="7491"/>
    <n v="3748.5737071200001"/>
    <n v="0"/>
    <n v="0"/>
    <n v="0"/>
    <n v="0"/>
    <n v="0"/>
    <x v="0"/>
    <n v="0"/>
    <n v="10"/>
    <n v="0"/>
    <n v="0"/>
    <n v="18.489999999999998"/>
    <n v="0"/>
    <n v="0"/>
    <n v="15.64"/>
    <n v="126.25"/>
    <m/>
    <n v="69311.1278446488"/>
    <n v="0"/>
    <n v="0"/>
    <n v="88630.853230024964"/>
    <n v="0"/>
    <n v="0"/>
  </r>
  <r>
    <s v="Regular"/>
    <x v="1"/>
    <x v="0"/>
    <x v="0"/>
    <x v="0"/>
    <x v="0"/>
    <x v="0"/>
    <x v="0"/>
    <x v="7"/>
    <n v="7478"/>
    <n v="3742.4309811799999"/>
    <n v="0"/>
    <n v="0"/>
    <n v="0"/>
    <n v="0"/>
    <n v="0"/>
    <x v="0"/>
    <n v="0"/>
    <n v="10"/>
    <n v="0"/>
    <n v="0"/>
    <n v="18.489999999999998"/>
    <n v="0"/>
    <n v="0"/>
    <n v="15.64"/>
    <n v="126.25"/>
    <m/>
    <n v="69197.548842018194"/>
    <n v="0"/>
    <n v="0"/>
    <n v="88485.615311883899"/>
    <n v="0"/>
    <n v="0"/>
  </r>
  <r>
    <s v="Regular"/>
    <x v="1"/>
    <x v="0"/>
    <x v="0"/>
    <x v="0"/>
    <x v="0"/>
    <x v="0"/>
    <x v="0"/>
    <x v="8"/>
    <n v="7501"/>
    <n v="3759.8354445599998"/>
    <n v="0"/>
    <n v="0"/>
    <n v="0"/>
    <n v="0"/>
    <n v="0"/>
    <x v="0"/>
    <n v="0"/>
    <n v="10"/>
    <n v="0"/>
    <n v="0"/>
    <n v="18.489999999999998"/>
    <n v="0"/>
    <n v="0"/>
    <n v="15.64"/>
    <n v="126.25"/>
    <m/>
    <n v="69519.357369914389"/>
    <n v="0"/>
    <n v="0"/>
    <n v="88897.124477743491"/>
    <n v="0"/>
    <n v="0"/>
  </r>
  <r>
    <s v="Regular"/>
    <x v="1"/>
    <x v="0"/>
    <x v="0"/>
    <x v="0"/>
    <x v="0"/>
    <x v="0"/>
    <x v="0"/>
    <x v="9"/>
    <n v="7458"/>
    <n v="3750.2420247599998"/>
    <n v="0"/>
    <n v="0"/>
    <n v="0"/>
    <n v="0"/>
    <n v="0"/>
    <x v="0"/>
    <n v="0"/>
    <n v="10"/>
    <n v="0"/>
    <n v="0"/>
    <n v="18.489999999999998"/>
    <n v="0"/>
    <n v="0"/>
    <n v="15.64"/>
    <n v="126.25"/>
    <m/>
    <n v="69341.975037812386"/>
    <n v="0"/>
    <n v="0"/>
    <n v="88670.298743824256"/>
    <n v="0"/>
    <n v="0"/>
  </r>
  <r>
    <s v="Regular"/>
    <x v="1"/>
    <x v="0"/>
    <x v="0"/>
    <x v="0"/>
    <x v="0"/>
    <x v="0"/>
    <x v="0"/>
    <x v="10"/>
    <n v="7471"/>
    <n v="3737.6955774799999"/>
    <n v="0"/>
    <n v="0"/>
    <n v="0"/>
    <n v="0"/>
    <n v="0"/>
    <x v="0"/>
    <n v="0"/>
    <n v="10"/>
    <n v="0"/>
    <n v="0"/>
    <n v="18.489999999999998"/>
    <n v="0"/>
    <n v="0"/>
    <n v="15.64"/>
    <n v="126.25"/>
    <m/>
    <n v="69109.991227605191"/>
    <n v="0"/>
    <n v="0"/>
    <n v="88373.651961790922"/>
    <n v="0"/>
    <n v="0"/>
  </r>
  <r>
    <s v="Regular"/>
    <x v="1"/>
    <x v="0"/>
    <x v="0"/>
    <x v="0"/>
    <x v="0"/>
    <x v="0"/>
    <x v="0"/>
    <x v="11"/>
    <n v="7050"/>
    <n v="3526.0792139999999"/>
    <n v="0"/>
    <n v="0"/>
    <n v="0"/>
    <n v="0"/>
    <n v="0"/>
    <x v="0"/>
    <n v="0"/>
    <n v="10"/>
    <n v="0"/>
    <n v="0"/>
    <n v="18.489999999999998"/>
    <n v="0"/>
    <n v="0"/>
    <n v="15.64"/>
    <n v="126.25"/>
    <m/>
    <n v="65197.204666859994"/>
    <n v="0"/>
    <n v="0"/>
    <n v="83370.218571367514"/>
    <n v="0"/>
    <n v="0"/>
  </r>
  <r>
    <s v="Regular"/>
    <x v="1"/>
    <x v="0"/>
    <x v="0"/>
    <x v="0"/>
    <x v="0"/>
    <x v="0"/>
    <x v="0"/>
    <x v="0"/>
    <n v="7050"/>
    <n v="3527.2197630000001"/>
    <n v="0"/>
    <n v="0"/>
    <n v="0"/>
    <n v="0"/>
    <n v="0"/>
    <x v="0"/>
    <n v="0"/>
    <n v="10"/>
    <n v="0"/>
    <n v="0"/>
    <n v="18.489999999999998"/>
    <n v="0"/>
    <n v="0"/>
    <n v="15.64"/>
    <n v="126.25"/>
    <m/>
    <n v="65218.293417869994"/>
    <n v="0"/>
    <n v="0"/>
    <n v="83397.18558306816"/>
    <n v="0"/>
    <n v="0"/>
  </r>
  <r>
    <s v="Regular"/>
    <x v="1"/>
    <x v="0"/>
    <x v="0"/>
    <x v="0"/>
    <x v="0"/>
    <x v="0"/>
    <x v="0"/>
    <x v="1"/>
    <n v="4250"/>
    <n v="2125.60707"/>
    <n v="0"/>
    <n v="0"/>
    <n v="0"/>
    <n v="0"/>
    <n v="0"/>
    <x v="0"/>
    <n v="0"/>
    <n v="10"/>
    <n v="0"/>
    <n v="0"/>
    <n v="18.489999999999998"/>
    <n v="0"/>
    <n v="0"/>
    <n v="15.64"/>
    <n v="126.25"/>
    <m/>
    <n v="39302.474724299995"/>
    <n v="0"/>
    <n v="0"/>
    <n v="50257.613419215741"/>
    <n v="0"/>
    <n v="0"/>
  </r>
  <r>
    <s v="Regular"/>
    <x v="1"/>
    <x v="0"/>
    <x v="0"/>
    <x v="0"/>
    <x v="0"/>
    <x v="0"/>
    <x v="0"/>
    <x v="2"/>
    <n v="4250"/>
    <n v="2139.1935125"/>
    <n v="0"/>
    <n v="0"/>
    <n v="0"/>
    <n v="0"/>
    <n v="0"/>
    <x v="0"/>
    <n v="0"/>
    <n v="10"/>
    <n v="0"/>
    <n v="0"/>
    <n v="18.489999999999998"/>
    <n v="0"/>
    <n v="0"/>
    <n v="15.64"/>
    <n v="126.25"/>
    <m/>
    <n v="39553.688046124997"/>
    <n v="0"/>
    <n v="0"/>
    <n v="50578.84973073563"/>
    <n v="0"/>
    <n v="0"/>
  </r>
  <r>
    <s v="Regular"/>
    <x v="1"/>
    <x v="0"/>
    <x v="0"/>
    <x v="0"/>
    <x v="0"/>
    <x v="0"/>
    <x v="0"/>
    <x v="3"/>
    <n v="4250"/>
    <n v="2143.1871099999998"/>
    <n v="0"/>
    <n v="0"/>
    <n v="0"/>
    <n v="0"/>
    <n v="0"/>
    <x v="0"/>
    <n v="0"/>
    <n v="10"/>
    <n v="0"/>
    <n v="0"/>
    <n v="18.489999999999998"/>
    <n v="0"/>
    <n v="0"/>
    <n v="15.64"/>
    <n v="126.25"/>
    <m/>
    <n v="39627.529663899993"/>
    <n v="0"/>
    <n v="0"/>
    <n v="50673.273898842548"/>
    <n v="0"/>
    <n v="0"/>
  </r>
  <r>
    <s v="Regular"/>
    <x v="1"/>
    <x v="0"/>
    <x v="0"/>
    <x v="0"/>
    <x v="0"/>
    <x v="0"/>
    <x v="1"/>
    <x v="4"/>
    <n v="0"/>
    <n v="0"/>
    <n v="3512.64"/>
    <n v="3512.64"/>
    <n v="0"/>
    <n v="0"/>
    <n v="3"/>
    <x v="0"/>
    <n v="0"/>
    <n v="0"/>
    <n v="13"/>
    <n v="0"/>
    <n v="0"/>
    <n v="73.28"/>
    <n v="0"/>
    <m/>
    <n v="126.25"/>
    <m/>
    <n v="0"/>
    <n v="257406.2592"/>
    <n v="0"/>
    <n v="0"/>
    <n v="491733.34751393402"/>
    <n v="0"/>
  </r>
  <r>
    <s v="Regular"/>
    <x v="1"/>
    <x v="0"/>
    <x v="0"/>
    <x v="0"/>
    <x v="0"/>
    <x v="0"/>
    <x v="1"/>
    <x v="5"/>
    <n v="0"/>
    <n v="0"/>
    <n v="3376.123"/>
    <n v="3376.123"/>
    <n v="0"/>
    <n v="0"/>
    <n v="3"/>
    <x v="0"/>
    <n v="0"/>
    <n v="0"/>
    <n v="13"/>
    <n v="0"/>
    <n v="0"/>
    <n v="73.28"/>
    <n v="0"/>
    <m/>
    <n v="126.25"/>
    <m/>
    <n v="0"/>
    <n v="247402.29344000001"/>
    <n v="0"/>
    <n v="0"/>
    <n v="472622.37644870684"/>
    <n v="0"/>
  </r>
  <r>
    <s v="Regular"/>
    <x v="1"/>
    <x v="0"/>
    <x v="0"/>
    <x v="0"/>
    <x v="0"/>
    <x v="0"/>
    <x v="1"/>
    <x v="6"/>
    <n v="0"/>
    <n v="0"/>
    <n v="3601.8670000000002"/>
    <n v="3601.8670000000002"/>
    <n v="0"/>
    <n v="0"/>
    <n v="3"/>
    <x v="0"/>
    <n v="0"/>
    <n v="0"/>
    <n v="13"/>
    <n v="0"/>
    <n v="0"/>
    <n v="73.28"/>
    <n v="0"/>
    <m/>
    <n v="126.25"/>
    <m/>
    <n v="0"/>
    <n v="263944.81375999999"/>
    <n v="0"/>
    <n v="0"/>
    <n v="504224.20663944248"/>
    <n v="0"/>
  </r>
  <r>
    <s v="Regular"/>
    <x v="1"/>
    <x v="0"/>
    <x v="0"/>
    <x v="0"/>
    <x v="0"/>
    <x v="0"/>
    <x v="1"/>
    <x v="7"/>
    <n v="0"/>
    <n v="0"/>
    <n v="3387.4169999999999"/>
    <n v="3387.4169999999999"/>
    <n v="0"/>
    <n v="0"/>
    <n v="3"/>
    <x v="0"/>
    <n v="0"/>
    <n v="0"/>
    <n v="13"/>
    <n v="0"/>
    <n v="0"/>
    <n v="73.28"/>
    <n v="0"/>
    <m/>
    <n v="126.25"/>
    <m/>
    <n v="0"/>
    <n v="248229.91776000001"/>
    <n v="0"/>
    <n v="0"/>
    <n v="474203.41988806362"/>
    <n v="0"/>
  </r>
  <r>
    <s v="Regular"/>
    <x v="1"/>
    <x v="0"/>
    <x v="0"/>
    <x v="0"/>
    <x v="0"/>
    <x v="0"/>
    <x v="1"/>
    <x v="8"/>
    <n v="0"/>
    <n v="0"/>
    <n v="3401.2669999999998"/>
    <n v="3401.2669999999998"/>
    <n v="0"/>
    <n v="0"/>
    <n v="3"/>
    <x v="0"/>
    <n v="0"/>
    <n v="0"/>
    <n v="13"/>
    <n v="0"/>
    <n v="0"/>
    <n v="73.28"/>
    <n v="0"/>
    <m/>
    <n v="126.25"/>
    <m/>
    <n v="0"/>
    <n v="249244.84576"/>
    <n v="0"/>
    <n v="0"/>
    <n v="476142.27694801515"/>
    <n v="0"/>
  </r>
  <r>
    <s v="Regular"/>
    <x v="1"/>
    <x v="0"/>
    <x v="0"/>
    <x v="0"/>
    <x v="0"/>
    <x v="0"/>
    <x v="1"/>
    <x v="9"/>
    <n v="0"/>
    <n v="0"/>
    <n v="3342.7750000000001"/>
    <n v="3342.7750000000001"/>
    <n v="0"/>
    <n v="0"/>
    <n v="3"/>
    <x v="0"/>
    <n v="0"/>
    <n v="0"/>
    <n v="13"/>
    <n v="0"/>
    <n v="0"/>
    <n v="73.28"/>
    <n v="0"/>
    <m/>
    <n v="126.25"/>
    <m/>
    <n v="0"/>
    <n v="244958.552"/>
    <n v="0"/>
    <n v="0"/>
    <n v="467954.00061944604"/>
    <n v="0"/>
  </r>
  <r>
    <s v="Regular"/>
    <x v="1"/>
    <x v="0"/>
    <x v="0"/>
    <x v="0"/>
    <x v="0"/>
    <x v="0"/>
    <x v="1"/>
    <x v="10"/>
    <n v="0"/>
    <n v="0"/>
    <n v="3270.0790000000002"/>
    <n v="3270.0790000000002"/>
    <n v="0"/>
    <n v="0"/>
    <n v="3"/>
    <x v="0"/>
    <n v="0"/>
    <n v="0"/>
    <n v="13"/>
    <n v="0"/>
    <n v="0"/>
    <n v="73.28"/>
    <n v="0"/>
    <m/>
    <n v="126.25"/>
    <m/>
    <n v="0"/>
    <n v="239631.38912000001"/>
    <n v="0"/>
    <n v="0"/>
    <n v="457777.31088441116"/>
    <n v="0"/>
  </r>
  <r>
    <s v="Regular"/>
    <x v="1"/>
    <x v="0"/>
    <x v="0"/>
    <x v="0"/>
    <x v="0"/>
    <x v="0"/>
    <x v="1"/>
    <x v="11"/>
    <n v="0"/>
    <n v="0"/>
    <n v="3338.7429999999999"/>
    <n v="3338.7429999999999"/>
    <n v="0"/>
    <n v="0"/>
    <n v="3"/>
    <x v="0"/>
    <n v="0"/>
    <n v="0"/>
    <n v="13"/>
    <n v="0"/>
    <n v="0"/>
    <n v="73.28"/>
    <n v="0"/>
    <m/>
    <n v="126.25"/>
    <m/>
    <n v="0"/>
    <n v="244663.08704000001"/>
    <n v="0"/>
    <n v="0"/>
    <n v="467389.5622320291"/>
    <n v="0"/>
  </r>
  <r>
    <s v="Regular"/>
    <x v="1"/>
    <x v="0"/>
    <x v="0"/>
    <x v="0"/>
    <x v="0"/>
    <x v="0"/>
    <x v="1"/>
    <x v="0"/>
    <n v="0"/>
    <n v="0"/>
    <n v="1875.12024"/>
    <n v="1875.12024"/>
    <n v="0"/>
    <n v="0"/>
    <n v="3"/>
    <x v="0"/>
    <n v="0"/>
    <n v="0"/>
    <n v="13"/>
    <n v="0"/>
    <n v="0"/>
    <n v="73.28"/>
    <n v="0"/>
    <m/>
    <n v="126.25"/>
    <m/>
    <n v="0"/>
    <n v="137408.81118719999"/>
    <n v="0"/>
    <n v="0"/>
    <n v="262497.48126945301"/>
    <n v="0"/>
  </r>
  <r>
    <s v="Regular"/>
    <x v="1"/>
    <x v="0"/>
    <x v="0"/>
    <x v="0"/>
    <x v="0"/>
    <x v="0"/>
    <x v="1"/>
    <x v="1"/>
    <n v="0"/>
    <n v="0"/>
    <n v="1588.5139200000001"/>
    <n v="1588.5139200000001"/>
    <n v="0"/>
    <n v="0"/>
    <n v="2"/>
    <x v="0"/>
    <n v="0"/>
    <n v="0"/>
    <n v="13"/>
    <n v="0"/>
    <n v="0"/>
    <n v="73.28"/>
    <n v="0"/>
    <m/>
    <n v="126.25"/>
    <m/>
    <n v="0"/>
    <n v="116406.3000576"/>
    <n v="0"/>
    <n v="0"/>
    <n v="222375.55441322815"/>
    <n v="0"/>
  </r>
  <r>
    <s v="Regular"/>
    <x v="1"/>
    <x v="0"/>
    <x v="0"/>
    <x v="0"/>
    <x v="0"/>
    <x v="0"/>
    <x v="1"/>
    <x v="2"/>
    <n v="0"/>
    <n v="0"/>
    <n v="1451.1084000000001"/>
    <n v="1451.1084000000001"/>
    <n v="0"/>
    <n v="0"/>
    <n v="2"/>
    <x v="0"/>
    <n v="0"/>
    <n v="0"/>
    <n v="13"/>
    <n v="0"/>
    <n v="0"/>
    <n v="73.28"/>
    <n v="0"/>
    <m/>
    <n v="126.25"/>
    <m/>
    <n v="0"/>
    <n v="106337.22355200001"/>
    <n v="0"/>
    <n v="0"/>
    <n v="203140.19971804364"/>
    <n v="0"/>
  </r>
  <r>
    <s v="Regular"/>
    <x v="1"/>
    <x v="0"/>
    <x v="0"/>
    <x v="0"/>
    <x v="0"/>
    <x v="0"/>
    <x v="1"/>
    <x v="3"/>
    <n v="0"/>
    <n v="0"/>
    <n v="954.17448000000002"/>
    <n v="954.17448000000002"/>
    <n v="0"/>
    <n v="0"/>
    <n v="2"/>
    <x v="0"/>
    <n v="0"/>
    <n v="0"/>
    <n v="13"/>
    <n v="0"/>
    <n v="0"/>
    <n v="73.28"/>
    <n v="0"/>
    <m/>
    <n v="126.25"/>
    <m/>
    <n v="0"/>
    <n v="69921.905894399999"/>
    <n v="0"/>
    <n v="0"/>
    <n v="133574.57956487636"/>
    <n v="0"/>
  </r>
  <r>
    <s v="Regular"/>
    <x v="1"/>
    <x v="0"/>
    <x v="0"/>
    <x v="0"/>
    <x v="0"/>
    <x v="0"/>
    <x v="2"/>
    <x v="4"/>
    <n v="7150"/>
    <n v="3575.2025595"/>
    <n v="0"/>
    <n v="0"/>
    <n v="0"/>
    <n v="0"/>
    <n v="0"/>
    <x v="0"/>
    <n v="0"/>
    <n v="9"/>
    <n v="0"/>
    <n v="0"/>
    <n v="29.39"/>
    <n v="0"/>
    <n v="0"/>
    <n v="32.35"/>
    <n v="126.25"/>
    <m/>
    <n v="105075.203223705"/>
    <n v="0"/>
    <n v="0"/>
    <n v="138019.55765220488"/>
    <n v="0"/>
    <n v="0"/>
  </r>
  <r>
    <s v="Regular"/>
    <x v="1"/>
    <x v="0"/>
    <x v="0"/>
    <x v="0"/>
    <x v="0"/>
    <x v="0"/>
    <x v="2"/>
    <x v="5"/>
    <n v="7158"/>
    <n v="3583.0537901399998"/>
    <n v="0"/>
    <n v="0"/>
    <n v="0"/>
    <n v="0"/>
    <n v="0"/>
    <x v="0"/>
    <n v="0"/>
    <n v="9"/>
    <n v="0"/>
    <n v="0"/>
    <n v="29.39"/>
    <n v="0"/>
    <n v="0"/>
    <n v="32.35"/>
    <n v="126.25"/>
    <m/>
    <n v="105305.95089221459"/>
    <n v="0"/>
    <n v="0"/>
    <n v="138322.65191383736"/>
    <n v="0"/>
    <n v="0"/>
  </r>
  <r>
    <s v="Regular"/>
    <x v="1"/>
    <x v="0"/>
    <x v="0"/>
    <x v="0"/>
    <x v="0"/>
    <x v="0"/>
    <x v="2"/>
    <x v="6"/>
    <n v="7192"/>
    <n v="3599.06537424"/>
    <n v="0"/>
    <n v="0"/>
    <n v="0"/>
    <n v="0"/>
    <n v="0"/>
    <x v="0"/>
    <n v="0"/>
    <n v="9"/>
    <n v="0"/>
    <n v="0"/>
    <n v="29.39"/>
    <n v="0"/>
    <n v="0"/>
    <n v="32.35"/>
    <n v="126.25"/>
    <m/>
    <n v="105776.5313489136"/>
    <n v="0"/>
    <n v="0"/>
    <n v="138940.77402524638"/>
    <n v="0"/>
    <n v="0"/>
  </r>
  <r>
    <s v="Regular"/>
    <x v="1"/>
    <x v="0"/>
    <x v="0"/>
    <x v="0"/>
    <x v="0"/>
    <x v="0"/>
    <x v="2"/>
    <x v="7"/>
    <n v="7149"/>
    <n v="3577.8967758600002"/>
    <n v="0"/>
    <n v="0"/>
    <n v="0"/>
    <n v="0"/>
    <n v="0"/>
    <x v="0"/>
    <n v="0"/>
    <n v="9"/>
    <n v="0"/>
    <n v="0"/>
    <n v="29.39"/>
    <n v="0"/>
    <n v="0"/>
    <n v="32.35"/>
    <n v="126.25"/>
    <m/>
    <n v="105154.3862425254"/>
    <n v="0"/>
    <n v="0"/>
    <n v="138123.56701783885"/>
    <n v="0"/>
    <n v="0"/>
  </r>
  <r>
    <s v="Regular"/>
    <x v="1"/>
    <x v="0"/>
    <x v="0"/>
    <x v="0"/>
    <x v="0"/>
    <x v="0"/>
    <x v="2"/>
    <x v="8"/>
    <n v="7149"/>
    <n v="3583.7158473899999"/>
    <n v="0"/>
    <n v="0"/>
    <n v="0"/>
    <n v="0"/>
    <n v="0"/>
    <x v="0"/>
    <n v="0"/>
    <n v="9"/>
    <n v="0"/>
    <n v="0"/>
    <n v="29.39"/>
    <n v="0"/>
    <n v="0"/>
    <n v="32.35"/>
    <n v="126.25"/>
    <m/>
    <n v="105325.40875479209"/>
    <n v="0"/>
    <n v="0"/>
    <n v="138348.21042339443"/>
    <n v="0"/>
    <n v="0"/>
  </r>
  <r>
    <s v="Regular"/>
    <x v="1"/>
    <x v="0"/>
    <x v="0"/>
    <x v="0"/>
    <x v="0"/>
    <x v="0"/>
    <x v="2"/>
    <x v="9"/>
    <n v="7150"/>
    <n v="3595.9309815000001"/>
    <n v="0"/>
    <n v="0"/>
    <n v="0"/>
    <n v="0"/>
    <n v="0"/>
    <x v="0"/>
    <n v="0"/>
    <n v="9"/>
    <n v="0"/>
    <n v="0"/>
    <n v="29.39"/>
    <n v="0"/>
    <n v="0"/>
    <n v="32.35"/>
    <n v="126.25"/>
    <m/>
    <n v="105684.411546285"/>
    <n v="0"/>
    <n v="0"/>
    <n v="138819.77179046851"/>
    <n v="0"/>
    <n v="0"/>
  </r>
  <r>
    <s v="Regular"/>
    <x v="1"/>
    <x v="0"/>
    <x v="0"/>
    <x v="0"/>
    <x v="0"/>
    <x v="0"/>
    <x v="2"/>
    <x v="10"/>
    <n v="7149"/>
    <n v="3576.6673623299998"/>
    <n v="0"/>
    <n v="0"/>
    <n v="0"/>
    <n v="0"/>
    <n v="0"/>
    <x v="0"/>
    <n v="0"/>
    <n v="9"/>
    <n v="0"/>
    <n v="0"/>
    <n v="29.39"/>
    <n v="0"/>
    <n v="0"/>
    <n v="32.35"/>
    <n v="126.25"/>
    <m/>
    <n v="105118.2537788787"/>
    <n v="0"/>
    <n v="0"/>
    <n v="138076.10589955022"/>
    <n v="0"/>
    <n v="0"/>
  </r>
  <r>
    <s v="Regular"/>
    <x v="1"/>
    <x v="0"/>
    <x v="0"/>
    <x v="0"/>
    <x v="0"/>
    <x v="0"/>
    <x v="2"/>
    <x v="11"/>
    <n v="6550"/>
    <n v="3276.0449214999999"/>
    <n v="0"/>
    <n v="0"/>
    <n v="0"/>
    <n v="0"/>
    <n v="0"/>
    <x v="0"/>
    <n v="0"/>
    <n v="9"/>
    <n v="0"/>
    <n v="0"/>
    <n v="29.39"/>
    <n v="0"/>
    <n v="0"/>
    <n v="32.35"/>
    <n v="126.25"/>
    <m/>
    <n v="96282.960242885005"/>
    <n v="0"/>
    <n v="0"/>
    <n v="126470.67218966682"/>
    <n v="0"/>
    <n v="0"/>
  </r>
  <r>
    <s v="Regular"/>
    <x v="1"/>
    <x v="0"/>
    <x v="0"/>
    <x v="0"/>
    <x v="0"/>
    <x v="0"/>
    <x v="2"/>
    <x v="0"/>
    <n v="6550"/>
    <n v="3277.0388840000001"/>
    <n v="0"/>
    <n v="0"/>
    <n v="0"/>
    <n v="0"/>
    <n v="0"/>
    <x v="0"/>
    <n v="0"/>
    <n v="9"/>
    <n v="0"/>
    <n v="0"/>
    <n v="29.39"/>
    <n v="0"/>
    <n v="0"/>
    <n v="32.35"/>
    <n v="126.25"/>
    <m/>
    <n v="96312.172800760003"/>
    <n v="0"/>
    <n v="0"/>
    <n v="126509.04379583172"/>
    <n v="0"/>
    <n v="0"/>
  </r>
  <r>
    <s v="Regular"/>
    <x v="1"/>
    <x v="0"/>
    <x v="0"/>
    <x v="0"/>
    <x v="0"/>
    <x v="0"/>
    <x v="2"/>
    <x v="1"/>
    <n v="3750"/>
    <n v="1875.5648624999999"/>
    <n v="0"/>
    <n v="0"/>
    <n v="0"/>
    <n v="0"/>
    <n v="0"/>
    <x v="0"/>
    <n v="0"/>
    <n v="9"/>
    <n v="0"/>
    <n v="0"/>
    <n v="29.39"/>
    <n v="0"/>
    <n v="0"/>
    <n v="32.35"/>
    <n v="126.25"/>
    <m/>
    <n v="55122.851308874997"/>
    <n v="0"/>
    <n v="0"/>
    <n v="72405.584959771135"/>
    <n v="0"/>
    <n v="0"/>
  </r>
  <r>
    <s v="Regular"/>
    <x v="1"/>
    <x v="0"/>
    <x v="0"/>
    <x v="0"/>
    <x v="0"/>
    <x v="0"/>
    <x v="2"/>
    <x v="2"/>
    <n v="3750"/>
    <n v="1888.4784374999999"/>
    <n v="0"/>
    <n v="0"/>
    <n v="0"/>
    <n v="0"/>
    <n v="0"/>
    <x v="0"/>
    <n v="0"/>
    <n v="9"/>
    <n v="0"/>
    <n v="0"/>
    <n v="29.39"/>
    <n v="0"/>
    <n v="0"/>
    <n v="32.35"/>
    <n v="126.25"/>
    <m/>
    <n v="55502.381278125002"/>
    <n v="0"/>
    <n v="0"/>
    <n v="72904.109415252009"/>
    <n v="0"/>
    <n v="0"/>
  </r>
  <r>
    <s v="Regular"/>
    <x v="1"/>
    <x v="0"/>
    <x v="0"/>
    <x v="0"/>
    <x v="0"/>
    <x v="0"/>
    <x v="2"/>
    <x v="3"/>
    <n v="3750"/>
    <n v="1891.9794374999999"/>
    <n v="0"/>
    <n v="0"/>
    <n v="0"/>
    <n v="0"/>
    <n v="0"/>
    <x v="0"/>
    <n v="0"/>
    <n v="9"/>
    <n v="0"/>
    <n v="0"/>
    <n v="29.39"/>
    <n v="0"/>
    <n v="0"/>
    <n v="32.35"/>
    <n v="126.25"/>
    <m/>
    <n v="55605.275668124996"/>
    <n v="0"/>
    <n v="0"/>
    <n v="73039.264406696166"/>
    <n v="0"/>
    <n v="0"/>
  </r>
  <r>
    <s v="Regular"/>
    <x v="1"/>
    <x v="1"/>
    <x v="1"/>
    <x v="0"/>
    <x v="1"/>
    <x v="1"/>
    <x v="1"/>
    <x v="4"/>
    <n v="1500"/>
    <n v="750"/>
    <n v="0"/>
    <n v="0"/>
    <n v="0"/>
    <n v="0"/>
    <n v="0"/>
    <x v="1"/>
    <n v="28195"/>
    <n v="17"/>
    <n v="0"/>
    <n v="0"/>
    <n v="6.96"/>
    <n v="0"/>
    <n v="0"/>
    <n v="8.2896895560114423"/>
    <m/>
    <m/>
    <n v="5220"/>
    <n v="0"/>
    <n v="0"/>
    <n v="6217.267167008582"/>
    <n v="0"/>
    <n v="0"/>
  </r>
  <r>
    <s v="Regular"/>
    <x v="1"/>
    <x v="1"/>
    <x v="1"/>
    <x v="0"/>
    <x v="1"/>
    <x v="2"/>
    <x v="1"/>
    <x v="4"/>
    <n v="1250"/>
    <n v="625"/>
    <n v="0"/>
    <n v="0"/>
    <n v="0"/>
    <n v="0"/>
    <n v="0"/>
    <x v="1"/>
    <n v="29377"/>
    <n v="17"/>
    <n v="0"/>
    <n v="0"/>
    <n v="6.96"/>
    <n v="0"/>
    <n v="0"/>
    <n v="8.2896895560114423"/>
    <m/>
    <m/>
    <n v="4350"/>
    <n v="0"/>
    <n v="0"/>
    <n v="5181.0559725071516"/>
    <n v="0"/>
    <n v="0"/>
  </r>
  <r>
    <s v="Regular"/>
    <x v="1"/>
    <x v="1"/>
    <x v="1"/>
    <x v="0"/>
    <x v="1"/>
    <x v="1"/>
    <x v="1"/>
    <x v="5"/>
    <n v="1500"/>
    <n v="750"/>
    <n v="0"/>
    <n v="0"/>
    <n v="0"/>
    <n v="0"/>
    <n v="0"/>
    <x v="1"/>
    <n v="28195"/>
    <n v="17"/>
    <n v="0"/>
    <n v="0"/>
    <n v="6.96"/>
    <n v="0"/>
    <n v="0"/>
    <n v="8.2896895560114423"/>
    <m/>
    <m/>
    <n v="5220"/>
    <n v="0"/>
    <n v="0"/>
    <n v="6217.267167008582"/>
    <n v="0"/>
    <n v="0"/>
  </r>
  <r>
    <s v="Regular"/>
    <x v="1"/>
    <x v="1"/>
    <x v="1"/>
    <x v="0"/>
    <x v="1"/>
    <x v="2"/>
    <x v="1"/>
    <x v="5"/>
    <n v="1250"/>
    <n v="625"/>
    <n v="0"/>
    <n v="0"/>
    <n v="0"/>
    <n v="0"/>
    <n v="0"/>
    <x v="1"/>
    <n v="29377"/>
    <n v="17"/>
    <n v="0"/>
    <n v="0"/>
    <n v="6.96"/>
    <n v="0"/>
    <n v="0"/>
    <n v="8.2896895560114423"/>
    <m/>
    <m/>
    <n v="4350"/>
    <n v="0"/>
    <n v="0"/>
    <n v="5181.0559725071516"/>
    <n v="0"/>
    <n v="0"/>
  </r>
  <r>
    <s v="Regular"/>
    <x v="1"/>
    <x v="1"/>
    <x v="1"/>
    <x v="0"/>
    <x v="1"/>
    <x v="1"/>
    <x v="1"/>
    <x v="6"/>
    <n v="1500"/>
    <n v="750"/>
    <n v="0"/>
    <n v="0"/>
    <n v="0"/>
    <n v="0"/>
    <n v="0"/>
    <x v="1"/>
    <n v="28195"/>
    <n v="17"/>
    <n v="0"/>
    <n v="0"/>
    <n v="6.96"/>
    <n v="0"/>
    <n v="0"/>
    <n v="8.2896895560114423"/>
    <m/>
    <m/>
    <n v="5220"/>
    <n v="0"/>
    <n v="0"/>
    <n v="6217.267167008582"/>
    <n v="0"/>
    <n v="0"/>
  </r>
  <r>
    <s v="Regular"/>
    <x v="1"/>
    <x v="1"/>
    <x v="1"/>
    <x v="0"/>
    <x v="1"/>
    <x v="2"/>
    <x v="1"/>
    <x v="6"/>
    <n v="1250"/>
    <n v="625"/>
    <n v="0"/>
    <n v="0"/>
    <n v="0"/>
    <n v="0"/>
    <n v="0"/>
    <x v="1"/>
    <n v="29377"/>
    <n v="17"/>
    <n v="0"/>
    <n v="0"/>
    <n v="6.96"/>
    <n v="0"/>
    <n v="0"/>
    <n v="8.2896895560114423"/>
    <m/>
    <m/>
    <n v="4350"/>
    <n v="0"/>
    <n v="0"/>
    <n v="5181.0559725071516"/>
    <n v="0"/>
    <n v="0"/>
  </r>
  <r>
    <s v="Regular"/>
    <x v="1"/>
    <x v="1"/>
    <x v="1"/>
    <x v="0"/>
    <x v="1"/>
    <x v="1"/>
    <x v="1"/>
    <x v="7"/>
    <n v="1500"/>
    <n v="750"/>
    <n v="0"/>
    <n v="0"/>
    <n v="0"/>
    <n v="0"/>
    <n v="0"/>
    <x v="1"/>
    <n v="28195"/>
    <n v="17"/>
    <n v="0"/>
    <n v="0"/>
    <n v="6.96"/>
    <n v="0"/>
    <n v="0"/>
    <n v="8.2896895560114423"/>
    <m/>
    <m/>
    <n v="5220"/>
    <n v="0"/>
    <n v="0"/>
    <n v="6217.267167008582"/>
    <n v="0"/>
    <n v="0"/>
  </r>
  <r>
    <s v="Regular"/>
    <x v="1"/>
    <x v="1"/>
    <x v="1"/>
    <x v="0"/>
    <x v="1"/>
    <x v="2"/>
    <x v="1"/>
    <x v="7"/>
    <n v="1250"/>
    <n v="625"/>
    <n v="0"/>
    <n v="0"/>
    <n v="0"/>
    <n v="0"/>
    <n v="0"/>
    <x v="1"/>
    <n v="29377"/>
    <n v="17"/>
    <n v="0"/>
    <n v="0"/>
    <n v="6.96"/>
    <n v="0"/>
    <n v="0"/>
    <n v="8.2896895560114423"/>
    <m/>
    <m/>
    <n v="4350"/>
    <n v="0"/>
    <n v="0"/>
    <n v="5181.0559725071516"/>
    <n v="0"/>
    <n v="0"/>
  </r>
  <r>
    <s v="Regular"/>
    <x v="1"/>
    <x v="1"/>
    <x v="1"/>
    <x v="0"/>
    <x v="1"/>
    <x v="1"/>
    <x v="1"/>
    <x v="8"/>
    <n v="1500"/>
    <n v="750"/>
    <n v="0"/>
    <n v="0"/>
    <n v="0"/>
    <n v="0"/>
    <n v="0"/>
    <x v="1"/>
    <n v="28195"/>
    <n v="17"/>
    <n v="0"/>
    <n v="0"/>
    <n v="6.96"/>
    <n v="0"/>
    <n v="0"/>
    <n v="8.2896895560114423"/>
    <m/>
    <m/>
    <n v="5220"/>
    <n v="0"/>
    <n v="0"/>
    <n v="6217.267167008582"/>
    <n v="0"/>
    <n v="0"/>
  </r>
  <r>
    <s v="Regular"/>
    <x v="1"/>
    <x v="1"/>
    <x v="1"/>
    <x v="0"/>
    <x v="1"/>
    <x v="2"/>
    <x v="1"/>
    <x v="8"/>
    <n v="1250"/>
    <n v="625"/>
    <n v="0"/>
    <n v="0"/>
    <n v="0"/>
    <n v="0"/>
    <n v="0"/>
    <x v="1"/>
    <n v="29377"/>
    <n v="17"/>
    <n v="0"/>
    <n v="0"/>
    <n v="6.96"/>
    <n v="0"/>
    <n v="0"/>
    <n v="8.2896895560114423"/>
    <m/>
    <m/>
    <n v="4350"/>
    <n v="0"/>
    <n v="0"/>
    <n v="5181.0559725071516"/>
    <n v="0"/>
    <n v="0"/>
  </r>
  <r>
    <s v="Regular"/>
    <x v="1"/>
    <x v="1"/>
    <x v="1"/>
    <x v="0"/>
    <x v="1"/>
    <x v="1"/>
    <x v="1"/>
    <x v="9"/>
    <n v="1500"/>
    <n v="750"/>
    <n v="0"/>
    <n v="0"/>
    <n v="0"/>
    <n v="0"/>
    <n v="0"/>
    <x v="1"/>
    <n v="28195"/>
    <n v="17"/>
    <n v="0"/>
    <n v="0"/>
    <n v="6.96"/>
    <n v="0"/>
    <n v="0"/>
    <n v="8.2896895560114423"/>
    <m/>
    <m/>
    <n v="5220"/>
    <n v="0"/>
    <n v="0"/>
    <n v="6217.267167008582"/>
    <n v="0"/>
    <n v="0"/>
  </r>
  <r>
    <s v="Regular"/>
    <x v="1"/>
    <x v="1"/>
    <x v="1"/>
    <x v="0"/>
    <x v="1"/>
    <x v="2"/>
    <x v="1"/>
    <x v="9"/>
    <n v="1250"/>
    <n v="625"/>
    <n v="0"/>
    <n v="0"/>
    <n v="0"/>
    <n v="0"/>
    <n v="0"/>
    <x v="1"/>
    <n v="29377"/>
    <n v="17"/>
    <n v="0"/>
    <n v="0"/>
    <n v="6.96"/>
    <n v="0"/>
    <n v="0"/>
    <n v="8.2896895560114423"/>
    <m/>
    <m/>
    <n v="4350"/>
    <n v="0"/>
    <n v="0"/>
    <n v="5181.0559725071516"/>
    <n v="0"/>
    <n v="0"/>
  </r>
  <r>
    <s v="Regular"/>
    <x v="1"/>
    <x v="1"/>
    <x v="1"/>
    <x v="0"/>
    <x v="1"/>
    <x v="1"/>
    <x v="1"/>
    <x v="10"/>
    <n v="1500"/>
    <n v="750"/>
    <n v="0"/>
    <n v="0"/>
    <n v="0"/>
    <n v="0"/>
    <n v="0"/>
    <x v="1"/>
    <n v="28195"/>
    <n v="17"/>
    <n v="0"/>
    <n v="0"/>
    <n v="6.96"/>
    <n v="0"/>
    <n v="0"/>
    <n v="8.2896895560114423"/>
    <m/>
    <m/>
    <n v="5220"/>
    <n v="0"/>
    <n v="0"/>
    <n v="6217.267167008582"/>
    <n v="0"/>
    <n v="0"/>
  </r>
  <r>
    <s v="Regular"/>
    <x v="1"/>
    <x v="1"/>
    <x v="1"/>
    <x v="0"/>
    <x v="1"/>
    <x v="2"/>
    <x v="1"/>
    <x v="10"/>
    <n v="1250"/>
    <n v="625"/>
    <n v="0"/>
    <n v="0"/>
    <n v="0"/>
    <n v="0"/>
    <n v="0"/>
    <x v="1"/>
    <n v="29377"/>
    <n v="17"/>
    <n v="0"/>
    <n v="0"/>
    <n v="6.96"/>
    <n v="0"/>
    <n v="0"/>
    <n v="8.2896895560114423"/>
    <m/>
    <m/>
    <n v="4350"/>
    <n v="0"/>
    <n v="0"/>
    <n v="5181.0559725071516"/>
    <n v="0"/>
    <n v="0"/>
  </r>
  <r>
    <s v="Regular"/>
    <x v="1"/>
    <x v="1"/>
    <x v="1"/>
    <x v="0"/>
    <x v="1"/>
    <x v="1"/>
    <x v="1"/>
    <x v="11"/>
    <n v="1500"/>
    <n v="750"/>
    <n v="0"/>
    <n v="0"/>
    <n v="0"/>
    <n v="0"/>
    <n v="0"/>
    <x v="1"/>
    <n v="28195"/>
    <n v="17"/>
    <n v="0"/>
    <n v="0"/>
    <n v="6.96"/>
    <n v="0"/>
    <n v="0"/>
    <n v="8.2896895560114423"/>
    <m/>
    <m/>
    <n v="5220"/>
    <n v="0"/>
    <n v="0"/>
    <n v="6217.267167008582"/>
    <n v="0"/>
    <n v="0"/>
  </r>
  <r>
    <s v="Regular"/>
    <x v="1"/>
    <x v="1"/>
    <x v="1"/>
    <x v="0"/>
    <x v="1"/>
    <x v="2"/>
    <x v="1"/>
    <x v="11"/>
    <n v="1250"/>
    <n v="625"/>
    <n v="0"/>
    <n v="0"/>
    <n v="0"/>
    <n v="0"/>
    <n v="0"/>
    <x v="1"/>
    <n v="29377"/>
    <n v="17"/>
    <n v="0"/>
    <n v="0"/>
    <n v="6.96"/>
    <n v="0"/>
    <n v="0"/>
    <n v="8.2896895560114423"/>
    <m/>
    <m/>
    <n v="4350"/>
    <n v="0"/>
    <n v="0"/>
    <n v="5181.0559725071516"/>
    <n v="0"/>
    <n v="0"/>
  </r>
  <r>
    <s v="Regular"/>
    <x v="1"/>
    <x v="1"/>
    <x v="1"/>
    <x v="0"/>
    <x v="1"/>
    <x v="1"/>
    <x v="1"/>
    <x v="0"/>
    <n v="1500"/>
    <n v="750"/>
    <n v="0"/>
    <n v="0"/>
    <n v="0"/>
    <n v="0"/>
    <n v="0"/>
    <x v="1"/>
    <n v="28195"/>
    <n v="17"/>
    <n v="0"/>
    <n v="0"/>
    <n v="6.96"/>
    <n v="0"/>
    <n v="0"/>
    <n v="8.2896895560114423"/>
    <m/>
    <m/>
    <n v="5220"/>
    <n v="0"/>
    <n v="0"/>
    <n v="6217.267167008582"/>
    <n v="0"/>
    <n v="0"/>
  </r>
  <r>
    <s v="Regular"/>
    <x v="1"/>
    <x v="1"/>
    <x v="1"/>
    <x v="0"/>
    <x v="1"/>
    <x v="2"/>
    <x v="1"/>
    <x v="0"/>
    <n v="1250"/>
    <n v="625"/>
    <n v="0"/>
    <n v="0"/>
    <n v="0"/>
    <n v="0"/>
    <n v="0"/>
    <x v="1"/>
    <n v="29377"/>
    <n v="17"/>
    <n v="0"/>
    <n v="0"/>
    <n v="6.96"/>
    <n v="0"/>
    <n v="0"/>
    <n v="8.2896895560114423"/>
    <m/>
    <m/>
    <n v="4350"/>
    <n v="0"/>
    <n v="0"/>
    <n v="5181.0559725071516"/>
    <n v="0"/>
    <n v="0"/>
  </r>
  <r>
    <s v="Regular"/>
    <x v="1"/>
    <x v="1"/>
    <x v="1"/>
    <x v="0"/>
    <x v="1"/>
    <x v="1"/>
    <x v="1"/>
    <x v="1"/>
    <n v="1500"/>
    <n v="750"/>
    <n v="0"/>
    <n v="0"/>
    <n v="0"/>
    <n v="0"/>
    <n v="0"/>
    <x v="1"/>
    <n v="28195"/>
    <n v="17"/>
    <n v="0"/>
    <n v="0"/>
    <n v="6.96"/>
    <n v="0"/>
    <n v="0"/>
    <n v="8.2896895560114423"/>
    <m/>
    <m/>
    <n v="5220"/>
    <n v="0"/>
    <n v="0"/>
    <n v="6217.267167008582"/>
    <n v="0"/>
    <n v="0"/>
  </r>
  <r>
    <s v="Regular"/>
    <x v="1"/>
    <x v="1"/>
    <x v="1"/>
    <x v="0"/>
    <x v="1"/>
    <x v="2"/>
    <x v="1"/>
    <x v="1"/>
    <n v="1250"/>
    <n v="625"/>
    <n v="0"/>
    <n v="0"/>
    <n v="0"/>
    <n v="0"/>
    <n v="0"/>
    <x v="1"/>
    <n v="29377"/>
    <n v="17"/>
    <n v="0"/>
    <n v="0"/>
    <n v="6.96"/>
    <n v="0"/>
    <n v="0"/>
    <n v="8.2896895560114423"/>
    <m/>
    <m/>
    <n v="4350"/>
    <n v="0"/>
    <n v="0"/>
    <n v="5181.0559725071516"/>
    <n v="0"/>
    <n v="0"/>
  </r>
  <r>
    <s v="Regular"/>
    <x v="1"/>
    <x v="1"/>
    <x v="1"/>
    <x v="0"/>
    <x v="1"/>
    <x v="1"/>
    <x v="1"/>
    <x v="2"/>
    <n v="1500"/>
    <n v="750"/>
    <n v="0"/>
    <n v="0"/>
    <n v="0"/>
    <n v="0"/>
    <n v="0"/>
    <x v="1"/>
    <n v="28195"/>
    <n v="17"/>
    <n v="0"/>
    <n v="0"/>
    <n v="6.96"/>
    <n v="0"/>
    <n v="0"/>
    <n v="8.2896895560114423"/>
    <m/>
    <m/>
    <n v="5220"/>
    <n v="0"/>
    <n v="0"/>
    <n v="6217.267167008582"/>
    <n v="0"/>
    <n v="0"/>
  </r>
  <r>
    <s v="Regular"/>
    <x v="1"/>
    <x v="1"/>
    <x v="1"/>
    <x v="0"/>
    <x v="1"/>
    <x v="2"/>
    <x v="1"/>
    <x v="2"/>
    <n v="1250"/>
    <n v="625"/>
    <n v="0"/>
    <n v="0"/>
    <n v="0"/>
    <n v="0"/>
    <n v="0"/>
    <x v="1"/>
    <n v="29377"/>
    <n v="17"/>
    <n v="0"/>
    <n v="0"/>
    <n v="6.96"/>
    <n v="0"/>
    <n v="0"/>
    <n v="8.2896895560114423"/>
    <m/>
    <m/>
    <n v="4350"/>
    <n v="0"/>
    <n v="0"/>
    <n v="5181.0559725071516"/>
    <n v="0"/>
    <n v="0"/>
  </r>
  <r>
    <s v="Regular"/>
    <x v="1"/>
    <x v="1"/>
    <x v="1"/>
    <x v="0"/>
    <x v="1"/>
    <x v="1"/>
    <x v="1"/>
    <x v="3"/>
    <n v="1500"/>
    <n v="750"/>
    <n v="0"/>
    <n v="0"/>
    <n v="0"/>
    <n v="0"/>
    <n v="0"/>
    <x v="1"/>
    <n v="28195"/>
    <n v="17"/>
    <n v="0"/>
    <n v="0"/>
    <n v="6.96"/>
    <n v="0"/>
    <n v="0"/>
    <n v="8.2896895560114423"/>
    <m/>
    <m/>
    <n v="5220"/>
    <n v="0"/>
    <n v="0"/>
    <n v="6217.267167008582"/>
    <n v="0"/>
    <n v="0"/>
  </r>
  <r>
    <s v="Regular"/>
    <x v="1"/>
    <x v="1"/>
    <x v="1"/>
    <x v="0"/>
    <x v="1"/>
    <x v="2"/>
    <x v="1"/>
    <x v="3"/>
    <n v="1250"/>
    <n v="625"/>
    <n v="0"/>
    <n v="0"/>
    <n v="0"/>
    <n v="0"/>
    <n v="0"/>
    <x v="1"/>
    <n v="29377"/>
    <n v="17"/>
    <n v="0"/>
    <n v="0"/>
    <n v="6.96"/>
    <n v="0"/>
    <n v="0"/>
    <n v="8.2896895560114423"/>
    <m/>
    <m/>
    <n v="4350"/>
    <n v="0"/>
    <n v="0"/>
    <n v="5181.0559725071516"/>
    <n v="0"/>
    <n v="0"/>
  </r>
  <r>
    <s v="Regular"/>
    <x v="1"/>
    <x v="2"/>
    <x v="2"/>
    <x v="0"/>
    <x v="1"/>
    <x v="0"/>
    <x v="0"/>
    <x v="4"/>
    <n v="0"/>
    <n v="0"/>
    <n v="41.445"/>
    <n v="41.445"/>
    <n v="41.445"/>
    <n v="41.445"/>
    <n v="0"/>
    <x v="2"/>
    <n v="0"/>
    <n v="0"/>
    <n v="22"/>
    <n v="84"/>
    <n v="0"/>
    <n v="73.28"/>
    <n v="286.76"/>
    <m/>
    <n v="126.25"/>
    <n v="250.03999999999996"/>
    <n v="0"/>
    <n v="3037.0896000000002"/>
    <n v="11884.7682"/>
    <n v="0"/>
    <n v="5801.8722635154745"/>
    <n v="11246.314883752928"/>
  </r>
  <r>
    <s v="Sistema de Compensação"/>
    <x v="1"/>
    <x v="2"/>
    <x v="2"/>
    <x v="0"/>
    <x v="1"/>
    <x v="0"/>
    <x v="0"/>
    <x v="4"/>
    <n v="0"/>
    <n v="0"/>
    <n v="6.4008000000000003"/>
    <n v="6.4008000000000003"/>
    <n v="6.4008000000000003"/>
    <n v="6.4008000000000003"/>
    <n v="0"/>
    <x v="2"/>
    <n v="0"/>
    <n v="0"/>
    <n v="22"/>
    <n v="84"/>
    <n v="0"/>
    <n v="73.28"/>
    <n v="286.76"/>
    <m/>
    <n v="126.25"/>
    <n v="250.03999999999996"/>
    <n v="0"/>
    <n v="469.05062400000003"/>
    <n v="1835.493408"/>
    <n v="0"/>
    <n v="896.04594002436602"/>
    <n v="1736.8901509935033"/>
  </r>
  <r>
    <s v="Regular"/>
    <x v="1"/>
    <x v="2"/>
    <x v="2"/>
    <x v="0"/>
    <x v="1"/>
    <x v="0"/>
    <x v="0"/>
    <x v="5"/>
    <n v="0"/>
    <n v="0"/>
    <n v="43.096699999999998"/>
    <n v="43.096699999999998"/>
    <n v="43.096699999999998"/>
    <n v="43.096699999999998"/>
    <n v="0"/>
    <x v="2"/>
    <n v="0"/>
    <n v="0"/>
    <n v="22"/>
    <n v="84"/>
    <n v="0"/>
    <n v="73.28"/>
    <n v="286.76"/>
    <m/>
    <n v="126.25"/>
    <n v="250.03999999999996"/>
    <n v="0"/>
    <n v="3158.1261759999998"/>
    <n v="12358.409691999999"/>
    <n v="0"/>
    <n v="6033.0932170116384"/>
    <n v="11694.512212586193"/>
  </r>
  <r>
    <s v="Sistema de Compensação"/>
    <x v="1"/>
    <x v="2"/>
    <x v="2"/>
    <x v="0"/>
    <x v="1"/>
    <x v="0"/>
    <x v="0"/>
    <x v="5"/>
    <n v="0"/>
    <n v="0"/>
    <n v="5.1446899999999998"/>
    <n v="5.1446899999999998"/>
    <n v="5.1446899999999998"/>
    <n v="5.1446899999999998"/>
    <n v="0"/>
    <x v="2"/>
    <n v="0"/>
    <n v="0"/>
    <n v="22"/>
    <n v="84"/>
    <n v="0"/>
    <n v="73.28"/>
    <n v="286.76"/>
    <m/>
    <n v="126.25"/>
    <n v="250.03999999999996"/>
    <n v="0"/>
    <n v="377.00288319999999"/>
    <n v="1475.2913043999999"/>
    <n v="0"/>
    <n v="720.20350380951686"/>
    <n v="1396.0382125538629"/>
  </r>
  <r>
    <s v="Regular"/>
    <x v="1"/>
    <x v="2"/>
    <x v="2"/>
    <x v="0"/>
    <x v="1"/>
    <x v="0"/>
    <x v="0"/>
    <x v="6"/>
    <n v="0"/>
    <n v="0"/>
    <n v="43.770319999999998"/>
    <n v="43.770319999999998"/>
    <n v="43.770319999999998"/>
    <n v="43.770319999999998"/>
    <n v="0"/>
    <x v="2"/>
    <n v="0"/>
    <n v="0"/>
    <n v="22"/>
    <n v="84"/>
    <n v="0"/>
    <n v="73.28"/>
    <n v="286.76"/>
    <m/>
    <n v="126.25"/>
    <n v="250.03999999999996"/>
    <n v="0"/>
    <n v="3207.4890495999998"/>
    <n v="12551.576963199999"/>
    <n v="0"/>
    <n v="6127.3930648617843"/>
    <n v="11877.302479976557"/>
  </r>
  <r>
    <s v="Sistema de Compensação"/>
    <x v="1"/>
    <x v="2"/>
    <x v="2"/>
    <x v="0"/>
    <x v="1"/>
    <x v="0"/>
    <x v="0"/>
    <x v="6"/>
    <n v="0"/>
    <n v="0"/>
    <n v="4.6870599999999998"/>
    <n v="4.6870599999999998"/>
    <n v="4.6870599999999998"/>
    <n v="4.6870599999999998"/>
    <n v="0"/>
    <x v="2"/>
    <n v="0"/>
    <n v="0"/>
    <n v="22"/>
    <n v="84"/>
    <n v="0"/>
    <n v="73.28"/>
    <n v="286.76"/>
    <m/>
    <n v="126.25"/>
    <n v="250.03999999999996"/>
    <n v="0"/>
    <n v="343.46775679999996"/>
    <n v="1344.0613255999999"/>
    <n v="0"/>
    <n v="656.14002681705483"/>
    <n v="1271.8579476183615"/>
  </r>
  <r>
    <s v="Regular"/>
    <x v="1"/>
    <x v="2"/>
    <x v="2"/>
    <x v="0"/>
    <x v="1"/>
    <x v="0"/>
    <x v="0"/>
    <x v="7"/>
    <n v="0"/>
    <n v="0"/>
    <n v="47.860999999999997"/>
    <n v="47.860999999999997"/>
    <n v="47.860999999999997"/>
    <n v="47.860999999999997"/>
    <n v="0"/>
    <x v="2"/>
    <n v="0"/>
    <n v="0"/>
    <n v="22"/>
    <n v="84"/>
    <n v="0"/>
    <n v="73.28"/>
    <n v="286.76"/>
    <m/>
    <n v="126.25"/>
    <n v="250.03999999999996"/>
    <n v="0"/>
    <n v="3507.2540799999997"/>
    <n v="13724.620359999999"/>
    <n v="0"/>
    <n v="6700.0460466670074"/>
    <n v="12987.329633280222"/>
  </r>
  <r>
    <s v="Sistema de Compensação"/>
    <x v="1"/>
    <x v="2"/>
    <x v="2"/>
    <x v="0"/>
    <x v="1"/>
    <x v="0"/>
    <x v="0"/>
    <x v="7"/>
    <n v="0"/>
    <n v="0"/>
    <n v="5.4560000000000004"/>
    <n v="5.4560000000000004"/>
    <n v="5.4560000000000004"/>
    <n v="5.4560000000000004"/>
    <n v="0"/>
    <x v="2"/>
    <n v="0"/>
    <n v="0"/>
    <n v="22"/>
    <n v="84"/>
    <n v="0"/>
    <n v="73.28"/>
    <n v="286.76"/>
    <m/>
    <n v="126.25"/>
    <n v="250.03999999999996"/>
    <n v="0"/>
    <n v="399.81568000000004"/>
    <n v="1564.5625600000001"/>
    <n v="0"/>
    <n v="763.78369090940839"/>
    <n v="1480.5137894982743"/>
  </r>
  <r>
    <s v="Regular"/>
    <x v="1"/>
    <x v="2"/>
    <x v="2"/>
    <x v="0"/>
    <x v="1"/>
    <x v="0"/>
    <x v="0"/>
    <x v="8"/>
    <n v="0"/>
    <n v="0"/>
    <n v="54.847859999999997"/>
    <n v="54.847859999999997"/>
    <n v="54.847859999999997"/>
    <n v="54.847859999999997"/>
    <n v="0"/>
    <x v="2"/>
    <n v="0"/>
    <n v="0"/>
    <n v="22"/>
    <n v="84"/>
    <n v="0"/>
    <n v="73.28"/>
    <n v="286.76"/>
    <m/>
    <n v="126.25"/>
    <n v="250.03999999999996"/>
    <n v="0"/>
    <n v="4019.2511807999999"/>
    <n v="15728.1723336"/>
    <n v="0"/>
    <n v="7678.134338211602"/>
    <n v="14883.25019326811"/>
  </r>
  <r>
    <s v="Sistema de Compensação"/>
    <x v="1"/>
    <x v="2"/>
    <x v="2"/>
    <x v="0"/>
    <x v="1"/>
    <x v="0"/>
    <x v="0"/>
    <x v="8"/>
    <n v="0"/>
    <n v="0"/>
    <n v="8.0050000000000008"/>
    <n v="8.0050000000000008"/>
    <n v="8.0050000000000008"/>
    <n v="8.0050000000000008"/>
    <n v="0"/>
    <x v="2"/>
    <n v="0"/>
    <n v="0"/>
    <n v="22"/>
    <n v="84"/>
    <n v="0"/>
    <n v="73.28"/>
    <n v="286.76"/>
    <m/>
    <n v="126.25"/>
    <n v="250.03999999999996"/>
    <n v="0"/>
    <n v="586.60640000000012"/>
    <n v="2295.5138000000002"/>
    <n v="0"/>
    <n v="1120.6173837481331"/>
    <n v="2172.1981094086668"/>
  </r>
  <r>
    <s v="Regular"/>
    <x v="1"/>
    <x v="2"/>
    <x v="2"/>
    <x v="0"/>
    <x v="1"/>
    <x v="0"/>
    <x v="0"/>
    <x v="9"/>
    <n v="0"/>
    <n v="0"/>
    <n v="59.790999999999997"/>
    <n v="59.790999999999997"/>
    <n v="59.790999999999997"/>
    <n v="59.790999999999997"/>
    <n v="0"/>
    <x v="2"/>
    <n v="0"/>
    <n v="0"/>
    <n v="22"/>
    <n v="84"/>
    <n v="0"/>
    <n v="73.28"/>
    <n v="286.76"/>
    <m/>
    <n v="126.25"/>
    <n v="250.03999999999996"/>
    <n v="0"/>
    <n v="4381.4844800000001"/>
    <n v="17145.667159999997"/>
    <n v="0"/>
    <n v="8370.1229221342437"/>
    <n v="16224.596771974213"/>
  </r>
  <r>
    <s v="Sistema de Compensação"/>
    <x v="1"/>
    <x v="2"/>
    <x v="2"/>
    <x v="0"/>
    <x v="1"/>
    <x v="0"/>
    <x v="0"/>
    <x v="9"/>
    <n v="0"/>
    <n v="0"/>
    <n v="12.615"/>
    <n v="12.615"/>
    <n v="12.615"/>
    <n v="12.615"/>
    <n v="0"/>
    <x v="2"/>
    <n v="0"/>
    <n v="0"/>
    <n v="22"/>
    <n v="84"/>
    <n v="0"/>
    <n v="73.28"/>
    <n v="286.76"/>
    <m/>
    <n v="126.25"/>
    <n v="250.03999999999996"/>
    <n v="0"/>
    <n v="924.42720000000008"/>
    <n v="3617.4773999999998"/>
    <n v="0"/>
    <n v="1765.969805869169"/>
    <n v="3423.1454278813653"/>
  </r>
  <r>
    <s v="Regular"/>
    <x v="1"/>
    <x v="2"/>
    <x v="2"/>
    <x v="0"/>
    <x v="1"/>
    <x v="0"/>
    <x v="0"/>
    <x v="10"/>
    <n v="0"/>
    <n v="0"/>
    <n v="51.537999999999997"/>
    <n v="51.537999999999997"/>
    <n v="51.537999999999997"/>
    <n v="51.537999999999997"/>
    <n v="0"/>
    <x v="2"/>
    <n v="0"/>
    <n v="0"/>
    <n v="22"/>
    <n v="84"/>
    <n v="0"/>
    <n v="73.28"/>
    <n v="286.76"/>
    <m/>
    <n v="126.25"/>
    <n v="250.03999999999996"/>
    <n v="0"/>
    <n v="3776.7046399999999"/>
    <n v="14779.036879999998"/>
    <n v="0"/>
    <n v="7214.7880978902285"/>
    <n v="13985.102581224715"/>
  </r>
  <r>
    <s v="Sistema de Compensação"/>
    <x v="1"/>
    <x v="2"/>
    <x v="2"/>
    <x v="0"/>
    <x v="1"/>
    <x v="0"/>
    <x v="0"/>
    <x v="10"/>
    <n v="0"/>
    <n v="0"/>
    <n v="10.870419999999999"/>
    <n v="10.870419999999999"/>
    <n v="10.870419999999999"/>
    <n v="10.870419999999999"/>
    <n v="0"/>
    <x v="2"/>
    <n v="0"/>
    <n v="0"/>
    <n v="22"/>
    <n v="84"/>
    <n v="0"/>
    <n v="73.28"/>
    <n v="286.76"/>
    <m/>
    <n v="126.25"/>
    <n v="250.03999999999996"/>
    <n v="0"/>
    <n v="796.58437759999993"/>
    <n v="3117.2016391999996"/>
    <n v="0"/>
    <n v="1521.7466109485797"/>
    <n v="2949.7446311652911"/>
  </r>
  <r>
    <s v="Regular"/>
    <x v="1"/>
    <x v="2"/>
    <x v="2"/>
    <x v="0"/>
    <x v="1"/>
    <x v="0"/>
    <x v="0"/>
    <x v="11"/>
    <n v="0"/>
    <n v="0"/>
    <n v="51.117379999999997"/>
    <n v="51.117379999999997"/>
    <n v="51.117379999999997"/>
    <n v="51.117379999999997"/>
    <n v="0"/>
    <x v="2"/>
    <n v="0"/>
    <n v="0"/>
    <n v="22"/>
    <n v="84"/>
    <n v="0"/>
    <n v="73.28"/>
    <n v="286.76"/>
    <m/>
    <n v="126.25"/>
    <n v="250.03999999999996"/>
    <n v="0"/>
    <n v="3745.8816063999998"/>
    <n v="14658.419888799999"/>
    <n v="0"/>
    <n v="7155.905638933059"/>
    <n v="13870.965171008667"/>
  </r>
  <r>
    <s v="Sistema de Compensação"/>
    <x v="1"/>
    <x v="2"/>
    <x v="2"/>
    <x v="0"/>
    <x v="1"/>
    <x v="0"/>
    <x v="0"/>
    <x v="11"/>
    <n v="0"/>
    <n v="0"/>
    <n v="10.050190000000001"/>
    <n v="10.050190000000001"/>
    <n v="10.050190000000001"/>
    <n v="10.050190000000001"/>
    <n v="0"/>
    <x v="2"/>
    <n v="0"/>
    <n v="0"/>
    <n v="22"/>
    <n v="84"/>
    <n v="0"/>
    <n v="73.28"/>
    <n v="286.76"/>
    <m/>
    <n v="126.25"/>
    <n v="250.03999999999996"/>
    <n v="0"/>
    <n v="736.47792320000008"/>
    <n v="2881.9924844000002"/>
    <n v="0"/>
    <n v="1406.922876198832"/>
    <n v="2727.1709827854952"/>
  </r>
  <r>
    <s v="Regular"/>
    <x v="1"/>
    <x v="2"/>
    <x v="2"/>
    <x v="0"/>
    <x v="1"/>
    <x v="0"/>
    <x v="0"/>
    <x v="0"/>
    <n v="0"/>
    <n v="0"/>
    <n v="42.305770000000003"/>
    <n v="42.305770000000003"/>
    <n v="42.305770000000003"/>
    <n v="42.305770000000003"/>
    <n v="0"/>
    <x v="2"/>
    <n v="0"/>
    <n v="0"/>
    <n v="22"/>
    <n v="84"/>
    <n v="0"/>
    <n v="73.28"/>
    <n v="286.76"/>
    <m/>
    <n v="126.25"/>
    <n v="250.03999999999996"/>
    <n v="0"/>
    <n v="3100.1668256000003"/>
    <n v="12131.6026052"/>
    <n v="0"/>
    <n v="5922.3711798688637"/>
    <n v="11479.889270590616"/>
  </r>
  <r>
    <s v="Sistema de Compensação"/>
    <x v="1"/>
    <x v="2"/>
    <x v="2"/>
    <x v="0"/>
    <x v="1"/>
    <x v="0"/>
    <x v="0"/>
    <x v="0"/>
    <n v="0"/>
    <n v="0"/>
    <n v="4.5"/>
    <n v="4.5"/>
    <n v="4.5"/>
    <n v="4.5"/>
    <n v="0"/>
    <x v="2"/>
    <n v="0"/>
    <n v="0"/>
    <n v="22"/>
    <n v="84"/>
    <n v="0"/>
    <n v="73.28"/>
    <n v="286.76"/>
    <m/>
    <n v="126.25"/>
    <n v="250.03999999999996"/>
    <n v="0"/>
    <n v="329.76"/>
    <n v="1290.42"/>
    <n v="0"/>
    <n v="629.95355738495925"/>
    <n v="1221.09825013604"/>
  </r>
  <r>
    <s v="Regular"/>
    <x v="1"/>
    <x v="2"/>
    <x v="2"/>
    <x v="0"/>
    <x v="1"/>
    <x v="0"/>
    <x v="0"/>
    <x v="1"/>
    <n v="0"/>
    <n v="0"/>
    <n v="39.944510000000001"/>
    <n v="39.944510000000001"/>
    <n v="39.944510000000001"/>
    <n v="39.944510000000001"/>
    <n v="0"/>
    <x v="2"/>
    <n v="0"/>
    <n v="0"/>
    <n v="22"/>
    <n v="84"/>
    <n v="0"/>
    <n v="73.28"/>
    <n v="286.76"/>
    <m/>
    <n v="126.25"/>
    <n v="250.03999999999996"/>
    <n v="0"/>
    <n v="2927.1336928000001"/>
    <n v="11454.4876876"/>
    <n v="0"/>
    <n v="5591.8191494442399"/>
    <n v="10839.1491696759"/>
  </r>
  <r>
    <s v="Sistema de Compensação"/>
    <x v="1"/>
    <x v="2"/>
    <x v="2"/>
    <x v="0"/>
    <x v="1"/>
    <x v="0"/>
    <x v="0"/>
    <x v="1"/>
    <n v="0"/>
    <n v="0"/>
    <n v="2.7362899999999999"/>
    <n v="2.7362899999999999"/>
    <n v="2.7362899999999999"/>
    <n v="2.7362899999999999"/>
    <n v="0"/>
    <x v="2"/>
    <n v="0"/>
    <n v="0"/>
    <n v="22"/>
    <n v="84"/>
    <n v="0"/>
    <n v="73.28"/>
    <n v="286.76"/>
    <m/>
    <n v="126.25"/>
    <n v="250.03999999999996"/>
    <n v="0"/>
    <n v="200.51533119999999"/>
    <n v="784.65852039999993"/>
    <n v="0"/>
    <n v="383.05235989708666"/>
    <n v="742.50642908105431"/>
  </r>
  <r>
    <s v="Regular"/>
    <x v="1"/>
    <x v="2"/>
    <x v="2"/>
    <x v="0"/>
    <x v="1"/>
    <x v="0"/>
    <x v="0"/>
    <x v="2"/>
    <n v="0"/>
    <n v="0"/>
    <n v="35.257950000000001"/>
    <n v="35.257950000000001"/>
    <n v="35.257950000000001"/>
    <n v="35.257950000000001"/>
    <n v="0"/>
    <x v="2"/>
    <n v="0"/>
    <n v="0"/>
    <n v="22"/>
    <n v="84"/>
    <n v="0"/>
    <n v="73.28"/>
    <n v="286.76"/>
    <m/>
    <n v="126.25"/>
    <n v="250.03999999999996"/>
    <n v="0"/>
    <n v="2583.7025760000001"/>
    <n v="10110.569742"/>
    <n v="0"/>
    <n v="4935.7491174668939"/>
    <n v="9567.4268996408864"/>
  </r>
  <r>
    <s v="Sistema de Compensação"/>
    <x v="1"/>
    <x v="2"/>
    <x v="2"/>
    <x v="0"/>
    <x v="1"/>
    <x v="0"/>
    <x v="0"/>
    <x v="2"/>
    <n v="0"/>
    <n v="0"/>
    <n v="5.1189999999999998"/>
    <n v="5.1189999999999998"/>
    <n v="5.1189999999999998"/>
    <n v="5.1189999999999998"/>
    <n v="0"/>
    <x v="2"/>
    <n v="0"/>
    <n v="0"/>
    <n v="22"/>
    <n v="84"/>
    <n v="0"/>
    <n v="73.28"/>
    <n v="286.76"/>
    <m/>
    <n v="126.25"/>
    <n v="250.03999999999996"/>
    <n v="0"/>
    <n v="375.12031999999999"/>
    <n v="1467.9244399999998"/>
    <n v="0"/>
    <n v="716.6071689452458"/>
    <n v="1389.0670983214195"/>
  </r>
  <r>
    <s v="Regular"/>
    <x v="1"/>
    <x v="2"/>
    <x v="2"/>
    <x v="0"/>
    <x v="1"/>
    <x v="0"/>
    <x v="0"/>
    <x v="3"/>
    <n v="0"/>
    <n v="0"/>
    <n v="35.941000000000003"/>
    <n v="35.941000000000003"/>
    <n v="35.941000000000003"/>
    <n v="35.941000000000003"/>
    <n v="0"/>
    <x v="2"/>
    <n v="0"/>
    <n v="0"/>
    <n v="22"/>
    <n v="84"/>
    <n v="0"/>
    <n v="73.28"/>
    <n v="286.76"/>
    <m/>
    <n v="126.25"/>
    <n v="250.03999999999996"/>
    <n v="0"/>
    <n v="2633.75648"/>
    <n v="10306.44116"/>
    <n v="0"/>
    <n v="5031.36906799396"/>
    <n v="9752.7760462532024"/>
  </r>
  <r>
    <s v="Sistema de Compensação"/>
    <x v="1"/>
    <x v="2"/>
    <x v="2"/>
    <x v="0"/>
    <x v="1"/>
    <x v="0"/>
    <x v="0"/>
    <x v="3"/>
    <n v="0"/>
    <n v="0"/>
    <n v="1.0893600000000001"/>
    <n v="1.0893600000000001"/>
    <n v="1.0893600000000001"/>
    <n v="1.0893600000000001"/>
    <n v="0"/>
    <x v="2"/>
    <n v="0"/>
    <n v="0"/>
    <n v="22"/>
    <n v="84"/>
    <n v="0"/>
    <n v="73.28"/>
    <n v="286.76"/>
    <m/>
    <n v="126.25"/>
    <n v="250.03999999999996"/>
    <n v="0"/>
    <n v="79.828300800000008"/>
    <n v="312.38487360000005"/>
    <n v="0"/>
    <n v="152.49915717175094"/>
    <n v="295.60346439293255"/>
  </r>
  <r>
    <s v="Regular"/>
    <x v="1"/>
    <x v="2"/>
    <x v="2"/>
    <x v="0"/>
    <x v="1"/>
    <x v="0"/>
    <x v="1"/>
    <x v="4"/>
    <n v="352"/>
    <n v="352"/>
    <n v="0"/>
    <n v="0"/>
    <n v="0"/>
    <n v="0"/>
    <n v="5"/>
    <x v="2"/>
    <n v="0"/>
    <n v="18"/>
    <n v="0"/>
    <n v="0"/>
    <n v="18.489999999999998"/>
    <n v="0"/>
    <n v="0"/>
    <n v="15.64"/>
    <m/>
    <m/>
    <n v="6508.48"/>
    <n v="0"/>
    <n v="0"/>
    <n v="8322.6482322360444"/>
    <n v="0"/>
    <n v="0"/>
  </r>
  <r>
    <s v="Sistema de Compensação"/>
    <x v="1"/>
    <x v="2"/>
    <x v="2"/>
    <x v="0"/>
    <x v="1"/>
    <x v="0"/>
    <x v="1"/>
    <x v="4"/>
    <n v="100"/>
    <n v="100"/>
    <n v="0"/>
    <n v="0"/>
    <n v="0"/>
    <n v="0"/>
    <n v="1"/>
    <x v="2"/>
    <n v="0"/>
    <n v="18"/>
    <n v="0"/>
    <n v="0"/>
    <n v="18.489999999999998"/>
    <n v="0"/>
    <n v="0"/>
    <n v="15.64"/>
    <m/>
    <m/>
    <n v="1848.9999999999998"/>
    <n v="0"/>
    <n v="0"/>
    <n v="2364.3887023397856"/>
    <n v="0"/>
    <n v="0"/>
  </r>
  <r>
    <s v="Regular"/>
    <x v="1"/>
    <x v="2"/>
    <x v="2"/>
    <x v="0"/>
    <x v="1"/>
    <x v="0"/>
    <x v="1"/>
    <x v="5"/>
    <n v="349.06"/>
    <n v="349.06"/>
    <n v="0"/>
    <n v="0"/>
    <n v="0"/>
    <n v="0"/>
    <n v="5"/>
    <x v="2"/>
    <n v="0"/>
    <n v="18"/>
    <n v="0"/>
    <n v="0"/>
    <n v="18.489999999999998"/>
    <n v="0"/>
    <n v="0"/>
    <n v="15.64"/>
    <m/>
    <m/>
    <n v="6454.1193999999996"/>
    <n v="0"/>
    <n v="0"/>
    <n v="8253.1352043872557"/>
    <n v="0"/>
    <n v="0"/>
  </r>
  <r>
    <s v="Sistema de Compensação"/>
    <x v="1"/>
    <x v="2"/>
    <x v="2"/>
    <x v="0"/>
    <x v="1"/>
    <x v="0"/>
    <x v="1"/>
    <x v="5"/>
    <n v="100"/>
    <n v="100"/>
    <n v="0"/>
    <n v="0"/>
    <n v="0"/>
    <n v="0"/>
    <n v="1"/>
    <x v="2"/>
    <n v="0"/>
    <n v="18"/>
    <n v="0"/>
    <n v="0"/>
    <n v="18.489999999999998"/>
    <n v="0"/>
    <n v="0"/>
    <n v="15.64"/>
    <m/>
    <m/>
    <n v="1848.9999999999998"/>
    <n v="0"/>
    <n v="0"/>
    <n v="2364.3887023397856"/>
    <n v="0"/>
    <n v="0"/>
  </r>
  <r>
    <s v="Regular"/>
    <x v="1"/>
    <x v="2"/>
    <x v="2"/>
    <x v="0"/>
    <x v="1"/>
    <x v="0"/>
    <x v="1"/>
    <x v="6"/>
    <n v="351.41"/>
    <n v="351.41"/>
    <n v="0"/>
    <n v="0"/>
    <n v="0"/>
    <n v="0"/>
    <n v="5"/>
    <x v="2"/>
    <n v="0"/>
    <n v="18"/>
    <n v="0"/>
    <n v="0"/>
    <n v="18.489999999999998"/>
    <n v="0"/>
    <n v="0"/>
    <n v="15.64"/>
    <m/>
    <m/>
    <n v="6497.5708999999997"/>
    <n v="0"/>
    <n v="0"/>
    <n v="8308.6983388922417"/>
    <n v="0"/>
    <n v="0"/>
  </r>
  <r>
    <s v="Sistema de Compensação"/>
    <x v="1"/>
    <x v="2"/>
    <x v="2"/>
    <x v="0"/>
    <x v="1"/>
    <x v="0"/>
    <x v="1"/>
    <x v="6"/>
    <n v="100"/>
    <n v="100"/>
    <n v="0"/>
    <n v="0"/>
    <n v="0"/>
    <n v="0"/>
    <n v="1"/>
    <x v="2"/>
    <n v="0"/>
    <n v="18"/>
    <n v="0"/>
    <n v="0"/>
    <n v="18.489999999999998"/>
    <n v="0"/>
    <n v="0"/>
    <n v="15.64"/>
    <m/>
    <m/>
    <n v="1848.9999999999998"/>
    <n v="0"/>
    <n v="0"/>
    <n v="2364.3887023397856"/>
    <n v="0"/>
    <n v="0"/>
  </r>
  <r>
    <s v="Regular"/>
    <x v="1"/>
    <x v="2"/>
    <x v="2"/>
    <x v="0"/>
    <x v="1"/>
    <x v="0"/>
    <x v="1"/>
    <x v="7"/>
    <n v="366"/>
    <n v="366"/>
    <n v="0"/>
    <n v="0"/>
    <n v="0"/>
    <n v="0"/>
    <n v="6"/>
    <x v="2"/>
    <n v="0"/>
    <n v="18"/>
    <n v="0"/>
    <n v="0"/>
    <n v="18.489999999999998"/>
    <n v="0"/>
    <n v="0"/>
    <n v="15.64"/>
    <m/>
    <m/>
    <n v="6767.3399999999992"/>
    <n v="0"/>
    <n v="0"/>
    <n v="8653.6626505636159"/>
    <n v="0"/>
    <n v="0"/>
  </r>
  <r>
    <s v="Sistema de Compensação"/>
    <x v="1"/>
    <x v="2"/>
    <x v="2"/>
    <x v="0"/>
    <x v="1"/>
    <x v="0"/>
    <x v="1"/>
    <x v="7"/>
    <n v="100"/>
    <n v="100"/>
    <n v="0"/>
    <n v="0"/>
    <n v="0"/>
    <n v="0"/>
    <n v="1"/>
    <x v="2"/>
    <n v="0"/>
    <n v="18"/>
    <n v="0"/>
    <n v="0"/>
    <n v="18.489999999999998"/>
    <n v="0"/>
    <n v="0"/>
    <n v="15.64"/>
    <m/>
    <m/>
    <n v="1848.9999999999998"/>
    <n v="0"/>
    <n v="0"/>
    <n v="2364.3887023397856"/>
    <n v="0"/>
    <n v="0"/>
  </r>
  <r>
    <s v="Regular"/>
    <x v="1"/>
    <x v="2"/>
    <x v="2"/>
    <x v="0"/>
    <x v="1"/>
    <x v="0"/>
    <x v="1"/>
    <x v="8"/>
    <n v="389.11"/>
    <n v="389.11"/>
    <n v="0"/>
    <n v="0"/>
    <n v="0"/>
    <n v="0"/>
    <n v="6"/>
    <x v="2"/>
    <n v="0"/>
    <n v="18"/>
    <n v="0"/>
    <n v="0"/>
    <n v="18.489999999999998"/>
    <n v="0"/>
    <n v="0"/>
    <n v="15.64"/>
    <m/>
    <m/>
    <n v="7194.6439"/>
    <n v="0"/>
    <n v="0"/>
    <n v="9200.0728796743406"/>
    <n v="0"/>
    <n v="0"/>
  </r>
  <r>
    <s v="Sistema de Compensação"/>
    <x v="1"/>
    <x v="2"/>
    <x v="2"/>
    <x v="0"/>
    <x v="1"/>
    <x v="0"/>
    <x v="1"/>
    <x v="8"/>
    <n v="100"/>
    <n v="100"/>
    <n v="0"/>
    <n v="0"/>
    <n v="0"/>
    <n v="0"/>
    <n v="1"/>
    <x v="2"/>
    <n v="0"/>
    <n v="18"/>
    <n v="0"/>
    <n v="0"/>
    <n v="18.489999999999998"/>
    <n v="0"/>
    <n v="0"/>
    <n v="15.64"/>
    <m/>
    <m/>
    <n v="1848.9999999999998"/>
    <n v="0"/>
    <n v="0"/>
    <n v="2364.3887023397856"/>
    <n v="0"/>
    <n v="0"/>
  </r>
  <r>
    <s v="Regular"/>
    <x v="1"/>
    <x v="2"/>
    <x v="2"/>
    <x v="0"/>
    <x v="1"/>
    <x v="0"/>
    <x v="1"/>
    <x v="9"/>
    <n v="394"/>
    <n v="394"/>
    <n v="0"/>
    <n v="0"/>
    <n v="0"/>
    <n v="0"/>
    <n v="6"/>
    <x v="2"/>
    <n v="0"/>
    <n v="18"/>
    <n v="0"/>
    <n v="0"/>
    <n v="18.489999999999998"/>
    <n v="0"/>
    <n v="0"/>
    <n v="15.64"/>
    <m/>
    <m/>
    <n v="7285.0599999999995"/>
    <n v="0"/>
    <n v="0"/>
    <n v="9315.6914872187554"/>
    <n v="0"/>
    <n v="0"/>
  </r>
  <r>
    <s v="Sistema de Compensação"/>
    <x v="1"/>
    <x v="2"/>
    <x v="2"/>
    <x v="0"/>
    <x v="1"/>
    <x v="0"/>
    <x v="1"/>
    <x v="9"/>
    <n v="100"/>
    <n v="100"/>
    <n v="0"/>
    <n v="0"/>
    <n v="0"/>
    <n v="0"/>
    <n v="1"/>
    <x v="2"/>
    <n v="0"/>
    <n v="18"/>
    <n v="0"/>
    <n v="0"/>
    <n v="18.489999999999998"/>
    <n v="0"/>
    <n v="0"/>
    <n v="15.64"/>
    <m/>
    <m/>
    <n v="1848.9999999999998"/>
    <n v="0"/>
    <n v="0"/>
    <n v="2364.3887023397856"/>
    <n v="0"/>
    <n v="0"/>
  </r>
  <r>
    <s v="Regular"/>
    <x v="1"/>
    <x v="2"/>
    <x v="2"/>
    <x v="0"/>
    <x v="1"/>
    <x v="0"/>
    <x v="1"/>
    <x v="10"/>
    <n v="428"/>
    <n v="428"/>
    <n v="0"/>
    <n v="0"/>
    <n v="0"/>
    <n v="0"/>
    <n v="6"/>
    <x v="2"/>
    <n v="0"/>
    <n v="18"/>
    <n v="0"/>
    <n v="0"/>
    <n v="18.489999999999998"/>
    <n v="0"/>
    <n v="0"/>
    <n v="15.64"/>
    <m/>
    <m/>
    <n v="7913.7199999999993"/>
    <n v="0"/>
    <n v="0"/>
    <n v="10119.583646014282"/>
    <n v="0"/>
    <n v="0"/>
  </r>
  <r>
    <s v="Sistema de Compensação"/>
    <x v="1"/>
    <x v="2"/>
    <x v="2"/>
    <x v="0"/>
    <x v="1"/>
    <x v="0"/>
    <x v="1"/>
    <x v="10"/>
    <n v="100"/>
    <n v="100"/>
    <n v="0"/>
    <n v="0"/>
    <n v="0"/>
    <n v="0"/>
    <n v="1"/>
    <x v="2"/>
    <n v="0"/>
    <n v="18"/>
    <n v="0"/>
    <n v="0"/>
    <n v="18.489999999999998"/>
    <n v="0"/>
    <n v="0"/>
    <n v="15.64"/>
    <m/>
    <m/>
    <n v="1848.9999999999998"/>
    <n v="0"/>
    <n v="0"/>
    <n v="2364.3887023397856"/>
    <n v="0"/>
    <n v="0"/>
  </r>
  <r>
    <s v="Regular"/>
    <x v="1"/>
    <x v="2"/>
    <x v="2"/>
    <x v="0"/>
    <x v="1"/>
    <x v="0"/>
    <x v="1"/>
    <x v="11"/>
    <n v="425.34"/>
    <n v="425.34"/>
    <n v="0"/>
    <n v="0"/>
    <n v="0"/>
    <n v="0"/>
    <n v="6"/>
    <x v="2"/>
    <n v="0"/>
    <n v="18"/>
    <n v="0"/>
    <n v="0"/>
    <n v="18.489999999999998"/>
    <n v="0"/>
    <n v="0"/>
    <n v="15.64"/>
    <m/>
    <m/>
    <n v="7864.5365999999985"/>
    <n v="0"/>
    <n v="0"/>
    <n v="10056.690906532043"/>
    <n v="0"/>
    <n v="0"/>
  </r>
  <r>
    <s v="Sistema de Compensação"/>
    <x v="1"/>
    <x v="2"/>
    <x v="2"/>
    <x v="0"/>
    <x v="1"/>
    <x v="0"/>
    <x v="1"/>
    <x v="11"/>
    <n v="100"/>
    <n v="100"/>
    <n v="0"/>
    <n v="0"/>
    <n v="0"/>
    <n v="0"/>
    <n v="1"/>
    <x v="2"/>
    <n v="0"/>
    <n v="18"/>
    <n v="0"/>
    <n v="0"/>
    <n v="18.489999999999998"/>
    <n v="0"/>
    <n v="0"/>
    <n v="15.64"/>
    <m/>
    <m/>
    <n v="1848.9999999999998"/>
    <n v="0"/>
    <n v="0"/>
    <n v="2364.3887023397856"/>
    <n v="0"/>
    <n v="0"/>
  </r>
  <r>
    <s v="Regular"/>
    <x v="1"/>
    <x v="2"/>
    <x v="2"/>
    <x v="0"/>
    <x v="1"/>
    <x v="0"/>
    <x v="1"/>
    <x v="0"/>
    <n v="417.67"/>
    <n v="417.67"/>
    <n v="0"/>
    <n v="0"/>
    <n v="0"/>
    <n v="0"/>
    <n v="6"/>
    <x v="2"/>
    <n v="0"/>
    <n v="18"/>
    <n v="0"/>
    <n v="0"/>
    <n v="18.489999999999998"/>
    <n v="0"/>
    <n v="0"/>
    <n v="15.64"/>
    <m/>
    <m/>
    <n v="7722.7182999999995"/>
    <n v="0"/>
    <n v="0"/>
    <n v="9875.342293062582"/>
    <n v="0"/>
    <n v="0"/>
  </r>
  <r>
    <s v="Sistema de Compensação"/>
    <x v="1"/>
    <x v="2"/>
    <x v="2"/>
    <x v="0"/>
    <x v="1"/>
    <x v="0"/>
    <x v="1"/>
    <x v="0"/>
    <n v="100"/>
    <n v="100"/>
    <n v="0"/>
    <n v="0"/>
    <n v="0"/>
    <n v="0"/>
    <n v="1"/>
    <x v="2"/>
    <n v="0"/>
    <n v="18"/>
    <n v="0"/>
    <n v="0"/>
    <n v="18.489999999999998"/>
    <n v="0"/>
    <n v="0"/>
    <n v="15.64"/>
    <m/>
    <m/>
    <n v="1848.9999999999998"/>
    <n v="0"/>
    <n v="0"/>
    <n v="2364.3887023397856"/>
    <n v="0"/>
    <n v="0"/>
  </r>
  <r>
    <s v="Regular"/>
    <x v="1"/>
    <x v="2"/>
    <x v="2"/>
    <x v="0"/>
    <x v="1"/>
    <x v="0"/>
    <x v="1"/>
    <x v="1"/>
    <n v="403"/>
    <n v="403"/>
    <n v="0"/>
    <n v="0"/>
    <n v="0"/>
    <n v="0"/>
    <n v="6"/>
    <x v="2"/>
    <n v="0"/>
    <n v="18"/>
    <n v="0"/>
    <n v="0"/>
    <n v="18.489999999999998"/>
    <n v="0"/>
    <n v="0"/>
    <n v="15.64"/>
    <m/>
    <m/>
    <n v="7451.4699999999993"/>
    <n v="0"/>
    <n v="0"/>
    <n v="9528.4864704293359"/>
    <n v="0"/>
    <n v="0"/>
  </r>
  <r>
    <s v="Sistema de Compensação"/>
    <x v="1"/>
    <x v="2"/>
    <x v="2"/>
    <x v="0"/>
    <x v="1"/>
    <x v="0"/>
    <x v="1"/>
    <x v="1"/>
    <n v="100"/>
    <n v="100"/>
    <n v="0"/>
    <n v="0"/>
    <n v="0"/>
    <n v="0"/>
    <n v="1"/>
    <x v="2"/>
    <n v="0"/>
    <n v="18"/>
    <n v="0"/>
    <n v="0"/>
    <n v="18.489999999999998"/>
    <n v="0"/>
    <n v="0"/>
    <n v="15.64"/>
    <m/>
    <m/>
    <n v="1848.9999999999998"/>
    <n v="0"/>
    <n v="0"/>
    <n v="2364.3887023397856"/>
    <n v="0"/>
    <n v="0"/>
  </r>
  <r>
    <s v="Regular"/>
    <x v="1"/>
    <x v="2"/>
    <x v="2"/>
    <x v="0"/>
    <x v="1"/>
    <x v="0"/>
    <x v="1"/>
    <x v="2"/>
    <n v="403.07"/>
    <n v="403.07"/>
    <n v="0"/>
    <n v="0"/>
    <n v="0"/>
    <n v="0"/>
    <n v="6"/>
    <x v="2"/>
    <n v="0"/>
    <n v="18"/>
    <n v="0"/>
    <n v="0"/>
    <n v="18.489999999999998"/>
    <n v="0"/>
    <n v="0"/>
    <n v="15.64"/>
    <m/>
    <m/>
    <n v="7452.7642999999989"/>
    <n v="0"/>
    <n v="0"/>
    <n v="9530.1415425209743"/>
    <n v="0"/>
    <n v="0"/>
  </r>
  <r>
    <s v="Sistema de Compensação"/>
    <x v="1"/>
    <x v="2"/>
    <x v="2"/>
    <x v="0"/>
    <x v="1"/>
    <x v="0"/>
    <x v="1"/>
    <x v="2"/>
    <n v="100"/>
    <n v="100"/>
    <n v="0"/>
    <n v="0"/>
    <n v="0"/>
    <n v="0"/>
    <n v="1"/>
    <x v="2"/>
    <n v="0"/>
    <n v="18"/>
    <n v="0"/>
    <n v="0"/>
    <n v="18.489999999999998"/>
    <n v="0"/>
    <n v="0"/>
    <n v="15.64"/>
    <m/>
    <m/>
    <n v="1848.9999999999998"/>
    <n v="0"/>
    <n v="0"/>
    <n v="2364.3887023397856"/>
    <n v="0"/>
    <n v="0"/>
  </r>
  <r>
    <s v="Regular"/>
    <x v="1"/>
    <x v="2"/>
    <x v="2"/>
    <x v="0"/>
    <x v="1"/>
    <x v="0"/>
    <x v="1"/>
    <x v="3"/>
    <n v="406"/>
    <n v="406"/>
    <n v="0"/>
    <n v="0"/>
    <n v="0"/>
    <n v="0"/>
    <n v="6"/>
    <x v="2"/>
    <n v="0"/>
    <n v="18"/>
    <n v="0"/>
    <n v="0"/>
    <n v="18.489999999999998"/>
    <n v="0"/>
    <n v="0"/>
    <n v="15.64"/>
    <m/>
    <m/>
    <n v="7506.94"/>
    <n v="0"/>
    <n v="0"/>
    <n v="9599.4181314995294"/>
    <n v="0"/>
    <n v="0"/>
  </r>
  <r>
    <s v="Sistema de Compensação"/>
    <x v="1"/>
    <x v="2"/>
    <x v="2"/>
    <x v="0"/>
    <x v="1"/>
    <x v="0"/>
    <x v="1"/>
    <x v="3"/>
    <n v="100"/>
    <n v="100"/>
    <n v="0"/>
    <n v="0"/>
    <n v="0"/>
    <n v="0"/>
    <n v="1"/>
    <x v="2"/>
    <n v="0"/>
    <n v="18"/>
    <n v="0"/>
    <n v="0"/>
    <n v="18.489999999999998"/>
    <n v="0"/>
    <n v="0"/>
    <n v="15.64"/>
    <m/>
    <m/>
    <n v="1848.9999999999998"/>
    <n v="0"/>
    <n v="0"/>
    <n v="2364.3887023397856"/>
    <n v="0"/>
    <n v="0"/>
  </r>
  <r>
    <s v="Regular"/>
    <x v="1"/>
    <x v="2"/>
    <x v="2"/>
    <x v="0"/>
    <x v="1"/>
    <x v="0"/>
    <x v="2"/>
    <x v="4"/>
    <n v="0"/>
    <n v="0"/>
    <n v="3.7450000000000001"/>
    <n v="3.7450000000000001"/>
    <n v="3.7450000000000001"/>
    <n v="3.7450000000000001"/>
    <n v="0"/>
    <x v="2"/>
    <n v="0"/>
    <n v="0"/>
    <n v="21"/>
    <n v="83"/>
    <n v="0"/>
    <n v="789.62"/>
    <n v="488.15"/>
    <m/>
    <n v="911.84"/>
    <n v="399.84"/>
    <n v="0"/>
    <n v="2957.1269000000002"/>
    <n v="1828.12175"/>
    <n v="0"/>
    <n v="4045.6882507017558"/>
    <n v="1726.6707736782305"/>
  </r>
  <r>
    <s v="Sistema de Compensação"/>
    <x v="1"/>
    <x v="2"/>
    <x v="2"/>
    <x v="0"/>
    <x v="1"/>
    <x v="0"/>
    <x v="2"/>
    <x v="4"/>
    <n v="0"/>
    <n v="0"/>
    <n v="0.83260999999999996"/>
    <n v="0.83260999999999996"/>
    <n v="0.83260999999999996"/>
    <n v="0.83260999999999996"/>
    <n v="0"/>
    <x v="2"/>
    <n v="0"/>
    <n v="0"/>
    <n v="21"/>
    <n v="83"/>
    <n v="0"/>
    <n v="789.62"/>
    <n v="488.15"/>
    <m/>
    <n v="911.84"/>
    <n v="399.84"/>
    <n v="0"/>
    <n v="657.44550819999995"/>
    <n v="406.43857149999997"/>
    <n v="0"/>
    <n v="899.46074617270722"/>
    <n v="383.88340530633684"/>
  </r>
  <r>
    <s v="Regular"/>
    <x v="1"/>
    <x v="2"/>
    <x v="2"/>
    <x v="0"/>
    <x v="1"/>
    <x v="0"/>
    <x v="2"/>
    <x v="5"/>
    <n v="0"/>
    <n v="0"/>
    <n v="3.89899"/>
    <n v="3.89899"/>
    <n v="3.89899"/>
    <n v="3.89899"/>
    <n v="0"/>
    <x v="2"/>
    <n v="0"/>
    <n v="0"/>
    <n v="21"/>
    <n v="83"/>
    <n v="0"/>
    <n v="789.62"/>
    <n v="488.15"/>
    <m/>
    <n v="911.84"/>
    <n v="399.84"/>
    <n v="0"/>
    <n v="3078.7204837999998"/>
    <n v="1903.2919684999999"/>
    <n v="0"/>
    <n v="4212.0421982920261"/>
    <n v="1797.6694472266179"/>
  </r>
  <r>
    <s v="Sistema de Compensação"/>
    <x v="1"/>
    <x v="2"/>
    <x v="2"/>
    <x v="0"/>
    <x v="1"/>
    <x v="0"/>
    <x v="2"/>
    <x v="5"/>
    <n v="0"/>
    <n v="0"/>
    <n v="0.81979000000000002"/>
    <n v="0.81979000000000002"/>
    <n v="0.81979000000000002"/>
    <n v="0.81979000000000002"/>
    <n v="0"/>
    <x v="2"/>
    <n v="0"/>
    <n v="0"/>
    <n v="21"/>
    <n v="83"/>
    <n v="0"/>
    <n v="789.62"/>
    <n v="488.15"/>
    <m/>
    <n v="911.84"/>
    <n v="399.84"/>
    <n v="0"/>
    <n v="647.32257979999997"/>
    <n v="400.18048849999997"/>
    <n v="0"/>
    <n v="885.61142083919685"/>
    <n v="377.97261243088826"/>
  </r>
  <r>
    <s v="Regular"/>
    <x v="1"/>
    <x v="2"/>
    <x v="2"/>
    <x v="0"/>
    <x v="1"/>
    <x v="0"/>
    <x v="2"/>
    <x v="6"/>
    <n v="0"/>
    <n v="0"/>
    <n v="3.68018"/>
    <n v="3.68018"/>
    <n v="3.68018"/>
    <n v="3.68018"/>
    <n v="0"/>
    <x v="2"/>
    <n v="0"/>
    <n v="0"/>
    <n v="21"/>
    <n v="83"/>
    <n v="0"/>
    <n v="789.62"/>
    <n v="488.15"/>
    <m/>
    <n v="911.84"/>
    <n v="399.84"/>
    <n v="0"/>
    <n v="2905.9437315999999"/>
    <n v="1796.479867"/>
    <n v="0"/>
    <n v="3975.6638148111047"/>
    <n v="1696.7848458945662"/>
  </r>
  <r>
    <s v="Sistema de Compensação"/>
    <x v="1"/>
    <x v="2"/>
    <x v="2"/>
    <x v="0"/>
    <x v="1"/>
    <x v="0"/>
    <x v="2"/>
    <x v="6"/>
    <n v="0"/>
    <n v="0"/>
    <n v="0.80769999999999997"/>
    <n v="0.80769999999999997"/>
    <n v="0.80769999999999997"/>
    <n v="0.80769999999999997"/>
    <n v="0"/>
    <x v="2"/>
    <n v="0"/>
    <n v="0"/>
    <n v="21"/>
    <n v="83"/>
    <n v="0"/>
    <n v="789.62"/>
    <n v="488.15"/>
    <m/>
    <n v="911.84"/>
    <n v="399.84"/>
    <n v="0"/>
    <n v="637.77607399999999"/>
    <n v="394.27875499999999"/>
    <n v="0"/>
    <n v="872.55070763466165"/>
    <n v="372.39839356472811"/>
  </r>
  <r>
    <s v="Regular"/>
    <x v="1"/>
    <x v="2"/>
    <x v="2"/>
    <x v="0"/>
    <x v="1"/>
    <x v="0"/>
    <x v="2"/>
    <x v="7"/>
    <n v="0"/>
    <n v="0"/>
    <n v="4.1459999999999999"/>
    <n v="4.1459999999999999"/>
    <n v="4.1459999999999999"/>
    <n v="4.1459999999999999"/>
    <n v="0"/>
    <x v="2"/>
    <n v="0"/>
    <n v="0"/>
    <n v="21"/>
    <n v="83"/>
    <n v="0"/>
    <n v="789.62"/>
    <n v="488.15"/>
    <m/>
    <n v="911.84"/>
    <n v="399.84"/>
    <n v="0"/>
    <n v="3273.7645199999997"/>
    <n v="2023.8698999999999"/>
    <n v="0"/>
    <n v="4478.88477634432"/>
    <n v="1911.5559486435095"/>
  </r>
  <r>
    <s v="Sistema de Compensação"/>
    <x v="1"/>
    <x v="2"/>
    <x v="2"/>
    <x v="0"/>
    <x v="1"/>
    <x v="0"/>
    <x v="2"/>
    <x v="7"/>
    <n v="0"/>
    <n v="0"/>
    <n v="0.97399999999999998"/>
    <n v="0.97399999999999998"/>
    <n v="0.97399999999999998"/>
    <n v="0.97399999999999998"/>
    <n v="0"/>
    <x v="2"/>
    <n v="0"/>
    <n v="0"/>
    <n v="21"/>
    <n v="83"/>
    <n v="0"/>
    <n v="789.62"/>
    <n v="488.15"/>
    <m/>
    <n v="911.84"/>
    <n v="399.84"/>
    <n v="0"/>
    <n v="769.08987999999999"/>
    <n v="475.45809999999994"/>
    <n v="0"/>
    <n v="1052.2030323587476"/>
    <n v="449.07271924234885"/>
  </r>
  <r>
    <s v="Regular"/>
    <x v="1"/>
    <x v="2"/>
    <x v="2"/>
    <x v="0"/>
    <x v="1"/>
    <x v="0"/>
    <x v="2"/>
    <x v="8"/>
    <n v="0"/>
    <n v="0"/>
    <n v="5.6028099999999998"/>
    <n v="5.6028099999999998"/>
    <n v="5.6028099999999998"/>
    <n v="5.6028099999999998"/>
    <n v="0"/>
    <x v="2"/>
    <n v="0"/>
    <n v="0"/>
    <n v="21"/>
    <n v="83"/>
    <n v="0"/>
    <n v="789.62"/>
    <n v="488.15"/>
    <m/>
    <n v="911.84"/>
    <n v="399.84"/>
    <n v="0"/>
    <n v="4424.0908321999996"/>
    <n v="2735.0117014999996"/>
    <n v="0"/>
    <n v="6052.6629073202412"/>
    <n v="2583.2331849057746"/>
  </r>
  <r>
    <s v="Sistema de Compensação"/>
    <x v="1"/>
    <x v="2"/>
    <x v="2"/>
    <x v="0"/>
    <x v="1"/>
    <x v="0"/>
    <x v="2"/>
    <x v="8"/>
    <n v="0"/>
    <n v="0"/>
    <n v="1.288"/>
    <n v="1.288"/>
    <n v="1.288"/>
    <n v="1.288"/>
    <n v="0"/>
    <x v="2"/>
    <n v="0"/>
    <n v="0"/>
    <n v="21"/>
    <n v="83"/>
    <n v="0"/>
    <n v="789.62"/>
    <n v="488.15"/>
    <m/>
    <n v="911.84"/>
    <n v="399.84"/>
    <n v="0"/>
    <n v="1017.03056"/>
    <n v="628.73720000000003"/>
    <n v="0"/>
    <n v="1391.4142768768654"/>
    <n v="593.84564926503629"/>
  </r>
  <r>
    <s v="Regular"/>
    <x v="1"/>
    <x v="2"/>
    <x v="2"/>
    <x v="0"/>
    <x v="1"/>
    <x v="0"/>
    <x v="2"/>
    <x v="9"/>
    <n v="0"/>
    <n v="0"/>
    <n v="5.6550000000000002"/>
    <n v="5.6550000000000002"/>
    <n v="5.6550000000000002"/>
    <n v="5.6550000000000002"/>
    <n v="0"/>
    <x v="2"/>
    <n v="0"/>
    <n v="0"/>
    <n v="21"/>
    <n v="83"/>
    <n v="0"/>
    <n v="789.62"/>
    <n v="488.15"/>
    <m/>
    <n v="911.84"/>
    <n v="399.84"/>
    <n v="0"/>
    <n v="4465.3011000000006"/>
    <n v="2760.4882499999999"/>
    <n v="0"/>
    <n v="6109.0432730890334"/>
    <n v="2607.2959212684627"/>
  </r>
  <r>
    <s v="Sistema de Compensação"/>
    <x v="1"/>
    <x v="2"/>
    <x v="2"/>
    <x v="0"/>
    <x v="1"/>
    <x v="0"/>
    <x v="2"/>
    <x v="9"/>
    <n v="0"/>
    <n v="0"/>
    <n v="1.835"/>
    <n v="1.835"/>
    <n v="1.835"/>
    <n v="1.835"/>
    <n v="0"/>
    <x v="2"/>
    <n v="0"/>
    <n v="0"/>
    <n v="21"/>
    <n v="83"/>
    <n v="0"/>
    <n v="789.62"/>
    <n v="488.15"/>
    <m/>
    <n v="911.84"/>
    <n v="399.84"/>
    <n v="0"/>
    <n v="1448.9527"/>
    <n v="895.75524999999993"/>
    <n v="0"/>
    <n v="1982.3332283144782"/>
    <n v="846.04562608799813"/>
  </r>
  <r>
    <s v="Regular"/>
    <x v="1"/>
    <x v="2"/>
    <x v="2"/>
    <x v="0"/>
    <x v="1"/>
    <x v="0"/>
    <x v="2"/>
    <x v="10"/>
    <n v="0"/>
    <n v="0"/>
    <n v="4.7380000000000004"/>
    <n v="4.7380000000000004"/>
    <n v="4.7380000000000004"/>
    <n v="4.7380000000000004"/>
    <n v="0"/>
    <x v="2"/>
    <n v="0"/>
    <n v="0"/>
    <n v="21"/>
    <n v="83"/>
    <n v="0"/>
    <n v="789.62"/>
    <n v="488.15"/>
    <m/>
    <n v="911.84"/>
    <n v="399.84"/>
    <n v="0"/>
    <n v="3741.2195600000005"/>
    <n v="2312.8547000000003"/>
    <n v="0"/>
    <n v="5118.4168042256124"/>
    <n v="2184.5036383678121"/>
  </r>
  <r>
    <s v="Sistema de Compensação"/>
    <x v="1"/>
    <x v="2"/>
    <x v="2"/>
    <x v="0"/>
    <x v="1"/>
    <x v="0"/>
    <x v="2"/>
    <x v="10"/>
    <n v="0"/>
    <n v="0"/>
    <n v="1.76458"/>
    <n v="1.76458"/>
    <n v="1.76458"/>
    <n v="1.76458"/>
    <n v="0"/>
    <x v="2"/>
    <n v="0"/>
    <n v="0"/>
    <n v="21"/>
    <n v="83"/>
    <n v="0"/>
    <n v="789.62"/>
    <n v="488.15"/>
    <m/>
    <n v="911.84"/>
    <n v="399.84"/>
    <n v="0"/>
    <n v="1393.3476596"/>
    <n v="861.379727"/>
    <n v="0"/>
    <n v="1906.2591651330586"/>
    <n v="813.57776069883369"/>
  </r>
  <r>
    <s v="Regular"/>
    <x v="1"/>
    <x v="2"/>
    <x v="2"/>
    <x v="0"/>
    <x v="1"/>
    <x v="0"/>
    <x v="2"/>
    <x v="11"/>
    <n v="0"/>
    <n v="0"/>
    <n v="4.5263299999999997"/>
    <n v="4.5263299999999997"/>
    <n v="4.5263299999999997"/>
    <n v="4.5263299999999997"/>
    <n v="0"/>
    <x v="2"/>
    <n v="0"/>
    <n v="0"/>
    <n v="21"/>
    <n v="83"/>
    <n v="0"/>
    <n v="789.62"/>
    <n v="488.15"/>
    <m/>
    <n v="911.84"/>
    <n v="399.84"/>
    <n v="0"/>
    <n v="3574.0806945999998"/>
    <n v="2209.5279894999999"/>
    <n v="0"/>
    <n v="4889.7516955404208"/>
    <n v="2086.9110074827727"/>
  </r>
  <r>
    <s v="Sistema de Compensação"/>
    <x v="1"/>
    <x v="2"/>
    <x v="2"/>
    <x v="0"/>
    <x v="1"/>
    <x v="0"/>
    <x v="2"/>
    <x v="11"/>
    <n v="0"/>
    <n v="0"/>
    <n v="1.5145900000000001"/>
    <n v="1.5145900000000001"/>
    <n v="1.5145900000000001"/>
    <n v="1.5145900000000001"/>
    <n v="0"/>
    <x v="2"/>
    <n v="0"/>
    <n v="0"/>
    <n v="21"/>
    <n v="83"/>
    <n v="0"/>
    <n v="789.62"/>
    <n v="488.15"/>
    <m/>
    <n v="911.84"/>
    <n v="399.84"/>
    <n v="0"/>
    <n v="1195.9505558000001"/>
    <n v="739.34710849999999"/>
    <n v="0"/>
    <n v="1636.1973211296054"/>
    <n v="698.31729962758641"/>
  </r>
  <r>
    <s v="Regular"/>
    <x v="1"/>
    <x v="2"/>
    <x v="2"/>
    <x v="0"/>
    <x v="1"/>
    <x v="0"/>
    <x v="2"/>
    <x v="0"/>
    <n v="0"/>
    <n v="0"/>
    <n v="3.3103699999999998"/>
    <n v="3.3103699999999998"/>
    <n v="3.3103699999999998"/>
    <n v="3.3103699999999998"/>
    <n v="0"/>
    <x v="2"/>
    <n v="0"/>
    <n v="0"/>
    <n v="21"/>
    <n v="83"/>
    <n v="0"/>
    <n v="789.62"/>
    <n v="488.15"/>
    <m/>
    <n v="911.84"/>
    <n v="399.84"/>
    <n v="0"/>
    <n v="2613.9343593999997"/>
    <n v="1615.9571154999999"/>
    <n v="0"/>
    <n v="3576.1615525969478"/>
    <n v="1526.2801412713493"/>
  </r>
  <r>
    <s v="Sistema de Compensação"/>
    <x v="1"/>
    <x v="2"/>
    <x v="2"/>
    <x v="0"/>
    <x v="1"/>
    <x v="0"/>
    <x v="2"/>
    <x v="0"/>
    <n v="0"/>
    <n v="0"/>
    <n v="0.872"/>
    <n v="0.872"/>
    <n v="0.872"/>
    <n v="0.872"/>
    <n v="0"/>
    <x v="2"/>
    <n v="0"/>
    <n v="0"/>
    <n v="21"/>
    <n v="83"/>
    <n v="0"/>
    <n v="789.62"/>
    <n v="488.15"/>
    <m/>
    <n v="911.84"/>
    <n v="399.84"/>
    <n v="0"/>
    <n v="688.54863999999998"/>
    <n v="425.66679999999997"/>
    <n v="0"/>
    <n v="942.01339241974119"/>
    <n v="402.04456999931028"/>
  </r>
  <r>
    <s v="Regular"/>
    <x v="1"/>
    <x v="2"/>
    <x v="2"/>
    <x v="0"/>
    <x v="1"/>
    <x v="0"/>
    <x v="2"/>
    <x v="1"/>
    <n v="0"/>
    <n v="0"/>
    <n v="3.5286"/>
    <n v="3.5286"/>
    <n v="3.5286"/>
    <n v="3.5286"/>
    <n v="0"/>
    <x v="2"/>
    <n v="0"/>
    <n v="0"/>
    <n v="21"/>
    <n v="83"/>
    <n v="0"/>
    <n v="789.62"/>
    <n v="488.15"/>
    <m/>
    <n v="911.84"/>
    <n v="399.84"/>
    <n v="0"/>
    <n v="2786.2531319999998"/>
    <n v="1722.4860899999999"/>
    <n v="0"/>
    <n v="3811.9133675370399"/>
    <n v="1626.8973276371171"/>
  </r>
  <r>
    <s v="Sistema de Compensação"/>
    <x v="1"/>
    <x v="2"/>
    <x v="2"/>
    <x v="0"/>
    <x v="1"/>
    <x v="0"/>
    <x v="2"/>
    <x v="1"/>
    <n v="0"/>
    <n v="0"/>
    <n v="0.83333000000000002"/>
    <n v="0.83333000000000002"/>
    <n v="0.83333000000000002"/>
    <n v="0.83333000000000002"/>
    <n v="0"/>
    <x v="2"/>
    <n v="0"/>
    <n v="0"/>
    <n v="21"/>
    <n v="83"/>
    <n v="0"/>
    <n v="789.62"/>
    <n v="488.15"/>
    <m/>
    <n v="911.84"/>
    <n v="399.84"/>
    <n v="0"/>
    <n v="658.01403460000006"/>
    <n v="406.79003949999998"/>
    <n v="0"/>
    <n v="900.2385553958062"/>
    <n v="384.21536871275828"/>
  </r>
  <r>
    <s v="Regular"/>
    <x v="1"/>
    <x v="2"/>
    <x v="2"/>
    <x v="0"/>
    <x v="1"/>
    <x v="0"/>
    <x v="2"/>
    <x v="2"/>
    <n v="0"/>
    <n v="0"/>
    <n v="3.0912799999999998"/>
    <n v="3.0912799999999998"/>
    <n v="3.0912799999999998"/>
    <n v="3.0912799999999998"/>
    <n v="0"/>
    <x v="2"/>
    <n v="0"/>
    <n v="0"/>
    <n v="21"/>
    <n v="83"/>
    <n v="0"/>
    <n v="789.62"/>
    <n v="488.15"/>
    <m/>
    <n v="911.84"/>
    <n v="399.84"/>
    <n v="0"/>
    <n v="2440.9365135999997"/>
    <n v="1509.0083319999999"/>
    <n v="0"/>
    <n v="3339.4806877514879"/>
    <n v="1425.2664430590228"/>
  </r>
  <r>
    <s v="Sistema de Compensação"/>
    <x v="1"/>
    <x v="2"/>
    <x v="2"/>
    <x v="0"/>
    <x v="1"/>
    <x v="0"/>
    <x v="2"/>
    <x v="2"/>
    <n v="0"/>
    <n v="0"/>
    <n v="0.80100000000000005"/>
    <n v="0.80100000000000005"/>
    <n v="0.80100000000000005"/>
    <n v="0.80100000000000005"/>
    <n v="0"/>
    <x v="2"/>
    <n v="0"/>
    <n v="0"/>
    <n v="21"/>
    <n v="83"/>
    <n v="0"/>
    <n v="789.62"/>
    <n v="488.15"/>
    <m/>
    <n v="911.84"/>
    <n v="399.84"/>
    <n v="0"/>
    <n v="632.48562000000004"/>
    <n v="391.00815"/>
    <n v="0"/>
    <n v="865.31276069749174"/>
    <n v="369.30928964386186"/>
  </r>
  <r>
    <s v="Regular"/>
    <x v="1"/>
    <x v="2"/>
    <x v="2"/>
    <x v="0"/>
    <x v="1"/>
    <x v="0"/>
    <x v="2"/>
    <x v="3"/>
    <n v="0"/>
    <n v="0"/>
    <n v="3.3119999999999998"/>
    <n v="3.3119999999999998"/>
    <n v="3.3119999999999998"/>
    <n v="3.3119999999999998"/>
    <n v="0"/>
    <x v="2"/>
    <n v="0"/>
    <n v="0"/>
    <n v="21"/>
    <n v="83"/>
    <n v="0"/>
    <n v="789.62"/>
    <n v="488.15"/>
    <m/>
    <n v="911.84"/>
    <n v="399.84"/>
    <n v="0"/>
    <n v="2615.2214399999998"/>
    <n v="1616.7527999999998"/>
    <n v="0"/>
    <n v="3577.9224262547968"/>
    <n v="1527.0316695386646"/>
  </r>
  <r>
    <s v="Sistema de Compensação"/>
    <x v="1"/>
    <x v="2"/>
    <x v="2"/>
    <x v="0"/>
    <x v="1"/>
    <x v="0"/>
    <x v="2"/>
    <x v="3"/>
    <n v="0"/>
    <n v="0"/>
    <n v="0.75527999999999995"/>
    <n v="0.75527999999999995"/>
    <n v="0.75527999999999995"/>
    <n v="0.75527999999999995"/>
    <n v="0"/>
    <x v="2"/>
    <n v="0"/>
    <n v="0"/>
    <n v="21"/>
    <n v="83"/>
    <n v="0"/>
    <n v="789.62"/>
    <n v="488.15"/>
    <m/>
    <n v="911.84"/>
    <n v="399.84"/>
    <n v="0"/>
    <n v="596.3841936"/>
    <n v="368.68993199999994"/>
    <n v="0"/>
    <n v="815.92187503071341"/>
    <n v="348.22961333609982"/>
  </r>
  <r>
    <s v="Regular"/>
    <x v="1"/>
    <x v="2"/>
    <x v="0"/>
    <x v="0"/>
    <x v="0"/>
    <x v="0"/>
    <x v="0"/>
    <x v="4"/>
    <n v="0"/>
    <n v="0"/>
    <n v="2970.8047099999999"/>
    <n v="2970.8047099999999"/>
    <n v="0"/>
    <n v="0"/>
    <n v="0"/>
    <x v="0"/>
    <n v="0"/>
    <n v="0"/>
    <n v="22"/>
    <n v="0"/>
    <n v="0"/>
    <n v="73.28"/>
    <n v="0"/>
    <m/>
    <n v="126.25"/>
    <m/>
    <n v="0"/>
    <n v="217700.56914879999"/>
    <n v="0"/>
    <n v="0"/>
    <n v="415881.99896899826"/>
    <n v="0"/>
  </r>
  <r>
    <s v="Regular"/>
    <x v="1"/>
    <x v="2"/>
    <x v="0"/>
    <x v="0"/>
    <x v="0"/>
    <x v="0"/>
    <x v="0"/>
    <x v="5"/>
    <n v="0"/>
    <n v="0"/>
    <n v="2776.491"/>
    <n v="2776.491"/>
    <n v="0"/>
    <n v="0"/>
    <n v="0"/>
    <x v="0"/>
    <n v="0"/>
    <n v="0"/>
    <n v="22"/>
    <n v="0"/>
    <n v="0"/>
    <n v="73.28"/>
    <n v="0"/>
    <m/>
    <n v="126.25"/>
    <m/>
    <n v="0"/>
    <n v="203461.26048"/>
    <n v="0"/>
    <n v="0"/>
    <n v="388680.08499940508"/>
    <n v="0"/>
  </r>
  <r>
    <s v="Regular"/>
    <x v="1"/>
    <x v="2"/>
    <x v="0"/>
    <x v="0"/>
    <x v="0"/>
    <x v="0"/>
    <x v="0"/>
    <x v="6"/>
    <n v="0"/>
    <n v="0"/>
    <n v="3080.5311900000002"/>
    <n v="3080.5311900000002"/>
    <n v="0"/>
    <n v="0"/>
    <n v="0"/>
    <x v="0"/>
    <n v="0"/>
    <n v="0"/>
    <n v="22"/>
    <n v="0"/>
    <n v="0"/>
    <n v="73.28"/>
    <n v="0"/>
    <m/>
    <n v="126.25"/>
    <m/>
    <n v="0"/>
    <n v="225741.32560320001"/>
    <n v="0"/>
    <n v="0"/>
    <n v="431242.57372796041"/>
    <n v="0"/>
  </r>
  <r>
    <s v="Regular"/>
    <x v="1"/>
    <x v="2"/>
    <x v="0"/>
    <x v="0"/>
    <x v="0"/>
    <x v="0"/>
    <x v="0"/>
    <x v="7"/>
    <n v="0"/>
    <n v="0"/>
    <n v="3219.0039999999999"/>
    <n v="3219.0039999999999"/>
    <n v="0"/>
    <n v="0"/>
    <n v="0"/>
    <x v="0"/>
    <n v="0"/>
    <n v="0"/>
    <n v="22"/>
    <n v="0"/>
    <n v="0"/>
    <n v="73.28"/>
    <n v="0"/>
    <m/>
    <n v="126.25"/>
    <m/>
    <n v="0"/>
    <n v="235888.61311999999"/>
    <n v="0"/>
    <n v="0"/>
    <n v="450627.33800809184"/>
    <n v="0"/>
  </r>
  <r>
    <s v="Regular"/>
    <x v="1"/>
    <x v="2"/>
    <x v="0"/>
    <x v="0"/>
    <x v="0"/>
    <x v="0"/>
    <x v="0"/>
    <x v="8"/>
    <n v="0"/>
    <n v="0"/>
    <n v="2476.0529999999999"/>
    <n v="2476.0529999999999"/>
    <n v="0"/>
    <n v="0"/>
    <n v="0"/>
    <x v="0"/>
    <n v="0"/>
    <n v="0"/>
    <n v="22"/>
    <n v="0"/>
    <n v="0"/>
    <n v="73.28"/>
    <n v="0"/>
    <m/>
    <n v="126.25"/>
    <m/>
    <n v="0"/>
    <n v="181445.16383999999"/>
    <n v="0"/>
    <n v="0"/>
    <n v="346621.86569415563"/>
    <n v="0"/>
  </r>
  <r>
    <s v="Regular"/>
    <x v="1"/>
    <x v="2"/>
    <x v="0"/>
    <x v="0"/>
    <x v="0"/>
    <x v="0"/>
    <x v="0"/>
    <x v="9"/>
    <n v="0"/>
    <n v="0"/>
    <n v="2614.6350000000002"/>
    <n v="2614.6350000000002"/>
    <n v="0"/>
    <n v="0"/>
    <n v="0"/>
    <x v="0"/>
    <n v="0"/>
    <n v="0"/>
    <n v="22"/>
    <n v="0"/>
    <n v="0"/>
    <n v="73.28"/>
    <n v="0"/>
    <m/>
    <n v="126.25"/>
    <m/>
    <n v="0"/>
    <n v="191600.45280000003"/>
    <n v="0"/>
    <n v="0"/>
    <n v="366021.9154473829"/>
    <n v="0"/>
  </r>
  <r>
    <s v="Regular"/>
    <x v="1"/>
    <x v="2"/>
    <x v="0"/>
    <x v="0"/>
    <x v="0"/>
    <x v="0"/>
    <x v="0"/>
    <x v="10"/>
    <n v="0"/>
    <n v="0"/>
    <n v="2692.8690000000001"/>
    <n v="2692.8690000000001"/>
    <n v="0"/>
    <n v="0"/>
    <n v="0"/>
    <x v="0"/>
    <n v="0"/>
    <n v="0"/>
    <n v="22"/>
    <n v="0"/>
    <n v="0"/>
    <n v="73.28"/>
    <n v="0"/>
    <m/>
    <n v="126.25"/>
    <m/>
    <n v="0"/>
    <n v="197333.44032000002"/>
    <n v="0"/>
    <n v="0"/>
    <n v="376973.86802703951"/>
    <n v="0"/>
  </r>
  <r>
    <s v="Regular"/>
    <x v="1"/>
    <x v="2"/>
    <x v="0"/>
    <x v="0"/>
    <x v="0"/>
    <x v="0"/>
    <x v="0"/>
    <x v="11"/>
    <n v="0"/>
    <n v="0"/>
    <n v="3033.424"/>
    <n v="3033.424"/>
    <n v="0"/>
    <n v="0"/>
    <n v="0"/>
    <x v="0"/>
    <n v="0"/>
    <n v="0"/>
    <n v="22"/>
    <n v="0"/>
    <n v="0"/>
    <n v="73.28"/>
    <n v="0"/>
    <m/>
    <n v="126.25"/>
    <m/>
    <n v="0"/>
    <n v="222289.31072000001"/>
    <n v="0"/>
    <n v="0"/>
    <n v="424648.05330153613"/>
    <n v="0"/>
  </r>
  <r>
    <s v="Regular"/>
    <x v="1"/>
    <x v="2"/>
    <x v="0"/>
    <x v="0"/>
    <x v="0"/>
    <x v="0"/>
    <x v="0"/>
    <x v="0"/>
    <n v="0"/>
    <n v="0"/>
    <n v="2854.1410000000001"/>
    <n v="2854.1410000000001"/>
    <n v="0"/>
    <n v="0"/>
    <n v="0"/>
    <x v="0"/>
    <n v="0"/>
    <n v="0"/>
    <n v="22"/>
    <n v="0"/>
    <n v="0"/>
    <n v="73.28"/>
    <n v="0"/>
    <m/>
    <n v="126.25"/>
    <m/>
    <n v="0"/>
    <n v="209151.45248000001"/>
    <n v="0"/>
    <n v="0"/>
    <n v="399550.2836062811"/>
    <n v="0"/>
  </r>
  <r>
    <s v="Regular"/>
    <x v="1"/>
    <x v="2"/>
    <x v="0"/>
    <x v="0"/>
    <x v="0"/>
    <x v="0"/>
    <x v="0"/>
    <x v="1"/>
    <n v="0"/>
    <n v="0"/>
    <n v="2914.23"/>
    <n v="2914.23"/>
    <n v="0"/>
    <n v="0"/>
    <n v="0"/>
    <x v="0"/>
    <n v="0"/>
    <n v="0"/>
    <n v="22"/>
    <n v="0"/>
    <n v="0"/>
    <n v="73.28"/>
    <n v="0"/>
    <m/>
    <n v="126.25"/>
    <m/>
    <n v="0"/>
    <n v="213554.77439999999"/>
    <n v="0"/>
    <n v="0"/>
    <n v="407962.12345288217"/>
    <n v="0"/>
  </r>
  <r>
    <s v="Regular"/>
    <x v="1"/>
    <x v="2"/>
    <x v="0"/>
    <x v="0"/>
    <x v="0"/>
    <x v="0"/>
    <x v="0"/>
    <x v="2"/>
    <n v="0"/>
    <n v="0"/>
    <n v="2965.4425299999998"/>
    <n v="2965.4425299999998"/>
    <n v="0"/>
    <n v="0"/>
    <n v="0"/>
    <x v="0"/>
    <n v="0"/>
    <n v="0"/>
    <n v="22"/>
    <n v="0"/>
    <n v="0"/>
    <n v="73.28"/>
    <n v="0"/>
    <m/>
    <n v="126.25"/>
    <m/>
    <n v="0"/>
    <n v="217307.62859839998"/>
    <n v="0"/>
    <n v="0"/>
    <n v="415131.34910981188"/>
    <n v="0"/>
  </r>
  <r>
    <s v="Regular"/>
    <x v="1"/>
    <x v="2"/>
    <x v="0"/>
    <x v="0"/>
    <x v="0"/>
    <x v="0"/>
    <x v="0"/>
    <x v="3"/>
    <n v="0"/>
    <n v="0"/>
    <n v="3008.4816900000001"/>
    <n v="3008.4816900000001"/>
    <n v="0"/>
    <n v="0"/>
    <n v="0"/>
    <x v="0"/>
    <n v="0"/>
    <n v="0"/>
    <n v="22"/>
    <n v="0"/>
    <n v="0"/>
    <n v="73.28"/>
    <n v="0"/>
    <m/>
    <n v="126.25"/>
    <m/>
    <n v="0"/>
    <n v="220461.53824320002"/>
    <n v="0"/>
    <n v="0"/>
    <n v="421156.38732066983"/>
    <n v="0"/>
  </r>
  <r>
    <s v="Regular"/>
    <x v="1"/>
    <x v="2"/>
    <x v="0"/>
    <x v="0"/>
    <x v="0"/>
    <x v="0"/>
    <x v="1"/>
    <x v="4"/>
    <n v="10860.54"/>
    <n v="5493.7808088390002"/>
    <n v="0"/>
    <n v="0"/>
    <n v="0"/>
    <n v="0"/>
    <n v="12"/>
    <x v="0"/>
    <n v="0"/>
    <n v="18"/>
    <n v="0"/>
    <n v="0"/>
    <n v="18.489999999999998"/>
    <n v="0"/>
    <n v="0"/>
    <n v="15.64"/>
    <m/>
    <m/>
    <n v="101580.00715543311"/>
    <n v="0"/>
    <n v="0"/>
    <n v="129894.33277550062"/>
    <n v="0"/>
    <n v="0"/>
  </r>
  <r>
    <s v="Regular"/>
    <x v="1"/>
    <x v="2"/>
    <x v="0"/>
    <x v="0"/>
    <x v="0"/>
    <x v="0"/>
    <x v="1"/>
    <x v="5"/>
    <n v="10843"/>
    <n v="5470.3615940400005"/>
    <n v="0"/>
    <n v="0"/>
    <n v="0"/>
    <n v="0"/>
    <n v="12"/>
    <x v="0"/>
    <n v="0"/>
    <n v="18"/>
    <n v="0"/>
    <n v="0"/>
    <n v="18.489999999999998"/>
    <n v="0"/>
    <n v="0"/>
    <n v="15.64"/>
    <m/>
    <m/>
    <n v="101146.9858737996"/>
    <n v="0"/>
    <n v="0"/>
    <n v="129340.61150661638"/>
    <n v="0"/>
    <n v="0"/>
  </r>
  <r>
    <s v="Regular"/>
    <x v="1"/>
    <x v="2"/>
    <x v="0"/>
    <x v="0"/>
    <x v="0"/>
    <x v="0"/>
    <x v="1"/>
    <x v="6"/>
    <n v="11240.22"/>
    <n v="5671.8020857470001"/>
    <n v="0"/>
    <n v="0"/>
    <n v="0"/>
    <n v="0"/>
    <n v="12"/>
    <x v="0"/>
    <n v="0"/>
    <n v="18"/>
    <n v="0"/>
    <n v="0"/>
    <n v="18.489999999999998"/>
    <n v="0"/>
    <n v="0"/>
    <n v="15.64"/>
    <m/>
    <m/>
    <n v="104871.62056546203"/>
    <n v="0"/>
    <n v="0"/>
    <n v="134103.44773447438"/>
    <n v="0"/>
    <n v="0"/>
  </r>
  <r>
    <s v="Regular"/>
    <x v="1"/>
    <x v="2"/>
    <x v="0"/>
    <x v="0"/>
    <x v="0"/>
    <x v="0"/>
    <x v="1"/>
    <x v="7"/>
    <n v="11461"/>
    <n v="5831.1337689399998"/>
    <n v="0"/>
    <n v="0"/>
    <n v="0"/>
    <n v="0"/>
    <n v="12"/>
    <x v="0"/>
    <n v="0"/>
    <n v="18"/>
    <n v="0"/>
    <n v="0"/>
    <n v="18.489999999999998"/>
    <n v="0"/>
    <n v="0"/>
    <n v="15.64"/>
    <m/>
    <m/>
    <n v="107817.66338770058"/>
    <n v="0"/>
    <n v="0"/>
    <n v="137870.6680511375"/>
    <n v="0"/>
    <n v="0"/>
  </r>
  <r>
    <s v="Regular"/>
    <x v="1"/>
    <x v="2"/>
    <x v="0"/>
    <x v="0"/>
    <x v="0"/>
    <x v="0"/>
    <x v="1"/>
    <x v="8"/>
    <n v="11352"/>
    <n v="5753.7146567999998"/>
    <n v="0"/>
    <n v="0"/>
    <n v="0"/>
    <n v="0"/>
    <n v="12"/>
    <x v="0"/>
    <n v="0"/>
    <n v="18"/>
    <n v="0"/>
    <n v="0"/>
    <n v="18.489999999999998"/>
    <n v="0"/>
    <n v="0"/>
    <n v="15.64"/>
    <m/>
    <m/>
    <n v="106386.18400423198"/>
    <n v="0"/>
    <n v="0"/>
    <n v="136040.17931024756"/>
    <n v="0"/>
    <n v="0"/>
  </r>
  <r>
    <s v="Regular"/>
    <x v="1"/>
    <x v="2"/>
    <x v="0"/>
    <x v="0"/>
    <x v="0"/>
    <x v="0"/>
    <x v="1"/>
    <x v="9"/>
    <n v="11339"/>
    <n v="5732.9009979900002"/>
    <n v="0"/>
    <n v="0"/>
    <n v="0"/>
    <n v="0"/>
    <n v="12"/>
    <x v="0"/>
    <n v="0"/>
    <n v="18"/>
    <n v="0"/>
    <n v="0"/>
    <n v="18.489999999999998"/>
    <n v="0"/>
    <n v="0"/>
    <n v="15.64"/>
    <m/>
    <m/>
    <n v="106001.33945283509"/>
    <n v="0"/>
    <n v="0"/>
    <n v="135548.06351280038"/>
    <n v="0"/>
    <n v="0"/>
  </r>
  <r>
    <s v="Regular"/>
    <x v="1"/>
    <x v="2"/>
    <x v="0"/>
    <x v="0"/>
    <x v="0"/>
    <x v="0"/>
    <x v="1"/>
    <x v="10"/>
    <n v="11178"/>
    <n v="5654.33194482"/>
    <n v="0"/>
    <n v="0"/>
    <n v="0"/>
    <n v="0"/>
    <n v="12"/>
    <x v="0"/>
    <n v="0"/>
    <n v="18"/>
    <n v="0"/>
    <n v="0"/>
    <n v="18.489999999999998"/>
    <n v="0"/>
    <n v="0"/>
    <n v="15.64"/>
    <m/>
    <m/>
    <n v="104548.5976597218"/>
    <n v="0"/>
    <n v="0"/>
    <n v="133690.38569611355"/>
    <n v="0"/>
    <n v="0"/>
  </r>
  <r>
    <s v="Regular"/>
    <x v="1"/>
    <x v="2"/>
    <x v="0"/>
    <x v="0"/>
    <x v="0"/>
    <x v="0"/>
    <x v="1"/>
    <x v="11"/>
    <n v="11143"/>
    <n v="5667.1542977500003"/>
    <n v="0"/>
    <n v="0"/>
    <n v="0"/>
    <n v="0"/>
    <n v="12"/>
    <x v="0"/>
    <n v="0"/>
    <n v="18"/>
    <n v="0"/>
    <n v="0"/>
    <n v="18.489999999999998"/>
    <n v="0"/>
    <n v="0"/>
    <n v="15.64"/>
    <m/>
    <m/>
    <n v="104785.6829653975"/>
    <n v="0"/>
    <n v="0"/>
    <n v="133993.55596016461"/>
    <n v="0"/>
    <n v="0"/>
  </r>
  <r>
    <s v="Regular"/>
    <x v="1"/>
    <x v="2"/>
    <x v="0"/>
    <x v="0"/>
    <x v="0"/>
    <x v="0"/>
    <x v="1"/>
    <x v="0"/>
    <n v="11145"/>
    <n v="5626.5137967000001"/>
    <n v="0"/>
    <n v="0"/>
    <n v="0"/>
    <n v="0"/>
    <n v="12"/>
    <x v="0"/>
    <n v="0"/>
    <n v="18"/>
    <n v="0"/>
    <n v="0"/>
    <n v="18.489999999999998"/>
    <n v="0"/>
    <n v="0"/>
    <n v="15.64"/>
    <m/>
    <m/>
    <n v="104034.24010098299"/>
    <n v="0"/>
    <n v="0"/>
    <n v="133032.65654476412"/>
    <n v="0"/>
    <n v="0"/>
  </r>
  <r>
    <s v="Regular"/>
    <x v="1"/>
    <x v="2"/>
    <x v="0"/>
    <x v="0"/>
    <x v="0"/>
    <x v="0"/>
    <x v="1"/>
    <x v="1"/>
    <n v="11192"/>
    <n v="5663.6857464799996"/>
    <n v="0"/>
    <n v="0"/>
    <n v="0"/>
    <n v="0"/>
    <n v="12"/>
    <x v="0"/>
    <n v="0"/>
    <n v="18"/>
    <n v="0"/>
    <n v="0"/>
    <n v="18.489999999999998"/>
    <n v="0"/>
    <n v="0"/>
    <n v="15.64"/>
    <m/>
    <m/>
    <n v="104721.54945241519"/>
    <n v="0"/>
    <n v="0"/>
    <n v="133911.54592580185"/>
    <n v="0"/>
    <n v="0"/>
  </r>
  <r>
    <s v="Regular"/>
    <x v="1"/>
    <x v="2"/>
    <x v="0"/>
    <x v="0"/>
    <x v="0"/>
    <x v="0"/>
    <x v="1"/>
    <x v="2"/>
    <n v="11135"/>
    <n v="5673.2455318000002"/>
    <n v="0"/>
    <n v="0"/>
    <n v="0"/>
    <n v="0"/>
    <n v="12"/>
    <x v="0"/>
    <n v="0"/>
    <n v="18"/>
    <n v="0"/>
    <n v="0"/>
    <n v="18.489999999999998"/>
    <n v="0"/>
    <n v="0"/>
    <n v="15.64"/>
    <m/>
    <m/>
    <n v="104898.30988298199"/>
    <n v="0"/>
    <n v="0"/>
    <n v="134137.57640987588"/>
    <n v="0"/>
    <n v="0"/>
  </r>
  <r>
    <s v="Regular"/>
    <x v="1"/>
    <x v="2"/>
    <x v="0"/>
    <x v="0"/>
    <x v="0"/>
    <x v="0"/>
    <x v="1"/>
    <x v="3"/>
    <n v="11165.48"/>
    <n v="5624.0284935276004"/>
    <n v="0"/>
    <n v="0"/>
    <n v="0"/>
    <n v="0"/>
    <n v="12"/>
    <x v="0"/>
    <n v="0"/>
    <n v="18"/>
    <n v="0"/>
    <n v="0"/>
    <n v="18.489999999999998"/>
    <n v="0"/>
    <n v="0"/>
    <n v="15.64"/>
    <m/>
    <m/>
    <n v="103988.28684532532"/>
    <n v="0"/>
    <n v="0"/>
    <n v="132973.89431733702"/>
    <n v="0"/>
    <n v="0"/>
  </r>
  <r>
    <s v="Regular"/>
    <x v="1"/>
    <x v="2"/>
    <x v="0"/>
    <x v="0"/>
    <x v="0"/>
    <x v="0"/>
    <x v="2"/>
    <x v="4"/>
    <n v="0"/>
    <n v="0"/>
    <n v="321.35113999999999"/>
    <n v="162.49413787690801"/>
    <n v="0"/>
    <n v="0"/>
    <n v="0"/>
    <x v="0"/>
    <n v="0"/>
    <n v="0"/>
    <n v="21"/>
    <n v="0"/>
    <n v="0"/>
    <n v="789.62"/>
    <n v="0"/>
    <m/>
    <n v="911.84"/>
    <m/>
    <n v="0"/>
    <n v="128308.62115036411"/>
    <n v="0"/>
    <n v="0"/>
    <n v="175540.88769466433"/>
    <n v="0"/>
  </r>
  <r>
    <s v="Regular"/>
    <x v="1"/>
    <x v="2"/>
    <x v="0"/>
    <x v="0"/>
    <x v="0"/>
    <x v="0"/>
    <x v="2"/>
    <x v="5"/>
    <n v="0"/>
    <n v="0"/>
    <n v="283.25900000000001"/>
    <n v="142.74908403008999"/>
    <n v="0"/>
    <n v="0"/>
    <n v="0"/>
    <x v="0"/>
    <n v="0"/>
    <n v="0"/>
    <n v="21"/>
    <n v="0"/>
    <n v="0"/>
    <n v="789.62"/>
    <n v="0"/>
    <m/>
    <n v="911.84"/>
    <m/>
    <n v="0"/>
    <n v="112717.53173183966"/>
    <n v="0"/>
    <n v="0"/>
    <n v="154210.49187155478"/>
    <n v="0"/>
  </r>
  <r>
    <s v="Regular"/>
    <x v="1"/>
    <x v="2"/>
    <x v="0"/>
    <x v="0"/>
    <x v="0"/>
    <x v="0"/>
    <x v="2"/>
    <x v="6"/>
    <n v="0"/>
    <n v="0"/>
    <n v="304.5573"/>
    <n v="153.48364313974199"/>
    <n v="0"/>
    <n v="0"/>
    <n v="0"/>
    <x v="0"/>
    <n v="0"/>
    <n v="0"/>
    <n v="21"/>
    <n v="0"/>
    <n v="0"/>
    <n v="789.62"/>
    <n v="0"/>
    <m/>
    <n v="911.84"/>
    <m/>
    <n v="0"/>
    <n v="121193.75429600307"/>
    <n v="0"/>
    <n v="0"/>
    <n v="165806.93504014827"/>
    <n v="0"/>
  </r>
  <r>
    <s v="Regular"/>
    <x v="1"/>
    <x v="2"/>
    <x v="0"/>
    <x v="0"/>
    <x v="0"/>
    <x v="0"/>
    <x v="2"/>
    <x v="7"/>
    <n v="0"/>
    <n v="0"/>
    <n v="286.74200000000002"/>
    <n v="145.64622895191999"/>
    <n v="0"/>
    <n v="0"/>
    <n v="0"/>
    <x v="0"/>
    <n v="0"/>
    <n v="0"/>
    <n v="21"/>
    <n v="0"/>
    <n v="0"/>
    <n v="789.62"/>
    <n v="0"/>
    <m/>
    <n v="911.84"/>
    <m/>
    <n v="0"/>
    <n v="115005.17530501507"/>
    <n v="0"/>
    <n v="0"/>
    <n v="157340.250261629"/>
    <n v="0"/>
  </r>
  <r>
    <s v="Regular"/>
    <x v="1"/>
    <x v="2"/>
    <x v="0"/>
    <x v="0"/>
    <x v="0"/>
    <x v="0"/>
    <x v="2"/>
    <x v="8"/>
    <n v="0"/>
    <n v="0"/>
    <n v="248.25200000000001"/>
    <n v="125.5233980954"/>
    <n v="0"/>
    <n v="0"/>
    <n v="0"/>
    <x v="0"/>
    <n v="0"/>
    <n v="0"/>
    <n v="21"/>
    <n v="0"/>
    <n v="0"/>
    <n v="789.62"/>
    <n v="0"/>
    <m/>
    <n v="911.84"/>
    <m/>
    <n v="0"/>
    <n v="99115.785604089746"/>
    <n v="0"/>
    <n v="0"/>
    <n v="135601.74549071267"/>
    <n v="0"/>
  </r>
  <r>
    <s v="Regular"/>
    <x v="1"/>
    <x v="2"/>
    <x v="0"/>
    <x v="0"/>
    <x v="0"/>
    <x v="0"/>
    <x v="2"/>
    <x v="9"/>
    <n v="0"/>
    <n v="0"/>
    <n v="230.46899999999999"/>
    <n v="116.43120336843"/>
    <n v="0"/>
    <n v="0"/>
    <n v="0"/>
    <x v="0"/>
    <n v="0"/>
    <n v="0"/>
    <n v="21"/>
    <n v="0"/>
    <n v="0"/>
    <n v="789.62"/>
    <n v="0"/>
    <m/>
    <n v="911.84"/>
    <m/>
    <n v="0"/>
    <n v="91936.406803779697"/>
    <n v="0"/>
    <n v="0"/>
    <n v="125779.53310620131"/>
    <n v="0"/>
  </r>
  <r>
    <s v="Regular"/>
    <x v="1"/>
    <x v="2"/>
    <x v="0"/>
    <x v="0"/>
    <x v="0"/>
    <x v="0"/>
    <x v="2"/>
    <x v="10"/>
    <n v="0"/>
    <n v="0"/>
    <n v="228.01300000000001"/>
    <n v="115.24984120822"/>
    <n v="0"/>
    <n v="0"/>
    <n v="0"/>
    <x v="0"/>
    <n v="0"/>
    <n v="0"/>
    <n v="21"/>
    <n v="0"/>
    <n v="0"/>
    <n v="789.62"/>
    <n v="0"/>
    <m/>
    <n v="911.84"/>
    <m/>
    <n v="0"/>
    <n v="91003.579614834685"/>
    <n v="0"/>
    <n v="0"/>
    <n v="124503.31868393556"/>
    <n v="0"/>
  </r>
  <r>
    <s v="Regular"/>
    <x v="1"/>
    <x v="2"/>
    <x v="0"/>
    <x v="0"/>
    <x v="0"/>
    <x v="0"/>
    <x v="2"/>
    <x v="11"/>
    <n v="0"/>
    <n v="0"/>
    <n v="249.446"/>
    <n v="126.737027004"/>
    <n v="0"/>
    <n v="0"/>
    <n v="0"/>
    <x v="0"/>
    <n v="0"/>
    <n v="0"/>
    <n v="21"/>
    <n v="0"/>
    <n v="0"/>
    <n v="789.62"/>
    <n v="0"/>
    <m/>
    <n v="911.84"/>
    <m/>
    <n v="0"/>
    <n v="100074.09126289848"/>
    <n v="0"/>
    <n v="0"/>
    <n v="136912.81737755777"/>
    <n v="0"/>
  </r>
  <r>
    <s v="Regular"/>
    <x v="1"/>
    <x v="2"/>
    <x v="0"/>
    <x v="0"/>
    <x v="0"/>
    <x v="0"/>
    <x v="2"/>
    <x v="0"/>
    <n v="0"/>
    <n v="0"/>
    <n v="214.226"/>
    <n v="108.15031656815999"/>
    <n v="0"/>
    <n v="0"/>
    <n v="0"/>
    <x v="0"/>
    <n v="0"/>
    <n v="0"/>
    <n v="21"/>
    <n v="0"/>
    <n v="0"/>
    <n v="789.62"/>
    <n v="0"/>
    <m/>
    <n v="911.84"/>
    <m/>
    <n v="0"/>
    <n v="85397.652968550494"/>
    <n v="0"/>
    <n v="0"/>
    <n v="116833.76903857951"/>
    <n v="0"/>
  </r>
  <r>
    <s v="Regular"/>
    <x v="1"/>
    <x v="2"/>
    <x v="0"/>
    <x v="0"/>
    <x v="0"/>
    <x v="0"/>
    <x v="2"/>
    <x v="1"/>
    <n v="0"/>
    <n v="0"/>
    <n v="257.37099999999998"/>
    <n v="130.17359853232"/>
    <n v="0"/>
    <n v="0"/>
    <n v="0"/>
    <x v="0"/>
    <n v="0"/>
    <n v="0"/>
    <n v="21"/>
    <n v="0"/>
    <n v="0"/>
    <n v="789.62"/>
    <n v="0"/>
    <m/>
    <n v="911.84"/>
    <m/>
    <n v="0"/>
    <n v="102787.67687309052"/>
    <n v="0"/>
    <n v="0"/>
    <n v="140625.31325334427"/>
    <n v="0"/>
  </r>
  <r>
    <s v="Regular"/>
    <x v="1"/>
    <x v="2"/>
    <x v="0"/>
    <x v="0"/>
    <x v="0"/>
    <x v="0"/>
    <x v="2"/>
    <x v="2"/>
    <n v="0"/>
    <n v="0"/>
    <n v="251.95477"/>
    <n v="128.185312520916"/>
    <n v="0"/>
    <n v="0"/>
    <n v="0"/>
    <x v="0"/>
    <n v="0"/>
    <n v="0"/>
    <n v="21"/>
    <n v="0"/>
    <n v="0"/>
    <n v="789.62"/>
    <n v="0"/>
    <m/>
    <n v="911.84"/>
    <m/>
    <n v="0"/>
    <n v="101217.68647276569"/>
    <n v="0"/>
    <n v="0"/>
    <n v="138477.3865896936"/>
    <n v="0"/>
  </r>
  <r>
    <s v="Regular"/>
    <x v="1"/>
    <x v="2"/>
    <x v="0"/>
    <x v="0"/>
    <x v="0"/>
    <x v="0"/>
    <x v="2"/>
    <x v="3"/>
    <n v="0"/>
    <n v="0"/>
    <n v="246.23115999999999"/>
    <n v="124.163633384801"/>
    <n v="0"/>
    <n v="0"/>
    <n v="0"/>
    <x v="0"/>
    <n v="0"/>
    <n v="0"/>
    <n v="21"/>
    <n v="0"/>
    <n v="0"/>
    <n v="789.62"/>
    <n v="0"/>
    <m/>
    <n v="911.84"/>
    <m/>
    <n v="0"/>
    <n v="98042.088193306568"/>
    <n v="0"/>
    <n v="0"/>
    <n v="134132.80447245119"/>
    <n v="0"/>
  </r>
  <r>
    <s v="Regular"/>
    <x v="1"/>
    <x v="2"/>
    <x v="0"/>
    <x v="0"/>
    <x v="1"/>
    <x v="0"/>
    <x v="0"/>
    <x v="4"/>
    <n v="0"/>
    <n v="0"/>
    <n v="187.76761999999999"/>
    <n v="187.76761999999999"/>
    <n v="187.76761999999999"/>
    <n v="187.76761999999999"/>
    <n v="0"/>
    <x v="2"/>
    <n v="0"/>
    <n v="0"/>
    <n v="22"/>
    <n v="84"/>
    <n v="0"/>
    <n v="73.28"/>
    <n v="286.76"/>
    <m/>
    <n v="126.25"/>
    <n v="250.03999999999996"/>
    <n v="0"/>
    <n v="13759.6111936"/>
    <n v="53844.242711199993"/>
    <n v="0"/>
    <n v="26285.52892904605"/>
    <n v="50951.713825379753"/>
  </r>
  <r>
    <s v="Sistema de Compensação"/>
    <x v="1"/>
    <x v="2"/>
    <x v="0"/>
    <x v="0"/>
    <x v="1"/>
    <x v="0"/>
    <x v="0"/>
    <x v="4"/>
    <n v="0"/>
    <n v="0"/>
    <n v="32.51632"/>
    <n v="32.51632"/>
    <n v="32.51632"/>
    <n v="32.51632"/>
    <n v="0"/>
    <x v="2"/>
    <n v="0"/>
    <n v="0"/>
    <n v="22"/>
    <n v="84"/>
    <n v="0"/>
    <n v="73.28"/>
    <n v="286.76"/>
    <m/>
    <n v="126.25"/>
    <n v="250.03999999999996"/>
    <n v="0"/>
    <n v="2382.7959295999999"/>
    <n v="9324.3799232000001"/>
    <n v="0"/>
    <n v="4551.9492126817104"/>
    <n v="8823.4714339696711"/>
  </r>
  <r>
    <s v="Regular"/>
    <x v="1"/>
    <x v="2"/>
    <x v="0"/>
    <x v="0"/>
    <x v="1"/>
    <x v="0"/>
    <x v="0"/>
    <x v="5"/>
    <n v="0"/>
    <n v="0"/>
    <n v="186.911"/>
    <n v="186.911"/>
    <n v="186.911"/>
    <n v="186.911"/>
    <n v="0"/>
    <x v="2"/>
    <n v="0"/>
    <n v="0"/>
    <n v="22"/>
    <n v="84"/>
    <n v="0"/>
    <n v="73.28"/>
    <n v="286.76"/>
    <m/>
    <n v="126.25"/>
    <n v="250.03999999999996"/>
    <n v="0"/>
    <n v="13696.83808"/>
    <n v="53598.598359999996"/>
    <n v="0"/>
    <n v="26165.610969862249"/>
    <n v="50719.265562483859"/>
  </r>
  <r>
    <s v="Sistema de Compensação"/>
    <x v="1"/>
    <x v="2"/>
    <x v="0"/>
    <x v="0"/>
    <x v="1"/>
    <x v="0"/>
    <x v="0"/>
    <x v="5"/>
    <n v="0"/>
    <n v="0"/>
    <n v="22.265999999999998"/>
    <n v="22.265999999999998"/>
    <n v="22.265999999999998"/>
    <n v="22.265999999999998"/>
    <n v="0"/>
    <x v="2"/>
    <n v="0"/>
    <n v="0"/>
    <n v="22"/>
    <n v="84"/>
    <n v="0"/>
    <n v="73.28"/>
    <n v="286.76"/>
    <m/>
    <n v="126.25"/>
    <n v="250.03999999999996"/>
    <n v="0"/>
    <n v="1631.65248"/>
    <n v="6384.9981599999992"/>
    <n v="0"/>
    <n v="3117.0102019407782"/>
    <n v="6041.9941416731253"/>
  </r>
  <r>
    <s v="Regular"/>
    <x v="1"/>
    <x v="2"/>
    <x v="0"/>
    <x v="0"/>
    <x v="1"/>
    <x v="0"/>
    <x v="0"/>
    <x v="6"/>
    <n v="0"/>
    <n v="0"/>
    <n v="177.922"/>
    <n v="177.922"/>
    <n v="177.922"/>
    <n v="177.922"/>
    <n v="0"/>
    <x v="2"/>
    <n v="0"/>
    <n v="0"/>
    <n v="22"/>
    <n v="84"/>
    <n v="0"/>
    <n v="73.28"/>
    <n v="286.76"/>
    <m/>
    <n v="126.25"/>
    <n v="250.03999999999996"/>
    <n v="0"/>
    <n v="13038.124159999999"/>
    <n v="51020.91272"/>
    <n v="0"/>
    <n v="24907.243741565937"/>
    <n v="48280.053969045439"/>
  </r>
  <r>
    <s v="Sistema de Compensação"/>
    <x v="1"/>
    <x v="2"/>
    <x v="0"/>
    <x v="0"/>
    <x v="1"/>
    <x v="0"/>
    <x v="0"/>
    <x v="6"/>
    <n v="0"/>
    <n v="0"/>
    <n v="16.67539"/>
    <n v="16.67539"/>
    <n v="16.67539"/>
    <n v="16.67539"/>
    <n v="0"/>
    <x v="2"/>
    <n v="0"/>
    <n v="0"/>
    <n v="22"/>
    <n v="84"/>
    <n v="0"/>
    <n v="73.28"/>
    <n v="286.76"/>
    <m/>
    <n v="126.25"/>
    <n v="250.03999999999996"/>
    <n v="0"/>
    <n v="1221.9725791999999"/>
    <n v="4781.8348364000003"/>
    <n v="0"/>
    <n v="2334.3825002847948"/>
    <n v="4524.9532331857818"/>
  </r>
  <r>
    <s v="Regular"/>
    <x v="1"/>
    <x v="2"/>
    <x v="0"/>
    <x v="0"/>
    <x v="1"/>
    <x v="0"/>
    <x v="0"/>
    <x v="7"/>
    <n v="0"/>
    <n v="0"/>
    <n v="177.07300000000001"/>
    <n v="177.07300000000001"/>
    <n v="177.07300000000001"/>
    <n v="177.07300000000001"/>
    <n v="0"/>
    <x v="2"/>
    <n v="0"/>
    <n v="0"/>
    <n v="22"/>
    <n v="84"/>
    <n v="0"/>
    <n v="73.28"/>
    <n v="286.76"/>
    <m/>
    <n v="126.25"/>
    <n v="250.03999999999996"/>
    <n v="0"/>
    <n v="12975.909440000001"/>
    <n v="50777.453480000004"/>
    <n v="0"/>
    <n v="24788.392503739309"/>
    <n v="48049.673432519776"/>
  </r>
  <r>
    <s v="Sistema de Compensação"/>
    <x v="1"/>
    <x v="2"/>
    <x v="0"/>
    <x v="0"/>
    <x v="1"/>
    <x v="0"/>
    <x v="0"/>
    <x v="7"/>
    <n v="0"/>
    <n v="0"/>
    <n v="10.463290000000001"/>
    <n v="10.463290000000001"/>
    <n v="10.463290000000001"/>
    <n v="10.463290000000001"/>
    <n v="0"/>
    <x v="2"/>
    <n v="0"/>
    <n v="0"/>
    <n v="22"/>
    <n v="84"/>
    <n v="0"/>
    <n v="73.28"/>
    <n v="286.76"/>
    <m/>
    <n v="126.25"/>
    <n v="250.03999999999996"/>
    <n v="0"/>
    <n v="766.74989120000009"/>
    <n v="3000.4530404000002"/>
    <n v="0"/>
    <n v="1464.7526127667713"/>
    <n v="2839.2678021479833"/>
  </r>
  <r>
    <s v="Regular"/>
    <x v="1"/>
    <x v="2"/>
    <x v="0"/>
    <x v="0"/>
    <x v="1"/>
    <x v="0"/>
    <x v="0"/>
    <x v="8"/>
    <n v="0"/>
    <n v="0"/>
    <n v="169.011"/>
    <n v="169.011"/>
    <n v="169.011"/>
    <n v="169.011"/>
    <n v="0"/>
    <x v="2"/>
    <n v="0"/>
    <n v="0"/>
    <n v="22"/>
    <n v="84"/>
    <n v="0"/>
    <n v="73.28"/>
    <n v="286.76"/>
    <m/>
    <n v="126.25"/>
    <n v="250.03999999999996"/>
    <n v="0"/>
    <n v="12385.12608"/>
    <n v="48465.594359999996"/>
    <n v="0"/>
    <n v="23659.795708264297"/>
    <n v="45862.008078609382"/>
  </r>
  <r>
    <s v="Sistema de Compensação"/>
    <x v="1"/>
    <x v="2"/>
    <x v="0"/>
    <x v="0"/>
    <x v="1"/>
    <x v="0"/>
    <x v="0"/>
    <x v="8"/>
    <n v="0"/>
    <n v="0"/>
    <n v="1.3240000000000001"/>
    <n v="1.3240000000000001"/>
    <n v="1.3240000000000001"/>
    <n v="1.3240000000000001"/>
    <n v="0"/>
    <x v="2"/>
    <n v="0"/>
    <n v="0"/>
    <n v="22"/>
    <n v="84"/>
    <n v="0"/>
    <n v="73.28"/>
    <n v="286.76"/>
    <m/>
    <n v="126.25"/>
    <n v="250.03999999999996"/>
    <n v="0"/>
    <n v="97.022720000000007"/>
    <n v="379.67023999999998"/>
    <n v="0"/>
    <n v="185.3463355505969"/>
    <n v="359.27424070669264"/>
  </r>
  <r>
    <s v="Regular"/>
    <x v="1"/>
    <x v="2"/>
    <x v="0"/>
    <x v="0"/>
    <x v="1"/>
    <x v="0"/>
    <x v="0"/>
    <x v="9"/>
    <n v="0"/>
    <n v="0"/>
    <n v="172.00299999999999"/>
    <n v="172.00299999999999"/>
    <n v="172.00299999999999"/>
    <n v="172.00299999999999"/>
    <n v="0"/>
    <x v="2"/>
    <n v="0"/>
    <n v="0"/>
    <n v="22"/>
    <n v="84"/>
    <n v="0"/>
    <n v="73.28"/>
    <n v="286.76"/>
    <m/>
    <n v="126.25"/>
    <n v="250.03999999999996"/>
    <n v="0"/>
    <n v="12604.37984"/>
    <n v="49323.580279999995"/>
    <n v="0"/>
    <n v="24078.644829085584"/>
    <n v="46673.902737366501"/>
  </r>
  <r>
    <s v="Sistema de Compensação"/>
    <x v="1"/>
    <x v="2"/>
    <x v="0"/>
    <x v="0"/>
    <x v="1"/>
    <x v="0"/>
    <x v="0"/>
    <x v="9"/>
    <n v="0"/>
    <n v="0"/>
    <n v="3.63"/>
    <n v="3.63"/>
    <n v="3.63"/>
    <n v="3.63"/>
    <n v="0"/>
    <x v="2"/>
    <n v="0"/>
    <n v="0"/>
    <n v="22"/>
    <n v="84"/>
    <n v="0"/>
    <n v="73.28"/>
    <n v="286.76"/>
    <m/>
    <n v="126.25"/>
    <n v="250.03999999999996"/>
    <n v="0"/>
    <n v="266.00639999999999"/>
    <n v="1040.9387999999999"/>
    <n v="0"/>
    <n v="508.16253629053375"/>
    <n v="985.01925510973876"/>
  </r>
  <r>
    <s v="Regular"/>
    <x v="1"/>
    <x v="2"/>
    <x v="0"/>
    <x v="0"/>
    <x v="1"/>
    <x v="0"/>
    <x v="0"/>
    <x v="10"/>
    <n v="0"/>
    <n v="0"/>
    <n v="165.65600000000001"/>
    <n v="165.65600000000001"/>
    <n v="165.65600000000001"/>
    <n v="165.65600000000001"/>
    <n v="0"/>
    <x v="2"/>
    <n v="0"/>
    <n v="0"/>
    <n v="22"/>
    <n v="84"/>
    <n v="0"/>
    <n v="73.28"/>
    <n v="286.76"/>
    <m/>
    <n v="126.25"/>
    <n v="250.03999999999996"/>
    <n v="0"/>
    <n v="12139.27168"/>
    <n v="47503.514560000003"/>
    <n v="0"/>
    <n v="23190.130333813959"/>
    <n v="44951.611494341298"/>
  </r>
  <r>
    <s v="Sistema de Compensação"/>
    <x v="1"/>
    <x v="2"/>
    <x v="0"/>
    <x v="0"/>
    <x v="1"/>
    <x v="0"/>
    <x v="0"/>
    <x v="10"/>
    <n v="0"/>
    <n v="0"/>
    <n v="8.5209200000000003"/>
    <n v="8.5209200000000003"/>
    <n v="8.5209200000000003"/>
    <n v="8.5209200000000003"/>
    <n v="0"/>
    <x v="2"/>
    <n v="0"/>
    <n v="0"/>
    <n v="22"/>
    <n v="84"/>
    <n v="0"/>
    <n v="73.28"/>
    <n v="286.76"/>
    <m/>
    <n v="126.25"/>
    <n v="250.03999999999996"/>
    <n v="0"/>
    <n v="624.41301759999999"/>
    <n v="2443.4590192000001"/>
    <n v="0"/>
    <n v="1192.8408591539217"/>
    <n v="2312.1956670109303"/>
  </r>
  <r>
    <s v="Regular"/>
    <x v="1"/>
    <x v="2"/>
    <x v="0"/>
    <x v="0"/>
    <x v="1"/>
    <x v="0"/>
    <x v="0"/>
    <x v="11"/>
    <n v="0"/>
    <n v="0"/>
    <n v="188.005"/>
    <n v="188.005"/>
    <n v="188.005"/>
    <n v="188.005"/>
    <n v="0"/>
    <x v="2"/>
    <n v="0"/>
    <n v="0"/>
    <n v="22"/>
    <n v="84"/>
    <n v="0"/>
    <n v="73.28"/>
    <n v="286.76"/>
    <m/>
    <n v="126.25"/>
    <n v="250.03999999999996"/>
    <n v="0"/>
    <n v="13777.0064"/>
    <n v="53912.313799999996"/>
    <n v="0"/>
    <n v="26318.7596791465"/>
    <n v="51016.12811485026"/>
  </r>
  <r>
    <s v="Sistema de Compensação"/>
    <x v="1"/>
    <x v="2"/>
    <x v="0"/>
    <x v="0"/>
    <x v="1"/>
    <x v="0"/>
    <x v="0"/>
    <x v="11"/>
    <n v="0"/>
    <n v="0"/>
    <n v="20.262239999999998"/>
    <n v="20.262239999999998"/>
    <n v="20.262239999999998"/>
    <n v="20.262239999999998"/>
    <n v="0"/>
    <x v="2"/>
    <n v="0"/>
    <n v="0"/>
    <n v="22"/>
    <n v="84"/>
    <n v="0"/>
    <n v="73.28"/>
    <n v="286.76"/>
    <m/>
    <n v="126.25"/>
    <n v="250.03999999999996"/>
    <n v="0"/>
    <n v="1484.8169472"/>
    <n v="5810.3999423999994"/>
    <n v="0"/>
    <n v="2836.5044819084032"/>
    <n v="5498.263512852549"/>
  </r>
  <r>
    <s v="Regular"/>
    <x v="1"/>
    <x v="2"/>
    <x v="0"/>
    <x v="0"/>
    <x v="1"/>
    <x v="0"/>
    <x v="0"/>
    <x v="0"/>
    <n v="0"/>
    <n v="0"/>
    <n v="157.31800000000001"/>
    <n v="157.31800000000001"/>
    <n v="157.31800000000001"/>
    <n v="157.31800000000001"/>
    <n v="0"/>
    <x v="2"/>
    <n v="0"/>
    <n v="0"/>
    <n v="22"/>
    <n v="84"/>
    <n v="0"/>
    <n v="73.28"/>
    <n v="286.76"/>
    <m/>
    <n v="126.25"/>
    <n v="250.03999999999996"/>
    <n v="0"/>
    <n v="11528.263040000002"/>
    <n v="45112.509680000003"/>
    <n v="0"/>
    <n v="22022.896386819339"/>
    <n v="42689.052114422564"/>
  </r>
  <r>
    <s v="Sistema de Compensação"/>
    <x v="1"/>
    <x v="2"/>
    <x v="0"/>
    <x v="0"/>
    <x v="1"/>
    <x v="0"/>
    <x v="0"/>
    <x v="0"/>
    <n v="0"/>
    <n v="0"/>
    <n v="17.570340000000002"/>
    <n v="17.570340000000002"/>
    <n v="17.570340000000002"/>
    <n v="17.570340000000002"/>
    <n v="0"/>
    <x v="2"/>
    <n v="0"/>
    <n v="0"/>
    <n v="22"/>
    <n v="84"/>
    <n v="0"/>
    <n v="73.28"/>
    <n v="286.76"/>
    <m/>
    <n v="126.25"/>
    <n v="250.03999999999996"/>
    <n v="0"/>
    <n v="1287.5545152000002"/>
    <n v="5038.4706984000004"/>
    <n v="0"/>
    <n v="2459.6662638807211"/>
    <n v="4767.8025396211706"/>
  </r>
  <r>
    <s v="Regular"/>
    <x v="1"/>
    <x v="2"/>
    <x v="0"/>
    <x v="0"/>
    <x v="1"/>
    <x v="0"/>
    <x v="0"/>
    <x v="1"/>
    <n v="0"/>
    <n v="0"/>
    <n v="175.25800000000001"/>
    <n v="175.25800000000001"/>
    <n v="175.25800000000001"/>
    <n v="175.25800000000001"/>
    <n v="0"/>
    <x v="2"/>
    <n v="0"/>
    <n v="0"/>
    <n v="22"/>
    <n v="84"/>
    <n v="0"/>
    <n v="73.28"/>
    <n v="286.76"/>
    <m/>
    <n v="126.25"/>
    <n v="250.03999999999996"/>
    <n v="0"/>
    <n v="12842.90624"/>
    <n v="50256.984080000002"/>
    <n v="0"/>
    <n v="24534.311235594043"/>
    <n v="47557.163804964912"/>
  </r>
  <r>
    <s v="Sistema de Compensação"/>
    <x v="1"/>
    <x v="2"/>
    <x v="0"/>
    <x v="0"/>
    <x v="1"/>
    <x v="0"/>
    <x v="0"/>
    <x v="1"/>
    <n v="0"/>
    <n v="0"/>
    <n v="24.851900000000001"/>
    <n v="24.851900000000001"/>
    <n v="24.851900000000001"/>
    <n v="24.851900000000001"/>
    <n v="0"/>
    <x v="2"/>
    <n v="0"/>
    <n v="0"/>
    <n v="22"/>
    <n v="84"/>
    <n v="0"/>
    <n v="73.28"/>
    <n v="286.76"/>
    <m/>
    <n v="126.25"/>
    <n v="250.03999999999996"/>
    <n v="0"/>
    <n v="1821.147232"/>
    <n v="7126.5308439999999"/>
    <n v="0"/>
    <n v="3479.00951395006"/>
    <n v="6743.6914672346338"/>
  </r>
  <r>
    <s v="Regular"/>
    <x v="1"/>
    <x v="2"/>
    <x v="0"/>
    <x v="0"/>
    <x v="1"/>
    <x v="0"/>
    <x v="0"/>
    <x v="2"/>
    <n v="0"/>
    <n v="0"/>
    <n v="157.922"/>
    <n v="157.922"/>
    <n v="157.922"/>
    <n v="157.922"/>
    <n v="0"/>
    <x v="2"/>
    <n v="0"/>
    <n v="0"/>
    <n v="22"/>
    <n v="84"/>
    <n v="0"/>
    <n v="73.28"/>
    <n v="286.76"/>
    <m/>
    <n v="126.25"/>
    <n v="250.03999999999996"/>
    <n v="0"/>
    <n v="11572.524160000001"/>
    <n v="45285.712719999996"/>
    <n v="0"/>
    <n v="22107.45015318834"/>
    <n v="42852.950635107489"/>
  </r>
  <r>
    <s v="Sistema de Compensação"/>
    <x v="1"/>
    <x v="2"/>
    <x v="0"/>
    <x v="0"/>
    <x v="1"/>
    <x v="0"/>
    <x v="0"/>
    <x v="2"/>
    <n v="0"/>
    <n v="0"/>
    <n v="26.805409999999998"/>
    <n v="26.805409999999998"/>
    <n v="26.805409999999998"/>
    <n v="26.805409999999998"/>
    <n v="0"/>
    <x v="2"/>
    <n v="0"/>
    <n v="0"/>
    <n v="22"/>
    <n v="84"/>
    <n v="0"/>
    <n v="73.28"/>
    <n v="286.76"/>
    <m/>
    <n v="126.25"/>
    <n v="250.03999999999996"/>
    <n v="0"/>
    <n v="1964.3004447999999"/>
    <n v="7686.7193715999992"/>
    <n v="0"/>
    <n v="3752.4807525916353"/>
    <n v="7273.78649892869"/>
  </r>
  <r>
    <s v="Regular"/>
    <x v="1"/>
    <x v="2"/>
    <x v="0"/>
    <x v="0"/>
    <x v="1"/>
    <x v="0"/>
    <x v="0"/>
    <x v="3"/>
    <n v="0"/>
    <n v="0"/>
    <n v="153.59897000000001"/>
    <n v="153.59897000000001"/>
    <n v="153.59897000000001"/>
    <n v="153.59897000000001"/>
    <n v="0"/>
    <x v="2"/>
    <n v="0"/>
    <n v="0"/>
    <n v="22"/>
    <n v="84"/>
    <n v="0"/>
    <n v="73.28"/>
    <n v="286.76"/>
    <m/>
    <n v="126.25"/>
    <n v="250.03999999999996"/>
    <n v="0"/>
    <n v="11255.732521600001"/>
    <n v="44046.0406372"/>
    <n v="0"/>
    <n v="21502.270569370143"/>
    <n v="41679.874108821801"/>
  </r>
  <r>
    <s v="Sistema de Compensação"/>
    <x v="1"/>
    <x v="2"/>
    <x v="0"/>
    <x v="0"/>
    <x v="1"/>
    <x v="0"/>
    <x v="0"/>
    <x v="3"/>
    <n v="0"/>
    <n v="0"/>
    <n v="41.171619999999997"/>
    <n v="41.171619999999997"/>
    <n v="41.171619999999997"/>
    <n v="41.171619999999997"/>
    <n v="0"/>
    <x v="2"/>
    <n v="0"/>
    <n v="0"/>
    <n v="22"/>
    <n v="84"/>
    <n v="0"/>
    <n v="73.28"/>
    <n v="286.76"/>
    <m/>
    <n v="126.25"/>
    <n v="250.03999999999996"/>
    <n v="0"/>
    <n v="3017.0563136000001"/>
    <n v="11806.373751199999"/>
    <n v="0"/>
    <n v="5763.6018849559405"/>
    <n v="11172.131808281329"/>
  </r>
  <r>
    <s v="Regular"/>
    <x v="1"/>
    <x v="2"/>
    <x v="0"/>
    <x v="0"/>
    <x v="1"/>
    <x v="0"/>
    <x v="1"/>
    <x v="4"/>
    <n v="1378.57"/>
    <n v="1378.57"/>
    <n v="0"/>
    <n v="0"/>
    <n v="0"/>
    <n v="0"/>
    <n v="10"/>
    <x v="2"/>
    <n v="0"/>
    <n v="18"/>
    <n v="0"/>
    <n v="0"/>
    <n v="18.489999999999998"/>
    <n v="0"/>
    <n v="0"/>
    <n v="15.64"/>
    <m/>
    <m/>
    <n v="25489.759299999998"/>
    <n v="0"/>
    <n v="0"/>
    <n v="32594.75333384558"/>
    <n v="0"/>
    <n v="0"/>
  </r>
  <r>
    <s v="Sistema de Compensação"/>
    <x v="1"/>
    <x v="2"/>
    <x v="0"/>
    <x v="0"/>
    <x v="1"/>
    <x v="0"/>
    <x v="1"/>
    <x v="4"/>
    <n v="350"/>
    <n v="350"/>
    <n v="0"/>
    <n v="0"/>
    <n v="0"/>
    <n v="0"/>
    <n v="2"/>
    <x v="2"/>
    <n v="0"/>
    <n v="18"/>
    <n v="0"/>
    <n v="0"/>
    <n v="18.489999999999998"/>
    <n v="0"/>
    <n v="0"/>
    <n v="15.64"/>
    <m/>
    <m/>
    <n v="6471.4999999999991"/>
    <n v="0"/>
    <n v="0"/>
    <n v="8275.3604581892487"/>
    <n v="0"/>
    <n v="0"/>
  </r>
  <r>
    <s v="Regular"/>
    <x v="1"/>
    <x v="2"/>
    <x v="0"/>
    <x v="0"/>
    <x v="1"/>
    <x v="0"/>
    <x v="1"/>
    <x v="5"/>
    <n v="1369"/>
    <n v="1369"/>
    <n v="0"/>
    <n v="0"/>
    <n v="0"/>
    <n v="0"/>
    <n v="10"/>
    <x v="2"/>
    <n v="0"/>
    <n v="18"/>
    <n v="0"/>
    <n v="0"/>
    <n v="18.489999999999998"/>
    <n v="0"/>
    <n v="0"/>
    <n v="15.64"/>
    <m/>
    <m/>
    <n v="25312.809999999998"/>
    <n v="0"/>
    <n v="0"/>
    <n v="32368.481335031665"/>
    <n v="0"/>
    <n v="0"/>
  </r>
  <r>
    <s v="Sistema de Compensação"/>
    <x v="1"/>
    <x v="2"/>
    <x v="0"/>
    <x v="0"/>
    <x v="1"/>
    <x v="0"/>
    <x v="1"/>
    <x v="5"/>
    <n v="350"/>
    <n v="350"/>
    <n v="0"/>
    <n v="0"/>
    <n v="0"/>
    <n v="0"/>
    <n v="2"/>
    <x v="2"/>
    <n v="0"/>
    <n v="18"/>
    <n v="0"/>
    <n v="0"/>
    <n v="18.489999999999998"/>
    <n v="0"/>
    <n v="0"/>
    <n v="15.64"/>
    <m/>
    <m/>
    <n v="6471.4999999999991"/>
    <n v="0"/>
    <n v="0"/>
    <n v="8275.3604581892487"/>
    <n v="0"/>
    <n v="0"/>
  </r>
  <r>
    <s v="Regular"/>
    <x v="1"/>
    <x v="2"/>
    <x v="0"/>
    <x v="0"/>
    <x v="1"/>
    <x v="0"/>
    <x v="1"/>
    <x v="6"/>
    <n v="1399"/>
    <n v="1399"/>
    <n v="0"/>
    <n v="0"/>
    <n v="0"/>
    <n v="0"/>
    <n v="10"/>
    <x v="2"/>
    <n v="0"/>
    <n v="18"/>
    <n v="0"/>
    <n v="0"/>
    <n v="18.489999999999998"/>
    <n v="0"/>
    <n v="0"/>
    <n v="15.64"/>
    <m/>
    <m/>
    <n v="25867.51"/>
    <n v="0"/>
    <n v="0"/>
    <n v="33077.797945733597"/>
    <n v="0"/>
    <n v="0"/>
  </r>
  <r>
    <s v="Sistema de Compensação"/>
    <x v="1"/>
    <x v="2"/>
    <x v="0"/>
    <x v="0"/>
    <x v="1"/>
    <x v="0"/>
    <x v="1"/>
    <x v="6"/>
    <n v="350"/>
    <n v="350"/>
    <n v="0"/>
    <n v="0"/>
    <n v="0"/>
    <n v="0"/>
    <n v="2"/>
    <x v="2"/>
    <n v="0"/>
    <n v="18"/>
    <n v="0"/>
    <n v="0"/>
    <n v="18.489999999999998"/>
    <n v="0"/>
    <n v="0"/>
    <n v="15.64"/>
    <m/>
    <m/>
    <n v="6471.4999999999991"/>
    <n v="0"/>
    <n v="0"/>
    <n v="8275.3604581892487"/>
    <n v="0"/>
    <n v="0"/>
  </r>
  <r>
    <s v="Regular"/>
    <x v="1"/>
    <x v="2"/>
    <x v="0"/>
    <x v="0"/>
    <x v="1"/>
    <x v="0"/>
    <x v="1"/>
    <x v="7"/>
    <n v="1397"/>
    <n v="1397"/>
    <n v="0"/>
    <n v="0"/>
    <n v="0"/>
    <n v="0"/>
    <n v="10"/>
    <x v="2"/>
    <n v="0"/>
    <n v="18"/>
    <n v="0"/>
    <n v="0"/>
    <n v="18.489999999999998"/>
    <n v="0"/>
    <n v="0"/>
    <n v="15.64"/>
    <m/>
    <m/>
    <n v="25830.53"/>
    <n v="0"/>
    <n v="0"/>
    <n v="33030.510171686801"/>
    <n v="0"/>
    <n v="0"/>
  </r>
  <r>
    <s v="Sistema de Compensação"/>
    <x v="1"/>
    <x v="2"/>
    <x v="0"/>
    <x v="0"/>
    <x v="1"/>
    <x v="0"/>
    <x v="1"/>
    <x v="7"/>
    <n v="350"/>
    <n v="350"/>
    <n v="0"/>
    <n v="0"/>
    <n v="0"/>
    <n v="0"/>
    <n v="2"/>
    <x v="2"/>
    <n v="0"/>
    <n v="18"/>
    <n v="0"/>
    <n v="0"/>
    <n v="18.489999999999998"/>
    <n v="0"/>
    <n v="0"/>
    <n v="15.64"/>
    <m/>
    <m/>
    <n v="6471.4999999999991"/>
    <n v="0"/>
    <n v="0"/>
    <n v="8275.3604581892487"/>
    <n v="0"/>
    <n v="0"/>
  </r>
  <r>
    <s v="Regular"/>
    <x v="1"/>
    <x v="2"/>
    <x v="0"/>
    <x v="0"/>
    <x v="1"/>
    <x v="0"/>
    <x v="1"/>
    <x v="8"/>
    <n v="1411"/>
    <n v="1411"/>
    <n v="0"/>
    <n v="0"/>
    <n v="0"/>
    <n v="0"/>
    <n v="10"/>
    <x v="2"/>
    <n v="0"/>
    <n v="18"/>
    <n v="0"/>
    <n v="0"/>
    <n v="18.489999999999998"/>
    <n v="0"/>
    <n v="0"/>
    <n v="15.64"/>
    <m/>
    <m/>
    <n v="26089.39"/>
    <n v="0"/>
    <n v="0"/>
    <n v="33361.524590014371"/>
    <n v="0"/>
    <n v="0"/>
  </r>
  <r>
    <s v="Sistema de Compensação"/>
    <x v="1"/>
    <x v="2"/>
    <x v="0"/>
    <x v="0"/>
    <x v="1"/>
    <x v="0"/>
    <x v="1"/>
    <x v="8"/>
    <n v="350"/>
    <n v="350"/>
    <n v="0"/>
    <n v="0"/>
    <n v="0"/>
    <n v="0"/>
    <n v="2"/>
    <x v="2"/>
    <n v="0"/>
    <n v="18"/>
    <n v="0"/>
    <n v="0"/>
    <n v="18.489999999999998"/>
    <n v="0"/>
    <n v="0"/>
    <n v="15.64"/>
    <m/>
    <m/>
    <n v="6471.4999999999991"/>
    <n v="0"/>
    <n v="0"/>
    <n v="8275.3604581892487"/>
    <n v="0"/>
    <n v="0"/>
  </r>
  <r>
    <s v="Regular"/>
    <x v="1"/>
    <x v="2"/>
    <x v="0"/>
    <x v="0"/>
    <x v="1"/>
    <x v="0"/>
    <x v="1"/>
    <x v="9"/>
    <n v="1310"/>
    <n v="1310"/>
    <n v="0"/>
    <n v="0"/>
    <n v="0"/>
    <n v="0"/>
    <n v="10"/>
    <x v="2"/>
    <n v="0"/>
    <n v="18"/>
    <n v="0"/>
    <n v="0"/>
    <n v="18.489999999999998"/>
    <n v="0"/>
    <n v="0"/>
    <n v="15.64"/>
    <m/>
    <m/>
    <n v="24221.899999999998"/>
    <n v="0"/>
    <n v="0"/>
    <n v="30973.492000651189"/>
    <n v="0"/>
    <n v="0"/>
  </r>
  <r>
    <s v="Sistema de Compensação"/>
    <x v="1"/>
    <x v="2"/>
    <x v="0"/>
    <x v="0"/>
    <x v="1"/>
    <x v="0"/>
    <x v="1"/>
    <x v="9"/>
    <n v="350"/>
    <n v="350"/>
    <n v="0"/>
    <n v="0"/>
    <n v="0"/>
    <n v="0"/>
    <n v="2"/>
    <x v="2"/>
    <n v="0"/>
    <n v="18"/>
    <n v="0"/>
    <n v="0"/>
    <n v="18.489999999999998"/>
    <n v="0"/>
    <n v="0"/>
    <n v="15.64"/>
    <m/>
    <m/>
    <n v="6471.4999999999991"/>
    <n v="0"/>
    <n v="0"/>
    <n v="8275.3604581892487"/>
    <n v="0"/>
    <n v="0"/>
  </r>
  <r>
    <s v="Regular"/>
    <x v="1"/>
    <x v="2"/>
    <x v="0"/>
    <x v="0"/>
    <x v="1"/>
    <x v="0"/>
    <x v="1"/>
    <x v="10"/>
    <n v="1336"/>
    <n v="1336"/>
    <n v="0"/>
    <n v="0"/>
    <n v="0"/>
    <n v="0"/>
    <n v="10"/>
    <x v="2"/>
    <n v="0"/>
    <n v="18"/>
    <n v="0"/>
    <n v="0"/>
    <n v="18.489999999999998"/>
    <n v="0"/>
    <n v="0"/>
    <n v="15.64"/>
    <m/>
    <m/>
    <n v="24702.639999999999"/>
    <n v="0"/>
    <n v="0"/>
    <n v="31588.233063259537"/>
    <n v="0"/>
    <n v="0"/>
  </r>
  <r>
    <s v="Sistema de Compensação"/>
    <x v="1"/>
    <x v="2"/>
    <x v="0"/>
    <x v="0"/>
    <x v="1"/>
    <x v="0"/>
    <x v="1"/>
    <x v="10"/>
    <n v="350"/>
    <n v="350"/>
    <n v="0"/>
    <n v="0"/>
    <n v="0"/>
    <n v="0"/>
    <n v="2"/>
    <x v="2"/>
    <n v="0"/>
    <n v="18"/>
    <n v="0"/>
    <n v="0"/>
    <n v="18.489999999999998"/>
    <n v="0"/>
    <n v="0"/>
    <n v="15.64"/>
    <m/>
    <m/>
    <n v="6471.4999999999991"/>
    <n v="0"/>
    <n v="0"/>
    <n v="8275.3604581892487"/>
    <n v="0"/>
    <n v="0"/>
  </r>
  <r>
    <s v="Regular"/>
    <x v="1"/>
    <x v="2"/>
    <x v="0"/>
    <x v="0"/>
    <x v="1"/>
    <x v="0"/>
    <x v="1"/>
    <x v="11"/>
    <n v="1179"/>
    <n v="1179"/>
    <n v="0"/>
    <n v="0"/>
    <n v="0"/>
    <n v="0"/>
    <n v="9"/>
    <x v="2"/>
    <n v="0"/>
    <n v="18"/>
    <n v="0"/>
    <n v="0"/>
    <n v="18.489999999999998"/>
    <n v="0"/>
    <n v="0"/>
    <n v="15.64"/>
    <m/>
    <m/>
    <n v="21799.71"/>
    <n v="0"/>
    <n v="0"/>
    <n v="27876.142800586073"/>
    <n v="0"/>
    <n v="0"/>
  </r>
  <r>
    <s v="Sistema de Compensação"/>
    <x v="1"/>
    <x v="2"/>
    <x v="0"/>
    <x v="0"/>
    <x v="1"/>
    <x v="0"/>
    <x v="1"/>
    <x v="11"/>
    <n v="350"/>
    <n v="350"/>
    <n v="0"/>
    <n v="0"/>
    <n v="0"/>
    <n v="0"/>
    <n v="2"/>
    <x v="2"/>
    <n v="0"/>
    <n v="18"/>
    <n v="0"/>
    <n v="0"/>
    <n v="18.489999999999998"/>
    <n v="0"/>
    <n v="0"/>
    <n v="15.64"/>
    <m/>
    <m/>
    <n v="6471.4999999999991"/>
    <n v="0"/>
    <n v="0"/>
    <n v="8275.3604581892487"/>
    <n v="0"/>
    <n v="0"/>
  </r>
  <r>
    <s v="Regular"/>
    <x v="1"/>
    <x v="2"/>
    <x v="0"/>
    <x v="0"/>
    <x v="1"/>
    <x v="0"/>
    <x v="1"/>
    <x v="0"/>
    <n v="1394"/>
    <n v="1394"/>
    <n v="0"/>
    <n v="0"/>
    <n v="0"/>
    <n v="0"/>
    <n v="9"/>
    <x v="2"/>
    <n v="0"/>
    <n v="18"/>
    <n v="0"/>
    <n v="0"/>
    <n v="18.489999999999998"/>
    <n v="0"/>
    <n v="0"/>
    <n v="15.64"/>
    <m/>
    <m/>
    <n v="25775.059999999998"/>
    <n v="0"/>
    <n v="0"/>
    <n v="32959.578510616608"/>
    <n v="0"/>
    <n v="0"/>
  </r>
  <r>
    <s v="Sistema de Compensação"/>
    <x v="1"/>
    <x v="2"/>
    <x v="0"/>
    <x v="0"/>
    <x v="1"/>
    <x v="0"/>
    <x v="1"/>
    <x v="0"/>
    <n v="350"/>
    <n v="350"/>
    <n v="0"/>
    <n v="0"/>
    <n v="0"/>
    <n v="0"/>
    <n v="2"/>
    <x v="2"/>
    <n v="0"/>
    <n v="18"/>
    <n v="0"/>
    <n v="0"/>
    <n v="18.489999999999998"/>
    <n v="0"/>
    <n v="0"/>
    <n v="15.64"/>
    <m/>
    <m/>
    <n v="6471.4999999999991"/>
    <n v="0"/>
    <n v="0"/>
    <n v="8275.3604581892487"/>
    <n v="0"/>
    <n v="0"/>
  </r>
  <r>
    <s v="Regular"/>
    <x v="1"/>
    <x v="2"/>
    <x v="0"/>
    <x v="0"/>
    <x v="1"/>
    <x v="0"/>
    <x v="1"/>
    <x v="1"/>
    <n v="1382"/>
    <n v="1382"/>
    <n v="0"/>
    <n v="0"/>
    <n v="0"/>
    <n v="0"/>
    <n v="9"/>
    <x v="2"/>
    <n v="0"/>
    <n v="18"/>
    <n v="0"/>
    <n v="0"/>
    <n v="18.489999999999998"/>
    <n v="0"/>
    <n v="0"/>
    <n v="15.64"/>
    <m/>
    <m/>
    <n v="25553.179999999997"/>
    <n v="0"/>
    <n v="0"/>
    <n v="32675.851866335837"/>
    <n v="0"/>
    <n v="0"/>
  </r>
  <r>
    <s v="Sistema de Compensação"/>
    <x v="1"/>
    <x v="2"/>
    <x v="0"/>
    <x v="0"/>
    <x v="1"/>
    <x v="0"/>
    <x v="1"/>
    <x v="1"/>
    <n v="250"/>
    <n v="250"/>
    <n v="0"/>
    <n v="0"/>
    <n v="0"/>
    <n v="0"/>
    <n v="1"/>
    <x v="2"/>
    <n v="0"/>
    <n v="18"/>
    <n v="0"/>
    <n v="0"/>
    <n v="18.489999999999998"/>
    <n v="0"/>
    <n v="0"/>
    <n v="15.64"/>
    <m/>
    <m/>
    <n v="4622.5"/>
    <n v="0"/>
    <n v="0"/>
    <n v="5910.971755849464"/>
    <n v="0"/>
    <n v="0"/>
  </r>
  <r>
    <s v="Regular"/>
    <x v="1"/>
    <x v="2"/>
    <x v="0"/>
    <x v="0"/>
    <x v="1"/>
    <x v="0"/>
    <x v="1"/>
    <x v="2"/>
    <n v="1251"/>
    <n v="1251"/>
    <n v="0"/>
    <n v="0"/>
    <n v="0"/>
    <n v="0"/>
    <n v="8"/>
    <x v="2"/>
    <n v="0"/>
    <n v="18"/>
    <n v="0"/>
    <n v="0"/>
    <n v="18.489999999999998"/>
    <n v="0"/>
    <n v="0"/>
    <n v="15.64"/>
    <m/>
    <m/>
    <n v="23130.989999999998"/>
    <n v="0"/>
    <n v="0"/>
    <n v="29578.502666270717"/>
    <n v="0"/>
    <n v="0"/>
  </r>
  <r>
    <s v="Sistema de Compensação"/>
    <x v="1"/>
    <x v="2"/>
    <x v="0"/>
    <x v="0"/>
    <x v="1"/>
    <x v="0"/>
    <x v="1"/>
    <x v="2"/>
    <n v="370"/>
    <n v="370"/>
    <n v="0"/>
    <n v="0"/>
    <n v="0"/>
    <n v="0"/>
    <n v="2"/>
    <x v="2"/>
    <n v="0"/>
    <n v="18"/>
    <n v="0"/>
    <n v="0"/>
    <n v="18.489999999999998"/>
    <n v="0"/>
    <n v="0"/>
    <n v="15.64"/>
    <m/>
    <m/>
    <n v="6841.2999999999993"/>
    <n v="0"/>
    <n v="0"/>
    <n v="8748.2381986572072"/>
    <n v="0"/>
    <n v="0"/>
  </r>
  <r>
    <s v="Regular"/>
    <x v="1"/>
    <x v="2"/>
    <x v="0"/>
    <x v="0"/>
    <x v="1"/>
    <x v="0"/>
    <x v="1"/>
    <x v="3"/>
    <n v="1251.6600000000001"/>
    <n v="1251.6600000000001"/>
    <n v="0"/>
    <n v="0"/>
    <n v="0"/>
    <n v="0"/>
    <n v="8"/>
    <x v="2"/>
    <n v="0"/>
    <n v="18"/>
    <n v="0"/>
    <n v="0"/>
    <n v="18.489999999999998"/>
    <n v="0"/>
    <n v="0"/>
    <n v="15.64"/>
    <m/>
    <m/>
    <n v="23143.1934"/>
    <n v="0"/>
    <n v="0"/>
    <n v="29594.107631706163"/>
    <n v="0"/>
    <n v="0"/>
  </r>
  <r>
    <s v="Sistema de Compensação"/>
    <x v="1"/>
    <x v="2"/>
    <x v="0"/>
    <x v="0"/>
    <x v="1"/>
    <x v="0"/>
    <x v="1"/>
    <x v="3"/>
    <n v="370"/>
    <n v="370"/>
    <n v="0"/>
    <n v="0"/>
    <n v="0"/>
    <n v="0"/>
    <n v="2"/>
    <x v="2"/>
    <n v="0"/>
    <n v="18"/>
    <n v="0"/>
    <n v="0"/>
    <n v="18.489999999999998"/>
    <n v="0"/>
    <n v="0"/>
    <n v="15.64"/>
    <m/>
    <m/>
    <n v="6841.2999999999993"/>
    <n v="0"/>
    <n v="0"/>
    <n v="8748.2381986572072"/>
    <n v="0"/>
    <n v="0"/>
  </r>
  <r>
    <s v="Regular"/>
    <x v="1"/>
    <x v="2"/>
    <x v="0"/>
    <x v="0"/>
    <x v="1"/>
    <x v="0"/>
    <x v="2"/>
    <x v="4"/>
    <n v="0"/>
    <n v="0"/>
    <n v="17.806629999999998"/>
    <n v="17.806629999999998"/>
    <n v="17.806629999999998"/>
    <n v="17.806629999999998"/>
    <n v="0"/>
    <x v="2"/>
    <n v="0"/>
    <n v="0"/>
    <n v="21"/>
    <n v="83"/>
    <n v="0"/>
    <n v="789.62"/>
    <n v="488.15"/>
    <m/>
    <n v="911.84"/>
    <n v="399.84"/>
    <n v="0"/>
    <n v="14060.4711806"/>
    <n v="8692.3064344999984"/>
    <n v="0"/>
    <n v="19236.334786540294"/>
    <n v="8209.9299328977268"/>
  </r>
  <r>
    <s v="Sistema de Compensação"/>
    <x v="1"/>
    <x v="2"/>
    <x v="0"/>
    <x v="0"/>
    <x v="1"/>
    <x v="0"/>
    <x v="2"/>
    <x v="4"/>
    <n v="0"/>
    <n v="0"/>
    <n v="0.58309"/>
    <n v="0.58309"/>
    <n v="0.58309"/>
    <n v="0.58309"/>
    <n v="0"/>
    <x v="2"/>
    <n v="0"/>
    <n v="0"/>
    <n v="21"/>
    <n v="83"/>
    <n v="0"/>
    <n v="789.62"/>
    <n v="488.15"/>
    <m/>
    <n v="911.84"/>
    <n v="399.84"/>
    <n v="0"/>
    <n v="460.41952579999997"/>
    <n v="284.63538349999999"/>
    <n v="0"/>
    <n v="629.90663874544373"/>
    <n v="268.83964256983694"/>
  </r>
  <r>
    <s v="Regular"/>
    <x v="1"/>
    <x v="2"/>
    <x v="0"/>
    <x v="0"/>
    <x v="1"/>
    <x v="0"/>
    <x v="2"/>
    <x v="5"/>
    <n v="0"/>
    <n v="0"/>
    <n v="17.073"/>
    <n v="17.073"/>
    <n v="17.073"/>
    <n v="17.073"/>
    <n v="0"/>
    <x v="2"/>
    <n v="0"/>
    <n v="0"/>
    <n v="21"/>
    <n v="83"/>
    <n v="0"/>
    <n v="789.62"/>
    <n v="488.15"/>
    <m/>
    <n v="911.84"/>
    <n v="399.84"/>
    <n v="0"/>
    <n v="13481.18226"/>
    <n v="8334.1849499999989"/>
    <n v="0"/>
    <n v="18443.801202731927"/>
    <n v="7871.6822747686056"/>
  </r>
  <r>
    <s v="Sistema de Compensação"/>
    <x v="1"/>
    <x v="2"/>
    <x v="0"/>
    <x v="0"/>
    <x v="1"/>
    <x v="0"/>
    <x v="2"/>
    <x v="5"/>
    <n v="0"/>
    <n v="0"/>
    <n v="0.39"/>
    <n v="0.39"/>
    <n v="0.39"/>
    <n v="0.39"/>
    <n v="0"/>
    <x v="2"/>
    <n v="0"/>
    <n v="0"/>
    <n v="21"/>
    <n v="83"/>
    <n v="0"/>
    <n v="789.62"/>
    <n v="488.15"/>
    <m/>
    <n v="911.84"/>
    <n v="399.84"/>
    <n v="0"/>
    <n v="307.95179999999999"/>
    <n v="190.3785"/>
    <n v="0"/>
    <n v="421.313329178554"/>
    <n v="179.81351181161813"/>
  </r>
  <r>
    <s v="Regular"/>
    <x v="1"/>
    <x v="2"/>
    <x v="0"/>
    <x v="0"/>
    <x v="1"/>
    <x v="0"/>
    <x v="2"/>
    <x v="6"/>
    <n v="0"/>
    <n v="0"/>
    <n v="15.673"/>
    <n v="15.673"/>
    <n v="15.673"/>
    <n v="15.673"/>
    <n v="0"/>
    <x v="2"/>
    <n v="0"/>
    <n v="0"/>
    <n v="21"/>
    <n v="83"/>
    <n v="0"/>
    <n v="789.62"/>
    <n v="488.15"/>
    <m/>
    <n v="911.84"/>
    <n v="399.84"/>
    <n v="0"/>
    <n v="12375.714260000001"/>
    <n v="7650.77495"/>
    <n v="0"/>
    <n v="16931.394380039685"/>
    <n v="7226.1978733935666"/>
  </r>
  <r>
    <s v="Sistema de Compensação"/>
    <x v="1"/>
    <x v="2"/>
    <x v="0"/>
    <x v="0"/>
    <x v="1"/>
    <x v="0"/>
    <x v="2"/>
    <x v="6"/>
    <n v="0"/>
    <n v="0"/>
    <n v="0.42138999999999999"/>
    <n v="0.42138999999999999"/>
    <n v="0.42138999999999999"/>
    <n v="0.42138999999999999"/>
    <n v="0"/>
    <x v="2"/>
    <n v="0"/>
    <n v="0"/>
    <n v="21"/>
    <n v="83"/>
    <n v="0"/>
    <n v="789.62"/>
    <n v="488.15"/>
    <m/>
    <n v="911.84"/>
    <n v="399.84"/>
    <n v="0"/>
    <n v="332.73797179999997"/>
    <n v="205.70152849999999"/>
    <n v="0"/>
    <n v="455.2236507244894"/>
    <n v="194.2861942110199"/>
  </r>
  <r>
    <s v="Regular"/>
    <x v="1"/>
    <x v="2"/>
    <x v="0"/>
    <x v="0"/>
    <x v="1"/>
    <x v="0"/>
    <x v="2"/>
    <x v="7"/>
    <n v="0"/>
    <n v="0"/>
    <n v="15.188000000000001"/>
    <n v="15.188000000000001"/>
    <n v="15.188000000000001"/>
    <n v="15.188000000000001"/>
    <n v="0"/>
    <x v="2"/>
    <n v="0"/>
    <n v="0"/>
    <n v="21"/>
    <n v="83"/>
    <n v="0"/>
    <n v="789.62"/>
    <n v="488.15"/>
    <m/>
    <n v="911.84"/>
    <n v="399.84"/>
    <n v="0"/>
    <n v="11992.74856"/>
    <n v="7414.0222000000003"/>
    <n v="0"/>
    <n v="16407.453445035586"/>
    <n v="7002.583634345785"/>
  </r>
  <r>
    <s v="Sistema de Compensação"/>
    <x v="1"/>
    <x v="2"/>
    <x v="0"/>
    <x v="0"/>
    <x v="1"/>
    <x v="0"/>
    <x v="2"/>
    <x v="7"/>
    <n v="0"/>
    <n v="0"/>
    <n v="0.43491000000000002"/>
    <n v="0.43491000000000002"/>
    <n v="0.43491000000000002"/>
    <n v="0.43491000000000002"/>
    <n v="0"/>
    <x v="2"/>
    <n v="0"/>
    <n v="0"/>
    <n v="21"/>
    <n v="83"/>
    <n v="0"/>
    <n v="789.62"/>
    <n v="488.15"/>
    <m/>
    <n v="911.84"/>
    <n v="399.84"/>
    <n v="0"/>
    <n v="343.41363419999999"/>
    <n v="212.30131650000001"/>
    <n v="0"/>
    <n v="469.82917946934595"/>
    <n v="200.519729287156"/>
  </r>
  <r>
    <s v="Regular"/>
    <x v="1"/>
    <x v="2"/>
    <x v="0"/>
    <x v="0"/>
    <x v="1"/>
    <x v="0"/>
    <x v="2"/>
    <x v="8"/>
    <n v="0"/>
    <n v="0"/>
    <n v="14.321"/>
    <n v="14.321"/>
    <n v="14.321"/>
    <n v="14.321"/>
    <n v="0"/>
    <x v="2"/>
    <n v="0"/>
    <n v="0"/>
    <n v="21"/>
    <n v="83"/>
    <n v="0"/>
    <n v="789.62"/>
    <n v="488.15"/>
    <m/>
    <n v="911.84"/>
    <n v="399.84"/>
    <n v="0"/>
    <n v="11308.148020000001"/>
    <n v="6990.7961499999992"/>
    <n v="0"/>
    <n v="15470.84150555403"/>
    <n v="6602.8443657799571"/>
  </r>
  <r>
    <s v="Sistema de Compensação"/>
    <x v="1"/>
    <x v="2"/>
    <x v="0"/>
    <x v="0"/>
    <x v="1"/>
    <x v="0"/>
    <x v="2"/>
    <x v="8"/>
    <n v="0"/>
    <n v="0"/>
    <n v="0.32100000000000001"/>
    <n v="0.32100000000000001"/>
    <n v="0.32100000000000001"/>
    <n v="0.32100000000000001"/>
    <n v="0"/>
    <x v="2"/>
    <n v="0"/>
    <n v="0"/>
    <n v="21"/>
    <n v="83"/>
    <n v="0"/>
    <n v="789.62"/>
    <n v="488.15"/>
    <m/>
    <n v="911.84"/>
    <n v="399.84"/>
    <n v="0"/>
    <n v="253.46802"/>
    <n v="156.69614999999999"/>
    <n v="0"/>
    <n v="346.77327863157905"/>
    <n v="148.00035202956261"/>
  </r>
  <r>
    <s v="Regular"/>
    <x v="1"/>
    <x v="2"/>
    <x v="0"/>
    <x v="0"/>
    <x v="1"/>
    <x v="0"/>
    <x v="2"/>
    <x v="9"/>
    <n v="0"/>
    <n v="0"/>
    <n v="14.286"/>
    <n v="14.286"/>
    <n v="14.286"/>
    <n v="14.286"/>
    <n v="0"/>
    <x v="2"/>
    <n v="0"/>
    <n v="0"/>
    <n v="21"/>
    <n v="83"/>
    <n v="0"/>
    <n v="789.62"/>
    <n v="488.15"/>
    <m/>
    <n v="911.84"/>
    <n v="399.84"/>
    <n v="0"/>
    <n v="11280.51132"/>
    <n v="6973.7108999999991"/>
    <n v="0"/>
    <n v="15433.031334986723"/>
    <n v="6586.7072557455804"/>
  </r>
  <r>
    <s v="Sistema de Compensação"/>
    <x v="1"/>
    <x v="2"/>
    <x v="0"/>
    <x v="0"/>
    <x v="1"/>
    <x v="0"/>
    <x v="2"/>
    <x v="9"/>
    <n v="0"/>
    <n v="0"/>
    <n v="0.29899999999999999"/>
    <n v="0.29899999999999999"/>
    <n v="0.29899999999999999"/>
    <n v="0.29899999999999999"/>
    <n v="0"/>
    <x v="2"/>
    <n v="0"/>
    <n v="0"/>
    <n v="21"/>
    <n v="83"/>
    <n v="0"/>
    <n v="789.62"/>
    <n v="488.15"/>
    <m/>
    <n v="911.84"/>
    <n v="399.84"/>
    <n v="0"/>
    <n v="236.09637999999998"/>
    <n v="145.95684999999997"/>
    <n v="0"/>
    <n v="323.00688570355805"/>
    <n v="137.85702572224056"/>
  </r>
  <r>
    <s v="Regular"/>
    <x v="1"/>
    <x v="2"/>
    <x v="0"/>
    <x v="0"/>
    <x v="1"/>
    <x v="0"/>
    <x v="2"/>
    <x v="10"/>
    <n v="0"/>
    <n v="0"/>
    <n v="14.051"/>
    <n v="14.051"/>
    <n v="14.051"/>
    <n v="14.051"/>
    <n v="0"/>
    <x v="2"/>
    <n v="0"/>
    <n v="0"/>
    <n v="21"/>
    <n v="83"/>
    <n v="0"/>
    <n v="789.62"/>
    <n v="488.15"/>
    <m/>
    <n v="911.84"/>
    <n v="399.84"/>
    <n v="0"/>
    <n v="11094.95062"/>
    <n v="6858.9956499999998"/>
    <n v="0"/>
    <n v="15179.163046891954"/>
    <n v="6478.3580883719133"/>
  </r>
  <r>
    <s v="Sistema de Compensação"/>
    <x v="1"/>
    <x v="2"/>
    <x v="0"/>
    <x v="0"/>
    <x v="1"/>
    <x v="0"/>
    <x v="2"/>
    <x v="10"/>
    <n v="0"/>
    <n v="0"/>
    <n v="0.39291999999999999"/>
    <n v="0.39291999999999999"/>
    <n v="0.39291999999999999"/>
    <n v="0.39291999999999999"/>
    <n v="0"/>
    <x v="2"/>
    <n v="0"/>
    <n v="0"/>
    <n v="21"/>
    <n v="83"/>
    <n v="0"/>
    <n v="789.62"/>
    <n v="488.15"/>
    <m/>
    <n v="911.84"/>
    <n v="399.84"/>
    <n v="0"/>
    <n v="310.25749039999999"/>
    <n v="191.80389799999998"/>
    <n v="0"/>
    <n v="424.46777769445492"/>
    <n v="181.15980784877178"/>
  </r>
  <r>
    <s v="Regular"/>
    <x v="1"/>
    <x v="2"/>
    <x v="0"/>
    <x v="0"/>
    <x v="1"/>
    <x v="0"/>
    <x v="2"/>
    <x v="11"/>
    <n v="0"/>
    <n v="0"/>
    <n v="14.566000000000001"/>
    <n v="14.566000000000001"/>
    <n v="14.566000000000001"/>
    <n v="14.566000000000001"/>
    <n v="0"/>
    <x v="2"/>
    <n v="0"/>
    <n v="0"/>
    <n v="21"/>
    <n v="83"/>
    <n v="0"/>
    <n v="789.62"/>
    <n v="488.15"/>
    <m/>
    <n v="911.84"/>
    <n v="399.84"/>
    <n v="0"/>
    <n v="11501.60492"/>
    <n v="7110.3928999999998"/>
    <n v="0"/>
    <n v="15735.512699525174"/>
    <n v="6715.8041360205889"/>
  </r>
  <r>
    <s v="Sistema de Compensação"/>
    <x v="1"/>
    <x v="2"/>
    <x v="0"/>
    <x v="0"/>
    <x v="1"/>
    <x v="0"/>
    <x v="2"/>
    <x v="11"/>
    <n v="0"/>
    <n v="0"/>
    <n v="0.40798000000000001"/>
    <n v="0.40798000000000001"/>
    <n v="0.40798000000000001"/>
    <n v="0.40798000000000001"/>
    <n v="0"/>
    <x v="2"/>
    <n v="0"/>
    <n v="0"/>
    <n v="21"/>
    <n v="83"/>
    <n v="0"/>
    <n v="789.62"/>
    <n v="488.15"/>
    <m/>
    <n v="911.84"/>
    <n v="399.84"/>
    <n v="0"/>
    <n v="322.1491676"/>
    <n v="199.15543700000001"/>
    <n v="0"/>
    <n v="440.73695394427295"/>
    <n v="188.10337576642041"/>
  </r>
  <r>
    <s v="Regular"/>
    <x v="1"/>
    <x v="2"/>
    <x v="0"/>
    <x v="0"/>
    <x v="1"/>
    <x v="0"/>
    <x v="2"/>
    <x v="0"/>
    <n v="0"/>
    <n v="0"/>
    <n v="11.105"/>
    <n v="11.105"/>
    <n v="11.105"/>
    <n v="11.105"/>
    <n v="0"/>
    <x v="2"/>
    <n v="0"/>
    <n v="0"/>
    <n v="21"/>
    <n v="83"/>
    <n v="0"/>
    <n v="789.62"/>
    <n v="488.15"/>
    <m/>
    <n v="911.84"/>
    <n v="399.84"/>
    <n v="0"/>
    <n v="8768.7301000000007"/>
    <n v="5420.9057499999999"/>
    <n v="0"/>
    <n v="11996.626975712416"/>
    <n v="5120.0744837641523"/>
  </r>
  <r>
    <s v="Sistema de Compensação"/>
    <x v="1"/>
    <x v="2"/>
    <x v="0"/>
    <x v="0"/>
    <x v="1"/>
    <x v="0"/>
    <x v="2"/>
    <x v="0"/>
    <n v="0"/>
    <n v="0"/>
    <n v="0.38883000000000001"/>
    <n v="0.38883000000000001"/>
    <n v="0.38883000000000001"/>
    <n v="0.38883000000000001"/>
    <n v="0"/>
    <x v="2"/>
    <n v="0"/>
    <n v="0"/>
    <n v="21"/>
    <n v="83"/>
    <n v="0"/>
    <n v="789.62"/>
    <n v="488.15"/>
    <m/>
    <n v="911.84"/>
    <n v="399.84"/>
    <n v="0"/>
    <n v="307.02794460000001"/>
    <n v="189.80736450000001"/>
    <n v="0"/>
    <n v="420.04938919101835"/>
    <n v="179.27407127618326"/>
  </r>
  <r>
    <s v="Regular"/>
    <x v="1"/>
    <x v="2"/>
    <x v="0"/>
    <x v="0"/>
    <x v="1"/>
    <x v="0"/>
    <x v="2"/>
    <x v="1"/>
    <n v="0"/>
    <n v="0"/>
    <n v="15.603999999999999"/>
    <n v="15.603999999999999"/>
    <n v="15.603999999999999"/>
    <n v="15.603999999999999"/>
    <n v="0"/>
    <x v="2"/>
    <n v="0"/>
    <n v="0"/>
    <n v="21"/>
    <n v="83"/>
    <n v="0"/>
    <n v="789.62"/>
    <n v="488.15"/>
    <m/>
    <n v="911.84"/>
    <n v="399.84"/>
    <n v="0"/>
    <n v="12321.23048"/>
    <n v="7617.092599999999"/>
    <n v="0"/>
    <n v="16856.854329492708"/>
    <n v="7194.3847136115101"/>
  </r>
  <r>
    <s v="Sistema de Compensação"/>
    <x v="1"/>
    <x v="2"/>
    <x v="0"/>
    <x v="0"/>
    <x v="1"/>
    <x v="0"/>
    <x v="2"/>
    <x v="1"/>
    <n v="0"/>
    <n v="0"/>
    <n v="0.49231999999999998"/>
    <n v="0.49231999999999998"/>
    <n v="0.49231999999999998"/>
    <n v="0.49231999999999998"/>
    <n v="0"/>
    <x v="2"/>
    <n v="0"/>
    <n v="0"/>
    <n v="21"/>
    <n v="83"/>
    <n v="0"/>
    <n v="789.62"/>
    <n v="488.15"/>
    <m/>
    <n v="911.84"/>
    <n v="399.84"/>
    <n v="0"/>
    <n v="388.74571839999999"/>
    <n v="240.32600799999997"/>
    <n v="0"/>
    <n v="531.84866210560438"/>
    <n v="226.98920034639957"/>
  </r>
  <r>
    <s v="Regular"/>
    <x v="1"/>
    <x v="2"/>
    <x v="0"/>
    <x v="0"/>
    <x v="1"/>
    <x v="0"/>
    <x v="2"/>
    <x v="2"/>
    <n v="0"/>
    <n v="0"/>
    <n v="14.263"/>
    <n v="14.263"/>
    <n v="14.263"/>
    <n v="14.263"/>
    <n v="0"/>
    <x v="2"/>
    <n v="0"/>
    <n v="0"/>
    <n v="21"/>
    <n v="83"/>
    <n v="0"/>
    <n v="789.62"/>
    <n v="488.15"/>
    <m/>
    <n v="911.84"/>
    <n v="399.84"/>
    <n v="0"/>
    <n v="11262.350060000001"/>
    <n v="6962.4834499999997"/>
    <n v="0"/>
    <n v="15408.184651471065"/>
    <n v="6576.1028691515621"/>
  </r>
  <r>
    <s v="Sistema de Compensação"/>
    <x v="1"/>
    <x v="2"/>
    <x v="0"/>
    <x v="0"/>
    <x v="1"/>
    <x v="0"/>
    <x v="2"/>
    <x v="2"/>
    <n v="0"/>
    <n v="0"/>
    <n v="0.80052000000000001"/>
    <n v="0.80052000000000001"/>
    <n v="0.80052000000000001"/>
    <n v="0.80052000000000001"/>
    <n v="0"/>
    <x v="2"/>
    <n v="0"/>
    <n v="0"/>
    <n v="21"/>
    <n v="83"/>
    <n v="0"/>
    <n v="789.62"/>
    <n v="488.15"/>
    <m/>
    <n v="911.84"/>
    <n v="399.84"/>
    <n v="0"/>
    <n v="632.10660240000004"/>
    <n v="390.77383800000001"/>
    <n v="0"/>
    <n v="864.79422121542575"/>
    <n v="369.08798070624755"/>
  </r>
  <r>
    <s v="Regular"/>
    <x v="1"/>
    <x v="2"/>
    <x v="0"/>
    <x v="0"/>
    <x v="1"/>
    <x v="0"/>
    <x v="2"/>
    <x v="3"/>
    <n v="0"/>
    <n v="0"/>
    <n v="13.87434"/>
    <n v="13.87434"/>
    <n v="13.87434"/>
    <n v="13.87434"/>
    <n v="0"/>
    <x v="2"/>
    <n v="0"/>
    <n v="0"/>
    <n v="21"/>
    <n v="83"/>
    <n v="0"/>
    <n v="789.62"/>
    <n v="488.15"/>
    <m/>
    <n v="911.84"/>
    <n v="399.84"/>
    <n v="0"/>
    <n v="10955.456350800001"/>
    <n v="6772.7590709999995"/>
    <n v="0"/>
    <n v="14988.318911679946"/>
    <n v="6396.9071781241173"/>
  </r>
  <r>
    <s v="Sistema de Compensação"/>
    <x v="1"/>
    <x v="2"/>
    <x v="0"/>
    <x v="0"/>
    <x v="1"/>
    <x v="0"/>
    <x v="2"/>
    <x v="3"/>
    <n v="0"/>
    <n v="0"/>
    <n v="1.2235799999999999"/>
    <n v="1.2235799999999999"/>
    <n v="1.2235799999999999"/>
    <n v="1.2235799999999999"/>
    <n v="0"/>
    <x v="2"/>
    <n v="0"/>
    <n v="0"/>
    <n v="21"/>
    <n v="83"/>
    <n v="0"/>
    <n v="789.62"/>
    <n v="488.15"/>
    <m/>
    <n v="911.84"/>
    <n v="399.84"/>
    <n v="0"/>
    <n v="966.16323959999988"/>
    <n v="597.29057699999987"/>
    <n v="0"/>
    <n v="1321.8219572212693"/>
    <n v="564.14414559605052"/>
  </r>
  <r>
    <s v="Regular"/>
    <x v="1"/>
    <x v="2"/>
    <x v="3"/>
    <x v="0"/>
    <x v="1"/>
    <x v="0"/>
    <x v="0"/>
    <x v="4"/>
    <n v="0"/>
    <n v="0"/>
    <n v="9.8829999999999991"/>
    <n v="9.8829999999999991"/>
    <n v="9.8829999999999991"/>
    <n v="9.8829999999999991"/>
    <n v="0"/>
    <x v="2"/>
    <n v="0"/>
    <n v="0"/>
    <n v="22"/>
    <n v="84"/>
    <n v="0"/>
    <n v="73.28"/>
    <n v="286.76"/>
    <m/>
    <n v="126.25"/>
    <n v="250.03999999999996"/>
    <n v="0"/>
    <n v="724.22623999999996"/>
    <n v="2834.0490799999998"/>
    <n v="0"/>
    <n v="1383.5180016967893"/>
    <n v="2681.8031124654403"/>
  </r>
  <r>
    <s v="Regular"/>
    <x v="1"/>
    <x v="2"/>
    <x v="3"/>
    <x v="0"/>
    <x v="1"/>
    <x v="0"/>
    <x v="0"/>
    <x v="5"/>
    <n v="0"/>
    <n v="0"/>
    <n v="11.0678"/>
    <n v="11.0678"/>
    <n v="11.0678"/>
    <n v="11.0678"/>
    <n v="0"/>
    <x v="2"/>
    <n v="0"/>
    <n v="0"/>
    <n v="22"/>
    <n v="84"/>
    <n v="0"/>
    <n v="73.28"/>
    <n v="286.76"/>
    <m/>
    <n v="126.25"/>
    <n v="250.03999999999996"/>
    <n v="0"/>
    <n v="811.04838400000006"/>
    <n v="3173.8023279999998"/>
    <n v="0"/>
    <n v="1549.3777738722781"/>
    <n v="3003.3047139679252"/>
  </r>
  <r>
    <s v="Regular"/>
    <x v="1"/>
    <x v="2"/>
    <x v="3"/>
    <x v="0"/>
    <x v="1"/>
    <x v="0"/>
    <x v="0"/>
    <x v="6"/>
    <n v="0"/>
    <n v="0"/>
    <n v="11.593"/>
    <n v="11.593"/>
    <n v="11.593"/>
    <n v="11.593"/>
    <n v="0"/>
    <x v="2"/>
    <n v="0"/>
    <n v="0"/>
    <n v="22"/>
    <n v="84"/>
    <n v="0"/>
    <n v="73.28"/>
    <n v="286.76"/>
    <m/>
    <n v="126.25"/>
    <n v="250.03999999999996"/>
    <n v="0"/>
    <n v="849.53503999999998"/>
    <n v="3324.40868"/>
    <n v="0"/>
    <n v="1622.9003535030738"/>
    <n v="3145.8204475171356"/>
  </r>
  <r>
    <s v="Regular"/>
    <x v="1"/>
    <x v="2"/>
    <x v="3"/>
    <x v="0"/>
    <x v="1"/>
    <x v="0"/>
    <x v="0"/>
    <x v="7"/>
    <n v="0"/>
    <n v="0"/>
    <n v="13.98794"/>
    <n v="13.98794"/>
    <n v="13.98794"/>
    <n v="13.98794"/>
    <n v="0"/>
    <x v="2"/>
    <n v="0"/>
    <n v="0"/>
    <n v="22"/>
    <n v="84"/>
    <n v="0"/>
    <n v="73.28"/>
    <n v="286.76"/>
    <m/>
    <n v="126.25"/>
    <n v="250.03999999999996"/>
    <n v="0"/>
    <n v="1025.0362431999999"/>
    <n v="4011.1816743999998"/>
    <n v="0"/>
    <n v="1958.1672363305258"/>
    <n v="3795.6997904462041"/>
  </r>
  <r>
    <s v="Regular"/>
    <x v="1"/>
    <x v="2"/>
    <x v="3"/>
    <x v="0"/>
    <x v="1"/>
    <x v="0"/>
    <x v="0"/>
    <x v="8"/>
    <n v="0"/>
    <n v="0"/>
    <n v="16.49072"/>
    <n v="16.49072"/>
    <n v="16.49072"/>
    <n v="16.49072"/>
    <n v="0"/>
    <x v="2"/>
    <n v="0"/>
    <n v="0"/>
    <n v="22"/>
    <n v="84"/>
    <n v="0"/>
    <n v="73.28"/>
    <n v="286.76"/>
    <m/>
    <n v="126.25"/>
    <n v="250.03999999999996"/>
    <n v="0"/>
    <n v="1208.4399616000001"/>
    <n v="4728.8788672000001"/>
    <n v="0"/>
    <n v="2308.5306061865099"/>
    <n v="4474.8420745518661"/>
  </r>
  <r>
    <s v="Regular"/>
    <x v="1"/>
    <x v="2"/>
    <x v="3"/>
    <x v="0"/>
    <x v="1"/>
    <x v="0"/>
    <x v="0"/>
    <x v="9"/>
    <n v="0"/>
    <n v="0"/>
    <n v="20.244700000000002"/>
    <n v="20.244700000000002"/>
    <n v="20.244700000000002"/>
    <n v="20.244700000000002"/>
    <n v="0"/>
    <x v="2"/>
    <n v="0"/>
    <n v="0"/>
    <n v="22"/>
    <n v="84"/>
    <n v="0"/>
    <n v="73.28"/>
    <n v="286.76"/>
    <m/>
    <n v="126.25"/>
    <n v="250.03999999999996"/>
    <n v="0"/>
    <n v="1483.5316160000002"/>
    <n v="5805.3701719999999"/>
    <n v="0"/>
    <n v="2834.0490629313967"/>
    <n v="5493.5039432286867"/>
  </r>
  <r>
    <s v="Regular"/>
    <x v="1"/>
    <x v="2"/>
    <x v="3"/>
    <x v="0"/>
    <x v="1"/>
    <x v="0"/>
    <x v="0"/>
    <x v="10"/>
    <n v="0"/>
    <n v="0"/>
    <n v="17.725000000000001"/>
    <n v="17.725000000000001"/>
    <n v="17.725000000000001"/>
    <n v="17.725000000000001"/>
    <n v="0"/>
    <x v="2"/>
    <n v="0"/>
    <n v="0"/>
    <n v="22"/>
    <n v="84"/>
    <n v="0"/>
    <n v="73.28"/>
    <n v="286.76"/>
    <m/>
    <n v="126.25"/>
    <n v="250.03999999999996"/>
    <n v="0"/>
    <n v="1298.8880000000001"/>
    <n v="5082.8209999999999"/>
    <n v="0"/>
    <n v="2481.3170676996451"/>
    <n v="4809.7703297025128"/>
  </r>
  <r>
    <s v="Regular"/>
    <x v="1"/>
    <x v="2"/>
    <x v="3"/>
    <x v="0"/>
    <x v="1"/>
    <x v="0"/>
    <x v="0"/>
    <x v="11"/>
    <n v="0"/>
    <n v="0"/>
    <n v="17.638680000000001"/>
    <n v="17.638680000000001"/>
    <n v="17.638680000000001"/>
    <n v="17.638680000000001"/>
    <n v="0"/>
    <x v="2"/>
    <n v="0"/>
    <n v="0"/>
    <n v="22"/>
    <n v="84"/>
    <n v="0"/>
    <n v="73.28"/>
    <n v="286.76"/>
    <m/>
    <n v="126.25"/>
    <n v="250.03999999999996"/>
    <n v="0"/>
    <n v="1292.5624704000002"/>
    <n v="5058.0678767999998"/>
    <n v="0"/>
    <n v="2469.2331585722072"/>
    <n v="4786.3469517132371"/>
  </r>
  <r>
    <s v="Regular"/>
    <x v="1"/>
    <x v="2"/>
    <x v="3"/>
    <x v="0"/>
    <x v="1"/>
    <x v="0"/>
    <x v="0"/>
    <x v="0"/>
    <n v="0"/>
    <n v="0"/>
    <n v="12.5853"/>
    <n v="12.5853"/>
    <n v="12.5853"/>
    <n v="12.5853"/>
    <n v="0"/>
    <x v="2"/>
    <n v="0"/>
    <n v="0"/>
    <n v="22"/>
    <n v="84"/>
    <n v="0"/>
    <n v="73.28"/>
    <n v="286.76"/>
    <m/>
    <n v="126.25"/>
    <n v="250.03999999999996"/>
    <n v="0"/>
    <n v="922.25078400000007"/>
    <n v="3608.9606279999998"/>
    <n v="0"/>
    <n v="1761.8121123904284"/>
    <n v="3415.0861794304674"/>
  </r>
  <r>
    <s v="Regular"/>
    <x v="1"/>
    <x v="2"/>
    <x v="3"/>
    <x v="0"/>
    <x v="1"/>
    <x v="0"/>
    <x v="0"/>
    <x v="1"/>
    <n v="0"/>
    <n v="0"/>
    <n v="9.7867800000000003"/>
    <n v="9.7867800000000003"/>
    <n v="9.7867800000000003"/>
    <n v="9.7867800000000003"/>
    <n v="0"/>
    <x v="2"/>
    <n v="0"/>
    <n v="0"/>
    <n v="22"/>
    <n v="84"/>
    <n v="0"/>
    <n v="73.28"/>
    <n v="286.76"/>
    <m/>
    <n v="126.25"/>
    <n v="250.03999999999996"/>
    <n v="0"/>
    <n v="717.17523840000001"/>
    <n v="2806.4570328"/>
    <n v="0"/>
    <n v="1370.0481947431049"/>
    <n v="2655.6933183258652"/>
  </r>
  <r>
    <s v="Regular"/>
    <x v="1"/>
    <x v="2"/>
    <x v="3"/>
    <x v="0"/>
    <x v="1"/>
    <x v="0"/>
    <x v="0"/>
    <x v="2"/>
    <n v="0"/>
    <n v="0"/>
    <n v="8.5603899999999999"/>
    <n v="8.5603899999999999"/>
    <n v="8.5603899999999999"/>
    <n v="8.5603899999999999"/>
    <n v="0"/>
    <x v="2"/>
    <n v="0"/>
    <n v="0"/>
    <n v="22"/>
    <n v="84"/>
    <n v="0"/>
    <n v="73.28"/>
    <n v="286.76"/>
    <m/>
    <n v="126.25"/>
    <n v="250.03999999999996"/>
    <n v="0"/>
    <n v="627.30537920000006"/>
    <n v="2454.7774363999997"/>
    <n v="0"/>
    <n v="1198.3662518005847"/>
    <n v="2322.9060554404564"/>
  </r>
  <r>
    <s v="Regular"/>
    <x v="1"/>
    <x v="2"/>
    <x v="3"/>
    <x v="0"/>
    <x v="1"/>
    <x v="0"/>
    <x v="0"/>
    <x v="3"/>
    <n v="0"/>
    <n v="0"/>
    <n v="10.27472"/>
    <n v="10.27472"/>
    <n v="10.27472"/>
    <n v="10.27472"/>
    <n v="0"/>
    <x v="2"/>
    <n v="0"/>
    <n v="0"/>
    <n v="22"/>
    <n v="84"/>
    <n v="0"/>
    <n v="73.28"/>
    <n v="286.76"/>
    <m/>
    <n v="126.25"/>
    <n v="250.03999999999996"/>
    <n v="0"/>
    <n v="752.93148159999998"/>
    <n v="2946.3787072"/>
    <n v="0"/>
    <n v="1438.3547589187531"/>
    <n v="2788.0983583639495"/>
  </r>
  <r>
    <s v="Regular"/>
    <x v="1"/>
    <x v="2"/>
    <x v="3"/>
    <x v="0"/>
    <x v="1"/>
    <x v="0"/>
    <x v="1"/>
    <x v="4"/>
    <n v="115"/>
    <n v="115"/>
    <n v="0"/>
    <n v="0"/>
    <n v="0"/>
    <n v="0"/>
    <n v="2"/>
    <x v="2"/>
    <n v="0"/>
    <n v="18"/>
    <n v="0"/>
    <n v="0"/>
    <n v="18.489999999999998"/>
    <n v="0"/>
    <n v="0"/>
    <n v="15.64"/>
    <m/>
    <m/>
    <n v="2126.35"/>
    <n v="0"/>
    <n v="0"/>
    <n v="2719.0470076907532"/>
    <n v="0"/>
    <n v="0"/>
  </r>
  <r>
    <s v="Regular"/>
    <x v="1"/>
    <x v="2"/>
    <x v="3"/>
    <x v="0"/>
    <x v="1"/>
    <x v="0"/>
    <x v="1"/>
    <x v="5"/>
    <n v="115"/>
    <n v="115"/>
    <n v="0"/>
    <n v="0"/>
    <n v="0"/>
    <n v="0"/>
    <n v="2"/>
    <x v="2"/>
    <n v="0"/>
    <n v="18"/>
    <n v="0"/>
    <n v="0"/>
    <n v="18.489999999999998"/>
    <n v="0"/>
    <n v="0"/>
    <n v="15.64"/>
    <m/>
    <m/>
    <n v="2126.35"/>
    <n v="0"/>
    <n v="0"/>
    <n v="2719.0470076907532"/>
    <n v="0"/>
    <n v="0"/>
  </r>
  <r>
    <s v="Regular"/>
    <x v="1"/>
    <x v="2"/>
    <x v="3"/>
    <x v="0"/>
    <x v="1"/>
    <x v="0"/>
    <x v="1"/>
    <x v="6"/>
    <n v="115"/>
    <n v="115"/>
    <n v="0"/>
    <n v="0"/>
    <n v="0"/>
    <n v="0"/>
    <n v="2"/>
    <x v="2"/>
    <n v="0"/>
    <n v="18"/>
    <n v="0"/>
    <n v="0"/>
    <n v="18.489999999999998"/>
    <n v="0"/>
    <n v="0"/>
    <n v="15.64"/>
    <m/>
    <m/>
    <n v="2126.35"/>
    <n v="0"/>
    <n v="0"/>
    <n v="2719.0470076907532"/>
    <n v="0"/>
    <n v="0"/>
  </r>
  <r>
    <s v="Regular"/>
    <x v="1"/>
    <x v="2"/>
    <x v="3"/>
    <x v="0"/>
    <x v="1"/>
    <x v="0"/>
    <x v="1"/>
    <x v="7"/>
    <n v="115.01"/>
    <n v="115.01"/>
    <n v="0"/>
    <n v="0"/>
    <n v="0"/>
    <n v="0"/>
    <n v="2"/>
    <x v="2"/>
    <n v="0"/>
    <n v="18"/>
    <n v="0"/>
    <n v="0"/>
    <n v="18.489999999999998"/>
    <n v="0"/>
    <n v="0"/>
    <n v="15.64"/>
    <m/>
    <m/>
    <n v="2126.5349000000001"/>
    <n v="0"/>
    <n v="0"/>
    <n v="2719.2834465609876"/>
    <n v="0"/>
    <n v="0"/>
  </r>
  <r>
    <s v="Regular"/>
    <x v="1"/>
    <x v="2"/>
    <x v="3"/>
    <x v="0"/>
    <x v="1"/>
    <x v="0"/>
    <x v="1"/>
    <x v="8"/>
    <n v="115"/>
    <n v="115"/>
    <n v="0"/>
    <n v="0"/>
    <n v="0"/>
    <n v="0"/>
    <n v="2"/>
    <x v="2"/>
    <n v="0"/>
    <n v="18"/>
    <n v="0"/>
    <n v="0"/>
    <n v="18.489999999999998"/>
    <n v="0"/>
    <n v="0"/>
    <n v="15.64"/>
    <m/>
    <m/>
    <n v="2126.35"/>
    <n v="0"/>
    <n v="0"/>
    <n v="2719.0470076907532"/>
    <n v="0"/>
    <n v="0"/>
  </r>
  <r>
    <s v="Regular"/>
    <x v="1"/>
    <x v="2"/>
    <x v="3"/>
    <x v="0"/>
    <x v="1"/>
    <x v="0"/>
    <x v="1"/>
    <x v="9"/>
    <n v="115"/>
    <n v="115"/>
    <n v="0"/>
    <n v="0"/>
    <n v="0"/>
    <n v="0"/>
    <n v="2"/>
    <x v="2"/>
    <n v="0"/>
    <n v="18"/>
    <n v="0"/>
    <n v="0"/>
    <n v="18.489999999999998"/>
    <n v="0"/>
    <n v="0"/>
    <n v="15.64"/>
    <m/>
    <m/>
    <n v="2126.35"/>
    <n v="0"/>
    <n v="0"/>
    <n v="2719.0470076907532"/>
    <n v="0"/>
    <n v="0"/>
  </r>
  <r>
    <s v="Regular"/>
    <x v="1"/>
    <x v="2"/>
    <x v="3"/>
    <x v="0"/>
    <x v="1"/>
    <x v="0"/>
    <x v="1"/>
    <x v="10"/>
    <n v="115"/>
    <n v="115"/>
    <n v="0"/>
    <n v="0"/>
    <n v="0"/>
    <n v="0"/>
    <n v="2"/>
    <x v="2"/>
    <n v="0"/>
    <n v="18"/>
    <n v="0"/>
    <n v="0"/>
    <n v="18.489999999999998"/>
    <n v="0"/>
    <n v="0"/>
    <n v="15.64"/>
    <m/>
    <m/>
    <n v="2126.35"/>
    <n v="0"/>
    <n v="0"/>
    <n v="2719.0470076907532"/>
    <n v="0"/>
    <n v="0"/>
  </r>
  <r>
    <s v="Regular"/>
    <x v="1"/>
    <x v="2"/>
    <x v="3"/>
    <x v="0"/>
    <x v="1"/>
    <x v="0"/>
    <x v="1"/>
    <x v="11"/>
    <n v="115"/>
    <n v="115"/>
    <n v="0"/>
    <n v="0"/>
    <n v="0"/>
    <n v="0"/>
    <n v="2"/>
    <x v="2"/>
    <n v="0"/>
    <n v="18"/>
    <n v="0"/>
    <n v="0"/>
    <n v="18.489999999999998"/>
    <n v="0"/>
    <n v="0"/>
    <n v="15.64"/>
    <m/>
    <m/>
    <n v="2126.35"/>
    <n v="0"/>
    <n v="0"/>
    <n v="2719.0470076907532"/>
    <n v="0"/>
    <n v="0"/>
  </r>
  <r>
    <s v="Regular"/>
    <x v="1"/>
    <x v="2"/>
    <x v="3"/>
    <x v="0"/>
    <x v="1"/>
    <x v="0"/>
    <x v="1"/>
    <x v="0"/>
    <n v="115"/>
    <n v="115"/>
    <n v="0"/>
    <n v="0"/>
    <n v="0"/>
    <n v="0"/>
    <n v="2"/>
    <x v="2"/>
    <n v="0"/>
    <n v="18"/>
    <n v="0"/>
    <n v="0"/>
    <n v="18.489999999999998"/>
    <n v="0"/>
    <n v="0"/>
    <n v="15.64"/>
    <m/>
    <m/>
    <n v="2126.35"/>
    <n v="0"/>
    <n v="0"/>
    <n v="2719.0470076907532"/>
    <n v="0"/>
    <n v="0"/>
  </r>
  <r>
    <s v="Regular"/>
    <x v="1"/>
    <x v="2"/>
    <x v="3"/>
    <x v="0"/>
    <x v="1"/>
    <x v="0"/>
    <x v="1"/>
    <x v="1"/>
    <n v="115"/>
    <n v="115"/>
    <n v="0"/>
    <n v="0"/>
    <n v="0"/>
    <n v="0"/>
    <n v="2"/>
    <x v="2"/>
    <n v="0"/>
    <n v="18"/>
    <n v="0"/>
    <n v="0"/>
    <n v="18.489999999999998"/>
    <n v="0"/>
    <n v="0"/>
    <n v="15.64"/>
    <m/>
    <m/>
    <n v="2126.35"/>
    <n v="0"/>
    <n v="0"/>
    <n v="2719.0470076907532"/>
    <n v="0"/>
    <n v="0"/>
  </r>
  <r>
    <s v="Regular"/>
    <x v="1"/>
    <x v="2"/>
    <x v="3"/>
    <x v="0"/>
    <x v="1"/>
    <x v="0"/>
    <x v="1"/>
    <x v="2"/>
    <n v="115"/>
    <n v="115"/>
    <n v="0"/>
    <n v="0"/>
    <n v="0"/>
    <n v="0"/>
    <n v="2"/>
    <x v="2"/>
    <n v="0"/>
    <n v="18"/>
    <n v="0"/>
    <n v="0"/>
    <n v="18.489999999999998"/>
    <n v="0"/>
    <n v="0"/>
    <n v="15.64"/>
    <m/>
    <m/>
    <n v="2126.35"/>
    <n v="0"/>
    <n v="0"/>
    <n v="2719.0470076907532"/>
    <n v="0"/>
    <n v="0"/>
  </r>
  <r>
    <s v="Regular"/>
    <x v="1"/>
    <x v="2"/>
    <x v="3"/>
    <x v="0"/>
    <x v="1"/>
    <x v="0"/>
    <x v="1"/>
    <x v="3"/>
    <n v="115"/>
    <n v="115"/>
    <n v="0"/>
    <n v="0"/>
    <n v="0"/>
    <n v="0"/>
    <n v="2"/>
    <x v="2"/>
    <n v="0"/>
    <n v="18"/>
    <n v="0"/>
    <n v="0"/>
    <n v="18.489999999999998"/>
    <n v="0"/>
    <n v="0"/>
    <n v="15.64"/>
    <m/>
    <m/>
    <n v="2126.35"/>
    <n v="0"/>
    <n v="0"/>
    <n v="2719.0470076907532"/>
    <n v="0"/>
    <n v="0"/>
  </r>
  <r>
    <s v="Regular"/>
    <x v="1"/>
    <x v="2"/>
    <x v="3"/>
    <x v="0"/>
    <x v="1"/>
    <x v="0"/>
    <x v="2"/>
    <x v="4"/>
    <n v="0"/>
    <n v="0"/>
    <n v="0.81699999999999995"/>
    <n v="0.81699999999999995"/>
    <n v="0.81699999999999995"/>
    <n v="0.81699999999999995"/>
    <n v="0"/>
    <x v="2"/>
    <n v="0"/>
    <n v="0"/>
    <n v="21"/>
    <n v="83"/>
    <n v="0"/>
    <n v="789.62"/>
    <n v="488.15"/>
    <m/>
    <n v="911.84"/>
    <n v="399.84"/>
    <n v="0"/>
    <n v="645.11953999999992"/>
    <n v="398.81854999999996"/>
    <n v="0"/>
    <n v="882.59741009968866"/>
    <n v="376.68625423100514"/>
  </r>
  <r>
    <s v="Regular"/>
    <x v="1"/>
    <x v="2"/>
    <x v="3"/>
    <x v="0"/>
    <x v="1"/>
    <x v="0"/>
    <x v="2"/>
    <x v="5"/>
    <n v="0"/>
    <n v="0"/>
    <n v="0.82306000000000001"/>
    <n v="0.82306000000000001"/>
    <n v="0.82306000000000001"/>
    <n v="0.82306000000000001"/>
    <n v="0"/>
    <x v="2"/>
    <n v="0"/>
    <n v="0"/>
    <n v="21"/>
    <n v="83"/>
    <n v="0"/>
    <n v="789.62"/>
    <n v="488.15"/>
    <m/>
    <n v="911.84"/>
    <n v="399.84"/>
    <n v="0"/>
    <n v="649.90463720000002"/>
    <n v="401.77673899999996"/>
    <n v="0"/>
    <n v="889.14397106077092"/>
    <n v="379.4802795683857"/>
  </r>
  <r>
    <s v="Regular"/>
    <x v="1"/>
    <x v="2"/>
    <x v="3"/>
    <x v="0"/>
    <x v="1"/>
    <x v="0"/>
    <x v="2"/>
    <x v="6"/>
    <n v="0"/>
    <n v="0"/>
    <n v="0.76600000000000001"/>
    <n v="0.76600000000000001"/>
    <n v="0.76600000000000001"/>
    <n v="0.76600000000000001"/>
    <n v="0"/>
    <x v="2"/>
    <n v="0"/>
    <n v="0"/>
    <n v="21"/>
    <n v="83"/>
    <n v="0"/>
    <n v="789.62"/>
    <n v="488.15"/>
    <m/>
    <n v="911.84"/>
    <n v="399.84"/>
    <n v="0"/>
    <n v="604.84892000000002"/>
    <n v="373.92289999999997"/>
    <n v="0"/>
    <n v="827.50259013018558"/>
    <n v="353.17217960948585"/>
  </r>
  <r>
    <s v="Regular"/>
    <x v="1"/>
    <x v="2"/>
    <x v="3"/>
    <x v="0"/>
    <x v="1"/>
    <x v="0"/>
    <x v="2"/>
    <x v="7"/>
    <n v="0"/>
    <n v="0"/>
    <n v="0.80735000000000001"/>
    <n v="0.80735000000000001"/>
    <n v="0.80735000000000001"/>
    <n v="0.80735000000000001"/>
    <n v="0"/>
    <x v="2"/>
    <n v="0"/>
    <n v="0"/>
    <n v="21"/>
    <n v="83"/>
    <n v="0"/>
    <n v="789.62"/>
    <n v="488.15"/>
    <m/>
    <n v="911.84"/>
    <n v="399.84"/>
    <n v="0"/>
    <n v="637.49970700000006"/>
    <n v="394.10790249999997"/>
    <n v="0"/>
    <n v="872.17260592898867"/>
    <n v="372.23702246438432"/>
  </r>
  <r>
    <s v="Regular"/>
    <x v="1"/>
    <x v="2"/>
    <x v="3"/>
    <x v="0"/>
    <x v="1"/>
    <x v="0"/>
    <x v="2"/>
    <x v="8"/>
    <n v="0"/>
    <n v="0"/>
    <n v="0.97685999999999995"/>
    <n v="0.97685999999999995"/>
    <n v="0.97685999999999995"/>
    <n v="0.97685999999999995"/>
    <n v="0"/>
    <x v="2"/>
    <n v="0"/>
    <n v="0"/>
    <n v="21"/>
    <n v="83"/>
    <n v="0"/>
    <n v="789.62"/>
    <n v="488.15"/>
    <m/>
    <n v="911.84"/>
    <n v="399.84"/>
    <n v="0"/>
    <n v="771.34819319999997"/>
    <n v="476.85420899999997"/>
    <n v="0"/>
    <n v="1055.2926634393903"/>
    <n v="450.39135166230068"/>
  </r>
  <r>
    <s v="Regular"/>
    <x v="1"/>
    <x v="2"/>
    <x v="3"/>
    <x v="0"/>
    <x v="1"/>
    <x v="0"/>
    <x v="2"/>
    <x v="9"/>
    <n v="0"/>
    <n v="0"/>
    <n v="1.06816"/>
    <n v="1.06816"/>
    <n v="1.06816"/>
    <n v="1.06816"/>
    <n v="0"/>
    <x v="2"/>
    <n v="0"/>
    <n v="0"/>
    <n v="21"/>
    <n v="83"/>
    <n v="0"/>
    <n v="789.62"/>
    <n v="488.15"/>
    <m/>
    <n v="911.84"/>
    <n v="399.84"/>
    <n v="0"/>
    <n v="843.44049919999998"/>
    <n v="521.42230399999994"/>
    <n v="0"/>
    <n v="1153.9231940906775"/>
    <n v="492.48615583768719"/>
  </r>
  <r>
    <s v="Regular"/>
    <x v="1"/>
    <x v="2"/>
    <x v="3"/>
    <x v="0"/>
    <x v="1"/>
    <x v="0"/>
    <x v="2"/>
    <x v="10"/>
    <n v="0"/>
    <n v="0"/>
    <n v="0.998"/>
    <n v="0.998"/>
    <n v="0.998"/>
    <n v="0.998"/>
    <n v="0"/>
    <x v="2"/>
    <n v="0"/>
    <n v="0"/>
    <n v="21"/>
    <n v="83"/>
    <n v="0"/>
    <n v="789.62"/>
    <n v="488.15"/>
    <m/>
    <n v="911.84"/>
    <n v="399.84"/>
    <n v="0"/>
    <n v="788.04075999999998"/>
    <n v="487.1737"/>
    <n v="0"/>
    <n v="1078.1300064620432"/>
    <n v="460.1381661230638"/>
  </r>
  <r>
    <s v="Regular"/>
    <x v="1"/>
    <x v="2"/>
    <x v="3"/>
    <x v="0"/>
    <x v="1"/>
    <x v="0"/>
    <x v="2"/>
    <x v="11"/>
    <n v="0"/>
    <n v="0"/>
    <n v="1.04671"/>
    <n v="1.04671"/>
    <n v="1.04671"/>
    <n v="1.04671"/>
    <n v="0"/>
    <x v="2"/>
    <n v="0"/>
    <n v="0"/>
    <n v="21"/>
    <n v="83"/>
    <n v="0"/>
    <n v="789.62"/>
    <n v="488.15"/>
    <m/>
    <n v="911.84"/>
    <n v="399.84"/>
    <n v="0"/>
    <n v="826.50315020000005"/>
    <n v="510.95148649999999"/>
    <n v="0"/>
    <n v="1130.7509609858571"/>
    <n v="482.59641268804825"/>
  </r>
  <r>
    <s v="Regular"/>
    <x v="1"/>
    <x v="2"/>
    <x v="3"/>
    <x v="0"/>
    <x v="1"/>
    <x v="0"/>
    <x v="2"/>
    <x v="0"/>
    <n v="0"/>
    <n v="0"/>
    <n v="0.77219000000000004"/>
    <n v="0.77219000000000004"/>
    <n v="0.77219000000000004"/>
    <n v="0.77219000000000004"/>
    <n v="0"/>
    <x v="2"/>
    <n v="0"/>
    <n v="0"/>
    <n v="21"/>
    <n v="83"/>
    <n v="0"/>
    <n v="789.62"/>
    <n v="488.15"/>
    <m/>
    <n v="911.84"/>
    <n v="399.84"/>
    <n v="0"/>
    <n v="609.73666780000008"/>
    <n v="376.9445485"/>
    <n v="0"/>
    <n v="834.18958886766052"/>
    <n v="356.02614278413694"/>
  </r>
  <r>
    <s v="Regular"/>
    <x v="1"/>
    <x v="2"/>
    <x v="3"/>
    <x v="0"/>
    <x v="1"/>
    <x v="0"/>
    <x v="2"/>
    <x v="1"/>
    <n v="0"/>
    <n v="0"/>
    <n v="0.79690000000000005"/>
    <n v="0.79690000000000005"/>
    <n v="0.79690000000000005"/>
    <n v="0.79690000000000005"/>
    <n v="0"/>
    <x v="2"/>
    <n v="0"/>
    <n v="0"/>
    <n v="21"/>
    <n v="83"/>
    <n v="0"/>
    <n v="789.62"/>
    <n v="488.15"/>
    <m/>
    <n v="911.84"/>
    <n v="399.84"/>
    <n v="0"/>
    <n v="629.24817800000005"/>
    <n v="389.00673499999999"/>
    <n v="0"/>
    <n v="860.88356928817871"/>
    <n v="367.41894246840639"/>
  </r>
  <r>
    <s v="Regular"/>
    <x v="1"/>
    <x v="2"/>
    <x v="3"/>
    <x v="0"/>
    <x v="1"/>
    <x v="0"/>
    <x v="2"/>
    <x v="2"/>
    <n v="0"/>
    <n v="0"/>
    <n v="0.72843999999999998"/>
    <n v="0.72843999999999998"/>
    <n v="0.72843999999999998"/>
    <n v="0.72843999999999998"/>
    <n v="0"/>
    <x v="2"/>
    <n v="0"/>
    <n v="0"/>
    <n v="21"/>
    <n v="83"/>
    <n v="0"/>
    <n v="789.62"/>
    <n v="488.15"/>
    <m/>
    <n v="911.84"/>
    <n v="399.84"/>
    <n v="0"/>
    <n v="575.19079279999994"/>
    <n v="355.58798599999994"/>
    <n v="0"/>
    <n v="786.92687565852782"/>
    <n v="335.85475524116691"/>
  </r>
  <r>
    <s v="Regular"/>
    <x v="1"/>
    <x v="2"/>
    <x v="3"/>
    <x v="0"/>
    <x v="1"/>
    <x v="0"/>
    <x v="2"/>
    <x v="3"/>
    <n v="0"/>
    <n v="0"/>
    <n v="0.79681999999999997"/>
    <n v="0.79681999999999997"/>
    <n v="0.79681999999999997"/>
    <n v="0.79681999999999997"/>
    <n v="0"/>
    <x v="2"/>
    <n v="0"/>
    <n v="0"/>
    <n v="21"/>
    <n v="83"/>
    <n v="0"/>
    <n v="789.62"/>
    <n v="488.15"/>
    <m/>
    <n v="911.84"/>
    <n v="399.84"/>
    <n v="0"/>
    <n v="629.18500840000002"/>
    <n v="388.96768299999997"/>
    <n v="0"/>
    <n v="860.79714604116759"/>
    <n v="367.38205764547064"/>
  </r>
  <r>
    <s v="Regular"/>
    <x v="2"/>
    <x v="3"/>
    <x v="4"/>
    <x v="1"/>
    <x v="1"/>
    <x v="0"/>
    <x v="1"/>
    <x v="4"/>
    <n v="0"/>
    <n v="0"/>
    <n v="905.87900000000002"/>
    <n v="905.87900000000002"/>
    <n v="905.87900000000002"/>
    <n v="905.87900000000002"/>
    <n v="5048"/>
    <x v="2"/>
    <n v="0"/>
    <n v="0"/>
    <n v="38"/>
    <n v="89"/>
    <n v="0"/>
    <n v="343.17"/>
    <n v="303.54000000000002"/>
    <m/>
    <n v="310.49"/>
    <n v="262.52999999999997"/>
    <n v="0"/>
    <n v="310870.49643"/>
    <n v="274970.51166000002"/>
    <n v="0"/>
    <n v="427376.59205396875"/>
    <n v="260135.7707522258"/>
  </r>
  <r>
    <s v="Sistema de Compensação"/>
    <x v="2"/>
    <x v="3"/>
    <x v="4"/>
    <x v="1"/>
    <x v="1"/>
    <x v="0"/>
    <x v="1"/>
    <x v="4"/>
    <n v="0"/>
    <n v="0"/>
    <n v="8.3460000000000001"/>
    <n v="8.3460000000000001"/>
    <n v="8.3460000000000001"/>
    <n v="8.3460000000000001"/>
    <n v="66"/>
    <x v="2"/>
    <n v="0"/>
    <n v="0"/>
    <n v="38"/>
    <n v="89"/>
    <n v="0"/>
    <n v="343.17"/>
    <n v="303.54000000000002"/>
    <m/>
    <n v="310.49"/>
    <n v="262.52999999999997"/>
    <n v="0"/>
    <n v="2864.0968200000002"/>
    <n v="2533.3448400000002"/>
    <n v="0"/>
    <n v="3937.4850695097502"/>
    <n v="2396.670132212002"/>
  </r>
  <r>
    <s v="Regular"/>
    <x v="2"/>
    <x v="3"/>
    <x v="4"/>
    <x v="1"/>
    <x v="1"/>
    <x v="0"/>
    <x v="1"/>
    <x v="5"/>
    <n v="0"/>
    <n v="0"/>
    <n v="965.36699999999996"/>
    <n v="965.36699999999996"/>
    <n v="965.36699999999996"/>
    <n v="965.36699999999996"/>
    <n v="5063"/>
    <x v="2"/>
    <n v="0"/>
    <n v="0"/>
    <n v="38"/>
    <n v="89"/>
    <n v="0"/>
    <n v="343.17"/>
    <n v="303.54000000000002"/>
    <m/>
    <n v="310.49"/>
    <n v="262.52999999999997"/>
    <n v="0"/>
    <n v="331284.99339000002"/>
    <n v="293027.49917999998"/>
    <n v="0"/>
    <n v="455441.90619427495"/>
    <n v="277218.57842356863"/>
  </r>
  <r>
    <s v="Sistema de Compensação"/>
    <x v="2"/>
    <x v="3"/>
    <x v="4"/>
    <x v="1"/>
    <x v="1"/>
    <x v="0"/>
    <x v="1"/>
    <x v="5"/>
    <n v="0"/>
    <n v="0"/>
    <n v="8.8989999999999991"/>
    <n v="8.8989999999999991"/>
    <n v="8.8989999999999991"/>
    <n v="8.8989999999999991"/>
    <n v="70"/>
    <x v="2"/>
    <n v="0"/>
    <n v="0"/>
    <n v="38"/>
    <n v="89"/>
    <n v="0"/>
    <n v="343.17"/>
    <n v="303.54000000000002"/>
    <m/>
    <n v="310.49"/>
    <n v="262.52999999999997"/>
    <n v="0"/>
    <n v="3053.8698299999996"/>
    <n v="2701.20246"/>
    <n v="0"/>
    <n v="4198.3800184001038"/>
    <n v="2555.4717836753662"/>
  </r>
  <r>
    <s v="Regular"/>
    <x v="2"/>
    <x v="3"/>
    <x v="4"/>
    <x v="1"/>
    <x v="1"/>
    <x v="0"/>
    <x v="1"/>
    <x v="6"/>
    <n v="0"/>
    <n v="0"/>
    <n v="857.79"/>
    <n v="857.79"/>
    <n v="857.79"/>
    <n v="857.79"/>
    <n v="5084"/>
    <x v="2"/>
    <n v="0"/>
    <n v="0"/>
    <n v="38"/>
    <n v="89"/>
    <n v="0"/>
    <n v="343.17"/>
    <n v="303.54000000000002"/>
    <m/>
    <n v="310.49"/>
    <n v="262.52999999999997"/>
    <n v="0"/>
    <n v="294367.79430000001"/>
    <n v="260373.5766"/>
    <n v="0"/>
    <n v="404689.11068473145"/>
    <n v="246326.34468130043"/>
  </r>
  <r>
    <s v="Sistema de Compensação"/>
    <x v="2"/>
    <x v="3"/>
    <x v="4"/>
    <x v="1"/>
    <x v="1"/>
    <x v="0"/>
    <x v="1"/>
    <x v="6"/>
    <n v="0"/>
    <n v="0"/>
    <n v="7.76"/>
    <n v="7.76"/>
    <n v="7.76"/>
    <n v="7.76"/>
    <n v="71"/>
    <x v="2"/>
    <n v="0"/>
    <n v="0"/>
    <n v="38"/>
    <n v="89"/>
    <n v="0"/>
    <n v="343.17"/>
    <n v="303.54000000000002"/>
    <m/>
    <n v="310.49"/>
    <n v="262.52999999999997"/>
    <n v="0"/>
    <n v="2662.9992000000002"/>
    <n v="2355.4704000000002"/>
    <n v="0"/>
    <n v="3661.0213442841673"/>
    <n v="2228.3920711676415"/>
  </r>
  <r>
    <s v="Regular"/>
    <x v="2"/>
    <x v="3"/>
    <x v="4"/>
    <x v="1"/>
    <x v="1"/>
    <x v="0"/>
    <x v="1"/>
    <x v="7"/>
    <n v="0"/>
    <n v="0"/>
    <n v="850.14300000000003"/>
    <n v="850.14300000000003"/>
    <n v="850.14300000000003"/>
    <n v="850.14300000000003"/>
    <n v="5097"/>
    <x v="2"/>
    <n v="0"/>
    <n v="0"/>
    <n v="38"/>
    <n v="89"/>
    <n v="0"/>
    <n v="343.17"/>
    <n v="303.54000000000002"/>
    <m/>
    <n v="310.49"/>
    <n v="262.52999999999997"/>
    <n v="0"/>
    <n v="291743.57331000001"/>
    <n v="258052.40622000003"/>
    <n v="0"/>
    <n v="401081.4006048679"/>
    <n v="244130.40213384954"/>
  </r>
  <r>
    <s v="Sistema de Compensação"/>
    <x v="2"/>
    <x v="3"/>
    <x v="4"/>
    <x v="1"/>
    <x v="1"/>
    <x v="0"/>
    <x v="1"/>
    <x v="7"/>
    <n v="0"/>
    <n v="0"/>
    <n v="6.6920000000000002"/>
    <n v="6.6920000000000002"/>
    <n v="6.6920000000000002"/>
    <n v="6.6920000000000002"/>
    <n v="72"/>
    <x v="2"/>
    <n v="0"/>
    <n v="0"/>
    <n v="38"/>
    <n v="89"/>
    <n v="0"/>
    <n v="343.17"/>
    <n v="303.54000000000002"/>
    <m/>
    <n v="310.49"/>
    <n v="262.52999999999997"/>
    <n v="0"/>
    <n v="2296.4936400000001"/>
    <n v="2031.2896800000001"/>
    <n v="0"/>
    <n v="3157.1591283440271"/>
    <n v="1921.7009974553941"/>
  </r>
  <r>
    <s v="Regular"/>
    <x v="2"/>
    <x v="3"/>
    <x v="4"/>
    <x v="1"/>
    <x v="1"/>
    <x v="0"/>
    <x v="1"/>
    <x v="8"/>
    <n v="0"/>
    <n v="0"/>
    <n v="960.702"/>
    <n v="960.702"/>
    <n v="960.702"/>
    <n v="960.702"/>
    <n v="5105"/>
    <x v="2"/>
    <n v="0"/>
    <n v="0"/>
    <n v="38"/>
    <n v="89"/>
    <n v="0"/>
    <n v="343.17"/>
    <n v="303.54000000000002"/>
    <m/>
    <n v="310.49"/>
    <n v="262.52999999999997"/>
    <n v="0"/>
    <n v="329684.10534000001"/>
    <n v="291611.48508000001"/>
    <n v="0"/>
    <n v="453241.04735779489"/>
    <n v="275878.95870552777"/>
  </r>
  <r>
    <s v="Sistema de Compensação"/>
    <x v="2"/>
    <x v="3"/>
    <x v="4"/>
    <x v="1"/>
    <x v="1"/>
    <x v="0"/>
    <x v="1"/>
    <x v="8"/>
    <n v="0"/>
    <n v="0"/>
    <n v="7.8049999999999997"/>
    <n v="7.8049999999999997"/>
    <n v="7.8049999999999997"/>
    <n v="7.8049999999999997"/>
    <n v="78"/>
    <x v="2"/>
    <n v="0"/>
    <n v="0"/>
    <n v="38"/>
    <n v="89"/>
    <n v="0"/>
    <n v="343.17"/>
    <n v="303.54000000000002"/>
    <m/>
    <n v="310.49"/>
    <n v="262.52999999999997"/>
    <n v="0"/>
    <n v="2678.4418500000002"/>
    <n v="2369.1297"/>
    <n v="0"/>
    <n v="3682.251493832207"/>
    <n v="2241.3144478690006"/>
  </r>
  <r>
    <s v="Regular"/>
    <x v="2"/>
    <x v="3"/>
    <x v="4"/>
    <x v="1"/>
    <x v="1"/>
    <x v="0"/>
    <x v="1"/>
    <x v="9"/>
    <n v="0"/>
    <n v="0"/>
    <n v="935.45699999999999"/>
    <n v="935.45699999999999"/>
    <n v="935.45699999999999"/>
    <n v="935.45699999999999"/>
    <n v="5108"/>
    <x v="2"/>
    <n v="0"/>
    <n v="0"/>
    <n v="38"/>
    <n v="89"/>
    <n v="0"/>
    <n v="343.17"/>
    <n v="303.54000000000002"/>
    <m/>
    <n v="310.49"/>
    <n v="262.52999999999997"/>
    <n v="0"/>
    <n v="321020.77869000001"/>
    <n v="283948.61778000003"/>
    <n v="0"/>
    <n v="441330.93346134463"/>
    <n v="268629.50537606556"/>
  </r>
  <r>
    <s v="Sistema de Compensação"/>
    <x v="2"/>
    <x v="3"/>
    <x v="4"/>
    <x v="1"/>
    <x v="1"/>
    <x v="0"/>
    <x v="1"/>
    <x v="9"/>
    <n v="0"/>
    <n v="0"/>
    <n v="8.8699999999999992"/>
    <n v="8.8699999999999992"/>
    <n v="8.8699999999999992"/>
    <n v="8.8699999999999992"/>
    <n v="84"/>
    <x v="2"/>
    <n v="0"/>
    <n v="0"/>
    <n v="38"/>
    <n v="89"/>
    <n v="0"/>
    <n v="343.17"/>
    <n v="303.54000000000002"/>
    <m/>
    <n v="310.49"/>
    <n v="262.52999999999997"/>
    <n v="0"/>
    <n v="3043.9178999999999"/>
    <n v="2692.3998000000001"/>
    <n v="0"/>
    <n v="4184.6983664691443"/>
    <n v="2547.1440298011571"/>
  </r>
  <r>
    <s v="Regular"/>
    <x v="2"/>
    <x v="3"/>
    <x v="4"/>
    <x v="1"/>
    <x v="1"/>
    <x v="0"/>
    <x v="1"/>
    <x v="10"/>
    <n v="0"/>
    <n v="0"/>
    <n v="1210.3520000000001"/>
    <n v="1210.3520000000001"/>
    <n v="1210.3520000000001"/>
    <n v="1210.3520000000001"/>
    <n v="5094"/>
    <x v="2"/>
    <n v="0"/>
    <n v="0"/>
    <n v="38"/>
    <n v="89"/>
    <n v="0"/>
    <n v="343.17"/>
    <n v="303.54000000000002"/>
    <m/>
    <n v="310.49"/>
    <n v="262.52999999999997"/>
    <n v="0"/>
    <n v="415356.49584000005"/>
    <n v="367390.24608000007"/>
    <n v="0"/>
    <n v="571021.19923930813"/>
    <n v="347569.43300539919"/>
  </r>
  <r>
    <s v="Sistema de Compensação"/>
    <x v="2"/>
    <x v="3"/>
    <x v="4"/>
    <x v="1"/>
    <x v="1"/>
    <x v="0"/>
    <x v="1"/>
    <x v="10"/>
    <n v="0"/>
    <n v="0"/>
    <n v="12.363"/>
    <n v="12.363"/>
    <n v="12.363"/>
    <n v="12.363"/>
    <n v="85"/>
    <x v="2"/>
    <n v="0"/>
    <n v="0"/>
    <n v="38"/>
    <n v="89"/>
    <n v="0"/>
    <n v="343.17"/>
    <n v="303.54000000000002"/>
    <m/>
    <n v="310.49"/>
    <n v="262.52999999999997"/>
    <n v="0"/>
    <n v="4242.6107099999999"/>
    <n v="3752.6650199999999"/>
    <n v="0"/>
    <n v="5832.6297524980873"/>
    <n v="3550.2076257532931"/>
  </r>
  <r>
    <s v="Regular"/>
    <x v="2"/>
    <x v="3"/>
    <x v="4"/>
    <x v="1"/>
    <x v="1"/>
    <x v="0"/>
    <x v="1"/>
    <x v="11"/>
    <n v="0"/>
    <n v="0"/>
    <n v="1064.2370000000001"/>
    <n v="1064.2370000000001"/>
    <n v="1064.2370000000001"/>
    <n v="1064.2370000000001"/>
    <n v="5065"/>
    <x v="2"/>
    <n v="0"/>
    <n v="0"/>
    <n v="38"/>
    <n v="89"/>
    <n v="0"/>
    <n v="343.17"/>
    <n v="303.54000000000002"/>
    <m/>
    <n v="310.49"/>
    <n v="262.52999999999997"/>
    <n v="0"/>
    <n v="365214.21129000006"/>
    <n v="323038.49898000003"/>
    <n v="0"/>
    <n v="502086.90365682344"/>
    <n v="305610.47585608735"/>
  </r>
  <r>
    <s v="Sistema de Compensação"/>
    <x v="2"/>
    <x v="3"/>
    <x v="4"/>
    <x v="1"/>
    <x v="1"/>
    <x v="0"/>
    <x v="1"/>
    <x v="11"/>
    <n v="0"/>
    <n v="0"/>
    <n v="11.416"/>
    <n v="11.416"/>
    <n v="11.416"/>
    <n v="11.416"/>
    <n v="91"/>
    <x v="2"/>
    <n v="0"/>
    <n v="0"/>
    <n v="38"/>
    <n v="89"/>
    <n v="0"/>
    <n v="343.17"/>
    <n v="303.54000000000002"/>
    <m/>
    <n v="310.49"/>
    <n v="262.52999999999997"/>
    <n v="0"/>
    <n v="3917.6287200000002"/>
    <n v="3465.2126400000002"/>
    <n v="0"/>
    <n v="5385.8530497871207"/>
    <n v="3278.2633871713656"/>
  </r>
  <r>
    <s v="Regular"/>
    <x v="2"/>
    <x v="3"/>
    <x v="4"/>
    <x v="1"/>
    <x v="1"/>
    <x v="0"/>
    <x v="1"/>
    <x v="0"/>
    <n v="0"/>
    <n v="0"/>
    <n v="938.63199999999995"/>
    <n v="938.63199999999995"/>
    <n v="938.63199999999995"/>
    <n v="938.63199999999995"/>
    <n v="5073"/>
    <x v="2"/>
    <n v="0"/>
    <n v="0"/>
    <n v="38"/>
    <n v="89"/>
    <n v="0"/>
    <n v="343.17"/>
    <n v="303.54000000000002"/>
    <m/>
    <n v="310.49"/>
    <n v="262.52999999999997"/>
    <n v="0"/>
    <n v="322110.34344000003"/>
    <n v="284912.35728"/>
    <n v="0"/>
    <n v="442828.83845723409"/>
    <n v="269541.25084332807"/>
  </r>
  <r>
    <s v="Sistema de Compensação"/>
    <x v="2"/>
    <x v="3"/>
    <x v="4"/>
    <x v="1"/>
    <x v="1"/>
    <x v="0"/>
    <x v="1"/>
    <x v="0"/>
    <n v="0"/>
    <n v="0"/>
    <n v="11.135999999999999"/>
    <n v="11.135999999999999"/>
    <n v="11.135999999999999"/>
    <n v="11.135999999999999"/>
    <n v="94"/>
    <x v="2"/>
    <n v="0"/>
    <n v="0"/>
    <n v="38"/>
    <n v="89"/>
    <n v="0"/>
    <n v="343.17"/>
    <n v="303.54000000000002"/>
    <m/>
    <n v="310.49"/>
    <n v="262.52999999999997"/>
    <n v="0"/>
    <n v="3821.5411199999999"/>
    <n v="3380.2214399999998"/>
    <n v="0"/>
    <n v="5253.7543414882066"/>
    <n v="3197.8574876962443"/>
  </r>
  <r>
    <s v="Regular"/>
    <x v="2"/>
    <x v="3"/>
    <x v="4"/>
    <x v="1"/>
    <x v="1"/>
    <x v="0"/>
    <x v="1"/>
    <x v="1"/>
    <n v="0"/>
    <n v="0"/>
    <n v="825.43399999999997"/>
    <n v="825.43399999999997"/>
    <n v="825.43399999999997"/>
    <n v="825.43399999999997"/>
    <n v="5049"/>
    <x v="2"/>
    <n v="0"/>
    <n v="0"/>
    <n v="38"/>
    <n v="89"/>
    <n v="0"/>
    <n v="343.17"/>
    <n v="303.54000000000002"/>
    <m/>
    <n v="310.49"/>
    <n v="262.52999999999997"/>
    <n v="0"/>
    <n v="283264.18578"/>
    <n v="250552.23636000001"/>
    <n v="0"/>
    <n v="389424.16137858987"/>
    <n v="237034.86866909679"/>
  </r>
  <r>
    <s v="Sistema de Compensação"/>
    <x v="2"/>
    <x v="3"/>
    <x v="4"/>
    <x v="1"/>
    <x v="1"/>
    <x v="0"/>
    <x v="1"/>
    <x v="1"/>
    <n v="0"/>
    <n v="0"/>
    <n v="8.3059999999999992"/>
    <n v="8.3059999999999992"/>
    <n v="8.3059999999999992"/>
    <n v="8.3059999999999992"/>
    <n v="100"/>
    <x v="2"/>
    <n v="0"/>
    <n v="0"/>
    <n v="38"/>
    <n v="89"/>
    <n v="0"/>
    <n v="343.17"/>
    <n v="303.54000000000002"/>
    <m/>
    <n v="310.49"/>
    <n v="262.52999999999997"/>
    <n v="0"/>
    <n v="2850.3700199999998"/>
    <n v="2521.2032399999998"/>
    <n v="0"/>
    <n v="3918.6138254670477"/>
    <n v="2385.1835751441276"/>
  </r>
  <r>
    <s v="Regular"/>
    <x v="2"/>
    <x v="3"/>
    <x v="4"/>
    <x v="1"/>
    <x v="1"/>
    <x v="0"/>
    <x v="1"/>
    <x v="2"/>
    <n v="0"/>
    <n v="0"/>
    <n v="939.94399999999996"/>
    <n v="939.94399999999996"/>
    <n v="939.94399999999996"/>
    <n v="939.94399999999996"/>
    <n v="5130"/>
    <x v="2"/>
    <n v="0"/>
    <n v="0"/>
    <n v="38"/>
    <n v="89"/>
    <n v="0"/>
    <n v="343.17"/>
    <n v="303.54000000000002"/>
    <m/>
    <n v="310.49"/>
    <n v="262.52999999999997"/>
    <n v="0"/>
    <n v="322560.58247999998"/>
    <n v="285310.60175999999"/>
    <n v="0"/>
    <n v="443447.81526183471"/>
    <n v="269918.00991515437"/>
  </r>
  <r>
    <s v="Sistema de Compensação"/>
    <x v="2"/>
    <x v="3"/>
    <x v="4"/>
    <x v="1"/>
    <x v="1"/>
    <x v="0"/>
    <x v="1"/>
    <x v="2"/>
    <n v="0"/>
    <n v="0"/>
    <n v="12.606"/>
    <n v="12.606"/>
    <n v="12.606"/>
    <n v="12.606"/>
    <n v="101"/>
    <x v="2"/>
    <n v="0"/>
    <n v="0"/>
    <n v="38"/>
    <n v="89"/>
    <n v="0"/>
    <n v="343.17"/>
    <n v="303.54000000000002"/>
    <m/>
    <n v="310.49"/>
    <n v="262.52999999999997"/>
    <n v="0"/>
    <n v="4326.0010200000006"/>
    <n v="3826.42524"/>
    <n v="0"/>
    <n v="5947.2725600575022"/>
    <n v="3619.98845994063"/>
  </r>
  <r>
    <s v="Regular"/>
    <x v="2"/>
    <x v="3"/>
    <x v="4"/>
    <x v="1"/>
    <x v="1"/>
    <x v="0"/>
    <x v="1"/>
    <x v="3"/>
    <n v="0"/>
    <n v="0"/>
    <n v="954.72799999999995"/>
    <n v="954.72799999999995"/>
    <n v="954.72799999999995"/>
    <n v="954.72799999999995"/>
    <n v="5090"/>
    <x v="2"/>
    <n v="0"/>
    <n v="0"/>
    <n v="38"/>
    <n v="89"/>
    <n v="0"/>
    <n v="343.17"/>
    <n v="303.54000000000002"/>
    <m/>
    <n v="310.49"/>
    <n v="262.52999999999997"/>
    <n v="0"/>
    <n v="327634.00776000001"/>
    <n v="289798.13712000003"/>
    <n v="0"/>
    <n v="450422.62706001732"/>
    <n v="274163.44140744075"/>
  </r>
  <r>
    <s v="Sistema de Compensação"/>
    <x v="2"/>
    <x v="3"/>
    <x v="4"/>
    <x v="1"/>
    <x v="1"/>
    <x v="0"/>
    <x v="1"/>
    <x v="3"/>
    <n v="0"/>
    <n v="0"/>
    <n v="17.584"/>
    <n v="17.584"/>
    <n v="17.584"/>
    <n v="17.584"/>
    <n v="104"/>
    <x v="2"/>
    <n v="0"/>
    <n v="0"/>
    <n v="38"/>
    <n v="89"/>
    <n v="0"/>
    <n v="343.17"/>
    <n v="303.54000000000002"/>
    <m/>
    <n v="310.49"/>
    <n v="262.52999999999997"/>
    <n v="0"/>
    <n v="6034.3012800000006"/>
    <n v="5337.4473600000001"/>
    <n v="0"/>
    <n v="8295.7988811717532"/>
    <n v="5049.490487037604"/>
  </r>
  <r>
    <s v="Regular"/>
    <x v="2"/>
    <x v="3"/>
    <x v="4"/>
    <x v="2"/>
    <x v="1"/>
    <x v="0"/>
    <x v="1"/>
    <x v="4"/>
    <n v="0"/>
    <n v="0"/>
    <n v="8.9700000000000006"/>
    <n v="8.9700000000000006"/>
    <n v="8.9700000000000006"/>
    <n v="8.9700000000000006"/>
    <n v="14"/>
    <x v="2"/>
    <n v="0"/>
    <n v="0"/>
    <n v="41"/>
    <n v="90"/>
    <n v="0"/>
    <n v="94.95"/>
    <n v="106.24"/>
    <m/>
    <n v="65.722999999999999"/>
    <n v="91.885499999999979"/>
    <n v="0"/>
    <n v="851.70150000000012"/>
    <n v="952.97280000000001"/>
    <n v="0"/>
    <n v="1004.1255247458007"/>
    <n v="901.55114786479533"/>
  </r>
  <r>
    <s v="Regular"/>
    <x v="2"/>
    <x v="3"/>
    <x v="4"/>
    <x v="2"/>
    <x v="1"/>
    <x v="0"/>
    <x v="1"/>
    <x v="5"/>
    <n v="0"/>
    <n v="0"/>
    <n v="9.2100000000000009"/>
    <n v="9.2100000000000009"/>
    <n v="9.2100000000000009"/>
    <n v="9.2100000000000009"/>
    <n v="10"/>
    <x v="2"/>
    <n v="0"/>
    <n v="0"/>
    <n v="41"/>
    <n v="90"/>
    <n v="0"/>
    <n v="94.95"/>
    <n v="106.24"/>
    <m/>
    <n v="65.722999999999999"/>
    <n v="91.885499999999979"/>
    <n v="0"/>
    <n v="874.48950000000013"/>
    <n v="978.47040000000004"/>
    <n v="0"/>
    <n v="1030.9917595216079"/>
    <n v="925.67291770733164"/>
  </r>
  <r>
    <s v="Regular"/>
    <x v="2"/>
    <x v="3"/>
    <x v="4"/>
    <x v="2"/>
    <x v="1"/>
    <x v="0"/>
    <x v="1"/>
    <x v="6"/>
    <n v="0"/>
    <n v="0"/>
    <n v="9.09"/>
    <n v="9.09"/>
    <n v="9.09"/>
    <n v="9.09"/>
    <n v="11"/>
    <x v="2"/>
    <n v="0"/>
    <n v="0"/>
    <n v="41"/>
    <n v="90"/>
    <n v="0"/>
    <n v="94.95"/>
    <n v="106.24"/>
    <m/>
    <n v="65.722999999999999"/>
    <n v="91.885499999999979"/>
    <n v="0"/>
    <n v="863.09550000000002"/>
    <n v="965.72159999999997"/>
    <n v="0"/>
    <n v="1017.5586421337042"/>
    <n v="913.61203278606331"/>
  </r>
  <r>
    <s v="Regular"/>
    <x v="2"/>
    <x v="3"/>
    <x v="4"/>
    <x v="2"/>
    <x v="1"/>
    <x v="0"/>
    <x v="1"/>
    <x v="7"/>
    <n v="0"/>
    <n v="0"/>
    <n v="9.27"/>
    <n v="9.27"/>
    <n v="9.27"/>
    <n v="9.27"/>
    <n v="12"/>
    <x v="2"/>
    <n v="0"/>
    <n v="0"/>
    <n v="41"/>
    <n v="90"/>
    <n v="0"/>
    <n v="94.95"/>
    <n v="106.24"/>
    <m/>
    <n v="65.722999999999999"/>
    <n v="91.885499999999979"/>
    <n v="0"/>
    <n v="880.18650000000002"/>
    <n v="984.84479999999996"/>
    <n v="0"/>
    <n v="1037.7083182155598"/>
    <n v="931.70336016796557"/>
  </r>
  <r>
    <s v="Regular"/>
    <x v="2"/>
    <x v="3"/>
    <x v="4"/>
    <x v="2"/>
    <x v="1"/>
    <x v="0"/>
    <x v="1"/>
    <x v="8"/>
    <n v="0"/>
    <n v="0"/>
    <n v="9.48"/>
    <n v="9.48"/>
    <n v="9.48"/>
    <n v="9.48"/>
    <n v="11"/>
    <x v="2"/>
    <n v="0"/>
    <n v="0"/>
    <n v="41"/>
    <n v="90"/>
    <n v="0"/>
    <n v="94.95"/>
    <n v="106.24"/>
    <m/>
    <n v="65.722999999999999"/>
    <n v="91.885499999999979"/>
    <n v="0"/>
    <n v="900.12600000000009"/>
    <n v="1007.1552"/>
    <n v="0"/>
    <n v="1061.2162736443913"/>
    <n v="952.80990878018497"/>
  </r>
  <r>
    <s v="Regular"/>
    <x v="2"/>
    <x v="3"/>
    <x v="4"/>
    <x v="2"/>
    <x v="1"/>
    <x v="0"/>
    <x v="1"/>
    <x v="9"/>
    <n v="0"/>
    <n v="0"/>
    <n v="9.69"/>
    <n v="9.69"/>
    <n v="9.69"/>
    <n v="9.69"/>
    <n v="10"/>
    <x v="2"/>
    <n v="0"/>
    <n v="0"/>
    <n v="41"/>
    <n v="90"/>
    <n v="0"/>
    <n v="94.95"/>
    <n v="106.24"/>
    <m/>
    <n v="65.722999999999999"/>
    <n v="91.885499999999979"/>
    <n v="0"/>
    <n v="920.06549999999993"/>
    <n v="1029.4656"/>
    <n v="0"/>
    <n v="1084.7242290732227"/>
    <n v="973.91645739240414"/>
  </r>
  <r>
    <s v="Regular"/>
    <x v="2"/>
    <x v="3"/>
    <x v="4"/>
    <x v="2"/>
    <x v="1"/>
    <x v="0"/>
    <x v="1"/>
    <x v="10"/>
    <n v="0"/>
    <n v="0"/>
    <n v="10.56"/>
    <n v="10.56"/>
    <n v="10.56"/>
    <n v="10.56"/>
    <n v="9"/>
    <x v="2"/>
    <n v="0"/>
    <n v="0"/>
    <n v="41"/>
    <n v="90"/>
    <n v="0"/>
    <n v="94.95"/>
    <n v="106.24"/>
    <m/>
    <n v="65.722999999999999"/>
    <n v="91.885499999999979"/>
    <n v="0"/>
    <n v="1002.672"/>
    <n v="1121.8943999999999"/>
    <n v="0"/>
    <n v="1182.1143301355246"/>
    <n v="1061.3578730715985"/>
  </r>
  <r>
    <s v="Regular"/>
    <x v="2"/>
    <x v="3"/>
    <x v="4"/>
    <x v="2"/>
    <x v="1"/>
    <x v="0"/>
    <x v="1"/>
    <x v="11"/>
    <n v="0"/>
    <n v="0"/>
    <n v="11.22"/>
    <n v="11.22"/>
    <n v="11.22"/>
    <n v="11.22"/>
    <n v="11"/>
    <x v="2"/>
    <n v="0"/>
    <n v="0"/>
    <n v="41"/>
    <n v="90"/>
    <n v="0"/>
    <n v="94.95"/>
    <n v="106.24"/>
    <m/>
    <n v="65.722999999999999"/>
    <n v="91.885499999999979"/>
    <n v="0"/>
    <n v="1065.3390000000002"/>
    <n v="1192.0128"/>
    <n v="0"/>
    <n v="1255.9964757689947"/>
    <n v="1127.6927401385733"/>
  </r>
  <r>
    <s v="Regular"/>
    <x v="2"/>
    <x v="3"/>
    <x v="4"/>
    <x v="2"/>
    <x v="1"/>
    <x v="0"/>
    <x v="1"/>
    <x v="0"/>
    <n v="0"/>
    <n v="0"/>
    <n v="11.37"/>
    <n v="11.37"/>
    <n v="11.37"/>
    <n v="11.37"/>
    <n v="14"/>
    <x v="2"/>
    <n v="0"/>
    <n v="0"/>
    <n v="41"/>
    <n v="90"/>
    <n v="0"/>
    <n v="94.95"/>
    <n v="106.24"/>
    <m/>
    <n v="65.722999999999999"/>
    <n v="91.885499999999979"/>
    <n v="0"/>
    <n v="1079.5815"/>
    <n v="1207.9487999999999"/>
    <n v="0"/>
    <n v="1272.7878725038743"/>
    <n v="1142.7688462901583"/>
  </r>
  <r>
    <s v="Regular"/>
    <x v="2"/>
    <x v="3"/>
    <x v="4"/>
    <x v="2"/>
    <x v="1"/>
    <x v="0"/>
    <x v="1"/>
    <x v="1"/>
    <n v="0"/>
    <n v="0"/>
    <n v="11.82"/>
    <n v="11.82"/>
    <n v="11.82"/>
    <n v="11.82"/>
    <n v="9"/>
    <x v="2"/>
    <n v="0"/>
    <n v="0"/>
    <n v="41"/>
    <n v="90"/>
    <n v="0"/>
    <n v="94.95"/>
    <n v="106.24"/>
    <m/>
    <n v="65.722999999999999"/>
    <n v="91.885499999999979"/>
    <n v="0"/>
    <n v="1122.309"/>
    <n v="1255.7567999999999"/>
    <n v="0"/>
    <n v="1323.1620627085131"/>
    <n v="1187.997164744914"/>
  </r>
  <r>
    <s v="Regular"/>
    <x v="2"/>
    <x v="3"/>
    <x v="4"/>
    <x v="2"/>
    <x v="1"/>
    <x v="0"/>
    <x v="1"/>
    <x v="2"/>
    <n v="0"/>
    <n v="0"/>
    <n v="9.6300000000000008"/>
    <n v="9.6300000000000008"/>
    <n v="9.6300000000000008"/>
    <n v="9.6300000000000008"/>
    <n v="10"/>
    <x v="2"/>
    <n v="0"/>
    <n v="0"/>
    <n v="41"/>
    <n v="90"/>
    <n v="0"/>
    <n v="94.95"/>
    <n v="106.24"/>
    <m/>
    <n v="65.722999999999999"/>
    <n v="91.885499999999979"/>
    <n v="0"/>
    <n v="914.36850000000015"/>
    <n v="1023.0912000000001"/>
    <n v="0"/>
    <n v="1078.0076703792708"/>
    <n v="967.88601493177021"/>
  </r>
  <r>
    <s v="Regular"/>
    <x v="2"/>
    <x v="3"/>
    <x v="4"/>
    <x v="2"/>
    <x v="1"/>
    <x v="0"/>
    <x v="1"/>
    <x v="3"/>
    <n v="0"/>
    <n v="0"/>
    <n v="10.95"/>
    <n v="10.95"/>
    <n v="10.95"/>
    <n v="10.95"/>
    <n v="17"/>
    <x v="2"/>
    <n v="0"/>
    <n v="0"/>
    <n v="41"/>
    <n v="90"/>
    <n v="0"/>
    <n v="94.95"/>
    <n v="106.24"/>
    <m/>
    <n v="65.722999999999999"/>
    <n v="91.885499999999979"/>
    <n v="0"/>
    <n v="1039.7024999999999"/>
    <n v="1163.328"/>
    <n v="0"/>
    <n v="1225.7719616462114"/>
    <n v="1100.5557490657197"/>
  </r>
  <r>
    <s v="Regular"/>
    <x v="2"/>
    <x v="3"/>
    <x v="4"/>
    <x v="3"/>
    <x v="1"/>
    <x v="0"/>
    <x v="1"/>
    <x v="4"/>
    <n v="0"/>
    <n v="0"/>
    <n v="18.370999999999999"/>
    <n v="18.370999999999999"/>
    <n v="18.370999999999999"/>
    <n v="18.370999999999999"/>
    <n v="56"/>
    <x v="2"/>
    <n v="0"/>
    <n v="0"/>
    <n v="42"/>
    <n v="91"/>
    <n v="0"/>
    <n v="162.77000000000001"/>
    <n v="182.12"/>
    <m/>
    <n v="112.66799999999999"/>
    <n v="157.51799999999997"/>
    <n v="0"/>
    <n v="2990.2476699999997"/>
    <n v="3345.7265199999997"/>
    <n v="0"/>
    <n v="3525.4257076168374"/>
    <n v="3165.2930984088198"/>
  </r>
  <r>
    <s v="Regular"/>
    <x v="2"/>
    <x v="3"/>
    <x v="4"/>
    <x v="3"/>
    <x v="1"/>
    <x v="0"/>
    <x v="1"/>
    <x v="5"/>
    <n v="0"/>
    <n v="0"/>
    <n v="19.5"/>
    <n v="19.5"/>
    <n v="19.5"/>
    <n v="19.5"/>
    <n v="42"/>
    <x v="2"/>
    <n v="0"/>
    <n v="0"/>
    <n v="42"/>
    <n v="91"/>
    <n v="0"/>
    <n v="162.77000000000001"/>
    <n v="182.12"/>
    <m/>
    <n v="112.66799999999999"/>
    <n v="157.51799999999997"/>
    <n v="0"/>
    <n v="3174.0150000000003"/>
    <n v="3551.34"/>
    <n v="0"/>
    <n v="3742.0827009160271"/>
    <n v="3359.8179423532738"/>
  </r>
  <r>
    <s v="Regular"/>
    <x v="2"/>
    <x v="3"/>
    <x v="4"/>
    <x v="3"/>
    <x v="1"/>
    <x v="0"/>
    <x v="1"/>
    <x v="6"/>
    <n v="0"/>
    <n v="0"/>
    <n v="19.084"/>
    <n v="19.084"/>
    <n v="19.084"/>
    <n v="19.084"/>
    <n v="58"/>
    <x v="2"/>
    <n v="0"/>
    <n v="0"/>
    <n v="42"/>
    <n v="91"/>
    <n v="0"/>
    <n v="162.77000000000001"/>
    <n v="182.12"/>
    <m/>
    <n v="112.66799999999999"/>
    <n v="157.51799999999997"/>
    <n v="0"/>
    <n v="3106.3026800000002"/>
    <n v="3475.5780800000002"/>
    <n v="0"/>
    <n v="3662.2516032964854"/>
    <n v="3288.1418262497373"/>
  </r>
  <r>
    <s v="Regular"/>
    <x v="2"/>
    <x v="3"/>
    <x v="4"/>
    <x v="3"/>
    <x v="1"/>
    <x v="0"/>
    <x v="1"/>
    <x v="7"/>
    <n v="0"/>
    <n v="0"/>
    <n v="18.992999999999999"/>
    <n v="18.992999999999999"/>
    <n v="18.992999999999999"/>
    <n v="18.992999999999999"/>
    <n v="67"/>
    <x v="2"/>
    <n v="0"/>
    <n v="0"/>
    <n v="42"/>
    <n v="91"/>
    <n v="0"/>
    <n v="162.77000000000001"/>
    <n v="182.12"/>
    <m/>
    <n v="112.66799999999999"/>
    <n v="157.51799999999997"/>
    <n v="0"/>
    <n v="3091.4906099999998"/>
    <n v="3459.0051599999997"/>
    <n v="0"/>
    <n v="3644.7885506922103"/>
    <n v="3272.4626758520885"/>
  </r>
  <r>
    <s v="Regular"/>
    <x v="2"/>
    <x v="3"/>
    <x v="4"/>
    <x v="3"/>
    <x v="1"/>
    <x v="0"/>
    <x v="1"/>
    <x v="8"/>
    <n v="0"/>
    <n v="0"/>
    <n v="20.306999999999999"/>
    <n v="20.306999999999999"/>
    <n v="20.306999999999999"/>
    <n v="20.306999999999999"/>
    <n v="47"/>
    <x v="2"/>
    <n v="0"/>
    <n v="0"/>
    <n v="42"/>
    <n v="91"/>
    <n v="0"/>
    <n v="162.77000000000001"/>
    <n v="182.12"/>
    <m/>
    <n v="112.66799999999999"/>
    <n v="157.51799999999997"/>
    <n v="0"/>
    <n v="3305.37039"/>
    <n v="3698.3108399999996"/>
    <n v="0"/>
    <n v="3896.9473542308592"/>
    <n v="3498.8627156598936"/>
  </r>
  <r>
    <s v="Regular"/>
    <x v="2"/>
    <x v="3"/>
    <x v="4"/>
    <x v="3"/>
    <x v="1"/>
    <x v="0"/>
    <x v="1"/>
    <x v="9"/>
    <n v="0"/>
    <n v="0"/>
    <n v="20.56"/>
    <n v="20.56"/>
    <n v="20.56"/>
    <n v="20.56"/>
    <n v="54"/>
    <x v="2"/>
    <n v="0"/>
    <n v="0"/>
    <n v="42"/>
    <n v="91"/>
    <n v="0"/>
    <n v="162.77000000000001"/>
    <n v="182.12"/>
    <m/>
    <n v="112.66799999999999"/>
    <n v="157.51799999999997"/>
    <n v="0"/>
    <n v="3346.5511999999999"/>
    <n v="3744.3871999999997"/>
    <n v="0"/>
    <n v="3945.498478504283"/>
    <n v="3542.4541997324773"/>
  </r>
  <r>
    <s v="Regular"/>
    <x v="2"/>
    <x v="3"/>
    <x v="4"/>
    <x v="3"/>
    <x v="1"/>
    <x v="0"/>
    <x v="1"/>
    <x v="10"/>
    <n v="0"/>
    <n v="0"/>
    <n v="23.015999999999998"/>
    <n v="23.015999999999998"/>
    <n v="23.015999999999998"/>
    <n v="23.015999999999998"/>
    <n v="37"/>
    <x v="2"/>
    <n v="0"/>
    <n v="0"/>
    <n v="42"/>
    <n v="91"/>
    <n v="0"/>
    <n v="162.77000000000001"/>
    <n v="182.12"/>
    <m/>
    <n v="112.66799999999999"/>
    <n v="157.51799999999997"/>
    <n v="0"/>
    <n v="3746.31432"/>
    <n v="4191.6739200000002"/>
    <n v="0"/>
    <n v="4416.8089971427316"/>
    <n v="3965.6189621129715"/>
  </r>
  <r>
    <s v="Regular"/>
    <x v="2"/>
    <x v="3"/>
    <x v="4"/>
    <x v="3"/>
    <x v="1"/>
    <x v="0"/>
    <x v="1"/>
    <x v="11"/>
    <n v="0"/>
    <n v="0"/>
    <n v="24"/>
    <n v="24"/>
    <n v="24"/>
    <n v="24"/>
    <n v="55"/>
    <x v="2"/>
    <n v="0"/>
    <n v="0"/>
    <n v="42"/>
    <n v="91"/>
    <n v="0"/>
    <n v="162.77000000000001"/>
    <n v="182.12"/>
    <m/>
    <n v="112.66799999999999"/>
    <n v="157.51799999999997"/>
    <n v="0"/>
    <n v="3906.4800000000005"/>
    <n v="4370.88"/>
    <n v="0"/>
    <n v="4605.6402472812642"/>
    <n v="4135.1605444347988"/>
  </r>
  <r>
    <s v="Regular"/>
    <x v="2"/>
    <x v="3"/>
    <x v="4"/>
    <x v="3"/>
    <x v="1"/>
    <x v="0"/>
    <x v="1"/>
    <x v="0"/>
    <n v="0"/>
    <n v="0"/>
    <n v="23.969000000000001"/>
    <n v="23.969000000000001"/>
    <n v="23.969000000000001"/>
    <n v="23.969000000000001"/>
    <n v="65"/>
    <x v="2"/>
    <n v="0"/>
    <n v="0"/>
    <n v="42"/>
    <n v="91"/>
    <n v="0"/>
    <n v="162.77000000000001"/>
    <n v="182.12"/>
    <m/>
    <n v="112.66799999999999"/>
    <n v="157.51799999999997"/>
    <n v="0"/>
    <n v="3901.4341300000006"/>
    <n v="4365.2342800000006"/>
    <n v="0"/>
    <n v="4599.6912952951925"/>
    <n v="4129.819295398237"/>
  </r>
  <r>
    <s v="Regular"/>
    <x v="2"/>
    <x v="3"/>
    <x v="4"/>
    <x v="3"/>
    <x v="1"/>
    <x v="0"/>
    <x v="1"/>
    <x v="1"/>
    <n v="0"/>
    <n v="0"/>
    <n v="24.436"/>
    <n v="24.436"/>
    <n v="24.436"/>
    <n v="24.436"/>
    <n v="97"/>
    <x v="2"/>
    <n v="0"/>
    <n v="0"/>
    <n v="42"/>
    <n v="91"/>
    <n v="0"/>
    <n v="162.77000000000001"/>
    <n v="182.12"/>
    <m/>
    <n v="112.66799999999999"/>
    <n v="157.51799999999997"/>
    <n v="0"/>
    <n v="3977.4477200000001"/>
    <n v="4450.2843199999998"/>
    <n v="0"/>
    <n v="4689.3093784402072"/>
    <n v="4210.2826276586975"/>
  </r>
  <r>
    <s v="Regular"/>
    <x v="2"/>
    <x v="3"/>
    <x v="4"/>
    <x v="3"/>
    <x v="1"/>
    <x v="0"/>
    <x v="1"/>
    <x v="2"/>
    <n v="0"/>
    <n v="0"/>
    <n v="19.992999999999999"/>
    <n v="19.992999999999999"/>
    <n v="19.992999999999999"/>
    <n v="19.992999999999999"/>
    <n v="64"/>
    <x v="2"/>
    <n v="0"/>
    <n v="0"/>
    <n v="42"/>
    <n v="91"/>
    <n v="0"/>
    <n v="162.77000000000001"/>
    <n v="182.12"/>
    <m/>
    <n v="112.66799999999999"/>
    <n v="157.51799999999997"/>
    <n v="0"/>
    <n v="3254.2606099999998"/>
    <n v="3641.1251600000001"/>
    <n v="0"/>
    <n v="3836.6902276622627"/>
    <n v="3444.761031870205"/>
  </r>
  <r>
    <s v="Regular"/>
    <x v="2"/>
    <x v="3"/>
    <x v="4"/>
    <x v="3"/>
    <x v="1"/>
    <x v="0"/>
    <x v="1"/>
    <x v="3"/>
    <n v="0"/>
    <n v="0"/>
    <n v="22.091000000000001"/>
    <n v="22.091000000000001"/>
    <n v="22.091000000000001"/>
    <n v="22.091000000000001"/>
    <n v="78"/>
    <x v="2"/>
    <n v="0"/>
    <n v="0"/>
    <n v="42"/>
    <n v="91"/>
    <n v="0"/>
    <n v="162.77000000000001"/>
    <n v="182.12"/>
    <m/>
    <n v="112.66799999999999"/>
    <n v="157.51799999999997"/>
    <n v="0"/>
    <n v="3595.7520700000005"/>
    <n v="4023.2129200000004"/>
    <n v="0"/>
    <n v="4239.299945945434"/>
    <n v="3806.2429827962142"/>
  </r>
  <r>
    <s v="Regular"/>
    <x v="2"/>
    <x v="3"/>
    <x v="4"/>
    <x v="4"/>
    <x v="1"/>
    <x v="0"/>
    <x v="1"/>
    <x v="4"/>
    <n v="0"/>
    <n v="0"/>
    <n v="17.896999999999998"/>
    <n v="17.896999999999998"/>
    <n v="17.896999999999998"/>
    <n v="17.896999999999998"/>
    <n v="147"/>
    <x v="2"/>
    <n v="0"/>
    <n v="0"/>
    <n v="45"/>
    <n v="2"/>
    <n v="0"/>
    <n v="244.15"/>
    <n v="273.19"/>
    <m/>
    <n v="169.00200000000001"/>
    <n v="236.27699999999999"/>
    <n v="0"/>
    <n v="4369.5525499999994"/>
    <n v="4889.2814299999991"/>
    <n v="0"/>
    <n v="5151.6964690995483"/>
    <n v="4625.4355164843491"/>
  </r>
  <r>
    <s v="Regular"/>
    <x v="2"/>
    <x v="3"/>
    <x v="4"/>
    <x v="4"/>
    <x v="1"/>
    <x v="0"/>
    <x v="1"/>
    <x v="5"/>
    <n v="0"/>
    <n v="0"/>
    <n v="20.79"/>
    <n v="20.79"/>
    <n v="20.79"/>
    <n v="20.79"/>
    <n v="159"/>
    <x v="2"/>
    <n v="0"/>
    <n v="0"/>
    <n v="45"/>
    <n v="2"/>
    <n v="0"/>
    <n v="244.15"/>
    <n v="273.19"/>
    <m/>
    <n v="169.00200000000001"/>
    <n v="236.27699999999999"/>
    <n v="0"/>
    <n v="5075.8784999999998"/>
    <n v="5679.6201000000001"/>
    <n v="0"/>
    <n v="5984.4537963110924"/>
    <n v="5373.1242324249661"/>
  </r>
  <r>
    <s v="Regular"/>
    <x v="2"/>
    <x v="3"/>
    <x v="4"/>
    <x v="4"/>
    <x v="1"/>
    <x v="0"/>
    <x v="1"/>
    <x v="6"/>
    <n v="0"/>
    <n v="0"/>
    <n v="17.515999999999998"/>
    <n v="17.515999999999998"/>
    <n v="17.515999999999998"/>
    <n v="17.515999999999998"/>
    <n v="170"/>
    <x v="2"/>
    <n v="0"/>
    <n v="0"/>
    <n v="45"/>
    <n v="2"/>
    <n v="0"/>
    <n v="244.15"/>
    <n v="273.19"/>
    <m/>
    <n v="169.00200000000001"/>
    <n v="236.27699999999999"/>
    <n v="0"/>
    <n v="4276.5313999999998"/>
    <n v="4785.1960399999998"/>
    <n v="0"/>
    <n v="5042.024660711164"/>
    <n v="4526.9670060199951"/>
  </r>
  <r>
    <s v="Regular"/>
    <x v="2"/>
    <x v="3"/>
    <x v="4"/>
    <x v="4"/>
    <x v="1"/>
    <x v="0"/>
    <x v="1"/>
    <x v="7"/>
    <n v="0"/>
    <n v="0"/>
    <n v="16.582999999999998"/>
    <n v="16.582999999999998"/>
    <n v="16.582999999999998"/>
    <n v="16.582999999999998"/>
    <n v="170"/>
    <x v="2"/>
    <n v="0"/>
    <n v="0"/>
    <n v="45"/>
    <n v="2"/>
    <n v="0"/>
    <n v="244.15"/>
    <n v="273.19"/>
    <m/>
    <n v="169.00200000000001"/>
    <n v="236.27699999999999"/>
    <n v="0"/>
    <n v="4048.7394499999996"/>
    <n v="4530.3097699999998"/>
    <n v="0"/>
    <n v="4773.4582637915746"/>
    <n v="4285.835456772641"/>
  </r>
  <r>
    <s v="Regular"/>
    <x v="2"/>
    <x v="3"/>
    <x v="4"/>
    <x v="4"/>
    <x v="1"/>
    <x v="0"/>
    <x v="1"/>
    <x v="8"/>
    <n v="0"/>
    <n v="0"/>
    <n v="20.638999999999999"/>
    <n v="20.638999999999999"/>
    <n v="20.638999999999999"/>
    <n v="20.638999999999999"/>
    <n v="161"/>
    <x v="2"/>
    <n v="0"/>
    <n v="0"/>
    <n v="45"/>
    <n v="2"/>
    <n v="0"/>
    <n v="244.15"/>
    <n v="273.19"/>
    <m/>
    <n v="169.00200000000001"/>
    <n v="236.27699999999999"/>
    <n v="0"/>
    <n v="5039.0118499999999"/>
    <n v="5638.36841"/>
    <n v="0"/>
    <n v="5940.9880664773755"/>
    <n v="5334.0986547868633"/>
  </r>
  <r>
    <s v="Regular"/>
    <x v="2"/>
    <x v="3"/>
    <x v="4"/>
    <x v="4"/>
    <x v="1"/>
    <x v="0"/>
    <x v="1"/>
    <x v="9"/>
    <n v="0"/>
    <n v="0"/>
    <n v="19.594000000000001"/>
    <n v="19.594000000000001"/>
    <n v="19.594000000000001"/>
    <n v="19.594000000000001"/>
    <n v="172"/>
    <x v="2"/>
    <n v="0"/>
    <n v="0"/>
    <n v="45"/>
    <n v="2"/>
    <n v="0"/>
    <n v="244.15"/>
    <n v="273.19"/>
    <m/>
    <n v="169.00200000000001"/>
    <n v="236.27699999999999"/>
    <n v="0"/>
    <n v="4783.8751000000002"/>
    <n v="5352.8848600000001"/>
    <n v="0"/>
    <n v="5640.1821878268183"/>
    <n v="5064.0209817284658"/>
  </r>
  <r>
    <s v="Regular"/>
    <x v="2"/>
    <x v="3"/>
    <x v="4"/>
    <x v="4"/>
    <x v="1"/>
    <x v="0"/>
    <x v="1"/>
    <x v="10"/>
    <n v="0"/>
    <n v="0"/>
    <n v="26.75"/>
    <n v="26.75"/>
    <n v="26.75"/>
    <n v="26.75"/>
    <n v="163"/>
    <x v="2"/>
    <n v="0"/>
    <n v="0"/>
    <n v="45"/>
    <n v="2"/>
    <n v="0"/>
    <n v="244.15"/>
    <n v="273.19"/>
    <m/>
    <n v="169.00200000000001"/>
    <n v="236.27699999999999"/>
    <n v="0"/>
    <n v="6531.0124999999998"/>
    <n v="7307.8324999999995"/>
    <n v="0"/>
    <n v="7700.0547884233638"/>
    <n v="6913.4715352269295"/>
  </r>
  <r>
    <s v="Regular"/>
    <x v="2"/>
    <x v="3"/>
    <x v="4"/>
    <x v="4"/>
    <x v="1"/>
    <x v="0"/>
    <x v="1"/>
    <x v="11"/>
    <n v="0"/>
    <n v="0"/>
    <n v="25.718"/>
    <n v="25.718"/>
    <n v="25.718"/>
    <n v="25.718"/>
    <n v="190"/>
    <x v="2"/>
    <n v="0"/>
    <n v="0"/>
    <n v="45"/>
    <n v="2"/>
    <n v="0"/>
    <n v="244.15"/>
    <n v="273.19"/>
    <m/>
    <n v="169.00200000000001"/>
    <n v="236.27699999999999"/>
    <n v="0"/>
    <n v="6279.0497000000005"/>
    <n v="7025.9004199999999"/>
    <n v="0"/>
    <n v="7402.9909924737221"/>
    <n v="6646.7536801108845"/>
  </r>
  <r>
    <s v="Regular"/>
    <x v="2"/>
    <x v="3"/>
    <x v="4"/>
    <x v="4"/>
    <x v="1"/>
    <x v="0"/>
    <x v="1"/>
    <x v="0"/>
    <n v="0"/>
    <n v="0"/>
    <n v="22.731999999999999"/>
    <n v="22.731999999999999"/>
    <n v="22.731999999999999"/>
    <n v="22.731999999999999"/>
    <n v="205"/>
    <x v="2"/>
    <n v="0"/>
    <n v="0"/>
    <n v="45"/>
    <n v="2"/>
    <n v="0"/>
    <n v="244.15"/>
    <n v="273.19"/>
    <m/>
    <n v="169.00200000000001"/>
    <n v="236.27699999999999"/>
    <n v="0"/>
    <n v="5550.0177999999996"/>
    <n v="6210.1550799999995"/>
    <n v="0"/>
    <n v="6543.4633813248556"/>
    <n v="5875.0293435057401"/>
  </r>
  <r>
    <s v="Regular"/>
    <x v="2"/>
    <x v="3"/>
    <x v="4"/>
    <x v="4"/>
    <x v="1"/>
    <x v="0"/>
    <x v="1"/>
    <x v="1"/>
    <n v="0"/>
    <n v="0"/>
    <n v="21.222999999999999"/>
    <n v="21.222999999999999"/>
    <n v="21.222999999999999"/>
    <n v="21.222999999999999"/>
    <n v="212"/>
    <x v="2"/>
    <n v="0"/>
    <n v="0"/>
    <n v="45"/>
    <n v="2"/>
    <n v="0"/>
    <n v="244.15"/>
    <n v="273.19"/>
    <m/>
    <n v="169.00200000000001"/>
    <n v="236.27699999999999"/>
    <n v="0"/>
    <n v="5181.5954499999998"/>
    <n v="5797.9113699999998"/>
    <n v="0"/>
    <n v="6109.0939355031414"/>
    <n v="5485.0320146587328"/>
  </r>
  <r>
    <s v="Regular"/>
    <x v="2"/>
    <x v="3"/>
    <x v="4"/>
    <x v="4"/>
    <x v="1"/>
    <x v="0"/>
    <x v="1"/>
    <x v="2"/>
    <n v="0"/>
    <n v="0"/>
    <n v="18.413"/>
    <n v="18.413"/>
    <n v="18.413"/>
    <n v="18.413"/>
    <n v="178"/>
    <x v="2"/>
    <n v="0"/>
    <n v="0"/>
    <n v="45"/>
    <n v="2"/>
    <n v="0"/>
    <n v="244.15"/>
    <n v="273.19"/>
    <m/>
    <n v="169.00200000000001"/>
    <n v="236.27699999999999"/>
    <n v="0"/>
    <n v="4495.53395"/>
    <n v="5030.2474700000002"/>
    <n v="0"/>
    <n v="5300.22836707437"/>
    <n v="4758.7944440423717"/>
  </r>
  <r>
    <s v="Regular"/>
    <x v="2"/>
    <x v="3"/>
    <x v="4"/>
    <x v="4"/>
    <x v="1"/>
    <x v="0"/>
    <x v="1"/>
    <x v="3"/>
    <n v="0"/>
    <n v="0"/>
    <n v="20.666"/>
    <n v="20.666"/>
    <n v="20.666"/>
    <n v="20.666"/>
    <n v="180"/>
    <x v="2"/>
    <n v="0"/>
    <n v="0"/>
    <n v="45"/>
    <n v="2"/>
    <n v="0"/>
    <n v="244.15"/>
    <n v="273.19"/>
    <m/>
    <n v="169.00200000000001"/>
    <n v="236.27699999999999"/>
    <n v="0"/>
    <n v="5045.6039000000001"/>
    <n v="5645.7445399999997"/>
    <n v="0"/>
    <n v="5948.760084394663"/>
    <n v="5341.0767382055974"/>
  </r>
  <r>
    <s v="Regular"/>
    <x v="2"/>
    <x v="3"/>
    <x v="4"/>
    <x v="5"/>
    <x v="1"/>
    <x v="0"/>
    <x v="1"/>
    <x v="4"/>
    <n v="0"/>
    <n v="0"/>
    <n v="5.9829999999999997"/>
    <n v="5.9829999999999997"/>
    <n v="5.9829999999999997"/>
    <n v="5.9829999999999997"/>
    <n v="82"/>
    <x v="2"/>
    <n v="0"/>
    <n v="0"/>
    <n v="46"/>
    <n v="4"/>
    <n v="0"/>
    <n v="271.27999999999997"/>
    <n v="303.54000000000002"/>
    <m/>
    <n v="187.78"/>
    <n v="262.52999999999997"/>
    <n v="0"/>
    <n v="1623.0682399999998"/>
    <n v="1816.0798199999999"/>
    <n v="0"/>
    <n v="1913.5795555197087"/>
    <n v="1718.1017734273196"/>
  </r>
  <r>
    <s v="Regular"/>
    <x v="2"/>
    <x v="3"/>
    <x v="4"/>
    <x v="5"/>
    <x v="1"/>
    <x v="0"/>
    <x v="1"/>
    <x v="5"/>
    <n v="0"/>
    <n v="0"/>
    <n v="7.6020000000000003"/>
    <n v="7.6020000000000003"/>
    <n v="7.6020000000000003"/>
    <n v="7.6020000000000003"/>
    <n v="96"/>
    <x v="2"/>
    <n v="0"/>
    <n v="0"/>
    <n v="46"/>
    <n v="4"/>
    <n v="0"/>
    <n v="271.27999999999997"/>
    <n v="303.54000000000002"/>
    <m/>
    <n v="187.78"/>
    <n v="262.52999999999997"/>
    <n v="0"/>
    <n v="2062.2705599999999"/>
    <n v="2307.5110800000002"/>
    <n v="0"/>
    <n v="2431.3942472105678"/>
    <n v="2183.0201707495376"/>
  </r>
  <r>
    <s v="Regular"/>
    <x v="2"/>
    <x v="3"/>
    <x v="4"/>
    <x v="5"/>
    <x v="1"/>
    <x v="0"/>
    <x v="1"/>
    <x v="6"/>
    <n v="0"/>
    <n v="0"/>
    <n v="4.5890000000000004"/>
    <n v="4.5890000000000004"/>
    <n v="4.5890000000000004"/>
    <n v="4.5890000000000004"/>
    <n v="64"/>
    <x v="2"/>
    <n v="0"/>
    <n v="0"/>
    <n v="46"/>
    <n v="4"/>
    <n v="0"/>
    <n v="271.27999999999997"/>
    <n v="303.54000000000002"/>
    <m/>
    <n v="187.78"/>
    <n v="262.52999999999997"/>
    <n v="0"/>
    <n v="1244.90392"/>
    <n v="1392.9450600000002"/>
    <n v="0"/>
    <n v="1467.7279926926199"/>
    <n v="1317.7952596118955"/>
  </r>
  <r>
    <s v="Regular"/>
    <x v="2"/>
    <x v="3"/>
    <x v="4"/>
    <x v="5"/>
    <x v="1"/>
    <x v="0"/>
    <x v="1"/>
    <x v="7"/>
    <n v="0"/>
    <n v="0"/>
    <n v="3.7509999999999999"/>
    <n v="3.7509999999999999"/>
    <n v="3.7509999999999999"/>
    <n v="3.7509999999999999"/>
    <n v="60"/>
    <x v="2"/>
    <n v="0"/>
    <n v="0"/>
    <n v="46"/>
    <n v="4"/>
    <n v="0"/>
    <n v="271.27999999999997"/>
    <n v="303.54000000000002"/>
    <m/>
    <n v="187.78"/>
    <n v="262.52999999999997"/>
    <n v="0"/>
    <n v="1017.5712799999999"/>
    <n v="1138.57854"/>
    <n v="0"/>
    <n v="1199.7053171911127"/>
    <n v="1077.1518890399257"/>
  </r>
  <r>
    <s v="Regular"/>
    <x v="2"/>
    <x v="3"/>
    <x v="4"/>
    <x v="5"/>
    <x v="1"/>
    <x v="0"/>
    <x v="1"/>
    <x v="8"/>
    <n v="0"/>
    <n v="0"/>
    <n v="7.5640000000000001"/>
    <n v="7.5640000000000001"/>
    <n v="7.5640000000000001"/>
    <n v="7.5640000000000001"/>
    <n v="97"/>
    <x v="2"/>
    <n v="0"/>
    <n v="0"/>
    <n v="46"/>
    <n v="4"/>
    <n v="0"/>
    <n v="271.27999999999997"/>
    <n v="303.54000000000002"/>
    <m/>
    <n v="187.78"/>
    <n v="262.52999999999997"/>
    <n v="0"/>
    <n v="2051.9619199999997"/>
    <n v="2295.9765600000001"/>
    <n v="0"/>
    <n v="2419.2404743357974"/>
    <n v="2172.1079415350569"/>
  </r>
  <r>
    <s v="Regular"/>
    <x v="2"/>
    <x v="3"/>
    <x v="4"/>
    <x v="5"/>
    <x v="1"/>
    <x v="0"/>
    <x v="1"/>
    <x v="9"/>
    <n v="0"/>
    <n v="0"/>
    <n v="6.6920000000000002"/>
    <n v="6.6920000000000002"/>
    <n v="6.6920000000000002"/>
    <n v="6.6920000000000002"/>
    <n v="87"/>
    <x v="2"/>
    <n v="0"/>
    <n v="0"/>
    <n v="46"/>
    <n v="4"/>
    <n v="0"/>
    <n v="271.27999999999997"/>
    <n v="303.54000000000002"/>
    <m/>
    <n v="187.78"/>
    <n v="262.52999999999997"/>
    <n v="0"/>
    <n v="1815.4057599999999"/>
    <n v="2031.2896800000001"/>
    <n v="0"/>
    <n v="2140.3433704726544"/>
    <n v="1921.7009974553941"/>
  </r>
  <r>
    <s v="Regular"/>
    <x v="2"/>
    <x v="3"/>
    <x v="4"/>
    <x v="5"/>
    <x v="1"/>
    <x v="0"/>
    <x v="1"/>
    <x v="10"/>
    <n v="0"/>
    <n v="0"/>
    <n v="15.93"/>
    <n v="15.93"/>
    <n v="15.93"/>
    <n v="15.93"/>
    <n v="143"/>
    <x v="2"/>
    <n v="0"/>
    <n v="0"/>
    <n v="46"/>
    <n v="4"/>
    <n v="0"/>
    <n v="271.27999999999997"/>
    <n v="303.54000000000002"/>
    <m/>
    <n v="187.78"/>
    <n v="262.52999999999997"/>
    <n v="0"/>
    <n v="4321.4903999999997"/>
    <n v="4835.3922000000002"/>
    <n v="0"/>
    <n v="5094.9895235548984"/>
    <n v="4574.5213522809963"/>
  </r>
  <r>
    <s v="Regular"/>
    <x v="2"/>
    <x v="3"/>
    <x v="4"/>
    <x v="5"/>
    <x v="1"/>
    <x v="0"/>
    <x v="1"/>
    <x v="11"/>
    <n v="0"/>
    <n v="0"/>
    <n v="12.44"/>
    <n v="12.44"/>
    <n v="12.44"/>
    <n v="12.44"/>
    <n v="118"/>
    <x v="2"/>
    <n v="0"/>
    <n v="0"/>
    <n v="46"/>
    <n v="4"/>
    <n v="0"/>
    <n v="271.27999999999997"/>
    <n v="303.54000000000002"/>
    <m/>
    <n v="187.78"/>
    <n v="262.52999999999997"/>
    <n v="0"/>
    <n v="3374.7231999999995"/>
    <n v="3776.0376000000001"/>
    <n v="0"/>
    <n v="3978.761435845759"/>
    <n v="3572.3192481089513"/>
  </r>
  <r>
    <s v="Regular"/>
    <x v="2"/>
    <x v="3"/>
    <x v="4"/>
    <x v="5"/>
    <x v="1"/>
    <x v="0"/>
    <x v="1"/>
    <x v="0"/>
    <n v="0"/>
    <n v="0"/>
    <n v="7.141"/>
    <n v="7.141"/>
    <n v="7.141"/>
    <n v="7.141"/>
    <n v="95"/>
    <x v="2"/>
    <n v="0"/>
    <n v="0"/>
    <n v="46"/>
    <n v="4"/>
    <n v="0"/>
    <n v="271.27999999999997"/>
    <n v="303.54000000000002"/>
    <m/>
    <n v="187.78"/>
    <n v="262.52999999999997"/>
    <n v="0"/>
    <n v="1937.2104799999997"/>
    <n v="2167.5791400000003"/>
    <n v="0"/>
    <n v="2283.9497920719105"/>
    <n v="2050.6376005422849"/>
  </r>
  <r>
    <s v="Regular"/>
    <x v="2"/>
    <x v="3"/>
    <x v="4"/>
    <x v="5"/>
    <x v="1"/>
    <x v="0"/>
    <x v="1"/>
    <x v="1"/>
    <n v="0"/>
    <n v="0"/>
    <n v="5.4130000000000003"/>
    <n v="5.4130000000000003"/>
    <n v="5.4130000000000003"/>
    <n v="5.4130000000000003"/>
    <n v="76"/>
    <x v="2"/>
    <n v="0"/>
    <n v="0"/>
    <n v="46"/>
    <n v="4"/>
    <n v="0"/>
    <n v="271.27999999999997"/>
    <n v="303.54000000000002"/>
    <m/>
    <n v="187.78"/>
    <n v="262.52999999999997"/>
    <n v="0"/>
    <n v="1468.4386399999999"/>
    <n v="1643.0620200000001"/>
    <n v="0"/>
    <n v="1731.2729623981588"/>
    <n v="1554.4183352101088"/>
  </r>
  <r>
    <s v="Regular"/>
    <x v="2"/>
    <x v="3"/>
    <x v="4"/>
    <x v="5"/>
    <x v="1"/>
    <x v="0"/>
    <x v="1"/>
    <x v="2"/>
    <n v="0"/>
    <n v="0"/>
    <n v="6.1180000000000003"/>
    <n v="6.1180000000000003"/>
    <n v="6.1180000000000003"/>
    <n v="6.1180000000000003"/>
    <n v="69"/>
    <x v="2"/>
    <n v="0"/>
    <n v="0"/>
    <n v="46"/>
    <n v="4"/>
    <n v="0"/>
    <n v="271.27999999999997"/>
    <n v="303.54000000000002"/>
    <m/>
    <n v="187.78"/>
    <n v="262.52999999999997"/>
    <n v="0"/>
    <n v="1659.6910399999999"/>
    <n v="1857.0577200000002"/>
    <n v="0"/>
    <n v="1956.7574328379708"/>
    <n v="1756.868903531396"/>
  </r>
  <r>
    <s v="Regular"/>
    <x v="2"/>
    <x v="3"/>
    <x v="4"/>
    <x v="5"/>
    <x v="1"/>
    <x v="0"/>
    <x v="1"/>
    <x v="3"/>
    <n v="0"/>
    <n v="0"/>
    <n v="8.77"/>
    <n v="8.77"/>
    <n v="8.77"/>
    <n v="8.77"/>
    <n v="90"/>
    <x v="2"/>
    <n v="0"/>
    <n v="0"/>
    <n v="46"/>
    <n v="4"/>
    <n v="0"/>
    <n v="271.27999999999997"/>
    <n v="303.54000000000002"/>
    <m/>
    <n v="187.78"/>
    <n v="262.52999999999997"/>
    <n v="0"/>
    <n v="2379.1255999999998"/>
    <n v="2662.0457999999999"/>
    <n v="0"/>
    <n v="2804.9628450456034"/>
    <n v="2518.4276371314713"/>
  </r>
  <r>
    <s v="Regular"/>
    <x v="3"/>
    <x v="3"/>
    <x v="5"/>
    <x v="6"/>
    <x v="2"/>
    <x v="0"/>
    <x v="1"/>
    <x v="4"/>
    <n v="0"/>
    <n v="0"/>
    <n v="0.1"/>
    <n v="0.1"/>
    <n v="0.1"/>
    <n v="0.1"/>
    <n v="0"/>
    <x v="2"/>
    <n v="0"/>
    <n v="0"/>
    <n v="62"/>
    <n v="23"/>
    <n v="0"/>
    <n v="301.99"/>
    <n v="267.11"/>
    <m/>
    <n v="291.86059999999998"/>
    <n v="246.77819999999997"/>
    <n v="0"/>
    <n v="30.199000000000002"/>
    <n v="26.711000000000002"/>
    <n v="0"/>
    <n v="44.34742350034945"/>
    <n v="26.993409109504938"/>
  </r>
  <r>
    <s v="Regular"/>
    <x v="3"/>
    <x v="3"/>
    <x v="5"/>
    <x v="6"/>
    <x v="2"/>
    <x v="0"/>
    <x v="1"/>
    <x v="5"/>
    <n v="0"/>
    <n v="0"/>
    <n v="0.1"/>
    <n v="0.1"/>
    <n v="0.1"/>
    <n v="0.1"/>
    <n v="0"/>
    <x v="2"/>
    <n v="0"/>
    <n v="0"/>
    <n v="62"/>
    <n v="23"/>
    <n v="0"/>
    <n v="301.99"/>
    <n v="267.11"/>
    <m/>
    <n v="291.86059999999998"/>
    <n v="246.77819999999997"/>
    <n v="0"/>
    <n v="30.199000000000002"/>
    <n v="26.711000000000002"/>
    <n v="0"/>
    <n v="44.34742350034945"/>
    <n v="26.993409109504938"/>
  </r>
  <r>
    <s v="Regular"/>
    <x v="3"/>
    <x v="3"/>
    <x v="5"/>
    <x v="6"/>
    <x v="2"/>
    <x v="0"/>
    <x v="1"/>
    <x v="6"/>
    <n v="0"/>
    <n v="0"/>
    <n v="0.221"/>
    <n v="0.221"/>
    <n v="0.221"/>
    <n v="0.221"/>
    <n v="0"/>
    <x v="2"/>
    <n v="0"/>
    <n v="0"/>
    <n v="62"/>
    <n v="23"/>
    <n v="0"/>
    <n v="301.99"/>
    <n v="267.11"/>
    <m/>
    <n v="291.86059999999998"/>
    <n v="246.77819999999997"/>
    <n v="0"/>
    <n v="66.739789999999999"/>
    <n v="59.031310000000005"/>
    <n v="0"/>
    <n v="98.007805935772282"/>
    <n v="59.655434132005915"/>
  </r>
  <r>
    <s v="Regular"/>
    <x v="3"/>
    <x v="3"/>
    <x v="5"/>
    <x v="6"/>
    <x v="2"/>
    <x v="0"/>
    <x v="1"/>
    <x v="7"/>
    <n v="0"/>
    <n v="0"/>
    <n v="0.16200000000000001"/>
    <n v="0.16200000000000001"/>
    <n v="0.16200000000000001"/>
    <n v="0.16200000000000001"/>
    <n v="0"/>
    <x v="2"/>
    <n v="0"/>
    <n v="0"/>
    <n v="62"/>
    <n v="23"/>
    <n v="0"/>
    <n v="301.99"/>
    <n v="267.11"/>
    <m/>
    <n v="291.86059999999998"/>
    <n v="246.77819999999997"/>
    <n v="0"/>
    <n v="48.922380000000004"/>
    <n v="43.271820000000005"/>
    <n v="0"/>
    <n v="71.842826070566105"/>
    <n v="43.729322757398002"/>
  </r>
  <r>
    <s v="Regular"/>
    <x v="3"/>
    <x v="3"/>
    <x v="5"/>
    <x v="6"/>
    <x v="2"/>
    <x v="0"/>
    <x v="1"/>
    <x v="8"/>
    <n v="0"/>
    <n v="0"/>
    <n v="0.20599999999999999"/>
    <n v="0.20599999999999999"/>
    <n v="0.20599999999999999"/>
    <n v="0.20599999999999999"/>
    <n v="0"/>
    <x v="2"/>
    <n v="0"/>
    <n v="0"/>
    <n v="62"/>
    <n v="23"/>
    <n v="0"/>
    <n v="301.99"/>
    <n v="267.11"/>
    <m/>
    <n v="291.86059999999998"/>
    <n v="246.77819999999997"/>
    <n v="0"/>
    <n v="62.209939999999996"/>
    <n v="55.024659999999997"/>
    <n v="0"/>
    <n v="91.355692410719854"/>
    <n v="55.60642276558017"/>
  </r>
  <r>
    <s v="Regular"/>
    <x v="3"/>
    <x v="3"/>
    <x v="5"/>
    <x v="6"/>
    <x v="2"/>
    <x v="0"/>
    <x v="1"/>
    <x v="9"/>
    <n v="0"/>
    <n v="0"/>
    <n v="0.1"/>
    <n v="0.1"/>
    <n v="0.1"/>
    <n v="0.1"/>
    <n v="0"/>
    <x v="2"/>
    <n v="0"/>
    <n v="0"/>
    <n v="62"/>
    <n v="23"/>
    <n v="0"/>
    <n v="301.99"/>
    <n v="267.11"/>
    <m/>
    <n v="291.86059999999998"/>
    <n v="246.77819999999997"/>
    <n v="0"/>
    <n v="30.199000000000002"/>
    <n v="26.711000000000002"/>
    <n v="0"/>
    <n v="44.34742350034945"/>
    <n v="26.993409109504938"/>
  </r>
  <r>
    <s v="Regular"/>
    <x v="3"/>
    <x v="3"/>
    <x v="5"/>
    <x v="6"/>
    <x v="2"/>
    <x v="0"/>
    <x v="1"/>
    <x v="10"/>
    <n v="0"/>
    <n v="0"/>
    <n v="0.5"/>
    <n v="0.5"/>
    <n v="0.5"/>
    <n v="0.5"/>
    <n v="0"/>
    <x v="2"/>
    <n v="0"/>
    <n v="0"/>
    <n v="62"/>
    <n v="23"/>
    <n v="0"/>
    <n v="301.99"/>
    <n v="267.11"/>
    <m/>
    <n v="291.86059999999998"/>
    <n v="246.77819999999997"/>
    <n v="0"/>
    <n v="150.995"/>
    <n v="133.55500000000001"/>
    <n v="0"/>
    <n v="221.73711750174724"/>
    <n v="134.96704554752469"/>
  </r>
  <r>
    <s v="Regular"/>
    <x v="3"/>
    <x v="3"/>
    <x v="5"/>
    <x v="6"/>
    <x v="2"/>
    <x v="0"/>
    <x v="1"/>
    <x v="11"/>
    <n v="0"/>
    <n v="0"/>
    <n v="0.313"/>
    <n v="0.313"/>
    <n v="0.313"/>
    <n v="0.313"/>
    <n v="0"/>
    <x v="2"/>
    <n v="0"/>
    <n v="0"/>
    <n v="62"/>
    <n v="23"/>
    <n v="0"/>
    <n v="301.99"/>
    <n v="267.11"/>
    <m/>
    <n v="291.86059999999998"/>
    <n v="246.77819999999997"/>
    <n v="0"/>
    <n v="94.522869999999998"/>
    <n v="83.605429999999998"/>
    <n v="0"/>
    <n v="138.80743555609376"/>
    <n v="84.489370512750455"/>
  </r>
  <r>
    <s v="Regular"/>
    <x v="3"/>
    <x v="3"/>
    <x v="5"/>
    <x v="6"/>
    <x v="2"/>
    <x v="0"/>
    <x v="1"/>
    <x v="0"/>
    <n v="0"/>
    <n v="0"/>
    <n v="0.24299999999999999"/>
    <n v="0.24299999999999999"/>
    <n v="0.24299999999999999"/>
    <n v="0.24299999999999999"/>
    <n v="0"/>
    <x v="2"/>
    <n v="0"/>
    <n v="0"/>
    <n v="62"/>
    <n v="23"/>
    <n v="0"/>
    <n v="301.99"/>
    <n v="267.11"/>
    <m/>
    <n v="291.86059999999998"/>
    <n v="246.77819999999997"/>
    <n v="0"/>
    <n v="73.383570000000006"/>
    <n v="64.907730000000001"/>
    <n v="0"/>
    <n v="107.76423910584916"/>
    <n v="65.593984136096992"/>
  </r>
  <r>
    <s v="Regular"/>
    <x v="3"/>
    <x v="3"/>
    <x v="5"/>
    <x v="6"/>
    <x v="2"/>
    <x v="0"/>
    <x v="1"/>
    <x v="1"/>
    <n v="0"/>
    <n v="0"/>
    <n v="0.309"/>
    <n v="0.309"/>
    <n v="0.309"/>
    <n v="0.309"/>
    <n v="0"/>
    <x v="2"/>
    <n v="0"/>
    <n v="0"/>
    <n v="62"/>
    <n v="23"/>
    <n v="0"/>
    <n v="301.99"/>
    <n v="267.11"/>
    <m/>
    <n v="291.86059999999998"/>
    <n v="246.77819999999997"/>
    <n v="0"/>
    <n v="93.314909999999998"/>
    <n v="82.536990000000003"/>
    <n v="0"/>
    <n v="137.0335386160798"/>
    <n v="83.409634148370259"/>
  </r>
  <r>
    <s v="Regular"/>
    <x v="3"/>
    <x v="3"/>
    <x v="5"/>
    <x v="6"/>
    <x v="2"/>
    <x v="0"/>
    <x v="1"/>
    <x v="2"/>
    <n v="0"/>
    <n v="0"/>
    <n v="0.2"/>
    <n v="0.2"/>
    <n v="0.2"/>
    <n v="0.2"/>
    <n v="0"/>
    <x v="2"/>
    <n v="0"/>
    <n v="0"/>
    <n v="62"/>
    <n v="23"/>
    <n v="0"/>
    <n v="301.99"/>
    <n v="267.11"/>
    <m/>
    <n v="291.86059999999998"/>
    <n v="246.77819999999997"/>
    <n v="0"/>
    <n v="60.398000000000003"/>
    <n v="53.422000000000004"/>
    <n v="0"/>
    <n v="88.6948470006989"/>
    <n v="53.986818219009876"/>
  </r>
  <r>
    <s v="Regular"/>
    <x v="3"/>
    <x v="3"/>
    <x v="5"/>
    <x v="6"/>
    <x v="2"/>
    <x v="0"/>
    <x v="1"/>
    <x v="3"/>
    <n v="0"/>
    <n v="0"/>
    <n v="0.22500000000000001"/>
    <n v="0.22500000000000001"/>
    <n v="0.22500000000000001"/>
    <n v="0.22500000000000001"/>
    <n v="0"/>
    <x v="2"/>
    <n v="0"/>
    <n v="0"/>
    <n v="62"/>
    <n v="23"/>
    <n v="0"/>
    <n v="301.99"/>
    <n v="267.11"/>
    <m/>
    <n v="291.86059999999998"/>
    <n v="246.77819999999997"/>
    <n v="0"/>
    <n v="67.947749999999999"/>
    <n v="60.099750000000007"/>
    <n v="0"/>
    <n v="99.781702875786252"/>
    <n v="60.735170496386111"/>
  </r>
  <r>
    <s v="Regular"/>
    <x v="3"/>
    <x v="3"/>
    <x v="5"/>
    <x v="6"/>
    <x v="3"/>
    <x v="0"/>
    <x v="1"/>
    <x v="7"/>
    <n v="0"/>
    <n v="0"/>
    <n v="1.9E-2"/>
    <n v="7.6E-3"/>
    <n v="1.9E-2"/>
    <n v="7.6E-3"/>
    <n v="0"/>
    <x v="2"/>
    <n v="0"/>
    <n v="0"/>
    <n v="62"/>
    <n v="23"/>
    <n v="0"/>
    <n v="301.99"/>
    <n v="267.11"/>
    <m/>
    <n v="291.86059999999998"/>
    <n v="246.77819999999997"/>
    <n v="0"/>
    <n v="2.2951239999999999"/>
    <n v="2.030036"/>
    <n v="0"/>
    <n v="3.3704041860265579"/>
    <n v="2.0514990923223753"/>
  </r>
  <r>
    <s v="Regular"/>
    <x v="3"/>
    <x v="3"/>
    <x v="5"/>
    <x v="6"/>
    <x v="3"/>
    <x v="0"/>
    <x v="1"/>
    <x v="11"/>
    <n v="0"/>
    <n v="0"/>
    <n v="0.93799999999999994"/>
    <n v="0.37519999999999998"/>
    <n v="0.93799999999999994"/>
    <n v="0.37519999999999998"/>
    <n v="0"/>
    <x v="2"/>
    <n v="0"/>
    <n v="0"/>
    <n v="62"/>
    <n v="23"/>
    <n v="0"/>
    <n v="301.99"/>
    <n v="267.11"/>
    <m/>
    <n v="291.86059999999998"/>
    <n v="246.77819999999997"/>
    <n v="0"/>
    <n v="113.306648"/>
    <n v="100.219672"/>
    <n v="0"/>
    <n v="166.39153297331112"/>
    <n v="101.27927097886253"/>
  </r>
  <r>
    <s v="Regular"/>
    <x v="3"/>
    <x v="3"/>
    <x v="5"/>
    <x v="6"/>
    <x v="3"/>
    <x v="0"/>
    <x v="1"/>
    <x v="0"/>
    <n v="0"/>
    <n v="0"/>
    <n v="0.309"/>
    <n v="0.1236"/>
    <n v="0.309"/>
    <n v="0.1236"/>
    <n v="0"/>
    <x v="2"/>
    <n v="0"/>
    <n v="0"/>
    <n v="62"/>
    <n v="23"/>
    <n v="0"/>
    <n v="301.99"/>
    <n v="267.11"/>
    <m/>
    <n v="291.86059999999998"/>
    <n v="246.77819999999997"/>
    <n v="0"/>
    <n v="37.325963999999999"/>
    <n v="33.014796000000004"/>
    <n v="0"/>
    <n v="54.813415446431918"/>
    <n v="33.363853659348102"/>
  </r>
  <r>
    <s v="Regular"/>
    <x v="3"/>
    <x v="3"/>
    <x v="5"/>
    <x v="7"/>
    <x v="2"/>
    <x v="0"/>
    <x v="1"/>
    <x v="4"/>
    <n v="0"/>
    <n v="0"/>
    <n v="0.96799999999999997"/>
    <n v="0.96799999999999997"/>
    <n v="0.96799999999999997"/>
    <n v="0.96799999999999997"/>
    <n v="0"/>
    <x v="2"/>
    <n v="0"/>
    <n v="0"/>
    <n v="62"/>
    <n v="23"/>
    <n v="0"/>
    <n v="301.99"/>
    <n v="267.11"/>
    <m/>
    <n v="291.86059999999998"/>
    <n v="246.77819999999997"/>
    <n v="0"/>
    <n v="292.32632000000001"/>
    <n v="258.56247999999999"/>
    <n v="0"/>
    <n v="429.28305948338266"/>
    <n v="261.29620018000782"/>
  </r>
  <r>
    <s v="Regular"/>
    <x v="3"/>
    <x v="3"/>
    <x v="5"/>
    <x v="7"/>
    <x v="2"/>
    <x v="0"/>
    <x v="1"/>
    <x v="5"/>
    <n v="0"/>
    <n v="0"/>
    <n v="0.85199999999999998"/>
    <n v="0.85199999999999998"/>
    <n v="0.85199999999999998"/>
    <n v="0.85199999999999998"/>
    <n v="0"/>
    <x v="2"/>
    <n v="0"/>
    <n v="0"/>
    <n v="62"/>
    <n v="23"/>
    <n v="0"/>
    <n v="301.99"/>
    <n v="267.11"/>
    <m/>
    <n v="291.86059999999998"/>
    <n v="246.77819999999997"/>
    <n v="0"/>
    <n v="257.29548"/>
    <n v="227.57772"/>
    <n v="0"/>
    <n v="377.84004822297726"/>
    <n v="229.98384561298207"/>
  </r>
  <r>
    <s v="Regular"/>
    <x v="3"/>
    <x v="3"/>
    <x v="5"/>
    <x v="7"/>
    <x v="2"/>
    <x v="0"/>
    <x v="1"/>
    <x v="6"/>
    <n v="0"/>
    <n v="0"/>
    <n v="1.4"/>
    <n v="1.4"/>
    <n v="1.4"/>
    <n v="1.4"/>
    <n v="0"/>
    <x v="2"/>
    <n v="0"/>
    <n v="0"/>
    <n v="62"/>
    <n v="23"/>
    <n v="0"/>
    <n v="301.99"/>
    <n v="267.11"/>
    <m/>
    <n v="291.86059999999998"/>
    <n v="246.77819999999997"/>
    <n v="0"/>
    <n v="422.786"/>
    <n v="373.95400000000001"/>
    <n v="0"/>
    <n v="620.86392900489227"/>
    <n v="377.90772753306914"/>
  </r>
  <r>
    <s v="Regular"/>
    <x v="3"/>
    <x v="3"/>
    <x v="5"/>
    <x v="7"/>
    <x v="2"/>
    <x v="0"/>
    <x v="1"/>
    <x v="7"/>
    <n v="0"/>
    <n v="0"/>
    <n v="0.52100000000000002"/>
    <n v="0.52100000000000002"/>
    <n v="0.52100000000000002"/>
    <n v="0.52100000000000002"/>
    <n v="0"/>
    <x v="2"/>
    <n v="0"/>
    <n v="0"/>
    <n v="62"/>
    <n v="23"/>
    <n v="0"/>
    <n v="301.99"/>
    <n v="267.11"/>
    <m/>
    <n v="291.86059999999998"/>
    <n v="246.77819999999997"/>
    <n v="0"/>
    <n v="157.33679000000001"/>
    <n v="139.16431"/>
    <n v="0"/>
    <n v="231.05007643682063"/>
    <n v="140.63566146052074"/>
  </r>
  <r>
    <s v="Regular"/>
    <x v="3"/>
    <x v="3"/>
    <x v="5"/>
    <x v="7"/>
    <x v="2"/>
    <x v="0"/>
    <x v="1"/>
    <x v="8"/>
    <n v="0"/>
    <n v="0"/>
    <n v="1.2849999999999999"/>
    <n v="1.2849999999999999"/>
    <n v="1.2849999999999999"/>
    <n v="1.2849999999999999"/>
    <n v="0"/>
    <x v="2"/>
    <n v="0"/>
    <n v="0"/>
    <n v="62"/>
    <n v="23"/>
    <n v="0"/>
    <n v="301.99"/>
    <n v="267.11"/>
    <m/>
    <n v="291.86059999999998"/>
    <n v="246.77819999999997"/>
    <n v="0"/>
    <n v="388.05714999999998"/>
    <n v="343.23635000000002"/>
    <n v="0"/>
    <n v="569.86439197949039"/>
    <n v="346.86530705713841"/>
  </r>
  <r>
    <s v="Regular"/>
    <x v="3"/>
    <x v="3"/>
    <x v="5"/>
    <x v="7"/>
    <x v="2"/>
    <x v="0"/>
    <x v="1"/>
    <x v="9"/>
    <n v="0"/>
    <n v="0"/>
    <n v="1.57"/>
    <n v="1.57"/>
    <n v="1.57"/>
    <n v="1.57"/>
    <n v="0"/>
    <x v="2"/>
    <n v="0"/>
    <n v="0"/>
    <n v="62"/>
    <n v="23"/>
    <n v="0"/>
    <n v="301.99"/>
    <n v="267.11"/>
    <m/>
    <n v="291.86059999999998"/>
    <n v="246.77819999999997"/>
    <n v="0"/>
    <n v="474.12430000000001"/>
    <n v="419.36270000000002"/>
    <n v="0"/>
    <n v="696.25454895548637"/>
    <n v="423.79652301922755"/>
  </r>
  <r>
    <s v="Regular"/>
    <x v="3"/>
    <x v="3"/>
    <x v="5"/>
    <x v="7"/>
    <x v="2"/>
    <x v="0"/>
    <x v="1"/>
    <x v="10"/>
    <n v="0"/>
    <n v="0"/>
    <n v="1.621"/>
    <n v="1.621"/>
    <n v="1.621"/>
    <n v="1.621"/>
    <n v="0"/>
    <x v="2"/>
    <n v="0"/>
    <n v="0"/>
    <n v="62"/>
    <n v="23"/>
    <n v="0"/>
    <n v="301.99"/>
    <n v="267.11"/>
    <m/>
    <n v="291.86059999999998"/>
    <n v="246.77819999999997"/>
    <n v="0"/>
    <n v="489.52579000000003"/>
    <n v="432.98531000000003"/>
    <n v="0"/>
    <n v="718.87173494066451"/>
    <n v="437.56316166507503"/>
  </r>
  <r>
    <s v="Regular"/>
    <x v="3"/>
    <x v="3"/>
    <x v="5"/>
    <x v="7"/>
    <x v="2"/>
    <x v="0"/>
    <x v="1"/>
    <x v="11"/>
    <n v="0"/>
    <n v="0"/>
    <n v="0.90700000000000003"/>
    <n v="0.90700000000000003"/>
    <n v="0.90700000000000003"/>
    <n v="0.90700000000000003"/>
    <n v="0"/>
    <x v="2"/>
    <n v="0"/>
    <n v="0"/>
    <n v="62"/>
    <n v="23"/>
    <n v="0"/>
    <n v="301.99"/>
    <n v="267.11"/>
    <m/>
    <n v="291.86059999999998"/>
    <n v="246.77819999999997"/>
    <n v="0"/>
    <n v="273.90493000000004"/>
    <n v="242.26877000000002"/>
    <n v="0"/>
    <n v="402.23113114816948"/>
    <n v="244.83022062320981"/>
  </r>
  <r>
    <s v="Regular"/>
    <x v="3"/>
    <x v="3"/>
    <x v="5"/>
    <x v="7"/>
    <x v="2"/>
    <x v="0"/>
    <x v="1"/>
    <x v="0"/>
    <n v="0"/>
    <n v="0"/>
    <n v="1.081"/>
    <n v="1.081"/>
    <n v="1.081"/>
    <n v="1.081"/>
    <n v="0"/>
    <x v="2"/>
    <n v="0"/>
    <n v="0"/>
    <n v="62"/>
    <n v="23"/>
    <n v="0"/>
    <n v="301.99"/>
    <n v="267.11"/>
    <m/>
    <n v="291.86059999999998"/>
    <n v="246.77819999999997"/>
    <n v="0"/>
    <n v="326.45119"/>
    <n v="288.74590999999998"/>
    <n v="0"/>
    <n v="479.39564803877749"/>
    <n v="291.79875247374838"/>
  </r>
  <r>
    <s v="Regular"/>
    <x v="3"/>
    <x v="3"/>
    <x v="5"/>
    <x v="7"/>
    <x v="2"/>
    <x v="0"/>
    <x v="1"/>
    <x v="1"/>
    <n v="0"/>
    <n v="0"/>
    <n v="1.173"/>
    <n v="1.173"/>
    <n v="1.173"/>
    <n v="1.173"/>
    <n v="0"/>
    <x v="2"/>
    <n v="0"/>
    <n v="0"/>
    <n v="62"/>
    <n v="23"/>
    <n v="0"/>
    <n v="301.99"/>
    <n v="267.11"/>
    <m/>
    <n v="291.86059999999998"/>
    <n v="246.77819999999997"/>
    <n v="0"/>
    <n v="354.23427000000004"/>
    <n v="313.32003000000003"/>
    <n v="0"/>
    <n v="520.19527765909902"/>
    <n v="316.63268885449293"/>
  </r>
  <r>
    <s v="Regular"/>
    <x v="3"/>
    <x v="3"/>
    <x v="5"/>
    <x v="7"/>
    <x v="2"/>
    <x v="0"/>
    <x v="1"/>
    <x v="2"/>
    <n v="0"/>
    <n v="0"/>
    <n v="0.95299999999999996"/>
    <n v="0.95299999999999996"/>
    <n v="0.95299999999999996"/>
    <n v="0.95299999999999996"/>
    <n v="0"/>
    <x v="2"/>
    <n v="0"/>
    <n v="0"/>
    <n v="62"/>
    <n v="23"/>
    <n v="0"/>
    <n v="301.99"/>
    <n v="267.11"/>
    <m/>
    <n v="291.86059999999998"/>
    <n v="246.77819999999997"/>
    <n v="0"/>
    <n v="287.79647"/>
    <n v="254.55583000000001"/>
    <n v="0"/>
    <n v="422.63094595833019"/>
    <n v="257.24718881358206"/>
  </r>
  <r>
    <s v="Regular"/>
    <x v="3"/>
    <x v="3"/>
    <x v="5"/>
    <x v="7"/>
    <x v="2"/>
    <x v="0"/>
    <x v="1"/>
    <x v="3"/>
    <n v="0"/>
    <n v="0"/>
    <n v="0.73699999999999999"/>
    <n v="0.73699999999999999"/>
    <n v="0.73699999999999999"/>
    <n v="0.73699999999999999"/>
    <n v="0"/>
    <x v="2"/>
    <n v="0"/>
    <n v="0"/>
    <n v="62"/>
    <n v="23"/>
    <n v="0"/>
    <n v="301.99"/>
    <n v="267.11"/>
    <m/>
    <n v="291.86059999999998"/>
    <n v="246.77819999999997"/>
    <n v="0"/>
    <n v="222.56663"/>
    <n v="196.86007000000001"/>
    <n v="0"/>
    <n v="326.84051119757544"/>
    <n v="198.9414251370514"/>
  </r>
  <r>
    <s v="Regular"/>
    <x v="3"/>
    <x v="3"/>
    <x v="5"/>
    <x v="7"/>
    <x v="3"/>
    <x v="0"/>
    <x v="1"/>
    <x v="4"/>
    <n v="0"/>
    <n v="0"/>
    <n v="1.992"/>
    <n v="0.79679999999999995"/>
    <n v="1.992"/>
    <n v="0.79679999999999995"/>
    <n v="0"/>
    <x v="2"/>
    <n v="0"/>
    <n v="0"/>
    <n v="62"/>
    <n v="23"/>
    <n v="0"/>
    <n v="301.99"/>
    <n v="267.11"/>
    <m/>
    <n v="291.86059999999998"/>
    <n v="246.77819999999997"/>
    <n v="0"/>
    <n v="240.625632"/>
    <n v="212.833248"/>
    <n v="0"/>
    <n v="353.36027045078436"/>
    <n v="215.08348378453533"/>
  </r>
  <r>
    <s v="Regular"/>
    <x v="3"/>
    <x v="3"/>
    <x v="5"/>
    <x v="7"/>
    <x v="3"/>
    <x v="0"/>
    <x v="1"/>
    <x v="5"/>
    <n v="0"/>
    <n v="0"/>
    <n v="2.012"/>
    <n v="0.80479999999999996"/>
    <n v="2.012"/>
    <n v="0.80479999999999996"/>
    <n v="0"/>
    <x v="2"/>
    <n v="0"/>
    <n v="0"/>
    <n v="62"/>
    <n v="23"/>
    <n v="0"/>
    <n v="301.99"/>
    <n v="267.11"/>
    <m/>
    <n v="291.86059999999998"/>
    <n v="246.77819999999997"/>
    <n v="0"/>
    <n v="243.041552"/>
    <n v="214.97012799999999"/>
    <n v="0"/>
    <n v="356.90806433081235"/>
    <n v="217.24295651329572"/>
  </r>
  <r>
    <s v="Regular"/>
    <x v="3"/>
    <x v="3"/>
    <x v="5"/>
    <x v="7"/>
    <x v="3"/>
    <x v="0"/>
    <x v="1"/>
    <x v="6"/>
    <n v="0"/>
    <n v="0"/>
    <n v="1.7290000000000001"/>
    <n v="0.69159999999999999"/>
    <n v="1.7290000000000001"/>
    <n v="0.69159999999999999"/>
    <n v="0"/>
    <x v="2"/>
    <n v="0"/>
    <n v="0"/>
    <n v="62"/>
    <n v="23"/>
    <n v="0"/>
    <n v="301.99"/>
    <n v="267.11"/>
    <m/>
    <n v="291.86059999999998"/>
    <n v="246.77819999999997"/>
    <n v="0"/>
    <n v="208.85628400000002"/>
    <n v="184.73327600000002"/>
    <n v="0"/>
    <n v="306.70678092841678"/>
    <n v="186.68641740133614"/>
  </r>
  <r>
    <s v="Regular"/>
    <x v="3"/>
    <x v="3"/>
    <x v="5"/>
    <x v="7"/>
    <x v="3"/>
    <x v="0"/>
    <x v="1"/>
    <x v="7"/>
    <n v="0"/>
    <n v="0"/>
    <n v="0.91200000000000003"/>
    <n v="0.36480000000000001"/>
    <n v="0.91200000000000003"/>
    <n v="0.36480000000000001"/>
    <n v="0"/>
    <x v="2"/>
    <n v="0"/>
    <n v="0"/>
    <n v="62"/>
    <n v="23"/>
    <n v="0"/>
    <n v="301.99"/>
    <n v="267.11"/>
    <m/>
    <n v="291.86059999999998"/>
    <n v="246.77819999999997"/>
    <n v="0"/>
    <n v="110.165952"/>
    <n v="97.441728000000012"/>
    <n v="0"/>
    <n v="161.7794009292748"/>
    <n v="98.471956431474013"/>
  </r>
  <r>
    <s v="Regular"/>
    <x v="3"/>
    <x v="3"/>
    <x v="5"/>
    <x v="7"/>
    <x v="3"/>
    <x v="0"/>
    <x v="1"/>
    <x v="8"/>
    <n v="0"/>
    <n v="0"/>
    <n v="1.5309999999999999"/>
    <n v="0.61240000000000006"/>
    <n v="1.5309999999999999"/>
    <n v="0.61240000000000006"/>
    <n v="0"/>
    <x v="2"/>
    <n v="0"/>
    <n v="0"/>
    <n v="62"/>
    <n v="23"/>
    <n v="0"/>
    <n v="301.99"/>
    <n v="267.11"/>
    <m/>
    <n v="291.86059999999998"/>
    <n v="246.77819999999997"/>
    <n v="0"/>
    <n v="184.93867600000002"/>
    <n v="163.57816400000002"/>
    <n v="0"/>
    <n v="271.58362151614006"/>
    <n v="165.30763738660826"/>
  </r>
  <r>
    <s v="Regular"/>
    <x v="3"/>
    <x v="3"/>
    <x v="5"/>
    <x v="7"/>
    <x v="3"/>
    <x v="0"/>
    <x v="1"/>
    <x v="9"/>
    <n v="0"/>
    <n v="0"/>
    <n v="1.302"/>
    <n v="0.52080000000000004"/>
    <n v="1.302"/>
    <n v="0.52080000000000004"/>
    <n v="0"/>
    <x v="2"/>
    <n v="0"/>
    <n v="0"/>
    <n v="62"/>
    <n v="23"/>
    <n v="0"/>
    <n v="301.99"/>
    <n v="267.11"/>
    <m/>
    <n v="291.86059999999998"/>
    <n v="246.77819999999997"/>
    <n v="0"/>
    <n v="157.27639200000002"/>
    <n v="139.11088800000002"/>
    <n v="0"/>
    <n v="230.96138158981995"/>
    <n v="140.58167464230172"/>
  </r>
  <r>
    <s v="Regular"/>
    <x v="3"/>
    <x v="3"/>
    <x v="5"/>
    <x v="7"/>
    <x v="3"/>
    <x v="0"/>
    <x v="1"/>
    <x v="10"/>
    <n v="0"/>
    <n v="0"/>
    <n v="1.1479999999999999"/>
    <n v="0.4592"/>
    <n v="1.1479999999999999"/>
    <n v="0.4592"/>
    <n v="0"/>
    <x v="2"/>
    <n v="0"/>
    <n v="0"/>
    <n v="62"/>
    <n v="23"/>
    <n v="0"/>
    <n v="301.99"/>
    <n v="267.11"/>
    <m/>
    <n v="291.86059999999998"/>
    <n v="246.77819999999997"/>
    <n v="0"/>
    <n v="138.67380800000001"/>
    <n v="122.65691200000001"/>
    <n v="0"/>
    <n v="203.64336871360467"/>
    <n v="123.95373463084668"/>
  </r>
  <r>
    <s v="Regular"/>
    <x v="3"/>
    <x v="3"/>
    <x v="5"/>
    <x v="7"/>
    <x v="3"/>
    <x v="0"/>
    <x v="1"/>
    <x v="11"/>
    <n v="0"/>
    <n v="0"/>
    <n v="0.73399999999999999"/>
    <n v="0.29360000000000003"/>
    <n v="0.73399999999999999"/>
    <n v="0.29360000000000003"/>
    <n v="0"/>
    <x v="2"/>
    <n v="0"/>
    <n v="0"/>
    <n v="62"/>
    <n v="23"/>
    <n v="0"/>
    <n v="301.99"/>
    <n v="267.11"/>
    <m/>
    <n v="291.86059999999998"/>
    <n v="246.77819999999997"/>
    <n v="0"/>
    <n v="88.664264000000017"/>
    <n v="78.423496000000014"/>
    <n v="0"/>
    <n v="130.20403539702599"/>
    <n v="79.25264914550651"/>
  </r>
  <r>
    <s v="Regular"/>
    <x v="3"/>
    <x v="3"/>
    <x v="5"/>
    <x v="7"/>
    <x v="3"/>
    <x v="0"/>
    <x v="1"/>
    <x v="0"/>
    <n v="0"/>
    <n v="0"/>
    <n v="0.89300000000000002"/>
    <n v="0.35720000000000002"/>
    <n v="0.89300000000000002"/>
    <n v="0.35720000000000002"/>
    <n v="0"/>
    <x v="2"/>
    <n v="0"/>
    <n v="0"/>
    <n v="62"/>
    <n v="23"/>
    <n v="0"/>
    <n v="301.99"/>
    <n v="267.11"/>
    <m/>
    <n v="291.86059999999998"/>
    <n v="246.77819999999997"/>
    <n v="0"/>
    <n v="107.870828"/>
    <n v="95.411692000000016"/>
    <n v="0"/>
    <n v="158.40899674324822"/>
    <n v="96.420457339151639"/>
  </r>
  <r>
    <s v="Regular"/>
    <x v="3"/>
    <x v="3"/>
    <x v="5"/>
    <x v="7"/>
    <x v="3"/>
    <x v="0"/>
    <x v="1"/>
    <x v="1"/>
    <n v="0"/>
    <n v="0"/>
    <n v="1.534"/>
    <n v="0.61360000000000003"/>
    <n v="1.534"/>
    <n v="0.61360000000000003"/>
    <n v="0"/>
    <x v="2"/>
    <n v="0"/>
    <n v="0"/>
    <n v="62"/>
    <n v="23"/>
    <n v="0"/>
    <n v="301.99"/>
    <n v="267.11"/>
    <m/>
    <n v="291.86059999999998"/>
    <n v="246.77819999999997"/>
    <n v="0"/>
    <n v="185.30106400000003"/>
    <n v="163.89869600000003"/>
    <n v="0"/>
    <n v="272.1157905981442"/>
    <n v="165.6315582959223"/>
  </r>
  <r>
    <s v="Regular"/>
    <x v="3"/>
    <x v="3"/>
    <x v="5"/>
    <x v="7"/>
    <x v="3"/>
    <x v="0"/>
    <x v="1"/>
    <x v="2"/>
    <n v="0"/>
    <n v="0"/>
    <n v="1.4730000000000001"/>
    <n v="0.58919999999999995"/>
    <n v="1.4730000000000001"/>
    <n v="0.58919999999999995"/>
    <n v="0"/>
    <x v="2"/>
    <n v="0"/>
    <n v="0"/>
    <n v="62"/>
    <n v="23"/>
    <n v="0"/>
    <n v="301.99"/>
    <n v="267.11"/>
    <m/>
    <n v="291.86059999999998"/>
    <n v="246.77819999999997"/>
    <n v="0"/>
    <n v="177.93250799999998"/>
    <n v="157.381212"/>
    <n v="0"/>
    <n v="261.29501926405891"/>
    <n v="159.04516647320307"/>
  </r>
  <r>
    <s v="Regular"/>
    <x v="3"/>
    <x v="3"/>
    <x v="5"/>
    <x v="7"/>
    <x v="3"/>
    <x v="0"/>
    <x v="1"/>
    <x v="3"/>
    <n v="0"/>
    <n v="0"/>
    <n v="0.89500000000000002"/>
    <n v="0.35799999999999998"/>
    <n v="0.89500000000000002"/>
    <n v="0.35799999999999998"/>
    <n v="0"/>
    <x v="2"/>
    <n v="0"/>
    <n v="0"/>
    <n v="62"/>
    <n v="23"/>
    <n v="0"/>
    <n v="301.99"/>
    <n v="267.11"/>
    <m/>
    <n v="291.86059999999998"/>
    <n v="246.77819999999997"/>
    <n v="0"/>
    <n v="108.11242"/>
    <n v="95.625380000000007"/>
    <n v="0"/>
    <n v="158.76377613125101"/>
    <n v="96.636404612027675"/>
  </r>
  <r>
    <s v="Regular"/>
    <x v="3"/>
    <x v="3"/>
    <x v="5"/>
    <x v="0"/>
    <x v="1"/>
    <x v="0"/>
    <x v="1"/>
    <x v="4"/>
    <n v="0"/>
    <n v="0"/>
    <n v="201.24"/>
    <n v="201.24"/>
    <n v="201.24"/>
    <n v="201.24"/>
    <n v="794"/>
    <x v="2"/>
    <n v="0"/>
    <n v="0"/>
    <n v="62"/>
    <n v="23"/>
    <n v="0"/>
    <n v="301.99"/>
    <n v="267.11"/>
    <m/>
    <n v="291.86059999999998"/>
    <n v="246.77819999999997"/>
    <n v="0"/>
    <n v="60772.467600000004"/>
    <n v="53753.216400000005"/>
    <n v="0"/>
    <n v="89244.755052103224"/>
    <n v="54321.536491967738"/>
  </r>
  <r>
    <s v="Sistema de Compensação"/>
    <x v="3"/>
    <x v="3"/>
    <x v="5"/>
    <x v="0"/>
    <x v="1"/>
    <x v="0"/>
    <x v="1"/>
    <x v="4"/>
    <n v="0"/>
    <n v="0"/>
    <n v="4.51"/>
    <n v="4.51"/>
    <n v="4.51"/>
    <n v="4.51"/>
    <n v="32"/>
    <x v="2"/>
    <n v="0"/>
    <n v="0"/>
    <n v="62"/>
    <n v="23"/>
    <n v="0"/>
    <n v="301.99"/>
    <n v="267.11"/>
    <m/>
    <n v="291.86059999999998"/>
    <n v="246.77819999999997"/>
    <n v="0"/>
    <n v="1361.9748999999999"/>
    <n v="1204.6660999999999"/>
    <n v="0"/>
    <n v="2000.06879986576"/>
    <n v="1217.4027508386725"/>
  </r>
  <r>
    <s v="Regular"/>
    <x v="3"/>
    <x v="3"/>
    <x v="5"/>
    <x v="0"/>
    <x v="1"/>
    <x v="0"/>
    <x v="1"/>
    <x v="5"/>
    <n v="0"/>
    <n v="0"/>
    <n v="228.11099999999999"/>
    <n v="228.11099999999999"/>
    <n v="228.11099999999999"/>
    <n v="228.11099999999999"/>
    <n v="791"/>
    <x v="2"/>
    <n v="0"/>
    <n v="0"/>
    <n v="62"/>
    <n v="23"/>
    <n v="0"/>
    <n v="301.99"/>
    <n v="267.11"/>
    <m/>
    <n v="291.86059999999998"/>
    <n v="246.77819999999997"/>
    <n v="0"/>
    <n v="68887.240890000001"/>
    <n v="60930.729209999998"/>
    <n v="0"/>
    <n v="101161.35122088212"/>
    <n v="61574.935453782804"/>
  </r>
  <r>
    <s v="Sistema de Compensação"/>
    <x v="3"/>
    <x v="3"/>
    <x v="5"/>
    <x v="0"/>
    <x v="1"/>
    <x v="0"/>
    <x v="1"/>
    <x v="5"/>
    <n v="0"/>
    <n v="0"/>
    <n v="7.26"/>
    <n v="7.26"/>
    <n v="7.26"/>
    <n v="7.26"/>
    <n v="33"/>
    <x v="2"/>
    <n v="0"/>
    <n v="0"/>
    <n v="62"/>
    <n v="23"/>
    <n v="0"/>
    <n v="301.99"/>
    <n v="267.11"/>
    <m/>
    <n v="291.86059999999998"/>
    <n v="246.77819999999997"/>
    <n v="0"/>
    <n v="2192.4474"/>
    <n v="1939.2186000000002"/>
    <n v="0"/>
    <n v="3219.6229461253697"/>
    <n v="1959.7215013500584"/>
  </r>
  <r>
    <s v="Regular"/>
    <x v="3"/>
    <x v="3"/>
    <x v="5"/>
    <x v="0"/>
    <x v="1"/>
    <x v="0"/>
    <x v="1"/>
    <x v="6"/>
    <n v="0"/>
    <n v="0"/>
    <n v="223.05"/>
    <n v="223.05"/>
    <n v="223.05"/>
    <n v="223.05"/>
    <n v="797"/>
    <x v="2"/>
    <n v="0"/>
    <n v="0"/>
    <n v="62"/>
    <n v="23"/>
    <n v="0"/>
    <n v="301.99"/>
    <n v="267.11"/>
    <m/>
    <n v="291.86059999999998"/>
    <n v="246.77819999999997"/>
    <n v="0"/>
    <n v="67358.869500000001"/>
    <n v="59578.885500000004"/>
    <n v="0"/>
    <n v="98916.928117529445"/>
    <n v="60208.799018750768"/>
  </r>
  <r>
    <s v="Sistema de Compensação"/>
    <x v="3"/>
    <x v="3"/>
    <x v="5"/>
    <x v="0"/>
    <x v="1"/>
    <x v="0"/>
    <x v="1"/>
    <x v="6"/>
    <n v="0"/>
    <n v="0"/>
    <n v="10.824"/>
    <n v="10.824"/>
    <n v="10.824"/>
    <n v="10.824"/>
    <n v="33"/>
    <x v="2"/>
    <n v="0"/>
    <n v="0"/>
    <n v="62"/>
    <n v="23"/>
    <n v="0"/>
    <n v="301.99"/>
    <n v="267.11"/>
    <m/>
    <n v="291.86059999999998"/>
    <n v="246.77819999999997"/>
    <n v="0"/>
    <n v="3268.7397599999999"/>
    <n v="2891.1986400000001"/>
    <n v="0"/>
    <n v="4800.1651196778239"/>
    <n v="2921.7666020128145"/>
  </r>
  <r>
    <s v="Regular"/>
    <x v="3"/>
    <x v="3"/>
    <x v="5"/>
    <x v="0"/>
    <x v="1"/>
    <x v="0"/>
    <x v="1"/>
    <x v="7"/>
    <n v="0"/>
    <n v="0"/>
    <n v="284.45699999999999"/>
    <n v="284.45699999999999"/>
    <n v="284.45699999999999"/>
    <n v="284.45699999999999"/>
    <n v="797"/>
    <x v="2"/>
    <n v="0"/>
    <n v="0"/>
    <n v="62"/>
    <n v="23"/>
    <n v="0"/>
    <n v="301.99"/>
    <n v="267.11"/>
    <m/>
    <n v="291.86059999999998"/>
    <n v="246.77819999999997"/>
    <n v="0"/>
    <n v="85903.169429999994"/>
    <n v="75981.309269999998"/>
    <n v="0"/>
    <n v="126149.35046638902"/>
    <n v="76784.641750624462"/>
  </r>
  <r>
    <s v="Sistema de Compensação"/>
    <x v="3"/>
    <x v="3"/>
    <x v="5"/>
    <x v="0"/>
    <x v="1"/>
    <x v="0"/>
    <x v="1"/>
    <x v="7"/>
    <n v="0"/>
    <n v="0"/>
    <n v="16.957999999999998"/>
    <n v="16.957999999999998"/>
    <n v="16.957999999999998"/>
    <n v="16.957999999999998"/>
    <n v="33"/>
    <x v="2"/>
    <n v="0"/>
    <n v="0"/>
    <n v="62"/>
    <n v="23"/>
    <n v="0"/>
    <n v="301.99"/>
    <n v="267.11"/>
    <m/>
    <n v="291.86059999999998"/>
    <n v="246.77819999999997"/>
    <n v="0"/>
    <n v="5121.14642"/>
    <n v="4529.6513800000002"/>
    <n v="0"/>
    <n v="7520.4360771892589"/>
    <n v="4577.5423167898471"/>
  </r>
  <r>
    <s v="Regular"/>
    <x v="3"/>
    <x v="3"/>
    <x v="5"/>
    <x v="0"/>
    <x v="1"/>
    <x v="0"/>
    <x v="1"/>
    <x v="8"/>
    <n v="0"/>
    <n v="0"/>
    <n v="345.952"/>
    <n v="345.952"/>
    <n v="345.952"/>
    <n v="345.952"/>
    <n v="797"/>
    <x v="2"/>
    <n v="0"/>
    <n v="0"/>
    <n v="62"/>
    <n v="23"/>
    <n v="0"/>
    <n v="301.99"/>
    <n v="267.11"/>
    <m/>
    <n v="291.86059999999998"/>
    <n v="246.77819999999997"/>
    <n v="0"/>
    <n v="104474.04448"/>
    <n v="92407.238720000008"/>
    <n v="0"/>
    <n v="153420.79854792892"/>
    <n v="93384.238682514522"/>
  </r>
  <r>
    <s v="Sistema de Compensação"/>
    <x v="3"/>
    <x v="3"/>
    <x v="5"/>
    <x v="0"/>
    <x v="1"/>
    <x v="0"/>
    <x v="1"/>
    <x v="8"/>
    <n v="0"/>
    <n v="0"/>
    <n v="36.584000000000003"/>
    <n v="36.584000000000003"/>
    <n v="36.584000000000003"/>
    <n v="36.584000000000003"/>
    <n v="34"/>
    <x v="2"/>
    <n v="0"/>
    <n v="0"/>
    <n v="62"/>
    <n v="23"/>
    <n v="0"/>
    <n v="301.99"/>
    <n v="267.11"/>
    <m/>
    <n v="291.86059999999998"/>
    <n v="246.77819999999997"/>
    <n v="0"/>
    <n v="11048.002160000002"/>
    <n v="9771.9522400000005"/>
    <n v="0"/>
    <n v="16224.061413367843"/>
    <n v="9875.268788621288"/>
  </r>
  <r>
    <s v="Regular"/>
    <x v="3"/>
    <x v="3"/>
    <x v="5"/>
    <x v="0"/>
    <x v="1"/>
    <x v="0"/>
    <x v="1"/>
    <x v="9"/>
    <n v="0"/>
    <n v="0"/>
    <n v="302.08199999999999"/>
    <n v="302.08199999999999"/>
    <n v="302.08199999999999"/>
    <n v="302.08199999999999"/>
    <n v="792"/>
    <x v="2"/>
    <n v="0"/>
    <n v="0"/>
    <n v="62"/>
    <n v="23"/>
    <n v="0"/>
    <n v="301.99"/>
    <n v="267.11"/>
    <m/>
    <n v="291.86059999999998"/>
    <n v="246.77819999999997"/>
    <n v="0"/>
    <n v="91225.743180000005"/>
    <n v="80689.123019999999"/>
    <n v="0"/>
    <n v="133965.58385832561"/>
    <n v="81542.230106174713"/>
  </r>
  <r>
    <s v="Sistema de Compensação"/>
    <x v="3"/>
    <x v="3"/>
    <x v="5"/>
    <x v="0"/>
    <x v="1"/>
    <x v="0"/>
    <x v="1"/>
    <x v="9"/>
    <n v="0"/>
    <n v="0"/>
    <n v="26.65"/>
    <n v="26.65"/>
    <n v="26.65"/>
    <n v="26.65"/>
    <n v="38"/>
    <x v="2"/>
    <n v="0"/>
    <n v="0"/>
    <n v="62"/>
    <n v="23"/>
    <n v="0"/>
    <n v="301.99"/>
    <n v="267.11"/>
    <m/>
    <n v="291.86059999999998"/>
    <n v="246.77819999999997"/>
    <n v="0"/>
    <n v="8048.0334999999995"/>
    <n v="7118.4814999999999"/>
    <n v="0"/>
    <n v="11818.588362843127"/>
    <n v="7193.7435276830656"/>
  </r>
  <r>
    <s v="Regular"/>
    <x v="3"/>
    <x v="3"/>
    <x v="5"/>
    <x v="0"/>
    <x v="1"/>
    <x v="0"/>
    <x v="1"/>
    <x v="10"/>
    <n v="0"/>
    <n v="0"/>
    <n v="276.39600000000002"/>
    <n v="276.39600000000002"/>
    <n v="276.39600000000002"/>
    <n v="276.39600000000002"/>
    <n v="790"/>
    <x v="2"/>
    <n v="0"/>
    <n v="0"/>
    <n v="62"/>
    <n v="23"/>
    <n v="0"/>
    <n v="301.99"/>
    <n v="267.11"/>
    <m/>
    <n v="291.86059999999998"/>
    <n v="246.77819999999997"/>
    <n v="0"/>
    <n v="83468.828040000008"/>
    <n v="73828.13556000001"/>
    <n v="0"/>
    <n v="122574.50465802586"/>
    <n v="74608.703042307272"/>
  </r>
  <r>
    <s v="Sistema de Compensação"/>
    <x v="3"/>
    <x v="3"/>
    <x v="5"/>
    <x v="0"/>
    <x v="1"/>
    <x v="0"/>
    <x v="1"/>
    <x v="10"/>
    <n v="0"/>
    <n v="0"/>
    <n v="38.256999999999998"/>
    <n v="38.256999999999998"/>
    <n v="38.256999999999998"/>
    <n v="38.256999999999998"/>
    <n v="38"/>
    <x v="2"/>
    <n v="0"/>
    <n v="0"/>
    <n v="62"/>
    <n v="23"/>
    <n v="0"/>
    <n v="301.99"/>
    <n v="267.11"/>
    <m/>
    <n v="291.86059999999998"/>
    <n v="246.77819999999997"/>
    <n v="0"/>
    <n v="11553.23143"/>
    <n v="10218.82727"/>
    <n v="0"/>
    <n v="16965.993808528689"/>
    <n v="10326.868523023304"/>
  </r>
  <r>
    <s v="Regular"/>
    <x v="3"/>
    <x v="3"/>
    <x v="5"/>
    <x v="0"/>
    <x v="1"/>
    <x v="0"/>
    <x v="1"/>
    <x v="11"/>
    <n v="0"/>
    <n v="0"/>
    <n v="228.57900000000001"/>
    <n v="228.57900000000001"/>
    <n v="228.57900000000001"/>
    <n v="228.57900000000001"/>
    <n v="788"/>
    <x v="2"/>
    <n v="0"/>
    <n v="0"/>
    <n v="62"/>
    <n v="23"/>
    <n v="0"/>
    <n v="301.99"/>
    <n v="267.11"/>
    <m/>
    <n v="291.86059999999998"/>
    <n v="246.77819999999997"/>
    <n v="0"/>
    <n v="69028.572209999998"/>
    <n v="61055.736690000005"/>
    <n v="0"/>
    <n v="101368.89716286377"/>
    <n v="61701.264608415295"/>
  </r>
  <r>
    <s v="Sistema de Compensação"/>
    <x v="3"/>
    <x v="3"/>
    <x v="5"/>
    <x v="0"/>
    <x v="1"/>
    <x v="0"/>
    <x v="1"/>
    <x v="11"/>
    <n v="0"/>
    <n v="0"/>
    <n v="8.7840000000000007"/>
    <n v="8.7840000000000007"/>
    <n v="8.7840000000000007"/>
    <n v="8.7840000000000007"/>
    <n v="38"/>
    <x v="2"/>
    <n v="0"/>
    <n v="0"/>
    <n v="62"/>
    <n v="23"/>
    <n v="0"/>
    <n v="301.99"/>
    <n v="267.11"/>
    <m/>
    <n v="291.86059999999998"/>
    <n v="246.77819999999997"/>
    <n v="0"/>
    <n v="2652.6801600000003"/>
    <n v="2346.2942400000002"/>
    <n v="0"/>
    <n v="3895.4776802706956"/>
    <n v="2371.101056178914"/>
  </r>
  <r>
    <s v="Regular"/>
    <x v="3"/>
    <x v="3"/>
    <x v="5"/>
    <x v="0"/>
    <x v="1"/>
    <x v="0"/>
    <x v="1"/>
    <x v="0"/>
    <n v="0"/>
    <n v="0"/>
    <n v="197.05199999999999"/>
    <n v="197.05199999999999"/>
    <n v="197.05199999999999"/>
    <n v="197.05199999999999"/>
    <n v="790"/>
    <x v="2"/>
    <n v="0"/>
    <n v="0"/>
    <n v="62"/>
    <n v="23"/>
    <n v="0"/>
    <n v="301.99"/>
    <n v="267.11"/>
    <m/>
    <n v="291.86059999999998"/>
    <n v="246.77819999999997"/>
    <n v="0"/>
    <n v="59507.733480000003"/>
    <n v="52634.559719999997"/>
    <n v="0"/>
    <n v="87387.484955908585"/>
    <n v="53191.052518461671"/>
  </r>
  <r>
    <s v="Sistema de Compensação"/>
    <x v="3"/>
    <x v="3"/>
    <x v="5"/>
    <x v="0"/>
    <x v="1"/>
    <x v="0"/>
    <x v="1"/>
    <x v="0"/>
    <n v="0"/>
    <n v="0"/>
    <n v="13.965999999999999"/>
    <n v="13.965999999999999"/>
    <n v="13.965999999999999"/>
    <n v="13.965999999999999"/>
    <n v="39"/>
    <x v="2"/>
    <n v="0"/>
    <n v="0"/>
    <n v="62"/>
    <n v="23"/>
    <n v="0"/>
    <n v="301.99"/>
    <n v="267.11"/>
    <m/>
    <n v="291.86059999999998"/>
    <n v="246.77819999999997"/>
    <n v="0"/>
    <n v="4217.5923400000001"/>
    <n v="3730.4582599999999"/>
    <n v="0"/>
    <n v="6193.5611660588038"/>
    <n v="3769.8995162334595"/>
  </r>
  <r>
    <s v="Regular"/>
    <x v="3"/>
    <x v="3"/>
    <x v="5"/>
    <x v="0"/>
    <x v="1"/>
    <x v="0"/>
    <x v="1"/>
    <x v="1"/>
    <n v="0"/>
    <n v="0"/>
    <n v="186.18"/>
    <n v="186.18"/>
    <n v="186.18"/>
    <n v="186.18"/>
    <n v="789"/>
    <x v="2"/>
    <n v="0"/>
    <n v="0"/>
    <n v="62"/>
    <n v="23"/>
    <n v="0"/>
    <n v="301.99"/>
    <n v="267.11"/>
    <m/>
    <n v="291.86059999999998"/>
    <n v="246.77819999999997"/>
    <n v="0"/>
    <n v="56224.498200000002"/>
    <n v="49730.539800000006"/>
    <n v="0"/>
    <n v="82566.033072950609"/>
    <n v="50256.329080076299"/>
  </r>
  <r>
    <s v="Sistema de Compensação"/>
    <x v="3"/>
    <x v="3"/>
    <x v="5"/>
    <x v="0"/>
    <x v="1"/>
    <x v="0"/>
    <x v="1"/>
    <x v="1"/>
    <n v="0"/>
    <n v="0"/>
    <n v="8.7940000000000005"/>
    <n v="8.7940000000000005"/>
    <n v="8.7940000000000005"/>
    <n v="8.7940000000000005"/>
    <n v="40"/>
    <x v="2"/>
    <n v="0"/>
    <n v="0"/>
    <n v="62"/>
    <n v="23"/>
    <n v="0"/>
    <n v="301.99"/>
    <n v="267.11"/>
    <m/>
    <n v="291.86059999999998"/>
    <n v="246.77819999999997"/>
    <n v="0"/>
    <n v="2655.7000600000001"/>
    <n v="2348.9653400000002"/>
    <n v="0"/>
    <n v="3899.9124226207305"/>
    <n v="2373.8003970898644"/>
  </r>
  <r>
    <s v="Regular"/>
    <x v="3"/>
    <x v="3"/>
    <x v="5"/>
    <x v="0"/>
    <x v="1"/>
    <x v="0"/>
    <x v="1"/>
    <x v="2"/>
    <n v="0"/>
    <n v="0"/>
    <n v="202.459"/>
    <n v="202.459"/>
    <n v="202.459"/>
    <n v="202.459"/>
    <n v="792"/>
    <x v="2"/>
    <n v="0"/>
    <n v="0"/>
    <n v="62"/>
    <n v="23"/>
    <n v="0"/>
    <n v="301.99"/>
    <n v="267.11"/>
    <m/>
    <n v="291.86059999999998"/>
    <n v="246.77819999999997"/>
    <n v="0"/>
    <n v="61140.593410000001"/>
    <n v="54078.823490000002"/>
    <n v="0"/>
    <n v="89785.350144572483"/>
    <n v="54650.586149012604"/>
  </r>
  <r>
    <s v="Sistema de Compensação"/>
    <x v="3"/>
    <x v="3"/>
    <x v="5"/>
    <x v="0"/>
    <x v="1"/>
    <x v="0"/>
    <x v="1"/>
    <x v="2"/>
    <n v="0"/>
    <n v="0"/>
    <n v="12.084"/>
    <n v="12.084"/>
    <n v="12.084"/>
    <n v="12.084"/>
    <n v="41"/>
    <x v="2"/>
    <n v="0"/>
    <n v="0"/>
    <n v="62"/>
    <n v="23"/>
    <n v="0"/>
    <n v="301.99"/>
    <n v="267.11"/>
    <m/>
    <n v="291.86059999999998"/>
    <n v="246.77819999999997"/>
    <n v="0"/>
    <n v="3649.2471599999999"/>
    <n v="3227.7572399999999"/>
    <n v="0"/>
    <n v="5358.9426557822271"/>
    <n v="3261.8835567925767"/>
  </r>
  <r>
    <s v="Regular"/>
    <x v="3"/>
    <x v="3"/>
    <x v="5"/>
    <x v="0"/>
    <x v="1"/>
    <x v="0"/>
    <x v="1"/>
    <x v="3"/>
    <n v="0"/>
    <n v="0"/>
    <n v="207.00899999999999"/>
    <n v="207.00899999999999"/>
    <n v="207.00899999999999"/>
    <n v="207.00899999999999"/>
    <n v="791"/>
    <x v="2"/>
    <n v="0"/>
    <n v="0"/>
    <n v="62"/>
    <n v="23"/>
    <n v="0"/>
    <n v="301.99"/>
    <n v="267.11"/>
    <m/>
    <n v="291.86059999999998"/>
    <n v="246.77819999999997"/>
    <n v="0"/>
    <n v="62514.64791"/>
    <n v="55294.173989999996"/>
    <n v="0"/>
    <n v="91803.157913838382"/>
    <n v="55878.786263495072"/>
  </r>
  <r>
    <s v="Sistema de Compensação"/>
    <x v="3"/>
    <x v="3"/>
    <x v="5"/>
    <x v="0"/>
    <x v="1"/>
    <x v="0"/>
    <x v="1"/>
    <x v="3"/>
    <n v="0"/>
    <n v="0"/>
    <n v="12.455"/>
    <n v="12.455"/>
    <n v="12.455"/>
    <n v="12.455"/>
    <n v="41"/>
    <x v="2"/>
    <n v="0"/>
    <n v="0"/>
    <n v="62"/>
    <n v="23"/>
    <n v="0"/>
    <n v="301.99"/>
    <n v="267.11"/>
    <m/>
    <n v="291.86059999999998"/>
    <n v="246.77819999999997"/>
    <n v="0"/>
    <n v="3761.2854500000003"/>
    <n v="3326.8550500000001"/>
    <n v="0"/>
    <n v="5523.471596968524"/>
    <n v="3362.0291045888403"/>
  </r>
  <r>
    <s v="Regular"/>
    <x v="4"/>
    <x v="4"/>
    <x v="2"/>
    <x v="0"/>
    <x v="1"/>
    <x v="0"/>
    <x v="0"/>
    <x v="4"/>
    <n v="0"/>
    <n v="0"/>
    <n v="4.5380000000000003"/>
    <n v="4.5380000000000003"/>
    <n v="4.5380000000000003"/>
    <n v="4.5380000000000003"/>
    <n v="0"/>
    <x v="2"/>
    <n v="0"/>
    <n v="0"/>
    <n v="76"/>
    <n v="51"/>
    <n v="0"/>
    <n v="225.41"/>
    <n v="286.76"/>
    <m/>
    <n v="261.33999999999997"/>
    <n v="250.03999999999996"/>
    <n v="0"/>
    <n v="1022.9105800000001"/>
    <n v="1301.3168800000001"/>
    <n v="0"/>
    <n v="1498.1564732055785"/>
    <n v="1231.4097464705221"/>
  </r>
  <r>
    <s v="Regular"/>
    <x v="4"/>
    <x v="4"/>
    <x v="2"/>
    <x v="0"/>
    <x v="1"/>
    <x v="0"/>
    <x v="0"/>
    <x v="5"/>
    <n v="0"/>
    <n v="0"/>
    <n v="4.0140000000000002"/>
    <n v="4.0140000000000002"/>
    <n v="4.0140000000000002"/>
    <n v="4.0140000000000002"/>
    <n v="0"/>
    <x v="2"/>
    <n v="0"/>
    <n v="0"/>
    <n v="76"/>
    <n v="51"/>
    <n v="0"/>
    <n v="225.41"/>
    <n v="286.76"/>
    <m/>
    <n v="261.33999999999997"/>
    <n v="250.03999999999996"/>
    <n v="0"/>
    <n v="904.79574000000002"/>
    <n v="1151.0546400000001"/>
    <n v="0"/>
    <n v="1325.1652894330525"/>
    <n v="1089.2196391213477"/>
  </r>
  <r>
    <s v="Regular"/>
    <x v="4"/>
    <x v="4"/>
    <x v="2"/>
    <x v="0"/>
    <x v="1"/>
    <x v="0"/>
    <x v="0"/>
    <x v="6"/>
    <n v="0"/>
    <n v="0"/>
    <n v="4.2480000000000002"/>
    <n v="4.2480000000000002"/>
    <n v="4.2480000000000002"/>
    <n v="4.2480000000000002"/>
    <n v="0"/>
    <x v="2"/>
    <n v="0"/>
    <n v="0"/>
    <n v="76"/>
    <n v="51"/>
    <n v="0"/>
    <n v="225.41"/>
    <n v="286.76"/>
    <m/>
    <n v="261.33999999999997"/>
    <n v="250.03999999999996"/>
    <n v="0"/>
    <n v="957.54168000000004"/>
    <n v="1218.1564800000001"/>
    <n v="0"/>
    <n v="1402.4170776062797"/>
    <n v="1152.7167481284216"/>
  </r>
  <r>
    <s v="Regular"/>
    <x v="4"/>
    <x v="4"/>
    <x v="2"/>
    <x v="0"/>
    <x v="1"/>
    <x v="0"/>
    <x v="0"/>
    <x v="7"/>
    <n v="0"/>
    <n v="0"/>
    <n v="4.3120000000000003"/>
    <n v="4.3120000000000003"/>
    <n v="4.3120000000000003"/>
    <n v="4.3120000000000003"/>
    <n v="0"/>
    <x v="2"/>
    <n v="0"/>
    <n v="0"/>
    <n v="76"/>
    <n v="51"/>
    <n v="0"/>
    <n v="225.41"/>
    <n v="286.76"/>
    <m/>
    <n v="261.33999999999997"/>
    <n v="250.03999999999996"/>
    <n v="0"/>
    <n v="971.96792000000005"/>
    <n v="1236.5091199999999"/>
    <n v="0"/>
    <n v="1423.5457718075043"/>
    <n v="1170.0834787970232"/>
  </r>
  <r>
    <s v="Regular"/>
    <x v="4"/>
    <x v="4"/>
    <x v="2"/>
    <x v="0"/>
    <x v="1"/>
    <x v="0"/>
    <x v="0"/>
    <x v="8"/>
    <n v="0"/>
    <n v="0"/>
    <n v="4.9260000000000002"/>
    <n v="4.9260000000000002"/>
    <n v="4.9260000000000002"/>
    <n v="4.9260000000000002"/>
    <n v="0"/>
    <x v="2"/>
    <n v="0"/>
    <n v="0"/>
    <n v="76"/>
    <n v="51"/>
    <n v="0"/>
    <n v="225.41"/>
    <n v="286.76"/>
    <m/>
    <n v="261.33999999999997"/>
    <n v="250.03999999999996"/>
    <n v="0"/>
    <n v="1110.3696600000001"/>
    <n v="1412.5797600000001"/>
    <n v="0"/>
    <n v="1626.2491818005024"/>
    <n v="1336.6955511489184"/>
  </r>
  <r>
    <s v="Regular"/>
    <x v="4"/>
    <x v="4"/>
    <x v="2"/>
    <x v="0"/>
    <x v="1"/>
    <x v="0"/>
    <x v="0"/>
    <x v="9"/>
    <n v="0"/>
    <n v="0"/>
    <n v="6.1130000000000004"/>
    <n v="6.1130000000000004"/>
    <n v="6.1130000000000004"/>
    <n v="6.1130000000000004"/>
    <n v="0"/>
    <x v="2"/>
    <n v="0"/>
    <n v="0"/>
    <n v="76"/>
    <n v="51"/>
    <n v="0"/>
    <n v="225.41"/>
    <n v="286.76"/>
    <m/>
    <n v="261.33999999999997"/>
    <n v="250.03999999999996"/>
    <n v="0"/>
    <n v="1377.9313300000001"/>
    <n v="1752.96388"/>
    <n v="0"/>
    <n v="2018.120432063839"/>
    <n v="1658.794134018136"/>
  </r>
  <r>
    <s v="Regular"/>
    <x v="4"/>
    <x v="4"/>
    <x v="2"/>
    <x v="0"/>
    <x v="1"/>
    <x v="0"/>
    <x v="0"/>
    <x v="10"/>
    <n v="0"/>
    <n v="0"/>
    <n v="7.43"/>
    <n v="7.43"/>
    <n v="7.43"/>
    <n v="7.43"/>
    <n v="0"/>
    <x v="2"/>
    <n v="0"/>
    <n v="0"/>
    <n v="76"/>
    <n v="51"/>
    <n v="0"/>
    <n v="225.41"/>
    <n v="286.76"/>
    <m/>
    <n v="261.33999999999997"/>
    <n v="250.03999999999996"/>
    <n v="0"/>
    <n v="1674.7963"/>
    <n v="2130.6268"/>
    <n v="0"/>
    <n v="2452.9093424234129"/>
    <n v="2016.1688885579501"/>
  </r>
  <r>
    <s v="Regular"/>
    <x v="4"/>
    <x v="4"/>
    <x v="2"/>
    <x v="0"/>
    <x v="1"/>
    <x v="0"/>
    <x v="0"/>
    <x v="11"/>
    <n v="0"/>
    <n v="0"/>
    <n v="6.3680000000000003"/>
    <n v="6.3680000000000003"/>
    <n v="6.3680000000000003"/>
    <n v="6.3680000000000003"/>
    <n v="0"/>
    <x v="2"/>
    <n v="0"/>
    <n v="0"/>
    <n v="76"/>
    <n v="51"/>
    <n v="0"/>
    <n v="225.41"/>
    <n v="286.76"/>
    <m/>
    <n v="261.33999999999997"/>
    <n v="250.03999999999996"/>
    <n v="0"/>
    <n v="1435.4108800000001"/>
    <n v="1826.0876800000001"/>
    <n v="0"/>
    <n v="2102.3050730218429"/>
    <n v="1727.989701525845"/>
  </r>
  <r>
    <s v="Regular"/>
    <x v="4"/>
    <x v="4"/>
    <x v="2"/>
    <x v="0"/>
    <x v="1"/>
    <x v="0"/>
    <x v="0"/>
    <x v="0"/>
    <n v="0"/>
    <n v="0"/>
    <n v="5.8129999999999997"/>
    <n v="5.8129999999999997"/>
    <n v="5.8129999999999997"/>
    <n v="5.8129999999999997"/>
    <n v="0"/>
    <x v="2"/>
    <n v="0"/>
    <n v="0"/>
    <n v="76"/>
    <n v="51"/>
    <n v="0"/>
    <n v="225.41"/>
    <n v="286.76"/>
    <m/>
    <n v="261.33999999999997"/>
    <n v="250.03999999999996"/>
    <n v="0"/>
    <n v="1310.3083299999998"/>
    <n v="1666.9358799999998"/>
    <n v="0"/>
    <n v="1919.0796779955988"/>
    <n v="1577.3875840090666"/>
  </r>
  <r>
    <s v="Regular"/>
    <x v="4"/>
    <x v="4"/>
    <x v="2"/>
    <x v="0"/>
    <x v="1"/>
    <x v="0"/>
    <x v="0"/>
    <x v="1"/>
    <n v="0"/>
    <n v="0"/>
    <n v="4.8"/>
    <n v="4.8"/>
    <n v="4.8"/>
    <n v="4.8"/>
    <n v="0"/>
    <x v="2"/>
    <n v="0"/>
    <n v="0"/>
    <n v="76"/>
    <n v="51"/>
    <n v="0"/>
    <n v="225.41"/>
    <n v="286.76"/>
    <m/>
    <n v="261.33999999999997"/>
    <n v="250.03999999999996"/>
    <n v="0"/>
    <n v="1081.9679999999998"/>
    <n v="1376.4479999999999"/>
    <n v="0"/>
    <n v="1584.6520650918415"/>
    <n v="1302.5048001451091"/>
  </r>
  <r>
    <s v="Regular"/>
    <x v="4"/>
    <x v="4"/>
    <x v="2"/>
    <x v="0"/>
    <x v="1"/>
    <x v="0"/>
    <x v="0"/>
    <x v="2"/>
    <n v="0"/>
    <n v="0"/>
    <n v="5.0640000000000001"/>
    <n v="5.0640000000000001"/>
    <n v="5.0640000000000001"/>
    <n v="5.0640000000000001"/>
    <n v="0"/>
    <x v="2"/>
    <n v="0"/>
    <n v="0"/>
    <n v="76"/>
    <n v="51"/>
    <n v="0"/>
    <n v="225.41"/>
    <n v="286.76"/>
    <m/>
    <n v="261.33999999999997"/>
    <n v="250.03999999999996"/>
    <n v="0"/>
    <n v="1141.47624"/>
    <n v="1452.15264"/>
    <n v="0"/>
    <n v="1671.8079286718928"/>
    <n v="1374.1425641530902"/>
  </r>
  <r>
    <s v="Regular"/>
    <x v="4"/>
    <x v="4"/>
    <x v="2"/>
    <x v="0"/>
    <x v="1"/>
    <x v="0"/>
    <x v="0"/>
    <x v="3"/>
    <n v="0"/>
    <n v="0"/>
    <n v="5.016"/>
    <n v="5.016"/>
    <n v="5.016"/>
    <n v="5.016"/>
    <n v="0"/>
    <x v="2"/>
    <n v="0"/>
    <n v="0"/>
    <n v="76"/>
    <n v="51"/>
    <n v="0"/>
    <n v="225.41"/>
    <n v="286.76"/>
    <m/>
    <n v="261.33999999999997"/>
    <n v="250.03999999999996"/>
    <n v="0"/>
    <n v="1130.6565599999999"/>
    <n v="1438.38816"/>
    <n v="0"/>
    <n v="1655.9614080209744"/>
    <n v="1361.1175161516392"/>
  </r>
  <r>
    <s v="Regular"/>
    <x v="4"/>
    <x v="4"/>
    <x v="2"/>
    <x v="0"/>
    <x v="1"/>
    <x v="0"/>
    <x v="3"/>
    <x v="4"/>
    <n v="0"/>
    <n v="0"/>
    <n v="0.317"/>
    <n v="0.317"/>
    <n v="0.317"/>
    <n v="0.317"/>
    <n v="0"/>
    <x v="2"/>
    <n v="0"/>
    <n v="0"/>
    <n v="75"/>
    <n v="48"/>
    <n v="0"/>
    <n v="543.07000000000005"/>
    <n v="286.76"/>
    <m/>
    <n v="470.22"/>
    <n v="250.03999999999996"/>
    <n v="0"/>
    <n v="172.15319000000002"/>
    <n v="90.902919999999995"/>
    <n v="0"/>
    <n v="225.77506748187909"/>
    <n v="86.019587842916593"/>
  </r>
  <r>
    <s v="Regular"/>
    <x v="4"/>
    <x v="4"/>
    <x v="2"/>
    <x v="0"/>
    <x v="1"/>
    <x v="0"/>
    <x v="3"/>
    <x v="5"/>
    <n v="0"/>
    <n v="0"/>
    <n v="0.27900000000000003"/>
    <n v="0.27900000000000003"/>
    <n v="0.27900000000000003"/>
    <n v="0.27900000000000003"/>
    <n v="0"/>
    <x v="2"/>
    <n v="0"/>
    <n v="0"/>
    <n v="75"/>
    <n v="48"/>
    <n v="0"/>
    <n v="543.07000000000005"/>
    <n v="286.76"/>
    <m/>
    <n v="470.22"/>
    <n v="250.03999999999996"/>
    <n v="0"/>
    <n v="151.51653000000002"/>
    <n v="80.006039999999999"/>
    <n v="0"/>
    <n v="198.71054835155923"/>
    <n v="75.708091508434478"/>
  </r>
  <r>
    <s v="Regular"/>
    <x v="4"/>
    <x v="4"/>
    <x v="2"/>
    <x v="0"/>
    <x v="1"/>
    <x v="0"/>
    <x v="3"/>
    <x v="6"/>
    <n v="0"/>
    <n v="0"/>
    <n v="0.27600000000000002"/>
    <n v="0.27600000000000002"/>
    <n v="0.27600000000000002"/>
    <n v="0.27600000000000002"/>
    <n v="0"/>
    <x v="2"/>
    <n v="0"/>
    <n v="0"/>
    <n v="75"/>
    <n v="48"/>
    <n v="0"/>
    <n v="543.07000000000005"/>
    <n v="286.76"/>
    <m/>
    <n v="470.22"/>
    <n v="250.03999999999996"/>
    <n v="0"/>
    <n v="149.88732000000002"/>
    <n v="79.14576000000001"/>
    <n v="0"/>
    <n v="196.57387578863921"/>
    <n v="74.894026008343786"/>
  </r>
  <r>
    <s v="Regular"/>
    <x v="4"/>
    <x v="4"/>
    <x v="2"/>
    <x v="0"/>
    <x v="1"/>
    <x v="0"/>
    <x v="3"/>
    <x v="7"/>
    <n v="0"/>
    <n v="0"/>
    <n v="0.26500000000000001"/>
    <n v="0.26500000000000001"/>
    <n v="0.26500000000000001"/>
    <n v="0.26500000000000001"/>
    <n v="0"/>
    <x v="2"/>
    <n v="0"/>
    <n v="0"/>
    <n v="75"/>
    <n v="48"/>
    <n v="0"/>
    <n v="543.07000000000005"/>
    <n v="286.76"/>
    <m/>
    <n v="470.22"/>
    <n v="250.03999999999996"/>
    <n v="0"/>
    <n v="143.91355000000001"/>
    <n v="75.991399999999999"/>
    <n v="0"/>
    <n v="188.73940972459926"/>
    <n v="71.909119174677912"/>
  </r>
  <r>
    <s v="Regular"/>
    <x v="4"/>
    <x v="4"/>
    <x v="2"/>
    <x v="0"/>
    <x v="1"/>
    <x v="0"/>
    <x v="3"/>
    <x v="8"/>
    <n v="0"/>
    <n v="0"/>
    <n v="0.27800000000000002"/>
    <n v="0.27800000000000002"/>
    <n v="0.27800000000000002"/>
    <n v="0.27800000000000002"/>
    <n v="0"/>
    <x v="2"/>
    <n v="0"/>
    <n v="0"/>
    <n v="75"/>
    <n v="48"/>
    <n v="0"/>
    <n v="543.07000000000005"/>
    <n v="286.76"/>
    <m/>
    <n v="470.22"/>
    <n v="250.03999999999996"/>
    <n v="0"/>
    <n v="150.97346000000002"/>
    <n v="79.719279999999998"/>
    <n v="0"/>
    <n v="197.99832416391922"/>
    <n v="75.436736341737586"/>
  </r>
  <r>
    <s v="Regular"/>
    <x v="4"/>
    <x v="4"/>
    <x v="2"/>
    <x v="0"/>
    <x v="1"/>
    <x v="0"/>
    <x v="3"/>
    <x v="9"/>
    <n v="0"/>
    <n v="0"/>
    <n v="0.309"/>
    <n v="0.309"/>
    <n v="0.309"/>
    <n v="0.309"/>
    <n v="0"/>
    <x v="2"/>
    <n v="0"/>
    <n v="0"/>
    <n v="75"/>
    <n v="48"/>
    <n v="0"/>
    <n v="543.07000000000005"/>
    <n v="286.76"/>
    <m/>
    <n v="470.22"/>
    <n v="250.03999999999996"/>
    <n v="0"/>
    <n v="167.80863000000002"/>
    <n v="88.608840000000001"/>
    <n v="0"/>
    <n v="220.07727398075912"/>
    <n v="83.84874650934141"/>
  </r>
  <r>
    <s v="Regular"/>
    <x v="4"/>
    <x v="4"/>
    <x v="2"/>
    <x v="0"/>
    <x v="1"/>
    <x v="0"/>
    <x v="3"/>
    <x v="10"/>
    <n v="0"/>
    <n v="0"/>
    <n v="0.38400000000000001"/>
    <n v="0.38400000000000001"/>
    <n v="0.38400000000000001"/>
    <n v="0.38400000000000001"/>
    <n v="0"/>
    <x v="2"/>
    <n v="0"/>
    <n v="0"/>
    <n v="75"/>
    <n v="48"/>
    <n v="0"/>
    <n v="543.07000000000005"/>
    <n v="286.76"/>
    <m/>
    <n v="470.22"/>
    <n v="250.03999999999996"/>
    <n v="0"/>
    <n v="208.53888000000003"/>
    <n v="110.11584000000001"/>
    <n v="0"/>
    <n v="273.4940880537589"/>
    <n v="104.20038401160873"/>
  </r>
  <r>
    <s v="Regular"/>
    <x v="4"/>
    <x v="4"/>
    <x v="2"/>
    <x v="0"/>
    <x v="1"/>
    <x v="0"/>
    <x v="3"/>
    <x v="11"/>
    <n v="0"/>
    <n v="0"/>
    <n v="0.29599999999999999"/>
    <n v="0.29599999999999999"/>
    <n v="0.29599999999999999"/>
    <n v="0.29599999999999999"/>
    <n v="0"/>
    <x v="2"/>
    <n v="0"/>
    <n v="0"/>
    <n v="75"/>
    <n v="48"/>
    <n v="0"/>
    <n v="543.07000000000005"/>
    <n v="286.76"/>
    <m/>
    <n v="470.22"/>
    <n v="250.03999999999996"/>
    <n v="0"/>
    <n v="160.74872000000002"/>
    <n v="84.880959999999988"/>
    <n v="0"/>
    <n v="210.81835954143915"/>
    <n v="80.321129342281736"/>
  </r>
  <r>
    <s v="Regular"/>
    <x v="4"/>
    <x v="4"/>
    <x v="2"/>
    <x v="0"/>
    <x v="1"/>
    <x v="0"/>
    <x v="3"/>
    <x v="0"/>
    <n v="0"/>
    <n v="0"/>
    <n v="0.317"/>
    <n v="0.317"/>
    <n v="0.317"/>
    <n v="0.317"/>
    <n v="0"/>
    <x v="2"/>
    <n v="0"/>
    <n v="0"/>
    <n v="75"/>
    <n v="48"/>
    <n v="0"/>
    <n v="543.07000000000005"/>
    <n v="286.76"/>
    <m/>
    <n v="470.22"/>
    <n v="250.03999999999996"/>
    <n v="0"/>
    <n v="172.15319000000002"/>
    <n v="90.902919999999995"/>
    <n v="0"/>
    <n v="225.77506748187909"/>
    <n v="86.019587842916593"/>
  </r>
  <r>
    <s v="Regular"/>
    <x v="4"/>
    <x v="4"/>
    <x v="2"/>
    <x v="0"/>
    <x v="1"/>
    <x v="0"/>
    <x v="3"/>
    <x v="1"/>
    <n v="0"/>
    <n v="0"/>
    <n v="0.32100000000000001"/>
    <n v="0.32100000000000001"/>
    <n v="0.32100000000000001"/>
    <n v="0.32100000000000001"/>
    <n v="0"/>
    <x v="2"/>
    <n v="0"/>
    <n v="0"/>
    <n v="75"/>
    <n v="48"/>
    <n v="0"/>
    <n v="543.07000000000005"/>
    <n v="286.76"/>
    <m/>
    <n v="470.22"/>
    <n v="250.03999999999996"/>
    <n v="0"/>
    <n v="174.32547000000002"/>
    <n v="92.049959999999999"/>
    <n v="0"/>
    <n v="228.62396423243908"/>
    <n v="87.105008509704177"/>
  </r>
  <r>
    <s v="Regular"/>
    <x v="4"/>
    <x v="4"/>
    <x v="2"/>
    <x v="0"/>
    <x v="1"/>
    <x v="0"/>
    <x v="3"/>
    <x v="2"/>
    <n v="0"/>
    <n v="0"/>
    <n v="0.35"/>
    <n v="0.35"/>
    <n v="0.35"/>
    <n v="0.35"/>
    <n v="0"/>
    <x v="2"/>
    <n v="0"/>
    <n v="0"/>
    <n v="75"/>
    <n v="48"/>
    <n v="0"/>
    <n v="543.07000000000005"/>
    <n v="286.76"/>
    <m/>
    <n v="470.22"/>
    <n v="250.03999999999996"/>
    <n v="0"/>
    <n v="190.0745"/>
    <n v="100.36599999999999"/>
    <n v="0"/>
    <n v="249.27846567399897"/>
    <n v="94.974308343914203"/>
  </r>
  <r>
    <s v="Regular"/>
    <x v="4"/>
    <x v="4"/>
    <x v="2"/>
    <x v="0"/>
    <x v="1"/>
    <x v="0"/>
    <x v="3"/>
    <x v="3"/>
    <n v="0"/>
    <n v="0"/>
    <n v="0.36599999999999999"/>
    <n v="0.36599999999999999"/>
    <n v="0.36599999999999999"/>
    <n v="0.36599999999999999"/>
    <n v="0"/>
    <x v="2"/>
    <n v="0"/>
    <n v="0"/>
    <n v="75"/>
    <n v="48"/>
    <n v="0"/>
    <n v="543.07000000000005"/>
    <n v="286.76"/>
    <m/>
    <n v="470.22"/>
    <n v="250.03999999999996"/>
    <n v="0"/>
    <n v="198.76362"/>
    <n v="104.95415999999999"/>
    <n v="0"/>
    <n v="260.67405267623894"/>
    <n v="99.315991011064582"/>
  </r>
  <r>
    <s v="Regular"/>
    <x v="4"/>
    <x v="4"/>
    <x v="2"/>
    <x v="0"/>
    <x v="1"/>
    <x v="0"/>
    <x v="2"/>
    <x v="4"/>
    <n v="0"/>
    <n v="0"/>
    <n v="0.32400000000000001"/>
    <n v="0.32400000000000001"/>
    <n v="0.32400000000000001"/>
    <n v="0.32400000000000001"/>
    <n v="0"/>
    <x v="2"/>
    <n v="0"/>
    <n v="0"/>
    <n v="74"/>
    <n v="47"/>
    <n v="0"/>
    <n v="1905.55"/>
    <n v="488.15"/>
    <m/>
    <n v="679.11000000000035"/>
    <n v="399.84"/>
    <n v="0"/>
    <n v="617.39819999999997"/>
    <n v="158.16059999999999"/>
    <n v="0"/>
    <n v="761.743838376849"/>
    <n v="149.38353288965197"/>
  </r>
  <r>
    <s v="Regular"/>
    <x v="4"/>
    <x v="4"/>
    <x v="2"/>
    <x v="0"/>
    <x v="1"/>
    <x v="0"/>
    <x v="2"/>
    <x v="5"/>
    <n v="0"/>
    <n v="0"/>
    <n v="0.315"/>
    <n v="0.315"/>
    <n v="0.315"/>
    <n v="0.315"/>
    <n v="0"/>
    <x v="2"/>
    <n v="0"/>
    <n v="0"/>
    <n v="74"/>
    <n v="47"/>
    <n v="0"/>
    <n v="1905.55"/>
    <n v="488.15"/>
    <m/>
    <n v="679.11000000000035"/>
    <n v="399.84"/>
    <n v="0"/>
    <n v="600.24824999999998"/>
    <n v="153.76724999999999"/>
    <n v="0"/>
    <n v="740.5842873108254"/>
    <n v="145.23399030938387"/>
  </r>
  <r>
    <s v="Regular"/>
    <x v="4"/>
    <x v="4"/>
    <x v="2"/>
    <x v="0"/>
    <x v="1"/>
    <x v="0"/>
    <x v="2"/>
    <x v="6"/>
    <n v="0"/>
    <n v="0"/>
    <n v="0.311"/>
    <n v="0.311"/>
    <n v="0.311"/>
    <n v="0.311"/>
    <n v="0"/>
    <x v="2"/>
    <n v="0"/>
    <n v="0"/>
    <n v="74"/>
    <n v="47"/>
    <n v="0"/>
    <n v="1905.55"/>
    <n v="488.15"/>
    <m/>
    <n v="679.11000000000035"/>
    <n v="399.84"/>
    <n v="0"/>
    <n v="592.62604999999996"/>
    <n v="151.81465"/>
    <n v="0"/>
    <n v="731.18004239259267"/>
    <n v="143.38974916259804"/>
  </r>
  <r>
    <s v="Regular"/>
    <x v="4"/>
    <x v="4"/>
    <x v="2"/>
    <x v="0"/>
    <x v="1"/>
    <x v="0"/>
    <x v="2"/>
    <x v="7"/>
    <n v="0"/>
    <n v="0"/>
    <n v="0.29399999999999998"/>
    <n v="0.29399999999999998"/>
    <n v="0.29399999999999998"/>
    <n v="0.29399999999999998"/>
    <n v="0"/>
    <x v="2"/>
    <n v="0"/>
    <n v="0"/>
    <n v="74"/>
    <n v="47"/>
    <n v="0"/>
    <n v="1905.55"/>
    <n v="488.15"/>
    <m/>
    <n v="679.11000000000035"/>
    <n v="399.84"/>
    <n v="0"/>
    <n v="560.23169999999993"/>
    <n v="143.51609999999999"/>
    <n v="0"/>
    <n v="691.21200149010372"/>
    <n v="135.55172428875827"/>
  </r>
  <r>
    <s v="Regular"/>
    <x v="4"/>
    <x v="4"/>
    <x v="2"/>
    <x v="0"/>
    <x v="1"/>
    <x v="0"/>
    <x v="2"/>
    <x v="8"/>
    <n v="0"/>
    <n v="0"/>
    <n v="0.27800000000000002"/>
    <n v="0.27800000000000002"/>
    <n v="0.27800000000000002"/>
    <n v="0.27800000000000002"/>
    <n v="0"/>
    <x v="2"/>
    <n v="0"/>
    <n v="0"/>
    <n v="74"/>
    <n v="47"/>
    <n v="0"/>
    <n v="1905.55"/>
    <n v="488.15"/>
    <m/>
    <n v="679.11000000000035"/>
    <n v="399.84"/>
    <n v="0"/>
    <n v="529.74290000000008"/>
    <n v="135.70570000000001"/>
    <n v="0"/>
    <n v="653.59502181717301"/>
    <n v="128.17475970161499"/>
  </r>
  <r>
    <s v="Regular"/>
    <x v="4"/>
    <x v="4"/>
    <x v="2"/>
    <x v="0"/>
    <x v="1"/>
    <x v="0"/>
    <x v="2"/>
    <x v="9"/>
    <n v="0"/>
    <n v="0"/>
    <n v="0.40500000000000003"/>
    <n v="0.40500000000000003"/>
    <n v="0.40500000000000003"/>
    <n v="0.40500000000000003"/>
    <n v="0"/>
    <x v="2"/>
    <n v="0"/>
    <n v="0"/>
    <n v="74"/>
    <n v="47"/>
    <n v="0"/>
    <n v="1905.55"/>
    <n v="488.15"/>
    <m/>
    <n v="679.11000000000035"/>
    <n v="399.84"/>
    <n v="0"/>
    <n v="771.74775"/>
    <n v="197.70075"/>
    <n v="0"/>
    <n v="952.17979797106136"/>
    <n v="186.729416112065"/>
  </r>
  <r>
    <s v="Regular"/>
    <x v="4"/>
    <x v="4"/>
    <x v="2"/>
    <x v="0"/>
    <x v="1"/>
    <x v="0"/>
    <x v="2"/>
    <x v="10"/>
    <n v="0"/>
    <n v="0"/>
    <n v="0.36899999999999999"/>
    <n v="0.36899999999999999"/>
    <n v="0.36899999999999999"/>
    <n v="0.36899999999999999"/>
    <n v="0"/>
    <x v="2"/>
    <n v="0"/>
    <n v="0"/>
    <n v="74"/>
    <n v="47"/>
    <n v="0"/>
    <n v="1905.55"/>
    <n v="488.15"/>
    <m/>
    <n v="679.11000000000035"/>
    <n v="399.84"/>
    <n v="0"/>
    <n v="703.14794999999992"/>
    <n v="180.12734999999998"/>
    <n v="0"/>
    <n v="867.54159370696686"/>
    <n v="170.13124579099252"/>
  </r>
  <r>
    <s v="Regular"/>
    <x v="4"/>
    <x v="4"/>
    <x v="2"/>
    <x v="0"/>
    <x v="1"/>
    <x v="0"/>
    <x v="2"/>
    <x v="11"/>
    <n v="0"/>
    <n v="0"/>
    <n v="0.29699999999999999"/>
    <n v="0.29699999999999999"/>
    <n v="0.29699999999999999"/>
    <n v="0.29699999999999999"/>
    <n v="0"/>
    <x v="2"/>
    <n v="0"/>
    <n v="0"/>
    <n v="74"/>
    <n v="47"/>
    <n v="0"/>
    <n v="1905.55"/>
    <n v="488.15"/>
    <m/>
    <n v="679.11000000000035"/>
    <n v="399.84"/>
    <n v="0"/>
    <n v="565.94835"/>
    <n v="144.98054999999999"/>
    <n v="0"/>
    <n v="698.26518517877821"/>
    <n v="136.93490514884763"/>
  </r>
  <r>
    <s v="Regular"/>
    <x v="4"/>
    <x v="4"/>
    <x v="2"/>
    <x v="0"/>
    <x v="1"/>
    <x v="0"/>
    <x v="2"/>
    <x v="0"/>
    <n v="0"/>
    <n v="0"/>
    <n v="0.32100000000000001"/>
    <n v="0.32100000000000001"/>
    <n v="0.32100000000000001"/>
    <n v="0.32100000000000001"/>
    <n v="0"/>
    <x v="2"/>
    <n v="0"/>
    <n v="0"/>
    <n v="74"/>
    <n v="47"/>
    <n v="0"/>
    <n v="1905.55"/>
    <n v="488.15"/>
    <m/>
    <n v="679.11000000000035"/>
    <n v="399.84"/>
    <n v="0"/>
    <n v="611.68155000000002"/>
    <n v="156.69614999999999"/>
    <n v="0"/>
    <n v="754.6906546881745"/>
    <n v="148.00035202956261"/>
  </r>
  <r>
    <s v="Regular"/>
    <x v="4"/>
    <x v="4"/>
    <x v="2"/>
    <x v="0"/>
    <x v="1"/>
    <x v="0"/>
    <x v="2"/>
    <x v="1"/>
    <n v="0"/>
    <n v="0"/>
    <n v="0.35299999999999998"/>
    <n v="0.35299999999999998"/>
    <n v="0.35299999999999998"/>
    <n v="0.35299999999999998"/>
    <n v="0"/>
    <x v="2"/>
    <n v="0"/>
    <n v="0"/>
    <n v="74"/>
    <n v="47"/>
    <n v="0"/>
    <n v="1905.55"/>
    <n v="488.15"/>
    <m/>
    <n v="679.11000000000035"/>
    <n v="399.84"/>
    <n v="0"/>
    <n v="672.65914999999995"/>
    <n v="172.31694999999999"/>
    <n v="0"/>
    <n v="829.92461403403604"/>
    <n v="162.75428120384922"/>
  </r>
  <r>
    <s v="Regular"/>
    <x v="4"/>
    <x v="4"/>
    <x v="2"/>
    <x v="0"/>
    <x v="1"/>
    <x v="0"/>
    <x v="2"/>
    <x v="2"/>
    <n v="0"/>
    <n v="0"/>
    <n v="0.36399999999999999"/>
    <n v="0.36399999999999999"/>
    <n v="0.36399999999999999"/>
    <n v="0.36399999999999999"/>
    <n v="0"/>
    <x v="2"/>
    <n v="0"/>
    <n v="0"/>
    <n v="74"/>
    <n v="47"/>
    <n v="0"/>
    <n v="1905.55"/>
    <n v="488.15"/>
    <m/>
    <n v="679.11000000000035"/>
    <n v="399.84"/>
    <n v="0"/>
    <n v="693.62019999999995"/>
    <n v="177.6866"/>
    <n v="0"/>
    <n v="855.786287559176"/>
    <n v="167.82594435751025"/>
  </r>
  <r>
    <s v="Regular"/>
    <x v="4"/>
    <x v="4"/>
    <x v="2"/>
    <x v="0"/>
    <x v="1"/>
    <x v="0"/>
    <x v="2"/>
    <x v="3"/>
    <n v="0"/>
    <n v="0"/>
    <n v="0.34799999999999998"/>
    <n v="0.34799999999999998"/>
    <n v="0.34799999999999998"/>
    <n v="0.34799999999999998"/>
    <n v="0"/>
    <x v="2"/>
    <n v="0"/>
    <n v="0"/>
    <n v="74"/>
    <n v="47"/>
    <n v="0"/>
    <n v="1905.55"/>
    <n v="488.15"/>
    <m/>
    <n v="679.11000000000035"/>
    <n v="399.84"/>
    <n v="0"/>
    <n v="663.13139999999999"/>
    <n v="169.87619999999998"/>
    <n v="0"/>
    <n v="818.16930788624518"/>
    <n v="160.44897977036692"/>
  </r>
  <r>
    <s v="Regular"/>
    <x v="4"/>
    <x v="4"/>
    <x v="0"/>
    <x v="0"/>
    <x v="1"/>
    <x v="0"/>
    <x v="0"/>
    <x v="4"/>
    <n v="0"/>
    <n v="0"/>
    <n v="6.9989999999999997"/>
    <n v="6.9989999999999997"/>
    <n v="6.9989999999999997"/>
    <n v="6.9989999999999997"/>
    <n v="0"/>
    <x v="2"/>
    <n v="0"/>
    <n v="0"/>
    <n v="76"/>
    <n v="51"/>
    <n v="0"/>
    <n v="225.41"/>
    <n v="286.76"/>
    <m/>
    <n v="261.33999999999997"/>
    <n v="250.03999999999996"/>
    <n v="0"/>
    <n v="1577.6445899999999"/>
    <n v="2007.0332399999998"/>
    <n v="0"/>
    <n v="2310.6207924120413"/>
    <n v="1899.2148117115873"/>
  </r>
  <r>
    <s v="Regular"/>
    <x v="4"/>
    <x v="4"/>
    <x v="0"/>
    <x v="0"/>
    <x v="1"/>
    <x v="0"/>
    <x v="0"/>
    <x v="5"/>
    <n v="0"/>
    <n v="0"/>
    <n v="7.8239999999999998"/>
    <n v="7.8239999999999998"/>
    <n v="7.8239999999999998"/>
    <n v="7.8239999999999998"/>
    <n v="0"/>
    <x v="2"/>
    <n v="0"/>
    <n v="0"/>
    <n v="76"/>
    <n v="51"/>
    <n v="0"/>
    <n v="225.41"/>
    <n v="286.76"/>
    <m/>
    <n v="261.33999999999997"/>
    <n v="250.03999999999996"/>
    <n v="0"/>
    <n v="1763.6078399999999"/>
    <n v="2243.61024"/>
    <n v="0"/>
    <n v="2582.9828660997014"/>
    <n v="2123.0828242365278"/>
  </r>
  <r>
    <s v="Regular"/>
    <x v="4"/>
    <x v="4"/>
    <x v="0"/>
    <x v="0"/>
    <x v="1"/>
    <x v="0"/>
    <x v="0"/>
    <x v="6"/>
    <n v="0"/>
    <n v="0"/>
    <n v="8.3190000000000008"/>
    <n v="8.3190000000000008"/>
    <n v="8.3190000000000008"/>
    <n v="8.3190000000000008"/>
    <n v="0"/>
    <x v="2"/>
    <n v="0"/>
    <n v="0"/>
    <n v="76"/>
    <n v="51"/>
    <n v="0"/>
    <n v="225.41"/>
    <n v="286.76"/>
    <m/>
    <n v="261.33999999999997"/>
    <n v="250.03999999999996"/>
    <n v="0"/>
    <n v="1875.1857900000002"/>
    <n v="2385.5564400000003"/>
    <n v="0"/>
    <n v="2746.4001103122978"/>
    <n v="2257.4036317514929"/>
  </r>
  <r>
    <s v="Regular"/>
    <x v="4"/>
    <x v="4"/>
    <x v="0"/>
    <x v="0"/>
    <x v="1"/>
    <x v="0"/>
    <x v="0"/>
    <x v="7"/>
    <n v="0"/>
    <n v="0"/>
    <n v="7.0270000000000001"/>
    <n v="7.0270000000000001"/>
    <n v="7.0270000000000001"/>
    <n v="7.0270000000000001"/>
    <n v="0"/>
    <x v="2"/>
    <n v="0"/>
    <n v="0"/>
    <n v="76"/>
    <n v="51"/>
    <n v="0"/>
    <n v="225.41"/>
    <n v="286.76"/>
    <m/>
    <n v="261.33999999999997"/>
    <n v="250.03999999999996"/>
    <n v="0"/>
    <n v="1583.95607"/>
    <n v="2015.0625199999999"/>
    <n v="0"/>
    <n v="2319.8645961250772"/>
    <n v="1906.8127563791006"/>
  </r>
  <r>
    <s v="Regular"/>
    <x v="4"/>
    <x v="4"/>
    <x v="0"/>
    <x v="0"/>
    <x v="1"/>
    <x v="0"/>
    <x v="0"/>
    <x v="8"/>
    <n v="0"/>
    <n v="0"/>
    <n v="6.6589999999999998"/>
    <n v="6.6589999999999998"/>
    <n v="6.6589999999999998"/>
    <n v="6.6589999999999998"/>
    <n v="0"/>
    <x v="2"/>
    <n v="0"/>
    <n v="0"/>
    <n v="76"/>
    <n v="51"/>
    <n v="0"/>
    <n v="225.41"/>
    <n v="286.76"/>
    <m/>
    <n v="261.33999999999997"/>
    <n v="250.03999999999996"/>
    <n v="0"/>
    <n v="1501.0051899999999"/>
    <n v="1909.5348399999998"/>
    <n v="0"/>
    <n v="2198.3746044680356"/>
    <n v="1806.9540550346421"/>
  </r>
  <r>
    <s v="Regular"/>
    <x v="4"/>
    <x v="4"/>
    <x v="0"/>
    <x v="0"/>
    <x v="1"/>
    <x v="0"/>
    <x v="0"/>
    <x v="9"/>
    <n v="0"/>
    <n v="0"/>
    <n v="7.5110000000000001"/>
    <n v="7.5110000000000001"/>
    <n v="7.5110000000000001"/>
    <n v="7.5110000000000001"/>
    <n v="0"/>
    <x v="2"/>
    <n v="0"/>
    <n v="0"/>
    <n v="76"/>
    <n v="51"/>
    <n v="0"/>
    <n v="225.41"/>
    <n v="286.76"/>
    <m/>
    <n v="261.33999999999997"/>
    <n v="250.03999999999996"/>
    <n v="0"/>
    <n v="1693.0545099999999"/>
    <n v="2153.8543599999998"/>
    <n v="0"/>
    <n v="2479.6503460218378"/>
    <n v="2038.148657060399"/>
  </r>
  <r>
    <s v="Regular"/>
    <x v="4"/>
    <x v="4"/>
    <x v="0"/>
    <x v="0"/>
    <x v="1"/>
    <x v="0"/>
    <x v="0"/>
    <x v="10"/>
    <n v="0"/>
    <n v="0"/>
    <n v="8.2100000000000009"/>
    <n v="8.2100000000000009"/>
    <n v="8.2100000000000009"/>
    <n v="8.2100000000000009"/>
    <n v="0"/>
    <x v="2"/>
    <n v="0"/>
    <n v="0"/>
    <n v="76"/>
    <n v="51"/>
    <n v="0"/>
    <n v="225.41"/>
    <n v="286.76"/>
    <m/>
    <n v="261.33999999999997"/>
    <n v="250.03999999999996"/>
    <n v="0"/>
    <n v="1850.6161000000002"/>
    <n v="2354.2996000000003"/>
    <n v="0"/>
    <n v="2710.4153030008374"/>
    <n v="2227.8259185815309"/>
  </r>
  <r>
    <s v="Regular"/>
    <x v="4"/>
    <x v="4"/>
    <x v="0"/>
    <x v="0"/>
    <x v="1"/>
    <x v="0"/>
    <x v="0"/>
    <x v="11"/>
    <n v="0"/>
    <n v="0"/>
    <n v="6.6219999999999999"/>
    <n v="6.6219999999999999"/>
    <n v="6.6219999999999999"/>
    <n v="6.6219999999999999"/>
    <n v="0"/>
    <x v="2"/>
    <n v="0"/>
    <n v="0"/>
    <n v="76"/>
    <n v="51"/>
    <n v="0"/>
    <n v="225.41"/>
    <n v="286.76"/>
    <m/>
    <n v="261.33999999999997"/>
    <n v="250.03999999999996"/>
    <n v="0"/>
    <n v="1492.6650199999999"/>
    <n v="1898.92472"/>
    <n v="0"/>
    <n v="2186.1595781329529"/>
    <n v="1796.913913866857"/>
  </r>
  <r>
    <s v="Regular"/>
    <x v="4"/>
    <x v="4"/>
    <x v="0"/>
    <x v="0"/>
    <x v="1"/>
    <x v="0"/>
    <x v="0"/>
    <x v="0"/>
    <n v="0"/>
    <n v="0"/>
    <n v="6.51"/>
    <n v="6.51"/>
    <n v="6.51"/>
    <n v="6.51"/>
    <n v="0"/>
    <x v="2"/>
    <n v="0"/>
    <n v="0"/>
    <n v="76"/>
    <n v="51"/>
    <n v="0"/>
    <n v="225.41"/>
    <n v="286.76"/>
    <m/>
    <n v="261.33999999999997"/>
    <n v="250.03999999999996"/>
    <n v="0"/>
    <n v="1467.4190999999998"/>
    <n v="1866.8075999999999"/>
    <n v="0"/>
    <n v="2149.18436328081"/>
    <n v="1766.5221351968044"/>
  </r>
  <r>
    <s v="Regular"/>
    <x v="4"/>
    <x v="4"/>
    <x v="0"/>
    <x v="0"/>
    <x v="1"/>
    <x v="0"/>
    <x v="0"/>
    <x v="1"/>
    <n v="0"/>
    <n v="0"/>
    <n v="7.702"/>
    <n v="7.702"/>
    <n v="7.702"/>
    <n v="7.702"/>
    <n v="0"/>
    <x v="2"/>
    <n v="0"/>
    <n v="0"/>
    <n v="76"/>
    <n v="51"/>
    <n v="0"/>
    <n v="225.41"/>
    <n v="286.76"/>
    <m/>
    <n v="261.33999999999997"/>
    <n v="250.03999999999996"/>
    <n v="0"/>
    <n v="1736.1078199999999"/>
    <n v="2208.6255200000001"/>
    <n v="0"/>
    <n v="2542.7062927786174"/>
    <n v="2089.9774938995065"/>
  </r>
  <r>
    <s v="Regular"/>
    <x v="4"/>
    <x v="4"/>
    <x v="0"/>
    <x v="0"/>
    <x v="1"/>
    <x v="0"/>
    <x v="0"/>
    <x v="2"/>
    <n v="0"/>
    <n v="0"/>
    <n v="8.7870000000000008"/>
    <n v="8.7870000000000008"/>
    <n v="8.7870000000000008"/>
    <n v="8.7870000000000008"/>
    <n v="0"/>
    <x v="2"/>
    <n v="0"/>
    <n v="0"/>
    <n v="76"/>
    <n v="51"/>
    <n v="0"/>
    <n v="225.41"/>
    <n v="286.76"/>
    <m/>
    <n v="261.33999999999997"/>
    <n v="250.03999999999996"/>
    <n v="0"/>
    <n v="1980.6776700000003"/>
    <n v="2519.7601200000004"/>
    <n v="0"/>
    <n v="2900.9036866587526"/>
    <n v="2384.3978497656408"/>
  </r>
  <r>
    <s v="Regular"/>
    <x v="4"/>
    <x v="4"/>
    <x v="0"/>
    <x v="0"/>
    <x v="1"/>
    <x v="0"/>
    <x v="0"/>
    <x v="3"/>
    <n v="0"/>
    <n v="0"/>
    <n v="8.8219999999999992"/>
    <n v="8.8219999999999992"/>
    <n v="8.8219999999999992"/>
    <n v="8.8219999999999992"/>
    <n v="0"/>
    <x v="2"/>
    <n v="0"/>
    <n v="0"/>
    <n v="76"/>
    <n v="51"/>
    <n v="0"/>
    <n v="225.41"/>
    <n v="286.76"/>
    <m/>
    <n v="261.33999999999997"/>
    <n v="250.03999999999996"/>
    <n v="0"/>
    <n v="1988.5670199999997"/>
    <n v="2529.7967199999998"/>
    <n v="0"/>
    <n v="2912.4584413000466"/>
    <n v="2393.8952806000316"/>
  </r>
  <r>
    <s v="Regular"/>
    <x v="4"/>
    <x v="4"/>
    <x v="0"/>
    <x v="0"/>
    <x v="1"/>
    <x v="0"/>
    <x v="3"/>
    <x v="4"/>
    <n v="0"/>
    <n v="0"/>
    <n v="0.121"/>
    <n v="0.121"/>
    <n v="0.121"/>
    <n v="0.121"/>
    <n v="0"/>
    <x v="2"/>
    <n v="0"/>
    <n v="0"/>
    <n v="75"/>
    <n v="48"/>
    <n v="0"/>
    <n v="543.07000000000005"/>
    <n v="286.76"/>
    <m/>
    <n v="470.22"/>
    <n v="250.03999999999996"/>
    <n v="0"/>
    <n v="65.711470000000006"/>
    <n v="34.697959999999995"/>
    <n v="0"/>
    <n v="86.179126704439653"/>
    <n v="32.833975170324628"/>
  </r>
  <r>
    <s v="Regular"/>
    <x v="4"/>
    <x v="4"/>
    <x v="0"/>
    <x v="0"/>
    <x v="1"/>
    <x v="0"/>
    <x v="3"/>
    <x v="5"/>
    <n v="0"/>
    <n v="0"/>
    <n v="9.9000000000000005E-2"/>
    <n v="9.9000000000000005E-2"/>
    <n v="9.9000000000000005E-2"/>
    <n v="9.9000000000000005E-2"/>
    <n v="0"/>
    <x v="2"/>
    <n v="0"/>
    <n v="0"/>
    <n v="75"/>
    <n v="48"/>
    <n v="0"/>
    <n v="543.07000000000005"/>
    <n v="286.76"/>
    <m/>
    <n v="470.22"/>
    <n v="250.03999999999996"/>
    <n v="0"/>
    <n v="53.763930000000009"/>
    <n v="28.389240000000001"/>
    <n v="0"/>
    <n v="70.510194576359723"/>
    <n v="26.864161502992879"/>
  </r>
  <r>
    <s v="Regular"/>
    <x v="4"/>
    <x v="4"/>
    <x v="0"/>
    <x v="0"/>
    <x v="1"/>
    <x v="0"/>
    <x v="3"/>
    <x v="6"/>
    <n v="0"/>
    <n v="0"/>
    <n v="0.112"/>
    <n v="0.112"/>
    <n v="0.112"/>
    <n v="0.112"/>
    <n v="0"/>
    <x v="2"/>
    <n v="0"/>
    <n v="0"/>
    <n v="75"/>
    <n v="48"/>
    <n v="0"/>
    <n v="543.07000000000005"/>
    <n v="286.76"/>
    <m/>
    <n v="470.22"/>
    <n v="250.03999999999996"/>
    <n v="0"/>
    <n v="60.823840000000004"/>
    <n v="32.11712"/>
    <n v="0"/>
    <n v="79.769109015679675"/>
    <n v="30.391778670052549"/>
  </r>
  <r>
    <s v="Regular"/>
    <x v="4"/>
    <x v="4"/>
    <x v="0"/>
    <x v="0"/>
    <x v="1"/>
    <x v="0"/>
    <x v="3"/>
    <x v="7"/>
    <n v="0"/>
    <n v="0"/>
    <n v="7.5999999999999998E-2"/>
    <n v="7.5999999999999998E-2"/>
    <n v="7.5999999999999998E-2"/>
    <n v="7.5999999999999998E-2"/>
    <n v="0"/>
    <x v="2"/>
    <n v="0"/>
    <n v="0"/>
    <n v="75"/>
    <n v="48"/>
    <n v="0"/>
    <n v="543.07000000000005"/>
    <n v="286.76"/>
    <m/>
    <n v="470.22"/>
    <n v="250.03999999999996"/>
    <n v="0"/>
    <n v="41.273320000000005"/>
    <n v="21.793759999999999"/>
    <n v="0"/>
    <n v="54.129038260639781"/>
    <n v="20.62299266896423"/>
  </r>
  <r>
    <s v="Regular"/>
    <x v="4"/>
    <x v="4"/>
    <x v="0"/>
    <x v="0"/>
    <x v="1"/>
    <x v="0"/>
    <x v="3"/>
    <x v="8"/>
    <n v="0"/>
    <n v="0"/>
    <n v="8.5000000000000006E-2"/>
    <n v="8.5000000000000006E-2"/>
    <n v="8.5000000000000006E-2"/>
    <n v="8.5000000000000006E-2"/>
    <n v="0"/>
    <x v="2"/>
    <n v="0"/>
    <n v="0"/>
    <n v="75"/>
    <n v="48"/>
    <n v="0"/>
    <n v="543.07000000000005"/>
    <n v="286.76"/>
    <m/>
    <n v="470.22"/>
    <n v="250.03999999999996"/>
    <n v="0"/>
    <n v="46.160950000000007"/>
    <n v="24.374600000000001"/>
    <n v="0"/>
    <n v="60.53905594939976"/>
    <n v="23.065189169236312"/>
  </r>
  <r>
    <s v="Regular"/>
    <x v="4"/>
    <x v="4"/>
    <x v="0"/>
    <x v="0"/>
    <x v="1"/>
    <x v="0"/>
    <x v="3"/>
    <x v="9"/>
    <n v="0"/>
    <n v="0"/>
    <n v="7.9000000000000001E-2"/>
    <n v="7.9000000000000001E-2"/>
    <n v="7.9000000000000001E-2"/>
    <n v="7.9000000000000001E-2"/>
    <n v="0"/>
    <x v="2"/>
    <n v="0"/>
    <n v="0"/>
    <n v="75"/>
    <n v="48"/>
    <n v="0"/>
    <n v="543.07000000000005"/>
    <n v="286.76"/>
    <m/>
    <n v="470.22"/>
    <n v="250.03999999999996"/>
    <n v="0"/>
    <n v="42.902530000000006"/>
    <n v="22.654039999999998"/>
    <n v="0"/>
    <n v="56.265710823559772"/>
    <n v="21.437058169054922"/>
  </r>
  <r>
    <s v="Regular"/>
    <x v="4"/>
    <x v="4"/>
    <x v="0"/>
    <x v="0"/>
    <x v="1"/>
    <x v="0"/>
    <x v="3"/>
    <x v="10"/>
    <n v="0"/>
    <n v="0"/>
    <n v="9.0999999999999998E-2"/>
    <n v="9.0999999999999998E-2"/>
    <n v="9.0999999999999998E-2"/>
    <n v="9.0999999999999998E-2"/>
    <n v="0"/>
    <x v="2"/>
    <n v="0"/>
    <n v="0"/>
    <n v="75"/>
    <n v="48"/>
    <n v="0"/>
    <n v="543.07000000000005"/>
    <n v="286.76"/>
    <m/>
    <n v="470.22"/>
    <n v="250.03999999999996"/>
    <n v="0"/>
    <n v="49.419370000000001"/>
    <n v="26.09516"/>
    <n v="0"/>
    <n v="64.812401075239734"/>
    <n v="24.693320169417696"/>
  </r>
  <r>
    <s v="Regular"/>
    <x v="4"/>
    <x v="4"/>
    <x v="0"/>
    <x v="0"/>
    <x v="1"/>
    <x v="0"/>
    <x v="3"/>
    <x v="11"/>
    <n v="0"/>
    <n v="0"/>
    <n v="5.6000000000000001E-2"/>
    <n v="5.6000000000000001E-2"/>
    <n v="5.6000000000000001E-2"/>
    <n v="5.6000000000000001E-2"/>
    <n v="0"/>
    <x v="2"/>
    <n v="0"/>
    <n v="0"/>
    <n v="75"/>
    <n v="48"/>
    <n v="0"/>
    <n v="543.07000000000005"/>
    <n v="286.76"/>
    <m/>
    <n v="470.22"/>
    <n v="250.03999999999996"/>
    <n v="0"/>
    <n v="30.411920000000002"/>
    <n v="16.05856"/>
    <n v="0"/>
    <n v="39.884554507839837"/>
    <n v="15.195889335026274"/>
  </r>
  <r>
    <s v="Regular"/>
    <x v="4"/>
    <x v="4"/>
    <x v="0"/>
    <x v="0"/>
    <x v="1"/>
    <x v="0"/>
    <x v="3"/>
    <x v="0"/>
    <n v="0"/>
    <n v="0"/>
    <n v="9.0999999999999998E-2"/>
    <n v="9.0999999999999998E-2"/>
    <n v="9.0999999999999998E-2"/>
    <n v="9.0999999999999998E-2"/>
    <n v="0"/>
    <x v="2"/>
    <n v="0"/>
    <n v="0"/>
    <n v="75"/>
    <n v="48"/>
    <n v="0"/>
    <n v="543.07000000000005"/>
    <n v="286.76"/>
    <m/>
    <n v="470.22"/>
    <n v="250.03999999999996"/>
    <n v="0"/>
    <n v="49.419370000000001"/>
    <n v="26.09516"/>
    <n v="0"/>
    <n v="64.812401075239734"/>
    <n v="24.693320169417696"/>
  </r>
  <r>
    <s v="Regular"/>
    <x v="4"/>
    <x v="4"/>
    <x v="0"/>
    <x v="0"/>
    <x v="1"/>
    <x v="0"/>
    <x v="3"/>
    <x v="1"/>
    <n v="0"/>
    <n v="0"/>
    <n v="5.3999999999999999E-2"/>
    <n v="5.3999999999999999E-2"/>
    <n v="5.3999999999999999E-2"/>
    <n v="5.3999999999999999E-2"/>
    <n v="0"/>
    <x v="2"/>
    <n v="0"/>
    <n v="0"/>
    <n v="75"/>
    <n v="48"/>
    <n v="0"/>
    <n v="543.07000000000005"/>
    <n v="286.76"/>
    <m/>
    <n v="470.22"/>
    <n v="250.03999999999996"/>
    <n v="0"/>
    <n v="29.325780000000002"/>
    <n v="15.48504"/>
    <n v="0"/>
    <n v="38.460106132559844"/>
    <n v="14.653179001632479"/>
  </r>
  <r>
    <s v="Regular"/>
    <x v="4"/>
    <x v="4"/>
    <x v="0"/>
    <x v="0"/>
    <x v="1"/>
    <x v="0"/>
    <x v="3"/>
    <x v="2"/>
    <n v="0"/>
    <n v="0"/>
    <n v="8.7999999999999995E-2"/>
    <n v="8.7999999999999995E-2"/>
    <n v="8.7999999999999995E-2"/>
    <n v="8.7999999999999995E-2"/>
    <n v="0"/>
    <x v="2"/>
    <n v="0"/>
    <n v="0"/>
    <n v="75"/>
    <n v="48"/>
    <n v="0"/>
    <n v="543.07000000000005"/>
    <n v="286.76"/>
    <m/>
    <n v="470.22"/>
    <n v="250.03999999999996"/>
    <n v="0"/>
    <n v="47.79016"/>
    <n v="25.234879999999997"/>
    <n v="0"/>
    <n v="62.675728512319743"/>
    <n v="23.879254669327"/>
  </r>
  <r>
    <s v="Regular"/>
    <x v="4"/>
    <x v="4"/>
    <x v="0"/>
    <x v="0"/>
    <x v="1"/>
    <x v="0"/>
    <x v="3"/>
    <x v="3"/>
    <n v="0"/>
    <n v="0"/>
    <n v="7.5999999999999998E-2"/>
    <n v="7.5999999999999998E-2"/>
    <n v="7.5999999999999998E-2"/>
    <n v="7.5999999999999998E-2"/>
    <n v="0"/>
    <x v="2"/>
    <n v="0"/>
    <n v="0"/>
    <n v="75"/>
    <n v="48"/>
    <n v="0"/>
    <n v="543.07000000000005"/>
    <n v="286.76"/>
    <m/>
    <n v="470.22"/>
    <n v="250.03999999999996"/>
    <n v="0"/>
    <n v="41.273320000000005"/>
    <n v="21.793759999999999"/>
    <n v="0"/>
    <n v="54.129038260639781"/>
    <n v="20.62299266896423"/>
  </r>
  <r>
    <s v="Regular"/>
    <x v="4"/>
    <x v="4"/>
    <x v="0"/>
    <x v="0"/>
    <x v="1"/>
    <x v="0"/>
    <x v="2"/>
    <x v="4"/>
    <n v="0"/>
    <n v="0"/>
    <n v="1.6E-2"/>
    <n v="1.6E-2"/>
    <n v="1.6E-2"/>
    <n v="1.6E-2"/>
    <n v="0"/>
    <x v="2"/>
    <n v="0"/>
    <n v="0"/>
    <n v="74"/>
    <n v="47"/>
    <n v="0"/>
    <n v="1905.55"/>
    <n v="488.15"/>
    <m/>
    <n v="679.11000000000035"/>
    <n v="399.84"/>
    <n v="0"/>
    <n v="30.488800000000001"/>
    <n v="7.8103999999999996"/>
    <n v="0"/>
    <n v="37.616979672930817"/>
    <n v="7.3769645871433074"/>
  </r>
  <r>
    <s v="Regular"/>
    <x v="4"/>
    <x v="4"/>
    <x v="0"/>
    <x v="0"/>
    <x v="1"/>
    <x v="0"/>
    <x v="2"/>
    <x v="5"/>
    <n v="0"/>
    <n v="0"/>
    <n v="2.1000000000000001E-2"/>
    <n v="2.1000000000000001E-2"/>
    <n v="2.1000000000000001E-2"/>
    <n v="2.1000000000000001E-2"/>
    <n v="0"/>
    <x v="2"/>
    <n v="0"/>
    <n v="0"/>
    <n v="74"/>
    <n v="47"/>
    <n v="0"/>
    <n v="1905.55"/>
    <n v="488.15"/>
    <m/>
    <n v="679.11000000000035"/>
    <n v="399.84"/>
    <n v="0"/>
    <n v="40.016550000000002"/>
    <n v="10.251150000000001"/>
    <n v="0"/>
    <n v="49.3722858207217"/>
    <n v="9.6822660206255922"/>
  </r>
  <r>
    <s v="Regular"/>
    <x v="4"/>
    <x v="4"/>
    <x v="0"/>
    <x v="0"/>
    <x v="1"/>
    <x v="0"/>
    <x v="2"/>
    <x v="6"/>
    <n v="0"/>
    <n v="0"/>
    <n v="0.03"/>
    <n v="0.03"/>
    <n v="0.03"/>
    <n v="0.03"/>
    <n v="0"/>
    <x v="2"/>
    <n v="0"/>
    <n v="0"/>
    <n v="74"/>
    <n v="47"/>
    <n v="0"/>
    <n v="1905.55"/>
    <n v="488.15"/>
    <m/>
    <n v="679.11000000000035"/>
    <n v="399.84"/>
    <n v="0"/>
    <n v="57.166499999999999"/>
    <n v="14.644499999999999"/>
    <n v="0"/>
    <n v="70.531836886745268"/>
    <n v="13.831808600893702"/>
  </r>
  <r>
    <s v="Regular"/>
    <x v="4"/>
    <x v="4"/>
    <x v="0"/>
    <x v="0"/>
    <x v="1"/>
    <x v="0"/>
    <x v="2"/>
    <x v="7"/>
    <n v="0"/>
    <n v="0"/>
    <n v="2.9000000000000001E-2"/>
    <n v="2.9000000000000001E-2"/>
    <n v="2.9000000000000001E-2"/>
    <n v="2.9000000000000001E-2"/>
    <n v="0"/>
    <x v="2"/>
    <n v="0"/>
    <n v="0"/>
    <n v="74"/>
    <n v="47"/>
    <n v="0"/>
    <n v="1905.55"/>
    <n v="488.15"/>
    <m/>
    <n v="679.11000000000035"/>
    <n v="399.84"/>
    <n v="0"/>
    <n v="55.260950000000001"/>
    <n v="14.15635"/>
    <n v="0"/>
    <n v="68.180775657187098"/>
    <n v="13.370748314197245"/>
  </r>
  <r>
    <s v="Regular"/>
    <x v="4"/>
    <x v="4"/>
    <x v="0"/>
    <x v="0"/>
    <x v="1"/>
    <x v="0"/>
    <x v="2"/>
    <x v="8"/>
    <n v="0"/>
    <n v="0"/>
    <n v="3.1E-2"/>
    <n v="3.1E-2"/>
    <n v="3.1E-2"/>
    <n v="3.1E-2"/>
    <n v="0"/>
    <x v="2"/>
    <n v="0"/>
    <n v="0"/>
    <n v="74"/>
    <n v="47"/>
    <n v="0"/>
    <n v="1905.55"/>
    <n v="488.15"/>
    <m/>
    <n v="679.11000000000035"/>
    <n v="399.84"/>
    <n v="0"/>
    <n v="59.072049999999997"/>
    <n v="15.13265"/>
    <n v="0"/>
    <n v="72.882898116303451"/>
    <n v="14.292868887590158"/>
  </r>
  <r>
    <s v="Regular"/>
    <x v="4"/>
    <x v="4"/>
    <x v="0"/>
    <x v="0"/>
    <x v="1"/>
    <x v="0"/>
    <x v="2"/>
    <x v="9"/>
    <n v="0"/>
    <n v="0"/>
    <n v="4.2000000000000003E-2"/>
    <n v="4.2000000000000003E-2"/>
    <n v="4.2000000000000003E-2"/>
    <n v="4.2000000000000003E-2"/>
    <n v="0"/>
    <x v="2"/>
    <n v="0"/>
    <n v="0"/>
    <n v="74"/>
    <n v="47"/>
    <n v="0"/>
    <n v="1905.55"/>
    <n v="488.15"/>
    <m/>
    <n v="679.11000000000035"/>
    <n v="399.84"/>
    <n v="0"/>
    <n v="80.033100000000005"/>
    <n v="20.502300000000002"/>
    <n v="0"/>
    <n v="98.7445716414434"/>
    <n v="19.364532041251184"/>
  </r>
  <r>
    <s v="Regular"/>
    <x v="4"/>
    <x v="4"/>
    <x v="0"/>
    <x v="0"/>
    <x v="1"/>
    <x v="0"/>
    <x v="2"/>
    <x v="10"/>
    <n v="0"/>
    <n v="0"/>
    <n v="3.5999999999999997E-2"/>
    <n v="3.5999999999999997E-2"/>
    <n v="3.5999999999999997E-2"/>
    <n v="3.5999999999999997E-2"/>
    <n v="0"/>
    <x v="2"/>
    <n v="0"/>
    <n v="0"/>
    <n v="74"/>
    <n v="47"/>
    <n v="0"/>
    <n v="1905.55"/>
    <n v="488.15"/>
    <m/>
    <n v="679.11000000000035"/>
    <n v="399.84"/>
    <n v="0"/>
    <n v="68.599799999999988"/>
    <n v="17.573399999999999"/>
    <n v="0"/>
    <n v="84.638204264094327"/>
    <n v="16.598170321072441"/>
  </r>
  <r>
    <s v="Regular"/>
    <x v="4"/>
    <x v="4"/>
    <x v="0"/>
    <x v="0"/>
    <x v="1"/>
    <x v="0"/>
    <x v="2"/>
    <x v="11"/>
    <n v="0"/>
    <n v="0"/>
    <n v="4.3999999999999997E-2"/>
    <n v="4.3999999999999997E-2"/>
    <n v="4.3999999999999997E-2"/>
    <n v="4.3999999999999997E-2"/>
    <n v="0"/>
    <x v="2"/>
    <n v="0"/>
    <n v="0"/>
    <n v="74"/>
    <n v="47"/>
    <n v="0"/>
    <n v="1905.55"/>
    <n v="488.15"/>
    <m/>
    <n v="679.11000000000035"/>
    <n v="399.84"/>
    <n v="0"/>
    <n v="83.844199999999987"/>
    <n v="21.478599999999997"/>
    <n v="0"/>
    <n v="103.44669410055974"/>
    <n v="20.286652614644094"/>
  </r>
  <r>
    <s v="Regular"/>
    <x v="4"/>
    <x v="4"/>
    <x v="0"/>
    <x v="0"/>
    <x v="1"/>
    <x v="0"/>
    <x v="2"/>
    <x v="0"/>
    <n v="0"/>
    <n v="0"/>
    <n v="5.2999999999999999E-2"/>
    <n v="5.2999999999999999E-2"/>
    <n v="5.2999999999999999E-2"/>
    <n v="5.2999999999999999E-2"/>
    <n v="0"/>
    <x v="2"/>
    <n v="0"/>
    <n v="0"/>
    <n v="74"/>
    <n v="47"/>
    <n v="0"/>
    <n v="1905.55"/>
    <n v="488.15"/>
    <m/>
    <n v="679.11000000000035"/>
    <n v="399.84"/>
    <n v="0"/>
    <n v="100.99414999999999"/>
    <n v="25.871949999999998"/>
    <n v="0"/>
    <n v="124.60624516658332"/>
    <n v="24.436195194912205"/>
  </r>
  <r>
    <s v="Regular"/>
    <x v="4"/>
    <x v="4"/>
    <x v="0"/>
    <x v="0"/>
    <x v="1"/>
    <x v="0"/>
    <x v="2"/>
    <x v="1"/>
    <n v="0"/>
    <n v="0"/>
    <n v="0.04"/>
    <n v="0.04"/>
    <n v="0.04"/>
    <n v="0.04"/>
    <n v="0"/>
    <x v="2"/>
    <n v="0"/>
    <n v="0"/>
    <n v="74"/>
    <n v="47"/>
    <n v="0"/>
    <n v="1905.55"/>
    <n v="488.15"/>
    <m/>
    <n v="679.11000000000035"/>
    <n v="399.84"/>
    <n v="0"/>
    <n v="76.221999999999994"/>
    <n v="19.526"/>
    <n v="0"/>
    <n v="94.042449182327033"/>
    <n v="18.442411467858271"/>
  </r>
  <r>
    <s v="Regular"/>
    <x v="4"/>
    <x v="4"/>
    <x v="0"/>
    <x v="0"/>
    <x v="1"/>
    <x v="0"/>
    <x v="2"/>
    <x v="2"/>
    <n v="0"/>
    <n v="0"/>
    <n v="9.1999999999999998E-2"/>
    <n v="9.1999999999999998E-2"/>
    <n v="9.1999999999999998E-2"/>
    <n v="9.1999999999999998E-2"/>
    <n v="0"/>
    <x v="2"/>
    <n v="0"/>
    <n v="0"/>
    <n v="74"/>
    <n v="47"/>
    <n v="0"/>
    <n v="1905.55"/>
    <n v="488.15"/>
    <m/>
    <n v="679.11000000000035"/>
    <n v="399.84"/>
    <n v="0"/>
    <n v="175.31059999999999"/>
    <n v="44.909799999999997"/>
    <n v="0"/>
    <n v="216.29763311935218"/>
    <n v="42.417546376074021"/>
  </r>
  <r>
    <s v="Regular"/>
    <x v="4"/>
    <x v="4"/>
    <x v="0"/>
    <x v="0"/>
    <x v="1"/>
    <x v="0"/>
    <x v="2"/>
    <x v="3"/>
    <n v="0"/>
    <n v="0"/>
    <n v="5.5E-2"/>
    <n v="5.5E-2"/>
    <n v="5.5E-2"/>
    <n v="5.5E-2"/>
    <n v="0"/>
    <x v="2"/>
    <n v="0"/>
    <n v="0"/>
    <n v="74"/>
    <n v="47"/>
    <n v="0"/>
    <n v="1905.55"/>
    <n v="488.15"/>
    <m/>
    <n v="679.11000000000035"/>
    <n v="399.84"/>
    <n v="0"/>
    <n v="104.80525"/>
    <n v="26.84825"/>
    <n v="0"/>
    <n v="129.30836762569967"/>
    <n v="25.358315768305122"/>
  </r>
  <r>
    <s v="Regular"/>
    <x v="4"/>
    <x v="3"/>
    <x v="2"/>
    <x v="0"/>
    <x v="1"/>
    <x v="0"/>
    <x v="1"/>
    <x v="4"/>
    <n v="0"/>
    <n v="0"/>
    <n v="253.59399999999999"/>
    <n v="253.59399999999999"/>
    <n v="253.59399999999999"/>
    <n v="253.59399999999999"/>
    <n v="714"/>
    <x v="2"/>
    <n v="0"/>
    <n v="0"/>
    <n v="77"/>
    <n v="52"/>
    <n v="0"/>
    <n v="343.17"/>
    <n v="303.54000000000002"/>
    <m/>
    <n v="310.49"/>
    <n v="262.52999999999997"/>
    <n v="0"/>
    <n v="87025.852979999996"/>
    <n v="76975.922760000001"/>
    <n v="0"/>
    <n v="119640.8565441236"/>
    <n v="72823.04882676377"/>
  </r>
  <r>
    <s v="Sistema de Compensação"/>
    <x v="4"/>
    <x v="3"/>
    <x v="2"/>
    <x v="0"/>
    <x v="1"/>
    <x v="0"/>
    <x v="1"/>
    <x v="4"/>
    <n v="0"/>
    <n v="0"/>
    <n v="7.8559999999999999"/>
    <n v="7.8559999999999999"/>
    <n v="7.8559999999999999"/>
    <n v="7.8559999999999999"/>
    <n v="23"/>
    <x v="2"/>
    <n v="0"/>
    <n v="0"/>
    <n v="77"/>
    <n v="52"/>
    <n v="0"/>
    <n v="343.17"/>
    <n v="303.54000000000002"/>
    <m/>
    <n v="310.49"/>
    <n v="262.52999999999997"/>
    <n v="0"/>
    <n v="2695.9435200000003"/>
    <n v="2384.61024"/>
    <n v="0"/>
    <n v="3706.312329986652"/>
    <n v="2255.9598081305403"/>
  </r>
  <r>
    <s v="Regular"/>
    <x v="4"/>
    <x v="3"/>
    <x v="2"/>
    <x v="0"/>
    <x v="1"/>
    <x v="0"/>
    <x v="1"/>
    <x v="5"/>
    <n v="0"/>
    <n v="0"/>
    <n v="273.43200000000002"/>
    <n v="273.43200000000002"/>
    <n v="273.43200000000002"/>
    <n v="273.43200000000002"/>
    <n v="723"/>
    <x v="2"/>
    <n v="0"/>
    <n v="0"/>
    <n v="77"/>
    <n v="52"/>
    <n v="0"/>
    <n v="343.17"/>
    <n v="303.54000000000002"/>
    <m/>
    <n v="310.49"/>
    <n v="262.52999999999997"/>
    <n v="0"/>
    <n v="93833.659440000003"/>
    <n v="82997.549280000007"/>
    <n v="0"/>
    <n v="129000.05002710162"/>
    <n v="78519.806804576117"/>
  </r>
  <r>
    <s v="Sistema de Compensação"/>
    <x v="4"/>
    <x v="3"/>
    <x v="2"/>
    <x v="0"/>
    <x v="1"/>
    <x v="0"/>
    <x v="1"/>
    <x v="5"/>
    <n v="0"/>
    <n v="0"/>
    <n v="10.975"/>
    <n v="10.975"/>
    <n v="10.975"/>
    <n v="10.975"/>
    <n v="24"/>
    <x v="2"/>
    <n v="0"/>
    <n v="0"/>
    <n v="77"/>
    <n v="52"/>
    <n v="0"/>
    <n v="343.17"/>
    <n v="303.54000000000002"/>
    <m/>
    <n v="310.49"/>
    <n v="262.52999999999997"/>
    <n v="0"/>
    <n v="3766.2907500000001"/>
    <n v="3331.3515000000002"/>
    <n v="0"/>
    <n v="5177.7975842163323"/>
    <n v="3151.6240954980499"/>
  </r>
  <r>
    <s v="Regular"/>
    <x v="4"/>
    <x v="3"/>
    <x v="2"/>
    <x v="0"/>
    <x v="1"/>
    <x v="0"/>
    <x v="1"/>
    <x v="6"/>
    <n v="0"/>
    <n v="0"/>
    <n v="256.66800000000001"/>
    <n v="256.66800000000001"/>
    <n v="256.66800000000001"/>
    <n v="256.66800000000001"/>
    <n v="725"/>
    <x v="2"/>
    <n v="0"/>
    <n v="0"/>
    <n v="77"/>
    <n v="52"/>
    <n v="0"/>
    <n v="343.17"/>
    <n v="303.54000000000002"/>
    <m/>
    <n v="310.49"/>
    <n v="262.52999999999997"/>
    <n v="0"/>
    <n v="88080.757560000013"/>
    <n v="77909.004720000012"/>
    <n v="0"/>
    <n v="121091.11164880525"/>
    <n v="73705.790737429925"/>
  </r>
  <r>
    <s v="Sistema de Compensação"/>
    <x v="4"/>
    <x v="3"/>
    <x v="2"/>
    <x v="0"/>
    <x v="1"/>
    <x v="0"/>
    <x v="1"/>
    <x v="6"/>
    <n v="0"/>
    <n v="0"/>
    <n v="12.308"/>
    <n v="12.308"/>
    <n v="12.308"/>
    <n v="12.308"/>
    <n v="25"/>
    <x v="2"/>
    <n v="0"/>
    <n v="0"/>
    <n v="77"/>
    <n v="52"/>
    <n v="0"/>
    <n v="343.17"/>
    <n v="303.54000000000002"/>
    <m/>
    <n v="310.49"/>
    <n v="262.52999999999997"/>
    <n v="0"/>
    <n v="4223.7363599999999"/>
    <n v="3735.9703200000004"/>
    <n v="0"/>
    <n v="5806.6817919393725"/>
    <n v="3534.4136097849655"/>
  </r>
  <r>
    <s v="Regular"/>
    <x v="4"/>
    <x v="3"/>
    <x v="2"/>
    <x v="0"/>
    <x v="1"/>
    <x v="0"/>
    <x v="1"/>
    <x v="7"/>
    <n v="0"/>
    <n v="0"/>
    <n v="260.02"/>
    <n v="260.02"/>
    <n v="260.02"/>
    <n v="260.02"/>
    <n v="721"/>
    <x v="2"/>
    <n v="0"/>
    <n v="0"/>
    <n v="77"/>
    <n v="52"/>
    <n v="0"/>
    <n v="343.17"/>
    <n v="303.54000000000002"/>
    <m/>
    <n v="310.49"/>
    <n v="262.52999999999997"/>
    <n v="0"/>
    <n v="89231.063399999999"/>
    <n v="78926.470799999996"/>
    <n v="0"/>
    <n v="122672.52189958365"/>
    <n v="74668.364219717798"/>
  </r>
  <r>
    <s v="Sistema de Compensação"/>
    <x v="4"/>
    <x v="3"/>
    <x v="2"/>
    <x v="0"/>
    <x v="1"/>
    <x v="0"/>
    <x v="1"/>
    <x v="7"/>
    <n v="0"/>
    <n v="0"/>
    <n v="10.545999999999999"/>
    <n v="10.545999999999999"/>
    <n v="10.545999999999999"/>
    <n v="10.545999999999999"/>
    <n v="25"/>
    <x v="2"/>
    <n v="0"/>
    <n v="0"/>
    <n v="77"/>
    <n v="52"/>
    <n v="0"/>
    <n v="343.17"/>
    <n v="303.54000000000002"/>
    <m/>
    <n v="310.49"/>
    <n v="262.52999999999997"/>
    <n v="0"/>
    <n v="3619.0708199999999"/>
    <n v="3201.1328400000002"/>
    <n v="0"/>
    <n v="4975.4034918583538"/>
    <n v="3028.4307709450964"/>
  </r>
  <r>
    <s v="Regular"/>
    <x v="4"/>
    <x v="3"/>
    <x v="2"/>
    <x v="0"/>
    <x v="1"/>
    <x v="0"/>
    <x v="1"/>
    <x v="8"/>
    <n v="0"/>
    <n v="0"/>
    <n v="310.25799999999998"/>
    <n v="310.25799999999998"/>
    <n v="310.25799999999998"/>
    <n v="310.25799999999998"/>
    <n v="721"/>
    <x v="2"/>
    <n v="0"/>
    <n v="0"/>
    <n v="77"/>
    <n v="52"/>
    <n v="0"/>
    <n v="343.17"/>
    <n v="303.54000000000002"/>
    <m/>
    <n v="310.49"/>
    <n v="262.52999999999997"/>
    <n v="0"/>
    <n v="106471.23785999999"/>
    <n v="94175.713319999995"/>
    <n v="0"/>
    <n v="146373.86085501511"/>
    <n v="89094.905569114708"/>
  </r>
  <r>
    <s v="Sistema de Compensação"/>
    <x v="4"/>
    <x v="3"/>
    <x v="2"/>
    <x v="0"/>
    <x v="1"/>
    <x v="0"/>
    <x v="1"/>
    <x v="8"/>
    <n v="0"/>
    <n v="0"/>
    <n v="11.718999999999999"/>
    <n v="11.718999999999999"/>
    <n v="11.718999999999999"/>
    <n v="11.718999999999999"/>
    <n v="25"/>
    <x v="2"/>
    <n v="0"/>
    <n v="0"/>
    <n v="77"/>
    <n v="52"/>
    <n v="0"/>
    <n v="343.17"/>
    <n v="303.54000000000002"/>
    <m/>
    <n v="310.49"/>
    <n v="262.52999999999997"/>
    <n v="0"/>
    <n v="4021.60923"/>
    <n v="3557.1852600000002"/>
    <n v="0"/>
    <n v="5528.8027234105875"/>
    <n v="3365.2740569605144"/>
  </r>
  <r>
    <s v="Regular"/>
    <x v="4"/>
    <x v="3"/>
    <x v="2"/>
    <x v="0"/>
    <x v="1"/>
    <x v="0"/>
    <x v="1"/>
    <x v="9"/>
    <n v="0"/>
    <n v="0"/>
    <n v="333.21699999999998"/>
    <n v="333.21699999999998"/>
    <n v="333.21699999999998"/>
    <n v="333.21699999999998"/>
    <n v="723"/>
    <x v="2"/>
    <n v="0"/>
    <n v="0"/>
    <n v="77"/>
    <n v="52"/>
    <n v="0"/>
    <n v="343.17"/>
    <n v="303.54000000000002"/>
    <m/>
    <n v="310.49"/>
    <n v="262.52999999999997"/>
    <n v="0"/>
    <n v="114350.07789"/>
    <n v="101144.68818"/>
    <n v="0"/>
    <n v="157205.48315442493"/>
    <n v="95687.902162147948"/>
  </r>
  <r>
    <s v="Sistema de Compensação"/>
    <x v="4"/>
    <x v="3"/>
    <x v="2"/>
    <x v="0"/>
    <x v="1"/>
    <x v="0"/>
    <x v="1"/>
    <x v="9"/>
    <n v="0"/>
    <n v="0"/>
    <n v="13.016"/>
    <n v="13.016"/>
    <n v="13.016"/>
    <n v="13.016"/>
    <n v="25"/>
    <x v="2"/>
    <n v="0"/>
    <n v="0"/>
    <n v="77"/>
    <n v="52"/>
    <n v="0"/>
    <n v="343.17"/>
    <n v="303.54000000000002"/>
    <m/>
    <n v="310.49"/>
    <n v="262.52999999999997"/>
    <n v="0"/>
    <n v="4466.7007199999998"/>
    <n v="3950.8766400000004"/>
    <n v="0"/>
    <n v="6140.7028114951963"/>
    <n v="3737.7256698863434"/>
  </r>
  <r>
    <s v="Regular"/>
    <x v="4"/>
    <x v="3"/>
    <x v="2"/>
    <x v="0"/>
    <x v="1"/>
    <x v="0"/>
    <x v="1"/>
    <x v="10"/>
    <n v="0"/>
    <n v="0"/>
    <n v="391.59899999999999"/>
    <n v="391.59899999999999"/>
    <n v="391.59899999999999"/>
    <n v="391.59899999999999"/>
    <n v="720"/>
    <x v="2"/>
    <n v="0"/>
    <n v="0"/>
    <n v="77"/>
    <n v="52"/>
    <n v="0"/>
    <n v="343.17"/>
    <n v="303.54000000000002"/>
    <m/>
    <n v="310.49"/>
    <n v="262.52999999999997"/>
    <n v="0"/>
    <n v="134385.02883"/>
    <n v="118865.96046"/>
    <n v="0"/>
    <n v="184749.00739695047"/>
    <n v="112453.10653056408"/>
  </r>
  <r>
    <s v="Sistema de Compensação"/>
    <x v="4"/>
    <x v="3"/>
    <x v="2"/>
    <x v="0"/>
    <x v="1"/>
    <x v="0"/>
    <x v="1"/>
    <x v="10"/>
    <n v="0"/>
    <n v="0"/>
    <n v="12.395"/>
    <n v="12.395"/>
    <n v="12.395"/>
    <n v="12.395"/>
    <n v="25"/>
    <x v="2"/>
    <n v="0"/>
    <n v="0"/>
    <n v="77"/>
    <n v="52"/>
    <n v="0"/>
    <n v="343.17"/>
    <n v="303.54000000000002"/>
    <m/>
    <n v="310.49"/>
    <n v="262.52999999999997"/>
    <n v="0"/>
    <n v="4253.5921500000004"/>
    <n v="3762.3783000000003"/>
    <n v="0"/>
    <n v="5847.7267477322494"/>
    <n v="3559.3968714075922"/>
  </r>
  <r>
    <s v="Regular"/>
    <x v="4"/>
    <x v="3"/>
    <x v="2"/>
    <x v="0"/>
    <x v="1"/>
    <x v="0"/>
    <x v="1"/>
    <x v="11"/>
    <n v="0"/>
    <n v="0"/>
    <n v="368.37599999999998"/>
    <n v="368.37599999999998"/>
    <n v="368.37599999999998"/>
    <n v="368.37599999999998"/>
    <n v="723"/>
    <x v="2"/>
    <n v="0"/>
    <n v="0"/>
    <n v="77"/>
    <n v="52"/>
    <n v="0"/>
    <n v="343.17"/>
    <n v="303.54000000000002"/>
    <m/>
    <n v="310.49"/>
    <n v="262.52999999999997"/>
    <n v="0"/>
    <n v="126415.59191999999"/>
    <n v="111816.85103999999"/>
    <n v="0"/>
    <n v="173792.83488685882"/>
    <n v="105784.29866088288"/>
  </r>
  <r>
    <s v="Sistema de Compensação"/>
    <x v="4"/>
    <x v="3"/>
    <x v="2"/>
    <x v="0"/>
    <x v="1"/>
    <x v="0"/>
    <x v="1"/>
    <x v="11"/>
    <n v="0"/>
    <n v="0"/>
    <n v="11.8"/>
    <n v="11.8"/>
    <n v="11.8"/>
    <n v="11.8"/>
    <n v="25"/>
    <x v="2"/>
    <n v="0"/>
    <n v="0"/>
    <n v="77"/>
    <n v="52"/>
    <n v="0"/>
    <n v="343.17"/>
    <n v="303.54000000000002"/>
    <m/>
    <n v="310.49"/>
    <n v="262.52999999999997"/>
    <n v="0"/>
    <n v="4049.4060000000004"/>
    <n v="3581.7720000000004"/>
    <n v="0"/>
    <n v="5567.0169925970595"/>
    <n v="3388.5343350229605"/>
  </r>
  <r>
    <s v="Regular"/>
    <x v="4"/>
    <x v="3"/>
    <x v="2"/>
    <x v="0"/>
    <x v="1"/>
    <x v="0"/>
    <x v="1"/>
    <x v="0"/>
    <n v="0"/>
    <n v="0"/>
    <n v="326.64400000000001"/>
    <n v="326.64400000000001"/>
    <n v="326.64400000000001"/>
    <n v="326.64400000000001"/>
    <n v="719"/>
    <x v="2"/>
    <n v="0"/>
    <n v="0"/>
    <n v="77"/>
    <n v="52"/>
    <n v="0"/>
    <n v="343.17"/>
    <n v="303.54000000000002"/>
    <m/>
    <n v="310.49"/>
    <n v="262.52999999999997"/>
    <n v="0"/>
    <n v="112094.42148"/>
    <n v="99149.51976000001"/>
    <n v="0"/>
    <n v="154104.46597710793"/>
    <n v="93800.373671969486"/>
  </r>
  <r>
    <s v="Sistema de Compensação"/>
    <x v="4"/>
    <x v="3"/>
    <x v="2"/>
    <x v="0"/>
    <x v="1"/>
    <x v="0"/>
    <x v="1"/>
    <x v="0"/>
    <n v="0"/>
    <n v="0"/>
    <n v="17.266999999999999"/>
    <n v="17.266999999999999"/>
    <n v="17.266999999999999"/>
    <n v="17.266999999999999"/>
    <n v="27"/>
    <x v="2"/>
    <n v="0"/>
    <n v="0"/>
    <n v="77"/>
    <n v="52"/>
    <n v="0"/>
    <n v="343.17"/>
    <n v="303.54000000000002"/>
    <m/>
    <n v="310.49"/>
    <n v="262.52999999999997"/>
    <n v="0"/>
    <n v="5925.5163899999998"/>
    <n v="5241.2251800000004"/>
    <n v="0"/>
    <n v="8146.24427213334"/>
    <n v="4958.4595222746993"/>
  </r>
  <r>
    <s v="Regular"/>
    <x v="4"/>
    <x v="3"/>
    <x v="2"/>
    <x v="0"/>
    <x v="1"/>
    <x v="0"/>
    <x v="1"/>
    <x v="1"/>
    <n v="0"/>
    <n v="0"/>
    <n v="256.05"/>
    <n v="256.05"/>
    <n v="256.05"/>
    <n v="256.05"/>
    <n v="725"/>
    <x v="2"/>
    <n v="0"/>
    <n v="0"/>
    <n v="77"/>
    <n v="52"/>
    <n v="0"/>
    <n v="343.17"/>
    <n v="303.54000000000002"/>
    <m/>
    <n v="310.49"/>
    <n v="262.52999999999997"/>
    <n v="0"/>
    <n v="87868.678500000009"/>
    <n v="77721.417000000016"/>
    <n v="0"/>
    <n v="120799.5509283455"/>
    <n v="73528.323430731267"/>
  </r>
  <r>
    <s v="Sistema de Compensação"/>
    <x v="4"/>
    <x v="3"/>
    <x v="2"/>
    <x v="0"/>
    <x v="1"/>
    <x v="0"/>
    <x v="1"/>
    <x v="1"/>
    <n v="0"/>
    <n v="0"/>
    <n v="11.25"/>
    <n v="11.25"/>
    <n v="11.25"/>
    <n v="11.25"/>
    <n v="27"/>
    <x v="2"/>
    <n v="0"/>
    <n v="0"/>
    <n v="77"/>
    <n v="52"/>
    <n v="0"/>
    <n v="343.17"/>
    <n v="303.54000000000002"/>
    <m/>
    <n v="310.49"/>
    <n v="262.52999999999997"/>
    <n v="0"/>
    <n v="3860.6625000000004"/>
    <n v="3414.8250000000003"/>
    <n v="0"/>
    <n v="5307.5373870099074"/>
    <n v="3230.5941753396869"/>
  </r>
  <r>
    <s v="Regular"/>
    <x v="4"/>
    <x v="3"/>
    <x v="2"/>
    <x v="0"/>
    <x v="1"/>
    <x v="0"/>
    <x v="1"/>
    <x v="2"/>
    <n v="0"/>
    <n v="0"/>
    <n v="258.20400000000001"/>
    <n v="258.20400000000001"/>
    <n v="258.20400000000001"/>
    <n v="258.20400000000001"/>
    <n v="720"/>
    <x v="2"/>
    <n v="0"/>
    <n v="0"/>
    <n v="77"/>
    <n v="52"/>
    <n v="0"/>
    <n v="343.17"/>
    <n v="303.54000000000002"/>
    <m/>
    <n v="310.49"/>
    <n v="262.52999999999997"/>
    <n v="0"/>
    <n v="88607.866680000006"/>
    <n v="78375.242160000009"/>
    <n v="0"/>
    <n v="121815.767420045"/>
    <n v="74146.874528836313"/>
  </r>
  <r>
    <s v="Sistema de Compensação"/>
    <x v="4"/>
    <x v="3"/>
    <x v="2"/>
    <x v="0"/>
    <x v="1"/>
    <x v="0"/>
    <x v="1"/>
    <x v="2"/>
    <n v="0"/>
    <n v="0"/>
    <n v="16.280999999999999"/>
    <n v="16.280999999999999"/>
    <n v="16.280999999999999"/>
    <n v="16.280999999999999"/>
    <n v="27"/>
    <x v="2"/>
    <n v="0"/>
    <n v="0"/>
    <n v="77"/>
    <n v="52"/>
    <n v="0"/>
    <n v="343.17"/>
    <n v="303.54000000000002"/>
    <m/>
    <n v="310.49"/>
    <n v="262.52999999999997"/>
    <n v="0"/>
    <n v="5587.1507700000002"/>
    <n v="4941.9347399999997"/>
    <n v="0"/>
    <n v="7681.0681064807377"/>
    <n v="4675.3158905515938"/>
  </r>
  <r>
    <s v="Regular"/>
    <x v="4"/>
    <x v="3"/>
    <x v="2"/>
    <x v="0"/>
    <x v="1"/>
    <x v="0"/>
    <x v="1"/>
    <x v="3"/>
    <n v="0"/>
    <n v="0"/>
    <n v="244.58199999999999"/>
    <n v="244.58199999999999"/>
    <n v="244.58199999999999"/>
    <n v="244.58199999999999"/>
    <n v="727"/>
    <x v="2"/>
    <n v="0"/>
    <n v="0"/>
    <n v="77"/>
    <n v="52"/>
    <n v="0"/>
    <n v="343.17"/>
    <n v="303.54000000000002"/>
    <m/>
    <n v="310.49"/>
    <n v="262.52999999999997"/>
    <n v="0"/>
    <n v="83933.204939999996"/>
    <n v="74240.420280000006"/>
    <n v="0"/>
    <n v="115389.16526130287"/>
    <n v="70235.127519371672"/>
  </r>
  <r>
    <s v="Sistema de Compensação"/>
    <x v="4"/>
    <x v="3"/>
    <x v="2"/>
    <x v="0"/>
    <x v="1"/>
    <x v="0"/>
    <x v="1"/>
    <x v="3"/>
    <n v="0"/>
    <n v="0"/>
    <n v="16.545000000000002"/>
    <n v="16.545000000000002"/>
    <n v="16.545000000000002"/>
    <n v="16.545000000000002"/>
    <n v="27"/>
    <x v="2"/>
    <n v="0"/>
    <n v="0"/>
    <n v="77"/>
    <n v="52"/>
    <n v="0"/>
    <n v="343.17"/>
    <n v="303.54000000000002"/>
    <m/>
    <n v="310.49"/>
    <n v="262.52999999999997"/>
    <n v="0"/>
    <n v="5677.7476500000012"/>
    <n v="5022.069300000001"/>
    <n v="0"/>
    <n v="7805.6183171625717"/>
    <n v="4751.1271671995664"/>
  </r>
  <r>
    <s v="Regular"/>
    <x v="4"/>
    <x v="3"/>
    <x v="6"/>
    <x v="0"/>
    <x v="1"/>
    <x v="0"/>
    <x v="1"/>
    <x v="4"/>
    <n v="0"/>
    <n v="0"/>
    <n v="2.41"/>
    <n v="2.41"/>
    <n v="2.41"/>
    <n v="2.41"/>
    <n v="2"/>
    <x v="2"/>
    <n v="0"/>
    <n v="0"/>
    <n v="77"/>
    <n v="52"/>
    <n v="0"/>
    <n v="343.17"/>
    <n v="303.54000000000002"/>
    <m/>
    <n v="310.49"/>
    <n v="262.52999999999997"/>
    <n v="0"/>
    <n v="827.03970000000004"/>
    <n v="731.53140000000008"/>
    <n v="0"/>
    <n v="1136.9924535727891"/>
    <n v="692.06506333943514"/>
  </r>
  <r>
    <s v="Regular"/>
    <x v="4"/>
    <x v="3"/>
    <x v="6"/>
    <x v="0"/>
    <x v="1"/>
    <x v="0"/>
    <x v="1"/>
    <x v="5"/>
    <n v="0"/>
    <n v="0"/>
    <n v="2.89"/>
    <n v="2.89"/>
    <n v="2.89"/>
    <n v="2.89"/>
    <n v="2"/>
    <x v="2"/>
    <n v="0"/>
    <n v="0"/>
    <n v="77"/>
    <n v="52"/>
    <n v="0"/>
    <n v="343.17"/>
    <n v="303.54000000000002"/>
    <m/>
    <n v="310.49"/>
    <n v="262.52999999999997"/>
    <n v="0"/>
    <n v="991.76130000000012"/>
    <n v="877.23060000000009"/>
    <n v="0"/>
    <n v="1363.447382085212"/>
    <n v="829.9037481539284"/>
  </r>
  <r>
    <s v="Regular"/>
    <x v="4"/>
    <x v="3"/>
    <x v="6"/>
    <x v="0"/>
    <x v="1"/>
    <x v="0"/>
    <x v="1"/>
    <x v="6"/>
    <n v="0"/>
    <n v="0"/>
    <n v="2.83"/>
    <n v="2.83"/>
    <n v="2.83"/>
    <n v="2.83"/>
    <n v="2"/>
    <x v="2"/>
    <n v="0"/>
    <n v="0"/>
    <n v="77"/>
    <n v="52"/>
    <n v="0"/>
    <n v="343.17"/>
    <n v="303.54000000000002"/>
    <m/>
    <n v="310.49"/>
    <n v="262.52999999999997"/>
    <n v="0"/>
    <n v="971.17110000000002"/>
    <n v="859.01820000000009"/>
    <n v="0"/>
    <n v="1335.1405160211591"/>
    <n v="812.6739125521168"/>
  </r>
  <r>
    <s v="Regular"/>
    <x v="4"/>
    <x v="3"/>
    <x v="6"/>
    <x v="0"/>
    <x v="1"/>
    <x v="0"/>
    <x v="1"/>
    <x v="7"/>
    <n v="0"/>
    <n v="0"/>
    <n v="3.46"/>
    <n v="3.46"/>
    <n v="3.46"/>
    <n v="3.46"/>
    <n v="2"/>
    <x v="2"/>
    <n v="0"/>
    <n v="0"/>
    <n v="77"/>
    <n v="52"/>
    <n v="0"/>
    <n v="343.17"/>
    <n v="303.54000000000002"/>
    <m/>
    <n v="310.49"/>
    <n v="262.52999999999997"/>
    <n v="0"/>
    <n v="1187.3682000000001"/>
    <n v="1050.2483999999999"/>
    <n v="0"/>
    <n v="1632.3626096937139"/>
    <n v="993.58718637113918"/>
  </r>
  <r>
    <s v="Regular"/>
    <x v="4"/>
    <x v="3"/>
    <x v="6"/>
    <x v="0"/>
    <x v="1"/>
    <x v="0"/>
    <x v="1"/>
    <x v="8"/>
    <n v="0"/>
    <n v="0"/>
    <n v="4.12"/>
    <n v="4.12"/>
    <n v="4.12"/>
    <n v="4.12"/>
    <n v="2"/>
    <x v="2"/>
    <n v="0"/>
    <n v="0"/>
    <n v="77"/>
    <n v="52"/>
    <n v="0"/>
    <n v="343.17"/>
    <n v="303.54000000000002"/>
    <m/>
    <n v="310.49"/>
    <n v="262.52999999999997"/>
    <n v="0"/>
    <n v="1413.8604"/>
    <n v="1250.5848000000001"/>
    <n v="0"/>
    <n v="1943.7381363982952"/>
    <n v="1183.1153779910676"/>
  </r>
  <r>
    <s v="Regular"/>
    <x v="4"/>
    <x v="3"/>
    <x v="6"/>
    <x v="0"/>
    <x v="1"/>
    <x v="0"/>
    <x v="1"/>
    <x v="9"/>
    <n v="0"/>
    <n v="0"/>
    <n v="4.63"/>
    <n v="4.63"/>
    <n v="4.63"/>
    <n v="4.63"/>
    <n v="2"/>
    <x v="2"/>
    <n v="0"/>
    <n v="0"/>
    <n v="77"/>
    <n v="52"/>
    <n v="0"/>
    <n v="343.17"/>
    <n v="303.54000000000002"/>
    <m/>
    <n v="310.49"/>
    <n v="262.52999999999997"/>
    <n v="0"/>
    <n v="1588.8770999999999"/>
    <n v="1405.3902"/>
    <n v="0"/>
    <n v="2184.346497942744"/>
    <n v="1329.5689806064665"/>
  </r>
  <r>
    <s v="Regular"/>
    <x v="4"/>
    <x v="3"/>
    <x v="6"/>
    <x v="0"/>
    <x v="1"/>
    <x v="0"/>
    <x v="1"/>
    <x v="10"/>
    <n v="0"/>
    <n v="0"/>
    <n v="6.49"/>
    <n v="6.49"/>
    <n v="6.49"/>
    <n v="6.49"/>
    <n v="2"/>
    <x v="2"/>
    <n v="0"/>
    <n v="0"/>
    <n v="77"/>
    <n v="52"/>
    <n v="0"/>
    <n v="343.17"/>
    <n v="303.54000000000002"/>
    <m/>
    <n v="310.49"/>
    <n v="262.52999999999997"/>
    <n v="0"/>
    <n v="2227.1733000000004"/>
    <n v="1969.9746000000002"/>
    <n v="0"/>
    <n v="3061.8593459283825"/>
    <n v="1863.6938842626282"/>
  </r>
  <r>
    <s v="Regular"/>
    <x v="4"/>
    <x v="3"/>
    <x v="6"/>
    <x v="0"/>
    <x v="1"/>
    <x v="0"/>
    <x v="1"/>
    <x v="11"/>
    <n v="0"/>
    <n v="0"/>
    <n v="5.14"/>
    <n v="5.14"/>
    <n v="5.14"/>
    <n v="5.14"/>
    <n v="2"/>
    <x v="2"/>
    <n v="0"/>
    <n v="0"/>
    <n v="77"/>
    <n v="52"/>
    <n v="0"/>
    <n v="343.17"/>
    <n v="303.54000000000002"/>
    <m/>
    <n v="310.49"/>
    <n v="262.52999999999997"/>
    <n v="0"/>
    <n v="1763.8938000000001"/>
    <n v="1560.1956"/>
    <n v="0"/>
    <n v="2424.9548594871931"/>
    <n v="1476.0225832218657"/>
  </r>
  <r>
    <s v="Regular"/>
    <x v="4"/>
    <x v="3"/>
    <x v="6"/>
    <x v="0"/>
    <x v="1"/>
    <x v="0"/>
    <x v="1"/>
    <x v="0"/>
    <n v="0"/>
    <n v="0"/>
    <n v="4.57"/>
    <n v="4.57"/>
    <n v="4.57"/>
    <n v="4.57"/>
    <n v="2"/>
    <x v="2"/>
    <n v="0"/>
    <n v="0"/>
    <n v="77"/>
    <n v="52"/>
    <n v="0"/>
    <n v="343.17"/>
    <n v="303.54000000000002"/>
    <m/>
    <n v="310.49"/>
    <n v="262.52999999999997"/>
    <n v="0"/>
    <n v="1568.2869000000001"/>
    <n v="1387.1778000000002"/>
    <n v="0"/>
    <n v="2156.0396318786916"/>
    <n v="1312.3391450046549"/>
  </r>
  <r>
    <s v="Regular"/>
    <x v="4"/>
    <x v="3"/>
    <x v="6"/>
    <x v="0"/>
    <x v="1"/>
    <x v="0"/>
    <x v="1"/>
    <x v="1"/>
    <n v="0"/>
    <n v="0"/>
    <n v="2.68"/>
    <n v="2.68"/>
    <n v="2.68"/>
    <n v="2.68"/>
    <n v="2"/>
    <x v="2"/>
    <n v="0"/>
    <n v="0"/>
    <n v="77"/>
    <n v="52"/>
    <n v="0"/>
    <n v="343.17"/>
    <n v="303.54000000000002"/>
    <m/>
    <n v="310.49"/>
    <n v="262.52999999999997"/>
    <n v="0"/>
    <n v="919.69560000000013"/>
    <n v="813.48720000000014"/>
    <n v="0"/>
    <n v="1264.3733508610269"/>
    <n v="769.59932354758769"/>
  </r>
  <r>
    <s v="Regular"/>
    <x v="4"/>
    <x v="3"/>
    <x v="6"/>
    <x v="0"/>
    <x v="1"/>
    <x v="0"/>
    <x v="1"/>
    <x v="2"/>
    <n v="0"/>
    <n v="0"/>
    <n v="2.68"/>
    <n v="2.68"/>
    <n v="2.68"/>
    <n v="2.68"/>
    <n v="2"/>
    <x v="2"/>
    <n v="0"/>
    <n v="0"/>
    <n v="77"/>
    <n v="52"/>
    <n v="0"/>
    <n v="343.17"/>
    <n v="303.54000000000002"/>
    <m/>
    <n v="310.49"/>
    <n v="262.52999999999997"/>
    <n v="0"/>
    <n v="919.69560000000013"/>
    <n v="813.48720000000014"/>
    <n v="0"/>
    <n v="1264.3733508610269"/>
    <n v="769.59932354758769"/>
  </r>
  <r>
    <s v="Regular"/>
    <x v="4"/>
    <x v="3"/>
    <x v="6"/>
    <x v="0"/>
    <x v="1"/>
    <x v="0"/>
    <x v="1"/>
    <x v="3"/>
    <n v="0"/>
    <n v="0"/>
    <n v="2.38"/>
    <n v="2.38"/>
    <n v="2.38"/>
    <n v="2.38"/>
    <n v="2"/>
    <x v="2"/>
    <n v="0"/>
    <n v="0"/>
    <n v="77"/>
    <n v="52"/>
    <n v="0"/>
    <n v="343.17"/>
    <n v="303.54000000000002"/>
    <m/>
    <n v="310.49"/>
    <n v="262.52999999999997"/>
    <n v="0"/>
    <n v="816.74459999999999"/>
    <n v="722.42520000000002"/>
    <n v="0"/>
    <n v="1122.8390205407627"/>
    <n v="683.45014553852923"/>
  </r>
  <r>
    <s v="Regular"/>
    <x v="4"/>
    <x v="3"/>
    <x v="0"/>
    <x v="0"/>
    <x v="1"/>
    <x v="0"/>
    <x v="1"/>
    <x v="4"/>
    <n v="0"/>
    <n v="0"/>
    <n v="98.552999999999997"/>
    <n v="98.552999999999997"/>
    <n v="98.552999999999997"/>
    <n v="98.552999999999997"/>
    <n v="89"/>
    <x v="2"/>
    <n v="0"/>
    <n v="0"/>
    <n v="77"/>
    <n v="52"/>
    <n v="0"/>
    <n v="343.17"/>
    <n v="303.54000000000002"/>
    <m/>
    <n v="310.49"/>
    <n v="262.52999999999997"/>
    <n v="0"/>
    <n v="33820.433010000001"/>
    <n v="29914.777620000001"/>
    <n v="0"/>
    <n v="46495.442853509994"/>
    <n v="28300.866467755746"/>
  </r>
  <r>
    <s v="Sistema de Compensação"/>
    <x v="4"/>
    <x v="3"/>
    <x v="0"/>
    <x v="0"/>
    <x v="1"/>
    <x v="0"/>
    <x v="1"/>
    <x v="4"/>
    <n v="0"/>
    <n v="0"/>
    <n v="0.45500000000000002"/>
    <n v="0.45500000000000002"/>
    <n v="0.45500000000000002"/>
    <n v="0.45500000000000002"/>
    <n v="3"/>
    <x v="2"/>
    <n v="0"/>
    <n v="0"/>
    <n v="77"/>
    <n v="52"/>
    <n v="0"/>
    <n v="343.17"/>
    <n v="303.54000000000002"/>
    <m/>
    <n v="310.49"/>
    <n v="262.52999999999997"/>
    <n v="0"/>
    <n v="156.14235000000002"/>
    <n v="138.11070000000001"/>
    <n v="0"/>
    <n v="214.66040098573404"/>
    <n v="130.65958664707179"/>
  </r>
  <r>
    <s v="Regular"/>
    <x v="4"/>
    <x v="3"/>
    <x v="0"/>
    <x v="0"/>
    <x v="1"/>
    <x v="0"/>
    <x v="1"/>
    <x v="5"/>
    <n v="0"/>
    <n v="0"/>
    <n v="105.804"/>
    <n v="105.804"/>
    <n v="105.804"/>
    <n v="105.804"/>
    <n v="88"/>
    <x v="2"/>
    <n v="0"/>
    <n v="0"/>
    <n v="77"/>
    <n v="52"/>
    <n v="0"/>
    <n v="343.17"/>
    <n v="303.54000000000002"/>
    <m/>
    <n v="310.49"/>
    <n v="262.52999999999997"/>
    <n v="0"/>
    <n v="36308.758679999999"/>
    <n v="32115.746160000002"/>
    <n v="0"/>
    <n v="49916.327617350784"/>
    <n v="30383.092100234688"/>
  </r>
  <r>
    <s v="Sistema de Compensação"/>
    <x v="4"/>
    <x v="3"/>
    <x v="0"/>
    <x v="0"/>
    <x v="1"/>
    <x v="0"/>
    <x v="1"/>
    <x v="5"/>
    <n v="0"/>
    <n v="0"/>
    <n v="0.97899999999999998"/>
    <n v="0.97899999999999998"/>
    <n v="0.97899999999999998"/>
    <n v="0.97899999999999998"/>
    <n v="3"/>
    <x v="2"/>
    <n v="0"/>
    <n v="0"/>
    <n v="77"/>
    <n v="52"/>
    <n v="0"/>
    <n v="343.17"/>
    <n v="303.54000000000002"/>
    <m/>
    <n v="310.49"/>
    <n v="262.52999999999997"/>
    <n v="0"/>
    <n v="335.96343000000002"/>
    <n v="297.16566"/>
    <n v="0"/>
    <n v="461.87369794512887"/>
    <n v="281.13348423622693"/>
  </r>
  <r>
    <s v="Regular"/>
    <x v="4"/>
    <x v="3"/>
    <x v="0"/>
    <x v="0"/>
    <x v="1"/>
    <x v="0"/>
    <x v="1"/>
    <x v="6"/>
    <n v="0"/>
    <n v="0"/>
    <n v="97.123999999999995"/>
    <n v="97.123999999999995"/>
    <n v="97.123999999999995"/>
    <n v="97.123999999999995"/>
    <n v="87"/>
    <x v="2"/>
    <n v="0"/>
    <n v="0"/>
    <n v="77"/>
    <n v="52"/>
    <n v="0"/>
    <n v="343.17"/>
    <n v="303.54000000000002"/>
    <m/>
    <n v="310.49"/>
    <n v="262.52999999999997"/>
    <n v="0"/>
    <n v="33330.043080000003"/>
    <n v="29481.018960000001"/>
    <n v="0"/>
    <n v="45821.267660084464"/>
    <n v="27890.509216505929"/>
  </r>
  <r>
    <s v="Sistema de Compensação"/>
    <x v="4"/>
    <x v="3"/>
    <x v="0"/>
    <x v="0"/>
    <x v="1"/>
    <x v="0"/>
    <x v="1"/>
    <x v="6"/>
    <n v="0"/>
    <n v="0"/>
    <n v="2.5230000000000001"/>
    <n v="2.5230000000000001"/>
    <n v="2.5230000000000001"/>
    <n v="2.5230000000000001"/>
    <n v="4"/>
    <x v="2"/>
    <n v="0"/>
    <n v="0"/>
    <n v="77"/>
    <n v="52"/>
    <n v="0"/>
    <n v="343.17"/>
    <n v="303.54000000000002"/>
    <m/>
    <n v="310.49"/>
    <n v="262.52999999999997"/>
    <n v="0"/>
    <n v="865.8179100000001"/>
    <n v="765.83142000000009"/>
    <n v="0"/>
    <n v="1190.303717993422"/>
    <n v="724.5145870561804"/>
  </r>
  <r>
    <s v="Regular"/>
    <x v="4"/>
    <x v="3"/>
    <x v="0"/>
    <x v="0"/>
    <x v="1"/>
    <x v="0"/>
    <x v="1"/>
    <x v="7"/>
    <n v="0"/>
    <n v="0"/>
    <n v="97.576999999999998"/>
    <n v="97.576999999999998"/>
    <n v="97.576999999999998"/>
    <n v="97.576999999999998"/>
    <n v="88"/>
    <x v="2"/>
    <n v="0"/>
    <n v="0"/>
    <n v="77"/>
    <n v="52"/>
    <n v="0"/>
    <n v="343.17"/>
    <n v="303.54000000000002"/>
    <m/>
    <n v="310.49"/>
    <n v="262.52999999999997"/>
    <n v="0"/>
    <n v="33485.499089999998"/>
    <n v="29618.522580000001"/>
    <n v="0"/>
    <n v="46034.984498868071"/>
    <n v="28020.594475299607"/>
  </r>
  <r>
    <s v="Sistema de Compensação"/>
    <x v="4"/>
    <x v="3"/>
    <x v="0"/>
    <x v="0"/>
    <x v="1"/>
    <x v="0"/>
    <x v="1"/>
    <x v="7"/>
    <n v="0"/>
    <n v="0"/>
    <n v="0.55400000000000005"/>
    <n v="0.55400000000000005"/>
    <n v="0.55400000000000005"/>
    <n v="0.55400000000000005"/>
    <n v="4"/>
    <x v="2"/>
    <n v="0"/>
    <n v="0"/>
    <n v="77"/>
    <n v="52"/>
    <n v="0"/>
    <n v="343.17"/>
    <n v="303.54000000000002"/>
    <m/>
    <n v="310.49"/>
    <n v="262.52999999999997"/>
    <n v="0"/>
    <n v="190.11618000000001"/>
    <n v="168.16116000000002"/>
    <n v="0"/>
    <n v="261.36672999142127"/>
    <n v="159.08881539006103"/>
  </r>
  <r>
    <s v="Regular"/>
    <x v="4"/>
    <x v="3"/>
    <x v="0"/>
    <x v="0"/>
    <x v="1"/>
    <x v="0"/>
    <x v="1"/>
    <x v="8"/>
    <n v="0"/>
    <n v="0"/>
    <n v="108.20099999999999"/>
    <n v="108.20099999999999"/>
    <n v="108.20099999999999"/>
    <n v="108.20099999999999"/>
    <n v="88"/>
    <x v="2"/>
    <n v="0"/>
    <n v="0"/>
    <n v="77"/>
    <n v="52"/>
    <n v="0"/>
    <n v="343.17"/>
    <n v="303.54000000000002"/>
    <m/>
    <n v="310.49"/>
    <n v="262.52999999999997"/>
    <n v="0"/>
    <n v="37131.337169999999"/>
    <n v="32843.331539999999"/>
    <n v="0"/>
    <n v="51047.186916609688"/>
    <n v="31071.424032527058"/>
  </r>
  <r>
    <s v="Sistema de Compensação"/>
    <x v="4"/>
    <x v="3"/>
    <x v="0"/>
    <x v="0"/>
    <x v="1"/>
    <x v="0"/>
    <x v="1"/>
    <x v="8"/>
    <n v="0"/>
    <n v="0"/>
    <n v="0.66600000000000004"/>
    <n v="0.66600000000000004"/>
    <n v="0.66600000000000004"/>
    <n v="0.66600000000000004"/>
    <n v="4"/>
    <x v="2"/>
    <n v="0"/>
    <n v="0"/>
    <n v="77"/>
    <n v="52"/>
    <n v="0"/>
    <n v="343.17"/>
    <n v="303.54000000000002"/>
    <m/>
    <n v="310.49"/>
    <n v="262.52999999999997"/>
    <n v="0"/>
    <n v="228.55122000000003"/>
    <n v="202.15764000000001"/>
    <n v="0"/>
    <n v="314.20621331098653"/>
    <n v="191.25117518010947"/>
  </r>
  <r>
    <s v="Regular"/>
    <x v="4"/>
    <x v="3"/>
    <x v="0"/>
    <x v="0"/>
    <x v="1"/>
    <x v="0"/>
    <x v="1"/>
    <x v="9"/>
    <n v="0"/>
    <n v="0"/>
    <n v="94.998000000000005"/>
    <n v="94.998000000000005"/>
    <n v="94.998000000000005"/>
    <n v="94.998000000000005"/>
    <n v="87"/>
    <x v="2"/>
    <n v="0"/>
    <n v="0"/>
    <n v="77"/>
    <n v="52"/>
    <n v="0"/>
    <n v="343.17"/>
    <n v="303.54000000000002"/>
    <m/>
    <n v="310.49"/>
    <n v="262.52999999999997"/>
    <n v="0"/>
    <n v="32600.463660000005"/>
    <n v="28835.692920000005"/>
    <n v="0"/>
    <n v="44818.261039214864"/>
    <n v="27279.998708348405"/>
  </r>
  <r>
    <s v="Sistema de Compensação"/>
    <x v="4"/>
    <x v="3"/>
    <x v="0"/>
    <x v="0"/>
    <x v="1"/>
    <x v="0"/>
    <x v="1"/>
    <x v="9"/>
    <n v="0"/>
    <n v="0"/>
    <n v="0.4"/>
    <n v="0.4"/>
    <n v="0.4"/>
    <n v="0.4"/>
    <n v="4"/>
    <x v="2"/>
    <n v="0"/>
    <n v="0"/>
    <n v="77"/>
    <n v="52"/>
    <n v="0"/>
    <n v="343.17"/>
    <n v="303.54000000000002"/>
    <m/>
    <n v="310.49"/>
    <n v="262.52999999999997"/>
    <n v="0"/>
    <n v="137.268"/>
    <n v="121.41600000000001"/>
    <n v="0"/>
    <n v="188.71244042701895"/>
    <n v="114.86557067874442"/>
  </r>
  <r>
    <s v="Regular"/>
    <x v="4"/>
    <x v="3"/>
    <x v="0"/>
    <x v="0"/>
    <x v="1"/>
    <x v="0"/>
    <x v="1"/>
    <x v="10"/>
    <n v="0"/>
    <n v="0"/>
    <n v="110.358"/>
    <n v="110.358"/>
    <n v="110.358"/>
    <n v="110.358"/>
    <n v="87"/>
    <x v="2"/>
    <n v="0"/>
    <n v="0"/>
    <n v="77"/>
    <n v="52"/>
    <n v="0"/>
    <n v="343.17"/>
    <n v="303.54000000000002"/>
    <m/>
    <n v="310.49"/>
    <n v="262.52999999999997"/>
    <n v="0"/>
    <n v="37871.554860000004"/>
    <n v="33498.067320000002"/>
    <n v="0"/>
    <n v="52064.818751612394"/>
    <n v="31690.836622412193"/>
  </r>
  <r>
    <s v="Sistema de Compensação"/>
    <x v="4"/>
    <x v="3"/>
    <x v="0"/>
    <x v="0"/>
    <x v="1"/>
    <x v="0"/>
    <x v="1"/>
    <x v="10"/>
    <n v="0"/>
    <n v="0"/>
    <n v="0.4"/>
    <n v="0.4"/>
    <n v="0.4"/>
    <n v="0.4"/>
    <n v="4"/>
    <x v="2"/>
    <n v="0"/>
    <n v="0"/>
    <n v="77"/>
    <n v="52"/>
    <n v="0"/>
    <n v="343.17"/>
    <n v="303.54000000000002"/>
    <m/>
    <n v="310.49"/>
    <n v="262.52999999999997"/>
    <n v="0"/>
    <n v="137.268"/>
    <n v="121.41600000000001"/>
    <n v="0"/>
    <n v="188.71244042701895"/>
    <n v="114.86557067874442"/>
  </r>
  <r>
    <s v="Regular"/>
    <x v="4"/>
    <x v="3"/>
    <x v="0"/>
    <x v="0"/>
    <x v="1"/>
    <x v="0"/>
    <x v="1"/>
    <x v="11"/>
    <n v="0"/>
    <n v="0"/>
    <n v="111.623"/>
    <n v="111.623"/>
    <n v="111.623"/>
    <n v="111.623"/>
    <n v="86"/>
    <x v="2"/>
    <n v="0"/>
    <n v="0"/>
    <n v="77"/>
    <n v="52"/>
    <n v="0"/>
    <n v="343.17"/>
    <n v="303.54000000000002"/>
    <m/>
    <n v="310.49"/>
    <n v="262.52999999999997"/>
    <n v="0"/>
    <n v="38305.664910000007"/>
    <n v="33882.045420000002"/>
    <n v="0"/>
    <n v="52661.621844462839"/>
    <n v="32054.09898968372"/>
  </r>
  <r>
    <s v="Sistema de Compensação"/>
    <x v="4"/>
    <x v="3"/>
    <x v="0"/>
    <x v="0"/>
    <x v="1"/>
    <x v="0"/>
    <x v="1"/>
    <x v="11"/>
    <n v="0"/>
    <n v="0"/>
    <n v="0.4"/>
    <n v="0.4"/>
    <n v="0.4"/>
    <n v="0.4"/>
    <n v="4"/>
    <x v="2"/>
    <n v="0"/>
    <n v="0"/>
    <n v="77"/>
    <n v="52"/>
    <n v="0"/>
    <n v="343.17"/>
    <n v="303.54000000000002"/>
    <m/>
    <n v="310.49"/>
    <n v="262.52999999999997"/>
    <n v="0"/>
    <n v="137.268"/>
    <n v="121.41600000000001"/>
    <n v="0"/>
    <n v="188.71244042701895"/>
    <n v="114.86557067874442"/>
  </r>
  <r>
    <s v="Regular"/>
    <x v="4"/>
    <x v="3"/>
    <x v="0"/>
    <x v="0"/>
    <x v="1"/>
    <x v="0"/>
    <x v="1"/>
    <x v="0"/>
    <n v="0"/>
    <n v="0"/>
    <n v="100.437"/>
    <n v="100.437"/>
    <n v="100.437"/>
    <n v="100.437"/>
    <n v="88"/>
    <x v="2"/>
    <n v="0"/>
    <n v="0"/>
    <n v="77"/>
    <n v="52"/>
    <n v="0"/>
    <n v="343.17"/>
    <n v="303.54000000000002"/>
    <m/>
    <n v="310.49"/>
    <n v="262.52999999999997"/>
    <n v="0"/>
    <n v="34466.96529"/>
    <n v="30486.646980000001"/>
    <n v="0"/>
    <n v="47384.27844792125"/>
    <n v="28841.883305652631"/>
  </r>
  <r>
    <s v="Sistema de Compensação"/>
    <x v="4"/>
    <x v="3"/>
    <x v="0"/>
    <x v="0"/>
    <x v="1"/>
    <x v="0"/>
    <x v="1"/>
    <x v="0"/>
    <n v="0"/>
    <n v="0"/>
    <n v="0.4"/>
    <n v="0.4"/>
    <n v="0.4"/>
    <n v="0.4"/>
    <n v="4"/>
    <x v="2"/>
    <n v="0"/>
    <n v="0"/>
    <n v="77"/>
    <n v="52"/>
    <n v="0"/>
    <n v="343.17"/>
    <n v="303.54000000000002"/>
    <m/>
    <n v="310.49"/>
    <n v="262.52999999999997"/>
    <n v="0"/>
    <n v="137.268"/>
    <n v="121.41600000000001"/>
    <n v="0"/>
    <n v="188.71244042701895"/>
    <n v="114.86557067874442"/>
  </r>
  <r>
    <s v="Regular"/>
    <x v="4"/>
    <x v="3"/>
    <x v="0"/>
    <x v="0"/>
    <x v="1"/>
    <x v="0"/>
    <x v="1"/>
    <x v="1"/>
    <n v="0"/>
    <n v="0"/>
    <n v="90.561999999999998"/>
    <n v="90.561999999999998"/>
    <n v="90.561999999999998"/>
    <n v="90.561999999999998"/>
    <n v="87"/>
    <x v="2"/>
    <n v="0"/>
    <n v="0"/>
    <n v="77"/>
    <n v="52"/>
    <n v="0"/>
    <n v="343.17"/>
    <n v="303.54000000000002"/>
    <m/>
    <n v="310.49"/>
    <n v="262.52999999999997"/>
    <n v="0"/>
    <n v="31078.161540000001"/>
    <n v="27489.189480000001"/>
    <n v="0"/>
    <n v="42725.440074879225"/>
    <n v="26006.13952952113"/>
  </r>
  <r>
    <s v="Sistema de Compensação"/>
    <x v="4"/>
    <x v="3"/>
    <x v="0"/>
    <x v="0"/>
    <x v="1"/>
    <x v="0"/>
    <x v="1"/>
    <x v="1"/>
    <n v="0"/>
    <n v="0"/>
    <n v="0.4"/>
    <n v="0.4"/>
    <n v="0.4"/>
    <n v="0.4"/>
    <n v="4"/>
    <x v="2"/>
    <n v="0"/>
    <n v="0"/>
    <n v="77"/>
    <n v="52"/>
    <n v="0"/>
    <n v="343.17"/>
    <n v="303.54000000000002"/>
    <m/>
    <n v="310.49"/>
    <n v="262.52999999999997"/>
    <n v="0"/>
    <n v="137.268"/>
    <n v="121.41600000000001"/>
    <n v="0"/>
    <n v="188.71244042701895"/>
    <n v="114.86557067874442"/>
  </r>
  <r>
    <s v="Regular"/>
    <x v="4"/>
    <x v="3"/>
    <x v="0"/>
    <x v="0"/>
    <x v="1"/>
    <x v="0"/>
    <x v="1"/>
    <x v="2"/>
    <n v="0"/>
    <n v="0"/>
    <n v="99.206000000000003"/>
    <n v="99.206000000000003"/>
    <n v="99.206000000000003"/>
    <n v="99.206000000000003"/>
    <n v="86"/>
    <x v="2"/>
    <n v="0"/>
    <n v="0"/>
    <n v="77"/>
    <n v="52"/>
    <n v="0"/>
    <n v="343.17"/>
    <n v="303.54000000000002"/>
    <m/>
    <n v="310.49"/>
    <n v="262.52999999999997"/>
    <n v="0"/>
    <n v="34044.523020000001"/>
    <n v="30112.989240000003"/>
    <n v="0"/>
    <n v="46803.515912507108"/>
    <n v="28488.384511888798"/>
  </r>
  <r>
    <s v="Sistema de Compensação"/>
    <x v="4"/>
    <x v="3"/>
    <x v="0"/>
    <x v="0"/>
    <x v="1"/>
    <x v="0"/>
    <x v="1"/>
    <x v="2"/>
    <n v="0"/>
    <n v="0"/>
    <n v="2.3279999999999998"/>
    <n v="2.3279999999999998"/>
    <n v="2.3279999999999998"/>
    <n v="2.3279999999999998"/>
    <n v="5"/>
    <x v="2"/>
    <n v="0"/>
    <n v="0"/>
    <n v="77"/>
    <n v="52"/>
    <n v="0"/>
    <n v="343.17"/>
    <n v="303.54000000000002"/>
    <m/>
    <n v="310.49"/>
    <n v="262.52999999999997"/>
    <n v="0"/>
    <n v="798.89976000000001"/>
    <n v="706.64112"/>
    <n v="0"/>
    <n v="1098.3064032852501"/>
    <n v="668.51762135029242"/>
  </r>
  <r>
    <s v="Regular"/>
    <x v="4"/>
    <x v="3"/>
    <x v="0"/>
    <x v="0"/>
    <x v="1"/>
    <x v="0"/>
    <x v="1"/>
    <x v="3"/>
    <n v="0"/>
    <n v="0"/>
    <n v="106.953"/>
    <n v="106.953"/>
    <n v="106.953"/>
    <n v="106.953"/>
    <n v="83"/>
    <x v="2"/>
    <n v="0"/>
    <n v="0"/>
    <n v="77"/>
    <n v="52"/>
    <n v="0"/>
    <n v="343.17"/>
    <n v="303.54000000000002"/>
    <m/>
    <n v="310.49"/>
    <n v="262.52999999999997"/>
    <n v="0"/>
    <n v="36703.061010000005"/>
    <n v="32464.513620000002"/>
    <n v="0"/>
    <n v="50458.404102477391"/>
    <n v="30713.04345200938"/>
  </r>
  <r>
    <s v="Sistema de Compensação"/>
    <x v="4"/>
    <x v="3"/>
    <x v="0"/>
    <x v="0"/>
    <x v="1"/>
    <x v="0"/>
    <x v="1"/>
    <x v="3"/>
    <n v="0"/>
    <n v="0"/>
    <n v="6.556"/>
    <n v="6.556"/>
    <n v="6.556"/>
    <n v="6.556"/>
    <n v="6"/>
    <x v="2"/>
    <n v="0"/>
    <n v="0"/>
    <n v="77"/>
    <n v="52"/>
    <n v="0"/>
    <n v="343.17"/>
    <n v="303.54000000000002"/>
    <m/>
    <n v="310.49"/>
    <n v="262.52999999999997"/>
    <n v="0"/>
    <n v="2249.8225200000002"/>
    <n v="1990.0082400000001"/>
    <n v="0"/>
    <n v="3092.9968985988403"/>
    <n v="1882.6467034246209"/>
  </r>
  <r>
    <s v="Regular"/>
    <x v="4"/>
    <x v="3"/>
    <x v="3"/>
    <x v="0"/>
    <x v="1"/>
    <x v="0"/>
    <x v="1"/>
    <x v="4"/>
    <n v="0"/>
    <n v="0"/>
    <n v="67.95"/>
    <n v="67.95"/>
    <n v="67.95"/>
    <n v="67.95"/>
    <n v="75"/>
    <x v="2"/>
    <n v="0"/>
    <n v="0"/>
    <n v="77"/>
    <n v="52"/>
    <n v="0"/>
    <n v="343.17"/>
    <n v="303.54000000000002"/>
    <m/>
    <n v="310.49"/>
    <n v="262.52999999999997"/>
    <n v="0"/>
    <n v="23318.401500000004"/>
    <n v="20625.543000000001"/>
    <n v="0"/>
    <n v="32057.525817539845"/>
    <n v="19512.788819051708"/>
  </r>
  <r>
    <s v="Sistema de Compensação"/>
    <x v="4"/>
    <x v="3"/>
    <x v="3"/>
    <x v="0"/>
    <x v="1"/>
    <x v="0"/>
    <x v="1"/>
    <x v="4"/>
    <n v="0"/>
    <n v="0"/>
    <n v="0.52400000000000002"/>
    <n v="0.52400000000000002"/>
    <n v="0.52400000000000002"/>
    <n v="0.52400000000000002"/>
    <n v="2"/>
    <x v="2"/>
    <n v="0"/>
    <n v="0"/>
    <n v="77"/>
    <n v="52"/>
    <n v="0"/>
    <n v="343.17"/>
    <n v="303.54000000000002"/>
    <m/>
    <n v="310.49"/>
    <n v="262.52999999999997"/>
    <n v="0"/>
    <n v="179.82108000000002"/>
    <n v="159.05496000000002"/>
    <n v="0"/>
    <n v="247.21329695939482"/>
    <n v="150.4738975891552"/>
  </r>
  <r>
    <s v="Regular"/>
    <x v="4"/>
    <x v="3"/>
    <x v="3"/>
    <x v="0"/>
    <x v="1"/>
    <x v="0"/>
    <x v="1"/>
    <x v="5"/>
    <n v="0"/>
    <n v="0"/>
    <n v="71.960999999999999"/>
    <n v="71.960999999999999"/>
    <n v="71.960999999999999"/>
    <n v="71.960999999999999"/>
    <n v="75"/>
    <x v="2"/>
    <n v="0"/>
    <n v="0"/>
    <n v="77"/>
    <n v="52"/>
    <n v="0"/>
    <n v="343.17"/>
    <n v="303.54000000000002"/>
    <m/>
    <n v="310.49"/>
    <n v="262.52999999999997"/>
    <n v="0"/>
    <n v="24694.856370000001"/>
    <n v="21843.041940000003"/>
    <n v="0"/>
    <n v="33949.839813921775"/>
    <n v="20664.603329032816"/>
  </r>
  <r>
    <s v="Sistema de Compensação"/>
    <x v="4"/>
    <x v="3"/>
    <x v="3"/>
    <x v="0"/>
    <x v="1"/>
    <x v="0"/>
    <x v="1"/>
    <x v="5"/>
    <n v="0"/>
    <n v="0"/>
    <n v="0.65500000000000003"/>
    <n v="0.65500000000000003"/>
    <n v="0.65500000000000003"/>
    <n v="0.65500000000000003"/>
    <n v="2"/>
    <x v="2"/>
    <n v="0"/>
    <n v="0"/>
    <n v="77"/>
    <n v="52"/>
    <n v="0"/>
    <n v="343.17"/>
    <n v="303.54000000000002"/>
    <m/>
    <n v="310.49"/>
    <n v="262.52999999999997"/>
    <n v="0"/>
    <n v="224.77635000000001"/>
    <n v="198.81870000000004"/>
    <n v="0"/>
    <n v="309.0166211992435"/>
    <n v="188.09237198644399"/>
  </r>
  <r>
    <s v="Regular"/>
    <x v="4"/>
    <x v="3"/>
    <x v="3"/>
    <x v="0"/>
    <x v="1"/>
    <x v="0"/>
    <x v="1"/>
    <x v="6"/>
    <n v="0"/>
    <n v="0"/>
    <n v="69.941000000000003"/>
    <n v="69.941000000000003"/>
    <n v="69.941000000000003"/>
    <n v="69.941000000000003"/>
    <n v="75"/>
    <x v="2"/>
    <n v="0"/>
    <n v="0"/>
    <n v="77"/>
    <n v="52"/>
    <n v="0"/>
    <n v="343.17"/>
    <n v="303.54000000000002"/>
    <m/>
    <n v="310.49"/>
    <n v="262.52999999999997"/>
    <n v="0"/>
    <n v="24001.652970000003"/>
    <n v="21229.891140000003"/>
    <n v="0"/>
    <n v="32996.841989765329"/>
    <n v="20084.53219710516"/>
  </r>
  <r>
    <s v="Sistema de Compensação"/>
    <x v="4"/>
    <x v="3"/>
    <x v="3"/>
    <x v="0"/>
    <x v="1"/>
    <x v="0"/>
    <x v="1"/>
    <x v="6"/>
    <n v="0"/>
    <n v="0"/>
    <n v="0.67200000000000004"/>
    <n v="0.67200000000000004"/>
    <n v="0.67200000000000004"/>
    <n v="0.67200000000000004"/>
    <n v="2"/>
    <x v="2"/>
    <n v="0"/>
    <n v="0"/>
    <n v="77"/>
    <n v="52"/>
    <n v="0"/>
    <n v="343.17"/>
    <n v="303.54000000000002"/>
    <m/>
    <n v="310.49"/>
    <n v="262.52999999999997"/>
    <n v="0"/>
    <n v="230.61024000000003"/>
    <n v="203.97888000000003"/>
    <n v="0"/>
    <n v="317.03689991739185"/>
    <n v="192.97415874029062"/>
  </r>
  <r>
    <s v="Regular"/>
    <x v="4"/>
    <x v="3"/>
    <x v="3"/>
    <x v="0"/>
    <x v="1"/>
    <x v="0"/>
    <x v="1"/>
    <x v="7"/>
    <n v="0"/>
    <n v="0"/>
    <n v="69.537999999999997"/>
    <n v="69.537999999999997"/>
    <n v="69.537999999999997"/>
    <n v="69.537999999999997"/>
    <n v="75"/>
    <x v="2"/>
    <n v="0"/>
    <n v="0"/>
    <n v="77"/>
    <n v="52"/>
    <n v="0"/>
    <n v="343.17"/>
    <n v="303.54000000000002"/>
    <m/>
    <n v="310.49"/>
    <n v="262.52999999999997"/>
    <n v="0"/>
    <n v="23863.355459999999"/>
    <n v="21107.56452"/>
    <n v="0"/>
    <n v="32806.714206035103"/>
    <n v="19968.805134646322"/>
  </r>
  <r>
    <s v="Sistema de Compensação"/>
    <x v="4"/>
    <x v="3"/>
    <x v="3"/>
    <x v="0"/>
    <x v="1"/>
    <x v="0"/>
    <x v="1"/>
    <x v="7"/>
    <n v="0"/>
    <n v="0"/>
    <n v="0.82699999999999996"/>
    <n v="0.82699999999999996"/>
    <n v="0.82699999999999996"/>
    <n v="0.82699999999999996"/>
    <n v="2"/>
    <x v="2"/>
    <n v="0"/>
    <n v="0"/>
    <n v="77"/>
    <n v="52"/>
    <n v="0"/>
    <n v="343.17"/>
    <n v="303.54000000000002"/>
    <m/>
    <n v="310.49"/>
    <n v="262.52999999999997"/>
    <n v="0"/>
    <n v="283.80158999999998"/>
    <n v="251.02758"/>
    <n v="0"/>
    <n v="390.16297058286165"/>
    <n v="237.48456737830406"/>
  </r>
  <r>
    <s v="Regular"/>
    <x v="4"/>
    <x v="3"/>
    <x v="3"/>
    <x v="0"/>
    <x v="1"/>
    <x v="0"/>
    <x v="1"/>
    <x v="8"/>
    <n v="0"/>
    <n v="0"/>
    <n v="87.212999999999994"/>
    <n v="87.212999999999994"/>
    <n v="87.212999999999994"/>
    <n v="87.212999999999994"/>
    <n v="73"/>
    <x v="2"/>
    <n v="0"/>
    <n v="0"/>
    <n v="77"/>
    <n v="52"/>
    <n v="0"/>
    <n v="343.17"/>
    <n v="303.54000000000002"/>
    <m/>
    <n v="310.49"/>
    <n v="262.52999999999997"/>
    <n v="0"/>
    <n v="29928.88521"/>
    <n v="26472.634020000001"/>
    <n v="0"/>
    <n v="41145.445167404003"/>
    <n v="25044.427539013341"/>
  </r>
  <r>
    <s v="Sistema de Compensação"/>
    <x v="4"/>
    <x v="3"/>
    <x v="3"/>
    <x v="0"/>
    <x v="1"/>
    <x v="0"/>
    <x v="1"/>
    <x v="8"/>
    <n v="0"/>
    <n v="0"/>
    <n v="1.367"/>
    <n v="1.367"/>
    <n v="1.367"/>
    <n v="1.367"/>
    <n v="2"/>
    <x v="2"/>
    <n v="0"/>
    <n v="0"/>
    <n v="77"/>
    <n v="52"/>
    <n v="0"/>
    <n v="343.17"/>
    <n v="303.54000000000002"/>
    <m/>
    <n v="310.49"/>
    <n v="262.52999999999997"/>
    <n v="0"/>
    <n v="469.11339000000004"/>
    <n v="414.93918000000002"/>
    <n v="0"/>
    <n v="644.9247651593372"/>
    <n v="392.55308779460904"/>
  </r>
  <r>
    <s v="Regular"/>
    <x v="4"/>
    <x v="3"/>
    <x v="3"/>
    <x v="0"/>
    <x v="1"/>
    <x v="0"/>
    <x v="1"/>
    <x v="9"/>
    <n v="0"/>
    <n v="0"/>
    <n v="77.984999999999999"/>
    <n v="77.984999999999999"/>
    <n v="77.984999999999999"/>
    <n v="77.984999999999999"/>
    <n v="73"/>
    <x v="2"/>
    <n v="0"/>
    <n v="0"/>
    <n v="77"/>
    <n v="52"/>
    <n v="0"/>
    <n v="343.17"/>
    <n v="303.54000000000002"/>
    <m/>
    <n v="310.49"/>
    <n v="262.52999999999997"/>
    <n v="0"/>
    <n v="26762.112450000001"/>
    <n v="23671.566900000002"/>
    <n v="0"/>
    <n v="36791.849166752683"/>
    <n v="22394.478823454709"/>
  </r>
  <r>
    <s v="Sistema de Compensação"/>
    <x v="4"/>
    <x v="3"/>
    <x v="3"/>
    <x v="0"/>
    <x v="1"/>
    <x v="0"/>
    <x v="1"/>
    <x v="9"/>
    <n v="0"/>
    <n v="0"/>
    <n v="0.65600000000000003"/>
    <n v="0.65600000000000003"/>
    <n v="0.65600000000000003"/>
    <n v="0.65600000000000003"/>
    <n v="2"/>
    <x v="2"/>
    <n v="0"/>
    <n v="0"/>
    <n v="77"/>
    <n v="52"/>
    <n v="0"/>
    <n v="343.17"/>
    <n v="303.54000000000002"/>
    <m/>
    <n v="310.49"/>
    <n v="262.52999999999997"/>
    <n v="0"/>
    <n v="225.11952000000002"/>
    <n v="199.12224000000003"/>
    <n v="0"/>
    <n v="309.48840230031107"/>
    <n v="188.37953591314084"/>
  </r>
  <r>
    <s v="Regular"/>
    <x v="4"/>
    <x v="3"/>
    <x v="3"/>
    <x v="0"/>
    <x v="1"/>
    <x v="0"/>
    <x v="1"/>
    <x v="10"/>
    <n v="0"/>
    <n v="0"/>
    <n v="88.49"/>
    <n v="88.49"/>
    <n v="88.49"/>
    <n v="88.49"/>
    <n v="73"/>
    <x v="2"/>
    <n v="0"/>
    <n v="0"/>
    <n v="77"/>
    <n v="52"/>
    <n v="0"/>
    <n v="343.17"/>
    <n v="303.54000000000002"/>
    <m/>
    <n v="310.49"/>
    <n v="262.52999999999997"/>
    <n v="0"/>
    <n v="30367.113300000001"/>
    <n v="26860.2546"/>
    <n v="0"/>
    <n v="41747.909633467265"/>
    <n v="25411.135873405234"/>
  </r>
  <r>
    <s v="Sistema de Compensação"/>
    <x v="4"/>
    <x v="3"/>
    <x v="3"/>
    <x v="0"/>
    <x v="1"/>
    <x v="0"/>
    <x v="1"/>
    <x v="10"/>
    <n v="0"/>
    <n v="0"/>
    <n v="0.2"/>
    <n v="0.2"/>
    <n v="0.2"/>
    <n v="0.2"/>
    <n v="2"/>
    <x v="2"/>
    <n v="0"/>
    <n v="0"/>
    <n v="77"/>
    <n v="52"/>
    <n v="0"/>
    <n v="343.17"/>
    <n v="303.54000000000002"/>
    <m/>
    <n v="310.49"/>
    <n v="262.52999999999997"/>
    <n v="0"/>
    <n v="68.634"/>
    <n v="60.708000000000006"/>
    <n v="0"/>
    <n v="94.356220213509474"/>
    <n v="57.432785339372209"/>
  </r>
  <r>
    <s v="Regular"/>
    <x v="4"/>
    <x v="3"/>
    <x v="3"/>
    <x v="0"/>
    <x v="1"/>
    <x v="0"/>
    <x v="1"/>
    <x v="11"/>
    <n v="0"/>
    <n v="0"/>
    <n v="109.11199999999999"/>
    <n v="109.11199999999999"/>
    <n v="109.11199999999999"/>
    <n v="109.11199999999999"/>
    <n v="73"/>
    <x v="2"/>
    <n v="0"/>
    <n v="0"/>
    <n v="77"/>
    <n v="52"/>
    <n v="0"/>
    <n v="343.17"/>
    <n v="303.54000000000002"/>
    <m/>
    <n v="310.49"/>
    <n v="262.52999999999997"/>
    <n v="0"/>
    <n v="37443.965040000003"/>
    <n v="33119.856480000002"/>
    <n v="0"/>
    <n v="51476.979499682224"/>
    <n v="31333.030369747899"/>
  </r>
  <r>
    <s v="Sistema de Compensação"/>
    <x v="4"/>
    <x v="3"/>
    <x v="3"/>
    <x v="0"/>
    <x v="1"/>
    <x v="0"/>
    <x v="1"/>
    <x v="11"/>
    <n v="0"/>
    <n v="0"/>
    <n v="1.6080000000000001"/>
    <n v="1.6080000000000001"/>
    <n v="1.6080000000000001"/>
    <n v="1.6080000000000001"/>
    <n v="2"/>
    <x v="2"/>
    <n v="0"/>
    <n v="0"/>
    <n v="77"/>
    <n v="52"/>
    <n v="0"/>
    <n v="343.17"/>
    <n v="303.54000000000002"/>
    <m/>
    <n v="310.49"/>
    <n v="262.52999999999997"/>
    <n v="0"/>
    <n v="551.81736000000001"/>
    <n v="488.09232000000009"/>
    <n v="0"/>
    <n v="758.62401051661618"/>
    <n v="461.75959412855258"/>
  </r>
  <r>
    <s v="Regular"/>
    <x v="4"/>
    <x v="3"/>
    <x v="3"/>
    <x v="0"/>
    <x v="1"/>
    <x v="0"/>
    <x v="1"/>
    <x v="0"/>
    <n v="0"/>
    <n v="0"/>
    <n v="107.56399999999999"/>
    <n v="107.56399999999999"/>
    <n v="107.56399999999999"/>
    <n v="107.56399999999999"/>
    <n v="73"/>
    <x v="2"/>
    <n v="0"/>
    <n v="0"/>
    <n v="77"/>
    <n v="52"/>
    <n v="0"/>
    <n v="343.17"/>
    <n v="303.54000000000002"/>
    <m/>
    <n v="310.49"/>
    <n v="262.52999999999997"/>
    <n v="0"/>
    <n v="36912.737880000001"/>
    <n v="32649.976559999999"/>
    <n v="0"/>
    <n v="50746.662355229659"/>
    <n v="30888.500611221159"/>
  </r>
  <r>
    <s v="Sistema de Compensação"/>
    <x v="4"/>
    <x v="3"/>
    <x v="3"/>
    <x v="0"/>
    <x v="1"/>
    <x v="0"/>
    <x v="1"/>
    <x v="0"/>
    <n v="0"/>
    <n v="0"/>
    <n v="1.5760000000000001"/>
    <n v="1.5760000000000001"/>
    <n v="1.5760000000000001"/>
    <n v="1.5760000000000001"/>
    <n v="2"/>
    <x v="2"/>
    <n v="0"/>
    <n v="0"/>
    <n v="77"/>
    <n v="52"/>
    <n v="0"/>
    <n v="343.17"/>
    <n v="303.54000000000002"/>
    <m/>
    <n v="310.49"/>
    <n v="262.52999999999997"/>
    <n v="0"/>
    <n v="540.8359200000001"/>
    <n v="478.37904000000003"/>
    <n v="0"/>
    <n v="743.52701528245461"/>
    <n v="452.57034847425302"/>
  </r>
  <r>
    <s v="Regular"/>
    <x v="4"/>
    <x v="3"/>
    <x v="3"/>
    <x v="0"/>
    <x v="1"/>
    <x v="0"/>
    <x v="1"/>
    <x v="1"/>
    <n v="0"/>
    <n v="0"/>
    <n v="70.241"/>
    <n v="70.241"/>
    <n v="70.241"/>
    <n v="70.241"/>
    <n v="73"/>
    <x v="2"/>
    <n v="0"/>
    <n v="0"/>
    <n v="77"/>
    <n v="52"/>
    <n v="0"/>
    <n v="343.17"/>
    <n v="303.54000000000002"/>
    <m/>
    <n v="310.49"/>
    <n v="262.52999999999997"/>
    <n v="0"/>
    <n v="24104.60397"/>
    <n v="21320.953140000001"/>
    <n v="0"/>
    <n v="33138.37632008559"/>
    <n v="20170.681375114214"/>
  </r>
  <r>
    <s v="Sistema de Compensação"/>
    <x v="4"/>
    <x v="3"/>
    <x v="3"/>
    <x v="0"/>
    <x v="1"/>
    <x v="0"/>
    <x v="1"/>
    <x v="1"/>
    <n v="0"/>
    <n v="0"/>
    <n v="0.2"/>
    <n v="0.2"/>
    <n v="0.2"/>
    <n v="0.2"/>
    <n v="2"/>
    <x v="2"/>
    <n v="0"/>
    <n v="0"/>
    <n v="77"/>
    <n v="52"/>
    <n v="0"/>
    <n v="343.17"/>
    <n v="303.54000000000002"/>
    <m/>
    <n v="310.49"/>
    <n v="262.52999999999997"/>
    <n v="0"/>
    <n v="68.634"/>
    <n v="60.708000000000006"/>
    <n v="0"/>
    <n v="94.356220213509474"/>
    <n v="57.432785339372209"/>
  </r>
  <r>
    <s v="Regular"/>
    <x v="4"/>
    <x v="3"/>
    <x v="3"/>
    <x v="0"/>
    <x v="1"/>
    <x v="0"/>
    <x v="1"/>
    <x v="2"/>
    <n v="0"/>
    <n v="0"/>
    <n v="68.995000000000005"/>
    <n v="68.995000000000005"/>
    <n v="68.995000000000005"/>
    <n v="68.995000000000005"/>
    <n v="73"/>
    <x v="2"/>
    <n v="0"/>
    <n v="0"/>
    <n v="77"/>
    <n v="52"/>
    <n v="0"/>
    <n v="343.17"/>
    <n v="303.54000000000002"/>
    <m/>
    <n v="310.49"/>
    <n v="262.52999999999997"/>
    <n v="0"/>
    <n v="23677.014150000003"/>
    <n v="20942.742300000002"/>
    <n v="0"/>
    <n v="32550.53706815543"/>
    <n v="19812.875122449928"/>
  </r>
  <r>
    <s v="Sistema de Compensação"/>
    <x v="4"/>
    <x v="3"/>
    <x v="3"/>
    <x v="0"/>
    <x v="1"/>
    <x v="0"/>
    <x v="1"/>
    <x v="2"/>
    <n v="0"/>
    <n v="0"/>
    <n v="0.63"/>
    <n v="0.63"/>
    <n v="0.63"/>
    <n v="0.63"/>
    <n v="2"/>
    <x v="2"/>
    <n v="0"/>
    <n v="0"/>
    <n v="77"/>
    <n v="52"/>
    <n v="0"/>
    <n v="343.17"/>
    <n v="303.54000000000002"/>
    <m/>
    <n v="310.49"/>
    <n v="262.52999999999997"/>
    <n v="0"/>
    <n v="216.19710000000001"/>
    <n v="191.23020000000002"/>
    <n v="0"/>
    <n v="297.22209367255482"/>
    <n v="180.91327381902246"/>
  </r>
  <r>
    <s v="Regular"/>
    <x v="4"/>
    <x v="3"/>
    <x v="3"/>
    <x v="0"/>
    <x v="1"/>
    <x v="0"/>
    <x v="1"/>
    <x v="3"/>
    <n v="0"/>
    <n v="0"/>
    <n v="70.135999999999996"/>
    <n v="70.135999999999996"/>
    <n v="70.135999999999996"/>
    <n v="70.135999999999996"/>
    <n v="73"/>
    <x v="2"/>
    <n v="0"/>
    <n v="0"/>
    <n v="77"/>
    <n v="52"/>
    <n v="0"/>
    <n v="343.17"/>
    <n v="303.54000000000002"/>
    <m/>
    <n v="310.49"/>
    <n v="262.52999999999997"/>
    <n v="0"/>
    <n v="24068.571120000001"/>
    <n v="21289.081440000002"/>
    <n v="0"/>
    <n v="33088.839304473498"/>
    <n v="20140.529162811046"/>
  </r>
  <r>
    <s v="Sistema de Compensação"/>
    <x v="4"/>
    <x v="3"/>
    <x v="3"/>
    <x v="0"/>
    <x v="1"/>
    <x v="0"/>
    <x v="1"/>
    <x v="3"/>
    <n v="0"/>
    <n v="0"/>
    <n v="0.68200000000000005"/>
    <n v="0.68200000000000005"/>
    <n v="0.68200000000000005"/>
    <n v="0.68200000000000005"/>
    <n v="2"/>
    <x v="2"/>
    <n v="0"/>
    <n v="0"/>
    <n v="77"/>
    <n v="52"/>
    <n v="0"/>
    <n v="343.17"/>
    <n v="303.54000000000002"/>
    <m/>
    <n v="310.49"/>
    <n v="262.52999999999997"/>
    <n v="0"/>
    <n v="234.04194000000004"/>
    <n v="207.01428000000004"/>
    <n v="0"/>
    <n v="321.75471092806731"/>
    <n v="195.84579800725925"/>
  </r>
  <r>
    <s v="Regular"/>
    <x v="4"/>
    <x v="3"/>
    <x v="7"/>
    <x v="8"/>
    <x v="1"/>
    <x v="0"/>
    <x v="1"/>
    <x v="4"/>
    <n v="0"/>
    <n v="0"/>
    <n v="35.756999999999998"/>
    <n v="35.756999999999998"/>
    <n v="35.756999999999998"/>
    <n v="35.756999999999998"/>
    <n v="32"/>
    <x v="2"/>
    <n v="0"/>
    <n v="0"/>
    <n v="77"/>
    <n v="52"/>
    <n v="0"/>
    <n v="322.57979999999998"/>
    <n v="285.32760000000002"/>
    <m/>
    <n v="301.17529999999999"/>
    <n v="254.65409999999997"/>
    <n v="0"/>
    <n v="11534.485908599998"/>
    <n v="10202.4589932"/>
    <n v="0"/>
    <n v="16363.392525946121"/>
    <n v="9960.0769110926685"/>
  </r>
  <r>
    <s v="Regular"/>
    <x v="4"/>
    <x v="3"/>
    <x v="7"/>
    <x v="8"/>
    <x v="1"/>
    <x v="0"/>
    <x v="1"/>
    <x v="5"/>
    <n v="0"/>
    <n v="0"/>
    <n v="42.151000000000003"/>
    <n v="42.151000000000003"/>
    <n v="42.151000000000003"/>
    <n v="42.151000000000003"/>
    <n v="32"/>
    <x v="2"/>
    <n v="0"/>
    <n v="0"/>
    <n v="77"/>
    <n v="52"/>
    <n v="0"/>
    <n v="322.57979999999998"/>
    <n v="285.32760000000002"/>
    <m/>
    <n v="301.17529999999999"/>
    <n v="254.65409999999997"/>
    <n v="0"/>
    <n v="13597.0611498"/>
    <n v="12026.843667600002"/>
    <n v="0"/>
    <n v="19289.463835365244"/>
    <n v="11741.119273973407"/>
  </r>
  <r>
    <s v="Regular"/>
    <x v="4"/>
    <x v="3"/>
    <x v="7"/>
    <x v="8"/>
    <x v="1"/>
    <x v="0"/>
    <x v="1"/>
    <x v="6"/>
    <n v="0"/>
    <n v="0"/>
    <n v="39.543999999999997"/>
    <n v="39.543999999999997"/>
    <n v="39.543999999999997"/>
    <n v="39.543999999999997"/>
    <n v="32"/>
    <x v="2"/>
    <n v="0"/>
    <n v="0"/>
    <n v="77"/>
    <n v="52"/>
    <n v="0"/>
    <n v="322.57979999999998"/>
    <n v="285.32760000000002"/>
    <m/>
    <n v="301.17529999999999"/>
    <n v="254.65409999999997"/>
    <n v="0"/>
    <n v="12756.095611199999"/>
    <n v="11282.994614400001"/>
    <n v="0"/>
    <n v="18096.428504796637"/>
    <n v="11014.94200778165"/>
  </r>
  <r>
    <s v="Regular"/>
    <x v="4"/>
    <x v="3"/>
    <x v="7"/>
    <x v="8"/>
    <x v="1"/>
    <x v="0"/>
    <x v="1"/>
    <x v="7"/>
    <n v="0"/>
    <n v="0"/>
    <n v="37.927"/>
    <n v="37.927"/>
    <n v="37.927"/>
    <n v="37.927"/>
    <n v="32"/>
    <x v="2"/>
    <n v="0"/>
    <n v="0"/>
    <n v="77"/>
    <n v="52"/>
    <n v="0"/>
    <n v="322.57979999999998"/>
    <n v="285.32760000000002"/>
    <m/>
    <n v="301.17529999999999"/>
    <n v="254.65409999999997"/>
    <n v="0"/>
    <n v="12234.484074599999"/>
    <n v="10821.6198852"/>
    <n v="0"/>
    <n v="17356.444565583202"/>
    <n v="10564.528260396892"/>
  </r>
  <r>
    <s v="Regular"/>
    <x v="4"/>
    <x v="3"/>
    <x v="7"/>
    <x v="8"/>
    <x v="1"/>
    <x v="0"/>
    <x v="1"/>
    <x v="8"/>
    <n v="0"/>
    <n v="0"/>
    <n v="42.985999999999997"/>
    <n v="42.985999999999997"/>
    <n v="42.985999999999997"/>
    <n v="42.985999999999997"/>
    <n v="32"/>
    <x v="2"/>
    <n v="0"/>
    <n v="0"/>
    <n v="77"/>
    <n v="52"/>
    <n v="0"/>
    <n v="322.57979999999998"/>
    <n v="285.32760000000002"/>
    <m/>
    <n v="301.17529999999999"/>
    <n v="254.65409999999997"/>
    <n v="0"/>
    <n v="13866.415282799999"/>
    <n v="12265.092213600001"/>
    <n v="0"/>
    <n v="19671.582938174899"/>
    <n v="11973.707696401529"/>
  </r>
  <r>
    <s v="Regular"/>
    <x v="4"/>
    <x v="3"/>
    <x v="7"/>
    <x v="8"/>
    <x v="1"/>
    <x v="0"/>
    <x v="1"/>
    <x v="9"/>
    <n v="0"/>
    <n v="0"/>
    <n v="47.173999999999999"/>
    <n v="47.173999999999999"/>
    <n v="47.173999999999999"/>
    <n v="47.173999999999999"/>
    <n v="32"/>
    <x v="2"/>
    <n v="0"/>
    <n v="0"/>
    <n v="77"/>
    <n v="52"/>
    <n v="0"/>
    <n v="322.57979999999998"/>
    <n v="285.32760000000002"/>
    <m/>
    <n v="301.17529999999999"/>
    <n v="254.65409999999997"/>
    <n v="0"/>
    <n v="15217.379485199999"/>
    <n v="13460.0442024"/>
    <n v="0"/>
    <n v="21588.127611907665"/>
    <n v="13140.27094565779"/>
  </r>
  <r>
    <s v="Regular"/>
    <x v="4"/>
    <x v="3"/>
    <x v="7"/>
    <x v="8"/>
    <x v="1"/>
    <x v="0"/>
    <x v="1"/>
    <x v="10"/>
    <n v="0"/>
    <n v="0"/>
    <n v="51.765999999999998"/>
    <n v="51.765999999999998"/>
    <n v="51.765999999999998"/>
    <n v="51.765999999999998"/>
    <n v="32"/>
    <x v="2"/>
    <n v="0"/>
    <n v="0"/>
    <n v="77"/>
    <n v="52"/>
    <n v="0"/>
    <n v="322.57979999999998"/>
    <n v="285.32760000000002"/>
    <m/>
    <n v="301.17529999999999"/>
    <n v="254.65409999999997"/>
    <n v="0"/>
    <n v="16698.665926799997"/>
    <n v="14770.2685416"/>
    <n v="0"/>
    <n v="23689.553863526773"/>
    <n v="14419.367994508015"/>
  </r>
  <r>
    <s v="Regular"/>
    <x v="4"/>
    <x v="3"/>
    <x v="7"/>
    <x v="8"/>
    <x v="1"/>
    <x v="0"/>
    <x v="1"/>
    <x v="11"/>
    <n v="0"/>
    <n v="0"/>
    <n v="43.442"/>
    <n v="43.442"/>
    <n v="43.442"/>
    <n v="43.442"/>
    <n v="32"/>
    <x v="2"/>
    <n v="0"/>
    <n v="0"/>
    <n v="77"/>
    <n v="52"/>
    <n v="0"/>
    <n v="322.57979999999998"/>
    <n v="285.32760000000002"/>
    <m/>
    <n v="301.17529999999999"/>
    <n v="254.65409999999997"/>
    <n v="0"/>
    <n v="14013.511671599999"/>
    <n v="12395.201599200002"/>
    <n v="0"/>
    <n v="19880.2611547991"/>
    <n v="12100.726044458084"/>
  </r>
  <r>
    <s v="Regular"/>
    <x v="4"/>
    <x v="3"/>
    <x v="7"/>
    <x v="8"/>
    <x v="1"/>
    <x v="0"/>
    <x v="1"/>
    <x v="0"/>
    <n v="0"/>
    <n v="0"/>
    <n v="43.895000000000003"/>
    <n v="43.895000000000003"/>
    <n v="43.895000000000003"/>
    <n v="43.895000000000003"/>
    <n v="32"/>
    <x v="2"/>
    <n v="0"/>
    <n v="0"/>
    <n v="77"/>
    <n v="52"/>
    <n v="0"/>
    <n v="322.57979999999998"/>
    <n v="285.32760000000002"/>
    <m/>
    <n v="301.17529999999999"/>
    <n v="254.65409999999997"/>
    <n v="0"/>
    <n v="14159.640321000001"/>
    <n v="12524.455002000002"/>
    <n v="0"/>
    <n v="20087.56648841919"/>
    <n v="12226.908745487954"/>
  </r>
  <r>
    <s v="Regular"/>
    <x v="4"/>
    <x v="3"/>
    <x v="7"/>
    <x v="8"/>
    <x v="1"/>
    <x v="0"/>
    <x v="1"/>
    <x v="1"/>
    <n v="0"/>
    <n v="0"/>
    <n v="40.804000000000002"/>
    <n v="40.804000000000002"/>
    <n v="40.804000000000002"/>
    <n v="40.804000000000002"/>
    <n v="32"/>
    <x v="2"/>
    <n v="0"/>
    <n v="0"/>
    <n v="77"/>
    <n v="52"/>
    <n v="0"/>
    <n v="322.57979999999998"/>
    <n v="285.32760000000002"/>
    <m/>
    <n v="301.17529999999999"/>
    <n v="254.65409999999997"/>
    <n v="0"/>
    <n v="13162.546159199999"/>
    <n v="11642.507390400002"/>
    <n v="0"/>
    <n v="18673.039366521396"/>
    <n v="11365.913758990557"/>
  </r>
  <r>
    <s v="Regular"/>
    <x v="4"/>
    <x v="3"/>
    <x v="7"/>
    <x v="8"/>
    <x v="1"/>
    <x v="0"/>
    <x v="1"/>
    <x v="2"/>
    <n v="0"/>
    <n v="0"/>
    <n v="38.534999999999997"/>
    <n v="38.534999999999997"/>
    <n v="38.534999999999997"/>
    <n v="38.534999999999997"/>
    <n v="32"/>
    <x v="2"/>
    <n v="0"/>
    <n v="0"/>
    <n v="77"/>
    <n v="52"/>
    <n v="0"/>
    <n v="322.57979999999998"/>
    <n v="285.32760000000002"/>
    <m/>
    <n v="301.17529999999999"/>
    <n v="254.65409999999997"/>
    <n v="0"/>
    <n v="12430.612592999998"/>
    <n v="10995.099065999999"/>
    <n v="0"/>
    <n v="17634.682187748796"/>
    <n v="10733.886057805632"/>
  </r>
  <r>
    <s v="Regular"/>
    <x v="4"/>
    <x v="3"/>
    <x v="7"/>
    <x v="8"/>
    <x v="1"/>
    <x v="0"/>
    <x v="1"/>
    <x v="3"/>
    <n v="0"/>
    <n v="0"/>
    <n v="35.773000000000003"/>
    <n v="35.773000000000003"/>
    <n v="35.773000000000003"/>
    <n v="35.773000000000003"/>
    <n v="32"/>
    <x v="2"/>
    <n v="0"/>
    <n v="0"/>
    <n v="77"/>
    <n v="52"/>
    <n v="0"/>
    <n v="322.57979999999998"/>
    <n v="285.32760000000002"/>
    <m/>
    <n v="301.17529999999999"/>
    <n v="254.65409999999997"/>
    <n v="0"/>
    <n v="11539.647185400001"/>
    <n v="10207.024234800001"/>
    <n v="0"/>
    <n v="16370.71456863469"/>
    <n v="9964.5336952350062"/>
  </r>
  <r>
    <s v="Regular"/>
    <x v="5"/>
    <x v="3"/>
    <x v="8"/>
    <x v="9"/>
    <x v="1"/>
    <x v="0"/>
    <x v="1"/>
    <x v="4"/>
    <n v="0"/>
    <n v="0"/>
    <n v="214.02199999999999"/>
    <n v="214.02199999999999"/>
    <n v="214.02199999999999"/>
    <n v="214.02199999999999"/>
    <n v="2"/>
    <x v="2"/>
    <n v="0"/>
    <n v="0"/>
    <n v="79"/>
    <n v="56"/>
    <n v="0"/>
    <n v="188.74"/>
    <n v="166.95"/>
    <m/>
    <n v="170.77"/>
    <n v="144.38999999999999"/>
    <n v="0"/>
    <n v="40394.512280000003"/>
    <n v="35730.972899999993"/>
    <n v="0"/>
    <n v="55534.344146973242"/>
    <n v="33802.668855733573"/>
  </r>
  <r>
    <s v="Regular"/>
    <x v="5"/>
    <x v="3"/>
    <x v="8"/>
    <x v="9"/>
    <x v="1"/>
    <x v="0"/>
    <x v="1"/>
    <x v="5"/>
    <n v="0"/>
    <n v="0"/>
    <n v="192.84399999999999"/>
    <n v="192.84399999999999"/>
    <n v="192.84399999999999"/>
    <n v="192.84399999999999"/>
    <n v="2"/>
    <x v="2"/>
    <n v="0"/>
    <n v="0"/>
    <n v="79"/>
    <n v="56"/>
    <n v="0"/>
    <n v="188.74"/>
    <n v="166.95"/>
    <m/>
    <n v="170.77"/>
    <n v="144.38999999999999"/>
    <n v="0"/>
    <n v="36397.376560000004"/>
    <n v="32195.305799999998"/>
    <n v="0"/>
    <n v="50039.085059848556"/>
    <n v="30457.812153961204"/>
  </r>
  <r>
    <s v="Regular"/>
    <x v="5"/>
    <x v="3"/>
    <x v="8"/>
    <x v="9"/>
    <x v="1"/>
    <x v="0"/>
    <x v="1"/>
    <x v="6"/>
    <n v="0"/>
    <n v="0"/>
    <n v="191.751"/>
    <n v="191.751"/>
    <n v="191.751"/>
    <n v="191.751"/>
    <n v="2"/>
    <x v="2"/>
    <n v="0"/>
    <n v="0"/>
    <n v="79"/>
    <n v="56"/>
    <n v="0"/>
    <n v="188.74"/>
    <n v="166.95"/>
    <m/>
    <n v="170.77"/>
    <n v="144.38999999999999"/>
    <n v="0"/>
    <n v="36191.083740000002"/>
    <n v="32012.829449999997"/>
    <n v="0"/>
    <n v="49755.473850941809"/>
    <n v="30285.183559427387"/>
  </r>
  <r>
    <s v="Regular"/>
    <x v="5"/>
    <x v="3"/>
    <x v="8"/>
    <x v="9"/>
    <x v="1"/>
    <x v="0"/>
    <x v="1"/>
    <x v="7"/>
    <n v="0"/>
    <n v="0"/>
    <n v="170.47399999999999"/>
    <n v="170.47399999999999"/>
    <n v="170.47399999999999"/>
    <n v="170.47399999999999"/>
    <n v="2"/>
    <x v="2"/>
    <n v="0"/>
    <n v="0"/>
    <n v="79"/>
    <n v="56"/>
    <n v="0"/>
    <n v="188.74"/>
    <n v="166.95"/>
    <m/>
    <n v="170.77"/>
    <n v="144.38999999999999"/>
    <n v="0"/>
    <n v="32175.262759999998"/>
    <n v="28460.634299999998"/>
    <n v="0"/>
    <n v="44234.52628286399"/>
    <n v="26924.690781846373"/>
  </r>
  <r>
    <s v="Regular"/>
    <x v="5"/>
    <x v="3"/>
    <x v="8"/>
    <x v="9"/>
    <x v="1"/>
    <x v="0"/>
    <x v="1"/>
    <x v="8"/>
    <n v="0"/>
    <n v="0"/>
    <n v="175.501"/>
    <n v="175.501"/>
    <n v="175.501"/>
    <n v="175.501"/>
    <n v="2"/>
    <x v="2"/>
    <n v="0"/>
    <n v="0"/>
    <n v="79"/>
    <n v="56"/>
    <n v="0"/>
    <n v="188.74"/>
    <n v="166.95"/>
    <m/>
    <n v="170.77"/>
    <n v="144.38999999999999"/>
    <n v="0"/>
    <n v="33124.05874"/>
    <n v="29299.891949999997"/>
    <n v="0"/>
    <n v="45538.930260150599"/>
    <n v="27718.655964574191"/>
  </r>
  <r>
    <s v="Regular"/>
    <x v="5"/>
    <x v="3"/>
    <x v="8"/>
    <x v="9"/>
    <x v="1"/>
    <x v="0"/>
    <x v="1"/>
    <x v="9"/>
    <n v="0"/>
    <n v="0"/>
    <n v="177.334"/>
    <n v="177.334"/>
    <n v="177.334"/>
    <n v="177.334"/>
    <n v="2"/>
    <x v="2"/>
    <n v="0"/>
    <n v="0"/>
    <n v="79"/>
    <n v="56"/>
    <n v="0"/>
    <n v="188.74"/>
    <n v="166.95"/>
    <m/>
    <n v="170.77"/>
    <n v="144.38999999999999"/>
    <n v="0"/>
    <n v="33470.019160000003"/>
    <n v="29605.9113"/>
    <n v="0"/>
    <n v="46014.556377191846"/>
    <n v="28008.160277273633"/>
  </r>
  <r>
    <s v="Regular"/>
    <x v="5"/>
    <x v="3"/>
    <x v="8"/>
    <x v="9"/>
    <x v="1"/>
    <x v="0"/>
    <x v="1"/>
    <x v="10"/>
    <n v="0"/>
    <n v="0"/>
    <n v="171.881"/>
    <n v="171.881"/>
    <n v="171.881"/>
    <n v="171.881"/>
    <n v="2"/>
    <x v="2"/>
    <n v="0"/>
    <n v="0"/>
    <n v="79"/>
    <n v="56"/>
    <n v="0"/>
    <n v="188.74"/>
    <n v="166.95"/>
    <m/>
    <n v="170.77"/>
    <n v="144.38999999999999"/>
    <n v="0"/>
    <n v="32440.819940000001"/>
    <n v="28695.532949999997"/>
    <n v="0"/>
    <n v="44599.614087925111"/>
    <n v="27146.912586520742"/>
  </r>
  <r>
    <s v="Regular"/>
    <x v="5"/>
    <x v="3"/>
    <x v="8"/>
    <x v="9"/>
    <x v="1"/>
    <x v="0"/>
    <x v="1"/>
    <x v="11"/>
    <n v="0"/>
    <n v="0"/>
    <n v="205.21799999999999"/>
    <n v="205.21799999999999"/>
    <n v="205.21799999999999"/>
    <n v="205.21799999999999"/>
    <n v="2"/>
    <x v="2"/>
    <n v="0"/>
    <n v="0"/>
    <n v="79"/>
    <n v="56"/>
    <n v="0"/>
    <n v="188.74"/>
    <n v="166.95"/>
    <m/>
    <n v="170.77"/>
    <n v="144.38999999999999"/>
    <n v="0"/>
    <n v="38732.84532"/>
    <n v="34261.145099999994"/>
    <n v="0"/>
    <n v="53249.885699383965"/>
    <n v="32412.163689882029"/>
  </r>
  <r>
    <s v="Regular"/>
    <x v="5"/>
    <x v="3"/>
    <x v="8"/>
    <x v="9"/>
    <x v="1"/>
    <x v="0"/>
    <x v="1"/>
    <x v="0"/>
    <n v="0"/>
    <n v="0"/>
    <n v="215.04300000000001"/>
    <n v="215.04300000000001"/>
    <n v="215.04300000000001"/>
    <n v="215.04300000000001"/>
    <n v="2"/>
    <x v="2"/>
    <n v="0"/>
    <n v="0"/>
    <n v="79"/>
    <n v="56"/>
    <n v="0"/>
    <n v="188.74"/>
    <n v="166.95"/>
    <m/>
    <n v="170.77"/>
    <n v="144.38999999999999"/>
    <n v="0"/>
    <n v="40587.215820000005"/>
    <n v="35901.428849999997"/>
    <n v="0"/>
    <n v="55799.27282427773"/>
    <n v="33963.925758770194"/>
  </r>
  <r>
    <s v="Regular"/>
    <x v="5"/>
    <x v="3"/>
    <x v="8"/>
    <x v="9"/>
    <x v="1"/>
    <x v="0"/>
    <x v="1"/>
    <x v="1"/>
    <n v="0"/>
    <n v="0"/>
    <n v="229.447"/>
    <n v="229.447"/>
    <n v="229.447"/>
    <n v="229.447"/>
    <n v="2"/>
    <x v="2"/>
    <n v="0"/>
    <n v="0"/>
    <n v="79"/>
    <n v="56"/>
    <n v="0"/>
    <n v="188.74"/>
    <n v="166.95"/>
    <m/>
    <n v="170.77"/>
    <n v="144.38999999999999"/>
    <n v="0"/>
    <n v="43305.826780000003"/>
    <n v="38306.176650000001"/>
    <n v="0"/>
    <n v="59536.817063155053"/>
    <n v="36238.895818848068"/>
  </r>
  <r>
    <s v="Regular"/>
    <x v="5"/>
    <x v="3"/>
    <x v="8"/>
    <x v="9"/>
    <x v="1"/>
    <x v="0"/>
    <x v="1"/>
    <x v="2"/>
    <n v="0"/>
    <n v="0"/>
    <n v="240.41900000000001"/>
    <n v="240.41900000000001"/>
    <n v="240.41900000000001"/>
    <n v="240.41900000000001"/>
    <n v="2"/>
    <x v="2"/>
    <n v="0"/>
    <n v="0"/>
    <n v="79"/>
    <n v="56"/>
    <n v="0"/>
    <n v="188.74"/>
    <n v="166.95"/>
    <m/>
    <n v="170.77"/>
    <n v="144.38999999999999"/>
    <n v="0"/>
    <n v="45376.682060000006"/>
    <n v="40137.95205"/>
    <n v="0"/>
    <n v="62383.827295657276"/>
    <n v="37971.815250892949"/>
  </r>
  <r>
    <s v="Regular"/>
    <x v="5"/>
    <x v="3"/>
    <x v="8"/>
    <x v="9"/>
    <x v="1"/>
    <x v="0"/>
    <x v="1"/>
    <x v="3"/>
    <n v="0"/>
    <n v="0"/>
    <n v="231.773"/>
    <n v="231.773"/>
    <n v="231.773"/>
    <n v="231.773"/>
    <n v="2"/>
    <x v="2"/>
    <n v="0"/>
    <n v="0"/>
    <n v="79"/>
    <n v="56"/>
    <n v="0"/>
    <n v="188.74"/>
    <n v="166.95"/>
    <m/>
    <n v="170.77"/>
    <n v="144.38999999999999"/>
    <n v="0"/>
    <n v="43744.836020000002"/>
    <n v="38694.502349999995"/>
    <n v="0"/>
    <n v="60140.366625750765"/>
    <n v="36606.26463027136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9671E-467E-4043-8277-1C053C0AD820}" name="Efeito Resumo" cacheId="4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626" firstHeaderRow="0" firstDataRow="1" firstDataCol="1"/>
  <pivotFields count="36"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0"/>
        <item x="4"/>
        <item x="3"/>
        <item x="1"/>
        <item x="2"/>
        <item t="default"/>
      </items>
    </pivotField>
    <pivotField axis="axisRow" showAll="0">
      <items count="10">
        <item x="2"/>
        <item x="6"/>
        <item x="8"/>
        <item x="0"/>
        <item x="1"/>
        <item x="3"/>
        <item x="4"/>
        <item x="5"/>
        <item x="7"/>
        <item t="default"/>
      </items>
    </pivotField>
    <pivotField axis="axisRow" showAll="0">
      <items count="11">
        <item x="6"/>
        <item x="8"/>
        <item x="7"/>
        <item x="9"/>
        <item x="0"/>
        <item x="1"/>
        <item x="2"/>
        <item x="3"/>
        <item x="4"/>
        <item x="5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4"/>
        <item x="5"/>
        <item x="6"/>
        <item x="7"/>
        <item x="8"/>
        <item x="9"/>
        <item x="10"/>
        <item x="11"/>
        <item x="0"/>
        <item x="1"/>
        <item x="2"/>
        <item x="3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4">
        <item x="2"/>
        <item x="1"/>
        <item x="0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625">
    <i>
      <x/>
    </i>
    <i r="1">
      <x v="1"/>
    </i>
    <i r="2">
      <x v="4"/>
    </i>
    <i r="3">
      <x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2"/>
    </i>
    <i r="3">
      <x v="6"/>
    </i>
    <i r="4">
      <x v="5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9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2"/>
    </i>
    <i r="3">
      <x v="7"/>
    </i>
    <i r="4">
      <x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/>
    </i>
    <i r="7">
      <x v="2"/>
    </i>
    <i r="8">
      <x v="3"/>
    </i>
    <i r="8">
      <x v="7"/>
    </i>
    <i r="8">
      <x v="8"/>
    </i>
    <i r="4">
      <x v="2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5"/>
    </i>
    <i r="2">
      <x v="2"/>
    </i>
    <i r="3">
      <x v="2"/>
    </i>
    <i r="4">
      <x v="3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 v="3"/>
    </i>
    <i r="3">
      <x v="4"/>
    </i>
    <i r="4">
      <x v="4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/>
    </i>
    <i r="3">
      <x v="3"/>
    </i>
    <i r="4">
      <x v="4"/>
    </i>
    <i r="5">
      <x/>
    </i>
    <i r="6">
      <x/>
    </i>
    <i r="7">
      <x/>
    </i>
    <i r="8">
      <x v="8"/>
    </i>
    <i r="8">
      <x v="9"/>
    </i>
    <i r="8">
      <x v="10"/>
    </i>
    <i r="8">
      <x v="11"/>
    </i>
    <i r="7">
      <x v="2"/>
    </i>
    <i r="8">
      <x v="8"/>
    </i>
    <i r="8">
      <x v="9"/>
    </i>
    <i r="8">
      <x v="10"/>
    </i>
    <i r="8">
      <x v="11"/>
    </i>
    <i r="7">
      <x v="3"/>
    </i>
    <i r="8">
      <x v="8"/>
    </i>
    <i r="8">
      <x v="9"/>
    </i>
    <i r="8">
      <x v="10"/>
    </i>
    <i r="8">
      <x v="11"/>
    </i>
    <i r="1">
      <x v="1"/>
    </i>
    <i r="2">
      <x/>
    </i>
    <i r="3">
      <x v="3"/>
    </i>
    <i r="4">
      <x v="4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 v="3"/>
    </i>
    <i r="4">
      <x v="4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322">
    <format dxfId="843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84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841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840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839">
      <pivotArea type="all" dataOnly="0" outline="0" fieldPosition="0"/>
    </format>
    <format dxfId="838">
      <pivotArea outline="0" collapsedLevelsAreSubtotals="1" fieldPosition="0"/>
    </format>
    <format dxfId="837">
      <pivotArea field="16" type="button" dataOnly="0" labelOnly="1" outline="0" axis="axisRow" fieldPosition="0"/>
    </format>
    <format dxfId="836">
      <pivotArea dataOnly="0" labelOnly="1" fieldPosition="0">
        <references count="1">
          <reference field="16" count="0"/>
        </references>
      </pivotArea>
    </format>
    <format dxfId="835">
      <pivotArea dataOnly="0" labelOnly="1" fieldPosition="0">
        <references count="2">
          <reference field="1" count="5"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834">
      <pivotArea dataOnly="0" labelOnly="1" fieldPosition="0">
        <references count="2">
          <reference field="1" count="1">
            <x v="1"/>
          </reference>
          <reference field="16" count="1" selected="0">
            <x v="1"/>
          </reference>
        </references>
      </pivotArea>
    </format>
    <format dxfId="833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2"/>
          </reference>
        </references>
      </pivotArea>
    </format>
    <format dxfId="832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16" count="1" selected="0">
            <x v="0"/>
          </reference>
        </references>
      </pivotArea>
    </format>
    <format dxfId="831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830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829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828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827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826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2"/>
          </reference>
        </references>
      </pivotArea>
    </format>
    <format dxfId="825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2"/>
          </reference>
        </references>
      </pivotArea>
    </format>
    <format dxfId="824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3">
            <x v="0"/>
            <x v="3"/>
            <x v="5"/>
          </reference>
          <reference field="16" count="1" selected="0">
            <x v="0"/>
          </reference>
        </references>
      </pivotArea>
    </format>
    <format dxfId="823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822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821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2">
            <x v="0"/>
            <x v="3"/>
          </reference>
          <reference field="16" count="1" selected="0">
            <x v="0"/>
          </reference>
        </references>
      </pivotArea>
    </format>
    <format dxfId="820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819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818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817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816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815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814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13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12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11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810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809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08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0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06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05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04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03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802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01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80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799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798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797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96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95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9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93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92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9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90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8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788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787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86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85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84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83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82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81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80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79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78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777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77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775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774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73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72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7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7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6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6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6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6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6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6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6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6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61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60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59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58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5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5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5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54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53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2">
            <x v="1"/>
            <x v="2"/>
          </reference>
          <reference field="16" count="1" selected="0">
            <x v="1"/>
          </reference>
        </references>
      </pivotArea>
    </format>
    <format dxfId="75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75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750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749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4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4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4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4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4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4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42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4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4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6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35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3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29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28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727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72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725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72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72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2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2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2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1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1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1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1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1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1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1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1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1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1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0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08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2"/>
          </reference>
          <reference field="8" count="3">
            <x v="3"/>
            <x v="7"/>
            <x v="8"/>
          </reference>
          <reference field="16" count="1" selected="0">
            <x v="0"/>
          </reference>
        </references>
      </pivotArea>
    </format>
    <format dxfId="70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0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0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04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0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70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0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0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9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98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9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9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9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9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93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9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69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69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68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4"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68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4"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68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68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8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68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68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8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681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680">
      <pivotArea type="all" dataOnly="0" outline="0" fieldPosition="0"/>
    </format>
    <format dxfId="679">
      <pivotArea outline="0" collapsedLevelsAreSubtotals="1" fieldPosition="0"/>
    </format>
    <format dxfId="678">
      <pivotArea field="16" type="button" dataOnly="0" labelOnly="1" outline="0" axis="axisRow" fieldPosition="0"/>
    </format>
    <format dxfId="677">
      <pivotArea dataOnly="0" labelOnly="1" fieldPosition="0">
        <references count="1">
          <reference field="16" count="0"/>
        </references>
      </pivotArea>
    </format>
    <format dxfId="676">
      <pivotArea dataOnly="0" labelOnly="1" fieldPosition="0">
        <references count="2">
          <reference field="1" count="5"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675">
      <pivotArea dataOnly="0" labelOnly="1" fieldPosition="0">
        <references count="2">
          <reference field="1" count="1">
            <x v="1"/>
          </reference>
          <reference field="16" count="1" selected="0">
            <x v="1"/>
          </reference>
        </references>
      </pivotArea>
    </format>
    <format dxfId="674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2"/>
          </reference>
        </references>
      </pivotArea>
    </format>
    <format dxfId="673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16" count="1" selected="0">
            <x v="0"/>
          </reference>
        </references>
      </pivotArea>
    </format>
    <format dxfId="672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671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670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669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668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667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2"/>
          </reference>
        </references>
      </pivotArea>
    </format>
    <format dxfId="666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2"/>
          </reference>
        </references>
      </pivotArea>
    </format>
    <format dxfId="665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3">
            <x v="0"/>
            <x v="3"/>
            <x v="5"/>
          </reference>
          <reference field="16" count="1" selected="0">
            <x v="0"/>
          </reference>
        </references>
      </pivotArea>
    </format>
    <format dxfId="664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663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662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2">
            <x v="0"/>
            <x v="3"/>
          </reference>
          <reference field="16" count="1" selected="0">
            <x v="0"/>
          </reference>
        </references>
      </pivotArea>
    </format>
    <format dxfId="661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660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659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658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657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656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655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54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53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52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651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650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49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48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4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46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45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44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643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42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64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640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639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638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7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6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3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2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3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62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628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7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6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5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4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3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2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1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20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19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618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61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616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615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4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3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1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2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1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600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99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98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9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9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95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94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2">
            <x v="1"/>
            <x v="2"/>
          </reference>
          <reference field="16" count="1" selected="0">
            <x v="1"/>
          </reference>
        </references>
      </pivotArea>
    </format>
    <format dxfId="59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59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591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590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89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8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8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8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7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76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75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70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69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568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56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56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565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56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6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5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5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5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4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2"/>
          </reference>
          <reference field="8" count="3">
            <x v="3"/>
            <x v="7"/>
            <x v="8"/>
          </reference>
          <reference field="16" count="1" selected="0">
            <x v="0"/>
          </reference>
        </references>
      </pivotArea>
    </format>
    <format dxfId="548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4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4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45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44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4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4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4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39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8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4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3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3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53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4"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52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4"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52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52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2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52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52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2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522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88D791-59F4-4EED-89C9-8B7F843301C5}" name="Subsidio Resumo" cacheId="4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G322" firstHeaderRow="0" firstDataRow="1" firstDataCol="1"/>
  <pivotFields count="34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10">
        <item x="6"/>
        <item x="8"/>
        <item x="7"/>
        <item x="0"/>
        <item x="1"/>
        <item x="2"/>
        <item x="3"/>
        <item x="4"/>
        <item x="5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numFmtId="14" showAll="0">
      <items count="13">
        <item x="4"/>
        <item x="5"/>
        <item x="6"/>
        <item x="7"/>
        <item x="8"/>
        <item x="9"/>
        <item x="10"/>
        <item x="11"/>
        <item x="0"/>
        <item x="1"/>
        <item x="2"/>
        <item x="3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8">
        <item x="6"/>
        <item x="3"/>
        <item x="0"/>
        <item x="1"/>
        <item x="5"/>
        <item x="4"/>
        <item x="2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321">
    <i>
      <x/>
    </i>
    <i r="1">
      <x v="4"/>
    </i>
    <i r="2">
      <x v="1"/>
    </i>
    <i r="3">
      <x v="4"/>
    </i>
    <i r="4">
      <x v="1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2"/>
    </i>
    <i r="2">
      <x v="1"/>
    </i>
    <i r="3">
      <x v="2"/>
    </i>
    <i r="4">
      <x v="5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/>
    </i>
    <i r="3">
      <x/>
    </i>
    <i r="4">
      <x v="3"/>
    </i>
    <i r="5">
      <x/>
    </i>
    <i r="6">
      <x/>
    </i>
    <i r="7">
      <x/>
    </i>
    <i r="8">
      <x v="8"/>
    </i>
    <i r="8">
      <x v="9"/>
    </i>
    <i r="8">
      <x v="10"/>
    </i>
    <i r="8">
      <x v="11"/>
    </i>
    <i r="7">
      <x v="1"/>
    </i>
    <i r="8">
      <x v="8"/>
    </i>
    <i r="8">
      <x v="9"/>
    </i>
    <i r="8">
      <x v="10"/>
    </i>
    <i r="8">
      <x v="11"/>
    </i>
    <i r="7">
      <x v="2"/>
    </i>
    <i r="8">
      <x v="8"/>
    </i>
    <i r="8">
      <x v="9"/>
    </i>
    <i r="8">
      <x v="10"/>
    </i>
    <i r="8">
      <x v="11"/>
    </i>
    <i r="1">
      <x v="1"/>
    </i>
    <i r="2">
      <x/>
    </i>
    <i r="3">
      <x/>
    </i>
    <i r="4">
      <x v="3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/>
    </i>
    <i r="4">
      <x v="3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 v="1"/>
    </i>
    <i r="2">
      <x v="2"/>
    </i>
    <i r="3">
      <x v="1"/>
    </i>
    <i r="4">
      <x v="3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3"/>
    </i>
    <i r="2">
      <x v="1"/>
    </i>
    <i r="3">
      <x v="3"/>
    </i>
    <i r="4">
      <x/>
    </i>
    <i r="5">
      <x v="2"/>
    </i>
    <i r="6">
      <x/>
    </i>
    <i r="7">
      <x v="1"/>
    </i>
    <i r="8">
      <x v="3"/>
    </i>
    <i r="8">
      <x v="7"/>
    </i>
    <i r="8">
      <x v="8"/>
    </i>
    <i r="4">
      <x v="2"/>
    </i>
    <i r="5">
      <x v="2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 v="3"/>
    </i>
    <i r="2">
      <x v="1"/>
    </i>
    <i r="3">
      <x v="3"/>
    </i>
    <i r="4">
      <x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6"/>
    </i>
    <i r="1">
      <x v="2"/>
    </i>
    <i r="2">
      <x v="1"/>
    </i>
    <i r="3">
      <x v="2"/>
    </i>
    <i r="4">
      <x v="4"/>
    </i>
    <i r="5">
      <x v="3"/>
    </i>
    <i r="6">
      <x/>
    </i>
    <i r="7">
      <x v="1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214">
    <format dxfId="521">
      <pivotArea outline="0" collapsedLevelsAreSubtotals="1" fieldPosition="0"/>
    </format>
    <format dxfId="52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519">
      <pivotArea type="all" dataOnly="0" outline="0" fieldPosition="0"/>
    </format>
    <format dxfId="518">
      <pivotArea outline="0" collapsedLevelsAreSubtotals="1" fieldPosition="0"/>
    </format>
    <format dxfId="517">
      <pivotArea field="31" type="button" dataOnly="0" labelOnly="1" outline="0" axis="axisRow" fieldPosition="0"/>
    </format>
    <format dxfId="516">
      <pivotArea dataOnly="0" labelOnly="1" fieldPosition="0">
        <references count="1">
          <reference field="31" count="0"/>
        </references>
      </pivotArea>
    </format>
    <format dxfId="515">
      <pivotArea dataOnly="0" labelOnly="1" fieldPosition="0">
        <references count="2">
          <reference field="1" count="1">
            <x v="4"/>
          </reference>
          <reference field="31" count="1" selected="0">
            <x v="0"/>
          </reference>
        </references>
      </pivotArea>
    </format>
    <format dxfId="514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513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2"/>
          </reference>
        </references>
      </pivotArea>
    </format>
    <format dxfId="512">
      <pivotArea dataOnly="0" labelOnly="1" fieldPosition="0">
        <references count="2">
          <reference field="1" count="1">
            <x v="1"/>
          </reference>
          <reference field="31" count="1" selected="0">
            <x v="3"/>
          </reference>
        </references>
      </pivotArea>
    </format>
    <format dxfId="511">
      <pivotArea dataOnly="0" labelOnly="1" fieldPosition="0">
        <references count="2">
          <reference field="1" count="1">
            <x v="3"/>
          </reference>
          <reference field="31" count="1" selected="0">
            <x v="4"/>
          </reference>
        </references>
      </pivotArea>
    </format>
    <format dxfId="510">
      <pivotArea dataOnly="0" labelOnly="1" fieldPosition="0">
        <references count="2">
          <reference field="1" count="1">
            <x v="3"/>
          </reference>
          <reference field="31" count="1" selected="0">
            <x v="5"/>
          </reference>
        </references>
      </pivotArea>
    </format>
    <format dxfId="509">
      <pivotArea dataOnly="0" labelOnly="1" fieldPosition="0">
        <references count="2">
          <reference field="1" count="1">
            <x v="2"/>
          </reference>
          <reference field="31" count="1" selected="0">
            <x v="6"/>
          </reference>
        </references>
      </pivotArea>
    </format>
    <format dxfId="508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507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506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2"/>
          </reference>
        </references>
      </pivotArea>
    </format>
    <format dxfId="505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3"/>
          </reference>
          <reference field="31" count="1" selected="0">
            <x v="2"/>
          </reference>
        </references>
      </pivotArea>
    </format>
    <format dxfId="504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503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502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501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500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499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498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497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496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495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494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493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492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491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490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48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488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487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486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485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484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483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4"/>
          </reference>
          <reference field="31" count="1" selected="0">
            <x v="6"/>
          </reference>
        </references>
      </pivotArea>
    </format>
    <format dxfId="482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481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8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7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7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77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47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475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474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47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47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47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470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469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6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467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46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46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464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46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46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46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460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459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2">
            <x v="1"/>
            <x v="2"/>
          </reference>
          <reference field="31" count="1" selected="0">
            <x v="3"/>
          </reference>
        </references>
      </pivotArea>
    </format>
    <format dxfId="458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457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456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45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45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45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6"/>
          </reference>
        </references>
      </pivotArea>
    </format>
    <format dxfId="452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45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45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44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44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44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0"/>
          <reference field="31" count="1" selected="0">
            <x v="2"/>
          </reference>
        </references>
      </pivotArea>
    </format>
    <format dxfId="44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0"/>
          <reference field="31" count="1" selected="0">
            <x v="2"/>
          </reference>
        </references>
      </pivotArea>
    </format>
    <format dxfId="445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0"/>
          <reference field="31" count="1" selected="0">
            <x v="2"/>
          </reference>
        </references>
      </pivotArea>
    </format>
    <format dxfId="444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443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44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441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44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439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43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43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436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43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43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43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43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43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31" count="1" selected="0">
            <x v="2"/>
          </reference>
        </references>
      </pivotArea>
    </format>
    <format dxfId="43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1"/>
          </reference>
          <reference field="8" count="4">
            <x v="8"/>
            <x v="9"/>
            <x v="10"/>
            <x v="11"/>
          </reference>
          <reference field="31" count="1" selected="0">
            <x v="2"/>
          </reference>
        </references>
      </pivotArea>
    </format>
    <format dxfId="42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4">
            <x v="8"/>
            <x v="9"/>
            <x v="10"/>
            <x v="11"/>
          </reference>
          <reference field="31" count="1" selected="0">
            <x v="2"/>
          </reference>
        </references>
      </pivotArea>
    </format>
    <format dxfId="42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42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42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42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42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42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422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42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42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1"/>
          </reference>
          <reference field="8" count="3">
            <x v="3"/>
            <x v="7"/>
            <x v="8"/>
          </reference>
          <reference field="31" count="1" selected="0">
            <x v="4"/>
          </reference>
        </references>
      </pivotArea>
    </format>
    <format dxfId="41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41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41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41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41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41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413">
      <pivotArea type="all" dataOnly="0" outline="0" fieldPosition="0"/>
    </format>
    <format dxfId="412">
      <pivotArea outline="0" collapsedLevelsAreSubtotals="1" fieldPosition="0"/>
    </format>
    <format dxfId="411">
      <pivotArea field="31" type="button" dataOnly="0" labelOnly="1" outline="0" axis="axisRow" fieldPosition="0"/>
    </format>
    <format dxfId="410">
      <pivotArea dataOnly="0" labelOnly="1" fieldPosition="0">
        <references count="1">
          <reference field="31" count="0"/>
        </references>
      </pivotArea>
    </format>
    <format dxfId="409">
      <pivotArea dataOnly="0" labelOnly="1" fieldPosition="0">
        <references count="2">
          <reference field="1" count="1">
            <x v="4"/>
          </reference>
          <reference field="31" count="1" selected="0">
            <x v="0"/>
          </reference>
        </references>
      </pivotArea>
    </format>
    <format dxfId="408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407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2"/>
          </reference>
        </references>
      </pivotArea>
    </format>
    <format dxfId="406">
      <pivotArea dataOnly="0" labelOnly="1" fieldPosition="0">
        <references count="2">
          <reference field="1" count="1">
            <x v="1"/>
          </reference>
          <reference field="31" count="1" selected="0">
            <x v="3"/>
          </reference>
        </references>
      </pivotArea>
    </format>
    <format dxfId="405">
      <pivotArea dataOnly="0" labelOnly="1" fieldPosition="0">
        <references count="2">
          <reference field="1" count="1">
            <x v="3"/>
          </reference>
          <reference field="31" count="1" selected="0">
            <x v="4"/>
          </reference>
        </references>
      </pivotArea>
    </format>
    <format dxfId="404">
      <pivotArea dataOnly="0" labelOnly="1" fieldPosition="0">
        <references count="2">
          <reference field="1" count="1">
            <x v="3"/>
          </reference>
          <reference field="31" count="1" selected="0">
            <x v="5"/>
          </reference>
        </references>
      </pivotArea>
    </format>
    <format dxfId="403">
      <pivotArea dataOnly="0" labelOnly="1" fieldPosition="0">
        <references count="2">
          <reference field="1" count="1">
            <x v="2"/>
          </reference>
          <reference field="31" count="1" selected="0">
            <x v="6"/>
          </reference>
        </references>
      </pivotArea>
    </format>
    <format dxfId="402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401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400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2"/>
          </reference>
        </references>
      </pivotArea>
    </format>
    <format dxfId="399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3"/>
          </reference>
          <reference field="31" count="1" selected="0">
            <x v="2"/>
          </reference>
        </references>
      </pivotArea>
    </format>
    <format dxfId="398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397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396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395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394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93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392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91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90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89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88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87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86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385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84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383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38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381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380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379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37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377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4"/>
          </reference>
          <reference field="31" count="1" selected="0">
            <x v="6"/>
          </reference>
        </references>
      </pivotArea>
    </format>
    <format dxfId="376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7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7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7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7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71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7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69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68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367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6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6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364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36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6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361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36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35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35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35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356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35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354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353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2">
            <x v="1"/>
            <x v="2"/>
          </reference>
          <reference field="31" count="1" selected="0">
            <x v="3"/>
          </reference>
        </references>
      </pivotArea>
    </format>
    <format dxfId="35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35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350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349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348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34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6"/>
          </reference>
        </references>
      </pivotArea>
    </format>
    <format dxfId="346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345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4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4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4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41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0"/>
          <reference field="31" count="1" selected="0">
            <x v="2"/>
          </reference>
        </references>
      </pivotArea>
    </format>
    <format dxfId="34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0"/>
          <reference field="31" count="1" selected="0">
            <x v="2"/>
          </reference>
        </references>
      </pivotArea>
    </format>
    <format dxfId="339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0"/>
          <reference field="31" count="1" selected="0">
            <x v="2"/>
          </reference>
        </references>
      </pivotArea>
    </format>
    <format dxfId="338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37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3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33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334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33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3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3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33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32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2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2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2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2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31" count="1" selected="0">
            <x v="2"/>
          </reference>
        </references>
      </pivotArea>
    </format>
    <format dxfId="32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1"/>
          </reference>
          <reference field="8" count="4">
            <x v="8"/>
            <x v="9"/>
            <x v="10"/>
            <x v="11"/>
          </reference>
          <reference field="31" count="1" selected="0">
            <x v="2"/>
          </reference>
        </references>
      </pivotArea>
    </format>
    <format dxfId="32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4">
            <x v="8"/>
            <x v="9"/>
            <x v="10"/>
            <x v="11"/>
          </reference>
          <reference field="31" count="1" selected="0">
            <x v="2"/>
          </reference>
        </references>
      </pivotArea>
    </format>
    <format dxfId="32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2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32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1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1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31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16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15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1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1"/>
          </reference>
          <reference field="8" count="3">
            <x v="3"/>
            <x v="7"/>
            <x v="8"/>
          </reference>
          <reference field="31" count="1" selected="0">
            <x v="4"/>
          </reference>
        </references>
      </pivotArea>
    </format>
    <format dxfId="31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31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31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31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30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30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35F4FB-EC4A-4F0A-979D-A43022075D16}" name="Efeito Resumo" cacheId="42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85" firstHeaderRow="0" firstDataRow="1" firstDataCol="1"/>
  <pivotFields count="36">
    <pivotField showAll="0"/>
    <pivotField axis="axisRow" showAll="0">
      <items count="7">
        <item h="1" sd="0" x="0"/>
        <item h="1" x="1"/>
        <item x="2"/>
        <item h="1" x="3"/>
        <item h="1" x="4"/>
        <item h="1" x="5"/>
        <item t="default"/>
      </items>
    </pivotField>
    <pivotField axis="axisRow" showAll="0">
      <items count="6">
        <item x="0"/>
        <item x="4"/>
        <item x="3"/>
        <item x="1"/>
        <item x="2"/>
        <item t="default"/>
      </items>
    </pivotField>
    <pivotField axis="axisRow" showAll="0">
      <items count="10">
        <item x="2"/>
        <item x="6"/>
        <item x="8"/>
        <item x="0"/>
        <item x="1"/>
        <item x="3"/>
        <item x="4"/>
        <item x="5"/>
        <item x="7"/>
        <item t="default"/>
      </items>
    </pivotField>
    <pivotField axis="axisRow" showAll="0">
      <items count="11">
        <item x="6"/>
        <item x="8"/>
        <item x="7"/>
        <item x="9"/>
        <item x="0"/>
        <item x="1"/>
        <item x="2"/>
        <item x="3"/>
        <item x="4"/>
        <item x="5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4"/>
        <item x="5"/>
        <item x="6"/>
        <item x="7"/>
        <item x="8"/>
        <item x="9"/>
        <item x="10"/>
        <item x="11"/>
        <item x="0"/>
        <item x="1"/>
        <item x="2"/>
        <item x="3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4">
        <item x="2"/>
        <item x="1"/>
        <item x="0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"/>
    <field x="2"/>
    <field x="16"/>
    <field x="3"/>
    <field x="4"/>
    <field x="5"/>
    <field x="6"/>
    <field x="7"/>
    <field x="8"/>
  </rowFields>
  <rowItems count="84">
    <i>
      <x v="2"/>
    </i>
    <i r="1">
      <x v="2"/>
    </i>
    <i r="2">
      <x/>
    </i>
    <i r="3">
      <x v="6"/>
    </i>
    <i r="4">
      <x v="5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9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4">
    <format dxfId="217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21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15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214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D8711E8B-6EBA-4ECF-A5CC-00AC268E5AFC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C3EC5DF0-C4BC-4D9E-A8C6-A557FD58300C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11EAF11B-544D-45BB-A0A1-CF4247A6B5C8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78CA51-2B9B-480F-8776-86049F05BF01}" name="Efeito" displayName="Efeito" ref="A1:AG604" totalsRowShown="0" headerRowDxfId="912" dataDxfId="911">
  <autoFilter ref="A1:AG604" xr:uid="{1678CA51-2B9B-480F-8776-86049F05BF01}">
    <filterColumn colId="1">
      <filters>
        <filter val="B1"/>
      </filters>
    </filterColumn>
  </autoFilter>
  <tableColumns count="33">
    <tableColumn id="1" xr3:uid="{0196BEA7-E60B-40D4-995A-AF209AC98A72}" name="TipoMercado" dataDxfId="910"/>
    <tableColumn id="2" xr3:uid="{BC9B6084-2F39-4F36-A165-A2935F49D9BF}" name="Subgrupo" dataDxfId="909"/>
    <tableColumn id="3" xr3:uid="{C847222A-B533-492C-88E6-F41CE7CAE39C}" name="Modalidade" dataDxfId="908"/>
    <tableColumn id="4" xr3:uid="{B4EDE26E-CDD0-41E1-ACD9-77FCDDCB2F31}" name="Classe" dataDxfId="907"/>
    <tableColumn id="5" xr3:uid="{12F6BF61-1B9C-435B-9175-4C3721A79CF8}" name="Subclasse" dataDxfId="906"/>
    <tableColumn id="6" xr3:uid="{9A2BF51A-9ABA-415C-BD92-A7D3A4C73E61}" name="Detalhe" dataDxfId="905"/>
    <tableColumn id="7" xr3:uid="{CD1E6FFE-A729-4E28-9174-91A2FE17F3D5}" name="Agente" dataDxfId="904"/>
    <tableColumn id="8" xr3:uid="{1412D5EA-5DCF-405D-9222-E1A1CF544CA7}" name="Posto" dataDxfId="903"/>
    <tableColumn id="9" xr3:uid="{B9E19336-A944-46DC-9251-9A1924CD0B87}" name="AnoMes" dataDxfId="902"/>
    <tableColumn id="10" xr3:uid="{C8AF139C-0427-4A31-A9AB-149FB01482B0}" name="D" dataDxfId="901"/>
    <tableColumn id="11" xr3:uid="{BD35F0ED-AAFF-44E5-A470-BE71AB120BE2}" name="Daj" dataDxfId="900"/>
    <tableColumn id="12" xr3:uid="{83AC9C0D-16C8-4FC0-BF5D-94D61202E42E}" name="TUSD_E" dataDxfId="899"/>
    <tableColumn id="13" xr3:uid="{33D7242E-4D91-46FA-A1FE-E64C74D27620}" name="TUSD_Eaj" dataDxfId="898"/>
    <tableColumn id="14" xr3:uid="{4A5BB94C-7E64-4BFD-A6F1-47AC2AB9F191}" name="TE_E" dataDxfId="897"/>
    <tableColumn id="15" xr3:uid="{CE4D0D09-A81A-40AA-8AE1-75C5A8B67428}" name="TE_Eaj" dataDxfId="896"/>
    <tableColumn id="16" xr3:uid="{54D6F649-D1DE-4919-8763-6DA7EDE6A83A}" name="UC" dataDxfId="895"/>
    <tableColumn id="17" xr3:uid="{FCB7E943-4013-42DF-837C-40190C08A77F}" name="OPÇÃO" dataDxfId="894"/>
    <tableColumn id="18" xr3:uid="{E285616E-56D1-47E8-B011-8C61BD105DD3}" name="CóD. AUX." dataDxfId="893"/>
    <tableColumn id="19" xr3:uid="{960FC302-7B2A-4F06-91F3-A7406C01AE61}" name="CóD. AUX. TUSD R$/kW" dataDxfId="892"/>
    <tableColumn id="20" xr3:uid="{01975A5E-93A0-4D6A-989B-7D14D038481A}" name="CóD. AUX. TUSD R$/MWh" dataDxfId="891"/>
    <tableColumn id="21" xr3:uid="{45F3C04D-6477-4D84-9D96-859640D492F4}" name="CóD. AUX. TE R$/MWh" dataDxfId="890"/>
    <tableColumn id="22" xr3:uid="{652FE4DF-4203-4E9F-BC5D-60FC03949418}" name="TUSD (R$/kW)" dataDxfId="889"/>
    <tableColumn id="23" xr3:uid="{2DCB0B36-7207-428D-9BF6-0A7FBB6676A4}" name="TUSD (R$/MWh)" dataDxfId="888"/>
    <tableColumn id="24" xr3:uid="{B4196763-EBD4-4D8F-95E5-34F7BAAED8F8}" name="TE (R$/MWh)" dataDxfId="887"/>
    <tableColumn id="25" xr3:uid="{21A0C46C-B788-4F9A-8EDC-E8B735787810}" name="TUSD (R$/kW) NOVA" dataDxfId="886"/>
    <tableColumn id="26" xr3:uid="{02A9B5B4-A2BB-452E-BBA6-E1C1CA3DE63F}" name="TUSD (R$/MWh) NOVA" dataDxfId="885">
      <calculatedColumnFormula>('TUSD BE'!$AM$54+'TUSD BF'!$AM$54+'TUSD CVA'!$AM$54)*1</calculatedColumnFormula>
    </tableColumn>
    <tableColumn id="27" xr3:uid="{A3E18E79-F18B-4362-9CA6-99D050AC3AA1}" name="TE (R$/MWh) NOVA" dataDxfId="884">
      <calculatedColumnFormula>('TE BE'!$AB$42+'TE BF'!$AB$42+'TE CVA'!$AB$42)*1</calculatedColumnFormula>
    </tableColumn>
    <tableColumn id="28" xr3:uid="{FE0A67EA-B300-4449-8CC5-DC05E9F8FF2E}" name="RA0 ou RV - TUSD (kW)" dataDxfId="883"/>
    <tableColumn id="29" xr3:uid="{0C0F4E88-F230-46FC-80AF-3AC55158975F}" name="RA0 ou RV - TUSD (MWh)" dataDxfId="882"/>
    <tableColumn id="30" xr3:uid="{EF8F7E66-B1B2-46C1-AEF9-0762D1DFC6AF}" name="RA0 ou RV - TE (MWh)" dataDxfId="881"/>
    <tableColumn id="31" xr3:uid="{6E2BA465-E890-43AF-BCA9-394CD4E4351D}" name="RA1 ou RRD - TUSD (kW)" dataDxfId="880"/>
    <tableColumn id="32" xr3:uid="{35B4BEA3-EA1E-4131-974B-A9562B452D7D}" name="RA1 ou RRD - TUSD (MWh)" dataDxfId="879"/>
    <tableColumn id="33" xr3:uid="{4558D857-6655-4C1B-8BF5-34A215AC9467}" name="RA1 ou RRD - TE (MWh)" dataDxfId="87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13C2D8-F712-44B7-9D1C-D4831EC38757}" name="Subsidio" displayName="Subsidio" ref="A1:AF233" totalsRowShown="0" headerRowDxfId="877" dataDxfId="876">
  <autoFilter ref="A1:AF233" xr:uid="{8213C2D8-F712-44B7-9D1C-D4831EC38757}"/>
  <tableColumns count="32">
    <tableColumn id="1" xr3:uid="{B827FA07-DE2A-48AA-9B35-04A860C1E5C8}" name="TipoMercado" dataDxfId="875"/>
    <tableColumn id="2" xr3:uid="{F3B23980-FFB1-47FD-8100-0095316584ED}" name="Subgrupo" dataDxfId="874"/>
    <tableColumn id="3" xr3:uid="{D6AF58E4-B6CD-4095-894E-A39A3B5B5320}" name="Modalidade" dataDxfId="873"/>
    <tableColumn id="4" xr3:uid="{4ABC0A62-D875-4977-ADF8-A07EA2575FCF}" name="Classe" dataDxfId="872"/>
    <tableColumn id="5" xr3:uid="{741014EA-E7FC-4435-A539-ADB82D87EB57}" name="Subclasse" dataDxfId="871"/>
    <tableColumn id="6" xr3:uid="{211FFCB7-6244-445A-863D-CEBB8950663C}" name="Detalhe" dataDxfId="870"/>
    <tableColumn id="7" xr3:uid="{987127C1-B5A3-4168-87BC-A0D0078876EA}" name="Agente" dataDxfId="869"/>
    <tableColumn id="8" xr3:uid="{336D6D78-7A63-4F5E-B1E6-4F5BEF37A82E}" name="Posto" dataDxfId="868"/>
    <tableColumn id="9" xr3:uid="{0E4DED03-EACF-4664-B65A-929E06B03270}" name="AnoMes" dataDxfId="867"/>
    <tableColumn id="10" xr3:uid="{D1C4AC7F-C794-47FC-9274-0ECB12806141}" name="D" dataDxfId="866"/>
    <tableColumn id="11" xr3:uid="{9F34ECD0-0841-4F9C-8EB5-913B050E1AF0}" name="Daj" dataDxfId="865"/>
    <tableColumn id="12" xr3:uid="{5E3B2C49-B663-4952-9139-B11B2D42BD34}" name="TUSD_E" dataDxfId="864"/>
    <tableColumn id="13" xr3:uid="{548E1873-0EE4-48FF-9823-52E9C3735A9D}" name="TUSD_Eaj" dataDxfId="863"/>
    <tableColumn id="14" xr3:uid="{C76AA17A-EA46-4941-90B6-4007A4DDBAAF}" name="TE_E" dataDxfId="862"/>
    <tableColumn id="15" xr3:uid="{C2CC6652-E4AC-4844-B76E-2B1B53131B22}" name="TE_Eaj" dataDxfId="861"/>
    <tableColumn id="16" xr3:uid="{DA7B8D55-941D-4B29-964E-55C53448E431}" name="UC" dataDxfId="860"/>
    <tableColumn id="17" xr3:uid="{E3EAED6B-F2BE-4670-8DFE-21E65EDE2ABD}" name="OPÇÃO" dataDxfId="859"/>
    <tableColumn id="18" xr3:uid="{A9076C75-654D-420A-83DC-6B9A2953AC7A}" name="CóD. AUX." dataDxfId="858"/>
    <tableColumn id="19" xr3:uid="{2F42B6CC-B461-4738-88C3-80C3ACBC92D7}" name="CóD. AUX. TUSD R$/kW" dataDxfId="857"/>
    <tableColumn id="20" xr3:uid="{88EA805A-8F72-4D36-89CD-F56C3662E685}" name="CóD. AUX. TUSD R$/MWh" dataDxfId="856"/>
    <tableColumn id="21" xr3:uid="{65395716-6A39-475F-BC20-8B46A0162AE7}" name="CóD. AUX. TE R$/MWh" dataDxfId="855"/>
    <tableColumn id="22" xr3:uid="{5B97CB4D-4F15-43D1-A995-AA68195945D5}" name="TUSD (R$/kW)" dataDxfId="854"/>
    <tableColumn id="23" xr3:uid="{FF57C5AC-A14D-4E44-A590-E0124BDA614F}" name="TUSD (R$/MWh)" dataDxfId="853"/>
    <tableColumn id="24" xr3:uid="{58436DC4-F574-48D2-B36C-88378A76DCEC}" name="TE (R$/MWh)" dataDxfId="852"/>
    <tableColumn id="25" xr3:uid="{DD3170F3-E5F4-4244-925C-3C0E15C8DCC7}" name="TUSD (R$/kW) NOVA" dataDxfId="851"/>
    <tableColumn id="26" xr3:uid="{029292CC-BB42-4DB9-9E5C-3FA12A3DDB56}" name="TUSD (R$/MWh) NOVA" dataDxfId="850">
      <calculatedColumnFormula>('TUSD BE'!$AM$52+'TUSD BF'!$AM$52+'TUSD CVA'!$AM$52)*1</calculatedColumnFormula>
    </tableColumn>
    <tableColumn id="27" xr3:uid="{11314542-BC5C-478C-A162-50DBBCF52066}" name="TE (R$/MWh) NOVA" dataDxfId="849">
      <calculatedColumnFormula>('TE BE'!$AB$40+'TE BF'!$AB$40+'TE CVA'!$AB$40)*1</calculatedColumnFormula>
    </tableColumn>
    <tableColumn id="28" xr3:uid="{52203400-339D-48CE-A414-B9A3B8776CD6}" name="SUBSIDIO kW - TV" dataDxfId="848">
      <calculatedColumnFormula>(J2-K2)*V2</calculatedColumnFormula>
    </tableColumn>
    <tableColumn id="29" xr3:uid="{0950C878-EEE9-43E2-809C-16DD962DAA0A}" name="SUBSIDIO MWh - TV" dataDxfId="847">
      <calculatedColumnFormula>(L2-M2)*W2+(N2-O2)*X2</calculatedColumnFormula>
    </tableColumn>
    <tableColumn id="30" xr3:uid="{874673C6-F0E2-4FA6-85CE-C82ED0AD75E3}" name="SUBSIDIO kW - TN" dataDxfId="846">
      <calculatedColumnFormula>(J2-K2)*Y2</calculatedColumnFormula>
    </tableColumn>
    <tableColumn id="31" xr3:uid="{ED8A632B-E0FB-4258-A489-ABEEAB8DD2DD}" name="SUBSIDIO MWh - TN" dataDxfId="845">
      <calculatedColumnFormula>(L2-M2)*Z2+(N2-O2)*AA2</calculatedColumnFormula>
    </tableColumn>
    <tableColumn id="32" xr3:uid="{AC0F9354-AA37-48F3-98E3-EE2C71C9177A}" name="TIPO" dataDxfId="84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16A981-37EC-4F28-9338-02186743797E}" name="Efeito4" displayName="Efeito4" ref="A1:AG604" totalsRowShown="0" headerRowDxfId="213" dataDxfId="212">
  <autoFilter ref="A1:AG604" xr:uid="{1678CA51-2B9B-480F-8776-86049F05BF01}"/>
  <tableColumns count="33">
    <tableColumn id="1" xr3:uid="{3DDE6EE2-3CCA-49DD-9274-7809773C9668}" name="TipoMercado" dataDxfId="211"/>
    <tableColumn id="2" xr3:uid="{69DB1ED4-8B8D-407C-9779-BFFFE47458A2}" name="Subgrupo" dataDxfId="210"/>
    <tableColumn id="3" xr3:uid="{461B454D-33FF-4218-B9E7-093DE22FEF47}" name="Modalidade" dataDxfId="209"/>
    <tableColumn id="4" xr3:uid="{BA5B9A0B-8814-465A-8262-0029198C343A}" name="Classe" dataDxfId="208"/>
    <tableColumn id="5" xr3:uid="{3FC3F7BF-2704-482F-B3ED-C62B568FEF47}" name="Subclasse" dataDxfId="207"/>
    <tableColumn id="6" xr3:uid="{D4DB5FED-0FCF-4E1F-B2D2-78DF885D4C98}" name="Detalhe" dataDxfId="206"/>
    <tableColumn id="7" xr3:uid="{8F7EA662-6197-4EC6-97E0-4E6578742435}" name="Agente" dataDxfId="205"/>
    <tableColumn id="8" xr3:uid="{FC62EECD-40AC-4A9C-9788-D5491BE85E58}" name="Posto" dataDxfId="204"/>
    <tableColumn id="9" xr3:uid="{ACE7C5FD-6FFA-4A08-B48E-F657D5113D76}" name="AnoMes" dataDxfId="203"/>
    <tableColumn id="10" xr3:uid="{CC7EAABA-F05F-41E6-9105-A660CBA7816F}" name="D" dataDxfId="202"/>
    <tableColumn id="11" xr3:uid="{D028A8EC-764B-44F1-B4E8-DABB9B92DA96}" name="Daj" dataDxfId="201"/>
    <tableColumn id="12" xr3:uid="{E3E900B6-577E-4B38-AAD9-11E76B6E7695}" name="TUSD_E" dataDxfId="200"/>
    <tableColumn id="13" xr3:uid="{15E0F6B3-0530-44CB-8ACA-A5E5E4ECC808}" name="TUSD_Eaj" dataDxfId="199"/>
    <tableColumn id="14" xr3:uid="{368397B1-AE17-4C62-90DB-0E8DFB310C09}" name="TE_E" dataDxfId="198"/>
    <tableColumn id="15" xr3:uid="{15E06EA6-33E0-4A33-A757-3BE7C8CA7501}" name="TE_Eaj" dataDxfId="197"/>
    <tableColumn id="16" xr3:uid="{31919B82-F5A5-4C76-A313-156FB4569275}" name="UC" dataDxfId="196"/>
    <tableColumn id="17" xr3:uid="{885EEF58-7DFE-4B1E-B794-747A6CE1A197}" name="OPÇÃO" dataDxfId="195"/>
    <tableColumn id="18" xr3:uid="{F2BE222F-1B19-40F5-AFF8-C59203CC680D}" name="CóD. AUX." dataDxfId="194"/>
    <tableColumn id="19" xr3:uid="{583DDDED-13D9-498A-BC98-C9CD3D38313A}" name="CóD. AUX. TUSD R$/kW" dataDxfId="193"/>
    <tableColumn id="20" xr3:uid="{71551AAE-86AB-4786-ACE8-7FBFA1537223}" name="CóD. AUX. TUSD R$/MWh" dataDxfId="192"/>
    <tableColumn id="21" xr3:uid="{2136C948-87AE-4AB7-8D16-D5219BCE02A0}" name="CóD. AUX. TE R$/MWh" dataDxfId="191"/>
    <tableColumn id="22" xr3:uid="{E4651635-9A6C-4D9D-8262-B6C5F7384368}" name="TUSD (R$/kW)" dataDxfId="190"/>
    <tableColumn id="23" xr3:uid="{92DE27E1-1034-41B3-B76A-D337749030AC}" name="TUSD (R$/MWh)" dataDxfId="189"/>
    <tableColumn id="24" xr3:uid="{A1CEC090-5CF8-40D1-A786-E3085D21C1A0}" name="TE (R$/MWh)" dataDxfId="188"/>
    <tableColumn id="25" xr3:uid="{EEA8D557-5CED-46C9-AEA9-037DEC937700}" name="TUSD (R$/kW) NOVA" dataDxfId="187"/>
    <tableColumn id="26" xr3:uid="{791471AB-2ED3-4F4E-9969-6E3371D67FDB}" name="TUSD (R$/MWh) NOVA" dataDxfId="186">
      <calculatedColumnFormula>('TUSD BE'!$AM$54+'TUSD BF'!$AM$54+'TUSD CVA'!$AM$54)*1</calculatedColumnFormula>
    </tableColumn>
    <tableColumn id="27" xr3:uid="{98A6694C-D290-49D9-83EE-FB7BCB4DA424}" name="TE (R$/MWh) NOVA" dataDxfId="185">
      <calculatedColumnFormula>('TE BE'!$AB$42+'TE BF'!$AB$42+'TE CVA'!$AB$42)*1</calculatedColumnFormula>
    </tableColumn>
    <tableColumn id="28" xr3:uid="{8EF680A6-46BF-462B-AF87-9F03AD349BC3}" name="RA0 ou RV - TUSD (kW)" dataDxfId="184"/>
    <tableColumn id="29" xr3:uid="{35629625-3EB1-4EF7-AFCB-BB6FFBA09315}" name="RA0 ou RV - TUSD (MWh)" dataDxfId="183"/>
    <tableColumn id="30" xr3:uid="{6B6CB30A-8547-4E0C-96CD-656B7F0568C2}" name="RA0 ou RV - TE (MWh)" dataDxfId="182"/>
    <tableColumn id="31" xr3:uid="{476CFF3D-0DDC-4F5A-9208-13306423BF1B}" name="RA1 ou RRD - TUSD (kW)" dataDxfId="181"/>
    <tableColumn id="32" xr3:uid="{180C17F3-2301-49EC-90B4-1B2859184A17}" name="RA1 ou RRD - TUSD (MWh)" dataDxfId="180"/>
    <tableColumn id="33" xr3:uid="{0308F9FF-9C93-4327-9556-DEA10AD1BCB0}" name="RA1 ou RRD - TE (MWh)" dataDxfId="17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FE79FB4-DB1D-46C2-BF56-B3F031EAE297}" name="Efeito45" displayName="Efeito45" ref="A1:AG604" totalsRowShown="0" headerRowDxfId="178" dataDxfId="177">
  <autoFilter ref="A1:AG604" xr:uid="{1678CA51-2B9B-480F-8776-86049F05BF01}"/>
  <tableColumns count="33">
    <tableColumn id="1" xr3:uid="{BC5AF3EC-93FA-42C3-9AA5-9712493A754B}" name="TipoMercado" dataDxfId="176"/>
    <tableColumn id="2" xr3:uid="{7011DD2D-426B-4D4E-8DE8-7F6C8FD5377A}" name="Subgrupo" dataDxfId="175"/>
    <tableColumn id="3" xr3:uid="{7E71D009-4ED8-42A7-B79B-1B4ADF06857A}" name="Modalidade" dataDxfId="174"/>
    <tableColumn id="4" xr3:uid="{C323380E-7714-4B05-B4BA-C72544BE3AE7}" name="Classe" dataDxfId="173"/>
    <tableColumn id="5" xr3:uid="{F1992F8B-3E0B-499C-894F-E37A1123DB19}" name="Subclasse" dataDxfId="172"/>
    <tableColumn id="6" xr3:uid="{0CF8D8FE-65D4-4391-AC0D-6651548163C0}" name="Detalhe" dataDxfId="171"/>
    <tableColumn id="7" xr3:uid="{D9453F09-D6F2-447A-94FC-7861CA0DB753}" name="Agente" dataDxfId="170"/>
    <tableColumn id="8" xr3:uid="{22227104-2E54-4C83-A646-A2C0E34FB8BE}" name="Posto" dataDxfId="169"/>
    <tableColumn id="9" xr3:uid="{6DEE349B-5D8D-47B0-A425-0D851D7C189A}" name="AnoMes" dataDxfId="168"/>
    <tableColumn id="10" xr3:uid="{C5E53F18-EB9A-4484-BF57-9D0B4C284535}" name="D" dataDxfId="167"/>
    <tableColumn id="11" xr3:uid="{A200D5FF-4506-4461-9EAA-BE1E82302C10}" name="Daj" dataDxfId="166"/>
    <tableColumn id="12" xr3:uid="{E176B33F-CEBB-4314-99F3-E93B009BA6F4}" name="TUSD_E" dataDxfId="165"/>
    <tableColumn id="13" xr3:uid="{6575A2AF-9FEA-4F7F-A136-52C57D25CCE8}" name="TUSD_Eaj" dataDxfId="164"/>
    <tableColumn id="14" xr3:uid="{84FB4291-41FD-40FD-90E8-9E4FA85D801A}" name="TE_E" dataDxfId="163"/>
    <tableColumn id="15" xr3:uid="{1917C32D-8275-45F8-AB93-A8F122E365F4}" name="TE_Eaj" dataDxfId="162"/>
    <tableColumn id="16" xr3:uid="{8A4024E9-D67C-4D40-9EE9-1812F5F43314}" name="UC" dataDxfId="161"/>
    <tableColumn id="17" xr3:uid="{35116860-8D0B-4583-8CDC-BFE2D307285A}" name="OPÇÃO" dataDxfId="160"/>
    <tableColumn id="18" xr3:uid="{C1152308-B21F-4D85-AD66-93BBBD0ED037}" name="CóD. AUX." dataDxfId="159"/>
    <tableColumn id="19" xr3:uid="{02509C09-52E0-4245-AAEF-21724EC395B2}" name="CóD. AUX. TUSD R$/kW" dataDxfId="158"/>
    <tableColumn id="20" xr3:uid="{9D4C9ECF-39A9-444C-A54F-090268536794}" name="CóD. AUX. TUSD R$/MWh" dataDxfId="157"/>
    <tableColumn id="21" xr3:uid="{9915DC5D-06D4-47FA-84A8-3A48A4F458CC}" name="CóD. AUX. TE R$/MWh" dataDxfId="156"/>
    <tableColumn id="22" xr3:uid="{CF67B3C2-E48F-490F-A2ED-D56960FBB4A7}" name="TUSD (R$/kW)" dataDxfId="155"/>
    <tableColumn id="23" xr3:uid="{59BC6B58-9149-4A68-9E5B-B47C500B909B}" name="TUSD (R$/MWh)" dataDxfId="154"/>
    <tableColumn id="24" xr3:uid="{8679E280-2096-4982-927F-EE0680DA81F6}" name="TE (R$/MWh)" dataDxfId="153"/>
    <tableColumn id="25" xr3:uid="{FE57F422-0C09-4CF2-A3A8-39EB48280A49}" name="TUSD (R$/kW) NOVA" dataDxfId="152"/>
    <tableColumn id="26" xr3:uid="{57311778-DE72-4EF4-B4D8-6992EF07FE9A}" name="TUSD (R$/MWh) NOVA" dataDxfId="151">
      <calculatedColumnFormula>('TUSD BE'!$AM$54+'TUSD BF'!$AM$54+'TUSD CVA'!$AM$54)*1</calculatedColumnFormula>
    </tableColumn>
    <tableColumn id="27" xr3:uid="{F8424D74-EDE5-4229-B902-B5773166ED94}" name="TE (R$/MWh) NOVA" dataDxfId="150">
      <calculatedColumnFormula>('TE BE'!$AB$42+'TE BF'!$AB$42+'TE CVA'!$AB$42)*1</calculatedColumnFormula>
    </tableColumn>
    <tableColumn id="28" xr3:uid="{C19E9802-11C3-42A8-8C35-CC1B1F52E0BA}" name="RA0 ou RV - TUSD (kW)" dataDxfId="149"/>
    <tableColumn id="29" xr3:uid="{4DFBC4E0-F365-47E7-A2B9-3FCD45D2CC4F}" name="RA0 ou RV - TUSD (MWh)" dataDxfId="148"/>
    <tableColumn id="30" xr3:uid="{9F3AF01A-94FD-4EBA-837F-42E54F990D5C}" name="RA0 ou RV - TE (MWh)" dataDxfId="147"/>
    <tableColumn id="31" xr3:uid="{0314E674-36B2-4A0E-9B1B-8F8A504F4948}" name="RA1 ou RRD - TUSD (kW)" dataDxfId="146"/>
    <tableColumn id="32" xr3:uid="{F53C39D7-0493-4848-A4DC-C75698D3C209}" name="RA1 ou RRD - TUSD (MWh)" dataDxfId="145"/>
    <tableColumn id="33" xr3:uid="{A3E24B33-FE4E-49A8-AC4A-1910723C0A1A}" name="RA1 ou RRD - TE (MWh)" dataDxfId="14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36A51B1-0465-4F20-A102-328D3EDB99D8}" name="TabelaFin" displayName="TabelaFin" ref="B3:AR57" tableType="queryTable" totalsRowShown="0" headerRowDxfId="143" dataDxfId="141" headerRowBorderDxfId="142" tableBorderDxfId="140" totalsRowBorderDxfId="139">
  <autoFilter ref="B3:AR57" xr:uid="{736A51B1-0465-4F20-A102-328D3EDB99D8}"/>
  <sortState xmlns:xlrd2="http://schemas.microsoft.com/office/spreadsheetml/2017/richdata2" ref="B4:AR57">
    <sortCondition ref="B4:B57"/>
    <sortCondition ref="C4:C57"/>
    <sortCondition ref="D4:D57"/>
    <sortCondition ref="E4:E57"/>
    <sortCondition ref="F4:F57"/>
    <sortCondition descending="1" ref="G4:G57"/>
    <sortCondition descending="1" ref="H4:H57"/>
    <sortCondition ref="I4:I57"/>
  </sortState>
  <tableColumns count="43">
    <tableColumn id="44" xr3:uid="{FD32F6AA-30AC-4E23-8228-F73DE8E50E57}" uniqueName="44" name="SUBGRUPO" queryTableFieldId="1" dataDxfId="138"/>
    <tableColumn id="45" xr3:uid="{AE57528F-B048-4AD6-AD3F-CB38333A04E8}" uniqueName="45" name="MODALIDADE" queryTableFieldId="2" dataDxfId="137"/>
    <tableColumn id="46" xr3:uid="{C3DCAF06-A03B-4AE9-8F20-36BEF8A9899B}" uniqueName="46" name="CLASSE" queryTableFieldId="3" dataDxfId="136"/>
    <tableColumn id="47" xr3:uid="{10FF49D2-9F81-41BD-A4F7-D7209407A0CF}" uniqueName="47" name="SUBCLASSE" queryTableFieldId="4" dataDxfId="135"/>
    <tableColumn id="48" xr3:uid="{B657FCDA-440E-475A-AC4F-22112DD8BC47}" uniqueName="48" name="DETALHE" queryTableFieldId="5" dataDxfId="134"/>
    <tableColumn id="49" xr3:uid="{6F478658-F536-4B13-B9B6-B4C4BE0AC05D}" uniqueName="49" name="POSTO" queryTableFieldId="6" dataDxfId="133"/>
    <tableColumn id="50" xr3:uid="{98CF7859-5B6C-4EFE-BCAF-8F9892BF8439}" uniqueName="50" name="UNIDADE" queryTableFieldId="7" dataDxfId="132"/>
    <tableColumn id="51" xr3:uid="{5696EC7D-4CBD-45DE-840C-6D7BFDCDBE0A}" uniqueName="51" name="ACESSANTE" queryTableFieldId="8" dataDxfId="131"/>
    <tableColumn id="52" xr3:uid="{F8F9DFD6-6B9A-4C44-9E38-5D1D17BBE2FB}" uniqueName="52" name="Total TUSD" queryTableFieldId="9" dataDxfId="130"/>
    <tableColumn id="53" xr3:uid="{355727AC-9521-4C77-A18F-184473454283}" uniqueName="53" name="Total TE" queryTableFieldId="10" dataDxfId="129"/>
    <tableColumn id="54" xr3:uid="{5E7EF61D-3880-480F-973A-9441B6E05EF3}" uniqueName="54" name="TUSD_CDE_COVID" queryTableFieldId="11" dataDxfId="128"/>
    <tableColumn id="55" xr3:uid="{0356F960-DC36-4D5A-BB56-DB097274561B}" uniqueName="55" name="TUSD_TFSEE" queryTableFieldId="12" dataDxfId="127"/>
    <tableColumn id="56" xr3:uid="{3DBA0813-B84E-4FD6-BF82-1C99DCF1EA86}" uniqueName="56" name="TUSD_PeD" queryTableFieldId="13" dataDxfId="126"/>
    <tableColumn id="57" xr3:uid="{0E255699-EC67-483B-9F51-7708D007D203}" uniqueName="57" name="TUSD_ONS" queryTableFieldId="14" dataDxfId="125"/>
    <tableColumn id="58" xr3:uid="{17E2D3F0-F7D9-4151-B88C-BA9545C586FC}" uniqueName="58" name="TUSD_CCC" queryTableFieldId="15" dataDxfId="124"/>
    <tableColumn id="59" xr3:uid="{6D189088-C0B7-4E2E-8831-2D2079CBED45}" uniqueName="59" name="TUSD_CDE" queryTableFieldId="16" dataDxfId="123"/>
    <tableColumn id="60" xr3:uid="{3878EEF8-C557-4E99-977D-356232BA433D}" uniqueName="60" name="TUSD_PROINFA" queryTableFieldId="17" dataDxfId="122"/>
    <tableColumn id="61" xr3:uid="{38563584-73E2-4D52-A241-8ACA25027266}" uniqueName="61" name="Liminar1" queryTableFieldId="18" dataDxfId="121"/>
    <tableColumn id="62" xr3:uid="{5915947C-611F-4E59-9D45-D24A11BEB768}" uniqueName="62" name="TUSD_RB" queryTableFieldId="19" dataDxfId="120"/>
    <tableColumn id="63" xr3:uid="{38A6B345-73E4-4B03-84FB-8BF6AC1B398C}" uniqueName="63" name="TUSD_FR" queryTableFieldId="20" dataDxfId="119"/>
    <tableColumn id="64" xr3:uid="{227ACFE1-7AEA-4842-91F2-503F01F3D4C7}" uniqueName="64" name="TUSD_CCT" queryTableFieldId="21" dataDxfId="118"/>
    <tableColumn id="65" xr3:uid="{E9B4B38D-F872-49A1-9618-E7E6BC6D3BC2}" uniqueName="65" name="TUSD_CCD" queryTableFieldId="22" dataDxfId="117"/>
    <tableColumn id="66" xr3:uid="{E5273E22-FAED-410D-A86A-598E3E4A207F}" uniqueName="66" name="TUSD_CUSD" queryTableFieldId="23" dataDxfId="116"/>
    <tableColumn id="67" xr3:uid="{FB4CE0C6-9F75-4F95-B2B1-9F70B8346E3B}" uniqueName="67" name="TUSDG_T" queryTableFieldId="24" dataDxfId="115"/>
    <tableColumn id="68" xr3:uid="{BC32F6DD-FD72-4EA3-8203-9485F816186A}" uniqueName="68" name="TUSDG_ONS" queryTableFieldId="25" dataDxfId="114"/>
    <tableColumn id="69" xr3:uid="{DF1F0504-8FC1-4A52-A8F8-F22431318D20}" uniqueName="69" name="TUSD_FioB" queryTableFieldId="26" dataDxfId="113"/>
    <tableColumn id="70" xr3:uid="{E0FFB2D9-3F60-40BF-8DC8-7384B1BD28DB}" uniqueName="70" name="TUSD Subsidio" queryTableFieldId="27" dataDxfId="112"/>
    <tableColumn id="71" xr3:uid="{123BF285-7026-40FF-97B5-5CE698A21763}" uniqueName="71" name="TUSD Outros" queryTableFieldId="28" dataDxfId="111"/>
    <tableColumn id="72" xr3:uid="{386B6048-6EFB-4ECA-B368-948D90C9D4DB}" uniqueName="72" name="TUSD_PT" queryTableFieldId="29" dataDxfId="110"/>
    <tableColumn id="73" xr3:uid="{55E340AC-B316-425C-813A-73DE9720D915}" uniqueName="73" name="TUSD_Per_RB_D" queryTableFieldId="30" dataDxfId="109"/>
    <tableColumn id="74" xr3:uid="{BA6727CF-56B5-4915-B2F0-C82DA23CEC6D}" uniqueName="74" name="TUSD_PNT" queryTableFieldId="31" dataDxfId="108"/>
    <tableColumn id="75" xr3:uid="{62C7736D-7DEE-4B5F-837B-B4162377D5F3}" uniqueName="75" name="TUSD_RI" queryTableFieldId="32" dataDxfId="107"/>
    <tableColumn id="76" xr3:uid="{50A085EA-3EB8-4FAB-A036-390374F1E2DD}" uniqueName="76" name="TE_CDE_COVID" queryTableFieldId="33" dataDxfId="106"/>
    <tableColumn id="77" xr3:uid="{02E8108C-DEBF-49DA-8CC1-C3608A718789}" uniqueName="77" name="TE_CDE_ELET" queryTableFieldId="34" dataDxfId="105"/>
    <tableColumn id="78" xr3:uid="{B55CDB37-C8D6-42FA-BA25-05AF6F2AA12C}" uniqueName="78" name="TE_PeD" queryTableFieldId="35" dataDxfId="104"/>
    <tableColumn id="79" xr3:uid="{887C7546-8211-418C-A51B-F2E3993CCA4D}" uniqueName="79" name="TE_ESSERR" queryTableFieldId="36" dataDxfId="103"/>
    <tableColumn id="80" xr3:uid="{04D2297F-9C03-4A58-99FA-F4FB7497E7C9}" uniqueName="80" name="TE_CFURH" queryTableFieldId="37" dataDxfId="102"/>
    <tableColumn id="81" xr3:uid="{897829E8-DF49-4ACE-BFC1-422A394E169C}" uniqueName="81" name="TE_ENERGIA" queryTableFieldId="38" dataDxfId="101"/>
    <tableColumn id="82" xr3:uid="{CFC2BDAE-E81C-4771-83A1-FC90CDF4ABFE}" uniqueName="82" name="TE_TRANSPORTE_ITAIPU" queryTableFieldId="39" dataDxfId="100"/>
    <tableColumn id="83" xr3:uid="{7AE4C863-5FF7-43FB-824D-DC3D16263A97}" uniqueName="83" name="TE_TUST_ITAIPU" queryTableFieldId="40" dataDxfId="99"/>
    <tableColumn id="84" xr3:uid="{D2A4E589-8F57-4C5D-96D3-516D4DC09199}" uniqueName="84" name="TE_TUST_CI" queryTableFieldId="41" dataDxfId="98"/>
    <tableColumn id="85" xr3:uid="{CD97D39F-9ED2-4D68-A332-ACAC8DA1C96E}" uniqueName="85" name="TE Subsidio" queryTableFieldId="42" dataDxfId="97"/>
    <tableColumn id="86" xr3:uid="{8F834F76-E30B-46AA-8E5B-2D22DB7C2C88}" uniqueName="86" name="TE_Per_RB" queryTableFieldId="43" dataDxfId="9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88513E3-B710-4857-8BD8-7E6319F17C44}" name="TabelaEc" displayName="TabelaEc" ref="B3:AR57" tableType="queryTable" totalsRowShown="0" headerRowDxfId="95" dataDxfId="93" headerRowBorderDxfId="94" tableBorderDxfId="92" totalsRowBorderDxfId="91">
  <autoFilter ref="B3:AR57" xr:uid="{F88513E3-B710-4857-8BD8-7E6319F17C44}"/>
  <sortState xmlns:xlrd2="http://schemas.microsoft.com/office/spreadsheetml/2017/richdata2" ref="B4:AR57">
    <sortCondition ref="B4:B57"/>
    <sortCondition ref="C4:C57"/>
    <sortCondition ref="D4:D57"/>
    <sortCondition ref="E4:E57"/>
    <sortCondition ref="F4:F57"/>
    <sortCondition descending="1" ref="G4:G57"/>
    <sortCondition descending="1" ref="H4:H57"/>
    <sortCondition ref="I4:I57"/>
  </sortState>
  <tableColumns count="43">
    <tableColumn id="44" xr3:uid="{5D0CBC4F-297E-4E1F-9D47-254E3ACAB87C}" uniqueName="44" name="SUBGRUPO" queryTableFieldId="1" dataDxfId="90"/>
    <tableColumn id="45" xr3:uid="{9B6B9437-9254-4C32-B55C-2A8F1CF1A4BA}" uniqueName="45" name="MODALIDADE" queryTableFieldId="2" dataDxfId="89"/>
    <tableColumn id="46" xr3:uid="{5D1EE70A-02F6-4344-9650-F4766CB73D77}" uniqueName="46" name="CLASSE" queryTableFieldId="3" dataDxfId="88"/>
    <tableColumn id="47" xr3:uid="{36558BDD-6BFC-486F-B4FF-AB88D5782B9F}" uniqueName="47" name="SUBCLASSE" queryTableFieldId="4" dataDxfId="87"/>
    <tableColumn id="48" xr3:uid="{CF653DF3-DD4D-4D8D-804A-00DC0D89C759}" uniqueName="48" name="DETALHE" queryTableFieldId="5" dataDxfId="86"/>
    <tableColumn id="49" xr3:uid="{11A0EC2D-B083-41F3-938E-3195F6E57BA7}" uniqueName="49" name="POSTO" queryTableFieldId="6" dataDxfId="85"/>
    <tableColumn id="50" xr3:uid="{C712076B-1555-4B20-9B66-A614A6498464}" uniqueName="50" name="UNIDADE" queryTableFieldId="7" dataDxfId="84"/>
    <tableColumn id="51" xr3:uid="{BFFA881B-40D3-43C0-BD8B-A7AE0CCDA5A7}" uniqueName="51" name="ACESSANTE" queryTableFieldId="8" dataDxfId="83"/>
    <tableColumn id="52" xr3:uid="{E78E4283-1016-465D-BA6C-8BECCC80AA52}" uniqueName="52" name="Total TUSD" queryTableFieldId="9" dataDxfId="82"/>
    <tableColumn id="53" xr3:uid="{1BB8D234-5AAD-49E0-8358-AAF215D027D1}" uniqueName="53" name="Total TE" queryTableFieldId="10" dataDxfId="81"/>
    <tableColumn id="54" xr3:uid="{8AC674FF-103F-47B1-A92E-E6D1D536A24D}" uniqueName="54" name="TUSD_CDE_COVID" queryTableFieldId="11" dataDxfId="80"/>
    <tableColumn id="55" xr3:uid="{37680818-6290-485A-8FF5-FF0053CDADB0}" uniqueName="55" name="TUSD_TFSEE" queryTableFieldId="12" dataDxfId="79"/>
    <tableColumn id="56" xr3:uid="{ECD75304-8464-48A0-A093-00510E61D89F}" uniqueName="56" name="TUSD_PeD" queryTableFieldId="13" dataDxfId="78"/>
    <tableColumn id="57" xr3:uid="{91AA4C26-548B-49E0-B930-DFDC68398CCE}" uniqueName="57" name="TUSD_ONS" queryTableFieldId="14" dataDxfId="77"/>
    <tableColumn id="58" xr3:uid="{E5B2049C-143F-4060-A8B3-461FB336066D}" uniqueName="58" name="TUSD_CCC" queryTableFieldId="15" dataDxfId="76"/>
    <tableColumn id="59" xr3:uid="{500CECEC-A368-4800-A450-AA11647C3C27}" uniqueName="59" name="TUSD_CDE" queryTableFieldId="16" dataDxfId="75"/>
    <tableColumn id="60" xr3:uid="{4A095F75-9CE3-49DB-89C7-C9F69835000A}" uniqueName="60" name="TUSD_PROINFA" queryTableFieldId="17" dataDxfId="74"/>
    <tableColumn id="61" xr3:uid="{D792582F-EAF3-4B35-85BD-1C01E320FF0D}" uniqueName="61" name="Liminar1" queryTableFieldId="18" dataDxfId="73"/>
    <tableColumn id="62" xr3:uid="{A445B71E-8A4C-45E6-A5AA-6C4204494EE1}" uniqueName="62" name="TUSD_RB" queryTableFieldId="19" dataDxfId="72"/>
    <tableColumn id="63" xr3:uid="{8EE8347A-A84D-4659-9FD7-6F9981A28807}" uniqueName="63" name="TUSD_FR" queryTableFieldId="20" dataDxfId="71"/>
    <tableColumn id="64" xr3:uid="{5C34AEF2-A204-4816-9125-34D6F63E1754}" uniqueName="64" name="TUSD_CCT" queryTableFieldId="21" dataDxfId="70"/>
    <tableColumn id="65" xr3:uid="{1EDB4262-ED04-493C-810D-910230836A8C}" uniqueName="65" name="TUSD_CCD" queryTableFieldId="22" dataDxfId="69"/>
    <tableColumn id="66" xr3:uid="{E1110062-F8AF-42F2-9723-47132AED2EA5}" uniqueName="66" name="TUSD_CUSD" queryTableFieldId="23" dataDxfId="68"/>
    <tableColumn id="67" xr3:uid="{420C0F0F-09DC-4B71-AEC6-EC115F7CDAA9}" uniqueName="67" name="TUSDG_T" queryTableFieldId="24" dataDxfId="67"/>
    <tableColumn id="68" xr3:uid="{918B31B2-BCA4-400F-A923-F52971835513}" uniqueName="68" name="TUSDG_ONS" queryTableFieldId="25" dataDxfId="66"/>
    <tableColumn id="69" xr3:uid="{FF2A1734-61C9-4D02-9BE6-BFE6996A57F6}" uniqueName="69" name="TUSD_FioB" queryTableFieldId="26" dataDxfId="65"/>
    <tableColumn id="70" xr3:uid="{B4074D80-D05F-4AEA-9586-AE17F8CFE647}" uniqueName="70" name="TUSD Subsidio" queryTableFieldId="27" dataDxfId="64"/>
    <tableColumn id="71" xr3:uid="{69911B84-97B6-4C86-9F0E-3ABDF16C6C80}" uniqueName="71" name="TUSD Outros" queryTableFieldId="28" dataDxfId="63"/>
    <tableColumn id="72" xr3:uid="{9CAC101F-4E08-46BF-899D-F81916A5CAA5}" uniqueName="72" name="TUSD_PT" queryTableFieldId="29" dataDxfId="62"/>
    <tableColumn id="73" xr3:uid="{741149B1-4610-476A-A734-B984E3B59A6A}" uniqueName="73" name="TUSD_Per_RB_D" queryTableFieldId="30" dataDxfId="61"/>
    <tableColumn id="74" xr3:uid="{879DEB2B-F1EC-4F44-BD5B-A741911FBD71}" uniqueName="74" name="TUSD_PNT" queryTableFieldId="31" dataDxfId="60"/>
    <tableColumn id="75" xr3:uid="{BFEC074D-C686-4F4F-919E-5A225426A0BB}" uniqueName="75" name="TUSD_RI" queryTableFieldId="32" dataDxfId="59"/>
    <tableColumn id="76" xr3:uid="{B3E84F72-23EA-4076-8942-76918CA6DA12}" uniqueName="76" name="TE_CDE_COVID" queryTableFieldId="33" dataDxfId="58"/>
    <tableColumn id="77" xr3:uid="{FC829DBA-3A7F-4E13-B734-FAEE0F78836F}" uniqueName="77" name="TE_CDE_ELET" queryTableFieldId="34" dataDxfId="57"/>
    <tableColumn id="78" xr3:uid="{88D99A8B-4525-4AD2-B6A7-32ADE79AE489}" uniqueName="78" name="TE_PeD" queryTableFieldId="35" dataDxfId="56"/>
    <tableColumn id="79" xr3:uid="{4FBEE025-928C-4387-BAD8-03A93F6F9323}" uniqueName="79" name="TE_ESSERR" queryTableFieldId="36" dataDxfId="55"/>
    <tableColumn id="80" xr3:uid="{1DBC40E1-129E-4DA7-9C50-6578631CD3B0}" uniqueName="80" name="TE_CFURH" queryTableFieldId="37" dataDxfId="54"/>
    <tableColumn id="81" xr3:uid="{CB44965D-4972-43C0-8C8B-83C184034A19}" uniqueName="81" name="TE_ENERGIA" queryTableFieldId="38" dataDxfId="53"/>
    <tableColumn id="82" xr3:uid="{5792EDCE-2313-4550-BA77-A1160C342031}" uniqueName="82" name="TE_TRANSPORTE_ITAIPU" queryTableFieldId="39" dataDxfId="52"/>
    <tableColumn id="83" xr3:uid="{0055092A-56AE-44BF-A21E-1BE784EF947F}" uniqueName="83" name="TE_TUST_ITAIPU" queryTableFieldId="40" dataDxfId="51"/>
    <tableColumn id="84" xr3:uid="{12D35237-3F46-4F45-8C06-E6EA27B5F780}" uniqueName="84" name="TE_TUST_CI" queryTableFieldId="41" dataDxfId="50"/>
    <tableColumn id="85" xr3:uid="{F204FD2D-FDF9-4733-83A0-330C9F256243}" uniqueName="85" name="TE Subsidio" queryTableFieldId="42" dataDxfId="49"/>
    <tableColumn id="86" xr3:uid="{BEB58041-5D7B-4542-91D6-4A1FAE2578A2}" uniqueName="86" name="TE_Per_RB" queryTableFieldId="43" dataDxfId="4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06EFE57-CC99-4A2D-BAE2-6704E34AE0DD}" name="TabelaCVA" displayName="TabelaCVA" ref="B3:AR57" tableType="queryTable" totalsRowShown="0" headerRowDxfId="47" dataDxfId="45" headerRowBorderDxfId="46" tableBorderDxfId="44" totalsRowBorderDxfId="43">
  <autoFilter ref="B3:AR57" xr:uid="{706EFE57-CC99-4A2D-BAE2-6704E34AE0DD}"/>
  <sortState xmlns:xlrd2="http://schemas.microsoft.com/office/spreadsheetml/2017/richdata2" ref="B4:AR57">
    <sortCondition ref="B4:B57"/>
    <sortCondition ref="C4:C57"/>
    <sortCondition ref="D4:D57"/>
    <sortCondition ref="E4:E57"/>
    <sortCondition ref="F4:F57"/>
    <sortCondition descending="1" ref="G4:G57"/>
    <sortCondition descending="1" ref="H4:H57"/>
    <sortCondition ref="I4:I57"/>
  </sortState>
  <tableColumns count="43">
    <tableColumn id="44" xr3:uid="{B2A59127-F53E-4AA0-AA5D-60530485B7CD}" uniqueName="44" name="SUBGRUPO" queryTableFieldId="1" dataDxfId="42"/>
    <tableColumn id="45" xr3:uid="{26259113-C716-4241-A5B6-380DBE483DAB}" uniqueName="45" name="MODALIDADE" queryTableFieldId="2" dataDxfId="41"/>
    <tableColumn id="46" xr3:uid="{9A5D6843-DD94-4220-970E-0501E8ECBED9}" uniqueName="46" name="CLASSE" queryTableFieldId="3" dataDxfId="40"/>
    <tableColumn id="47" xr3:uid="{5DD2A35C-EE82-4808-862D-77365A4A88E2}" uniqueName="47" name="SUBCLASSE" queryTableFieldId="4" dataDxfId="39"/>
    <tableColumn id="48" xr3:uid="{5DB4ED9A-049A-4775-8554-BA2B59FEACC2}" uniqueName="48" name="DETALHE" queryTableFieldId="5" dataDxfId="38"/>
    <tableColumn id="49" xr3:uid="{D35E2F93-D521-41D1-9544-91D6F567F1B7}" uniqueName="49" name="POSTO" queryTableFieldId="6" dataDxfId="37"/>
    <tableColumn id="50" xr3:uid="{E4EBC0D1-DD35-4BD6-9975-2BBC8036234D}" uniqueName="50" name="UNIDADE" queryTableFieldId="7" dataDxfId="36"/>
    <tableColumn id="51" xr3:uid="{04B23DBF-467F-465B-996D-FC229491E15A}" uniqueName="51" name="ACESSANTE" queryTableFieldId="8" dataDxfId="35"/>
    <tableColumn id="52" xr3:uid="{2439814C-75DB-43C4-A8CB-597A1400B549}" uniqueName="52" name="Total TUSD" queryTableFieldId="9" dataDxfId="34"/>
    <tableColumn id="53" xr3:uid="{BDBECB35-E8CC-4E4A-815A-701A59F9BC12}" uniqueName="53" name="Total TE" queryTableFieldId="10" dataDxfId="33"/>
    <tableColumn id="54" xr3:uid="{7B8AB139-C50A-4416-9488-EA88EA1E98A0}" uniqueName="54" name="TUSD_CDE_COVID" queryTableFieldId="11" dataDxfId="32"/>
    <tableColumn id="55" xr3:uid="{A37671E6-2A0C-4C1F-8768-FC0A441631A8}" uniqueName="55" name="TUSD_TFSEE" queryTableFieldId="12" dataDxfId="31"/>
    <tableColumn id="56" xr3:uid="{8144BBAC-BA5A-4DD6-BE73-6FAD2A8061CE}" uniqueName="56" name="TUSD_PeD" queryTableFieldId="13" dataDxfId="30"/>
    <tableColumn id="57" xr3:uid="{2039660C-2738-4E6D-A4D5-9A948A16C522}" uniqueName="57" name="TUSD_ONS" queryTableFieldId="14" dataDxfId="29"/>
    <tableColumn id="58" xr3:uid="{360C3372-6207-44D6-A6E0-38A23F38DA79}" uniqueName="58" name="TUSD_CCC" queryTableFieldId="15" dataDxfId="28"/>
    <tableColumn id="59" xr3:uid="{C2E33CD0-5002-41FB-957B-4A3EC6181018}" uniqueName="59" name="TUSD_CDE" queryTableFieldId="16" dataDxfId="27"/>
    <tableColumn id="60" xr3:uid="{D7F9F9E1-6FD2-46CB-90AD-01C6B4EA5CBF}" uniqueName="60" name="TUSD_PROINFA" queryTableFieldId="17" dataDxfId="26"/>
    <tableColumn id="61" xr3:uid="{14C81B47-BC42-4151-98A4-B6F9C175ECC1}" uniqueName="61" name="Liminar1" queryTableFieldId="18" dataDxfId="25"/>
    <tableColumn id="62" xr3:uid="{3A4852B6-F0D8-4F54-A256-F8434B524125}" uniqueName="62" name="TUSD_RB" queryTableFieldId="19" dataDxfId="24"/>
    <tableColumn id="63" xr3:uid="{C1657208-B4F8-4413-A407-7928802DA330}" uniqueName="63" name="TUSD_FR" queryTableFieldId="20" dataDxfId="23"/>
    <tableColumn id="64" xr3:uid="{8293835B-8553-4CB7-A68A-41B151EE946D}" uniqueName="64" name="TUSD_CCT" queryTableFieldId="21" dataDxfId="22"/>
    <tableColumn id="65" xr3:uid="{14102D75-891A-4537-ACC0-0756C4E4E9FF}" uniqueName="65" name="TUSD_CCD" queryTableFieldId="22" dataDxfId="21"/>
    <tableColumn id="66" xr3:uid="{673BB1A3-6643-47D4-9BAF-4E4538BD43AC}" uniqueName="66" name="TUSD_CUSD" queryTableFieldId="23" dataDxfId="20"/>
    <tableColumn id="67" xr3:uid="{756AAA7E-C0A8-4310-A213-44BF956B1428}" uniqueName="67" name="TUSDG_T" queryTableFieldId="24" dataDxfId="19"/>
    <tableColumn id="68" xr3:uid="{F6D2F893-5ADC-4223-99BB-DE5AE0428232}" uniqueName="68" name="TUSDG_ONS" queryTableFieldId="25" dataDxfId="18"/>
    <tableColumn id="69" xr3:uid="{3F6D45E0-E09F-470E-AF1A-6831D747BFC7}" uniqueName="69" name="TUSD_FioB" queryTableFieldId="26" dataDxfId="17"/>
    <tableColumn id="70" xr3:uid="{7A6A9A00-973B-40D4-9A28-425DD512E71F}" uniqueName="70" name="TUSD Subsidio" queryTableFieldId="27" dataDxfId="16"/>
    <tableColumn id="71" xr3:uid="{600EEB04-C1FE-4F4E-A5CA-34836E7B5CA8}" uniqueName="71" name="TUSD Outros" queryTableFieldId="28" dataDxfId="15"/>
    <tableColumn id="72" xr3:uid="{A49765CE-E3E2-4D74-88A5-3B89E1C5F4C8}" uniqueName="72" name="TUSD_PT" queryTableFieldId="29" dataDxfId="14"/>
    <tableColumn id="73" xr3:uid="{287C6997-D739-4636-9F8F-94AC4F475FF0}" uniqueName="73" name="TUSD_Per_RB_D" queryTableFieldId="30" dataDxfId="13"/>
    <tableColumn id="74" xr3:uid="{1878CC38-19C8-4417-9729-AFFE69A85F7B}" uniqueName="74" name="TUSD_PNT" queryTableFieldId="31" dataDxfId="12"/>
    <tableColumn id="75" xr3:uid="{179C581C-5AEA-444D-AC96-ED449DFF973C}" uniqueName="75" name="TUSD_RI" queryTableFieldId="32" dataDxfId="11"/>
    <tableColumn id="76" xr3:uid="{DC2BA32B-94BF-4B47-9539-AA54633E4BDE}" uniqueName="76" name="TE_CDE_COVID" queryTableFieldId="33" dataDxfId="10"/>
    <tableColumn id="77" xr3:uid="{38C4CB42-2F7A-46B2-97D2-0F62A3E61C91}" uniqueName="77" name="TE_CDE_ELET" queryTableFieldId="34" dataDxfId="9"/>
    <tableColumn id="78" xr3:uid="{C4C5756F-FE2E-4A2C-995F-74EE65E991D2}" uniqueName="78" name="TE_PeD" queryTableFieldId="35" dataDxfId="8"/>
    <tableColumn id="79" xr3:uid="{23052908-7CF3-412F-92E0-1E990158F9F4}" uniqueName="79" name="TE_ESSERR" queryTableFieldId="36" dataDxfId="7"/>
    <tableColumn id="80" xr3:uid="{50E3A8FC-78F8-4BBB-AD5B-76743F5409D7}" uniqueName="80" name="TE_CFURH" queryTableFieldId="37" dataDxfId="6"/>
    <tableColumn id="81" xr3:uid="{69F08795-D3AD-494E-9306-F48DA8915407}" uniqueName="81" name="TE_ENERGIA" queryTableFieldId="38" dataDxfId="5"/>
    <tableColumn id="82" xr3:uid="{263108F0-D6E4-4D75-8762-3686C0DC415B}" uniqueName="82" name="TE_TRANSPORTE_ITAIPU" queryTableFieldId="39" dataDxfId="4"/>
    <tableColumn id="83" xr3:uid="{0811A794-B07C-46E4-B957-BA319DB3EB39}" uniqueName="83" name="TE_TUST_ITAIPU" queryTableFieldId="40" dataDxfId="3"/>
    <tableColumn id="84" xr3:uid="{CB7C696D-090E-4F44-9E36-3F48EC2862ED}" uniqueName="84" name="TE_TUST_CI" queryTableFieldId="41" dataDxfId="2"/>
    <tableColumn id="85" xr3:uid="{35183549-01FA-436E-A75D-24321EC0F718}" uniqueName="85" name="TE Subsidio" queryTableFieldId="42" dataDxfId="1"/>
    <tableColumn id="86" xr3:uid="{8E873F1B-FFBE-4678-BF8F-C0D0609F021E}" uniqueName="86" name="TE_Per_RB" queryTableFieldId="4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05CCC-03D9-46C1-B4A7-906EE98F667D}">
  <dimension ref="A1:AX71"/>
  <sheetViews>
    <sheetView workbookViewId="0">
      <selection activeCell="H25" sqref="H25"/>
    </sheetView>
  </sheetViews>
  <sheetFormatPr defaultColWidth="9.109375" defaultRowHeight="10.199999999999999" x14ac:dyDescent="0.3"/>
  <cols>
    <col min="1" max="1" width="4.6640625" style="8" bestFit="1" customWidth="1"/>
    <col min="2" max="2" width="8.88671875" style="8" bestFit="1" customWidth="1"/>
    <col min="3" max="3" width="8.6640625" style="8" bestFit="1" customWidth="1"/>
    <col min="4" max="4" width="27.109375" style="8" bestFit="1" customWidth="1"/>
    <col min="5" max="5" width="13.5546875" style="8" bestFit="1" customWidth="1"/>
    <col min="6" max="6" width="25.109375" style="8" bestFit="1" customWidth="1"/>
    <col min="7" max="7" width="10.33203125" style="8" bestFit="1" customWidth="1"/>
    <col min="8" max="8" width="21.6640625" style="8" bestFit="1" customWidth="1"/>
    <col min="9" max="9" width="10.33203125" style="8" bestFit="1" customWidth="1"/>
    <col min="10" max="10" width="6.88671875" style="8" bestFit="1" customWidth="1"/>
    <col min="11" max="11" width="4.5546875" style="8" bestFit="1" customWidth="1"/>
    <col min="12" max="12" width="4.44140625" style="8" bestFit="1" customWidth="1"/>
    <col min="13" max="13" width="6.6640625" style="8" bestFit="1" customWidth="1"/>
    <col min="14" max="14" width="6.33203125" style="8" bestFit="1" customWidth="1"/>
    <col min="15" max="15" width="11.109375" style="8" bestFit="1" customWidth="1"/>
    <col min="16" max="16" width="10.44140625" style="8" bestFit="1" customWidth="1"/>
    <col min="17" max="16384" width="9.109375" style="8"/>
  </cols>
  <sheetData>
    <row r="1" spans="1:50" ht="11.25" customHeight="1" x14ac:dyDescent="0.3">
      <c r="A1" s="36" t="s">
        <v>634</v>
      </c>
      <c r="B1" s="36" t="s">
        <v>625</v>
      </c>
      <c r="C1" s="36" t="s">
        <v>1</v>
      </c>
      <c r="D1" s="36" t="s">
        <v>2</v>
      </c>
      <c r="E1" s="36" t="s">
        <v>3</v>
      </c>
      <c r="F1" s="36" t="s">
        <v>4</v>
      </c>
      <c r="G1" s="36" t="s">
        <v>5</v>
      </c>
      <c r="H1" s="36" t="s">
        <v>6</v>
      </c>
      <c r="I1" s="36" t="s">
        <v>7</v>
      </c>
      <c r="J1" s="36" t="s">
        <v>626</v>
      </c>
      <c r="K1" s="36" t="s">
        <v>627</v>
      </c>
      <c r="L1" s="36" t="s">
        <v>628</v>
      </c>
      <c r="M1" s="36" t="s">
        <v>629</v>
      </c>
      <c r="N1" s="36" t="s">
        <v>630</v>
      </c>
      <c r="O1" s="36" t="s">
        <v>507</v>
      </c>
      <c r="P1" s="36" t="s">
        <v>493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3">
      <c r="A2" s="37">
        <v>33</v>
      </c>
      <c r="B2" s="37" t="s">
        <v>487</v>
      </c>
      <c r="C2" s="37" t="s">
        <v>22</v>
      </c>
      <c r="D2" s="37" t="s">
        <v>38</v>
      </c>
      <c r="E2" s="37" t="s">
        <v>24</v>
      </c>
      <c r="F2" s="37" t="s">
        <v>24</v>
      </c>
      <c r="G2" s="37" t="s">
        <v>25</v>
      </c>
      <c r="H2" s="37" t="s">
        <v>25</v>
      </c>
      <c r="I2" s="37" t="s">
        <v>36</v>
      </c>
      <c r="J2" s="37" t="s">
        <v>633</v>
      </c>
      <c r="K2" s="37" t="s">
        <v>632</v>
      </c>
      <c r="L2" s="37" t="s">
        <v>78</v>
      </c>
      <c r="M2" s="37">
        <v>2021</v>
      </c>
      <c r="N2" s="37">
        <v>0</v>
      </c>
      <c r="O2" s="37">
        <v>473.22</v>
      </c>
      <c r="P2" s="37">
        <v>64.361548606602895</v>
      </c>
    </row>
    <row r="3" spans="1:50" ht="11.25" customHeight="1" x14ac:dyDescent="0.3">
      <c r="A3" s="37">
        <v>34</v>
      </c>
      <c r="B3" s="37" t="s">
        <v>487</v>
      </c>
      <c r="C3" s="37" t="s">
        <v>22</v>
      </c>
      <c r="D3" s="37" t="s">
        <v>38</v>
      </c>
      <c r="E3" s="37" t="s">
        <v>24</v>
      </c>
      <c r="F3" s="37" t="s">
        <v>24</v>
      </c>
      <c r="G3" s="37" t="s">
        <v>25</v>
      </c>
      <c r="H3" s="37" t="s">
        <v>25</v>
      </c>
      <c r="I3" s="37" t="s">
        <v>39</v>
      </c>
      <c r="J3" s="37" t="s">
        <v>633</v>
      </c>
      <c r="K3" s="37" t="s">
        <v>632</v>
      </c>
      <c r="L3" s="37" t="s">
        <v>78</v>
      </c>
      <c r="M3" s="37">
        <v>2021</v>
      </c>
      <c r="N3" s="37">
        <v>0</v>
      </c>
      <c r="O3" s="37">
        <v>328.14</v>
      </c>
      <c r="P3" s="37">
        <v>64.361548606602895</v>
      </c>
    </row>
    <row r="4" spans="1:50" ht="11.25" customHeight="1" x14ac:dyDescent="0.3">
      <c r="A4" s="37">
        <v>37</v>
      </c>
      <c r="B4" s="37" t="s">
        <v>487</v>
      </c>
      <c r="C4" s="37" t="s">
        <v>22</v>
      </c>
      <c r="D4" s="37" t="s">
        <v>38</v>
      </c>
      <c r="E4" s="37" t="s">
        <v>24</v>
      </c>
      <c r="F4" s="37" t="s">
        <v>24</v>
      </c>
      <c r="G4" s="37" t="s">
        <v>25</v>
      </c>
      <c r="H4" s="37" t="s">
        <v>25</v>
      </c>
      <c r="I4" s="37" t="s">
        <v>37</v>
      </c>
      <c r="J4" s="37" t="s">
        <v>633</v>
      </c>
      <c r="K4" s="37" t="s">
        <v>632</v>
      </c>
      <c r="L4" s="37" t="s">
        <v>78</v>
      </c>
      <c r="M4" s="37">
        <v>2021</v>
      </c>
      <c r="N4" s="37">
        <v>0</v>
      </c>
      <c r="O4" s="37">
        <v>183.06</v>
      </c>
      <c r="P4" s="37">
        <v>64.361548606602895</v>
      </c>
    </row>
    <row r="5" spans="1:50" ht="11.25" customHeight="1" x14ac:dyDescent="0.3">
      <c r="A5" s="37">
        <v>38</v>
      </c>
      <c r="B5" s="37" t="s">
        <v>487</v>
      </c>
      <c r="C5" s="37" t="s">
        <v>22</v>
      </c>
      <c r="D5" s="37" t="s">
        <v>23</v>
      </c>
      <c r="E5" s="37" t="s">
        <v>24</v>
      </c>
      <c r="F5" s="37" t="s">
        <v>24</v>
      </c>
      <c r="G5" s="37" t="s">
        <v>25</v>
      </c>
      <c r="H5" s="37" t="s">
        <v>25</v>
      </c>
      <c r="I5" s="37" t="s">
        <v>25</v>
      </c>
      <c r="J5" s="37" t="s">
        <v>633</v>
      </c>
      <c r="K5" s="37" t="s">
        <v>632</v>
      </c>
      <c r="L5" s="37" t="s">
        <v>78</v>
      </c>
      <c r="M5" s="37">
        <v>2021</v>
      </c>
      <c r="N5" s="37">
        <v>0</v>
      </c>
      <c r="O5" s="37">
        <v>244.85</v>
      </c>
      <c r="P5" s="37">
        <v>64.361548606602895</v>
      </c>
    </row>
    <row r="6" spans="1:50" ht="11.25" customHeight="1" x14ac:dyDescent="0.3">
      <c r="A6" s="37">
        <v>41</v>
      </c>
      <c r="B6" s="37" t="s">
        <v>487</v>
      </c>
      <c r="C6" s="37" t="s">
        <v>22</v>
      </c>
      <c r="D6" s="37" t="s">
        <v>23</v>
      </c>
      <c r="E6" s="37" t="s">
        <v>24</v>
      </c>
      <c r="F6" s="37" t="s">
        <v>28</v>
      </c>
      <c r="G6" s="37" t="s">
        <v>25</v>
      </c>
      <c r="H6" s="37" t="s">
        <v>25</v>
      </c>
      <c r="I6" s="37" t="s">
        <v>25</v>
      </c>
      <c r="J6" s="37" t="s">
        <v>633</v>
      </c>
      <c r="K6" s="37" t="s">
        <v>632</v>
      </c>
      <c r="L6" s="37" t="s">
        <v>78</v>
      </c>
      <c r="M6" s="37">
        <v>2021</v>
      </c>
      <c r="N6" s="37">
        <v>0</v>
      </c>
      <c r="O6" s="37">
        <v>60.62</v>
      </c>
      <c r="P6" s="37">
        <v>0</v>
      </c>
    </row>
    <row r="7" spans="1:50" ht="11.25" customHeight="1" x14ac:dyDescent="0.3">
      <c r="A7" s="37">
        <v>42</v>
      </c>
      <c r="B7" s="37" t="s">
        <v>487</v>
      </c>
      <c r="C7" s="37" t="s">
        <v>22</v>
      </c>
      <c r="D7" s="37" t="s">
        <v>23</v>
      </c>
      <c r="E7" s="37" t="s">
        <v>24</v>
      </c>
      <c r="F7" s="37" t="s">
        <v>29</v>
      </c>
      <c r="G7" s="37" t="s">
        <v>25</v>
      </c>
      <c r="H7" s="37" t="s">
        <v>25</v>
      </c>
      <c r="I7" s="37" t="s">
        <v>25</v>
      </c>
      <c r="J7" s="37" t="s">
        <v>633</v>
      </c>
      <c r="K7" s="37" t="s">
        <v>632</v>
      </c>
      <c r="L7" s="37" t="s">
        <v>78</v>
      </c>
      <c r="M7" s="37">
        <v>2021</v>
      </c>
      <c r="N7" s="37">
        <v>0</v>
      </c>
      <c r="O7" s="37">
        <v>103.93</v>
      </c>
      <c r="P7" s="37">
        <v>0</v>
      </c>
    </row>
    <row r="8" spans="1:50" ht="11.25" customHeight="1" x14ac:dyDescent="0.3">
      <c r="A8" s="37">
        <v>45</v>
      </c>
      <c r="B8" s="37" t="s">
        <v>487</v>
      </c>
      <c r="C8" s="37" t="s">
        <v>22</v>
      </c>
      <c r="D8" s="37" t="s">
        <v>23</v>
      </c>
      <c r="E8" s="37" t="s">
        <v>24</v>
      </c>
      <c r="F8" s="37" t="s">
        <v>30</v>
      </c>
      <c r="G8" s="37" t="s">
        <v>25</v>
      </c>
      <c r="H8" s="37" t="s">
        <v>25</v>
      </c>
      <c r="I8" s="37" t="s">
        <v>25</v>
      </c>
      <c r="J8" s="37" t="s">
        <v>633</v>
      </c>
      <c r="K8" s="37" t="s">
        <v>632</v>
      </c>
      <c r="L8" s="37" t="s">
        <v>78</v>
      </c>
      <c r="M8" s="37">
        <v>2021</v>
      </c>
      <c r="N8" s="37">
        <v>0</v>
      </c>
      <c r="O8" s="37">
        <v>155.88999999999999</v>
      </c>
      <c r="P8" s="37">
        <v>0</v>
      </c>
    </row>
    <row r="9" spans="1:50" ht="11.25" customHeight="1" x14ac:dyDescent="0.3">
      <c r="A9" s="37">
        <v>46</v>
      </c>
      <c r="B9" s="37" t="s">
        <v>487</v>
      </c>
      <c r="C9" s="37" t="s">
        <v>22</v>
      </c>
      <c r="D9" s="37" t="s">
        <v>23</v>
      </c>
      <c r="E9" s="37" t="s">
        <v>24</v>
      </c>
      <c r="F9" s="37" t="s">
        <v>31</v>
      </c>
      <c r="G9" s="37" t="s">
        <v>25</v>
      </c>
      <c r="H9" s="37" t="s">
        <v>25</v>
      </c>
      <c r="I9" s="37" t="s">
        <v>25</v>
      </c>
      <c r="J9" s="37" t="s">
        <v>633</v>
      </c>
      <c r="K9" s="37" t="s">
        <v>632</v>
      </c>
      <c r="L9" s="37" t="s">
        <v>78</v>
      </c>
      <c r="M9" s="37">
        <v>2021</v>
      </c>
      <c r="N9" s="37">
        <v>0</v>
      </c>
      <c r="O9" s="37">
        <v>173.21</v>
      </c>
      <c r="P9" s="37">
        <v>0</v>
      </c>
    </row>
    <row r="10" spans="1:50" ht="11.25" customHeight="1" x14ac:dyDescent="0.3">
      <c r="A10" s="37">
        <v>49</v>
      </c>
      <c r="B10" s="37" t="s">
        <v>487</v>
      </c>
      <c r="C10" s="37" t="s">
        <v>22</v>
      </c>
      <c r="D10" s="37" t="s">
        <v>92</v>
      </c>
      <c r="E10" s="37" t="s">
        <v>24</v>
      </c>
      <c r="F10" s="37" t="s">
        <v>24</v>
      </c>
      <c r="G10" s="37" t="s">
        <v>25</v>
      </c>
      <c r="H10" s="37" t="s">
        <v>25</v>
      </c>
      <c r="I10" s="37" t="s">
        <v>25</v>
      </c>
      <c r="J10" s="37" t="s">
        <v>633</v>
      </c>
      <c r="K10" s="37" t="s">
        <v>632</v>
      </c>
      <c r="L10" s="37" t="s">
        <v>78</v>
      </c>
      <c r="M10" s="37">
        <v>2021</v>
      </c>
      <c r="N10" s="37">
        <v>0</v>
      </c>
      <c r="O10" s="37">
        <v>244.85</v>
      </c>
      <c r="P10" s="37">
        <v>64.361548606602895</v>
      </c>
    </row>
    <row r="11" spans="1:50" ht="11.25" customHeight="1" x14ac:dyDescent="0.3">
      <c r="A11" s="37">
        <v>50</v>
      </c>
      <c r="B11" s="37" t="s">
        <v>487</v>
      </c>
      <c r="C11" s="37" t="s">
        <v>22</v>
      </c>
      <c r="D11" s="37" t="s">
        <v>92</v>
      </c>
      <c r="E11" s="37" t="s">
        <v>24</v>
      </c>
      <c r="F11" s="37" t="s">
        <v>28</v>
      </c>
      <c r="G11" s="37" t="s">
        <v>25</v>
      </c>
      <c r="H11" s="37" t="s">
        <v>25</v>
      </c>
      <c r="I11" s="37" t="s">
        <v>25</v>
      </c>
      <c r="J11" s="37" t="s">
        <v>633</v>
      </c>
      <c r="K11" s="37" t="s">
        <v>632</v>
      </c>
      <c r="L11" s="37" t="s">
        <v>78</v>
      </c>
      <c r="M11" s="37">
        <v>2021</v>
      </c>
      <c r="N11" s="37">
        <v>0</v>
      </c>
      <c r="O11" s="37">
        <v>60.62</v>
      </c>
      <c r="P11" s="37">
        <v>0</v>
      </c>
    </row>
    <row r="12" spans="1:50" ht="11.25" customHeight="1" x14ac:dyDescent="0.3">
      <c r="A12" s="37">
        <v>53</v>
      </c>
      <c r="B12" s="37" t="s">
        <v>487</v>
      </c>
      <c r="C12" s="37" t="s">
        <v>22</v>
      </c>
      <c r="D12" s="37" t="s">
        <v>92</v>
      </c>
      <c r="E12" s="37" t="s">
        <v>24</v>
      </c>
      <c r="F12" s="37" t="s">
        <v>29</v>
      </c>
      <c r="G12" s="37" t="s">
        <v>25</v>
      </c>
      <c r="H12" s="37" t="s">
        <v>25</v>
      </c>
      <c r="I12" s="37" t="s">
        <v>25</v>
      </c>
      <c r="J12" s="37" t="s">
        <v>633</v>
      </c>
      <c r="K12" s="37" t="s">
        <v>632</v>
      </c>
      <c r="L12" s="37" t="s">
        <v>78</v>
      </c>
      <c r="M12" s="37">
        <v>2021</v>
      </c>
      <c r="N12" s="37">
        <v>0</v>
      </c>
      <c r="O12" s="37">
        <v>103.93</v>
      </c>
      <c r="P12" s="37">
        <v>0</v>
      </c>
    </row>
    <row r="13" spans="1:50" ht="11.25" customHeight="1" x14ac:dyDescent="0.3">
      <c r="A13" s="37">
        <v>54</v>
      </c>
      <c r="B13" s="37" t="s">
        <v>487</v>
      </c>
      <c r="C13" s="37" t="s">
        <v>22</v>
      </c>
      <c r="D13" s="37" t="s">
        <v>92</v>
      </c>
      <c r="E13" s="37" t="s">
        <v>24</v>
      </c>
      <c r="F13" s="37" t="s">
        <v>30</v>
      </c>
      <c r="G13" s="37" t="s">
        <v>25</v>
      </c>
      <c r="H13" s="37" t="s">
        <v>25</v>
      </c>
      <c r="I13" s="37" t="s">
        <v>25</v>
      </c>
      <c r="J13" s="37" t="s">
        <v>633</v>
      </c>
      <c r="K13" s="37" t="s">
        <v>632</v>
      </c>
      <c r="L13" s="37" t="s">
        <v>78</v>
      </c>
      <c r="M13" s="37">
        <v>2021</v>
      </c>
      <c r="N13" s="37">
        <v>0</v>
      </c>
      <c r="O13" s="37">
        <v>155.88999999999999</v>
      </c>
      <c r="P13" s="37">
        <v>0</v>
      </c>
    </row>
    <row r="14" spans="1:50" ht="11.25" customHeight="1" x14ac:dyDescent="0.3">
      <c r="A14" s="37">
        <v>56</v>
      </c>
      <c r="B14" s="37" t="s">
        <v>487</v>
      </c>
      <c r="C14" s="37" t="s">
        <v>22</v>
      </c>
      <c r="D14" s="37" t="s">
        <v>92</v>
      </c>
      <c r="E14" s="37" t="s">
        <v>24</v>
      </c>
      <c r="F14" s="37" t="s">
        <v>31</v>
      </c>
      <c r="G14" s="37" t="s">
        <v>25</v>
      </c>
      <c r="H14" s="37" t="s">
        <v>25</v>
      </c>
      <c r="I14" s="37" t="s">
        <v>25</v>
      </c>
      <c r="J14" s="37" t="s">
        <v>633</v>
      </c>
      <c r="K14" s="37" t="s">
        <v>632</v>
      </c>
      <c r="L14" s="37" t="s">
        <v>78</v>
      </c>
      <c r="M14" s="37">
        <v>2021</v>
      </c>
      <c r="N14" s="37">
        <v>0</v>
      </c>
      <c r="O14" s="37">
        <v>173.21</v>
      </c>
      <c r="P14" s="37">
        <v>0</v>
      </c>
    </row>
    <row r="15" spans="1:50" ht="11.25" customHeight="1" x14ac:dyDescent="0.3">
      <c r="A15" s="37">
        <v>58</v>
      </c>
      <c r="B15" s="37" t="s">
        <v>487</v>
      </c>
      <c r="C15" s="37" t="s">
        <v>41</v>
      </c>
      <c r="D15" s="37" t="s">
        <v>38</v>
      </c>
      <c r="E15" s="37" t="s">
        <v>42</v>
      </c>
      <c r="F15" s="37" t="s">
        <v>25</v>
      </c>
      <c r="G15" s="37" t="s">
        <v>25</v>
      </c>
      <c r="H15" s="37" t="s">
        <v>25</v>
      </c>
      <c r="I15" s="37" t="s">
        <v>36</v>
      </c>
      <c r="J15" s="37" t="s">
        <v>633</v>
      </c>
      <c r="K15" s="37" t="s">
        <v>632</v>
      </c>
      <c r="L15" s="37" t="s">
        <v>78</v>
      </c>
      <c r="M15" s="37">
        <v>2021</v>
      </c>
      <c r="N15" s="37">
        <v>0</v>
      </c>
      <c r="O15" s="37">
        <v>445.98</v>
      </c>
      <c r="P15" s="37">
        <v>56.6381627738105</v>
      </c>
    </row>
    <row r="16" spans="1:50" ht="11.25" customHeight="1" x14ac:dyDescent="0.3">
      <c r="A16" s="37">
        <v>60</v>
      </c>
      <c r="B16" s="37" t="s">
        <v>487</v>
      </c>
      <c r="C16" s="37" t="s">
        <v>41</v>
      </c>
      <c r="D16" s="37" t="s">
        <v>38</v>
      </c>
      <c r="E16" s="37" t="s">
        <v>42</v>
      </c>
      <c r="F16" s="37" t="s">
        <v>25</v>
      </c>
      <c r="G16" s="37" t="s">
        <v>25</v>
      </c>
      <c r="H16" s="37" t="s">
        <v>25</v>
      </c>
      <c r="I16" s="37" t="s">
        <v>39</v>
      </c>
      <c r="J16" s="37" t="s">
        <v>633</v>
      </c>
      <c r="K16" s="37" t="s">
        <v>632</v>
      </c>
      <c r="L16" s="37" t="s">
        <v>78</v>
      </c>
      <c r="M16" s="37">
        <v>2021</v>
      </c>
      <c r="N16" s="37">
        <v>0</v>
      </c>
      <c r="O16" s="37">
        <v>306.49</v>
      </c>
      <c r="P16" s="37">
        <v>56.6381627738105</v>
      </c>
    </row>
    <row r="17" spans="1:16" ht="11.25" customHeight="1" x14ac:dyDescent="0.3">
      <c r="A17" s="37">
        <v>61</v>
      </c>
      <c r="B17" s="37" t="s">
        <v>487</v>
      </c>
      <c r="C17" s="37" t="s">
        <v>41</v>
      </c>
      <c r="D17" s="37" t="s">
        <v>38</v>
      </c>
      <c r="E17" s="37" t="s">
        <v>42</v>
      </c>
      <c r="F17" s="37" t="s">
        <v>25</v>
      </c>
      <c r="G17" s="37" t="s">
        <v>25</v>
      </c>
      <c r="H17" s="37" t="s">
        <v>25</v>
      </c>
      <c r="I17" s="37" t="s">
        <v>37</v>
      </c>
      <c r="J17" s="37" t="s">
        <v>633</v>
      </c>
      <c r="K17" s="37" t="s">
        <v>632</v>
      </c>
      <c r="L17" s="37" t="s">
        <v>78</v>
      </c>
      <c r="M17" s="37">
        <v>2021</v>
      </c>
      <c r="N17" s="37">
        <v>0</v>
      </c>
      <c r="O17" s="37">
        <v>167</v>
      </c>
      <c r="P17" s="37">
        <v>56.6381627738105</v>
      </c>
    </row>
    <row r="18" spans="1:16" ht="11.25" customHeight="1" x14ac:dyDescent="0.3">
      <c r="A18" s="37">
        <v>62</v>
      </c>
      <c r="B18" s="37" t="s">
        <v>487</v>
      </c>
      <c r="C18" s="37" t="s">
        <v>41</v>
      </c>
      <c r="D18" s="37" t="s">
        <v>23</v>
      </c>
      <c r="E18" s="37" t="s">
        <v>42</v>
      </c>
      <c r="F18" s="37" t="s">
        <v>25</v>
      </c>
      <c r="G18" s="37" t="s">
        <v>25</v>
      </c>
      <c r="H18" s="37" t="s">
        <v>25</v>
      </c>
      <c r="I18" s="37" t="s">
        <v>25</v>
      </c>
      <c r="J18" s="37" t="s">
        <v>633</v>
      </c>
      <c r="K18" s="37" t="s">
        <v>632</v>
      </c>
      <c r="L18" s="37" t="s">
        <v>78</v>
      </c>
      <c r="M18" s="37">
        <v>2021</v>
      </c>
      <c r="N18" s="37">
        <v>0</v>
      </c>
      <c r="O18" s="37">
        <v>215.47</v>
      </c>
      <c r="P18" s="37">
        <v>56.6381627738105</v>
      </c>
    </row>
    <row r="19" spans="1:16" ht="11.25" customHeight="1" x14ac:dyDescent="0.3">
      <c r="A19" s="37">
        <v>63</v>
      </c>
      <c r="B19" s="37" t="s">
        <v>487</v>
      </c>
      <c r="C19" s="37" t="s">
        <v>41</v>
      </c>
      <c r="D19" s="37" t="s">
        <v>38</v>
      </c>
      <c r="E19" s="37" t="s">
        <v>42</v>
      </c>
      <c r="F19" s="37" t="s">
        <v>93</v>
      </c>
      <c r="G19" s="37" t="s">
        <v>25</v>
      </c>
      <c r="H19" s="37" t="s">
        <v>25</v>
      </c>
      <c r="I19" s="37" t="s">
        <v>36</v>
      </c>
      <c r="J19" s="37" t="s">
        <v>633</v>
      </c>
      <c r="K19" s="37" t="s">
        <v>632</v>
      </c>
      <c r="L19" s="37" t="s">
        <v>78</v>
      </c>
      <c r="M19" s="37">
        <v>2021</v>
      </c>
      <c r="N19" s="37">
        <v>0</v>
      </c>
      <c r="O19" s="37">
        <v>445.98</v>
      </c>
      <c r="P19" s="37">
        <v>56.6381627738105</v>
      </c>
    </row>
    <row r="20" spans="1:16" ht="11.25" customHeight="1" x14ac:dyDescent="0.3">
      <c r="A20" s="37">
        <v>64</v>
      </c>
      <c r="B20" s="37" t="s">
        <v>487</v>
      </c>
      <c r="C20" s="37" t="s">
        <v>41</v>
      </c>
      <c r="D20" s="37" t="s">
        <v>38</v>
      </c>
      <c r="E20" s="37" t="s">
        <v>42</v>
      </c>
      <c r="F20" s="37" t="s">
        <v>93</v>
      </c>
      <c r="G20" s="37" t="s">
        <v>25</v>
      </c>
      <c r="H20" s="37" t="s">
        <v>25</v>
      </c>
      <c r="I20" s="37" t="s">
        <v>39</v>
      </c>
      <c r="J20" s="37" t="s">
        <v>633</v>
      </c>
      <c r="K20" s="37" t="s">
        <v>632</v>
      </c>
      <c r="L20" s="37" t="s">
        <v>78</v>
      </c>
      <c r="M20" s="37">
        <v>2021</v>
      </c>
      <c r="N20" s="37">
        <v>0</v>
      </c>
      <c r="O20" s="37">
        <v>306.49</v>
      </c>
      <c r="P20" s="37">
        <v>56.6381627738105</v>
      </c>
    </row>
    <row r="21" spans="1:16" ht="11.25" customHeight="1" x14ac:dyDescent="0.3">
      <c r="A21" s="37">
        <v>65</v>
      </c>
      <c r="B21" s="37" t="s">
        <v>487</v>
      </c>
      <c r="C21" s="37" t="s">
        <v>41</v>
      </c>
      <c r="D21" s="37" t="s">
        <v>38</v>
      </c>
      <c r="E21" s="37" t="s">
        <v>42</v>
      </c>
      <c r="F21" s="37" t="s">
        <v>93</v>
      </c>
      <c r="G21" s="37" t="s">
        <v>25</v>
      </c>
      <c r="H21" s="37" t="s">
        <v>25</v>
      </c>
      <c r="I21" s="37" t="s">
        <v>37</v>
      </c>
      <c r="J21" s="37" t="s">
        <v>633</v>
      </c>
      <c r="K21" s="37" t="s">
        <v>632</v>
      </c>
      <c r="L21" s="37" t="s">
        <v>78</v>
      </c>
      <c r="M21" s="37">
        <v>2021</v>
      </c>
      <c r="N21" s="37">
        <v>0</v>
      </c>
      <c r="O21" s="37">
        <v>167</v>
      </c>
      <c r="P21" s="37">
        <v>56.6381627738105</v>
      </c>
    </row>
    <row r="22" spans="1:16" ht="11.25" customHeight="1" x14ac:dyDescent="0.3">
      <c r="A22" s="37">
        <v>66</v>
      </c>
      <c r="B22" s="37" t="s">
        <v>487</v>
      </c>
      <c r="C22" s="37" t="s">
        <v>41</v>
      </c>
      <c r="D22" s="37" t="s">
        <v>23</v>
      </c>
      <c r="E22" s="37" t="s">
        <v>42</v>
      </c>
      <c r="F22" s="37" t="s">
        <v>93</v>
      </c>
      <c r="G22" s="37" t="s">
        <v>25</v>
      </c>
      <c r="H22" s="37" t="s">
        <v>25</v>
      </c>
      <c r="I22" s="37" t="s">
        <v>25</v>
      </c>
      <c r="J22" s="37" t="s">
        <v>633</v>
      </c>
      <c r="K22" s="37" t="s">
        <v>632</v>
      </c>
      <c r="L22" s="37" t="s">
        <v>78</v>
      </c>
      <c r="M22" s="37">
        <v>2021</v>
      </c>
      <c r="N22" s="37">
        <v>0</v>
      </c>
      <c r="O22" s="37">
        <v>215.47</v>
      </c>
      <c r="P22" s="37">
        <v>56.6381627738105</v>
      </c>
    </row>
    <row r="23" spans="1:16" ht="11.25" customHeight="1" x14ac:dyDescent="0.3">
      <c r="A23" s="37">
        <v>67</v>
      </c>
      <c r="B23" s="37" t="s">
        <v>487</v>
      </c>
      <c r="C23" s="37" t="s">
        <v>41</v>
      </c>
      <c r="D23" s="37" t="s">
        <v>38</v>
      </c>
      <c r="E23" s="37" t="s">
        <v>42</v>
      </c>
      <c r="F23" s="37" t="s">
        <v>94</v>
      </c>
      <c r="G23" s="37" t="s">
        <v>25</v>
      </c>
      <c r="H23" s="37" t="s">
        <v>25</v>
      </c>
      <c r="I23" s="37" t="s">
        <v>36</v>
      </c>
      <c r="J23" s="37" t="s">
        <v>633</v>
      </c>
      <c r="K23" s="37" t="s">
        <v>632</v>
      </c>
      <c r="L23" s="37" t="s">
        <v>78</v>
      </c>
      <c r="M23" s="37">
        <v>2021</v>
      </c>
      <c r="N23" s="37">
        <v>0</v>
      </c>
      <c r="O23" s="37">
        <v>425.71</v>
      </c>
      <c r="P23" s="37">
        <v>54.063700829546399</v>
      </c>
    </row>
    <row r="24" spans="1:16" ht="11.25" customHeight="1" x14ac:dyDescent="0.3">
      <c r="A24" s="37">
        <v>68</v>
      </c>
      <c r="B24" s="37" t="s">
        <v>487</v>
      </c>
      <c r="C24" s="37" t="s">
        <v>41</v>
      </c>
      <c r="D24" s="37" t="s">
        <v>38</v>
      </c>
      <c r="E24" s="37" t="s">
        <v>42</v>
      </c>
      <c r="F24" s="37" t="s">
        <v>94</v>
      </c>
      <c r="G24" s="37" t="s">
        <v>25</v>
      </c>
      <c r="H24" s="37" t="s">
        <v>25</v>
      </c>
      <c r="I24" s="37" t="s">
        <v>39</v>
      </c>
      <c r="J24" s="37" t="s">
        <v>633</v>
      </c>
      <c r="K24" s="37" t="s">
        <v>632</v>
      </c>
      <c r="L24" s="37" t="s">
        <v>78</v>
      </c>
      <c r="M24" s="37">
        <v>2021</v>
      </c>
      <c r="N24" s="37">
        <v>0</v>
      </c>
      <c r="O24" s="37">
        <v>292.56</v>
      </c>
      <c r="P24" s="37">
        <v>54.063700829546399</v>
      </c>
    </row>
    <row r="25" spans="1:16" ht="11.25" customHeight="1" x14ac:dyDescent="0.3">
      <c r="A25" s="37">
        <v>69</v>
      </c>
      <c r="B25" s="37" t="s">
        <v>487</v>
      </c>
      <c r="C25" s="37" t="s">
        <v>41</v>
      </c>
      <c r="D25" s="37" t="s">
        <v>38</v>
      </c>
      <c r="E25" s="37" t="s">
        <v>42</v>
      </c>
      <c r="F25" s="37" t="s">
        <v>94</v>
      </c>
      <c r="G25" s="37" t="s">
        <v>25</v>
      </c>
      <c r="H25" s="37" t="s">
        <v>25</v>
      </c>
      <c r="I25" s="37" t="s">
        <v>37</v>
      </c>
      <c r="J25" s="37" t="s">
        <v>633</v>
      </c>
      <c r="K25" s="37" t="s">
        <v>632</v>
      </c>
      <c r="L25" s="37" t="s">
        <v>78</v>
      </c>
      <c r="M25" s="37">
        <v>2021</v>
      </c>
      <c r="N25" s="37">
        <v>0</v>
      </c>
      <c r="O25" s="37">
        <v>159.41</v>
      </c>
      <c r="P25" s="37">
        <v>54.063700829546399</v>
      </c>
    </row>
    <row r="26" spans="1:16" ht="11.25" customHeight="1" x14ac:dyDescent="0.3">
      <c r="A26" s="37">
        <v>70</v>
      </c>
      <c r="B26" s="37" t="s">
        <v>487</v>
      </c>
      <c r="C26" s="37" t="s">
        <v>41</v>
      </c>
      <c r="D26" s="37" t="s">
        <v>23</v>
      </c>
      <c r="E26" s="37" t="s">
        <v>42</v>
      </c>
      <c r="F26" s="37" t="s">
        <v>94</v>
      </c>
      <c r="G26" s="37" t="s">
        <v>25</v>
      </c>
      <c r="H26" s="37" t="s">
        <v>25</v>
      </c>
      <c r="I26" s="37" t="s">
        <v>25</v>
      </c>
      <c r="J26" s="37" t="s">
        <v>633</v>
      </c>
      <c r="K26" s="37" t="s">
        <v>632</v>
      </c>
      <c r="L26" s="37" t="s">
        <v>78</v>
      </c>
      <c r="M26" s="37">
        <v>2021</v>
      </c>
      <c r="N26" s="37">
        <v>0</v>
      </c>
      <c r="O26" s="37">
        <v>205.68</v>
      </c>
      <c r="P26" s="37">
        <v>54.063700829546399</v>
      </c>
    </row>
    <row r="27" spans="1:16" ht="11.25" customHeight="1" x14ac:dyDescent="0.3">
      <c r="A27" s="37">
        <v>71</v>
      </c>
      <c r="B27" s="37" t="s">
        <v>487</v>
      </c>
      <c r="C27" s="37" t="s">
        <v>41</v>
      </c>
      <c r="D27" s="37" t="s">
        <v>92</v>
      </c>
      <c r="E27" s="37" t="s">
        <v>42</v>
      </c>
      <c r="F27" s="37" t="s">
        <v>25</v>
      </c>
      <c r="G27" s="37" t="s">
        <v>25</v>
      </c>
      <c r="H27" s="37" t="s">
        <v>25</v>
      </c>
      <c r="I27" s="37" t="s">
        <v>25</v>
      </c>
      <c r="J27" s="37" t="s">
        <v>633</v>
      </c>
      <c r="K27" s="37" t="s">
        <v>632</v>
      </c>
      <c r="L27" s="37" t="s">
        <v>78</v>
      </c>
      <c r="M27" s="37">
        <v>2021</v>
      </c>
      <c r="N27" s="37">
        <v>0</v>
      </c>
      <c r="O27" s="37">
        <v>215.47</v>
      </c>
      <c r="P27" s="37">
        <v>56.6381627738105</v>
      </c>
    </row>
    <row r="28" spans="1:16" ht="11.25" customHeight="1" x14ac:dyDescent="0.3">
      <c r="A28" s="37">
        <v>72</v>
      </c>
      <c r="B28" s="37" t="s">
        <v>487</v>
      </c>
      <c r="C28" s="37" t="s">
        <v>41</v>
      </c>
      <c r="D28" s="37" t="s">
        <v>92</v>
      </c>
      <c r="E28" s="37" t="s">
        <v>42</v>
      </c>
      <c r="F28" s="37" t="s">
        <v>93</v>
      </c>
      <c r="G28" s="37" t="s">
        <v>25</v>
      </c>
      <c r="H28" s="37" t="s">
        <v>25</v>
      </c>
      <c r="I28" s="37" t="s">
        <v>25</v>
      </c>
      <c r="J28" s="37" t="s">
        <v>633</v>
      </c>
      <c r="K28" s="37" t="s">
        <v>632</v>
      </c>
      <c r="L28" s="37" t="s">
        <v>78</v>
      </c>
      <c r="M28" s="37">
        <v>2021</v>
      </c>
      <c r="N28" s="37">
        <v>0</v>
      </c>
      <c r="O28" s="37">
        <v>215.47</v>
      </c>
      <c r="P28" s="37">
        <v>56.6381627738105</v>
      </c>
    </row>
    <row r="29" spans="1:16" ht="11.25" customHeight="1" x14ac:dyDescent="0.3">
      <c r="A29" s="37">
        <v>73</v>
      </c>
      <c r="B29" s="37" t="s">
        <v>487</v>
      </c>
      <c r="C29" s="37" t="s">
        <v>41</v>
      </c>
      <c r="D29" s="37" t="s">
        <v>92</v>
      </c>
      <c r="E29" s="37" t="s">
        <v>42</v>
      </c>
      <c r="F29" s="37" t="s">
        <v>94</v>
      </c>
      <c r="G29" s="37" t="s">
        <v>25</v>
      </c>
      <c r="H29" s="37" t="s">
        <v>25</v>
      </c>
      <c r="I29" s="37" t="s">
        <v>25</v>
      </c>
      <c r="J29" s="37" t="s">
        <v>633</v>
      </c>
      <c r="K29" s="37" t="s">
        <v>632</v>
      </c>
      <c r="L29" s="37" t="s">
        <v>78</v>
      </c>
      <c r="M29" s="37">
        <v>2021</v>
      </c>
      <c r="N29" s="37">
        <v>0</v>
      </c>
      <c r="O29" s="37">
        <v>205.68</v>
      </c>
      <c r="P29" s="37">
        <v>54.063700829546399</v>
      </c>
    </row>
    <row r="30" spans="1:16" ht="11.25" customHeight="1" x14ac:dyDescent="0.3">
      <c r="A30" s="37">
        <v>74</v>
      </c>
      <c r="B30" s="37" t="s">
        <v>487</v>
      </c>
      <c r="C30" s="37" t="s">
        <v>32</v>
      </c>
      <c r="D30" s="37" t="s">
        <v>38</v>
      </c>
      <c r="E30" s="37" t="s">
        <v>25</v>
      </c>
      <c r="F30" s="37" t="s">
        <v>25</v>
      </c>
      <c r="G30" s="37" t="s">
        <v>25</v>
      </c>
      <c r="H30" s="37" t="s">
        <v>25</v>
      </c>
      <c r="I30" s="37" t="s">
        <v>36</v>
      </c>
      <c r="J30" s="37" t="s">
        <v>633</v>
      </c>
      <c r="K30" s="37" t="s">
        <v>632</v>
      </c>
      <c r="L30" s="37" t="s">
        <v>78</v>
      </c>
      <c r="M30" s="37">
        <v>2021</v>
      </c>
      <c r="N30" s="37">
        <v>0</v>
      </c>
      <c r="O30" s="37">
        <v>567.25</v>
      </c>
      <c r="P30" s="37">
        <v>64.361548606602895</v>
      </c>
    </row>
    <row r="31" spans="1:16" ht="11.25" customHeight="1" x14ac:dyDescent="0.3">
      <c r="A31" s="37">
        <v>75</v>
      </c>
      <c r="B31" s="37" t="s">
        <v>487</v>
      </c>
      <c r="C31" s="37" t="s">
        <v>32</v>
      </c>
      <c r="D31" s="37" t="s">
        <v>38</v>
      </c>
      <c r="E31" s="37" t="s">
        <v>25</v>
      </c>
      <c r="F31" s="37" t="s">
        <v>25</v>
      </c>
      <c r="G31" s="37" t="s">
        <v>25</v>
      </c>
      <c r="H31" s="37" t="s">
        <v>25</v>
      </c>
      <c r="I31" s="37" t="s">
        <v>39</v>
      </c>
      <c r="J31" s="37" t="s">
        <v>633</v>
      </c>
      <c r="K31" s="37" t="s">
        <v>632</v>
      </c>
      <c r="L31" s="37" t="s">
        <v>78</v>
      </c>
      <c r="M31" s="37">
        <v>2021</v>
      </c>
      <c r="N31" s="37">
        <v>0</v>
      </c>
      <c r="O31" s="37">
        <v>384.56</v>
      </c>
      <c r="P31" s="37">
        <v>64.361548606602895</v>
      </c>
    </row>
    <row r="32" spans="1:16" ht="11.25" customHeight="1" x14ac:dyDescent="0.3">
      <c r="A32" s="37">
        <v>76</v>
      </c>
      <c r="B32" s="37" t="s">
        <v>487</v>
      </c>
      <c r="C32" s="37" t="s">
        <v>32</v>
      </c>
      <c r="D32" s="37" t="s">
        <v>38</v>
      </c>
      <c r="E32" s="37" t="s">
        <v>25</v>
      </c>
      <c r="F32" s="37" t="s">
        <v>25</v>
      </c>
      <c r="G32" s="37" t="s">
        <v>25</v>
      </c>
      <c r="H32" s="37" t="s">
        <v>25</v>
      </c>
      <c r="I32" s="37" t="s">
        <v>37</v>
      </c>
      <c r="J32" s="37" t="s">
        <v>633</v>
      </c>
      <c r="K32" s="37" t="s">
        <v>632</v>
      </c>
      <c r="L32" s="37" t="s">
        <v>78</v>
      </c>
      <c r="M32" s="37">
        <v>2021</v>
      </c>
      <c r="N32" s="37">
        <v>0</v>
      </c>
      <c r="O32" s="37">
        <v>201.87</v>
      </c>
      <c r="P32" s="37">
        <v>64.361548606602895</v>
      </c>
    </row>
    <row r="33" spans="1:16" ht="11.25" customHeight="1" x14ac:dyDescent="0.3">
      <c r="A33" s="37">
        <v>77</v>
      </c>
      <c r="B33" s="37" t="s">
        <v>487</v>
      </c>
      <c r="C33" s="37" t="s">
        <v>32</v>
      </c>
      <c r="D33" s="37" t="s">
        <v>23</v>
      </c>
      <c r="E33" s="37" t="s">
        <v>25</v>
      </c>
      <c r="F33" s="37" t="s">
        <v>25</v>
      </c>
      <c r="G33" s="37" t="s">
        <v>25</v>
      </c>
      <c r="H33" s="37" t="s">
        <v>25</v>
      </c>
      <c r="I33" s="37" t="s">
        <v>25</v>
      </c>
      <c r="J33" s="37" t="s">
        <v>633</v>
      </c>
      <c r="K33" s="37" t="s">
        <v>632</v>
      </c>
      <c r="L33" s="37" t="s">
        <v>78</v>
      </c>
      <c r="M33" s="37">
        <v>2021</v>
      </c>
      <c r="N33" s="37">
        <v>0</v>
      </c>
      <c r="O33" s="37">
        <v>244.85</v>
      </c>
      <c r="P33" s="37">
        <v>64.361548606602895</v>
      </c>
    </row>
    <row r="34" spans="1:16" ht="11.25" customHeight="1" x14ac:dyDescent="0.3">
      <c r="A34" s="37">
        <v>78</v>
      </c>
      <c r="B34" s="37" t="s">
        <v>487</v>
      </c>
      <c r="C34" s="37" t="s">
        <v>32</v>
      </c>
      <c r="D34" s="37" t="s">
        <v>92</v>
      </c>
      <c r="E34" s="37" t="s">
        <v>25</v>
      </c>
      <c r="F34" s="37" t="s">
        <v>25</v>
      </c>
      <c r="G34" s="37" t="s">
        <v>25</v>
      </c>
      <c r="H34" s="37" t="s">
        <v>25</v>
      </c>
      <c r="I34" s="37" t="s">
        <v>25</v>
      </c>
      <c r="J34" s="37" t="s">
        <v>633</v>
      </c>
      <c r="K34" s="37" t="s">
        <v>632</v>
      </c>
      <c r="L34" s="37" t="s">
        <v>78</v>
      </c>
      <c r="M34" s="37">
        <v>2021</v>
      </c>
      <c r="N34" s="37">
        <v>0</v>
      </c>
      <c r="O34" s="37">
        <v>244.85</v>
      </c>
      <c r="P34" s="37">
        <v>64.361548606602895</v>
      </c>
    </row>
    <row r="35" spans="1:16" ht="11.25" customHeight="1" x14ac:dyDescent="0.3">
      <c r="A35" s="37">
        <v>79</v>
      </c>
      <c r="B35" s="37" t="s">
        <v>487</v>
      </c>
      <c r="C35" s="37" t="s">
        <v>44</v>
      </c>
      <c r="D35" s="37" t="s">
        <v>23</v>
      </c>
      <c r="E35" s="37" t="s">
        <v>45</v>
      </c>
      <c r="F35" s="37" t="s">
        <v>46</v>
      </c>
      <c r="G35" s="37" t="s">
        <v>25</v>
      </c>
      <c r="H35" s="37" t="s">
        <v>25</v>
      </c>
      <c r="I35" s="37" t="s">
        <v>25</v>
      </c>
      <c r="J35" s="37" t="s">
        <v>633</v>
      </c>
      <c r="K35" s="37" t="s">
        <v>632</v>
      </c>
      <c r="L35" s="37" t="s">
        <v>78</v>
      </c>
      <c r="M35" s="37">
        <v>2021</v>
      </c>
      <c r="N35" s="37">
        <v>0</v>
      </c>
      <c r="O35" s="37">
        <v>134.66999999999999</v>
      </c>
      <c r="P35" s="37">
        <v>35.398851733631602</v>
      </c>
    </row>
    <row r="36" spans="1:16" ht="11.25" customHeight="1" x14ac:dyDescent="0.3">
      <c r="A36" s="37">
        <v>80</v>
      </c>
      <c r="B36" s="37" t="s">
        <v>487</v>
      </c>
      <c r="C36" s="37" t="s">
        <v>44</v>
      </c>
      <c r="D36" s="37" t="s">
        <v>23</v>
      </c>
      <c r="E36" s="37" t="s">
        <v>45</v>
      </c>
      <c r="F36" s="37" t="s">
        <v>95</v>
      </c>
      <c r="G36" s="37" t="s">
        <v>25</v>
      </c>
      <c r="H36" s="37" t="s">
        <v>25</v>
      </c>
      <c r="I36" s="37" t="s">
        <v>25</v>
      </c>
      <c r="J36" s="37" t="s">
        <v>633</v>
      </c>
      <c r="K36" s="37" t="s">
        <v>632</v>
      </c>
      <c r="L36" s="37" t="s">
        <v>78</v>
      </c>
      <c r="M36" s="37">
        <v>2021</v>
      </c>
      <c r="N36" s="37">
        <v>0</v>
      </c>
      <c r="O36" s="37">
        <v>146.91</v>
      </c>
      <c r="P36" s="37">
        <v>38.6169291639617</v>
      </c>
    </row>
    <row r="37" spans="1:16" ht="11.25" customHeight="1" x14ac:dyDescent="0.3">
      <c r="A37" s="37">
        <v>86</v>
      </c>
      <c r="B37" s="37" t="s">
        <v>515</v>
      </c>
      <c r="C37" s="37" t="s">
        <v>22</v>
      </c>
      <c r="D37" s="37" t="s">
        <v>77</v>
      </c>
      <c r="E37" s="37" t="s">
        <v>24</v>
      </c>
      <c r="F37" s="37" t="s">
        <v>24</v>
      </c>
      <c r="G37" s="37" t="s">
        <v>25</v>
      </c>
      <c r="H37" s="37" t="s">
        <v>25</v>
      </c>
      <c r="I37" s="37" t="s">
        <v>36</v>
      </c>
      <c r="J37" s="37" t="s">
        <v>633</v>
      </c>
      <c r="K37" s="37" t="s">
        <v>632</v>
      </c>
      <c r="L37" s="37" t="s">
        <v>78</v>
      </c>
      <c r="M37" s="37">
        <v>2021</v>
      </c>
      <c r="N37" s="37">
        <v>0</v>
      </c>
      <c r="O37" s="37">
        <v>451.4</v>
      </c>
      <c r="P37" s="37"/>
    </row>
    <row r="38" spans="1:16" ht="11.25" customHeight="1" x14ac:dyDescent="0.3">
      <c r="A38" s="37">
        <v>87</v>
      </c>
      <c r="B38" s="37" t="s">
        <v>515</v>
      </c>
      <c r="C38" s="37" t="s">
        <v>22</v>
      </c>
      <c r="D38" s="37" t="s">
        <v>77</v>
      </c>
      <c r="E38" s="37" t="s">
        <v>24</v>
      </c>
      <c r="F38" s="37" t="s">
        <v>24</v>
      </c>
      <c r="G38" s="37" t="s">
        <v>25</v>
      </c>
      <c r="H38" s="37" t="s">
        <v>25</v>
      </c>
      <c r="I38" s="37" t="s">
        <v>39</v>
      </c>
      <c r="J38" s="37" t="s">
        <v>633</v>
      </c>
      <c r="K38" s="37" t="s">
        <v>632</v>
      </c>
      <c r="L38" s="37" t="s">
        <v>78</v>
      </c>
      <c r="M38" s="37">
        <v>2021</v>
      </c>
      <c r="N38" s="37">
        <v>0</v>
      </c>
      <c r="O38" s="37">
        <v>272.48</v>
      </c>
      <c r="P38" s="37"/>
    </row>
    <row r="39" spans="1:16" ht="11.25" customHeight="1" x14ac:dyDescent="0.3">
      <c r="A39" s="37">
        <v>88</v>
      </c>
      <c r="B39" s="37" t="s">
        <v>515</v>
      </c>
      <c r="C39" s="37" t="s">
        <v>22</v>
      </c>
      <c r="D39" s="37" t="s">
        <v>77</v>
      </c>
      <c r="E39" s="37" t="s">
        <v>24</v>
      </c>
      <c r="F39" s="37" t="s">
        <v>24</v>
      </c>
      <c r="G39" s="37" t="s">
        <v>25</v>
      </c>
      <c r="H39" s="37" t="s">
        <v>25</v>
      </c>
      <c r="I39" s="37" t="s">
        <v>37</v>
      </c>
      <c r="J39" s="37" t="s">
        <v>633</v>
      </c>
      <c r="K39" s="37" t="s">
        <v>632</v>
      </c>
      <c r="L39" s="37" t="s">
        <v>78</v>
      </c>
      <c r="M39" s="37">
        <v>2021</v>
      </c>
      <c r="N39" s="37">
        <v>0</v>
      </c>
      <c r="O39" s="37">
        <v>272.48</v>
      </c>
      <c r="P39" s="37"/>
    </row>
    <row r="40" spans="1:16" ht="11.25" customHeight="1" x14ac:dyDescent="0.3">
      <c r="A40" s="37">
        <v>89</v>
      </c>
      <c r="B40" s="37" t="s">
        <v>515</v>
      </c>
      <c r="C40" s="37" t="s">
        <v>22</v>
      </c>
      <c r="D40" s="37" t="s">
        <v>90</v>
      </c>
      <c r="E40" s="37" t="s">
        <v>24</v>
      </c>
      <c r="F40" s="37" t="s">
        <v>24</v>
      </c>
      <c r="G40" s="37" t="s">
        <v>25</v>
      </c>
      <c r="H40" s="37" t="s">
        <v>25</v>
      </c>
      <c r="I40" s="37" t="s">
        <v>25</v>
      </c>
      <c r="J40" s="37" t="s">
        <v>633</v>
      </c>
      <c r="K40" s="37" t="s">
        <v>632</v>
      </c>
      <c r="L40" s="37" t="s">
        <v>78</v>
      </c>
      <c r="M40" s="37">
        <v>2021</v>
      </c>
      <c r="N40" s="37">
        <v>0</v>
      </c>
      <c r="O40" s="37">
        <v>287.39</v>
      </c>
      <c r="P40" s="37"/>
    </row>
    <row r="41" spans="1:16" ht="11.25" customHeight="1" x14ac:dyDescent="0.3">
      <c r="A41" s="37">
        <v>90</v>
      </c>
      <c r="B41" s="37" t="s">
        <v>515</v>
      </c>
      <c r="C41" s="37" t="s">
        <v>22</v>
      </c>
      <c r="D41" s="37" t="s">
        <v>90</v>
      </c>
      <c r="E41" s="37" t="s">
        <v>24</v>
      </c>
      <c r="F41" s="37" t="s">
        <v>28</v>
      </c>
      <c r="G41" s="37" t="s">
        <v>25</v>
      </c>
      <c r="H41" s="37" t="s">
        <v>25</v>
      </c>
      <c r="I41" s="37" t="s">
        <v>25</v>
      </c>
      <c r="J41" s="37" t="s">
        <v>633</v>
      </c>
      <c r="K41" s="37" t="s">
        <v>632</v>
      </c>
      <c r="L41" s="37" t="s">
        <v>78</v>
      </c>
      <c r="M41" s="37">
        <v>2021</v>
      </c>
      <c r="N41" s="37">
        <v>0</v>
      </c>
      <c r="O41" s="37">
        <v>100.59</v>
      </c>
      <c r="P41" s="37"/>
    </row>
    <row r="42" spans="1:16" ht="11.25" customHeight="1" x14ac:dyDescent="0.3">
      <c r="A42" s="37">
        <v>91</v>
      </c>
      <c r="B42" s="37" t="s">
        <v>515</v>
      </c>
      <c r="C42" s="37" t="s">
        <v>22</v>
      </c>
      <c r="D42" s="37" t="s">
        <v>90</v>
      </c>
      <c r="E42" s="37" t="s">
        <v>24</v>
      </c>
      <c r="F42" s="37" t="s">
        <v>29</v>
      </c>
      <c r="G42" s="37" t="s">
        <v>25</v>
      </c>
      <c r="H42" s="37" t="s">
        <v>25</v>
      </c>
      <c r="I42" s="37" t="s">
        <v>25</v>
      </c>
      <c r="J42" s="37" t="s">
        <v>633</v>
      </c>
      <c r="K42" s="37" t="s">
        <v>632</v>
      </c>
      <c r="L42" s="37" t="s">
        <v>78</v>
      </c>
      <c r="M42" s="37">
        <v>2021</v>
      </c>
      <c r="N42" s="37">
        <v>0</v>
      </c>
      <c r="O42" s="37">
        <v>172.43</v>
      </c>
      <c r="P42" s="37"/>
    </row>
    <row r="43" spans="1:16" ht="11.25" customHeight="1" x14ac:dyDescent="0.3">
      <c r="A43" s="37">
        <v>3</v>
      </c>
      <c r="B43" s="37" t="s">
        <v>515</v>
      </c>
      <c r="C43" s="37" t="s">
        <v>22</v>
      </c>
      <c r="D43" s="37" t="s">
        <v>90</v>
      </c>
      <c r="E43" s="37" t="s">
        <v>24</v>
      </c>
      <c r="F43" s="37" t="s">
        <v>30</v>
      </c>
      <c r="G43" s="37" t="s">
        <v>25</v>
      </c>
      <c r="H43" s="37" t="s">
        <v>25</v>
      </c>
      <c r="I43" s="37" t="s">
        <v>25</v>
      </c>
      <c r="J43" s="37" t="s">
        <v>633</v>
      </c>
      <c r="K43" s="37" t="s">
        <v>632</v>
      </c>
      <c r="L43" s="37" t="s">
        <v>78</v>
      </c>
      <c r="M43" s="37">
        <v>2021</v>
      </c>
      <c r="N43" s="37">
        <v>0</v>
      </c>
      <c r="O43" s="37">
        <v>258.64999999999998</v>
      </c>
      <c r="P43" s="37"/>
    </row>
    <row r="44" spans="1:16" ht="11.25" customHeight="1" x14ac:dyDescent="0.3">
      <c r="A44" s="37">
        <v>4</v>
      </c>
      <c r="B44" s="37" t="s">
        <v>515</v>
      </c>
      <c r="C44" s="37" t="s">
        <v>22</v>
      </c>
      <c r="D44" s="37" t="s">
        <v>90</v>
      </c>
      <c r="E44" s="37" t="s">
        <v>24</v>
      </c>
      <c r="F44" s="37" t="s">
        <v>31</v>
      </c>
      <c r="G44" s="37" t="s">
        <v>25</v>
      </c>
      <c r="H44" s="37" t="s">
        <v>25</v>
      </c>
      <c r="I44" s="37" t="s">
        <v>25</v>
      </c>
      <c r="J44" s="37" t="s">
        <v>633</v>
      </c>
      <c r="K44" s="37" t="s">
        <v>632</v>
      </c>
      <c r="L44" s="37" t="s">
        <v>78</v>
      </c>
      <c r="M44" s="37">
        <v>2021</v>
      </c>
      <c r="N44" s="37">
        <v>0</v>
      </c>
      <c r="O44" s="37">
        <v>287.39</v>
      </c>
      <c r="P44" s="37"/>
    </row>
    <row r="45" spans="1:16" ht="11.25" customHeight="1" x14ac:dyDescent="0.3">
      <c r="A45" s="37">
        <v>7</v>
      </c>
      <c r="B45" s="37" t="s">
        <v>515</v>
      </c>
      <c r="C45" s="37" t="s">
        <v>22</v>
      </c>
      <c r="D45" s="37" t="s">
        <v>91</v>
      </c>
      <c r="E45" s="37" t="s">
        <v>24</v>
      </c>
      <c r="F45" s="37" t="s">
        <v>24</v>
      </c>
      <c r="G45" s="37" t="s">
        <v>25</v>
      </c>
      <c r="H45" s="37" t="s">
        <v>25</v>
      </c>
      <c r="I45" s="37" t="s">
        <v>25</v>
      </c>
      <c r="J45" s="37" t="s">
        <v>633</v>
      </c>
      <c r="K45" s="37" t="s">
        <v>632</v>
      </c>
      <c r="L45" s="37" t="s">
        <v>78</v>
      </c>
      <c r="M45" s="37">
        <v>2021</v>
      </c>
      <c r="N45" s="37">
        <v>0</v>
      </c>
      <c r="O45" s="37">
        <v>287.39</v>
      </c>
      <c r="P45" s="37"/>
    </row>
    <row r="46" spans="1:16" ht="11.25" customHeight="1" x14ac:dyDescent="0.3">
      <c r="A46" s="37">
        <v>8</v>
      </c>
      <c r="B46" s="37" t="s">
        <v>515</v>
      </c>
      <c r="C46" s="37" t="s">
        <v>22</v>
      </c>
      <c r="D46" s="37" t="s">
        <v>91</v>
      </c>
      <c r="E46" s="37" t="s">
        <v>24</v>
      </c>
      <c r="F46" s="37" t="s">
        <v>28</v>
      </c>
      <c r="G46" s="37" t="s">
        <v>25</v>
      </c>
      <c r="H46" s="37" t="s">
        <v>25</v>
      </c>
      <c r="I46" s="37" t="s">
        <v>25</v>
      </c>
      <c r="J46" s="37" t="s">
        <v>633</v>
      </c>
      <c r="K46" s="37" t="s">
        <v>632</v>
      </c>
      <c r="L46" s="37" t="s">
        <v>78</v>
      </c>
      <c r="M46" s="37">
        <v>2021</v>
      </c>
      <c r="N46" s="37">
        <v>0</v>
      </c>
      <c r="O46" s="37">
        <v>100.59</v>
      </c>
      <c r="P46" s="37"/>
    </row>
    <row r="47" spans="1:16" ht="11.25" customHeight="1" x14ac:dyDescent="0.3">
      <c r="A47" s="37">
        <v>11</v>
      </c>
      <c r="B47" s="37" t="s">
        <v>515</v>
      </c>
      <c r="C47" s="37" t="s">
        <v>22</v>
      </c>
      <c r="D47" s="37" t="s">
        <v>91</v>
      </c>
      <c r="E47" s="37" t="s">
        <v>24</v>
      </c>
      <c r="F47" s="37" t="s">
        <v>29</v>
      </c>
      <c r="G47" s="37" t="s">
        <v>25</v>
      </c>
      <c r="H47" s="37" t="s">
        <v>25</v>
      </c>
      <c r="I47" s="37" t="s">
        <v>25</v>
      </c>
      <c r="J47" s="37" t="s">
        <v>633</v>
      </c>
      <c r="K47" s="37" t="s">
        <v>632</v>
      </c>
      <c r="L47" s="37" t="s">
        <v>78</v>
      </c>
      <c r="M47" s="37">
        <v>2021</v>
      </c>
      <c r="N47" s="37">
        <v>0</v>
      </c>
      <c r="O47" s="37">
        <v>172.43</v>
      </c>
      <c r="P47" s="37"/>
    </row>
    <row r="48" spans="1:16" ht="11.25" customHeight="1" x14ac:dyDescent="0.3">
      <c r="A48" s="37">
        <v>12</v>
      </c>
      <c r="B48" s="37" t="s">
        <v>515</v>
      </c>
      <c r="C48" s="37" t="s">
        <v>22</v>
      </c>
      <c r="D48" s="37" t="s">
        <v>91</v>
      </c>
      <c r="E48" s="37" t="s">
        <v>24</v>
      </c>
      <c r="F48" s="37" t="s">
        <v>30</v>
      </c>
      <c r="G48" s="37" t="s">
        <v>25</v>
      </c>
      <c r="H48" s="37" t="s">
        <v>25</v>
      </c>
      <c r="I48" s="37" t="s">
        <v>25</v>
      </c>
      <c r="J48" s="37" t="s">
        <v>633</v>
      </c>
      <c r="K48" s="37" t="s">
        <v>632</v>
      </c>
      <c r="L48" s="37" t="s">
        <v>78</v>
      </c>
      <c r="M48" s="37">
        <v>2021</v>
      </c>
      <c r="N48" s="37">
        <v>0</v>
      </c>
      <c r="O48" s="37">
        <v>258.64999999999998</v>
      </c>
      <c r="P48" s="37"/>
    </row>
    <row r="49" spans="1:16" ht="11.25" customHeight="1" x14ac:dyDescent="0.3">
      <c r="A49" s="37">
        <v>15</v>
      </c>
      <c r="B49" s="37" t="s">
        <v>515</v>
      </c>
      <c r="C49" s="37" t="s">
        <v>22</v>
      </c>
      <c r="D49" s="37" t="s">
        <v>91</v>
      </c>
      <c r="E49" s="37" t="s">
        <v>24</v>
      </c>
      <c r="F49" s="37" t="s">
        <v>31</v>
      </c>
      <c r="G49" s="37" t="s">
        <v>25</v>
      </c>
      <c r="H49" s="37" t="s">
        <v>25</v>
      </c>
      <c r="I49" s="37" t="s">
        <v>25</v>
      </c>
      <c r="J49" s="37" t="s">
        <v>633</v>
      </c>
      <c r="K49" s="37" t="s">
        <v>632</v>
      </c>
      <c r="L49" s="37" t="s">
        <v>78</v>
      </c>
      <c r="M49" s="37">
        <v>2021</v>
      </c>
      <c r="N49" s="37">
        <v>0</v>
      </c>
      <c r="O49" s="37">
        <v>287.39</v>
      </c>
      <c r="P49" s="37"/>
    </row>
    <row r="50" spans="1:16" ht="11.25" customHeight="1" x14ac:dyDescent="0.3">
      <c r="A50" s="37">
        <v>16</v>
      </c>
      <c r="B50" s="37" t="s">
        <v>515</v>
      </c>
      <c r="C50" s="37" t="s">
        <v>41</v>
      </c>
      <c r="D50" s="37" t="s">
        <v>77</v>
      </c>
      <c r="E50" s="37" t="s">
        <v>42</v>
      </c>
      <c r="F50" s="37" t="s">
        <v>25</v>
      </c>
      <c r="G50" s="37" t="s">
        <v>25</v>
      </c>
      <c r="H50" s="37" t="s">
        <v>25</v>
      </c>
      <c r="I50" s="37" t="s">
        <v>36</v>
      </c>
      <c r="J50" s="37" t="s">
        <v>633</v>
      </c>
      <c r="K50" s="37" t="s">
        <v>632</v>
      </c>
      <c r="L50" s="37" t="s">
        <v>78</v>
      </c>
      <c r="M50" s="37">
        <v>2021</v>
      </c>
      <c r="N50" s="37">
        <v>0</v>
      </c>
      <c r="O50" s="37">
        <v>397.24</v>
      </c>
      <c r="P50" s="37"/>
    </row>
    <row r="51" spans="1:16" ht="11.25" customHeight="1" x14ac:dyDescent="0.3">
      <c r="A51" s="37">
        <v>19</v>
      </c>
      <c r="B51" s="37" t="s">
        <v>515</v>
      </c>
      <c r="C51" s="37" t="s">
        <v>41</v>
      </c>
      <c r="D51" s="37" t="s">
        <v>77</v>
      </c>
      <c r="E51" s="37" t="s">
        <v>42</v>
      </c>
      <c r="F51" s="37" t="s">
        <v>25</v>
      </c>
      <c r="G51" s="37" t="s">
        <v>25</v>
      </c>
      <c r="H51" s="37" t="s">
        <v>25</v>
      </c>
      <c r="I51" s="37" t="s">
        <v>39</v>
      </c>
      <c r="J51" s="37" t="s">
        <v>633</v>
      </c>
      <c r="K51" s="37" t="s">
        <v>632</v>
      </c>
      <c r="L51" s="37" t="s">
        <v>78</v>
      </c>
      <c r="M51" s="37">
        <v>2021</v>
      </c>
      <c r="N51" s="37">
        <v>0</v>
      </c>
      <c r="O51" s="37">
        <v>239.78</v>
      </c>
      <c r="P51" s="37"/>
    </row>
    <row r="52" spans="1:16" ht="11.25" customHeight="1" x14ac:dyDescent="0.3">
      <c r="A52" s="37">
        <v>20</v>
      </c>
      <c r="B52" s="37" t="s">
        <v>515</v>
      </c>
      <c r="C52" s="37" t="s">
        <v>41</v>
      </c>
      <c r="D52" s="37" t="s">
        <v>77</v>
      </c>
      <c r="E52" s="37" t="s">
        <v>42</v>
      </c>
      <c r="F52" s="37" t="s">
        <v>25</v>
      </c>
      <c r="G52" s="37" t="s">
        <v>25</v>
      </c>
      <c r="H52" s="37" t="s">
        <v>25</v>
      </c>
      <c r="I52" s="37" t="s">
        <v>37</v>
      </c>
      <c r="J52" s="37" t="s">
        <v>633</v>
      </c>
      <c r="K52" s="37" t="s">
        <v>632</v>
      </c>
      <c r="L52" s="37" t="s">
        <v>78</v>
      </c>
      <c r="M52" s="37">
        <v>2021</v>
      </c>
      <c r="N52" s="37">
        <v>0</v>
      </c>
      <c r="O52" s="37">
        <v>239.78</v>
      </c>
      <c r="P52" s="37"/>
    </row>
    <row r="53" spans="1:16" ht="11.25" customHeight="1" x14ac:dyDescent="0.3">
      <c r="A53" s="37">
        <v>23</v>
      </c>
      <c r="B53" s="37" t="s">
        <v>515</v>
      </c>
      <c r="C53" s="37" t="s">
        <v>41</v>
      </c>
      <c r="D53" s="37" t="s">
        <v>90</v>
      </c>
      <c r="E53" s="37" t="s">
        <v>42</v>
      </c>
      <c r="F53" s="37" t="s">
        <v>25</v>
      </c>
      <c r="G53" s="37" t="s">
        <v>25</v>
      </c>
      <c r="H53" s="37" t="s">
        <v>25</v>
      </c>
      <c r="I53" s="37" t="s">
        <v>25</v>
      </c>
      <c r="J53" s="37" t="s">
        <v>633</v>
      </c>
      <c r="K53" s="37" t="s">
        <v>632</v>
      </c>
      <c r="L53" s="37" t="s">
        <v>78</v>
      </c>
      <c r="M53" s="37">
        <v>2021</v>
      </c>
      <c r="N53" s="37">
        <v>0</v>
      </c>
      <c r="O53" s="37">
        <v>252.9</v>
      </c>
      <c r="P53" s="37"/>
    </row>
    <row r="54" spans="1:16" ht="11.25" customHeight="1" x14ac:dyDescent="0.3">
      <c r="A54" s="37">
        <v>24</v>
      </c>
      <c r="B54" s="37" t="s">
        <v>515</v>
      </c>
      <c r="C54" s="37" t="s">
        <v>41</v>
      </c>
      <c r="D54" s="37" t="s">
        <v>77</v>
      </c>
      <c r="E54" s="37" t="s">
        <v>42</v>
      </c>
      <c r="F54" s="37" t="s">
        <v>93</v>
      </c>
      <c r="G54" s="37" t="s">
        <v>25</v>
      </c>
      <c r="H54" s="37" t="s">
        <v>25</v>
      </c>
      <c r="I54" s="37" t="s">
        <v>36</v>
      </c>
      <c r="J54" s="37" t="s">
        <v>633</v>
      </c>
      <c r="K54" s="37" t="s">
        <v>632</v>
      </c>
      <c r="L54" s="37" t="s">
        <v>78</v>
      </c>
      <c r="M54" s="37">
        <v>2021</v>
      </c>
      <c r="N54" s="37">
        <v>0</v>
      </c>
      <c r="O54" s="37">
        <v>397.24</v>
      </c>
      <c r="P54" s="37"/>
    </row>
    <row r="55" spans="1:16" ht="11.25" customHeight="1" x14ac:dyDescent="0.3">
      <c r="A55" s="37">
        <v>27</v>
      </c>
      <c r="B55" s="37" t="s">
        <v>515</v>
      </c>
      <c r="C55" s="37" t="s">
        <v>41</v>
      </c>
      <c r="D55" s="37" t="s">
        <v>77</v>
      </c>
      <c r="E55" s="37" t="s">
        <v>42</v>
      </c>
      <c r="F55" s="37" t="s">
        <v>93</v>
      </c>
      <c r="G55" s="37" t="s">
        <v>25</v>
      </c>
      <c r="H55" s="37" t="s">
        <v>25</v>
      </c>
      <c r="I55" s="37" t="s">
        <v>39</v>
      </c>
      <c r="J55" s="37" t="s">
        <v>633</v>
      </c>
      <c r="K55" s="37" t="s">
        <v>632</v>
      </c>
      <c r="L55" s="37" t="s">
        <v>78</v>
      </c>
      <c r="M55" s="37">
        <v>2021</v>
      </c>
      <c r="N55" s="37">
        <v>0</v>
      </c>
      <c r="O55" s="37">
        <v>239.78</v>
      </c>
      <c r="P55" s="37"/>
    </row>
    <row r="56" spans="1:16" ht="11.25" customHeight="1" x14ac:dyDescent="0.3">
      <c r="A56" s="37">
        <v>28</v>
      </c>
      <c r="B56" s="37" t="s">
        <v>515</v>
      </c>
      <c r="C56" s="37" t="s">
        <v>41</v>
      </c>
      <c r="D56" s="37" t="s">
        <v>77</v>
      </c>
      <c r="E56" s="37" t="s">
        <v>42</v>
      </c>
      <c r="F56" s="37" t="s">
        <v>93</v>
      </c>
      <c r="G56" s="37" t="s">
        <v>25</v>
      </c>
      <c r="H56" s="37" t="s">
        <v>25</v>
      </c>
      <c r="I56" s="37" t="s">
        <v>37</v>
      </c>
      <c r="J56" s="37" t="s">
        <v>633</v>
      </c>
      <c r="K56" s="37" t="s">
        <v>632</v>
      </c>
      <c r="L56" s="37" t="s">
        <v>78</v>
      </c>
      <c r="M56" s="37">
        <v>2021</v>
      </c>
      <c r="N56" s="37">
        <v>0</v>
      </c>
      <c r="O56" s="37">
        <v>239.78</v>
      </c>
      <c r="P56" s="37"/>
    </row>
    <row r="57" spans="1:16" ht="11.25" customHeight="1" x14ac:dyDescent="0.3">
      <c r="A57" s="37">
        <v>31</v>
      </c>
      <c r="B57" s="37" t="s">
        <v>515</v>
      </c>
      <c r="C57" s="37" t="s">
        <v>41</v>
      </c>
      <c r="D57" s="37" t="s">
        <v>90</v>
      </c>
      <c r="E57" s="37" t="s">
        <v>42</v>
      </c>
      <c r="F57" s="37" t="s">
        <v>93</v>
      </c>
      <c r="G57" s="37" t="s">
        <v>25</v>
      </c>
      <c r="H57" s="37" t="s">
        <v>25</v>
      </c>
      <c r="I57" s="37" t="s">
        <v>25</v>
      </c>
      <c r="J57" s="37" t="s">
        <v>633</v>
      </c>
      <c r="K57" s="37" t="s">
        <v>632</v>
      </c>
      <c r="L57" s="37" t="s">
        <v>78</v>
      </c>
      <c r="M57" s="37">
        <v>2021</v>
      </c>
      <c r="N57" s="37">
        <v>0</v>
      </c>
      <c r="O57" s="37">
        <v>252.9</v>
      </c>
      <c r="P57" s="37"/>
    </row>
    <row r="58" spans="1:16" ht="11.25" customHeight="1" x14ac:dyDescent="0.3">
      <c r="A58" s="37">
        <v>32</v>
      </c>
      <c r="B58" s="37" t="s">
        <v>515</v>
      </c>
      <c r="C58" s="37" t="s">
        <v>41</v>
      </c>
      <c r="D58" s="37" t="s">
        <v>77</v>
      </c>
      <c r="E58" s="37" t="s">
        <v>42</v>
      </c>
      <c r="F58" s="37" t="s">
        <v>94</v>
      </c>
      <c r="G58" s="37" t="s">
        <v>25</v>
      </c>
      <c r="H58" s="37" t="s">
        <v>25</v>
      </c>
      <c r="I58" s="37" t="s">
        <v>36</v>
      </c>
      <c r="J58" s="37" t="s">
        <v>633</v>
      </c>
      <c r="K58" s="37" t="s">
        <v>632</v>
      </c>
      <c r="L58" s="37" t="s">
        <v>78</v>
      </c>
      <c r="M58" s="37">
        <v>2021</v>
      </c>
      <c r="N58" s="37">
        <v>0</v>
      </c>
      <c r="O58" s="37">
        <v>379.18</v>
      </c>
      <c r="P58" s="37"/>
    </row>
    <row r="59" spans="1:16" ht="11.25" customHeight="1" x14ac:dyDescent="0.3">
      <c r="A59" s="37">
        <v>35</v>
      </c>
      <c r="B59" s="37" t="s">
        <v>515</v>
      </c>
      <c r="C59" s="37" t="s">
        <v>41</v>
      </c>
      <c r="D59" s="37" t="s">
        <v>77</v>
      </c>
      <c r="E59" s="37" t="s">
        <v>42</v>
      </c>
      <c r="F59" s="37" t="s">
        <v>94</v>
      </c>
      <c r="G59" s="37" t="s">
        <v>25</v>
      </c>
      <c r="H59" s="37" t="s">
        <v>25</v>
      </c>
      <c r="I59" s="37" t="s">
        <v>39</v>
      </c>
      <c r="J59" s="37" t="s">
        <v>633</v>
      </c>
      <c r="K59" s="37" t="s">
        <v>632</v>
      </c>
      <c r="L59" s="37" t="s">
        <v>78</v>
      </c>
      <c r="M59" s="37">
        <v>2021</v>
      </c>
      <c r="N59" s="37">
        <v>0</v>
      </c>
      <c r="O59" s="37">
        <v>228.88</v>
      </c>
      <c r="P59" s="37"/>
    </row>
    <row r="60" spans="1:16" ht="11.25" customHeight="1" x14ac:dyDescent="0.3">
      <c r="A60" s="37">
        <v>36</v>
      </c>
      <c r="B60" s="37" t="s">
        <v>515</v>
      </c>
      <c r="C60" s="37" t="s">
        <v>41</v>
      </c>
      <c r="D60" s="37" t="s">
        <v>77</v>
      </c>
      <c r="E60" s="37" t="s">
        <v>42</v>
      </c>
      <c r="F60" s="37" t="s">
        <v>94</v>
      </c>
      <c r="G60" s="37" t="s">
        <v>25</v>
      </c>
      <c r="H60" s="37" t="s">
        <v>25</v>
      </c>
      <c r="I60" s="37" t="s">
        <v>37</v>
      </c>
      <c r="J60" s="37" t="s">
        <v>633</v>
      </c>
      <c r="K60" s="37" t="s">
        <v>632</v>
      </c>
      <c r="L60" s="37" t="s">
        <v>78</v>
      </c>
      <c r="M60" s="37">
        <v>2021</v>
      </c>
      <c r="N60" s="37">
        <v>0</v>
      </c>
      <c r="O60" s="37">
        <v>228.88</v>
      </c>
      <c r="P60" s="37"/>
    </row>
    <row r="61" spans="1:16" ht="11.25" customHeight="1" x14ac:dyDescent="0.3">
      <c r="A61" s="37">
        <v>39</v>
      </c>
      <c r="B61" s="37" t="s">
        <v>515</v>
      </c>
      <c r="C61" s="37" t="s">
        <v>41</v>
      </c>
      <c r="D61" s="37" t="s">
        <v>90</v>
      </c>
      <c r="E61" s="37" t="s">
        <v>42</v>
      </c>
      <c r="F61" s="37" t="s">
        <v>94</v>
      </c>
      <c r="G61" s="37" t="s">
        <v>25</v>
      </c>
      <c r="H61" s="37" t="s">
        <v>25</v>
      </c>
      <c r="I61" s="37" t="s">
        <v>25</v>
      </c>
      <c r="J61" s="37" t="s">
        <v>633</v>
      </c>
      <c r="K61" s="37" t="s">
        <v>632</v>
      </c>
      <c r="L61" s="37" t="s">
        <v>78</v>
      </c>
      <c r="M61" s="37">
        <v>2021</v>
      </c>
      <c r="N61" s="37">
        <v>0</v>
      </c>
      <c r="O61" s="37">
        <v>241.41</v>
      </c>
      <c r="P61" s="37"/>
    </row>
    <row r="62" spans="1:16" ht="11.25" customHeight="1" x14ac:dyDescent="0.3">
      <c r="A62" s="37">
        <v>40</v>
      </c>
      <c r="B62" s="37" t="s">
        <v>515</v>
      </c>
      <c r="C62" s="37" t="s">
        <v>41</v>
      </c>
      <c r="D62" s="37" t="s">
        <v>91</v>
      </c>
      <c r="E62" s="37" t="s">
        <v>42</v>
      </c>
      <c r="F62" s="37" t="s">
        <v>25</v>
      </c>
      <c r="G62" s="37" t="s">
        <v>25</v>
      </c>
      <c r="H62" s="37" t="s">
        <v>25</v>
      </c>
      <c r="I62" s="37" t="s">
        <v>25</v>
      </c>
      <c r="J62" s="37" t="s">
        <v>633</v>
      </c>
      <c r="K62" s="37" t="s">
        <v>632</v>
      </c>
      <c r="L62" s="37" t="s">
        <v>78</v>
      </c>
      <c r="M62" s="37">
        <v>2021</v>
      </c>
      <c r="N62" s="37">
        <v>0</v>
      </c>
      <c r="O62" s="37">
        <v>252.9</v>
      </c>
      <c r="P62" s="37"/>
    </row>
    <row r="63" spans="1:16" ht="11.25" customHeight="1" x14ac:dyDescent="0.3">
      <c r="A63" s="37">
        <v>43</v>
      </c>
      <c r="B63" s="37" t="s">
        <v>515</v>
      </c>
      <c r="C63" s="37" t="s">
        <v>41</v>
      </c>
      <c r="D63" s="37" t="s">
        <v>91</v>
      </c>
      <c r="E63" s="37" t="s">
        <v>42</v>
      </c>
      <c r="F63" s="37" t="s">
        <v>93</v>
      </c>
      <c r="G63" s="37" t="s">
        <v>25</v>
      </c>
      <c r="H63" s="37" t="s">
        <v>25</v>
      </c>
      <c r="I63" s="37" t="s">
        <v>25</v>
      </c>
      <c r="J63" s="37" t="s">
        <v>633</v>
      </c>
      <c r="K63" s="37" t="s">
        <v>632</v>
      </c>
      <c r="L63" s="37" t="s">
        <v>78</v>
      </c>
      <c r="M63" s="37">
        <v>2021</v>
      </c>
      <c r="N63" s="37">
        <v>0</v>
      </c>
      <c r="O63" s="37">
        <v>252.9</v>
      </c>
      <c r="P63" s="37"/>
    </row>
    <row r="64" spans="1:16" ht="11.25" customHeight="1" x14ac:dyDescent="0.3">
      <c r="A64" s="37">
        <v>44</v>
      </c>
      <c r="B64" s="37" t="s">
        <v>515</v>
      </c>
      <c r="C64" s="37" t="s">
        <v>41</v>
      </c>
      <c r="D64" s="37" t="s">
        <v>91</v>
      </c>
      <c r="E64" s="37" t="s">
        <v>42</v>
      </c>
      <c r="F64" s="37" t="s">
        <v>94</v>
      </c>
      <c r="G64" s="37" t="s">
        <v>25</v>
      </c>
      <c r="H64" s="37" t="s">
        <v>25</v>
      </c>
      <c r="I64" s="37" t="s">
        <v>25</v>
      </c>
      <c r="J64" s="37" t="s">
        <v>633</v>
      </c>
      <c r="K64" s="37" t="s">
        <v>632</v>
      </c>
      <c r="L64" s="37" t="s">
        <v>78</v>
      </c>
      <c r="M64" s="37">
        <v>2021</v>
      </c>
      <c r="N64" s="37">
        <v>0</v>
      </c>
      <c r="O64" s="37">
        <v>241.41</v>
      </c>
      <c r="P64" s="37"/>
    </row>
    <row r="65" spans="1:16" ht="11.25" customHeight="1" x14ac:dyDescent="0.3">
      <c r="A65" s="37">
        <v>47</v>
      </c>
      <c r="B65" s="37" t="s">
        <v>515</v>
      </c>
      <c r="C65" s="37" t="s">
        <v>32</v>
      </c>
      <c r="D65" s="37" t="s">
        <v>77</v>
      </c>
      <c r="E65" s="37" t="s">
        <v>25</v>
      </c>
      <c r="F65" s="37" t="s">
        <v>25</v>
      </c>
      <c r="G65" s="37" t="s">
        <v>25</v>
      </c>
      <c r="H65" s="37" t="s">
        <v>25</v>
      </c>
      <c r="I65" s="37" t="s">
        <v>36</v>
      </c>
      <c r="J65" s="37" t="s">
        <v>633</v>
      </c>
      <c r="K65" s="37" t="s">
        <v>632</v>
      </c>
      <c r="L65" s="37" t="s">
        <v>78</v>
      </c>
      <c r="M65" s="37">
        <v>2021</v>
      </c>
      <c r="N65" s="37">
        <v>0</v>
      </c>
      <c r="O65" s="37">
        <v>451.4</v>
      </c>
      <c r="P65" s="37"/>
    </row>
    <row r="66" spans="1:16" ht="11.25" customHeight="1" x14ac:dyDescent="0.3">
      <c r="A66" s="37">
        <v>48</v>
      </c>
      <c r="B66" s="37" t="s">
        <v>515</v>
      </c>
      <c r="C66" s="37" t="s">
        <v>32</v>
      </c>
      <c r="D66" s="37" t="s">
        <v>77</v>
      </c>
      <c r="E66" s="37" t="s">
        <v>25</v>
      </c>
      <c r="F66" s="37" t="s">
        <v>25</v>
      </c>
      <c r="G66" s="37" t="s">
        <v>25</v>
      </c>
      <c r="H66" s="37" t="s">
        <v>25</v>
      </c>
      <c r="I66" s="37" t="s">
        <v>39</v>
      </c>
      <c r="J66" s="37" t="s">
        <v>633</v>
      </c>
      <c r="K66" s="37" t="s">
        <v>632</v>
      </c>
      <c r="L66" s="37" t="s">
        <v>78</v>
      </c>
      <c r="M66" s="37">
        <v>2021</v>
      </c>
      <c r="N66" s="37">
        <v>0</v>
      </c>
      <c r="O66" s="37">
        <v>272.48</v>
      </c>
      <c r="P66" s="37"/>
    </row>
    <row r="67" spans="1:16" ht="11.25" customHeight="1" x14ac:dyDescent="0.3">
      <c r="A67" s="37">
        <v>51</v>
      </c>
      <c r="B67" s="37" t="s">
        <v>515</v>
      </c>
      <c r="C67" s="37" t="s">
        <v>32</v>
      </c>
      <c r="D67" s="37" t="s">
        <v>77</v>
      </c>
      <c r="E67" s="37" t="s">
        <v>25</v>
      </c>
      <c r="F67" s="37" t="s">
        <v>25</v>
      </c>
      <c r="G67" s="37" t="s">
        <v>25</v>
      </c>
      <c r="H67" s="37" t="s">
        <v>25</v>
      </c>
      <c r="I67" s="37" t="s">
        <v>37</v>
      </c>
      <c r="J67" s="37" t="s">
        <v>633</v>
      </c>
      <c r="K67" s="37" t="s">
        <v>632</v>
      </c>
      <c r="L67" s="37" t="s">
        <v>78</v>
      </c>
      <c r="M67" s="37">
        <v>2021</v>
      </c>
      <c r="N67" s="37">
        <v>0</v>
      </c>
      <c r="O67" s="37">
        <v>272.48</v>
      </c>
      <c r="P67" s="37"/>
    </row>
    <row r="68" spans="1:16" ht="11.25" customHeight="1" x14ac:dyDescent="0.3">
      <c r="A68" s="37">
        <v>52</v>
      </c>
      <c r="B68" s="37" t="s">
        <v>515</v>
      </c>
      <c r="C68" s="37" t="s">
        <v>32</v>
      </c>
      <c r="D68" s="37" t="s">
        <v>90</v>
      </c>
      <c r="E68" s="37" t="s">
        <v>25</v>
      </c>
      <c r="F68" s="37" t="s">
        <v>25</v>
      </c>
      <c r="G68" s="37" t="s">
        <v>25</v>
      </c>
      <c r="H68" s="37" t="s">
        <v>25</v>
      </c>
      <c r="I68" s="37" t="s">
        <v>25</v>
      </c>
      <c r="J68" s="37" t="s">
        <v>633</v>
      </c>
      <c r="K68" s="37" t="s">
        <v>632</v>
      </c>
      <c r="L68" s="37" t="s">
        <v>78</v>
      </c>
      <c r="M68" s="37">
        <v>2021</v>
      </c>
      <c r="N68" s="37">
        <v>0</v>
      </c>
      <c r="O68" s="37">
        <v>287.39</v>
      </c>
      <c r="P68" s="37"/>
    </row>
    <row r="69" spans="1:16" ht="11.25" customHeight="1" x14ac:dyDescent="0.3">
      <c r="A69" s="37">
        <v>55</v>
      </c>
      <c r="B69" s="37" t="s">
        <v>515</v>
      </c>
      <c r="C69" s="37" t="s">
        <v>32</v>
      </c>
      <c r="D69" s="37" t="s">
        <v>91</v>
      </c>
      <c r="E69" s="37" t="s">
        <v>25</v>
      </c>
      <c r="F69" s="37" t="s">
        <v>25</v>
      </c>
      <c r="G69" s="37" t="s">
        <v>25</v>
      </c>
      <c r="H69" s="37" t="s">
        <v>25</v>
      </c>
      <c r="I69" s="37" t="s">
        <v>25</v>
      </c>
      <c r="J69" s="37" t="s">
        <v>633</v>
      </c>
      <c r="K69" s="37" t="s">
        <v>632</v>
      </c>
      <c r="L69" s="37" t="s">
        <v>78</v>
      </c>
      <c r="M69" s="37">
        <v>2021</v>
      </c>
      <c r="N69" s="37">
        <v>0</v>
      </c>
      <c r="O69" s="37">
        <v>287.39</v>
      </c>
      <c r="P69" s="37"/>
    </row>
    <row r="70" spans="1:16" ht="11.25" customHeight="1" x14ac:dyDescent="0.3">
      <c r="A70" s="37">
        <v>57</v>
      </c>
      <c r="B70" s="37" t="s">
        <v>515</v>
      </c>
      <c r="C70" s="37" t="s">
        <v>44</v>
      </c>
      <c r="D70" s="37" t="s">
        <v>90</v>
      </c>
      <c r="E70" s="37" t="s">
        <v>45</v>
      </c>
      <c r="F70" s="37" t="s">
        <v>46</v>
      </c>
      <c r="G70" s="37" t="s">
        <v>25</v>
      </c>
      <c r="H70" s="37" t="s">
        <v>25</v>
      </c>
      <c r="I70" s="37" t="s">
        <v>25</v>
      </c>
      <c r="J70" s="37" t="s">
        <v>633</v>
      </c>
      <c r="K70" s="37" t="s">
        <v>632</v>
      </c>
      <c r="L70" s="37" t="s">
        <v>78</v>
      </c>
      <c r="M70" s="37">
        <v>2021</v>
      </c>
      <c r="N70" s="37">
        <v>0</v>
      </c>
      <c r="O70" s="37">
        <v>158.06</v>
      </c>
      <c r="P70" s="37"/>
    </row>
    <row r="71" spans="1:16" ht="11.25" customHeight="1" x14ac:dyDescent="0.3">
      <c r="A71" s="37">
        <v>59</v>
      </c>
      <c r="B71" s="37" t="s">
        <v>515</v>
      </c>
      <c r="C71" s="37" t="s">
        <v>44</v>
      </c>
      <c r="D71" s="37" t="s">
        <v>90</v>
      </c>
      <c r="E71" s="37" t="s">
        <v>45</v>
      </c>
      <c r="F71" s="37" t="s">
        <v>95</v>
      </c>
      <c r="G71" s="37" t="s">
        <v>25</v>
      </c>
      <c r="H71" s="37" t="s">
        <v>25</v>
      </c>
      <c r="I71" s="37" t="s">
        <v>25</v>
      </c>
      <c r="J71" s="37" t="s">
        <v>633</v>
      </c>
      <c r="K71" s="37" t="s">
        <v>632</v>
      </c>
      <c r="L71" s="37" t="s">
        <v>78</v>
      </c>
      <c r="M71" s="37">
        <v>2021</v>
      </c>
      <c r="N71" s="37">
        <v>0</v>
      </c>
      <c r="O71" s="37">
        <v>172.43</v>
      </c>
      <c r="P71" s="37"/>
    </row>
  </sheetData>
  <autoFilter ref="A1:AX71" xr:uid="{3F098991-80AB-4D84-9742-F8FFB599E54C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D098A-E15A-4A65-A85D-322B1E01E44C}">
  <dimension ref="A1:W604"/>
  <sheetViews>
    <sheetView showGridLines="0" topLeftCell="I571" workbookViewId="0">
      <selection activeCell="T605" sqref="T605"/>
    </sheetView>
  </sheetViews>
  <sheetFormatPr defaultRowHeight="11.25" customHeight="1" x14ac:dyDescent="0.3"/>
  <cols>
    <col min="1" max="1" width="18" style="4" bestFit="1" customWidth="1"/>
    <col min="2" max="2" width="7.6640625" style="4" bestFit="1" customWidth="1"/>
    <col min="3" max="3" width="9.21875" style="4" bestFit="1" customWidth="1"/>
    <col min="4" max="4" width="12.6640625" style="4" bestFit="1" customWidth="1"/>
    <col min="5" max="5" width="23.109375" style="4" bestFit="1" customWidth="1"/>
    <col min="6" max="6" width="12.88671875" style="4" bestFit="1" customWidth="1"/>
    <col min="7" max="7" width="13.21875" style="4" bestFit="1" customWidth="1"/>
    <col min="8" max="8" width="9.5546875" style="4" bestFit="1" customWidth="1"/>
    <col min="9" max="9" width="7.88671875" style="5" bestFit="1" customWidth="1"/>
    <col min="10" max="10" width="7.109375" style="6" bestFit="1" customWidth="1"/>
    <col min="11" max="12" width="6.33203125" style="6" bestFit="1" customWidth="1"/>
    <col min="13" max="13" width="7.6640625" style="6" bestFit="1" customWidth="1"/>
    <col min="14" max="16" width="6.33203125" style="6" bestFit="1" customWidth="1"/>
    <col min="17" max="18" width="8" style="4" bestFit="1" customWidth="1"/>
    <col min="19" max="19" width="72.33203125" style="4" bestFit="1" customWidth="1"/>
    <col min="20" max="20" width="77.5546875" style="4" bestFit="1" customWidth="1"/>
    <col min="21" max="21" width="17.44140625" style="4" bestFit="1" customWidth="1"/>
    <col min="22" max="22" width="18.77734375" style="4" bestFit="1" customWidth="1"/>
    <col min="23" max="23" width="16.5546875" style="4" bestFit="1" customWidth="1"/>
    <col min="24" max="16384" width="8.88671875" style="4"/>
  </cols>
  <sheetData>
    <row r="1" spans="1:23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96</v>
      </c>
      <c r="T1" s="1" t="s">
        <v>325</v>
      </c>
      <c r="U1" s="1" t="s">
        <v>18</v>
      </c>
      <c r="V1" s="1" t="s">
        <v>19</v>
      </c>
      <c r="W1" s="1" t="s">
        <v>20</v>
      </c>
    </row>
    <row r="2" spans="1:23" ht="11.25" customHeight="1" x14ac:dyDescent="0.3">
      <c r="A2" s="4" t="s">
        <v>21</v>
      </c>
      <c r="B2" s="4" t="s">
        <v>61</v>
      </c>
      <c r="C2" s="4" t="s">
        <v>54</v>
      </c>
      <c r="D2" s="4" t="s">
        <v>33</v>
      </c>
      <c r="E2" s="4" t="s">
        <v>25</v>
      </c>
      <c r="F2" s="4" t="s">
        <v>55</v>
      </c>
      <c r="G2" s="4" t="s">
        <v>25</v>
      </c>
      <c r="H2" s="4" t="s">
        <v>37</v>
      </c>
      <c r="I2" s="5">
        <v>44652</v>
      </c>
      <c r="J2" s="6">
        <v>3469.2</v>
      </c>
      <c r="K2" s="6">
        <v>1735.4571699359999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56</v>
      </c>
      <c r="R2" s="4">
        <v>0</v>
      </c>
      <c r="S2" s="4" t="s">
        <v>97</v>
      </c>
      <c r="U2" s="4">
        <v>3</v>
      </c>
      <c r="V2" s="4">
        <v>0</v>
      </c>
      <c r="W2" s="4">
        <v>0</v>
      </c>
    </row>
    <row r="3" spans="1:23" ht="11.25" customHeight="1" x14ac:dyDescent="0.3">
      <c r="A3" s="4" t="s">
        <v>21</v>
      </c>
      <c r="B3" s="4" t="s">
        <v>61</v>
      </c>
      <c r="C3" s="4" t="s">
        <v>54</v>
      </c>
      <c r="D3" s="4" t="s">
        <v>33</v>
      </c>
      <c r="E3" s="4" t="s">
        <v>25</v>
      </c>
      <c r="F3" s="4" t="s">
        <v>55</v>
      </c>
      <c r="G3" s="4" t="s">
        <v>25</v>
      </c>
      <c r="H3" s="4" t="s">
        <v>37</v>
      </c>
      <c r="I3" s="5">
        <v>44682</v>
      </c>
      <c r="J3" s="6">
        <v>3738</v>
      </c>
      <c r="K3" s="6">
        <v>1869.74565624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56</v>
      </c>
      <c r="R3" s="4">
        <v>0</v>
      </c>
      <c r="S3" s="4" t="s">
        <v>98</v>
      </c>
      <c r="U3" s="4">
        <v>3</v>
      </c>
      <c r="V3" s="4">
        <v>0</v>
      </c>
      <c r="W3" s="4">
        <v>0</v>
      </c>
    </row>
    <row r="4" spans="1:23" ht="11.25" customHeight="1" x14ac:dyDescent="0.3">
      <c r="A4" s="4" t="s">
        <v>21</v>
      </c>
      <c r="B4" s="4" t="s">
        <v>61</v>
      </c>
      <c r="C4" s="4" t="s">
        <v>54</v>
      </c>
      <c r="D4" s="4" t="s">
        <v>33</v>
      </c>
      <c r="E4" s="4" t="s">
        <v>25</v>
      </c>
      <c r="F4" s="4" t="s">
        <v>55</v>
      </c>
      <c r="G4" s="4" t="s">
        <v>25</v>
      </c>
      <c r="H4" s="4" t="s">
        <v>37</v>
      </c>
      <c r="I4" s="5">
        <v>44713</v>
      </c>
      <c r="J4" s="6">
        <v>3763.2</v>
      </c>
      <c r="K4" s="6">
        <v>1900.6458562559999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56</v>
      </c>
      <c r="R4" s="4">
        <v>0</v>
      </c>
      <c r="S4" s="4" t="s">
        <v>99</v>
      </c>
      <c r="U4" s="4">
        <v>3</v>
      </c>
      <c r="V4" s="4">
        <v>0</v>
      </c>
      <c r="W4" s="4">
        <v>0</v>
      </c>
    </row>
    <row r="5" spans="1:23" ht="11.25" customHeight="1" x14ac:dyDescent="0.3">
      <c r="A5" s="4" t="s">
        <v>21</v>
      </c>
      <c r="B5" s="4" t="s">
        <v>61</v>
      </c>
      <c r="C5" s="4" t="s">
        <v>54</v>
      </c>
      <c r="D5" s="4" t="s">
        <v>33</v>
      </c>
      <c r="E5" s="4" t="s">
        <v>25</v>
      </c>
      <c r="F5" s="4" t="s">
        <v>55</v>
      </c>
      <c r="G5" s="4" t="s">
        <v>25</v>
      </c>
      <c r="H5" s="4" t="s">
        <v>37</v>
      </c>
      <c r="I5" s="5">
        <v>44743</v>
      </c>
      <c r="J5" s="6">
        <v>4100</v>
      </c>
      <c r="K5" s="6">
        <v>2087.3986829999999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56</v>
      </c>
      <c r="R5" s="4">
        <v>0</v>
      </c>
      <c r="S5" s="4" t="s">
        <v>100</v>
      </c>
      <c r="U5" s="4">
        <v>3</v>
      </c>
      <c r="V5" s="4">
        <v>0</v>
      </c>
      <c r="W5" s="4">
        <v>0</v>
      </c>
    </row>
    <row r="6" spans="1:23" ht="11.25" customHeight="1" x14ac:dyDescent="0.3">
      <c r="A6" s="4" t="s">
        <v>21</v>
      </c>
      <c r="B6" s="4" t="s">
        <v>61</v>
      </c>
      <c r="C6" s="4" t="s">
        <v>54</v>
      </c>
      <c r="D6" s="4" t="s">
        <v>33</v>
      </c>
      <c r="E6" s="4" t="s">
        <v>25</v>
      </c>
      <c r="F6" s="4" t="s">
        <v>55</v>
      </c>
      <c r="G6" s="4" t="s">
        <v>25</v>
      </c>
      <c r="H6" s="4" t="s">
        <v>25</v>
      </c>
      <c r="I6" s="5">
        <v>44652</v>
      </c>
      <c r="J6" s="6">
        <v>0</v>
      </c>
      <c r="K6" s="6">
        <v>0</v>
      </c>
      <c r="L6" s="6">
        <v>1349.6216999999999</v>
      </c>
      <c r="M6" s="6">
        <v>1349.6216999999999</v>
      </c>
      <c r="N6" s="6">
        <v>0</v>
      </c>
      <c r="O6" s="6">
        <v>0</v>
      </c>
      <c r="P6" s="6">
        <v>1</v>
      </c>
      <c r="Q6" s="4" t="s">
        <v>56</v>
      </c>
      <c r="R6" s="4">
        <v>0</v>
      </c>
      <c r="S6" s="4" t="s">
        <v>101</v>
      </c>
      <c r="U6" s="4">
        <v>0</v>
      </c>
      <c r="V6" s="4">
        <v>5</v>
      </c>
      <c r="W6" s="4">
        <v>0</v>
      </c>
    </row>
    <row r="7" spans="1:23" ht="11.25" customHeight="1" x14ac:dyDescent="0.3">
      <c r="A7" s="4" t="s">
        <v>21</v>
      </c>
      <c r="B7" s="4" t="s">
        <v>61</v>
      </c>
      <c r="C7" s="4" t="s">
        <v>54</v>
      </c>
      <c r="D7" s="4" t="s">
        <v>33</v>
      </c>
      <c r="E7" s="4" t="s">
        <v>25</v>
      </c>
      <c r="F7" s="4" t="s">
        <v>55</v>
      </c>
      <c r="G7" s="4" t="s">
        <v>25</v>
      </c>
      <c r="H7" s="4" t="s">
        <v>25</v>
      </c>
      <c r="I7" s="5">
        <v>44682</v>
      </c>
      <c r="J7" s="6">
        <v>0</v>
      </c>
      <c r="K7" s="6">
        <v>0</v>
      </c>
      <c r="L7" s="6">
        <v>2026.143</v>
      </c>
      <c r="M7" s="6">
        <v>2026.143</v>
      </c>
      <c r="N7" s="6">
        <v>0</v>
      </c>
      <c r="O7" s="6">
        <v>0</v>
      </c>
      <c r="P7" s="6">
        <v>1</v>
      </c>
      <c r="Q7" s="4" t="s">
        <v>56</v>
      </c>
      <c r="R7" s="4">
        <v>0</v>
      </c>
      <c r="S7" s="4" t="s">
        <v>102</v>
      </c>
      <c r="U7" s="4">
        <v>0</v>
      </c>
      <c r="V7" s="4">
        <v>5</v>
      </c>
      <c r="W7" s="4">
        <v>0</v>
      </c>
    </row>
    <row r="8" spans="1:23" ht="11.25" customHeight="1" x14ac:dyDescent="0.3">
      <c r="A8" s="4" t="s">
        <v>21</v>
      </c>
      <c r="B8" s="4" t="s">
        <v>61</v>
      </c>
      <c r="C8" s="4" t="s">
        <v>54</v>
      </c>
      <c r="D8" s="4" t="s">
        <v>33</v>
      </c>
      <c r="E8" s="4" t="s">
        <v>25</v>
      </c>
      <c r="F8" s="4" t="s">
        <v>55</v>
      </c>
      <c r="G8" s="4" t="s">
        <v>25</v>
      </c>
      <c r="H8" s="4" t="s">
        <v>25</v>
      </c>
      <c r="I8" s="5">
        <v>44713</v>
      </c>
      <c r="J8" s="6">
        <v>0</v>
      </c>
      <c r="K8" s="6">
        <v>0</v>
      </c>
      <c r="L8" s="6">
        <v>2090.6046000000001</v>
      </c>
      <c r="M8" s="6">
        <v>2090.6046000000001</v>
      </c>
      <c r="N8" s="6">
        <v>0</v>
      </c>
      <c r="O8" s="6">
        <v>0</v>
      </c>
      <c r="P8" s="6">
        <v>1</v>
      </c>
      <c r="Q8" s="4" t="s">
        <v>56</v>
      </c>
      <c r="R8" s="4">
        <v>0</v>
      </c>
      <c r="S8" s="4" t="s">
        <v>103</v>
      </c>
      <c r="U8" s="4">
        <v>0</v>
      </c>
      <c r="V8" s="4">
        <v>5</v>
      </c>
      <c r="W8" s="4">
        <v>0</v>
      </c>
    </row>
    <row r="9" spans="1:23" ht="11.25" customHeight="1" x14ac:dyDescent="0.3">
      <c r="A9" s="4" t="s">
        <v>21</v>
      </c>
      <c r="B9" s="4" t="s">
        <v>61</v>
      </c>
      <c r="C9" s="4" t="s">
        <v>54</v>
      </c>
      <c r="D9" s="4" t="s">
        <v>33</v>
      </c>
      <c r="E9" s="4" t="s">
        <v>25</v>
      </c>
      <c r="F9" s="4" t="s">
        <v>55</v>
      </c>
      <c r="G9" s="4" t="s">
        <v>25</v>
      </c>
      <c r="H9" s="4" t="s">
        <v>25</v>
      </c>
      <c r="I9" s="5">
        <v>44743</v>
      </c>
      <c r="J9" s="6">
        <v>0</v>
      </c>
      <c r="K9" s="6">
        <v>0</v>
      </c>
      <c r="L9" s="6">
        <v>2175.5034000000001</v>
      </c>
      <c r="M9" s="6">
        <v>2175.5034000000001</v>
      </c>
      <c r="N9" s="6">
        <v>0</v>
      </c>
      <c r="O9" s="6">
        <v>0</v>
      </c>
      <c r="P9" s="6">
        <v>1</v>
      </c>
      <c r="Q9" s="4" t="s">
        <v>56</v>
      </c>
      <c r="R9" s="4">
        <v>0</v>
      </c>
      <c r="S9" s="4" t="s">
        <v>104</v>
      </c>
      <c r="U9" s="4">
        <v>0</v>
      </c>
      <c r="V9" s="4">
        <v>5</v>
      </c>
      <c r="W9" s="4">
        <v>0</v>
      </c>
    </row>
    <row r="10" spans="1:23" ht="11.25" customHeight="1" x14ac:dyDescent="0.3">
      <c r="A10" s="4" t="s">
        <v>21</v>
      </c>
      <c r="B10" s="4" t="s">
        <v>61</v>
      </c>
      <c r="C10" s="4" t="s">
        <v>54</v>
      </c>
      <c r="D10" s="4" t="s">
        <v>33</v>
      </c>
      <c r="E10" s="4" t="s">
        <v>25</v>
      </c>
      <c r="F10" s="4" t="s">
        <v>55</v>
      </c>
      <c r="G10" s="4" t="s">
        <v>25</v>
      </c>
      <c r="H10" s="4" t="s">
        <v>36</v>
      </c>
      <c r="I10" s="5">
        <v>44652</v>
      </c>
      <c r="J10" s="6">
        <v>3427.2</v>
      </c>
      <c r="K10" s="6">
        <v>1714.446792576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56</v>
      </c>
      <c r="R10" s="4">
        <v>0</v>
      </c>
      <c r="S10" s="4" t="s">
        <v>105</v>
      </c>
      <c r="U10" s="4">
        <v>1</v>
      </c>
      <c r="V10" s="4">
        <v>0</v>
      </c>
      <c r="W10" s="4">
        <v>0</v>
      </c>
    </row>
    <row r="11" spans="1:23" ht="11.25" customHeight="1" x14ac:dyDescent="0.3">
      <c r="A11" s="4" t="s">
        <v>21</v>
      </c>
      <c r="B11" s="4" t="s">
        <v>61</v>
      </c>
      <c r="C11" s="4" t="s">
        <v>54</v>
      </c>
      <c r="D11" s="4" t="s">
        <v>33</v>
      </c>
      <c r="E11" s="4" t="s">
        <v>25</v>
      </c>
      <c r="F11" s="4" t="s">
        <v>55</v>
      </c>
      <c r="G11" s="4" t="s">
        <v>25</v>
      </c>
      <c r="H11" s="4" t="s">
        <v>36</v>
      </c>
      <c r="I11" s="5">
        <v>44682</v>
      </c>
      <c r="J11" s="6">
        <v>3679.2</v>
      </c>
      <c r="K11" s="6">
        <v>1840.333926816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56</v>
      </c>
      <c r="R11" s="4">
        <v>0</v>
      </c>
      <c r="S11" s="4" t="s">
        <v>106</v>
      </c>
      <c r="U11" s="4">
        <v>1</v>
      </c>
      <c r="V11" s="4">
        <v>0</v>
      </c>
      <c r="W11" s="4">
        <v>0</v>
      </c>
    </row>
    <row r="12" spans="1:23" ht="11.25" customHeight="1" x14ac:dyDescent="0.3">
      <c r="A12" s="4" t="s">
        <v>21</v>
      </c>
      <c r="B12" s="4" t="s">
        <v>61</v>
      </c>
      <c r="C12" s="4" t="s">
        <v>54</v>
      </c>
      <c r="D12" s="4" t="s">
        <v>33</v>
      </c>
      <c r="E12" s="4" t="s">
        <v>25</v>
      </c>
      <c r="F12" s="4" t="s">
        <v>55</v>
      </c>
      <c r="G12" s="4" t="s">
        <v>25</v>
      </c>
      <c r="H12" s="4" t="s">
        <v>36</v>
      </c>
      <c r="I12" s="5">
        <v>44713</v>
      </c>
      <c r="J12" s="6">
        <v>3670.8</v>
      </c>
      <c r="K12" s="6">
        <v>1853.9782124640001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56</v>
      </c>
      <c r="R12" s="4">
        <v>0</v>
      </c>
      <c r="S12" s="4" t="s">
        <v>107</v>
      </c>
      <c r="U12" s="4">
        <v>1</v>
      </c>
      <c r="V12" s="4">
        <v>0</v>
      </c>
      <c r="W12" s="4">
        <v>0</v>
      </c>
    </row>
    <row r="13" spans="1:23" ht="11.25" customHeight="1" x14ac:dyDescent="0.3">
      <c r="A13" s="4" t="s">
        <v>21</v>
      </c>
      <c r="B13" s="4" t="s">
        <v>61</v>
      </c>
      <c r="C13" s="4" t="s">
        <v>54</v>
      </c>
      <c r="D13" s="4" t="s">
        <v>33</v>
      </c>
      <c r="E13" s="4" t="s">
        <v>25</v>
      </c>
      <c r="F13" s="4" t="s">
        <v>55</v>
      </c>
      <c r="G13" s="4" t="s">
        <v>25</v>
      </c>
      <c r="H13" s="4" t="s">
        <v>36</v>
      </c>
      <c r="I13" s="5">
        <v>44743</v>
      </c>
      <c r="J13" s="6">
        <v>4100</v>
      </c>
      <c r="K13" s="6">
        <v>2087.3986829999999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56</v>
      </c>
      <c r="R13" s="4">
        <v>0</v>
      </c>
      <c r="S13" s="4" t="s">
        <v>108</v>
      </c>
      <c r="U13" s="4">
        <v>1</v>
      </c>
      <c r="V13" s="4">
        <v>0</v>
      </c>
      <c r="W13" s="4">
        <v>0</v>
      </c>
    </row>
    <row r="14" spans="1:23" ht="11.25" customHeight="1" x14ac:dyDescent="0.3">
      <c r="A14" s="4" t="s">
        <v>21</v>
      </c>
      <c r="B14" s="4" t="s">
        <v>34</v>
      </c>
      <c r="C14" s="4" t="s">
        <v>54</v>
      </c>
      <c r="D14" s="4" t="s">
        <v>33</v>
      </c>
      <c r="E14" s="4" t="s">
        <v>25</v>
      </c>
      <c r="F14" s="4" t="s">
        <v>55</v>
      </c>
      <c r="G14" s="4" t="s">
        <v>25</v>
      </c>
      <c r="H14" s="4" t="s">
        <v>37</v>
      </c>
      <c r="I14" s="5">
        <v>44409</v>
      </c>
      <c r="J14" s="6">
        <v>7449</v>
      </c>
      <c r="K14" s="6">
        <v>3724.7023148399999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4" t="s">
        <v>56</v>
      </c>
      <c r="R14" s="4">
        <v>0</v>
      </c>
      <c r="S14" s="4" t="s">
        <v>109</v>
      </c>
      <c r="U14" s="4">
        <v>10</v>
      </c>
      <c r="V14" s="4">
        <v>0</v>
      </c>
      <c r="W14" s="4">
        <v>0</v>
      </c>
    </row>
    <row r="15" spans="1:23" ht="11.25" customHeight="1" x14ac:dyDescent="0.3">
      <c r="A15" s="4" t="s">
        <v>21</v>
      </c>
      <c r="B15" s="4" t="s">
        <v>34</v>
      </c>
      <c r="C15" s="4" t="s">
        <v>54</v>
      </c>
      <c r="D15" s="4" t="s">
        <v>33</v>
      </c>
      <c r="E15" s="4" t="s">
        <v>25</v>
      </c>
      <c r="F15" s="4" t="s">
        <v>55</v>
      </c>
      <c r="G15" s="4" t="s">
        <v>25</v>
      </c>
      <c r="H15" s="4" t="s">
        <v>37</v>
      </c>
      <c r="I15" s="5">
        <v>44440</v>
      </c>
      <c r="J15" s="6">
        <v>7484</v>
      </c>
      <c r="K15" s="6">
        <v>3746.0831207199999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4" t="s">
        <v>56</v>
      </c>
      <c r="R15" s="4">
        <v>0</v>
      </c>
      <c r="S15" s="4" t="s">
        <v>110</v>
      </c>
      <c r="U15" s="4">
        <v>10</v>
      </c>
      <c r="V15" s="4">
        <v>0</v>
      </c>
      <c r="W15" s="4">
        <v>0</v>
      </c>
    </row>
    <row r="16" spans="1:23" ht="11.25" customHeight="1" x14ac:dyDescent="0.3">
      <c r="A16" s="4" t="s">
        <v>21</v>
      </c>
      <c r="B16" s="4" t="s">
        <v>34</v>
      </c>
      <c r="C16" s="4" t="s">
        <v>54</v>
      </c>
      <c r="D16" s="4" t="s">
        <v>33</v>
      </c>
      <c r="E16" s="4" t="s">
        <v>25</v>
      </c>
      <c r="F16" s="4" t="s">
        <v>55</v>
      </c>
      <c r="G16" s="4" t="s">
        <v>25</v>
      </c>
      <c r="H16" s="4" t="s">
        <v>37</v>
      </c>
      <c r="I16" s="5">
        <v>44470</v>
      </c>
      <c r="J16" s="6">
        <v>7491</v>
      </c>
      <c r="K16" s="6">
        <v>3748.5737071200001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4" t="s">
        <v>56</v>
      </c>
      <c r="R16" s="4">
        <v>0</v>
      </c>
      <c r="S16" s="4" t="s">
        <v>111</v>
      </c>
      <c r="U16" s="4">
        <v>10</v>
      </c>
      <c r="V16" s="4">
        <v>0</v>
      </c>
      <c r="W16" s="4">
        <v>0</v>
      </c>
    </row>
    <row r="17" spans="1:23" ht="11.25" customHeight="1" x14ac:dyDescent="0.3">
      <c r="A17" s="4" t="s">
        <v>21</v>
      </c>
      <c r="B17" s="4" t="s">
        <v>34</v>
      </c>
      <c r="C17" s="4" t="s">
        <v>54</v>
      </c>
      <c r="D17" s="4" t="s">
        <v>33</v>
      </c>
      <c r="E17" s="4" t="s">
        <v>25</v>
      </c>
      <c r="F17" s="4" t="s">
        <v>55</v>
      </c>
      <c r="G17" s="4" t="s">
        <v>25</v>
      </c>
      <c r="H17" s="4" t="s">
        <v>37</v>
      </c>
      <c r="I17" s="5">
        <v>44501</v>
      </c>
      <c r="J17" s="6">
        <v>7478</v>
      </c>
      <c r="K17" s="6">
        <v>3742.4309811799999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4" t="s">
        <v>56</v>
      </c>
      <c r="R17" s="4">
        <v>0</v>
      </c>
      <c r="S17" s="4" t="s">
        <v>112</v>
      </c>
      <c r="U17" s="4">
        <v>10</v>
      </c>
      <c r="V17" s="4">
        <v>0</v>
      </c>
      <c r="W17" s="4">
        <v>0</v>
      </c>
    </row>
    <row r="18" spans="1:23" ht="11.25" customHeight="1" x14ac:dyDescent="0.3">
      <c r="A18" s="4" t="s">
        <v>21</v>
      </c>
      <c r="B18" s="4" t="s">
        <v>34</v>
      </c>
      <c r="C18" s="4" t="s">
        <v>54</v>
      </c>
      <c r="D18" s="4" t="s">
        <v>33</v>
      </c>
      <c r="E18" s="4" t="s">
        <v>25</v>
      </c>
      <c r="F18" s="4" t="s">
        <v>55</v>
      </c>
      <c r="G18" s="4" t="s">
        <v>25</v>
      </c>
      <c r="H18" s="4" t="s">
        <v>37</v>
      </c>
      <c r="I18" s="5">
        <v>44531</v>
      </c>
      <c r="J18" s="6">
        <v>7501</v>
      </c>
      <c r="K18" s="6">
        <v>3759.8354445599998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4" t="s">
        <v>56</v>
      </c>
      <c r="R18" s="4">
        <v>0</v>
      </c>
      <c r="S18" s="4" t="s">
        <v>113</v>
      </c>
      <c r="U18" s="4">
        <v>10</v>
      </c>
      <c r="V18" s="4">
        <v>0</v>
      </c>
      <c r="W18" s="4">
        <v>0</v>
      </c>
    </row>
    <row r="19" spans="1:23" ht="11.25" customHeight="1" x14ac:dyDescent="0.3">
      <c r="A19" s="4" t="s">
        <v>21</v>
      </c>
      <c r="B19" s="4" t="s">
        <v>34</v>
      </c>
      <c r="C19" s="4" t="s">
        <v>54</v>
      </c>
      <c r="D19" s="4" t="s">
        <v>33</v>
      </c>
      <c r="E19" s="4" t="s">
        <v>25</v>
      </c>
      <c r="F19" s="4" t="s">
        <v>55</v>
      </c>
      <c r="G19" s="4" t="s">
        <v>25</v>
      </c>
      <c r="H19" s="4" t="s">
        <v>37</v>
      </c>
      <c r="I19" s="5">
        <v>44562</v>
      </c>
      <c r="J19" s="6">
        <v>7458</v>
      </c>
      <c r="K19" s="6">
        <v>3750.2420247599998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4" t="s">
        <v>56</v>
      </c>
      <c r="R19" s="4">
        <v>0</v>
      </c>
      <c r="S19" s="4" t="s">
        <v>114</v>
      </c>
      <c r="U19" s="4">
        <v>10</v>
      </c>
      <c r="V19" s="4">
        <v>0</v>
      </c>
      <c r="W19" s="4">
        <v>0</v>
      </c>
    </row>
    <row r="20" spans="1:23" ht="11.25" customHeight="1" x14ac:dyDescent="0.3">
      <c r="A20" s="4" t="s">
        <v>21</v>
      </c>
      <c r="B20" s="4" t="s">
        <v>34</v>
      </c>
      <c r="C20" s="4" t="s">
        <v>54</v>
      </c>
      <c r="D20" s="4" t="s">
        <v>33</v>
      </c>
      <c r="E20" s="4" t="s">
        <v>25</v>
      </c>
      <c r="F20" s="4" t="s">
        <v>55</v>
      </c>
      <c r="G20" s="4" t="s">
        <v>25</v>
      </c>
      <c r="H20" s="4" t="s">
        <v>37</v>
      </c>
      <c r="I20" s="5">
        <v>44593</v>
      </c>
      <c r="J20" s="6">
        <v>7471</v>
      </c>
      <c r="K20" s="6">
        <v>3737.6955774799999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4" t="s">
        <v>56</v>
      </c>
      <c r="R20" s="4">
        <v>0</v>
      </c>
      <c r="S20" s="4" t="s">
        <v>115</v>
      </c>
      <c r="U20" s="4">
        <v>10</v>
      </c>
      <c r="V20" s="4">
        <v>0</v>
      </c>
      <c r="W20" s="4">
        <v>0</v>
      </c>
    </row>
    <row r="21" spans="1:23" ht="11.25" customHeight="1" x14ac:dyDescent="0.3">
      <c r="A21" s="4" t="s">
        <v>21</v>
      </c>
      <c r="B21" s="4" t="s">
        <v>34</v>
      </c>
      <c r="C21" s="4" t="s">
        <v>54</v>
      </c>
      <c r="D21" s="4" t="s">
        <v>33</v>
      </c>
      <c r="E21" s="4" t="s">
        <v>25</v>
      </c>
      <c r="F21" s="4" t="s">
        <v>55</v>
      </c>
      <c r="G21" s="4" t="s">
        <v>25</v>
      </c>
      <c r="H21" s="4" t="s">
        <v>37</v>
      </c>
      <c r="I21" s="5">
        <v>44621</v>
      </c>
      <c r="J21" s="6">
        <v>7050</v>
      </c>
      <c r="K21" s="6">
        <v>3526.0792139999999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4" t="s">
        <v>56</v>
      </c>
      <c r="R21" s="4">
        <v>0</v>
      </c>
      <c r="S21" s="4" t="s">
        <v>116</v>
      </c>
      <c r="U21" s="4">
        <v>10</v>
      </c>
      <c r="V21" s="4">
        <v>0</v>
      </c>
      <c r="W21" s="4">
        <v>0</v>
      </c>
    </row>
    <row r="22" spans="1:23" ht="11.25" customHeight="1" x14ac:dyDescent="0.3">
      <c r="A22" s="4" t="s">
        <v>21</v>
      </c>
      <c r="B22" s="4" t="s">
        <v>34</v>
      </c>
      <c r="C22" s="4" t="s">
        <v>54</v>
      </c>
      <c r="D22" s="4" t="s">
        <v>33</v>
      </c>
      <c r="E22" s="4" t="s">
        <v>25</v>
      </c>
      <c r="F22" s="4" t="s">
        <v>55</v>
      </c>
      <c r="G22" s="4" t="s">
        <v>25</v>
      </c>
      <c r="H22" s="4" t="s">
        <v>37</v>
      </c>
      <c r="I22" s="5">
        <v>44652</v>
      </c>
      <c r="J22" s="6">
        <v>7050</v>
      </c>
      <c r="K22" s="6">
        <v>3527.2197630000001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4" t="s">
        <v>56</v>
      </c>
      <c r="R22" s="4">
        <v>0</v>
      </c>
      <c r="S22" s="4" t="s">
        <v>117</v>
      </c>
      <c r="U22" s="4">
        <v>10</v>
      </c>
      <c r="V22" s="4">
        <v>0</v>
      </c>
      <c r="W22" s="4">
        <v>0</v>
      </c>
    </row>
    <row r="23" spans="1:23" ht="11.25" customHeight="1" x14ac:dyDescent="0.3">
      <c r="A23" s="4" t="s">
        <v>21</v>
      </c>
      <c r="B23" s="4" t="s">
        <v>34</v>
      </c>
      <c r="C23" s="4" t="s">
        <v>54</v>
      </c>
      <c r="D23" s="4" t="s">
        <v>33</v>
      </c>
      <c r="E23" s="4" t="s">
        <v>25</v>
      </c>
      <c r="F23" s="4" t="s">
        <v>55</v>
      </c>
      <c r="G23" s="4" t="s">
        <v>25</v>
      </c>
      <c r="H23" s="4" t="s">
        <v>37</v>
      </c>
      <c r="I23" s="5">
        <v>44682</v>
      </c>
      <c r="J23" s="6">
        <v>4250</v>
      </c>
      <c r="K23" s="6">
        <v>2125.60707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4" t="s">
        <v>56</v>
      </c>
      <c r="R23" s="4">
        <v>0</v>
      </c>
      <c r="S23" s="4" t="s">
        <v>118</v>
      </c>
      <c r="U23" s="4">
        <v>10</v>
      </c>
      <c r="V23" s="4">
        <v>0</v>
      </c>
      <c r="W23" s="4">
        <v>0</v>
      </c>
    </row>
    <row r="24" spans="1:23" ht="11.25" customHeight="1" x14ac:dyDescent="0.3">
      <c r="A24" s="4" t="s">
        <v>21</v>
      </c>
      <c r="B24" s="4" t="s">
        <v>34</v>
      </c>
      <c r="C24" s="4" t="s">
        <v>54</v>
      </c>
      <c r="D24" s="4" t="s">
        <v>33</v>
      </c>
      <c r="E24" s="4" t="s">
        <v>25</v>
      </c>
      <c r="F24" s="4" t="s">
        <v>55</v>
      </c>
      <c r="G24" s="4" t="s">
        <v>25</v>
      </c>
      <c r="H24" s="4" t="s">
        <v>37</v>
      </c>
      <c r="I24" s="5">
        <v>44713</v>
      </c>
      <c r="J24" s="6">
        <v>4250</v>
      </c>
      <c r="K24" s="6">
        <v>2139.1935125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4" t="s">
        <v>56</v>
      </c>
      <c r="R24" s="4">
        <v>0</v>
      </c>
      <c r="S24" s="4" t="s">
        <v>119</v>
      </c>
      <c r="U24" s="4">
        <v>10</v>
      </c>
      <c r="V24" s="4">
        <v>0</v>
      </c>
      <c r="W24" s="4">
        <v>0</v>
      </c>
    </row>
    <row r="25" spans="1:23" ht="11.25" customHeight="1" x14ac:dyDescent="0.3">
      <c r="A25" s="4" t="s">
        <v>21</v>
      </c>
      <c r="B25" s="4" t="s">
        <v>34</v>
      </c>
      <c r="C25" s="4" t="s">
        <v>54</v>
      </c>
      <c r="D25" s="4" t="s">
        <v>33</v>
      </c>
      <c r="E25" s="4" t="s">
        <v>25</v>
      </c>
      <c r="F25" s="4" t="s">
        <v>55</v>
      </c>
      <c r="G25" s="4" t="s">
        <v>25</v>
      </c>
      <c r="H25" s="4" t="s">
        <v>37</v>
      </c>
      <c r="I25" s="5">
        <v>44743</v>
      </c>
      <c r="J25" s="6">
        <v>4250</v>
      </c>
      <c r="K25" s="6">
        <v>2143.1871099999998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4" t="s">
        <v>56</v>
      </c>
      <c r="R25" s="4">
        <v>0</v>
      </c>
      <c r="S25" s="4" t="s">
        <v>120</v>
      </c>
      <c r="U25" s="4">
        <v>10</v>
      </c>
      <c r="V25" s="4">
        <v>0</v>
      </c>
      <c r="W25" s="4">
        <v>0</v>
      </c>
    </row>
    <row r="26" spans="1:23" ht="11.25" customHeight="1" x14ac:dyDescent="0.3">
      <c r="A26" s="4" t="s">
        <v>21</v>
      </c>
      <c r="B26" s="4" t="s">
        <v>34</v>
      </c>
      <c r="C26" s="4" t="s">
        <v>54</v>
      </c>
      <c r="D26" s="4" t="s">
        <v>33</v>
      </c>
      <c r="E26" s="4" t="s">
        <v>25</v>
      </c>
      <c r="F26" s="4" t="s">
        <v>55</v>
      </c>
      <c r="G26" s="4" t="s">
        <v>25</v>
      </c>
      <c r="H26" s="4" t="s">
        <v>25</v>
      </c>
      <c r="I26" s="5">
        <v>44409</v>
      </c>
      <c r="J26" s="6">
        <v>0</v>
      </c>
      <c r="K26" s="6">
        <v>0</v>
      </c>
      <c r="L26" s="6">
        <v>3512.64</v>
      </c>
      <c r="M26" s="6">
        <v>3512.64</v>
      </c>
      <c r="N26" s="6">
        <v>0</v>
      </c>
      <c r="O26" s="6">
        <v>0</v>
      </c>
      <c r="P26" s="6">
        <v>3</v>
      </c>
      <c r="Q26" s="4" t="s">
        <v>56</v>
      </c>
      <c r="R26" s="4">
        <v>0</v>
      </c>
      <c r="S26" s="4" t="s">
        <v>121</v>
      </c>
      <c r="U26" s="4">
        <v>0</v>
      </c>
      <c r="V26" s="4">
        <v>13</v>
      </c>
      <c r="W26" s="4">
        <v>0</v>
      </c>
    </row>
    <row r="27" spans="1:23" ht="11.25" customHeight="1" x14ac:dyDescent="0.3">
      <c r="A27" s="4" t="s">
        <v>21</v>
      </c>
      <c r="B27" s="4" t="s">
        <v>34</v>
      </c>
      <c r="C27" s="4" t="s">
        <v>54</v>
      </c>
      <c r="D27" s="4" t="s">
        <v>33</v>
      </c>
      <c r="E27" s="4" t="s">
        <v>25</v>
      </c>
      <c r="F27" s="4" t="s">
        <v>55</v>
      </c>
      <c r="G27" s="4" t="s">
        <v>25</v>
      </c>
      <c r="H27" s="4" t="s">
        <v>25</v>
      </c>
      <c r="I27" s="5">
        <v>44440</v>
      </c>
      <c r="J27" s="6">
        <v>0</v>
      </c>
      <c r="K27" s="6">
        <v>0</v>
      </c>
      <c r="L27" s="6">
        <v>3376.123</v>
      </c>
      <c r="M27" s="6">
        <v>3376.123</v>
      </c>
      <c r="N27" s="6">
        <v>0</v>
      </c>
      <c r="O27" s="6">
        <v>0</v>
      </c>
      <c r="P27" s="6">
        <v>3</v>
      </c>
      <c r="Q27" s="4" t="s">
        <v>56</v>
      </c>
      <c r="R27" s="4">
        <v>0</v>
      </c>
      <c r="S27" s="4" t="s">
        <v>122</v>
      </c>
      <c r="U27" s="4">
        <v>0</v>
      </c>
      <c r="V27" s="4">
        <v>13</v>
      </c>
      <c r="W27" s="4">
        <v>0</v>
      </c>
    </row>
    <row r="28" spans="1:23" ht="11.25" customHeight="1" x14ac:dyDescent="0.3">
      <c r="A28" s="4" t="s">
        <v>21</v>
      </c>
      <c r="B28" s="4" t="s">
        <v>34</v>
      </c>
      <c r="C28" s="4" t="s">
        <v>54</v>
      </c>
      <c r="D28" s="4" t="s">
        <v>33</v>
      </c>
      <c r="E28" s="4" t="s">
        <v>25</v>
      </c>
      <c r="F28" s="4" t="s">
        <v>55</v>
      </c>
      <c r="G28" s="4" t="s">
        <v>25</v>
      </c>
      <c r="H28" s="4" t="s">
        <v>25</v>
      </c>
      <c r="I28" s="5">
        <v>44470</v>
      </c>
      <c r="J28" s="6">
        <v>0</v>
      </c>
      <c r="K28" s="6">
        <v>0</v>
      </c>
      <c r="L28" s="6">
        <v>3601.8670000000002</v>
      </c>
      <c r="M28" s="6">
        <v>3601.8670000000002</v>
      </c>
      <c r="N28" s="6">
        <v>0</v>
      </c>
      <c r="O28" s="6">
        <v>0</v>
      </c>
      <c r="P28" s="6">
        <v>3</v>
      </c>
      <c r="Q28" s="4" t="s">
        <v>56</v>
      </c>
      <c r="R28" s="4">
        <v>0</v>
      </c>
      <c r="S28" s="4" t="s">
        <v>123</v>
      </c>
      <c r="U28" s="4">
        <v>0</v>
      </c>
      <c r="V28" s="4">
        <v>13</v>
      </c>
      <c r="W28" s="4">
        <v>0</v>
      </c>
    </row>
    <row r="29" spans="1:23" ht="11.25" customHeight="1" x14ac:dyDescent="0.3">
      <c r="A29" s="4" t="s">
        <v>21</v>
      </c>
      <c r="B29" s="4" t="s">
        <v>34</v>
      </c>
      <c r="C29" s="4" t="s">
        <v>54</v>
      </c>
      <c r="D29" s="4" t="s">
        <v>33</v>
      </c>
      <c r="E29" s="4" t="s">
        <v>25</v>
      </c>
      <c r="F29" s="4" t="s">
        <v>55</v>
      </c>
      <c r="G29" s="4" t="s">
        <v>25</v>
      </c>
      <c r="H29" s="4" t="s">
        <v>25</v>
      </c>
      <c r="I29" s="5">
        <v>44501</v>
      </c>
      <c r="J29" s="6">
        <v>0</v>
      </c>
      <c r="K29" s="6">
        <v>0</v>
      </c>
      <c r="L29" s="6">
        <v>3387.4169999999999</v>
      </c>
      <c r="M29" s="6">
        <v>3387.4169999999999</v>
      </c>
      <c r="N29" s="6">
        <v>0</v>
      </c>
      <c r="O29" s="6">
        <v>0</v>
      </c>
      <c r="P29" s="6">
        <v>3</v>
      </c>
      <c r="Q29" s="4" t="s">
        <v>56</v>
      </c>
      <c r="R29" s="4">
        <v>0</v>
      </c>
      <c r="S29" s="4" t="s">
        <v>124</v>
      </c>
      <c r="U29" s="4">
        <v>0</v>
      </c>
      <c r="V29" s="4">
        <v>13</v>
      </c>
      <c r="W29" s="4">
        <v>0</v>
      </c>
    </row>
    <row r="30" spans="1:23" ht="11.25" customHeight="1" x14ac:dyDescent="0.3">
      <c r="A30" s="4" t="s">
        <v>21</v>
      </c>
      <c r="B30" s="4" t="s">
        <v>34</v>
      </c>
      <c r="C30" s="4" t="s">
        <v>54</v>
      </c>
      <c r="D30" s="4" t="s">
        <v>33</v>
      </c>
      <c r="E30" s="4" t="s">
        <v>25</v>
      </c>
      <c r="F30" s="4" t="s">
        <v>55</v>
      </c>
      <c r="G30" s="4" t="s">
        <v>25</v>
      </c>
      <c r="H30" s="4" t="s">
        <v>25</v>
      </c>
      <c r="I30" s="5">
        <v>44531</v>
      </c>
      <c r="J30" s="6">
        <v>0</v>
      </c>
      <c r="K30" s="6">
        <v>0</v>
      </c>
      <c r="L30" s="6">
        <v>3401.2669999999998</v>
      </c>
      <c r="M30" s="6">
        <v>3401.2669999999998</v>
      </c>
      <c r="N30" s="6">
        <v>0</v>
      </c>
      <c r="O30" s="6">
        <v>0</v>
      </c>
      <c r="P30" s="6">
        <v>3</v>
      </c>
      <c r="Q30" s="4" t="s">
        <v>56</v>
      </c>
      <c r="R30" s="4">
        <v>0</v>
      </c>
      <c r="S30" s="4" t="s">
        <v>125</v>
      </c>
      <c r="U30" s="4">
        <v>0</v>
      </c>
      <c r="V30" s="4">
        <v>13</v>
      </c>
      <c r="W30" s="4">
        <v>0</v>
      </c>
    </row>
    <row r="31" spans="1:23" ht="11.25" customHeight="1" x14ac:dyDescent="0.3">
      <c r="A31" s="4" t="s">
        <v>21</v>
      </c>
      <c r="B31" s="4" t="s">
        <v>34</v>
      </c>
      <c r="C31" s="4" t="s">
        <v>54</v>
      </c>
      <c r="D31" s="4" t="s">
        <v>33</v>
      </c>
      <c r="E31" s="4" t="s">
        <v>25</v>
      </c>
      <c r="F31" s="4" t="s">
        <v>55</v>
      </c>
      <c r="G31" s="4" t="s">
        <v>25</v>
      </c>
      <c r="H31" s="4" t="s">
        <v>25</v>
      </c>
      <c r="I31" s="5">
        <v>44562</v>
      </c>
      <c r="J31" s="6">
        <v>0</v>
      </c>
      <c r="K31" s="6">
        <v>0</v>
      </c>
      <c r="L31" s="6">
        <v>3342.7750000000001</v>
      </c>
      <c r="M31" s="6">
        <v>3342.7750000000001</v>
      </c>
      <c r="N31" s="6">
        <v>0</v>
      </c>
      <c r="O31" s="6">
        <v>0</v>
      </c>
      <c r="P31" s="6">
        <v>3</v>
      </c>
      <c r="Q31" s="4" t="s">
        <v>56</v>
      </c>
      <c r="R31" s="4">
        <v>0</v>
      </c>
      <c r="S31" s="4" t="s">
        <v>126</v>
      </c>
      <c r="U31" s="4">
        <v>0</v>
      </c>
      <c r="V31" s="4">
        <v>13</v>
      </c>
      <c r="W31" s="4">
        <v>0</v>
      </c>
    </row>
    <row r="32" spans="1:23" ht="11.25" customHeight="1" x14ac:dyDescent="0.3">
      <c r="A32" s="4" t="s">
        <v>21</v>
      </c>
      <c r="B32" s="4" t="s">
        <v>34</v>
      </c>
      <c r="C32" s="4" t="s">
        <v>54</v>
      </c>
      <c r="D32" s="4" t="s">
        <v>33</v>
      </c>
      <c r="E32" s="4" t="s">
        <v>25</v>
      </c>
      <c r="F32" s="4" t="s">
        <v>55</v>
      </c>
      <c r="G32" s="4" t="s">
        <v>25</v>
      </c>
      <c r="H32" s="4" t="s">
        <v>25</v>
      </c>
      <c r="I32" s="5">
        <v>44593</v>
      </c>
      <c r="J32" s="6">
        <v>0</v>
      </c>
      <c r="K32" s="6">
        <v>0</v>
      </c>
      <c r="L32" s="6">
        <v>3270.0790000000002</v>
      </c>
      <c r="M32" s="6">
        <v>3270.0790000000002</v>
      </c>
      <c r="N32" s="6">
        <v>0</v>
      </c>
      <c r="O32" s="6">
        <v>0</v>
      </c>
      <c r="P32" s="6">
        <v>3</v>
      </c>
      <c r="Q32" s="4" t="s">
        <v>56</v>
      </c>
      <c r="R32" s="4">
        <v>0</v>
      </c>
      <c r="S32" s="4" t="s">
        <v>127</v>
      </c>
      <c r="U32" s="4">
        <v>0</v>
      </c>
      <c r="V32" s="4">
        <v>13</v>
      </c>
      <c r="W32" s="4">
        <v>0</v>
      </c>
    </row>
    <row r="33" spans="1:23" ht="11.25" customHeight="1" x14ac:dyDescent="0.3">
      <c r="A33" s="4" t="s">
        <v>21</v>
      </c>
      <c r="B33" s="4" t="s">
        <v>34</v>
      </c>
      <c r="C33" s="4" t="s">
        <v>54</v>
      </c>
      <c r="D33" s="4" t="s">
        <v>33</v>
      </c>
      <c r="E33" s="4" t="s">
        <v>25</v>
      </c>
      <c r="F33" s="4" t="s">
        <v>55</v>
      </c>
      <c r="G33" s="4" t="s">
        <v>25</v>
      </c>
      <c r="H33" s="4" t="s">
        <v>25</v>
      </c>
      <c r="I33" s="5">
        <v>44621</v>
      </c>
      <c r="J33" s="6">
        <v>0</v>
      </c>
      <c r="K33" s="6">
        <v>0</v>
      </c>
      <c r="L33" s="6">
        <v>3338.7429999999999</v>
      </c>
      <c r="M33" s="6">
        <v>3338.7429999999999</v>
      </c>
      <c r="N33" s="6">
        <v>0</v>
      </c>
      <c r="O33" s="6">
        <v>0</v>
      </c>
      <c r="P33" s="6">
        <v>3</v>
      </c>
      <c r="Q33" s="4" t="s">
        <v>56</v>
      </c>
      <c r="R33" s="4">
        <v>0</v>
      </c>
      <c r="S33" s="4" t="s">
        <v>128</v>
      </c>
      <c r="U33" s="4">
        <v>0</v>
      </c>
      <c r="V33" s="4">
        <v>13</v>
      </c>
      <c r="W33" s="4">
        <v>0</v>
      </c>
    </row>
    <row r="34" spans="1:23" ht="11.25" customHeight="1" x14ac:dyDescent="0.3">
      <c r="A34" s="4" t="s">
        <v>21</v>
      </c>
      <c r="B34" s="4" t="s">
        <v>34</v>
      </c>
      <c r="C34" s="4" t="s">
        <v>54</v>
      </c>
      <c r="D34" s="4" t="s">
        <v>33</v>
      </c>
      <c r="E34" s="4" t="s">
        <v>25</v>
      </c>
      <c r="F34" s="4" t="s">
        <v>55</v>
      </c>
      <c r="G34" s="4" t="s">
        <v>25</v>
      </c>
      <c r="H34" s="4" t="s">
        <v>25</v>
      </c>
      <c r="I34" s="5">
        <v>44652</v>
      </c>
      <c r="J34" s="6">
        <v>0</v>
      </c>
      <c r="K34" s="6">
        <v>0</v>
      </c>
      <c r="L34" s="6">
        <v>1875.12024</v>
      </c>
      <c r="M34" s="6">
        <v>1875.12024</v>
      </c>
      <c r="N34" s="6">
        <v>0</v>
      </c>
      <c r="O34" s="6">
        <v>0</v>
      </c>
      <c r="P34" s="6">
        <v>3</v>
      </c>
      <c r="Q34" s="4" t="s">
        <v>56</v>
      </c>
      <c r="R34" s="4">
        <v>0</v>
      </c>
      <c r="S34" s="4" t="s">
        <v>129</v>
      </c>
      <c r="U34" s="4">
        <v>0</v>
      </c>
      <c r="V34" s="4">
        <v>13</v>
      </c>
      <c r="W34" s="4">
        <v>0</v>
      </c>
    </row>
    <row r="35" spans="1:23" ht="11.25" customHeight="1" x14ac:dyDescent="0.3">
      <c r="A35" s="4" t="s">
        <v>21</v>
      </c>
      <c r="B35" s="4" t="s">
        <v>34</v>
      </c>
      <c r="C35" s="4" t="s">
        <v>54</v>
      </c>
      <c r="D35" s="4" t="s">
        <v>33</v>
      </c>
      <c r="E35" s="4" t="s">
        <v>25</v>
      </c>
      <c r="F35" s="4" t="s">
        <v>55</v>
      </c>
      <c r="G35" s="4" t="s">
        <v>25</v>
      </c>
      <c r="H35" s="4" t="s">
        <v>25</v>
      </c>
      <c r="I35" s="5">
        <v>44682</v>
      </c>
      <c r="J35" s="6">
        <v>0</v>
      </c>
      <c r="K35" s="6">
        <v>0</v>
      </c>
      <c r="L35" s="6">
        <v>1588.5139200000001</v>
      </c>
      <c r="M35" s="6">
        <v>1588.5139200000001</v>
      </c>
      <c r="N35" s="6">
        <v>0</v>
      </c>
      <c r="O35" s="6">
        <v>0</v>
      </c>
      <c r="P35" s="6">
        <v>2</v>
      </c>
      <c r="Q35" s="4" t="s">
        <v>56</v>
      </c>
      <c r="R35" s="4">
        <v>0</v>
      </c>
      <c r="S35" s="4" t="s">
        <v>130</v>
      </c>
      <c r="U35" s="4">
        <v>0</v>
      </c>
      <c r="V35" s="4">
        <v>13</v>
      </c>
      <c r="W35" s="4">
        <v>0</v>
      </c>
    </row>
    <row r="36" spans="1:23" ht="11.25" customHeight="1" x14ac:dyDescent="0.3">
      <c r="A36" s="4" t="s">
        <v>21</v>
      </c>
      <c r="B36" s="4" t="s">
        <v>34</v>
      </c>
      <c r="C36" s="4" t="s">
        <v>54</v>
      </c>
      <c r="D36" s="4" t="s">
        <v>33</v>
      </c>
      <c r="E36" s="4" t="s">
        <v>25</v>
      </c>
      <c r="F36" s="4" t="s">
        <v>55</v>
      </c>
      <c r="G36" s="4" t="s">
        <v>25</v>
      </c>
      <c r="H36" s="4" t="s">
        <v>25</v>
      </c>
      <c r="I36" s="5">
        <v>44713</v>
      </c>
      <c r="J36" s="6">
        <v>0</v>
      </c>
      <c r="K36" s="6">
        <v>0</v>
      </c>
      <c r="L36" s="6">
        <v>1451.1084000000001</v>
      </c>
      <c r="M36" s="6">
        <v>1451.1084000000001</v>
      </c>
      <c r="N36" s="6">
        <v>0</v>
      </c>
      <c r="O36" s="6">
        <v>0</v>
      </c>
      <c r="P36" s="6">
        <v>2</v>
      </c>
      <c r="Q36" s="4" t="s">
        <v>56</v>
      </c>
      <c r="R36" s="4">
        <v>0</v>
      </c>
      <c r="S36" s="4" t="s">
        <v>131</v>
      </c>
      <c r="U36" s="4">
        <v>0</v>
      </c>
      <c r="V36" s="4">
        <v>13</v>
      </c>
      <c r="W36" s="4">
        <v>0</v>
      </c>
    </row>
    <row r="37" spans="1:23" ht="11.25" customHeight="1" x14ac:dyDescent="0.3">
      <c r="A37" s="4" t="s">
        <v>21</v>
      </c>
      <c r="B37" s="4" t="s">
        <v>34</v>
      </c>
      <c r="C37" s="4" t="s">
        <v>54</v>
      </c>
      <c r="D37" s="4" t="s">
        <v>33</v>
      </c>
      <c r="E37" s="4" t="s">
        <v>25</v>
      </c>
      <c r="F37" s="4" t="s">
        <v>55</v>
      </c>
      <c r="G37" s="4" t="s">
        <v>25</v>
      </c>
      <c r="H37" s="4" t="s">
        <v>25</v>
      </c>
      <c r="I37" s="5">
        <v>44743</v>
      </c>
      <c r="J37" s="6">
        <v>0</v>
      </c>
      <c r="K37" s="6">
        <v>0</v>
      </c>
      <c r="L37" s="6">
        <v>954.17448000000002</v>
      </c>
      <c r="M37" s="6">
        <v>954.17448000000002</v>
      </c>
      <c r="N37" s="6">
        <v>0</v>
      </c>
      <c r="O37" s="6">
        <v>0</v>
      </c>
      <c r="P37" s="6">
        <v>2</v>
      </c>
      <c r="Q37" s="4" t="s">
        <v>56</v>
      </c>
      <c r="R37" s="4">
        <v>0</v>
      </c>
      <c r="S37" s="4" t="s">
        <v>132</v>
      </c>
      <c r="U37" s="4">
        <v>0</v>
      </c>
      <c r="V37" s="4">
        <v>13</v>
      </c>
      <c r="W37" s="4">
        <v>0</v>
      </c>
    </row>
    <row r="38" spans="1:23" ht="11.25" customHeight="1" x14ac:dyDescent="0.3">
      <c r="A38" s="4" t="s">
        <v>21</v>
      </c>
      <c r="B38" s="4" t="s">
        <v>34</v>
      </c>
      <c r="C38" s="4" t="s">
        <v>54</v>
      </c>
      <c r="D38" s="4" t="s">
        <v>33</v>
      </c>
      <c r="E38" s="4" t="s">
        <v>25</v>
      </c>
      <c r="F38" s="4" t="s">
        <v>55</v>
      </c>
      <c r="G38" s="4" t="s">
        <v>25</v>
      </c>
      <c r="H38" s="4" t="s">
        <v>36</v>
      </c>
      <c r="I38" s="5">
        <v>44409</v>
      </c>
      <c r="J38" s="6">
        <v>7150</v>
      </c>
      <c r="K38" s="6">
        <v>3575.2025595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56</v>
      </c>
      <c r="R38" s="4">
        <v>0</v>
      </c>
      <c r="S38" s="4" t="s">
        <v>133</v>
      </c>
      <c r="U38" s="4">
        <v>9</v>
      </c>
      <c r="V38" s="4">
        <v>0</v>
      </c>
      <c r="W38" s="4">
        <v>0</v>
      </c>
    </row>
    <row r="39" spans="1:23" ht="11.25" customHeight="1" x14ac:dyDescent="0.3">
      <c r="A39" s="4" t="s">
        <v>21</v>
      </c>
      <c r="B39" s="4" t="s">
        <v>34</v>
      </c>
      <c r="C39" s="4" t="s">
        <v>54</v>
      </c>
      <c r="D39" s="4" t="s">
        <v>33</v>
      </c>
      <c r="E39" s="4" t="s">
        <v>25</v>
      </c>
      <c r="F39" s="4" t="s">
        <v>55</v>
      </c>
      <c r="G39" s="4" t="s">
        <v>25</v>
      </c>
      <c r="H39" s="4" t="s">
        <v>36</v>
      </c>
      <c r="I39" s="5">
        <v>44440</v>
      </c>
      <c r="J39" s="6">
        <v>7158</v>
      </c>
      <c r="K39" s="6">
        <v>3583.0537901399998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56</v>
      </c>
      <c r="R39" s="4">
        <v>0</v>
      </c>
      <c r="S39" s="4" t="s">
        <v>134</v>
      </c>
      <c r="U39" s="4">
        <v>9</v>
      </c>
      <c r="V39" s="4">
        <v>0</v>
      </c>
      <c r="W39" s="4">
        <v>0</v>
      </c>
    </row>
    <row r="40" spans="1:23" ht="11.25" customHeight="1" x14ac:dyDescent="0.3">
      <c r="A40" s="4" t="s">
        <v>21</v>
      </c>
      <c r="B40" s="4" t="s">
        <v>34</v>
      </c>
      <c r="C40" s="4" t="s">
        <v>54</v>
      </c>
      <c r="D40" s="4" t="s">
        <v>33</v>
      </c>
      <c r="E40" s="4" t="s">
        <v>25</v>
      </c>
      <c r="F40" s="4" t="s">
        <v>55</v>
      </c>
      <c r="G40" s="4" t="s">
        <v>25</v>
      </c>
      <c r="H40" s="4" t="s">
        <v>36</v>
      </c>
      <c r="I40" s="5">
        <v>44470</v>
      </c>
      <c r="J40" s="6">
        <v>7192</v>
      </c>
      <c r="K40" s="6">
        <v>3599.06537424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56</v>
      </c>
      <c r="R40" s="4">
        <v>0</v>
      </c>
      <c r="S40" s="4" t="s">
        <v>135</v>
      </c>
      <c r="U40" s="4">
        <v>9</v>
      </c>
      <c r="V40" s="4">
        <v>0</v>
      </c>
      <c r="W40" s="4">
        <v>0</v>
      </c>
    </row>
    <row r="41" spans="1:23" ht="11.25" customHeight="1" x14ac:dyDescent="0.3">
      <c r="A41" s="4" t="s">
        <v>21</v>
      </c>
      <c r="B41" s="4" t="s">
        <v>34</v>
      </c>
      <c r="C41" s="4" t="s">
        <v>54</v>
      </c>
      <c r="D41" s="4" t="s">
        <v>33</v>
      </c>
      <c r="E41" s="4" t="s">
        <v>25</v>
      </c>
      <c r="F41" s="4" t="s">
        <v>55</v>
      </c>
      <c r="G41" s="4" t="s">
        <v>25</v>
      </c>
      <c r="H41" s="4" t="s">
        <v>36</v>
      </c>
      <c r="I41" s="5">
        <v>44501</v>
      </c>
      <c r="J41" s="6">
        <v>7149</v>
      </c>
      <c r="K41" s="6">
        <v>3577.8967758600002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56</v>
      </c>
      <c r="R41" s="4">
        <v>0</v>
      </c>
      <c r="S41" s="4" t="s">
        <v>136</v>
      </c>
      <c r="U41" s="4">
        <v>9</v>
      </c>
      <c r="V41" s="4">
        <v>0</v>
      </c>
      <c r="W41" s="4">
        <v>0</v>
      </c>
    </row>
    <row r="42" spans="1:23" ht="11.25" customHeight="1" x14ac:dyDescent="0.3">
      <c r="A42" s="4" t="s">
        <v>21</v>
      </c>
      <c r="B42" s="4" t="s">
        <v>34</v>
      </c>
      <c r="C42" s="4" t="s">
        <v>54</v>
      </c>
      <c r="D42" s="4" t="s">
        <v>33</v>
      </c>
      <c r="E42" s="4" t="s">
        <v>25</v>
      </c>
      <c r="F42" s="4" t="s">
        <v>55</v>
      </c>
      <c r="G42" s="4" t="s">
        <v>25</v>
      </c>
      <c r="H42" s="4" t="s">
        <v>36</v>
      </c>
      <c r="I42" s="5">
        <v>44531</v>
      </c>
      <c r="J42" s="6">
        <v>7149</v>
      </c>
      <c r="K42" s="6">
        <v>3583.7158473899999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56</v>
      </c>
      <c r="R42" s="4">
        <v>0</v>
      </c>
      <c r="S42" s="4" t="s">
        <v>137</v>
      </c>
      <c r="U42" s="4">
        <v>9</v>
      </c>
      <c r="V42" s="4">
        <v>0</v>
      </c>
      <c r="W42" s="4">
        <v>0</v>
      </c>
    </row>
    <row r="43" spans="1:23" ht="11.25" customHeight="1" x14ac:dyDescent="0.3">
      <c r="A43" s="4" t="s">
        <v>21</v>
      </c>
      <c r="B43" s="4" t="s">
        <v>34</v>
      </c>
      <c r="C43" s="4" t="s">
        <v>54</v>
      </c>
      <c r="D43" s="4" t="s">
        <v>33</v>
      </c>
      <c r="E43" s="4" t="s">
        <v>25</v>
      </c>
      <c r="F43" s="4" t="s">
        <v>55</v>
      </c>
      <c r="G43" s="4" t="s">
        <v>25</v>
      </c>
      <c r="H43" s="4" t="s">
        <v>36</v>
      </c>
      <c r="I43" s="5">
        <v>44562</v>
      </c>
      <c r="J43" s="6">
        <v>7150</v>
      </c>
      <c r="K43" s="6">
        <v>3595.9309815000001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56</v>
      </c>
      <c r="R43" s="4">
        <v>0</v>
      </c>
      <c r="S43" s="4" t="s">
        <v>138</v>
      </c>
      <c r="U43" s="4">
        <v>9</v>
      </c>
      <c r="V43" s="4">
        <v>0</v>
      </c>
      <c r="W43" s="4">
        <v>0</v>
      </c>
    </row>
    <row r="44" spans="1:23" ht="11.25" customHeight="1" x14ac:dyDescent="0.3">
      <c r="A44" s="4" t="s">
        <v>21</v>
      </c>
      <c r="B44" s="4" t="s">
        <v>34</v>
      </c>
      <c r="C44" s="4" t="s">
        <v>54</v>
      </c>
      <c r="D44" s="4" t="s">
        <v>33</v>
      </c>
      <c r="E44" s="4" t="s">
        <v>25</v>
      </c>
      <c r="F44" s="4" t="s">
        <v>55</v>
      </c>
      <c r="G44" s="4" t="s">
        <v>25</v>
      </c>
      <c r="H44" s="4" t="s">
        <v>36</v>
      </c>
      <c r="I44" s="5">
        <v>44593</v>
      </c>
      <c r="J44" s="6">
        <v>7149</v>
      </c>
      <c r="K44" s="6">
        <v>3576.6673623299998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56</v>
      </c>
      <c r="R44" s="4">
        <v>0</v>
      </c>
      <c r="S44" s="4" t="s">
        <v>139</v>
      </c>
      <c r="U44" s="4">
        <v>9</v>
      </c>
      <c r="V44" s="4">
        <v>0</v>
      </c>
      <c r="W44" s="4">
        <v>0</v>
      </c>
    </row>
    <row r="45" spans="1:23" ht="11.25" customHeight="1" x14ac:dyDescent="0.3">
      <c r="A45" s="4" t="s">
        <v>21</v>
      </c>
      <c r="B45" s="4" t="s">
        <v>34</v>
      </c>
      <c r="C45" s="4" t="s">
        <v>54</v>
      </c>
      <c r="D45" s="4" t="s">
        <v>33</v>
      </c>
      <c r="E45" s="4" t="s">
        <v>25</v>
      </c>
      <c r="F45" s="4" t="s">
        <v>55</v>
      </c>
      <c r="G45" s="4" t="s">
        <v>25</v>
      </c>
      <c r="H45" s="4" t="s">
        <v>36</v>
      </c>
      <c r="I45" s="5">
        <v>44621</v>
      </c>
      <c r="J45" s="6">
        <v>6550</v>
      </c>
      <c r="K45" s="6">
        <v>3276.0449214999999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56</v>
      </c>
      <c r="R45" s="4">
        <v>0</v>
      </c>
      <c r="S45" s="4" t="s">
        <v>140</v>
      </c>
      <c r="U45" s="4">
        <v>9</v>
      </c>
      <c r="V45" s="4">
        <v>0</v>
      </c>
      <c r="W45" s="4">
        <v>0</v>
      </c>
    </row>
    <row r="46" spans="1:23" ht="11.25" customHeight="1" x14ac:dyDescent="0.3">
      <c r="A46" s="4" t="s">
        <v>21</v>
      </c>
      <c r="B46" s="4" t="s">
        <v>34</v>
      </c>
      <c r="C46" s="4" t="s">
        <v>54</v>
      </c>
      <c r="D46" s="4" t="s">
        <v>33</v>
      </c>
      <c r="E46" s="4" t="s">
        <v>25</v>
      </c>
      <c r="F46" s="4" t="s">
        <v>55</v>
      </c>
      <c r="G46" s="4" t="s">
        <v>25</v>
      </c>
      <c r="H46" s="4" t="s">
        <v>36</v>
      </c>
      <c r="I46" s="5">
        <v>44652</v>
      </c>
      <c r="J46" s="6">
        <v>6550</v>
      </c>
      <c r="K46" s="6">
        <v>3277.0388840000001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56</v>
      </c>
      <c r="R46" s="4">
        <v>0</v>
      </c>
      <c r="S46" s="4" t="s">
        <v>141</v>
      </c>
      <c r="U46" s="4">
        <v>9</v>
      </c>
      <c r="V46" s="4">
        <v>0</v>
      </c>
      <c r="W46" s="4">
        <v>0</v>
      </c>
    </row>
    <row r="47" spans="1:23" ht="11.25" customHeight="1" x14ac:dyDescent="0.3">
      <c r="A47" s="4" t="s">
        <v>21</v>
      </c>
      <c r="B47" s="4" t="s">
        <v>34</v>
      </c>
      <c r="C47" s="4" t="s">
        <v>54</v>
      </c>
      <c r="D47" s="4" t="s">
        <v>33</v>
      </c>
      <c r="E47" s="4" t="s">
        <v>25</v>
      </c>
      <c r="F47" s="4" t="s">
        <v>55</v>
      </c>
      <c r="G47" s="4" t="s">
        <v>25</v>
      </c>
      <c r="H47" s="4" t="s">
        <v>36</v>
      </c>
      <c r="I47" s="5">
        <v>44682</v>
      </c>
      <c r="J47" s="6">
        <v>3750</v>
      </c>
      <c r="K47" s="6">
        <v>1875.5648624999999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56</v>
      </c>
      <c r="R47" s="4">
        <v>0</v>
      </c>
      <c r="S47" s="4" t="s">
        <v>142</v>
      </c>
      <c r="U47" s="4">
        <v>9</v>
      </c>
      <c r="V47" s="4">
        <v>0</v>
      </c>
      <c r="W47" s="4">
        <v>0</v>
      </c>
    </row>
    <row r="48" spans="1:23" ht="11.25" customHeight="1" x14ac:dyDescent="0.3">
      <c r="A48" s="4" t="s">
        <v>21</v>
      </c>
      <c r="B48" s="4" t="s">
        <v>34</v>
      </c>
      <c r="C48" s="4" t="s">
        <v>54</v>
      </c>
      <c r="D48" s="4" t="s">
        <v>33</v>
      </c>
      <c r="E48" s="4" t="s">
        <v>25</v>
      </c>
      <c r="F48" s="4" t="s">
        <v>55</v>
      </c>
      <c r="G48" s="4" t="s">
        <v>25</v>
      </c>
      <c r="H48" s="4" t="s">
        <v>36</v>
      </c>
      <c r="I48" s="5">
        <v>44713</v>
      </c>
      <c r="J48" s="6">
        <v>3750</v>
      </c>
      <c r="K48" s="6">
        <v>1888.4784374999999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56</v>
      </c>
      <c r="R48" s="4">
        <v>0</v>
      </c>
      <c r="S48" s="4" t="s">
        <v>143</v>
      </c>
      <c r="U48" s="4">
        <v>9</v>
      </c>
      <c r="V48" s="4">
        <v>0</v>
      </c>
      <c r="W48" s="4">
        <v>0</v>
      </c>
    </row>
    <row r="49" spans="1:23" ht="11.25" customHeight="1" x14ac:dyDescent="0.3">
      <c r="A49" s="4" t="s">
        <v>21</v>
      </c>
      <c r="B49" s="4" t="s">
        <v>34</v>
      </c>
      <c r="C49" s="4" t="s">
        <v>54</v>
      </c>
      <c r="D49" s="4" t="s">
        <v>33</v>
      </c>
      <c r="E49" s="4" t="s">
        <v>25</v>
      </c>
      <c r="F49" s="4" t="s">
        <v>55</v>
      </c>
      <c r="G49" s="4" t="s">
        <v>25</v>
      </c>
      <c r="H49" s="4" t="s">
        <v>36</v>
      </c>
      <c r="I49" s="5">
        <v>44743</v>
      </c>
      <c r="J49" s="6">
        <v>3750</v>
      </c>
      <c r="K49" s="6">
        <v>1891.9794374999999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56</v>
      </c>
      <c r="R49" s="4">
        <v>0</v>
      </c>
      <c r="S49" s="4" t="s">
        <v>144</v>
      </c>
      <c r="U49" s="4">
        <v>9</v>
      </c>
      <c r="V49" s="4">
        <v>0</v>
      </c>
      <c r="W49" s="4">
        <v>0</v>
      </c>
    </row>
    <row r="50" spans="1:23" ht="11.25" customHeight="1" x14ac:dyDescent="0.3">
      <c r="A50" s="4" t="s">
        <v>21</v>
      </c>
      <c r="B50" s="4" t="s">
        <v>34</v>
      </c>
      <c r="C50" s="4" t="s">
        <v>57</v>
      </c>
      <c r="D50" s="4" t="s">
        <v>25</v>
      </c>
      <c r="E50" s="4" t="s">
        <v>25</v>
      </c>
      <c r="F50" s="4" t="s">
        <v>25</v>
      </c>
      <c r="G50" s="4" t="s">
        <v>58</v>
      </c>
      <c r="H50" s="4" t="s">
        <v>25</v>
      </c>
      <c r="I50" s="5">
        <v>44409</v>
      </c>
      <c r="J50" s="6">
        <v>1500</v>
      </c>
      <c r="K50" s="6">
        <v>750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4" t="s">
        <v>59</v>
      </c>
      <c r="R50" s="4">
        <v>28195</v>
      </c>
      <c r="S50" s="4" t="s">
        <v>145</v>
      </c>
      <c r="U50" s="4">
        <v>17</v>
      </c>
      <c r="V50" s="4">
        <v>0</v>
      </c>
      <c r="W50" s="4">
        <v>0</v>
      </c>
    </row>
    <row r="51" spans="1:23" ht="11.25" customHeight="1" x14ac:dyDescent="0.3">
      <c r="A51" s="4" t="s">
        <v>21</v>
      </c>
      <c r="B51" s="4" t="s">
        <v>34</v>
      </c>
      <c r="C51" s="4" t="s">
        <v>57</v>
      </c>
      <c r="D51" s="4" t="s">
        <v>25</v>
      </c>
      <c r="E51" s="4" t="s">
        <v>25</v>
      </c>
      <c r="F51" s="4" t="s">
        <v>25</v>
      </c>
      <c r="G51" s="4" t="s">
        <v>60</v>
      </c>
      <c r="H51" s="4" t="s">
        <v>25</v>
      </c>
      <c r="I51" s="5">
        <v>44409</v>
      </c>
      <c r="J51" s="6">
        <v>1250</v>
      </c>
      <c r="K51" s="6">
        <v>625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4" t="s">
        <v>59</v>
      </c>
      <c r="R51" s="4">
        <v>29377</v>
      </c>
      <c r="S51" s="4" t="s">
        <v>145</v>
      </c>
      <c r="U51" s="4">
        <v>17</v>
      </c>
      <c r="V51" s="4">
        <v>0</v>
      </c>
      <c r="W51" s="4">
        <v>0</v>
      </c>
    </row>
    <row r="52" spans="1:23" ht="11.25" customHeight="1" x14ac:dyDescent="0.3">
      <c r="A52" s="4" t="s">
        <v>21</v>
      </c>
      <c r="B52" s="4" t="s">
        <v>34</v>
      </c>
      <c r="C52" s="4" t="s">
        <v>57</v>
      </c>
      <c r="D52" s="4" t="s">
        <v>25</v>
      </c>
      <c r="E52" s="4" t="s">
        <v>25</v>
      </c>
      <c r="F52" s="4" t="s">
        <v>25</v>
      </c>
      <c r="G52" s="4" t="s">
        <v>58</v>
      </c>
      <c r="H52" s="4" t="s">
        <v>25</v>
      </c>
      <c r="I52" s="5">
        <v>44440</v>
      </c>
      <c r="J52" s="6">
        <v>1500</v>
      </c>
      <c r="K52" s="6">
        <v>750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4" t="s">
        <v>59</v>
      </c>
      <c r="R52" s="4">
        <v>28195</v>
      </c>
      <c r="S52" s="4" t="s">
        <v>146</v>
      </c>
      <c r="U52" s="4">
        <v>17</v>
      </c>
      <c r="V52" s="4">
        <v>0</v>
      </c>
      <c r="W52" s="4">
        <v>0</v>
      </c>
    </row>
    <row r="53" spans="1:23" ht="11.25" customHeight="1" x14ac:dyDescent="0.3">
      <c r="A53" s="4" t="s">
        <v>21</v>
      </c>
      <c r="B53" s="4" t="s">
        <v>34</v>
      </c>
      <c r="C53" s="4" t="s">
        <v>57</v>
      </c>
      <c r="D53" s="4" t="s">
        <v>25</v>
      </c>
      <c r="E53" s="4" t="s">
        <v>25</v>
      </c>
      <c r="F53" s="4" t="s">
        <v>25</v>
      </c>
      <c r="G53" s="4" t="s">
        <v>60</v>
      </c>
      <c r="H53" s="4" t="s">
        <v>25</v>
      </c>
      <c r="I53" s="5">
        <v>44440</v>
      </c>
      <c r="J53" s="6">
        <v>1250</v>
      </c>
      <c r="K53" s="6">
        <v>625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4" t="s">
        <v>59</v>
      </c>
      <c r="R53" s="4">
        <v>29377</v>
      </c>
      <c r="S53" s="4" t="s">
        <v>146</v>
      </c>
      <c r="U53" s="4">
        <v>17</v>
      </c>
      <c r="V53" s="4">
        <v>0</v>
      </c>
      <c r="W53" s="4">
        <v>0</v>
      </c>
    </row>
    <row r="54" spans="1:23" ht="11.25" customHeight="1" x14ac:dyDescent="0.3">
      <c r="A54" s="4" t="s">
        <v>21</v>
      </c>
      <c r="B54" s="4" t="s">
        <v>34</v>
      </c>
      <c r="C54" s="4" t="s">
        <v>57</v>
      </c>
      <c r="D54" s="4" t="s">
        <v>25</v>
      </c>
      <c r="E54" s="4" t="s">
        <v>25</v>
      </c>
      <c r="F54" s="4" t="s">
        <v>25</v>
      </c>
      <c r="G54" s="4" t="s">
        <v>58</v>
      </c>
      <c r="H54" s="4" t="s">
        <v>25</v>
      </c>
      <c r="I54" s="5">
        <v>44470</v>
      </c>
      <c r="J54" s="6">
        <v>1500</v>
      </c>
      <c r="K54" s="6">
        <v>750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4" t="s">
        <v>59</v>
      </c>
      <c r="R54" s="4">
        <v>28195</v>
      </c>
      <c r="S54" s="4" t="s">
        <v>147</v>
      </c>
      <c r="U54" s="4">
        <v>17</v>
      </c>
      <c r="V54" s="4">
        <v>0</v>
      </c>
      <c r="W54" s="4">
        <v>0</v>
      </c>
    </row>
    <row r="55" spans="1:23" ht="11.25" customHeight="1" x14ac:dyDescent="0.3">
      <c r="A55" s="4" t="s">
        <v>21</v>
      </c>
      <c r="B55" s="4" t="s">
        <v>34</v>
      </c>
      <c r="C55" s="4" t="s">
        <v>57</v>
      </c>
      <c r="D55" s="4" t="s">
        <v>25</v>
      </c>
      <c r="E55" s="4" t="s">
        <v>25</v>
      </c>
      <c r="F55" s="4" t="s">
        <v>25</v>
      </c>
      <c r="G55" s="4" t="s">
        <v>60</v>
      </c>
      <c r="H55" s="4" t="s">
        <v>25</v>
      </c>
      <c r="I55" s="5">
        <v>44470</v>
      </c>
      <c r="J55" s="6">
        <v>1250</v>
      </c>
      <c r="K55" s="6">
        <v>625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4" t="s">
        <v>59</v>
      </c>
      <c r="R55" s="4">
        <v>29377</v>
      </c>
      <c r="S55" s="4" t="s">
        <v>147</v>
      </c>
      <c r="U55" s="4">
        <v>17</v>
      </c>
      <c r="V55" s="4">
        <v>0</v>
      </c>
      <c r="W55" s="4">
        <v>0</v>
      </c>
    </row>
    <row r="56" spans="1:23" ht="11.25" customHeight="1" x14ac:dyDescent="0.3">
      <c r="A56" s="4" t="s">
        <v>21</v>
      </c>
      <c r="B56" s="4" t="s">
        <v>34</v>
      </c>
      <c r="C56" s="4" t="s">
        <v>57</v>
      </c>
      <c r="D56" s="4" t="s">
        <v>25</v>
      </c>
      <c r="E56" s="4" t="s">
        <v>25</v>
      </c>
      <c r="F56" s="4" t="s">
        <v>25</v>
      </c>
      <c r="G56" s="4" t="s">
        <v>58</v>
      </c>
      <c r="H56" s="4" t="s">
        <v>25</v>
      </c>
      <c r="I56" s="5">
        <v>44501</v>
      </c>
      <c r="J56" s="6">
        <v>1500</v>
      </c>
      <c r="K56" s="6">
        <v>750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4" t="s">
        <v>59</v>
      </c>
      <c r="R56" s="4">
        <v>28195</v>
      </c>
      <c r="S56" s="4" t="s">
        <v>148</v>
      </c>
      <c r="U56" s="4">
        <v>17</v>
      </c>
      <c r="V56" s="4">
        <v>0</v>
      </c>
      <c r="W56" s="4">
        <v>0</v>
      </c>
    </row>
    <row r="57" spans="1:23" ht="11.25" customHeight="1" x14ac:dyDescent="0.3">
      <c r="A57" s="4" t="s">
        <v>21</v>
      </c>
      <c r="B57" s="4" t="s">
        <v>34</v>
      </c>
      <c r="C57" s="4" t="s">
        <v>57</v>
      </c>
      <c r="D57" s="4" t="s">
        <v>25</v>
      </c>
      <c r="E57" s="4" t="s">
        <v>25</v>
      </c>
      <c r="F57" s="4" t="s">
        <v>25</v>
      </c>
      <c r="G57" s="4" t="s">
        <v>60</v>
      </c>
      <c r="H57" s="4" t="s">
        <v>25</v>
      </c>
      <c r="I57" s="5">
        <v>44501</v>
      </c>
      <c r="J57" s="6">
        <v>1250</v>
      </c>
      <c r="K57" s="6">
        <v>625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4" t="s">
        <v>59</v>
      </c>
      <c r="R57" s="4">
        <v>29377</v>
      </c>
      <c r="S57" s="4" t="s">
        <v>148</v>
      </c>
      <c r="U57" s="4">
        <v>17</v>
      </c>
      <c r="V57" s="4">
        <v>0</v>
      </c>
      <c r="W57" s="4">
        <v>0</v>
      </c>
    </row>
    <row r="58" spans="1:23" ht="11.25" customHeight="1" x14ac:dyDescent="0.3">
      <c r="A58" s="4" t="s">
        <v>21</v>
      </c>
      <c r="B58" s="4" t="s">
        <v>34</v>
      </c>
      <c r="C58" s="4" t="s">
        <v>57</v>
      </c>
      <c r="D58" s="4" t="s">
        <v>25</v>
      </c>
      <c r="E58" s="4" t="s">
        <v>25</v>
      </c>
      <c r="F58" s="4" t="s">
        <v>25</v>
      </c>
      <c r="G58" s="4" t="s">
        <v>58</v>
      </c>
      <c r="H58" s="4" t="s">
        <v>25</v>
      </c>
      <c r="I58" s="5">
        <v>44531</v>
      </c>
      <c r="J58" s="6">
        <v>1500</v>
      </c>
      <c r="K58" s="6">
        <v>750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4" t="s">
        <v>59</v>
      </c>
      <c r="R58" s="4">
        <v>28195</v>
      </c>
      <c r="S58" s="4" t="s">
        <v>149</v>
      </c>
      <c r="U58" s="4">
        <v>17</v>
      </c>
      <c r="V58" s="4">
        <v>0</v>
      </c>
      <c r="W58" s="4">
        <v>0</v>
      </c>
    </row>
    <row r="59" spans="1:23" ht="11.25" customHeight="1" x14ac:dyDescent="0.3">
      <c r="A59" s="4" t="s">
        <v>21</v>
      </c>
      <c r="B59" s="4" t="s">
        <v>34</v>
      </c>
      <c r="C59" s="4" t="s">
        <v>57</v>
      </c>
      <c r="D59" s="4" t="s">
        <v>25</v>
      </c>
      <c r="E59" s="4" t="s">
        <v>25</v>
      </c>
      <c r="F59" s="4" t="s">
        <v>25</v>
      </c>
      <c r="G59" s="4" t="s">
        <v>60</v>
      </c>
      <c r="H59" s="4" t="s">
        <v>25</v>
      </c>
      <c r="I59" s="5">
        <v>44531</v>
      </c>
      <c r="J59" s="6">
        <v>1250</v>
      </c>
      <c r="K59" s="6">
        <v>625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4" t="s">
        <v>59</v>
      </c>
      <c r="R59" s="4">
        <v>29377</v>
      </c>
      <c r="S59" s="4" t="s">
        <v>149</v>
      </c>
      <c r="U59" s="4">
        <v>17</v>
      </c>
      <c r="V59" s="4">
        <v>0</v>
      </c>
      <c r="W59" s="4">
        <v>0</v>
      </c>
    </row>
    <row r="60" spans="1:23" ht="11.25" customHeight="1" x14ac:dyDescent="0.3">
      <c r="A60" s="4" t="s">
        <v>21</v>
      </c>
      <c r="B60" s="4" t="s">
        <v>34</v>
      </c>
      <c r="C60" s="4" t="s">
        <v>57</v>
      </c>
      <c r="D60" s="4" t="s">
        <v>25</v>
      </c>
      <c r="E60" s="4" t="s">
        <v>25</v>
      </c>
      <c r="F60" s="4" t="s">
        <v>25</v>
      </c>
      <c r="G60" s="4" t="s">
        <v>58</v>
      </c>
      <c r="H60" s="4" t="s">
        <v>25</v>
      </c>
      <c r="I60" s="5">
        <v>44562</v>
      </c>
      <c r="J60" s="6">
        <v>1500</v>
      </c>
      <c r="K60" s="6">
        <v>750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4" t="s">
        <v>59</v>
      </c>
      <c r="R60" s="4">
        <v>28195</v>
      </c>
      <c r="S60" s="4" t="s">
        <v>150</v>
      </c>
      <c r="U60" s="4">
        <v>17</v>
      </c>
      <c r="V60" s="4">
        <v>0</v>
      </c>
      <c r="W60" s="4">
        <v>0</v>
      </c>
    </row>
    <row r="61" spans="1:23" ht="11.25" customHeight="1" x14ac:dyDescent="0.3">
      <c r="A61" s="4" t="s">
        <v>21</v>
      </c>
      <c r="B61" s="4" t="s">
        <v>34</v>
      </c>
      <c r="C61" s="4" t="s">
        <v>57</v>
      </c>
      <c r="D61" s="4" t="s">
        <v>25</v>
      </c>
      <c r="E61" s="4" t="s">
        <v>25</v>
      </c>
      <c r="F61" s="4" t="s">
        <v>25</v>
      </c>
      <c r="G61" s="4" t="s">
        <v>60</v>
      </c>
      <c r="H61" s="4" t="s">
        <v>25</v>
      </c>
      <c r="I61" s="5">
        <v>44562</v>
      </c>
      <c r="J61" s="6">
        <v>1250</v>
      </c>
      <c r="K61" s="6">
        <v>625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4" t="s">
        <v>59</v>
      </c>
      <c r="R61" s="4">
        <v>29377</v>
      </c>
      <c r="S61" s="4" t="s">
        <v>150</v>
      </c>
      <c r="U61" s="4">
        <v>17</v>
      </c>
      <c r="V61" s="4">
        <v>0</v>
      </c>
      <c r="W61" s="4">
        <v>0</v>
      </c>
    </row>
    <row r="62" spans="1:23" ht="11.25" customHeight="1" x14ac:dyDescent="0.3">
      <c r="A62" s="4" t="s">
        <v>21</v>
      </c>
      <c r="B62" s="4" t="s">
        <v>34</v>
      </c>
      <c r="C62" s="4" t="s">
        <v>57</v>
      </c>
      <c r="D62" s="4" t="s">
        <v>25</v>
      </c>
      <c r="E62" s="4" t="s">
        <v>25</v>
      </c>
      <c r="F62" s="4" t="s">
        <v>25</v>
      </c>
      <c r="G62" s="4" t="s">
        <v>58</v>
      </c>
      <c r="H62" s="4" t="s">
        <v>25</v>
      </c>
      <c r="I62" s="5">
        <v>44593</v>
      </c>
      <c r="J62" s="6">
        <v>1500</v>
      </c>
      <c r="K62" s="6">
        <v>750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59</v>
      </c>
      <c r="R62" s="4">
        <v>28195</v>
      </c>
      <c r="S62" s="4" t="s">
        <v>151</v>
      </c>
      <c r="U62" s="4">
        <v>17</v>
      </c>
      <c r="V62" s="4">
        <v>0</v>
      </c>
      <c r="W62" s="4">
        <v>0</v>
      </c>
    </row>
    <row r="63" spans="1:23" ht="11.25" customHeight="1" x14ac:dyDescent="0.3">
      <c r="A63" s="4" t="s">
        <v>21</v>
      </c>
      <c r="B63" s="4" t="s">
        <v>34</v>
      </c>
      <c r="C63" s="4" t="s">
        <v>57</v>
      </c>
      <c r="D63" s="4" t="s">
        <v>25</v>
      </c>
      <c r="E63" s="4" t="s">
        <v>25</v>
      </c>
      <c r="F63" s="4" t="s">
        <v>25</v>
      </c>
      <c r="G63" s="4" t="s">
        <v>60</v>
      </c>
      <c r="H63" s="4" t="s">
        <v>25</v>
      </c>
      <c r="I63" s="5">
        <v>44593</v>
      </c>
      <c r="J63" s="6">
        <v>1250</v>
      </c>
      <c r="K63" s="6">
        <v>625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59</v>
      </c>
      <c r="R63" s="4">
        <v>29377</v>
      </c>
      <c r="S63" s="4" t="s">
        <v>151</v>
      </c>
      <c r="U63" s="4">
        <v>17</v>
      </c>
      <c r="V63" s="4">
        <v>0</v>
      </c>
      <c r="W63" s="4">
        <v>0</v>
      </c>
    </row>
    <row r="64" spans="1:23" ht="11.25" customHeight="1" x14ac:dyDescent="0.3">
      <c r="A64" s="4" t="s">
        <v>21</v>
      </c>
      <c r="B64" s="4" t="s">
        <v>34</v>
      </c>
      <c r="C64" s="4" t="s">
        <v>57</v>
      </c>
      <c r="D64" s="4" t="s">
        <v>25</v>
      </c>
      <c r="E64" s="4" t="s">
        <v>25</v>
      </c>
      <c r="F64" s="4" t="s">
        <v>25</v>
      </c>
      <c r="G64" s="4" t="s">
        <v>58</v>
      </c>
      <c r="H64" s="4" t="s">
        <v>25</v>
      </c>
      <c r="I64" s="5">
        <v>44621</v>
      </c>
      <c r="J64" s="6">
        <v>1500</v>
      </c>
      <c r="K64" s="6">
        <v>750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59</v>
      </c>
      <c r="R64" s="4">
        <v>28195</v>
      </c>
      <c r="S64" s="4" t="s">
        <v>152</v>
      </c>
      <c r="U64" s="4">
        <v>17</v>
      </c>
      <c r="V64" s="4">
        <v>0</v>
      </c>
      <c r="W64" s="4">
        <v>0</v>
      </c>
    </row>
    <row r="65" spans="1:23" ht="11.25" customHeight="1" x14ac:dyDescent="0.3">
      <c r="A65" s="4" t="s">
        <v>21</v>
      </c>
      <c r="B65" s="4" t="s">
        <v>34</v>
      </c>
      <c r="C65" s="4" t="s">
        <v>57</v>
      </c>
      <c r="D65" s="4" t="s">
        <v>25</v>
      </c>
      <c r="E65" s="4" t="s">
        <v>25</v>
      </c>
      <c r="F65" s="4" t="s">
        <v>25</v>
      </c>
      <c r="G65" s="4" t="s">
        <v>60</v>
      </c>
      <c r="H65" s="4" t="s">
        <v>25</v>
      </c>
      <c r="I65" s="5">
        <v>44621</v>
      </c>
      <c r="J65" s="6">
        <v>1250</v>
      </c>
      <c r="K65" s="6">
        <v>625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59</v>
      </c>
      <c r="R65" s="4">
        <v>29377</v>
      </c>
      <c r="S65" s="4" t="s">
        <v>152</v>
      </c>
      <c r="U65" s="4">
        <v>17</v>
      </c>
      <c r="V65" s="4">
        <v>0</v>
      </c>
      <c r="W65" s="4">
        <v>0</v>
      </c>
    </row>
    <row r="66" spans="1:23" ht="11.25" customHeight="1" x14ac:dyDescent="0.3">
      <c r="A66" s="4" t="s">
        <v>21</v>
      </c>
      <c r="B66" s="4" t="s">
        <v>34</v>
      </c>
      <c r="C66" s="4" t="s">
        <v>57</v>
      </c>
      <c r="D66" s="4" t="s">
        <v>25</v>
      </c>
      <c r="E66" s="4" t="s">
        <v>25</v>
      </c>
      <c r="F66" s="4" t="s">
        <v>25</v>
      </c>
      <c r="G66" s="4" t="s">
        <v>58</v>
      </c>
      <c r="H66" s="4" t="s">
        <v>25</v>
      </c>
      <c r="I66" s="5">
        <v>44652</v>
      </c>
      <c r="J66" s="6">
        <v>1500</v>
      </c>
      <c r="K66" s="6">
        <v>750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59</v>
      </c>
      <c r="R66" s="4">
        <v>28195</v>
      </c>
      <c r="S66" s="4" t="s">
        <v>153</v>
      </c>
      <c r="U66" s="4">
        <v>17</v>
      </c>
      <c r="V66" s="4">
        <v>0</v>
      </c>
      <c r="W66" s="4">
        <v>0</v>
      </c>
    </row>
    <row r="67" spans="1:23" ht="11.25" customHeight="1" x14ac:dyDescent="0.3">
      <c r="A67" s="4" t="s">
        <v>21</v>
      </c>
      <c r="B67" s="4" t="s">
        <v>34</v>
      </c>
      <c r="C67" s="4" t="s">
        <v>57</v>
      </c>
      <c r="D67" s="4" t="s">
        <v>25</v>
      </c>
      <c r="E67" s="4" t="s">
        <v>25</v>
      </c>
      <c r="F67" s="4" t="s">
        <v>25</v>
      </c>
      <c r="G67" s="4" t="s">
        <v>60</v>
      </c>
      <c r="H67" s="4" t="s">
        <v>25</v>
      </c>
      <c r="I67" s="5">
        <v>44652</v>
      </c>
      <c r="J67" s="6">
        <v>1250</v>
      </c>
      <c r="K67" s="6">
        <v>625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59</v>
      </c>
      <c r="R67" s="4">
        <v>29377</v>
      </c>
      <c r="S67" s="4" t="s">
        <v>153</v>
      </c>
      <c r="U67" s="4">
        <v>17</v>
      </c>
      <c r="V67" s="4">
        <v>0</v>
      </c>
      <c r="W67" s="4">
        <v>0</v>
      </c>
    </row>
    <row r="68" spans="1:23" ht="11.25" customHeight="1" x14ac:dyDescent="0.3">
      <c r="A68" s="4" t="s">
        <v>21</v>
      </c>
      <c r="B68" s="4" t="s">
        <v>34</v>
      </c>
      <c r="C68" s="4" t="s">
        <v>57</v>
      </c>
      <c r="D68" s="4" t="s">
        <v>25</v>
      </c>
      <c r="E68" s="4" t="s">
        <v>25</v>
      </c>
      <c r="F68" s="4" t="s">
        <v>25</v>
      </c>
      <c r="G68" s="4" t="s">
        <v>58</v>
      </c>
      <c r="H68" s="4" t="s">
        <v>25</v>
      </c>
      <c r="I68" s="5">
        <v>44682</v>
      </c>
      <c r="J68" s="6">
        <v>1500</v>
      </c>
      <c r="K68" s="6">
        <v>750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59</v>
      </c>
      <c r="R68" s="4">
        <v>28195</v>
      </c>
      <c r="S68" s="4" t="s">
        <v>154</v>
      </c>
      <c r="U68" s="4">
        <v>17</v>
      </c>
      <c r="V68" s="4">
        <v>0</v>
      </c>
      <c r="W68" s="4">
        <v>0</v>
      </c>
    </row>
    <row r="69" spans="1:23" ht="11.25" customHeight="1" x14ac:dyDescent="0.3">
      <c r="A69" s="4" t="s">
        <v>21</v>
      </c>
      <c r="B69" s="4" t="s">
        <v>34</v>
      </c>
      <c r="C69" s="4" t="s">
        <v>57</v>
      </c>
      <c r="D69" s="4" t="s">
        <v>25</v>
      </c>
      <c r="E69" s="4" t="s">
        <v>25</v>
      </c>
      <c r="F69" s="4" t="s">
        <v>25</v>
      </c>
      <c r="G69" s="4" t="s">
        <v>60</v>
      </c>
      <c r="H69" s="4" t="s">
        <v>25</v>
      </c>
      <c r="I69" s="5">
        <v>44682</v>
      </c>
      <c r="J69" s="6">
        <v>1250</v>
      </c>
      <c r="K69" s="6">
        <v>625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59</v>
      </c>
      <c r="R69" s="4">
        <v>29377</v>
      </c>
      <c r="S69" s="4" t="s">
        <v>154</v>
      </c>
      <c r="U69" s="4">
        <v>17</v>
      </c>
      <c r="V69" s="4">
        <v>0</v>
      </c>
      <c r="W69" s="4">
        <v>0</v>
      </c>
    </row>
    <row r="70" spans="1:23" ht="11.25" customHeight="1" x14ac:dyDescent="0.3">
      <c r="A70" s="4" t="s">
        <v>21</v>
      </c>
      <c r="B70" s="4" t="s">
        <v>34</v>
      </c>
      <c r="C70" s="4" t="s">
        <v>57</v>
      </c>
      <c r="D70" s="4" t="s">
        <v>25</v>
      </c>
      <c r="E70" s="4" t="s">
        <v>25</v>
      </c>
      <c r="F70" s="4" t="s">
        <v>25</v>
      </c>
      <c r="G70" s="4" t="s">
        <v>58</v>
      </c>
      <c r="H70" s="4" t="s">
        <v>25</v>
      </c>
      <c r="I70" s="5">
        <v>44713</v>
      </c>
      <c r="J70" s="6">
        <v>1500</v>
      </c>
      <c r="K70" s="6">
        <v>750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59</v>
      </c>
      <c r="R70" s="4">
        <v>28195</v>
      </c>
      <c r="S70" s="4" t="s">
        <v>155</v>
      </c>
      <c r="U70" s="4">
        <v>17</v>
      </c>
      <c r="V70" s="4">
        <v>0</v>
      </c>
      <c r="W70" s="4">
        <v>0</v>
      </c>
    </row>
    <row r="71" spans="1:23" ht="11.25" customHeight="1" x14ac:dyDescent="0.3">
      <c r="A71" s="4" t="s">
        <v>21</v>
      </c>
      <c r="B71" s="4" t="s">
        <v>34</v>
      </c>
      <c r="C71" s="4" t="s">
        <v>57</v>
      </c>
      <c r="D71" s="4" t="s">
        <v>25</v>
      </c>
      <c r="E71" s="4" t="s">
        <v>25</v>
      </c>
      <c r="F71" s="4" t="s">
        <v>25</v>
      </c>
      <c r="G71" s="4" t="s">
        <v>60</v>
      </c>
      <c r="H71" s="4" t="s">
        <v>25</v>
      </c>
      <c r="I71" s="5">
        <v>44713</v>
      </c>
      <c r="J71" s="6">
        <v>1250</v>
      </c>
      <c r="K71" s="6">
        <v>625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59</v>
      </c>
      <c r="R71" s="4">
        <v>29377</v>
      </c>
      <c r="S71" s="4" t="s">
        <v>155</v>
      </c>
      <c r="U71" s="4">
        <v>17</v>
      </c>
      <c r="V71" s="4">
        <v>0</v>
      </c>
      <c r="W71" s="4">
        <v>0</v>
      </c>
    </row>
    <row r="72" spans="1:23" ht="11.25" customHeight="1" x14ac:dyDescent="0.3">
      <c r="A72" s="4" t="s">
        <v>21</v>
      </c>
      <c r="B72" s="4" t="s">
        <v>34</v>
      </c>
      <c r="C72" s="4" t="s">
        <v>57</v>
      </c>
      <c r="D72" s="4" t="s">
        <v>25</v>
      </c>
      <c r="E72" s="4" t="s">
        <v>25</v>
      </c>
      <c r="F72" s="4" t="s">
        <v>25</v>
      </c>
      <c r="G72" s="4" t="s">
        <v>58</v>
      </c>
      <c r="H72" s="4" t="s">
        <v>25</v>
      </c>
      <c r="I72" s="5">
        <v>44743</v>
      </c>
      <c r="J72" s="6">
        <v>1500</v>
      </c>
      <c r="K72" s="6">
        <v>750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59</v>
      </c>
      <c r="R72" s="4">
        <v>28195</v>
      </c>
      <c r="S72" s="4" t="s">
        <v>156</v>
      </c>
      <c r="U72" s="4">
        <v>17</v>
      </c>
      <c r="V72" s="4">
        <v>0</v>
      </c>
      <c r="W72" s="4">
        <v>0</v>
      </c>
    </row>
    <row r="73" spans="1:23" ht="11.25" customHeight="1" x14ac:dyDescent="0.3">
      <c r="A73" s="4" t="s">
        <v>21</v>
      </c>
      <c r="B73" s="4" t="s">
        <v>34</v>
      </c>
      <c r="C73" s="4" t="s">
        <v>57</v>
      </c>
      <c r="D73" s="4" t="s">
        <v>25</v>
      </c>
      <c r="E73" s="4" t="s">
        <v>25</v>
      </c>
      <c r="F73" s="4" t="s">
        <v>25</v>
      </c>
      <c r="G73" s="4" t="s">
        <v>60</v>
      </c>
      <c r="H73" s="4" t="s">
        <v>25</v>
      </c>
      <c r="I73" s="5">
        <v>44743</v>
      </c>
      <c r="J73" s="6">
        <v>1250</v>
      </c>
      <c r="K73" s="6">
        <v>625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59</v>
      </c>
      <c r="R73" s="4">
        <v>29377</v>
      </c>
      <c r="S73" s="4" t="s">
        <v>156</v>
      </c>
      <c r="U73" s="4">
        <v>17</v>
      </c>
      <c r="V73" s="4">
        <v>0</v>
      </c>
      <c r="W73" s="4">
        <v>0</v>
      </c>
    </row>
    <row r="74" spans="1:23" ht="11.25" customHeight="1" x14ac:dyDescent="0.3">
      <c r="A74" s="4" t="s">
        <v>21</v>
      </c>
      <c r="B74" s="4" t="s">
        <v>34</v>
      </c>
      <c r="C74" s="4" t="s">
        <v>35</v>
      </c>
      <c r="D74" s="4" t="s">
        <v>40</v>
      </c>
      <c r="E74" s="4" t="s">
        <v>25</v>
      </c>
      <c r="F74" s="4" t="s">
        <v>25</v>
      </c>
      <c r="G74" s="4" t="s">
        <v>25</v>
      </c>
      <c r="H74" s="4" t="s">
        <v>37</v>
      </c>
      <c r="I74" s="5">
        <v>44409</v>
      </c>
      <c r="J74" s="6">
        <v>0</v>
      </c>
      <c r="K74" s="6">
        <v>0</v>
      </c>
      <c r="L74" s="6">
        <v>41.445</v>
      </c>
      <c r="M74" s="6">
        <v>41.445</v>
      </c>
      <c r="N74" s="6">
        <v>41.445</v>
      </c>
      <c r="O74" s="6">
        <v>41.445</v>
      </c>
      <c r="P74" s="6">
        <v>0</v>
      </c>
      <c r="Q74" s="4" t="s">
        <v>26</v>
      </c>
      <c r="R74" s="4">
        <v>0</v>
      </c>
      <c r="S74" s="4" t="s">
        <v>157</v>
      </c>
      <c r="T74" s="4" t="s">
        <v>326</v>
      </c>
      <c r="U74" s="4">
        <v>0</v>
      </c>
      <c r="V74" s="4">
        <v>22</v>
      </c>
      <c r="W74" s="4">
        <v>84</v>
      </c>
    </row>
    <row r="75" spans="1:23" ht="11.25" customHeight="1" x14ac:dyDescent="0.3">
      <c r="A75" s="4" t="s">
        <v>27</v>
      </c>
      <c r="B75" s="4" t="s">
        <v>34</v>
      </c>
      <c r="C75" s="4" t="s">
        <v>35</v>
      </c>
      <c r="D75" s="4" t="s">
        <v>40</v>
      </c>
      <c r="E75" s="4" t="s">
        <v>25</v>
      </c>
      <c r="F75" s="4" t="s">
        <v>25</v>
      </c>
      <c r="G75" s="4" t="s">
        <v>25</v>
      </c>
      <c r="H75" s="4" t="s">
        <v>37</v>
      </c>
      <c r="I75" s="5">
        <v>44409</v>
      </c>
      <c r="J75" s="6">
        <v>0</v>
      </c>
      <c r="K75" s="6">
        <v>0</v>
      </c>
      <c r="L75" s="6">
        <v>6.4008000000000003</v>
      </c>
      <c r="M75" s="6">
        <v>6.4008000000000003</v>
      </c>
      <c r="N75" s="6">
        <v>6.4008000000000003</v>
      </c>
      <c r="O75" s="6">
        <v>6.4008000000000003</v>
      </c>
      <c r="P75" s="6">
        <v>0</v>
      </c>
      <c r="Q75" s="4" t="s">
        <v>26</v>
      </c>
      <c r="R75" s="4">
        <v>0</v>
      </c>
      <c r="S75" s="4" t="s">
        <v>157</v>
      </c>
      <c r="T75" s="4" t="s">
        <v>326</v>
      </c>
      <c r="U75" s="4">
        <v>0</v>
      </c>
      <c r="V75" s="4">
        <v>22</v>
      </c>
      <c r="W75" s="4">
        <v>84</v>
      </c>
    </row>
    <row r="76" spans="1:23" ht="11.25" customHeight="1" x14ac:dyDescent="0.3">
      <c r="A76" s="4" t="s">
        <v>21</v>
      </c>
      <c r="B76" s="4" t="s">
        <v>34</v>
      </c>
      <c r="C76" s="4" t="s">
        <v>35</v>
      </c>
      <c r="D76" s="4" t="s">
        <v>40</v>
      </c>
      <c r="E76" s="4" t="s">
        <v>25</v>
      </c>
      <c r="F76" s="4" t="s">
        <v>25</v>
      </c>
      <c r="G76" s="4" t="s">
        <v>25</v>
      </c>
      <c r="H76" s="4" t="s">
        <v>37</v>
      </c>
      <c r="I76" s="5">
        <v>44440</v>
      </c>
      <c r="J76" s="6">
        <v>0</v>
      </c>
      <c r="K76" s="6">
        <v>0</v>
      </c>
      <c r="L76" s="6">
        <v>43.096699999999998</v>
      </c>
      <c r="M76" s="6">
        <v>43.096699999999998</v>
      </c>
      <c r="N76" s="6">
        <v>43.096699999999998</v>
      </c>
      <c r="O76" s="6">
        <v>43.096699999999998</v>
      </c>
      <c r="P76" s="6">
        <v>0</v>
      </c>
      <c r="Q76" s="4" t="s">
        <v>26</v>
      </c>
      <c r="R76" s="4">
        <v>0</v>
      </c>
      <c r="S76" s="4" t="s">
        <v>158</v>
      </c>
      <c r="T76" s="4" t="s">
        <v>327</v>
      </c>
      <c r="U76" s="4">
        <v>0</v>
      </c>
      <c r="V76" s="4">
        <v>22</v>
      </c>
      <c r="W76" s="4">
        <v>84</v>
      </c>
    </row>
    <row r="77" spans="1:23" ht="11.25" customHeight="1" x14ac:dyDescent="0.3">
      <c r="A77" s="4" t="s">
        <v>27</v>
      </c>
      <c r="B77" s="4" t="s">
        <v>34</v>
      </c>
      <c r="C77" s="4" t="s">
        <v>35</v>
      </c>
      <c r="D77" s="4" t="s">
        <v>40</v>
      </c>
      <c r="E77" s="4" t="s">
        <v>25</v>
      </c>
      <c r="F77" s="4" t="s">
        <v>25</v>
      </c>
      <c r="G77" s="4" t="s">
        <v>25</v>
      </c>
      <c r="H77" s="4" t="s">
        <v>37</v>
      </c>
      <c r="I77" s="5">
        <v>44440</v>
      </c>
      <c r="J77" s="6">
        <v>0</v>
      </c>
      <c r="K77" s="6">
        <v>0</v>
      </c>
      <c r="L77" s="6">
        <v>5.1446899999999998</v>
      </c>
      <c r="M77" s="6">
        <v>5.1446899999999998</v>
      </c>
      <c r="N77" s="6">
        <v>5.1446899999999998</v>
      </c>
      <c r="O77" s="6">
        <v>5.1446899999999998</v>
      </c>
      <c r="P77" s="6">
        <v>0</v>
      </c>
      <c r="Q77" s="4" t="s">
        <v>26</v>
      </c>
      <c r="R77" s="4">
        <v>0</v>
      </c>
      <c r="S77" s="4" t="s">
        <v>158</v>
      </c>
      <c r="T77" s="4" t="s">
        <v>327</v>
      </c>
      <c r="U77" s="4">
        <v>0</v>
      </c>
      <c r="V77" s="4">
        <v>22</v>
      </c>
      <c r="W77" s="4">
        <v>84</v>
      </c>
    </row>
    <row r="78" spans="1:23" ht="11.25" customHeight="1" x14ac:dyDescent="0.3">
      <c r="A78" s="4" t="s">
        <v>21</v>
      </c>
      <c r="B78" s="4" t="s">
        <v>34</v>
      </c>
      <c r="C78" s="4" t="s">
        <v>35</v>
      </c>
      <c r="D78" s="4" t="s">
        <v>40</v>
      </c>
      <c r="E78" s="4" t="s">
        <v>25</v>
      </c>
      <c r="F78" s="4" t="s">
        <v>25</v>
      </c>
      <c r="G78" s="4" t="s">
        <v>25</v>
      </c>
      <c r="H78" s="4" t="s">
        <v>37</v>
      </c>
      <c r="I78" s="5">
        <v>44470</v>
      </c>
      <c r="J78" s="6">
        <v>0</v>
      </c>
      <c r="K78" s="6">
        <v>0</v>
      </c>
      <c r="L78" s="6">
        <v>43.770319999999998</v>
      </c>
      <c r="M78" s="6">
        <v>43.770319999999998</v>
      </c>
      <c r="N78" s="6">
        <v>43.770319999999998</v>
      </c>
      <c r="O78" s="6">
        <v>43.770319999999998</v>
      </c>
      <c r="P78" s="6">
        <v>0</v>
      </c>
      <c r="Q78" s="4" t="s">
        <v>26</v>
      </c>
      <c r="R78" s="4">
        <v>0</v>
      </c>
      <c r="S78" s="4" t="s">
        <v>159</v>
      </c>
      <c r="T78" s="4" t="s">
        <v>328</v>
      </c>
      <c r="U78" s="4">
        <v>0</v>
      </c>
      <c r="V78" s="4">
        <v>22</v>
      </c>
      <c r="W78" s="4">
        <v>84</v>
      </c>
    </row>
    <row r="79" spans="1:23" ht="11.25" customHeight="1" x14ac:dyDescent="0.3">
      <c r="A79" s="4" t="s">
        <v>27</v>
      </c>
      <c r="B79" s="4" t="s">
        <v>34</v>
      </c>
      <c r="C79" s="4" t="s">
        <v>35</v>
      </c>
      <c r="D79" s="4" t="s">
        <v>40</v>
      </c>
      <c r="E79" s="4" t="s">
        <v>25</v>
      </c>
      <c r="F79" s="4" t="s">
        <v>25</v>
      </c>
      <c r="G79" s="4" t="s">
        <v>25</v>
      </c>
      <c r="H79" s="4" t="s">
        <v>37</v>
      </c>
      <c r="I79" s="5">
        <v>44470</v>
      </c>
      <c r="J79" s="6">
        <v>0</v>
      </c>
      <c r="K79" s="6">
        <v>0</v>
      </c>
      <c r="L79" s="6">
        <v>4.6870599999999998</v>
      </c>
      <c r="M79" s="6">
        <v>4.6870599999999998</v>
      </c>
      <c r="N79" s="6">
        <v>4.6870599999999998</v>
      </c>
      <c r="O79" s="6">
        <v>4.6870599999999998</v>
      </c>
      <c r="P79" s="6">
        <v>0</v>
      </c>
      <c r="Q79" s="4" t="s">
        <v>26</v>
      </c>
      <c r="R79" s="4">
        <v>0</v>
      </c>
      <c r="S79" s="4" t="s">
        <v>159</v>
      </c>
      <c r="T79" s="4" t="s">
        <v>328</v>
      </c>
      <c r="U79" s="4">
        <v>0</v>
      </c>
      <c r="V79" s="4">
        <v>22</v>
      </c>
      <c r="W79" s="4">
        <v>84</v>
      </c>
    </row>
    <row r="80" spans="1:23" ht="11.25" customHeight="1" x14ac:dyDescent="0.3">
      <c r="A80" s="4" t="s">
        <v>21</v>
      </c>
      <c r="B80" s="4" t="s">
        <v>34</v>
      </c>
      <c r="C80" s="4" t="s">
        <v>35</v>
      </c>
      <c r="D80" s="4" t="s">
        <v>40</v>
      </c>
      <c r="E80" s="4" t="s">
        <v>25</v>
      </c>
      <c r="F80" s="4" t="s">
        <v>25</v>
      </c>
      <c r="G80" s="4" t="s">
        <v>25</v>
      </c>
      <c r="H80" s="4" t="s">
        <v>37</v>
      </c>
      <c r="I80" s="5">
        <v>44501</v>
      </c>
      <c r="J80" s="6">
        <v>0</v>
      </c>
      <c r="K80" s="6">
        <v>0</v>
      </c>
      <c r="L80" s="6">
        <v>47.860999999999997</v>
      </c>
      <c r="M80" s="6">
        <v>47.860999999999997</v>
      </c>
      <c r="N80" s="6">
        <v>47.860999999999997</v>
      </c>
      <c r="O80" s="6">
        <v>47.860999999999997</v>
      </c>
      <c r="P80" s="6">
        <v>0</v>
      </c>
      <c r="Q80" s="4" t="s">
        <v>26</v>
      </c>
      <c r="R80" s="4">
        <v>0</v>
      </c>
      <c r="S80" s="4" t="s">
        <v>160</v>
      </c>
      <c r="T80" s="4" t="s">
        <v>329</v>
      </c>
      <c r="U80" s="4">
        <v>0</v>
      </c>
      <c r="V80" s="4">
        <v>22</v>
      </c>
      <c r="W80" s="4">
        <v>84</v>
      </c>
    </row>
    <row r="81" spans="1:23" ht="11.25" customHeight="1" x14ac:dyDescent="0.3">
      <c r="A81" s="4" t="s">
        <v>27</v>
      </c>
      <c r="B81" s="4" t="s">
        <v>34</v>
      </c>
      <c r="C81" s="4" t="s">
        <v>35</v>
      </c>
      <c r="D81" s="4" t="s">
        <v>40</v>
      </c>
      <c r="E81" s="4" t="s">
        <v>25</v>
      </c>
      <c r="F81" s="4" t="s">
        <v>25</v>
      </c>
      <c r="G81" s="4" t="s">
        <v>25</v>
      </c>
      <c r="H81" s="4" t="s">
        <v>37</v>
      </c>
      <c r="I81" s="5">
        <v>44501</v>
      </c>
      <c r="J81" s="6">
        <v>0</v>
      </c>
      <c r="K81" s="6">
        <v>0</v>
      </c>
      <c r="L81" s="6">
        <v>5.4560000000000004</v>
      </c>
      <c r="M81" s="6">
        <v>5.4560000000000004</v>
      </c>
      <c r="N81" s="6">
        <v>5.4560000000000004</v>
      </c>
      <c r="O81" s="6">
        <v>5.4560000000000004</v>
      </c>
      <c r="P81" s="6">
        <v>0</v>
      </c>
      <c r="Q81" s="4" t="s">
        <v>26</v>
      </c>
      <c r="R81" s="4">
        <v>0</v>
      </c>
      <c r="S81" s="4" t="s">
        <v>160</v>
      </c>
      <c r="T81" s="4" t="s">
        <v>329</v>
      </c>
      <c r="U81" s="4">
        <v>0</v>
      </c>
      <c r="V81" s="4">
        <v>22</v>
      </c>
      <c r="W81" s="4">
        <v>84</v>
      </c>
    </row>
    <row r="82" spans="1:23" ht="11.25" customHeight="1" x14ac:dyDescent="0.3">
      <c r="A82" s="4" t="s">
        <v>21</v>
      </c>
      <c r="B82" s="4" t="s">
        <v>34</v>
      </c>
      <c r="C82" s="4" t="s">
        <v>35</v>
      </c>
      <c r="D82" s="4" t="s">
        <v>40</v>
      </c>
      <c r="E82" s="4" t="s">
        <v>25</v>
      </c>
      <c r="F82" s="4" t="s">
        <v>25</v>
      </c>
      <c r="G82" s="4" t="s">
        <v>25</v>
      </c>
      <c r="H82" s="4" t="s">
        <v>37</v>
      </c>
      <c r="I82" s="5">
        <v>44531</v>
      </c>
      <c r="J82" s="6">
        <v>0</v>
      </c>
      <c r="K82" s="6">
        <v>0</v>
      </c>
      <c r="L82" s="6">
        <v>54.847859999999997</v>
      </c>
      <c r="M82" s="6">
        <v>54.847859999999997</v>
      </c>
      <c r="N82" s="6">
        <v>54.847859999999997</v>
      </c>
      <c r="O82" s="6">
        <v>54.847859999999997</v>
      </c>
      <c r="P82" s="6">
        <v>0</v>
      </c>
      <c r="Q82" s="4" t="s">
        <v>26</v>
      </c>
      <c r="R82" s="4">
        <v>0</v>
      </c>
      <c r="S82" s="4" t="s">
        <v>161</v>
      </c>
      <c r="T82" s="4" t="s">
        <v>330</v>
      </c>
      <c r="U82" s="4">
        <v>0</v>
      </c>
      <c r="V82" s="4">
        <v>22</v>
      </c>
      <c r="W82" s="4">
        <v>84</v>
      </c>
    </row>
    <row r="83" spans="1:23" ht="11.25" customHeight="1" x14ac:dyDescent="0.3">
      <c r="A83" s="4" t="s">
        <v>27</v>
      </c>
      <c r="B83" s="4" t="s">
        <v>34</v>
      </c>
      <c r="C83" s="4" t="s">
        <v>35</v>
      </c>
      <c r="D83" s="4" t="s">
        <v>40</v>
      </c>
      <c r="E83" s="4" t="s">
        <v>25</v>
      </c>
      <c r="F83" s="4" t="s">
        <v>25</v>
      </c>
      <c r="G83" s="4" t="s">
        <v>25</v>
      </c>
      <c r="H83" s="4" t="s">
        <v>37</v>
      </c>
      <c r="I83" s="5">
        <v>44531</v>
      </c>
      <c r="J83" s="6">
        <v>0</v>
      </c>
      <c r="K83" s="6">
        <v>0</v>
      </c>
      <c r="L83" s="6">
        <v>8.0050000000000008</v>
      </c>
      <c r="M83" s="6">
        <v>8.0050000000000008</v>
      </c>
      <c r="N83" s="6">
        <v>8.0050000000000008</v>
      </c>
      <c r="O83" s="6">
        <v>8.0050000000000008</v>
      </c>
      <c r="P83" s="6">
        <v>0</v>
      </c>
      <c r="Q83" s="4" t="s">
        <v>26</v>
      </c>
      <c r="R83" s="4">
        <v>0</v>
      </c>
      <c r="S83" s="4" t="s">
        <v>161</v>
      </c>
      <c r="T83" s="4" t="s">
        <v>330</v>
      </c>
      <c r="U83" s="4">
        <v>0</v>
      </c>
      <c r="V83" s="4">
        <v>22</v>
      </c>
      <c r="W83" s="4">
        <v>84</v>
      </c>
    </row>
    <row r="84" spans="1:23" ht="11.25" customHeight="1" x14ac:dyDescent="0.3">
      <c r="A84" s="4" t="s">
        <v>21</v>
      </c>
      <c r="B84" s="4" t="s">
        <v>34</v>
      </c>
      <c r="C84" s="4" t="s">
        <v>35</v>
      </c>
      <c r="D84" s="4" t="s">
        <v>40</v>
      </c>
      <c r="E84" s="4" t="s">
        <v>25</v>
      </c>
      <c r="F84" s="4" t="s">
        <v>25</v>
      </c>
      <c r="G84" s="4" t="s">
        <v>25</v>
      </c>
      <c r="H84" s="4" t="s">
        <v>37</v>
      </c>
      <c r="I84" s="5">
        <v>44562</v>
      </c>
      <c r="J84" s="6">
        <v>0</v>
      </c>
      <c r="K84" s="6">
        <v>0</v>
      </c>
      <c r="L84" s="6">
        <v>59.790999999999997</v>
      </c>
      <c r="M84" s="6">
        <v>59.790999999999997</v>
      </c>
      <c r="N84" s="6">
        <v>59.790999999999997</v>
      </c>
      <c r="O84" s="6">
        <v>59.790999999999997</v>
      </c>
      <c r="P84" s="6">
        <v>0</v>
      </c>
      <c r="Q84" s="4" t="s">
        <v>26</v>
      </c>
      <c r="R84" s="4">
        <v>0</v>
      </c>
      <c r="S84" s="4" t="s">
        <v>162</v>
      </c>
      <c r="T84" s="4" t="s">
        <v>331</v>
      </c>
      <c r="U84" s="4">
        <v>0</v>
      </c>
      <c r="V84" s="4">
        <v>22</v>
      </c>
      <c r="W84" s="4">
        <v>84</v>
      </c>
    </row>
    <row r="85" spans="1:23" ht="11.25" customHeight="1" x14ac:dyDescent="0.3">
      <c r="A85" s="4" t="s">
        <v>27</v>
      </c>
      <c r="B85" s="4" t="s">
        <v>34</v>
      </c>
      <c r="C85" s="4" t="s">
        <v>35</v>
      </c>
      <c r="D85" s="4" t="s">
        <v>40</v>
      </c>
      <c r="E85" s="4" t="s">
        <v>25</v>
      </c>
      <c r="F85" s="4" t="s">
        <v>25</v>
      </c>
      <c r="G85" s="4" t="s">
        <v>25</v>
      </c>
      <c r="H85" s="4" t="s">
        <v>37</v>
      </c>
      <c r="I85" s="5">
        <v>44562</v>
      </c>
      <c r="J85" s="6">
        <v>0</v>
      </c>
      <c r="K85" s="6">
        <v>0</v>
      </c>
      <c r="L85" s="6">
        <v>12.615</v>
      </c>
      <c r="M85" s="6">
        <v>12.615</v>
      </c>
      <c r="N85" s="6">
        <v>12.615</v>
      </c>
      <c r="O85" s="6">
        <v>12.615</v>
      </c>
      <c r="P85" s="6">
        <v>0</v>
      </c>
      <c r="Q85" s="4" t="s">
        <v>26</v>
      </c>
      <c r="R85" s="4">
        <v>0</v>
      </c>
      <c r="S85" s="4" t="s">
        <v>162</v>
      </c>
      <c r="T85" s="4" t="s">
        <v>331</v>
      </c>
      <c r="U85" s="4">
        <v>0</v>
      </c>
      <c r="V85" s="4">
        <v>22</v>
      </c>
      <c r="W85" s="4">
        <v>84</v>
      </c>
    </row>
    <row r="86" spans="1:23" ht="11.25" customHeight="1" x14ac:dyDescent="0.3">
      <c r="A86" s="4" t="s">
        <v>21</v>
      </c>
      <c r="B86" s="4" t="s">
        <v>34</v>
      </c>
      <c r="C86" s="4" t="s">
        <v>35</v>
      </c>
      <c r="D86" s="4" t="s">
        <v>40</v>
      </c>
      <c r="E86" s="4" t="s">
        <v>25</v>
      </c>
      <c r="F86" s="4" t="s">
        <v>25</v>
      </c>
      <c r="G86" s="4" t="s">
        <v>25</v>
      </c>
      <c r="H86" s="4" t="s">
        <v>37</v>
      </c>
      <c r="I86" s="5">
        <v>44593</v>
      </c>
      <c r="J86" s="6">
        <v>0</v>
      </c>
      <c r="K86" s="6">
        <v>0</v>
      </c>
      <c r="L86" s="6">
        <v>51.537999999999997</v>
      </c>
      <c r="M86" s="6">
        <v>51.537999999999997</v>
      </c>
      <c r="N86" s="6">
        <v>51.537999999999997</v>
      </c>
      <c r="O86" s="6">
        <v>51.537999999999997</v>
      </c>
      <c r="P86" s="6">
        <v>0</v>
      </c>
      <c r="Q86" s="4" t="s">
        <v>26</v>
      </c>
      <c r="R86" s="4">
        <v>0</v>
      </c>
      <c r="S86" s="4" t="s">
        <v>163</v>
      </c>
      <c r="T86" s="4" t="s">
        <v>332</v>
      </c>
      <c r="U86" s="4">
        <v>0</v>
      </c>
      <c r="V86" s="4">
        <v>22</v>
      </c>
      <c r="W86" s="4">
        <v>84</v>
      </c>
    </row>
    <row r="87" spans="1:23" ht="11.25" customHeight="1" x14ac:dyDescent="0.3">
      <c r="A87" s="4" t="s">
        <v>27</v>
      </c>
      <c r="B87" s="4" t="s">
        <v>34</v>
      </c>
      <c r="C87" s="4" t="s">
        <v>35</v>
      </c>
      <c r="D87" s="4" t="s">
        <v>40</v>
      </c>
      <c r="E87" s="4" t="s">
        <v>25</v>
      </c>
      <c r="F87" s="4" t="s">
        <v>25</v>
      </c>
      <c r="G87" s="4" t="s">
        <v>25</v>
      </c>
      <c r="H87" s="4" t="s">
        <v>37</v>
      </c>
      <c r="I87" s="5">
        <v>44593</v>
      </c>
      <c r="J87" s="6">
        <v>0</v>
      </c>
      <c r="K87" s="6">
        <v>0</v>
      </c>
      <c r="L87" s="6">
        <v>10.870419999999999</v>
      </c>
      <c r="M87" s="6">
        <v>10.870419999999999</v>
      </c>
      <c r="N87" s="6">
        <v>10.870419999999999</v>
      </c>
      <c r="O87" s="6">
        <v>10.870419999999999</v>
      </c>
      <c r="P87" s="6">
        <v>0</v>
      </c>
      <c r="Q87" s="4" t="s">
        <v>26</v>
      </c>
      <c r="R87" s="4">
        <v>0</v>
      </c>
      <c r="S87" s="4" t="s">
        <v>163</v>
      </c>
      <c r="T87" s="4" t="s">
        <v>332</v>
      </c>
      <c r="U87" s="4">
        <v>0</v>
      </c>
      <c r="V87" s="4">
        <v>22</v>
      </c>
      <c r="W87" s="4">
        <v>84</v>
      </c>
    </row>
    <row r="88" spans="1:23" ht="11.25" customHeight="1" x14ac:dyDescent="0.3">
      <c r="A88" s="4" t="s">
        <v>21</v>
      </c>
      <c r="B88" s="4" t="s">
        <v>34</v>
      </c>
      <c r="C88" s="4" t="s">
        <v>35</v>
      </c>
      <c r="D88" s="4" t="s">
        <v>40</v>
      </c>
      <c r="E88" s="4" t="s">
        <v>25</v>
      </c>
      <c r="F88" s="4" t="s">
        <v>25</v>
      </c>
      <c r="G88" s="4" t="s">
        <v>25</v>
      </c>
      <c r="H88" s="4" t="s">
        <v>37</v>
      </c>
      <c r="I88" s="5">
        <v>44621</v>
      </c>
      <c r="J88" s="6">
        <v>0</v>
      </c>
      <c r="K88" s="6">
        <v>0</v>
      </c>
      <c r="L88" s="6">
        <v>51.117379999999997</v>
      </c>
      <c r="M88" s="6">
        <v>51.117379999999997</v>
      </c>
      <c r="N88" s="6">
        <v>51.117379999999997</v>
      </c>
      <c r="O88" s="6">
        <v>51.117379999999997</v>
      </c>
      <c r="P88" s="6">
        <v>0</v>
      </c>
      <c r="Q88" s="4" t="s">
        <v>26</v>
      </c>
      <c r="R88" s="4">
        <v>0</v>
      </c>
      <c r="S88" s="4" t="s">
        <v>164</v>
      </c>
      <c r="T88" s="4" t="s">
        <v>333</v>
      </c>
      <c r="U88" s="4">
        <v>0</v>
      </c>
      <c r="V88" s="4">
        <v>22</v>
      </c>
      <c r="W88" s="4">
        <v>84</v>
      </c>
    </row>
    <row r="89" spans="1:23" ht="11.25" customHeight="1" x14ac:dyDescent="0.3">
      <c r="A89" s="4" t="s">
        <v>27</v>
      </c>
      <c r="B89" s="4" t="s">
        <v>34</v>
      </c>
      <c r="C89" s="4" t="s">
        <v>35</v>
      </c>
      <c r="D89" s="4" t="s">
        <v>40</v>
      </c>
      <c r="E89" s="4" t="s">
        <v>25</v>
      </c>
      <c r="F89" s="4" t="s">
        <v>25</v>
      </c>
      <c r="G89" s="4" t="s">
        <v>25</v>
      </c>
      <c r="H89" s="4" t="s">
        <v>37</v>
      </c>
      <c r="I89" s="5">
        <v>44621</v>
      </c>
      <c r="J89" s="6">
        <v>0</v>
      </c>
      <c r="K89" s="6">
        <v>0</v>
      </c>
      <c r="L89" s="6">
        <v>10.050190000000001</v>
      </c>
      <c r="M89" s="6">
        <v>10.050190000000001</v>
      </c>
      <c r="N89" s="6">
        <v>10.050190000000001</v>
      </c>
      <c r="O89" s="6">
        <v>10.050190000000001</v>
      </c>
      <c r="P89" s="6">
        <v>0</v>
      </c>
      <c r="Q89" s="4" t="s">
        <v>26</v>
      </c>
      <c r="R89" s="4">
        <v>0</v>
      </c>
      <c r="S89" s="4" t="s">
        <v>164</v>
      </c>
      <c r="T89" s="4" t="s">
        <v>333</v>
      </c>
      <c r="U89" s="4">
        <v>0</v>
      </c>
      <c r="V89" s="4">
        <v>22</v>
      </c>
      <c r="W89" s="4">
        <v>84</v>
      </c>
    </row>
    <row r="90" spans="1:23" ht="11.25" customHeight="1" x14ac:dyDescent="0.3">
      <c r="A90" s="4" t="s">
        <v>21</v>
      </c>
      <c r="B90" s="4" t="s">
        <v>34</v>
      </c>
      <c r="C90" s="4" t="s">
        <v>35</v>
      </c>
      <c r="D90" s="4" t="s">
        <v>40</v>
      </c>
      <c r="E90" s="4" t="s">
        <v>25</v>
      </c>
      <c r="F90" s="4" t="s">
        <v>25</v>
      </c>
      <c r="G90" s="4" t="s">
        <v>25</v>
      </c>
      <c r="H90" s="4" t="s">
        <v>37</v>
      </c>
      <c r="I90" s="5">
        <v>44652</v>
      </c>
      <c r="J90" s="6">
        <v>0</v>
      </c>
      <c r="K90" s="6">
        <v>0</v>
      </c>
      <c r="L90" s="6">
        <v>42.305770000000003</v>
      </c>
      <c r="M90" s="6">
        <v>42.305770000000003</v>
      </c>
      <c r="N90" s="6">
        <v>42.305770000000003</v>
      </c>
      <c r="O90" s="6">
        <v>42.305770000000003</v>
      </c>
      <c r="P90" s="6">
        <v>0</v>
      </c>
      <c r="Q90" s="4" t="s">
        <v>26</v>
      </c>
      <c r="R90" s="4">
        <v>0</v>
      </c>
      <c r="S90" s="4" t="s">
        <v>165</v>
      </c>
      <c r="T90" s="4" t="s">
        <v>334</v>
      </c>
      <c r="U90" s="4">
        <v>0</v>
      </c>
      <c r="V90" s="4">
        <v>22</v>
      </c>
      <c r="W90" s="4">
        <v>84</v>
      </c>
    </row>
    <row r="91" spans="1:23" ht="11.25" customHeight="1" x14ac:dyDescent="0.3">
      <c r="A91" s="4" t="s">
        <v>27</v>
      </c>
      <c r="B91" s="4" t="s">
        <v>34</v>
      </c>
      <c r="C91" s="4" t="s">
        <v>35</v>
      </c>
      <c r="D91" s="4" t="s">
        <v>40</v>
      </c>
      <c r="E91" s="4" t="s">
        <v>25</v>
      </c>
      <c r="F91" s="4" t="s">
        <v>25</v>
      </c>
      <c r="G91" s="4" t="s">
        <v>25</v>
      </c>
      <c r="H91" s="4" t="s">
        <v>37</v>
      </c>
      <c r="I91" s="5">
        <v>44652</v>
      </c>
      <c r="J91" s="6">
        <v>0</v>
      </c>
      <c r="K91" s="6">
        <v>0</v>
      </c>
      <c r="L91" s="6">
        <v>4.5</v>
      </c>
      <c r="M91" s="6">
        <v>4.5</v>
      </c>
      <c r="N91" s="6">
        <v>4.5</v>
      </c>
      <c r="O91" s="6">
        <v>4.5</v>
      </c>
      <c r="P91" s="6">
        <v>0</v>
      </c>
      <c r="Q91" s="4" t="s">
        <v>26</v>
      </c>
      <c r="R91" s="4">
        <v>0</v>
      </c>
      <c r="S91" s="4" t="s">
        <v>165</v>
      </c>
      <c r="T91" s="4" t="s">
        <v>334</v>
      </c>
      <c r="U91" s="4">
        <v>0</v>
      </c>
      <c r="V91" s="4">
        <v>22</v>
      </c>
      <c r="W91" s="4">
        <v>84</v>
      </c>
    </row>
    <row r="92" spans="1:23" ht="11.25" customHeight="1" x14ac:dyDescent="0.3">
      <c r="A92" s="4" t="s">
        <v>21</v>
      </c>
      <c r="B92" s="4" t="s">
        <v>34</v>
      </c>
      <c r="C92" s="4" t="s">
        <v>35</v>
      </c>
      <c r="D92" s="4" t="s">
        <v>40</v>
      </c>
      <c r="E92" s="4" t="s">
        <v>25</v>
      </c>
      <c r="F92" s="4" t="s">
        <v>25</v>
      </c>
      <c r="G92" s="4" t="s">
        <v>25</v>
      </c>
      <c r="H92" s="4" t="s">
        <v>37</v>
      </c>
      <c r="I92" s="5">
        <v>44682</v>
      </c>
      <c r="J92" s="6">
        <v>0</v>
      </c>
      <c r="K92" s="6">
        <v>0</v>
      </c>
      <c r="L92" s="6">
        <v>39.944510000000001</v>
      </c>
      <c r="M92" s="6">
        <v>39.944510000000001</v>
      </c>
      <c r="N92" s="6">
        <v>39.944510000000001</v>
      </c>
      <c r="O92" s="6">
        <v>39.944510000000001</v>
      </c>
      <c r="P92" s="6">
        <v>0</v>
      </c>
      <c r="Q92" s="4" t="s">
        <v>26</v>
      </c>
      <c r="R92" s="4">
        <v>0</v>
      </c>
      <c r="S92" s="4" t="s">
        <v>166</v>
      </c>
      <c r="T92" s="4" t="s">
        <v>335</v>
      </c>
      <c r="U92" s="4">
        <v>0</v>
      </c>
      <c r="V92" s="4">
        <v>22</v>
      </c>
      <c r="W92" s="4">
        <v>84</v>
      </c>
    </row>
    <row r="93" spans="1:23" ht="11.25" customHeight="1" x14ac:dyDescent="0.3">
      <c r="A93" s="4" t="s">
        <v>27</v>
      </c>
      <c r="B93" s="4" t="s">
        <v>34</v>
      </c>
      <c r="C93" s="4" t="s">
        <v>35</v>
      </c>
      <c r="D93" s="4" t="s">
        <v>40</v>
      </c>
      <c r="E93" s="4" t="s">
        <v>25</v>
      </c>
      <c r="F93" s="4" t="s">
        <v>25</v>
      </c>
      <c r="G93" s="4" t="s">
        <v>25</v>
      </c>
      <c r="H93" s="4" t="s">
        <v>37</v>
      </c>
      <c r="I93" s="5">
        <v>44682</v>
      </c>
      <c r="J93" s="6">
        <v>0</v>
      </c>
      <c r="K93" s="6">
        <v>0</v>
      </c>
      <c r="L93" s="6">
        <v>2.7362899999999999</v>
      </c>
      <c r="M93" s="6">
        <v>2.7362899999999999</v>
      </c>
      <c r="N93" s="6">
        <v>2.7362899999999999</v>
      </c>
      <c r="O93" s="6">
        <v>2.7362899999999999</v>
      </c>
      <c r="P93" s="6">
        <v>0</v>
      </c>
      <c r="Q93" s="4" t="s">
        <v>26</v>
      </c>
      <c r="R93" s="4">
        <v>0</v>
      </c>
      <c r="S93" s="4" t="s">
        <v>166</v>
      </c>
      <c r="T93" s="4" t="s">
        <v>335</v>
      </c>
      <c r="U93" s="4">
        <v>0</v>
      </c>
      <c r="V93" s="4">
        <v>22</v>
      </c>
      <c r="W93" s="4">
        <v>84</v>
      </c>
    </row>
    <row r="94" spans="1:23" ht="11.25" customHeight="1" x14ac:dyDescent="0.3">
      <c r="A94" s="4" t="s">
        <v>21</v>
      </c>
      <c r="B94" s="4" t="s">
        <v>34</v>
      </c>
      <c r="C94" s="4" t="s">
        <v>35</v>
      </c>
      <c r="D94" s="4" t="s">
        <v>40</v>
      </c>
      <c r="E94" s="4" t="s">
        <v>25</v>
      </c>
      <c r="F94" s="4" t="s">
        <v>25</v>
      </c>
      <c r="G94" s="4" t="s">
        <v>25</v>
      </c>
      <c r="H94" s="4" t="s">
        <v>37</v>
      </c>
      <c r="I94" s="5">
        <v>44713</v>
      </c>
      <c r="J94" s="6">
        <v>0</v>
      </c>
      <c r="K94" s="6">
        <v>0</v>
      </c>
      <c r="L94" s="6">
        <v>35.257950000000001</v>
      </c>
      <c r="M94" s="6">
        <v>35.257950000000001</v>
      </c>
      <c r="N94" s="6">
        <v>35.257950000000001</v>
      </c>
      <c r="O94" s="6">
        <v>35.257950000000001</v>
      </c>
      <c r="P94" s="6">
        <v>0</v>
      </c>
      <c r="Q94" s="4" t="s">
        <v>26</v>
      </c>
      <c r="R94" s="4">
        <v>0</v>
      </c>
      <c r="S94" s="4" t="s">
        <v>167</v>
      </c>
      <c r="T94" s="4" t="s">
        <v>336</v>
      </c>
      <c r="U94" s="4">
        <v>0</v>
      </c>
      <c r="V94" s="4">
        <v>22</v>
      </c>
      <c r="W94" s="4">
        <v>84</v>
      </c>
    </row>
    <row r="95" spans="1:23" ht="11.25" customHeight="1" x14ac:dyDescent="0.3">
      <c r="A95" s="4" t="s">
        <v>27</v>
      </c>
      <c r="B95" s="4" t="s">
        <v>34</v>
      </c>
      <c r="C95" s="4" t="s">
        <v>35</v>
      </c>
      <c r="D95" s="4" t="s">
        <v>40</v>
      </c>
      <c r="E95" s="4" t="s">
        <v>25</v>
      </c>
      <c r="F95" s="4" t="s">
        <v>25</v>
      </c>
      <c r="G95" s="4" t="s">
        <v>25</v>
      </c>
      <c r="H95" s="4" t="s">
        <v>37</v>
      </c>
      <c r="I95" s="5">
        <v>44713</v>
      </c>
      <c r="J95" s="6">
        <v>0</v>
      </c>
      <c r="K95" s="6">
        <v>0</v>
      </c>
      <c r="L95" s="6">
        <v>5.1189999999999998</v>
      </c>
      <c r="M95" s="6">
        <v>5.1189999999999998</v>
      </c>
      <c r="N95" s="6">
        <v>5.1189999999999998</v>
      </c>
      <c r="O95" s="6">
        <v>5.1189999999999998</v>
      </c>
      <c r="P95" s="6">
        <v>0</v>
      </c>
      <c r="Q95" s="4" t="s">
        <v>26</v>
      </c>
      <c r="R95" s="4">
        <v>0</v>
      </c>
      <c r="S95" s="4" t="s">
        <v>167</v>
      </c>
      <c r="T95" s="4" t="s">
        <v>336</v>
      </c>
      <c r="U95" s="4">
        <v>0</v>
      </c>
      <c r="V95" s="4">
        <v>22</v>
      </c>
      <c r="W95" s="4">
        <v>84</v>
      </c>
    </row>
    <row r="96" spans="1:23" ht="11.25" customHeight="1" x14ac:dyDescent="0.3">
      <c r="A96" s="4" t="s">
        <v>21</v>
      </c>
      <c r="B96" s="4" t="s">
        <v>34</v>
      </c>
      <c r="C96" s="4" t="s">
        <v>35</v>
      </c>
      <c r="D96" s="4" t="s">
        <v>40</v>
      </c>
      <c r="E96" s="4" t="s">
        <v>25</v>
      </c>
      <c r="F96" s="4" t="s">
        <v>25</v>
      </c>
      <c r="G96" s="4" t="s">
        <v>25</v>
      </c>
      <c r="H96" s="4" t="s">
        <v>37</v>
      </c>
      <c r="I96" s="5">
        <v>44743</v>
      </c>
      <c r="J96" s="6">
        <v>0</v>
      </c>
      <c r="K96" s="6">
        <v>0</v>
      </c>
      <c r="L96" s="6">
        <v>35.941000000000003</v>
      </c>
      <c r="M96" s="6">
        <v>35.941000000000003</v>
      </c>
      <c r="N96" s="6">
        <v>35.941000000000003</v>
      </c>
      <c r="O96" s="6">
        <v>35.941000000000003</v>
      </c>
      <c r="P96" s="6">
        <v>0</v>
      </c>
      <c r="Q96" s="4" t="s">
        <v>26</v>
      </c>
      <c r="R96" s="4">
        <v>0</v>
      </c>
      <c r="S96" s="4" t="s">
        <v>168</v>
      </c>
      <c r="T96" s="4" t="s">
        <v>337</v>
      </c>
      <c r="U96" s="4">
        <v>0</v>
      </c>
      <c r="V96" s="4">
        <v>22</v>
      </c>
      <c r="W96" s="4">
        <v>84</v>
      </c>
    </row>
    <row r="97" spans="1:23" ht="11.25" customHeight="1" x14ac:dyDescent="0.3">
      <c r="A97" s="4" t="s">
        <v>27</v>
      </c>
      <c r="B97" s="4" t="s">
        <v>34</v>
      </c>
      <c r="C97" s="4" t="s">
        <v>35</v>
      </c>
      <c r="D97" s="4" t="s">
        <v>40</v>
      </c>
      <c r="E97" s="4" t="s">
        <v>25</v>
      </c>
      <c r="F97" s="4" t="s">
        <v>25</v>
      </c>
      <c r="G97" s="4" t="s">
        <v>25</v>
      </c>
      <c r="H97" s="4" t="s">
        <v>37</v>
      </c>
      <c r="I97" s="5">
        <v>44743</v>
      </c>
      <c r="J97" s="6">
        <v>0</v>
      </c>
      <c r="K97" s="6">
        <v>0</v>
      </c>
      <c r="L97" s="6">
        <v>1.0893600000000001</v>
      </c>
      <c r="M97" s="6">
        <v>1.0893600000000001</v>
      </c>
      <c r="N97" s="6">
        <v>1.0893600000000001</v>
      </c>
      <c r="O97" s="6">
        <v>1.0893600000000001</v>
      </c>
      <c r="P97" s="6">
        <v>0</v>
      </c>
      <c r="Q97" s="4" t="s">
        <v>26</v>
      </c>
      <c r="R97" s="4">
        <v>0</v>
      </c>
      <c r="S97" s="4" t="s">
        <v>168</v>
      </c>
      <c r="T97" s="4" t="s">
        <v>337</v>
      </c>
      <c r="U97" s="4">
        <v>0</v>
      </c>
      <c r="V97" s="4">
        <v>22</v>
      </c>
      <c r="W97" s="4">
        <v>84</v>
      </c>
    </row>
    <row r="98" spans="1:23" ht="11.25" customHeight="1" x14ac:dyDescent="0.3">
      <c r="A98" s="4" t="s">
        <v>21</v>
      </c>
      <c r="B98" s="4" t="s">
        <v>34</v>
      </c>
      <c r="C98" s="4" t="s">
        <v>35</v>
      </c>
      <c r="D98" s="4" t="s">
        <v>40</v>
      </c>
      <c r="E98" s="4" t="s">
        <v>25</v>
      </c>
      <c r="F98" s="4" t="s">
        <v>25</v>
      </c>
      <c r="G98" s="4" t="s">
        <v>25</v>
      </c>
      <c r="H98" s="4" t="s">
        <v>25</v>
      </c>
      <c r="I98" s="5">
        <v>44409</v>
      </c>
      <c r="J98" s="6">
        <v>352</v>
      </c>
      <c r="K98" s="6">
        <v>352</v>
      </c>
      <c r="L98" s="6">
        <v>0</v>
      </c>
      <c r="M98" s="6">
        <v>0</v>
      </c>
      <c r="N98" s="6">
        <v>0</v>
      </c>
      <c r="O98" s="6">
        <v>0</v>
      </c>
      <c r="P98" s="6">
        <v>5</v>
      </c>
      <c r="Q98" s="4" t="s">
        <v>26</v>
      </c>
      <c r="R98" s="4">
        <v>0</v>
      </c>
      <c r="S98" s="4" t="s">
        <v>169</v>
      </c>
      <c r="U98" s="4">
        <v>18</v>
      </c>
      <c r="V98" s="4">
        <v>0</v>
      </c>
      <c r="W98" s="4">
        <v>0</v>
      </c>
    </row>
    <row r="99" spans="1:23" ht="11.25" customHeight="1" x14ac:dyDescent="0.3">
      <c r="A99" s="4" t="s">
        <v>27</v>
      </c>
      <c r="B99" s="4" t="s">
        <v>34</v>
      </c>
      <c r="C99" s="4" t="s">
        <v>35</v>
      </c>
      <c r="D99" s="4" t="s">
        <v>40</v>
      </c>
      <c r="E99" s="4" t="s">
        <v>25</v>
      </c>
      <c r="F99" s="4" t="s">
        <v>25</v>
      </c>
      <c r="G99" s="4" t="s">
        <v>25</v>
      </c>
      <c r="H99" s="4" t="s">
        <v>25</v>
      </c>
      <c r="I99" s="5">
        <v>44409</v>
      </c>
      <c r="J99" s="6">
        <v>100</v>
      </c>
      <c r="K99" s="6">
        <v>100</v>
      </c>
      <c r="L99" s="6">
        <v>0</v>
      </c>
      <c r="M99" s="6">
        <v>0</v>
      </c>
      <c r="N99" s="6">
        <v>0</v>
      </c>
      <c r="O99" s="6">
        <v>0</v>
      </c>
      <c r="P99" s="6">
        <v>1</v>
      </c>
      <c r="Q99" s="4" t="s">
        <v>26</v>
      </c>
      <c r="R99" s="4">
        <v>0</v>
      </c>
      <c r="S99" s="4" t="s">
        <v>169</v>
      </c>
      <c r="U99" s="4">
        <v>18</v>
      </c>
      <c r="V99" s="4">
        <v>0</v>
      </c>
      <c r="W99" s="4">
        <v>0</v>
      </c>
    </row>
    <row r="100" spans="1:23" ht="11.25" customHeight="1" x14ac:dyDescent="0.3">
      <c r="A100" s="4" t="s">
        <v>21</v>
      </c>
      <c r="B100" s="4" t="s">
        <v>34</v>
      </c>
      <c r="C100" s="4" t="s">
        <v>35</v>
      </c>
      <c r="D100" s="4" t="s">
        <v>40</v>
      </c>
      <c r="E100" s="4" t="s">
        <v>25</v>
      </c>
      <c r="F100" s="4" t="s">
        <v>25</v>
      </c>
      <c r="G100" s="4" t="s">
        <v>25</v>
      </c>
      <c r="H100" s="4" t="s">
        <v>25</v>
      </c>
      <c r="I100" s="5">
        <v>44440</v>
      </c>
      <c r="J100" s="6">
        <v>349.06</v>
      </c>
      <c r="K100" s="6">
        <v>349.06</v>
      </c>
      <c r="L100" s="6">
        <v>0</v>
      </c>
      <c r="M100" s="6">
        <v>0</v>
      </c>
      <c r="N100" s="6">
        <v>0</v>
      </c>
      <c r="O100" s="6">
        <v>0</v>
      </c>
      <c r="P100" s="6">
        <v>5</v>
      </c>
      <c r="Q100" s="4" t="s">
        <v>26</v>
      </c>
      <c r="R100" s="4">
        <v>0</v>
      </c>
      <c r="S100" s="4" t="s">
        <v>170</v>
      </c>
      <c r="U100" s="4">
        <v>18</v>
      </c>
      <c r="V100" s="4">
        <v>0</v>
      </c>
      <c r="W100" s="4">
        <v>0</v>
      </c>
    </row>
    <row r="101" spans="1:23" ht="11.25" customHeight="1" x14ac:dyDescent="0.3">
      <c r="A101" s="4" t="s">
        <v>27</v>
      </c>
      <c r="B101" s="4" t="s">
        <v>34</v>
      </c>
      <c r="C101" s="4" t="s">
        <v>35</v>
      </c>
      <c r="D101" s="4" t="s">
        <v>40</v>
      </c>
      <c r="E101" s="4" t="s">
        <v>25</v>
      </c>
      <c r="F101" s="4" t="s">
        <v>25</v>
      </c>
      <c r="G101" s="4" t="s">
        <v>25</v>
      </c>
      <c r="H101" s="4" t="s">
        <v>25</v>
      </c>
      <c r="I101" s="5">
        <v>44440</v>
      </c>
      <c r="J101" s="6">
        <v>100</v>
      </c>
      <c r="K101" s="6">
        <v>100</v>
      </c>
      <c r="L101" s="6">
        <v>0</v>
      </c>
      <c r="M101" s="6">
        <v>0</v>
      </c>
      <c r="N101" s="6">
        <v>0</v>
      </c>
      <c r="O101" s="6">
        <v>0</v>
      </c>
      <c r="P101" s="6">
        <v>1</v>
      </c>
      <c r="Q101" s="4" t="s">
        <v>26</v>
      </c>
      <c r="R101" s="4">
        <v>0</v>
      </c>
      <c r="S101" s="4" t="s">
        <v>170</v>
      </c>
      <c r="U101" s="4">
        <v>18</v>
      </c>
      <c r="V101" s="4">
        <v>0</v>
      </c>
      <c r="W101" s="4">
        <v>0</v>
      </c>
    </row>
    <row r="102" spans="1:23" ht="11.25" customHeight="1" x14ac:dyDescent="0.3">
      <c r="A102" s="4" t="s">
        <v>21</v>
      </c>
      <c r="B102" s="4" t="s">
        <v>34</v>
      </c>
      <c r="C102" s="4" t="s">
        <v>35</v>
      </c>
      <c r="D102" s="4" t="s">
        <v>40</v>
      </c>
      <c r="E102" s="4" t="s">
        <v>25</v>
      </c>
      <c r="F102" s="4" t="s">
        <v>25</v>
      </c>
      <c r="G102" s="4" t="s">
        <v>25</v>
      </c>
      <c r="H102" s="4" t="s">
        <v>25</v>
      </c>
      <c r="I102" s="5">
        <v>44470</v>
      </c>
      <c r="J102" s="6">
        <v>351.41</v>
      </c>
      <c r="K102" s="6">
        <v>351.41</v>
      </c>
      <c r="L102" s="6">
        <v>0</v>
      </c>
      <c r="M102" s="6">
        <v>0</v>
      </c>
      <c r="N102" s="6">
        <v>0</v>
      </c>
      <c r="O102" s="6">
        <v>0</v>
      </c>
      <c r="P102" s="6">
        <v>5</v>
      </c>
      <c r="Q102" s="4" t="s">
        <v>26</v>
      </c>
      <c r="R102" s="4">
        <v>0</v>
      </c>
      <c r="S102" s="4" t="s">
        <v>171</v>
      </c>
      <c r="U102" s="4">
        <v>18</v>
      </c>
      <c r="V102" s="4">
        <v>0</v>
      </c>
      <c r="W102" s="4">
        <v>0</v>
      </c>
    </row>
    <row r="103" spans="1:23" ht="11.25" customHeight="1" x14ac:dyDescent="0.3">
      <c r="A103" s="4" t="s">
        <v>27</v>
      </c>
      <c r="B103" s="4" t="s">
        <v>34</v>
      </c>
      <c r="C103" s="4" t="s">
        <v>35</v>
      </c>
      <c r="D103" s="4" t="s">
        <v>40</v>
      </c>
      <c r="E103" s="4" t="s">
        <v>25</v>
      </c>
      <c r="F103" s="4" t="s">
        <v>25</v>
      </c>
      <c r="G103" s="4" t="s">
        <v>25</v>
      </c>
      <c r="H103" s="4" t="s">
        <v>25</v>
      </c>
      <c r="I103" s="5">
        <v>44470</v>
      </c>
      <c r="J103" s="6">
        <v>100</v>
      </c>
      <c r="K103" s="6">
        <v>100</v>
      </c>
      <c r="L103" s="6">
        <v>0</v>
      </c>
      <c r="M103" s="6">
        <v>0</v>
      </c>
      <c r="N103" s="6">
        <v>0</v>
      </c>
      <c r="O103" s="6">
        <v>0</v>
      </c>
      <c r="P103" s="6">
        <v>1</v>
      </c>
      <c r="Q103" s="4" t="s">
        <v>26</v>
      </c>
      <c r="R103" s="4">
        <v>0</v>
      </c>
      <c r="S103" s="4" t="s">
        <v>171</v>
      </c>
      <c r="U103" s="4">
        <v>18</v>
      </c>
      <c r="V103" s="4">
        <v>0</v>
      </c>
      <c r="W103" s="4">
        <v>0</v>
      </c>
    </row>
    <row r="104" spans="1:23" ht="11.25" customHeight="1" x14ac:dyDescent="0.3">
      <c r="A104" s="4" t="s">
        <v>21</v>
      </c>
      <c r="B104" s="4" t="s">
        <v>34</v>
      </c>
      <c r="C104" s="4" t="s">
        <v>35</v>
      </c>
      <c r="D104" s="4" t="s">
        <v>40</v>
      </c>
      <c r="E104" s="4" t="s">
        <v>25</v>
      </c>
      <c r="F104" s="4" t="s">
        <v>25</v>
      </c>
      <c r="G104" s="4" t="s">
        <v>25</v>
      </c>
      <c r="H104" s="4" t="s">
        <v>25</v>
      </c>
      <c r="I104" s="5">
        <v>44501</v>
      </c>
      <c r="J104" s="6">
        <v>366</v>
      </c>
      <c r="K104" s="6">
        <v>366</v>
      </c>
      <c r="L104" s="6">
        <v>0</v>
      </c>
      <c r="M104" s="6">
        <v>0</v>
      </c>
      <c r="N104" s="6">
        <v>0</v>
      </c>
      <c r="O104" s="6">
        <v>0</v>
      </c>
      <c r="P104" s="6">
        <v>6</v>
      </c>
      <c r="Q104" s="4" t="s">
        <v>26</v>
      </c>
      <c r="R104" s="4">
        <v>0</v>
      </c>
      <c r="S104" s="4" t="s">
        <v>172</v>
      </c>
      <c r="U104" s="4">
        <v>18</v>
      </c>
      <c r="V104" s="4">
        <v>0</v>
      </c>
      <c r="W104" s="4">
        <v>0</v>
      </c>
    </row>
    <row r="105" spans="1:23" ht="11.25" customHeight="1" x14ac:dyDescent="0.3">
      <c r="A105" s="4" t="s">
        <v>27</v>
      </c>
      <c r="B105" s="4" t="s">
        <v>34</v>
      </c>
      <c r="C105" s="4" t="s">
        <v>35</v>
      </c>
      <c r="D105" s="4" t="s">
        <v>40</v>
      </c>
      <c r="E105" s="4" t="s">
        <v>25</v>
      </c>
      <c r="F105" s="4" t="s">
        <v>25</v>
      </c>
      <c r="G105" s="4" t="s">
        <v>25</v>
      </c>
      <c r="H105" s="4" t="s">
        <v>25</v>
      </c>
      <c r="I105" s="5">
        <v>44501</v>
      </c>
      <c r="J105" s="6">
        <v>100</v>
      </c>
      <c r="K105" s="6">
        <v>100</v>
      </c>
      <c r="L105" s="6">
        <v>0</v>
      </c>
      <c r="M105" s="6">
        <v>0</v>
      </c>
      <c r="N105" s="6">
        <v>0</v>
      </c>
      <c r="O105" s="6">
        <v>0</v>
      </c>
      <c r="P105" s="6">
        <v>1</v>
      </c>
      <c r="Q105" s="4" t="s">
        <v>26</v>
      </c>
      <c r="R105" s="4">
        <v>0</v>
      </c>
      <c r="S105" s="4" t="s">
        <v>172</v>
      </c>
      <c r="U105" s="4">
        <v>18</v>
      </c>
      <c r="V105" s="4">
        <v>0</v>
      </c>
      <c r="W105" s="4">
        <v>0</v>
      </c>
    </row>
    <row r="106" spans="1:23" ht="11.25" customHeight="1" x14ac:dyDescent="0.3">
      <c r="A106" s="4" t="s">
        <v>21</v>
      </c>
      <c r="B106" s="4" t="s">
        <v>34</v>
      </c>
      <c r="C106" s="4" t="s">
        <v>35</v>
      </c>
      <c r="D106" s="4" t="s">
        <v>40</v>
      </c>
      <c r="E106" s="4" t="s">
        <v>25</v>
      </c>
      <c r="F106" s="4" t="s">
        <v>25</v>
      </c>
      <c r="G106" s="4" t="s">
        <v>25</v>
      </c>
      <c r="H106" s="4" t="s">
        <v>25</v>
      </c>
      <c r="I106" s="5">
        <v>44531</v>
      </c>
      <c r="J106" s="6">
        <v>389.11</v>
      </c>
      <c r="K106" s="6">
        <v>389.11</v>
      </c>
      <c r="L106" s="6">
        <v>0</v>
      </c>
      <c r="M106" s="6">
        <v>0</v>
      </c>
      <c r="N106" s="6">
        <v>0</v>
      </c>
      <c r="O106" s="6">
        <v>0</v>
      </c>
      <c r="P106" s="6">
        <v>6</v>
      </c>
      <c r="Q106" s="4" t="s">
        <v>26</v>
      </c>
      <c r="R106" s="4">
        <v>0</v>
      </c>
      <c r="S106" s="4" t="s">
        <v>173</v>
      </c>
      <c r="U106" s="4">
        <v>18</v>
      </c>
      <c r="V106" s="4">
        <v>0</v>
      </c>
      <c r="W106" s="4">
        <v>0</v>
      </c>
    </row>
    <row r="107" spans="1:23" ht="11.25" customHeight="1" x14ac:dyDescent="0.3">
      <c r="A107" s="4" t="s">
        <v>27</v>
      </c>
      <c r="B107" s="4" t="s">
        <v>34</v>
      </c>
      <c r="C107" s="4" t="s">
        <v>35</v>
      </c>
      <c r="D107" s="4" t="s">
        <v>40</v>
      </c>
      <c r="E107" s="4" t="s">
        <v>25</v>
      </c>
      <c r="F107" s="4" t="s">
        <v>25</v>
      </c>
      <c r="G107" s="4" t="s">
        <v>25</v>
      </c>
      <c r="H107" s="4" t="s">
        <v>25</v>
      </c>
      <c r="I107" s="5">
        <v>44531</v>
      </c>
      <c r="J107" s="6">
        <v>100</v>
      </c>
      <c r="K107" s="6">
        <v>100</v>
      </c>
      <c r="L107" s="6">
        <v>0</v>
      </c>
      <c r="M107" s="6">
        <v>0</v>
      </c>
      <c r="N107" s="6">
        <v>0</v>
      </c>
      <c r="O107" s="6">
        <v>0</v>
      </c>
      <c r="P107" s="6">
        <v>1</v>
      </c>
      <c r="Q107" s="4" t="s">
        <v>26</v>
      </c>
      <c r="R107" s="4">
        <v>0</v>
      </c>
      <c r="S107" s="4" t="s">
        <v>173</v>
      </c>
      <c r="U107" s="4">
        <v>18</v>
      </c>
      <c r="V107" s="4">
        <v>0</v>
      </c>
      <c r="W107" s="4">
        <v>0</v>
      </c>
    </row>
    <row r="108" spans="1:23" ht="11.25" customHeight="1" x14ac:dyDescent="0.3">
      <c r="A108" s="4" t="s">
        <v>21</v>
      </c>
      <c r="B108" s="4" t="s">
        <v>34</v>
      </c>
      <c r="C108" s="4" t="s">
        <v>35</v>
      </c>
      <c r="D108" s="4" t="s">
        <v>40</v>
      </c>
      <c r="E108" s="4" t="s">
        <v>25</v>
      </c>
      <c r="F108" s="4" t="s">
        <v>25</v>
      </c>
      <c r="G108" s="4" t="s">
        <v>25</v>
      </c>
      <c r="H108" s="4" t="s">
        <v>25</v>
      </c>
      <c r="I108" s="5">
        <v>44562</v>
      </c>
      <c r="J108" s="6">
        <v>394</v>
      </c>
      <c r="K108" s="6">
        <v>394</v>
      </c>
      <c r="L108" s="6">
        <v>0</v>
      </c>
      <c r="M108" s="6">
        <v>0</v>
      </c>
      <c r="N108" s="6">
        <v>0</v>
      </c>
      <c r="O108" s="6">
        <v>0</v>
      </c>
      <c r="P108" s="6">
        <v>6</v>
      </c>
      <c r="Q108" s="4" t="s">
        <v>26</v>
      </c>
      <c r="R108" s="4">
        <v>0</v>
      </c>
      <c r="S108" s="4" t="s">
        <v>174</v>
      </c>
      <c r="U108" s="4">
        <v>18</v>
      </c>
      <c r="V108" s="4">
        <v>0</v>
      </c>
      <c r="W108" s="4">
        <v>0</v>
      </c>
    </row>
    <row r="109" spans="1:23" ht="11.25" customHeight="1" x14ac:dyDescent="0.3">
      <c r="A109" s="4" t="s">
        <v>27</v>
      </c>
      <c r="B109" s="4" t="s">
        <v>34</v>
      </c>
      <c r="C109" s="4" t="s">
        <v>35</v>
      </c>
      <c r="D109" s="4" t="s">
        <v>40</v>
      </c>
      <c r="E109" s="4" t="s">
        <v>25</v>
      </c>
      <c r="F109" s="4" t="s">
        <v>25</v>
      </c>
      <c r="G109" s="4" t="s">
        <v>25</v>
      </c>
      <c r="H109" s="4" t="s">
        <v>25</v>
      </c>
      <c r="I109" s="5">
        <v>44562</v>
      </c>
      <c r="J109" s="6">
        <v>100</v>
      </c>
      <c r="K109" s="6">
        <v>100</v>
      </c>
      <c r="L109" s="6">
        <v>0</v>
      </c>
      <c r="M109" s="6">
        <v>0</v>
      </c>
      <c r="N109" s="6">
        <v>0</v>
      </c>
      <c r="O109" s="6">
        <v>0</v>
      </c>
      <c r="P109" s="6">
        <v>1</v>
      </c>
      <c r="Q109" s="4" t="s">
        <v>26</v>
      </c>
      <c r="R109" s="4">
        <v>0</v>
      </c>
      <c r="S109" s="4" t="s">
        <v>174</v>
      </c>
      <c r="U109" s="4">
        <v>18</v>
      </c>
      <c r="V109" s="4">
        <v>0</v>
      </c>
      <c r="W109" s="4">
        <v>0</v>
      </c>
    </row>
    <row r="110" spans="1:23" ht="11.25" customHeight="1" x14ac:dyDescent="0.3">
      <c r="A110" s="4" t="s">
        <v>21</v>
      </c>
      <c r="B110" s="4" t="s">
        <v>34</v>
      </c>
      <c r="C110" s="4" t="s">
        <v>35</v>
      </c>
      <c r="D110" s="4" t="s">
        <v>40</v>
      </c>
      <c r="E110" s="4" t="s">
        <v>25</v>
      </c>
      <c r="F110" s="4" t="s">
        <v>25</v>
      </c>
      <c r="G110" s="4" t="s">
        <v>25</v>
      </c>
      <c r="H110" s="4" t="s">
        <v>25</v>
      </c>
      <c r="I110" s="5">
        <v>44593</v>
      </c>
      <c r="J110" s="6">
        <v>428</v>
      </c>
      <c r="K110" s="6">
        <v>428</v>
      </c>
      <c r="L110" s="6">
        <v>0</v>
      </c>
      <c r="M110" s="6">
        <v>0</v>
      </c>
      <c r="N110" s="6">
        <v>0</v>
      </c>
      <c r="O110" s="6">
        <v>0</v>
      </c>
      <c r="P110" s="6">
        <v>6</v>
      </c>
      <c r="Q110" s="4" t="s">
        <v>26</v>
      </c>
      <c r="R110" s="4">
        <v>0</v>
      </c>
      <c r="S110" s="4" t="s">
        <v>175</v>
      </c>
      <c r="U110" s="4">
        <v>18</v>
      </c>
      <c r="V110" s="4">
        <v>0</v>
      </c>
      <c r="W110" s="4">
        <v>0</v>
      </c>
    </row>
    <row r="111" spans="1:23" ht="11.25" customHeight="1" x14ac:dyDescent="0.3">
      <c r="A111" s="4" t="s">
        <v>27</v>
      </c>
      <c r="B111" s="4" t="s">
        <v>34</v>
      </c>
      <c r="C111" s="4" t="s">
        <v>35</v>
      </c>
      <c r="D111" s="4" t="s">
        <v>40</v>
      </c>
      <c r="E111" s="4" t="s">
        <v>25</v>
      </c>
      <c r="F111" s="4" t="s">
        <v>25</v>
      </c>
      <c r="G111" s="4" t="s">
        <v>25</v>
      </c>
      <c r="H111" s="4" t="s">
        <v>25</v>
      </c>
      <c r="I111" s="5">
        <v>44593</v>
      </c>
      <c r="J111" s="6">
        <v>100</v>
      </c>
      <c r="K111" s="6">
        <v>100</v>
      </c>
      <c r="L111" s="6">
        <v>0</v>
      </c>
      <c r="M111" s="6">
        <v>0</v>
      </c>
      <c r="N111" s="6">
        <v>0</v>
      </c>
      <c r="O111" s="6">
        <v>0</v>
      </c>
      <c r="P111" s="6">
        <v>1</v>
      </c>
      <c r="Q111" s="4" t="s">
        <v>26</v>
      </c>
      <c r="R111" s="4">
        <v>0</v>
      </c>
      <c r="S111" s="4" t="s">
        <v>175</v>
      </c>
      <c r="U111" s="4">
        <v>18</v>
      </c>
      <c r="V111" s="4">
        <v>0</v>
      </c>
      <c r="W111" s="4">
        <v>0</v>
      </c>
    </row>
    <row r="112" spans="1:23" ht="11.25" customHeight="1" x14ac:dyDescent="0.3">
      <c r="A112" s="4" t="s">
        <v>21</v>
      </c>
      <c r="B112" s="4" t="s">
        <v>34</v>
      </c>
      <c r="C112" s="4" t="s">
        <v>35</v>
      </c>
      <c r="D112" s="4" t="s">
        <v>40</v>
      </c>
      <c r="E112" s="4" t="s">
        <v>25</v>
      </c>
      <c r="F112" s="4" t="s">
        <v>25</v>
      </c>
      <c r="G112" s="4" t="s">
        <v>25</v>
      </c>
      <c r="H112" s="4" t="s">
        <v>25</v>
      </c>
      <c r="I112" s="5">
        <v>44621</v>
      </c>
      <c r="J112" s="6">
        <v>425.34</v>
      </c>
      <c r="K112" s="6">
        <v>425.34</v>
      </c>
      <c r="L112" s="6">
        <v>0</v>
      </c>
      <c r="M112" s="6">
        <v>0</v>
      </c>
      <c r="N112" s="6">
        <v>0</v>
      </c>
      <c r="O112" s="6">
        <v>0</v>
      </c>
      <c r="P112" s="6">
        <v>6</v>
      </c>
      <c r="Q112" s="4" t="s">
        <v>26</v>
      </c>
      <c r="R112" s="4">
        <v>0</v>
      </c>
      <c r="S112" s="4" t="s">
        <v>176</v>
      </c>
      <c r="U112" s="4">
        <v>18</v>
      </c>
      <c r="V112" s="4">
        <v>0</v>
      </c>
      <c r="W112" s="4">
        <v>0</v>
      </c>
    </row>
    <row r="113" spans="1:23" ht="11.25" customHeight="1" x14ac:dyDescent="0.3">
      <c r="A113" s="4" t="s">
        <v>27</v>
      </c>
      <c r="B113" s="4" t="s">
        <v>34</v>
      </c>
      <c r="C113" s="4" t="s">
        <v>35</v>
      </c>
      <c r="D113" s="4" t="s">
        <v>40</v>
      </c>
      <c r="E113" s="4" t="s">
        <v>25</v>
      </c>
      <c r="F113" s="4" t="s">
        <v>25</v>
      </c>
      <c r="G113" s="4" t="s">
        <v>25</v>
      </c>
      <c r="H113" s="4" t="s">
        <v>25</v>
      </c>
      <c r="I113" s="5">
        <v>44621</v>
      </c>
      <c r="J113" s="6">
        <v>100</v>
      </c>
      <c r="K113" s="6">
        <v>100</v>
      </c>
      <c r="L113" s="6">
        <v>0</v>
      </c>
      <c r="M113" s="6">
        <v>0</v>
      </c>
      <c r="N113" s="6">
        <v>0</v>
      </c>
      <c r="O113" s="6">
        <v>0</v>
      </c>
      <c r="P113" s="6">
        <v>1</v>
      </c>
      <c r="Q113" s="4" t="s">
        <v>26</v>
      </c>
      <c r="R113" s="4">
        <v>0</v>
      </c>
      <c r="S113" s="4" t="s">
        <v>176</v>
      </c>
      <c r="U113" s="4">
        <v>18</v>
      </c>
      <c r="V113" s="4">
        <v>0</v>
      </c>
      <c r="W113" s="4">
        <v>0</v>
      </c>
    </row>
    <row r="114" spans="1:23" ht="11.25" customHeight="1" x14ac:dyDescent="0.3">
      <c r="A114" s="4" t="s">
        <v>21</v>
      </c>
      <c r="B114" s="4" t="s">
        <v>34</v>
      </c>
      <c r="C114" s="4" t="s">
        <v>35</v>
      </c>
      <c r="D114" s="4" t="s">
        <v>40</v>
      </c>
      <c r="E114" s="4" t="s">
        <v>25</v>
      </c>
      <c r="F114" s="4" t="s">
        <v>25</v>
      </c>
      <c r="G114" s="4" t="s">
        <v>25</v>
      </c>
      <c r="H114" s="4" t="s">
        <v>25</v>
      </c>
      <c r="I114" s="5">
        <v>44652</v>
      </c>
      <c r="J114" s="6">
        <v>417.67</v>
      </c>
      <c r="K114" s="6">
        <v>417.67</v>
      </c>
      <c r="L114" s="6">
        <v>0</v>
      </c>
      <c r="M114" s="6">
        <v>0</v>
      </c>
      <c r="N114" s="6">
        <v>0</v>
      </c>
      <c r="O114" s="6">
        <v>0</v>
      </c>
      <c r="P114" s="6">
        <v>6</v>
      </c>
      <c r="Q114" s="4" t="s">
        <v>26</v>
      </c>
      <c r="R114" s="4">
        <v>0</v>
      </c>
      <c r="S114" s="4" t="s">
        <v>177</v>
      </c>
      <c r="U114" s="4">
        <v>18</v>
      </c>
      <c r="V114" s="4">
        <v>0</v>
      </c>
      <c r="W114" s="4">
        <v>0</v>
      </c>
    </row>
    <row r="115" spans="1:23" ht="11.25" customHeight="1" x14ac:dyDescent="0.3">
      <c r="A115" s="4" t="s">
        <v>27</v>
      </c>
      <c r="B115" s="4" t="s">
        <v>34</v>
      </c>
      <c r="C115" s="4" t="s">
        <v>35</v>
      </c>
      <c r="D115" s="4" t="s">
        <v>40</v>
      </c>
      <c r="E115" s="4" t="s">
        <v>25</v>
      </c>
      <c r="F115" s="4" t="s">
        <v>25</v>
      </c>
      <c r="G115" s="4" t="s">
        <v>25</v>
      </c>
      <c r="H115" s="4" t="s">
        <v>25</v>
      </c>
      <c r="I115" s="5">
        <v>44652</v>
      </c>
      <c r="J115" s="6">
        <v>100</v>
      </c>
      <c r="K115" s="6">
        <v>100</v>
      </c>
      <c r="L115" s="6">
        <v>0</v>
      </c>
      <c r="M115" s="6">
        <v>0</v>
      </c>
      <c r="N115" s="6">
        <v>0</v>
      </c>
      <c r="O115" s="6">
        <v>0</v>
      </c>
      <c r="P115" s="6">
        <v>1</v>
      </c>
      <c r="Q115" s="4" t="s">
        <v>26</v>
      </c>
      <c r="R115" s="4">
        <v>0</v>
      </c>
      <c r="S115" s="4" t="s">
        <v>177</v>
      </c>
      <c r="U115" s="4">
        <v>18</v>
      </c>
      <c r="V115" s="4">
        <v>0</v>
      </c>
      <c r="W115" s="4">
        <v>0</v>
      </c>
    </row>
    <row r="116" spans="1:23" ht="11.25" customHeight="1" x14ac:dyDescent="0.3">
      <c r="A116" s="4" t="s">
        <v>21</v>
      </c>
      <c r="B116" s="4" t="s">
        <v>34</v>
      </c>
      <c r="C116" s="4" t="s">
        <v>35</v>
      </c>
      <c r="D116" s="4" t="s">
        <v>40</v>
      </c>
      <c r="E116" s="4" t="s">
        <v>25</v>
      </c>
      <c r="F116" s="4" t="s">
        <v>25</v>
      </c>
      <c r="G116" s="4" t="s">
        <v>25</v>
      </c>
      <c r="H116" s="4" t="s">
        <v>25</v>
      </c>
      <c r="I116" s="5">
        <v>44682</v>
      </c>
      <c r="J116" s="6">
        <v>403</v>
      </c>
      <c r="K116" s="6">
        <v>403</v>
      </c>
      <c r="L116" s="6">
        <v>0</v>
      </c>
      <c r="M116" s="6">
        <v>0</v>
      </c>
      <c r="N116" s="6">
        <v>0</v>
      </c>
      <c r="O116" s="6">
        <v>0</v>
      </c>
      <c r="P116" s="6">
        <v>6</v>
      </c>
      <c r="Q116" s="4" t="s">
        <v>26</v>
      </c>
      <c r="R116" s="4">
        <v>0</v>
      </c>
      <c r="S116" s="4" t="s">
        <v>178</v>
      </c>
      <c r="U116" s="4">
        <v>18</v>
      </c>
      <c r="V116" s="4">
        <v>0</v>
      </c>
      <c r="W116" s="4">
        <v>0</v>
      </c>
    </row>
    <row r="117" spans="1:23" ht="11.25" customHeight="1" x14ac:dyDescent="0.3">
      <c r="A117" s="4" t="s">
        <v>27</v>
      </c>
      <c r="B117" s="4" t="s">
        <v>34</v>
      </c>
      <c r="C117" s="4" t="s">
        <v>35</v>
      </c>
      <c r="D117" s="4" t="s">
        <v>40</v>
      </c>
      <c r="E117" s="4" t="s">
        <v>25</v>
      </c>
      <c r="F117" s="4" t="s">
        <v>25</v>
      </c>
      <c r="G117" s="4" t="s">
        <v>25</v>
      </c>
      <c r="H117" s="4" t="s">
        <v>25</v>
      </c>
      <c r="I117" s="5">
        <v>44682</v>
      </c>
      <c r="J117" s="6">
        <v>100</v>
      </c>
      <c r="K117" s="6">
        <v>100</v>
      </c>
      <c r="L117" s="6">
        <v>0</v>
      </c>
      <c r="M117" s="6">
        <v>0</v>
      </c>
      <c r="N117" s="6">
        <v>0</v>
      </c>
      <c r="O117" s="6">
        <v>0</v>
      </c>
      <c r="P117" s="6">
        <v>1</v>
      </c>
      <c r="Q117" s="4" t="s">
        <v>26</v>
      </c>
      <c r="R117" s="4">
        <v>0</v>
      </c>
      <c r="S117" s="4" t="s">
        <v>178</v>
      </c>
      <c r="U117" s="4">
        <v>18</v>
      </c>
      <c r="V117" s="4">
        <v>0</v>
      </c>
      <c r="W117" s="4">
        <v>0</v>
      </c>
    </row>
    <row r="118" spans="1:23" ht="11.25" customHeight="1" x14ac:dyDescent="0.3">
      <c r="A118" s="4" t="s">
        <v>21</v>
      </c>
      <c r="B118" s="4" t="s">
        <v>34</v>
      </c>
      <c r="C118" s="4" t="s">
        <v>35</v>
      </c>
      <c r="D118" s="4" t="s">
        <v>40</v>
      </c>
      <c r="E118" s="4" t="s">
        <v>25</v>
      </c>
      <c r="F118" s="4" t="s">
        <v>25</v>
      </c>
      <c r="G118" s="4" t="s">
        <v>25</v>
      </c>
      <c r="H118" s="4" t="s">
        <v>25</v>
      </c>
      <c r="I118" s="5">
        <v>44713</v>
      </c>
      <c r="J118" s="6">
        <v>403.07</v>
      </c>
      <c r="K118" s="6">
        <v>403.07</v>
      </c>
      <c r="L118" s="6">
        <v>0</v>
      </c>
      <c r="M118" s="6">
        <v>0</v>
      </c>
      <c r="N118" s="6">
        <v>0</v>
      </c>
      <c r="O118" s="6">
        <v>0</v>
      </c>
      <c r="P118" s="6">
        <v>6</v>
      </c>
      <c r="Q118" s="4" t="s">
        <v>26</v>
      </c>
      <c r="R118" s="4">
        <v>0</v>
      </c>
      <c r="S118" s="4" t="s">
        <v>179</v>
      </c>
      <c r="U118" s="4">
        <v>18</v>
      </c>
      <c r="V118" s="4">
        <v>0</v>
      </c>
      <c r="W118" s="4">
        <v>0</v>
      </c>
    </row>
    <row r="119" spans="1:23" ht="11.25" customHeight="1" x14ac:dyDescent="0.3">
      <c r="A119" s="4" t="s">
        <v>27</v>
      </c>
      <c r="B119" s="4" t="s">
        <v>34</v>
      </c>
      <c r="C119" s="4" t="s">
        <v>35</v>
      </c>
      <c r="D119" s="4" t="s">
        <v>40</v>
      </c>
      <c r="E119" s="4" t="s">
        <v>25</v>
      </c>
      <c r="F119" s="4" t="s">
        <v>25</v>
      </c>
      <c r="G119" s="4" t="s">
        <v>25</v>
      </c>
      <c r="H119" s="4" t="s">
        <v>25</v>
      </c>
      <c r="I119" s="5">
        <v>44713</v>
      </c>
      <c r="J119" s="6">
        <v>100</v>
      </c>
      <c r="K119" s="6">
        <v>100</v>
      </c>
      <c r="L119" s="6">
        <v>0</v>
      </c>
      <c r="M119" s="6">
        <v>0</v>
      </c>
      <c r="N119" s="6">
        <v>0</v>
      </c>
      <c r="O119" s="6">
        <v>0</v>
      </c>
      <c r="P119" s="6">
        <v>1</v>
      </c>
      <c r="Q119" s="4" t="s">
        <v>26</v>
      </c>
      <c r="R119" s="4">
        <v>0</v>
      </c>
      <c r="S119" s="4" t="s">
        <v>179</v>
      </c>
      <c r="U119" s="4">
        <v>18</v>
      </c>
      <c r="V119" s="4">
        <v>0</v>
      </c>
      <c r="W119" s="4">
        <v>0</v>
      </c>
    </row>
    <row r="120" spans="1:23" ht="11.25" customHeight="1" x14ac:dyDescent="0.3">
      <c r="A120" s="4" t="s">
        <v>21</v>
      </c>
      <c r="B120" s="4" t="s">
        <v>34</v>
      </c>
      <c r="C120" s="4" t="s">
        <v>35</v>
      </c>
      <c r="D120" s="4" t="s">
        <v>40</v>
      </c>
      <c r="E120" s="4" t="s">
        <v>25</v>
      </c>
      <c r="F120" s="4" t="s">
        <v>25</v>
      </c>
      <c r="G120" s="4" t="s">
        <v>25</v>
      </c>
      <c r="H120" s="4" t="s">
        <v>25</v>
      </c>
      <c r="I120" s="5">
        <v>44743</v>
      </c>
      <c r="J120" s="6">
        <v>406</v>
      </c>
      <c r="K120" s="6">
        <v>406</v>
      </c>
      <c r="L120" s="6">
        <v>0</v>
      </c>
      <c r="M120" s="6">
        <v>0</v>
      </c>
      <c r="N120" s="6">
        <v>0</v>
      </c>
      <c r="O120" s="6">
        <v>0</v>
      </c>
      <c r="P120" s="6">
        <v>6</v>
      </c>
      <c r="Q120" s="4" t="s">
        <v>26</v>
      </c>
      <c r="R120" s="4">
        <v>0</v>
      </c>
      <c r="S120" s="4" t="s">
        <v>180</v>
      </c>
      <c r="U120" s="4">
        <v>18</v>
      </c>
      <c r="V120" s="4">
        <v>0</v>
      </c>
      <c r="W120" s="4">
        <v>0</v>
      </c>
    </row>
    <row r="121" spans="1:23" ht="11.25" customHeight="1" x14ac:dyDescent="0.3">
      <c r="A121" s="4" t="s">
        <v>27</v>
      </c>
      <c r="B121" s="4" t="s">
        <v>34</v>
      </c>
      <c r="C121" s="4" t="s">
        <v>35</v>
      </c>
      <c r="D121" s="4" t="s">
        <v>40</v>
      </c>
      <c r="E121" s="4" t="s">
        <v>25</v>
      </c>
      <c r="F121" s="4" t="s">
        <v>25</v>
      </c>
      <c r="G121" s="4" t="s">
        <v>25</v>
      </c>
      <c r="H121" s="4" t="s">
        <v>25</v>
      </c>
      <c r="I121" s="5">
        <v>44743</v>
      </c>
      <c r="J121" s="6">
        <v>100</v>
      </c>
      <c r="K121" s="6">
        <v>100</v>
      </c>
      <c r="L121" s="6">
        <v>0</v>
      </c>
      <c r="M121" s="6">
        <v>0</v>
      </c>
      <c r="N121" s="6">
        <v>0</v>
      </c>
      <c r="O121" s="6">
        <v>0</v>
      </c>
      <c r="P121" s="6">
        <v>1</v>
      </c>
      <c r="Q121" s="4" t="s">
        <v>26</v>
      </c>
      <c r="R121" s="4">
        <v>0</v>
      </c>
      <c r="S121" s="4" t="s">
        <v>180</v>
      </c>
      <c r="U121" s="4">
        <v>18</v>
      </c>
      <c r="V121" s="4">
        <v>0</v>
      </c>
      <c r="W121" s="4">
        <v>0</v>
      </c>
    </row>
    <row r="122" spans="1:23" ht="11.25" customHeight="1" x14ac:dyDescent="0.3">
      <c r="A122" s="4" t="s">
        <v>21</v>
      </c>
      <c r="B122" s="4" t="s">
        <v>34</v>
      </c>
      <c r="C122" s="4" t="s">
        <v>35</v>
      </c>
      <c r="D122" s="4" t="s">
        <v>40</v>
      </c>
      <c r="E122" s="4" t="s">
        <v>25</v>
      </c>
      <c r="F122" s="4" t="s">
        <v>25</v>
      </c>
      <c r="G122" s="4" t="s">
        <v>25</v>
      </c>
      <c r="H122" s="4" t="s">
        <v>36</v>
      </c>
      <c r="I122" s="5">
        <v>44409</v>
      </c>
      <c r="J122" s="6">
        <v>0</v>
      </c>
      <c r="K122" s="6">
        <v>0</v>
      </c>
      <c r="L122" s="6">
        <v>3.7450000000000001</v>
      </c>
      <c r="M122" s="6">
        <v>3.7450000000000001</v>
      </c>
      <c r="N122" s="6">
        <v>3.7450000000000001</v>
      </c>
      <c r="O122" s="6">
        <v>3.7450000000000001</v>
      </c>
      <c r="P122" s="6">
        <v>0</v>
      </c>
      <c r="Q122" s="4" t="s">
        <v>26</v>
      </c>
      <c r="R122" s="4">
        <v>0</v>
      </c>
      <c r="S122" s="4" t="s">
        <v>181</v>
      </c>
      <c r="T122" s="4" t="s">
        <v>342</v>
      </c>
      <c r="U122" s="4">
        <v>0</v>
      </c>
      <c r="V122" s="4">
        <v>21</v>
      </c>
      <c r="W122" s="4">
        <v>83</v>
      </c>
    </row>
    <row r="123" spans="1:23" ht="11.25" customHeight="1" x14ac:dyDescent="0.3">
      <c r="A123" s="4" t="s">
        <v>27</v>
      </c>
      <c r="B123" s="4" t="s">
        <v>34</v>
      </c>
      <c r="C123" s="4" t="s">
        <v>35</v>
      </c>
      <c r="D123" s="4" t="s">
        <v>40</v>
      </c>
      <c r="E123" s="4" t="s">
        <v>25</v>
      </c>
      <c r="F123" s="4" t="s">
        <v>25</v>
      </c>
      <c r="G123" s="4" t="s">
        <v>25</v>
      </c>
      <c r="H123" s="4" t="s">
        <v>36</v>
      </c>
      <c r="I123" s="5">
        <v>44409</v>
      </c>
      <c r="J123" s="6">
        <v>0</v>
      </c>
      <c r="K123" s="6">
        <v>0</v>
      </c>
      <c r="L123" s="6">
        <v>0.83260999999999996</v>
      </c>
      <c r="M123" s="6">
        <v>0.83260999999999996</v>
      </c>
      <c r="N123" s="6">
        <v>0.83260999999999996</v>
      </c>
      <c r="O123" s="6">
        <v>0.83260999999999996</v>
      </c>
      <c r="P123" s="6">
        <v>0</v>
      </c>
      <c r="Q123" s="4" t="s">
        <v>26</v>
      </c>
      <c r="R123" s="4">
        <v>0</v>
      </c>
      <c r="S123" s="4" t="s">
        <v>181</v>
      </c>
      <c r="T123" s="4" t="s">
        <v>342</v>
      </c>
      <c r="U123" s="4">
        <v>0</v>
      </c>
      <c r="V123" s="4">
        <v>21</v>
      </c>
      <c r="W123" s="4">
        <v>83</v>
      </c>
    </row>
    <row r="124" spans="1:23" ht="11.25" customHeight="1" x14ac:dyDescent="0.3">
      <c r="A124" s="4" t="s">
        <v>21</v>
      </c>
      <c r="B124" s="4" t="s">
        <v>34</v>
      </c>
      <c r="C124" s="4" t="s">
        <v>35</v>
      </c>
      <c r="D124" s="4" t="s">
        <v>40</v>
      </c>
      <c r="E124" s="4" t="s">
        <v>25</v>
      </c>
      <c r="F124" s="4" t="s">
        <v>25</v>
      </c>
      <c r="G124" s="4" t="s">
        <v>25</v>
      </c>
      <c r="H124" s="4" t="s">
        <v>36</v>
      </c>
      <c r="I124" s="5">
        <v>44440</v>
      </c>
      <c r="J124" s="6">
        <v>0</v>
      </c>
      <c r="K124" s="6">
        <v>0</v>
      </c>
      <c r="L124" s="6">
        <v>3.89899</v>
      </c>
      <c r="M124" s="6">
        <v>3.89899</v>
      </c>
      <c r="N124" s="6">
        <v>3.89899</v>
      </c>
      <c r="O124" s="6">
        <v>3.89899</v>
      </c>
      <c r="P124" s="6">
        <v>0</v>
      </c>
      <c r="Q124" s="4" t="s">
        <v>26</v>
      </c>
      <c r="R124" s="4">
        <v>0</v>
      </c>
      <c r="S124" s="4" t="s">
        <v>182</v>
      </c>
      <c r="T124" s="4" t="s">
        <v>343</v>
      </c>
      <c r="U124" s="4">
        <v>0</v>
      </c>
      <c r="V124" s="4">
        <v>21</v>
      </c>
      <c r="W124" s="4">
        <v>83</v>
      </c>
    </row>
    <row r="125" spans="1:23" ht="11.25" customHeight="1" x14ac:dyDescent="0.3">
      <c r="A125" s="4" t="s">
        <v>27</v>
      </c>
      <c r="B125" s="4" t="s">
        <v>34</v>
      </c>
      <c r="C125" s="4" t="s">
        <v>35</v>
      </c>
      <c r="D125" s="4" t="s">
        <v>40</v>
      </c>
      <c r="E125" s="4" t="s">
        <v>25</v>
      </c>
      <c r="F125" s="4" t="s">
        <v>25</v>
      </c>
      <c r="G125" s="4" t="s">
        <v>25</v>
      </c>
      <c r="H125" s="4" t="s">
        <v>36</v>
      </c>
      <c r="I125" s="5">
        <v>44440</v>
      </c>
      <c r="J125" s="6">
        <v>0</v>
      </c>
      <c r="K125" s="6">
        <v>0</v>
      </c>
      <c r="L125" s="6">
        <v>0.81979000000000002</v>
      </c>
      <c r="M125" s="6">
        <v>0.81979000000000002</v>
      </c>
      <c r="N125" s="6">
        <v>0.81979000000000002</v>
      </c>
      <c r="O125" s="6">
        <v>0.81979000000000002</v>
      </c>
      <c r="P125" s="6">
        <v>0</v>
      </c>
      <c r="Q125" s="4" t="s">
        <v>26</v>
      </c>
      <c r="R125" s="4">
        <v>0</v>
      </c>
      <c r="S125" s="4" t="s">
        <v>182</v>
      </c>
      <c r="T125" s="4" t="s">
        <v>343</v>
      </c>
      <c r="U125" s="4">
        <v>0</v>
      </c>
      <c r="V125" s="4">
        <v>21</v>
      </c>
      <c r="W125" s="4">
        <v>83</v>
      </c>
    </row>
    <row r="126" spans="1:23" ht="11.25" customHeight="1" x14ac:dyDescent="0.3">
      <c r="A126" s="4" t="s">
        <v>21</v>
      </c>
      <c r="B126" s="4" t="s">
        <v>34</v>
      </c>
      <c r="C126" s="4" t="s">
        <v>35</v>
      </c>
      <c r="D126" s="4" t="s">
        <v>40</v>
      </c>
      <c r="E126" s="4" t="s">
        <v>25</v>
      </c>
      <c r="F126" s="4" t="s">
        <v>25</v>
      </c>
      <c r="G126" s="4" t="s">
        <v>25</v>
      </c>
      <c r="H126" s="4" t="s">
        <v>36</v>
      </c>
      <c r="I126" s="5">
        <v>44470</v>
      </c>
      <c r="J126" s="6">
        <v>0</v>
      </c>
      <c r="K126" s="6">
        <v>0</v>
      </c>
      <c r="L126" s="6">
        <v>3.68018</v>
      </c>
      <c r="M126" s="6">
        <v>3.68018</v>
      </c>
      <c r="N126" s="6">
        <v>3.68018</v>
      </c>
      <c r="O126" s="6">
        <v>3.68018</v>
      </c>
      <c r="P126" s="6">
        <v>0</v>
      </c>
      <c r="Q126" s="4" t="s">
        <v>26</v>
      </c>
      <c r="R126" s="4">
        <v>0</v>
      </c>
      <c r="S126" s="4" t="s">
        <v>183</v>
      </c>
      <c r="T126" s="4" t="s">
        <v>344</v>
      </c>
      <c r="U126" s="4">
        <v>0</v>
      </c>
      <c r="V126" s="4">
        <v>21</v>
      </c>
      <c r="W126" s="4">
        <v>83</v>
      </c>
    </row>
    <row r="127" spans="1:23" ht="11.25" customHeight="1" x14ac:dyDescent="0.3">
      <c r="A127" s="4" t="s">
        <v>27</v>
      </c>
      <c r="B127" s="4" t="s">
        <v>34</v>
      </c>
      <c r="C127" s="4" t="s">
        <v>35</v>
      </c>
      <c r="D127" s="4" t="s">
        <v>40</v>
      </c>
      <c r="E127" s="4" t="s">
        <v>25</v>
      </c>
      <c r="F127" s="4" t="s">
        <v>25</v>
      </c>
      <c r="G127" s="4" t="s">
        <v>25</v>
      </c>
      <c r="H127" s="4" t="s">
        <v>36</v>
      </c>
      <c r="I127" s="5">
        <v>44470</v>
      </c>
      <c r="J127" s="6">
        <v>0</v>
      </c>
      <c r="K127" s="6">
        <v>0</v>
      </c>
      <c r="L127" s="6">
        <v>0.80769999999999997</v>
      </c>
      <c r="M127" s="6">
        <v>0.80769999999999997</v>
      </c>
      <c r="N127" s="6">
        <v>0.80769999999999997</v>
      </c>
      <c r="O127" s="6">
        <v>0.80769999999999997</v>
      </c>
      <c r="P127" s="6">
        <v>0</v>
      </c>
      <c r="Q127" s="4" t="s">
        <v>26</v>
      </c>
      <c r="R127" s="4">
        <v>0</v>
      </c>
      <c r="S127" s="4" t="s">
        <v>183</v>
      </c>
      <c r="T127" s="4" t="s">
        <v>344</v>
      </c>
      <c r="U127" s="4">
        <v>0</v>
      </c>
      <c r="V127" s="4">
        <v>21</v>
      </c>
      <c r="W127" s="4">
        <v>83</v>
      </c>
    </row>
    <row r="128" spans="1:23" ht="11.25" customHeight="1" x14ac:dyDescent="0.3">
      <c r="A128" s="4" t="s">
        <v>21</v>
      </c>
      <c r="B128" s="4" t="s">
        <v>34</v>
      </c>
      <c r="C128" s="4" t="s">
        <v>35</v>
      </c>
      <c r="D128" s="4" t="s">
        <v>40</v>
      </c>
      <c r="E128" s="4" t="s">
        <v>25</v>
      </c>
      <c r="F128" s="4" t="s">
        <v>25</v>
      </c>
      <c r="G128" s="4" t="s">
        <v>25</v>
      </c>
      <c r="H128" s="4" t="s">
        <v>36</v>
      </c>
      <c r="I128" s="5">
        <v>44501</v>
      </c>
      <c r="J128" s="6">
        <v>0</v>
      </c>
      <c r="K128" s="6">
        <v>0</v>
      </c>
      <c r="L128" s="6">
        <v>4.1459999999999999</v>
      </c>
      <c r="M128" s="6">
        <v>4.1459999999999999</v>
      </c>
      <c r="N128" s="6">
        <v>4.1459999999999999</v>
      </c>
      <c r="O128" s="6">
        <v>4.1459999999999999</v>
      </c>
      <c r="P128" s="6">
        <v>0</v>
      </c>
      <c r="Q128" s="4" t="s">
        <v>26</v>
      </c>
      <c r="R128" s="4">
        <v>0</v>
      </c>
      <c r="S128" s="4" t="s">
        <v>184</v>
      </c>
      <c r="T128" s="4" t="s">
        <v>345</v>
      </c>
      <c r="U128" s="4">
        <v>0</v>
      </c>
      <c r="V128" s="4">
        <v>21</v>
      </c>
      <c r="W128" s="4">
        <v>83</v>
      </c>
    </row>
    <row r="129" spans="1:23" ht="11.25" customHeight="1" x14ac:dyDescent="0.3">
      <c r="A129" s="4" t="s">
        <v>27</v>
      </c>
      <c r="B129" s="4" t="s">
        <v>34</v>
      </c>
      <c r="C129" s="4" t="s">
        <v>35</v>
      </c>
      <c r="D129" s="4" t="s">
        <v>40</v>
      </c>
      <c r="E129" s="4" t="s">
        <v>25</v>
      </c>
      <c r="F129" s="4" t="s">
        <v>25</v>
      </c>
      <c r="G129" s="4" t="s">
        <v>25</v>
      </c>
      <c r="H129" s="4" t="s">
        <v>36</v>
      </c>
      <c r="I129" s="5">
        <v>44501</v>
      </c>
      <c r="J129" s="6">
        <v>0</v>
      </c>
      <c r="K129" s="6">
        <v>0</v>
      </c>
      <c r="L129" s="6">
        <v>0.97399999999999998</v>
      </c>
      <c r="M129" s="6">
        <v>0.97399999999999998</v>
      </c>
      <c r="N129" s="6">
        <v>0.97399999999999998</v>
      </c>
      <c r="O129" s="6">
        <v>0.97399999999999998</v>
      </c>
      <c r="P129" s="6">
        <v>0</v>
      </c>
      <c r="Q129" s="4" t="s">
        <v>26</v>
      </c>
      <c r="R129" s="4">
        <v>0</v>
      </c>
      <c r="S129" s="4" t="s">
        <v>184</v>
      </c>
      <c r="T129" s="4" t="s">
        <v>345</v>
      </c>
      <c r="U129" s="4">
        <v>0</v>
      </c>
      <c r="V129" s="4">
        <v>21</v>
      </c>
      <c r="W129" s="4">
        <v>83</v>
      </c>
    </row>
    <row r="130" spans="1:23" ht="11.25" customHeight="1" x14ac:dyDescent="0.3">
      <c r="A130" s="4" t="s">
        <v>21</v>
      </c>
      <c r="B130" s="4" t="s">
        <v>34</v>
      </c>
      <c r="C130" s="4" t="s">
        <v>35</v>
      </c>
      <c r="D130" s="4" t="s">
        <v>40</v>
      </c>
      <c r="E130" s="4" t="s">
        <v>25</v>
      </c>
      <c r="F130" s="4" t="s">
        <v>25</v>
      </c>
      <c r="G130" s="4" t="s">
        <v>25</v>
      </c>
      <c r="H130" s="4" t="s">
        <v>36</v>
      </c>
      <c r="I130" s="5">
        <v>44531</v>
      </c>
      <c r="J130" s="6">
        <v>0</v>
      </c>
      <c r="K130" s="6">
        <v>0</v>
      </c>
      <c r="L130" s="6">
        <v>5.6028099999999998</v>
      </c>
      <c r="M130" s="6">
        <v>5.6028099999999998</v>
      </c>
      <c r="N130" s="6">
        <v>5.6028099999999998</v>
      </c>
      <c r="O130" s="6">
        <v>5.6028099999999998</v>
      </c>
      <c r="P130" s="6">
        <v>0</v>
      </c>
      <c r="Q130" s="4" t="s">
        <v>26</v>
      </c>
      <c r="R130" s="4">
        <v>0</v>
      </c>
      <c r="S130" s="4" t="s">
        <v>185</v>
      </c>
      <c r="T130" s="4" t="s">
        <v>346</v>
      </c>
      <c r="U130" s="4">
        <v>0</v>
      </c>
      <c r="V130" s="4">
        <v>21</v>
      </c>
      <c r="W130" s="4">
        <v>83</v>
      </c>
    </row>
    <row r="131" spans="1:23" ht="11.25" customHeight="1" x14ac:dyDescent="0.3">
      <c r="A131" s="4" t="s">
        <v>27</v>
      </c>
      <c r="B131" s="4" t="s">
        <v>34</v>
      </c>
      <c r="C131" s="4" t="s">
        <v>35</v>
      </c>
      <c r="D131" s="4" t="s">
        <v>40</v>
      </c>
      <c r="E131" s="4" t="s">
        <v>25</v>
      </c>
      <c r="F131" s="4" t="s">
        <v>25</v>
      </c>
      <c r="G131" s="4" t="s">
        <v>25</v>
      </c>
      <c r="H131" s="4" t="s">
        <v>36</v>
      </c>
      <c r="I131" s="5">
        <v>44531</v>
      </c>
      <c r="J131" s="6">
        <v>0</v>
      </c>
      <c r="K131" s="6">
        <v>0</v>
      </c>
      <c r="L131" s="6">
        <v>1.288</v>
      </c>
      <c r="M131" s="6">
        <v>1.288</v>
      </c>
      <c r="N131" s="6">
        <v>1.288</v>
      </c>
      <c r="O131" s="6">
        <v>1.288</v>
      </c>
      <c r="P131" s="6">
        <v>0</v>
      </c>
      <c r="Q131" s="4" t="s">
        <v>26</v>
      </c>
      <c r="R131" s="4">
        <v>0</v>
      </c>
      <c r="S131" s="4" t="s">
        <v>185</v>
      </c>
      <c r="T131" s="4" t="s">
        <v>346</v>
      </c>
      <c r="U131" s="4">
        <v>0</v>
      </c>
      <c r="V131" s="4">
        <v>21</v>
      </c>
      <c r="W131" s="4">
        <v>83</v>
      </c>
    </row>
    <row r="132" spans="1:23" ht="11.25" customHeight="1" x14ac:dyDescent="0.3">
      <c r="A132" s="4" t="s">
        <v>21</v>
      </c>
      <c r="B132" s="4" t="s">
        <v>34</v>
      </c>
      <c r="C132" s="4" t="s">
        <v>35</v>
      </c>
      <c r="D132" s="4" t="s">
        <v>40</v>
      </c>
      <c r="E132" s="4" t="s">
        <v>25</v>
      </c>
      <c r="F132" s="4" t="s">
        <v>25</v>
      </c>
      <c r="G132" s="4" t="s">
        <v>25</v>
      </c>
      <c r="H132" s="4" t="s">
        <v>36</v>
      </c>
      <c r="I132" s="5">
        <v>44562</v>
      </c>
      <c r="J132" s="6">
        <v>0</v>
      </c>
      <c r="K132" s="6">
        <v>0</v>
      </c>
      <c r="L132" s="6">
        <v>5.6550000000000002</v>
      </c>
      <c r="M132" s="6">
        <v>5.6550000000000002</v>
      </c>
      <c r="N132" s="6">
        <v>5.6550000000000002</v>
      </c>
      <c r="O132" s="6">
        <v>5.6550000000000002</v>
      </c>
      <c r="P132" s="6">
        <v>0</v>
      </c>
      <c r="Q132" s="4" t="s">
        <v>26</v>
      </c>
      <c r="R132" s="4">
        <v>0</v>
      </c>
      <c r="S132" s="4" t="s">
        <v>186</v>
      </c>
      <c r="T132" s="4" t="s">
        <v>347</v>
      </c>
      <c r="U132" s="4">
        <v>0</v>
      </c>
      <c r="V132" s="4">
        <v>21</v>
      </c>
      <c r="W132" s="4">
        <v>83</v>
      </c>
    </row>
    <row r="133" spans="1:23" ht="11.25" customHeight="1" x14ac:dyDescent="0.3">
      <c r="A133" s="4" t="s">
        <v>27</v>
      </c>
      <c r="B133" s="4" t="s">
        <v>34</v>
      </c>
      <c r="C133" s="4" t="s">
        <v>35</v>
      </c>
      <c r="D133" s="4" t="s">
        <v>40</v>
      </c>
      <c r="E133" s="4" t="s">
        <v>25</v>
      </c>
      <c r="F133" s="4" t="s">
        <v>25</v>
      </c>
      <c r="G133" s="4" t="s">
        <v>25</v>
      </c>
      <c r="H133" s="4" t="s">
        <v>36</v>
      </c>
      <c r="I133" s="5">
        <v>44562</v>
      </c>
      <c r="J133" s="6">
        <v>0</v>
      </c>
      <c r="K133" s="6">
        <v>0</v>
      </c>
      <c r="L133" s="6">
        <v>1.835</v>
      </c>
      <c r="M133" s="6">
        <v>1.835</v>
      </c>
      <c r="N133" s="6">
        <v>1.835</v>
      </c>
      <c r="O133" s="6">
        <v>1.835</v>
      </c>
      <c r="P133" s="6">
        <v>0</v>
      </c>
      <c r="Q133" s="4" t="s">
        <v>26</v>
      </c>
      <c r="R133" s="4">
        <v>0</v>
      </c>
      <c r="S133" s="4" t="s">
        <v>186</v>
      </c>
      <c r="T133" s="4" t="s">
        <v>347</v>
      </c>
      <c r="U133" s="4">
        <v>0</v>
      </c>
      <c r="V133" s="4">
        <v>21</v>
      </c>
      <c r="W133" s="4">
        <v>83</v>
      </c>
    </row>
    <row r="134" spans="1:23" ht="11.25" customHeight="1" x14ac:dyDescent="0.3">
      <c r="A134" s="4" t="s">
        <v>21</v>
      </c>
      <c r="B134" s="4" t="s">
        <v>34</v>
      </c>
      <c r="C134" s="4" t="s">
        <v>35</v>
      </c>
      <c r="D134" s="4" t="s">
        <v>40</v>
      </c>
      <c r="E134" s="4" t="s">
        <v>25</v>
      </c>
      <c r="F134" s="4" t="s">
        <v>25</v>
      </c>
      <c r="G134" s="4" t="s">
        <v>25</v>
      </c>
      <c r="H134" s="4" t="s">
        <v>36</v>
      </c>
      <c r="I134" s="5">
        <v>44593</v>
      </c>
      <c r="J134" s="6">
        <v>0</v>
      </c>
      <c r="K134" s="6">
        <v>0</v>
      </c>
      <c r="L134" s="6">
        <v>4.7380000000000004</v>
      </c>
      <c r="M134" s="6">
        <v>4.7380000000000004</v>
      </c>
      <c r="N134" s="6">
        <v>4.7380000000000004</v>
      </c>
      <c r="O134" s="6">
        <v>4.7380000000000004</v>
      </c>
      <c r="P134" s="6">
        <v>0</v>
      </c>
      <c r="Q134" s="4" t="s">
        <v>26</v>
      </c>
      <c r="R134" s="4">
        <v>0</v>
      </c>
      <c r="S134" s="4" t="s">
        <v>187</v>
      </c>
      <c r="T134" s="4" t="s">
        <v>348</v>
      </c>
      <c r="U134" s="4">
        <v>0</v>
      </c>
      <c r="V134" s="4">
        <v>21</v>
      </c>
      <c r="W134" s="4">
        <v>83</v>
      </c>
    </row>
    <row r="135" spans="1:23" ht="11.25" customHeight="1" x14ac:dyDescent="0.3">
      <c r="A135" s="4" t="s">
        <v>27</v>
      </c>
      <c r="B135" s="4" t="s">
        <v>34</v>
      </c>
      <c r="C135" s="4" t="s">
        <v>35</v>
      </c>
      <c r="D135" s="4" t="s">
        <v>40</v>
      </c>
      <c r="E135" s="4" t="s">
        <v>25</v>
      </c>
      <c r="F135" s="4" t="s">
        <v>25</v>
      </c>
      <c r="G135" s="4" t="s">
        <v>25</v>
      </c>
      <c r="H135" s="4" t="s">
        <v>36</v>
      </c>
      <c r="I135" s="5">
        <v>44593</v>
      </c>
      <c r="J135" s="6">
        <v>0</v>
      </c>
      <c r="K135" s="6">
        <v>0</v>
      </c>
      <c r="L135" s="6">
        <v>1.76458</v>
      </c>
      <c r="M135" s="6">
        <v>1.76458</v>
      </c>
      <c r="N135" s="6">
        <v>1.76458</v>
      </c>
      <c r="O135" s="6">
        <v>1.76458</v>
      </c>
      <c r="P135" s="6">
        <v>0</v>
      </c>
      <c r="Q135" s="4" t="s">
        <v>26</v>
      </c>
      <c r="R135" s="4">
        <v>0</v>
      </c>
      <c r="S135" s="4" t="s">
        <v>187</v>
      </c>
      <c r="T135" s="4" t="s">
        <v>348</v>
      </c>
      <c r="U135" s="4">
        <v>0</v>
      </c>
      <c r="V135" s="4">
        <v>21</v>
      </c>
      <c r="W135" s="4">
        <v>83</v>
      </c>
    </row>
    <row r="136" spans="1:23" ht="11.25" customHeight="1" x14ac:dyDescent="0.3">
      <c r="A136" s="4" t="s">
        <v>21</v>
      </c>
      <c r="B136" s="4" t="s">
        <v>34</v>
      </c>
      <c r="C136" s="4" t="s">
        <v>35</v>
      </c>
      <c r="D136" s="4" t="s">
        <v>40</v>
      </c>
      <c r="E136" s="4" t="s">
        <v>25</v>
      </c>
      <c r="F136" s="4" t="s">
        <v>25</v>
      </c>
      <c r="G136" s="4" t="s">
        <v>25</v>
      </c>
      <c r="H136" s="4" t="s">
        <v>36</v>
      </c>
      <c r="I136" s="5">
        <v>44621</v>
      </c>
      <c r="J136" s="6">
        <v>0</v>
      </c>
      <c r="K136" s="6">
        <v>0</v>
      </c>
      <c r="L136" s="6">
        <v>4.5263299999999997</v>
      </c>
      <c r="M136" s="6">
        <v>4.5263299999999997</v>
      </c>
      <c r="N136" s="6">
        <v>4.5263299999999997</v>
      </c>
      <c r="O136" s="6">
        <v>4.5263299999999997</v>
      </c>
      <c r="P136" s="6">
        <v>0</v>
      </c>
      <c r="Q136" s="4" t="s">
        <v>26</v>
      </c>
      <c r="R136" s="4">
        <v>0</v>
      </c>
      <c r="S136" s="4" t="s">
        <v>188</v>
      </c>
      <c r="T136" s="4" t="s">
        <v>349</v>
      </c>
      <c r="U136" s="4">
        <v>0</v>
      </c>
      <c r="V136" s="4">
        <v>21</v>
      </c>
      <c r="W136" s="4">
        <v>83</v>
      </c>
    </row>
    <row r="137" spans="1:23" ht="11.25" customHeight="1" x14ac:dyDescent="0.3">
      <c r="A137" s="4" t="s">
        <v>27</v>
      </c>
      <c r="B137" s="4" t="s">
        <v>34</v>
      </c>
      <c r="C137" s="4" t="s">
        <v>35</v>
      </c>
      <c r="D137" s="4" t="s">
        <v>40</v>
      </c>
      <c r="E137" s="4" t="s">
        <v>25</v>
      </c>
      <c r="F137" s="4" t="s">
        <v>25</v>
      </c>
      <c r="G137" s="4" t="s">
        <v>25</v>
      </c>
      <c r="H137" s="4" t="s">
        <v>36</v>
      </c>
      <c r="I137" s="5">
        <v>44621</v>
      </c>
      <c r="J137" s="6">
        <v>0</v>
      </c>
      <c r="K137" s="6">
        <v>0</v>
      </c>
      <c r="L137" s="6">
        <v>1.5145900000000001</v>
      </c>
      <c r="M137" s="6">
        <v>1.5145900000000001</v>
      </c>
      <c r="N137" s="6">
        <v>1.5145900000000001</v>
      </c>
      <c r="O137" s="6">
        <v>1.5145900000000001</v>
      </c>
      <c r="P137" s="6">
        <v>0</v>
      </c>
      <c r="Q137" s="4" t="s">
        <v>26</v>
      </c>
      <c r="R137" s="4">
        <v>0</v>
      </c>
      <c r="S137" s="4" t="s">
        <v>188</v>
      </c>
      <c r="T137" s="4" t="s">
        <v>349</v>
      </c>
      <c r="U137" s="4">
        <v>0</v>
      </c>
      <c r="V137" s="4">
        <v>21</v>
      </c>
      <c r="W137" s="4">
        <v>83</v>
      </c>
    </row>
    <row r="138" spans="1:23" ht="11.25" customHeight="1" x14ac:dyDescent="0.3">
      <c r="A138" s="4" t="s">
        <v>21</v>
      </c>
      <c r="B138" s="4" t="s">
        <v>34</v>
      </c>
      <c r="C138" s="4" t="s">
        <v>35</v>
      </c>
      <c r="D138" s="4" t="s">
        <v>40</v>
      </c>
      <c r="E138" s="4" t="s">
        <v>25</v>
      </c>
      <c r="F138" s="4" t="s">
        <v>25</v>
      </c>
      <c r="G138" s="4" t="s">
        <v>25</v>
      </c>
      <c r="H138" s="4" t="s">
        <v>36</v>
      </c>
      <c r="I138" s="5">
        <v>44652</v>
      </c>
      <c r="J138" s="6">
        <v>0</v>
      </c>
      <c r="K138" s="6">
        <v>0</v>
      </c>
      <c r="L138" s="6">
        <v>3.3103699999999998</v>
      </c>
      <c r="M138" s="6">
        <v>3.3103699999999998</v>
      </c>
      <c r="N138" s="6">
        <v>3.3103699999999998</v>
      </c>
      <c r="O138" s="6">
        <v>3.3103699999999998</v>
      </c>
      <c r="P138" s="6">
        <v>0</v>
      </c>
      <c r="Q138" s="4" t="s">
        <v>26</v>
      </c>
      <c r="R138" s="4">
        <v>0</v>
      </c>
      <c r="S138" s="4" t="s">
        <v>189</v>
      </c>
      <c r="T138" s="4" t="s">
        <v>350</v>
      </c>
      <c r="U138" s="4">
        <v>0</v>
      </c>
      <c r="V138" s="4">
        <v>21</v>
      </c>
      <c r="W138" s="4">
        <v>83</v>
      </c>
    </row>
    <row r="139" spans="1:23" ht="11.25" customHeight="1" x14ac:dyDescent="0.3">
      <c r="A139" s="4" t="s">
        <v>27</v>
      </c>
      <c r="B139" s="4" t="s">
        <v>34</v>
      </c>
      <c r="C139" s="4" t="s">
        <v>35</v>
      </c>
      <c r="D139" s="4" t="s">
        <v>40</v>
      </c>
      <c r="E139" s="4" t="s">
        <v>25</v>
      </c>
      <c r="F139" s="4" t="s">
        <v>25</v>
      </c>
      <c r="G139" s="4" t="s">
        <v>25</v>
      </c>
      <c r="H139" s="4" t="s">
        <v>36</v>
      </c>
      <c r="I139" s="5">
        <v>44652</v>
      </c>
      <c r="J139" s="6">
        <v>0</v>
      </c>
      <c r="K139" s="6">
        <v>0</v>
      </c>
      <c r="L139" s="6">
        <v>0.872</v>
      </c>
      <c r="M139" s="6">
        <v>0.872</v>
      </c>
      <c r="N139" s="6">
        <v>0.872</v>
      </c>
      <c r="O139" s="6">
        <v>0.872</v>
      </c>
      <c r="P139" s="6">
        <v>0</v>
      </c>
      <c r="Q139" s="4" t="s">
        <v>26</v>
      </c>
      <c r="R139" s="4">
        <v>0</v>
      </c>
      <c r="S139" s="4" t="s">
        <v>189</v>
      </c>
      <c r="T139" s="4" t="s">
        <v>350</v>
      </c>
      <c r="U139" s="4">
        <v>0</v>
      </c>
      <c r="V139" s="4">
        <v>21</v>
      </c>
      <c r="W139" s="4">
        <v>83</v>
      </c>
    </row>
    <row r="140" spans="1:23" ht="11.25" customHeight="1" x14ac:dyDescent="0.3">
      <c r="A140" s="4" t="s">
        <v>21</v>
      </c>
      <c r="B140" s="4" t="s">
        <v>34</v>
      </c>
      <c r="C140" s="4" t="s">
        <v>35</v>
      </c>
      <c r="D140" s="4" t="s">
        <v>40</v>
      </c>
      <c r="E140" s="4" t="s">
        <v>25</v>
      </c>
      <c r="F140" s="4" t="s">
        <v>25</v>
      </c>
      <c r="G140" s="4" t="s">
        <v>25</v>
      </c>
      <c r="H140" s="4" t="s">
        <v>36</v>
      </c>
      <c r="I140" s="5">
        <v>44682</v>
      </c>
      <c r="J140" s="6">
        <v>0</v>
      </c>
      <c r="K140" s="6">
        <v>0</v>
      </c>
      <c r="L140" s="6">
        <v>3.5286</v>
      </c>
      <c r="M140" s="6">
        <v>3.5286</v>
      </c>
      <c r="N140" s="6">
        <v>3.5286</v>
      </c>
      <c r="O140" s="6">
        <v>3.5286</v>
      </c>
      <c r="P140" s="6">
        <v>0</v>
      </c>
      <c r="Q140" s="4" t="s">
        <v>26</v>
      </c>
      <c r="R140" s="4">
        <v>0</v>
      </c>
      <c r="S140" s="4" t="s">
        <v>190</v>
      </c>
      <c r="T140" s="4" t="s">
        <v>351</v>
      </c>
      <c r="U140" s="4">
        <v>0</v>
      </c>
      <c r="V140" s="4">
        <v>21</v>
      </c>
      <c r="W140" s="4">
        <v>83</v>
      </c>
    </row>
    <row r="141" spans="1:23" ht="11.25" customHeight="1" x14ac:dyDescent="0.3">
      <c r="A141" s="4" t="s">
        <v>27</v>
      </c>
      <c r="B141" s="4" t="s">
        <v>34</v>
      </c>
      <c r="C141" s="4" t="s">
        <v>35</v>
      </c>
      <c r="D141" s="4" t="s">
        <v>40</v>
      </c>
      <c r="E141" s="4" t="s">
        <v>25</v>
      </c>
      <c r="F141" s="4" t="s">
        <v>25</v>
      </c>
      <c r="G141" s="4" t="s">
        <v>25</v>
      </c>
      <c r="H141" s="4" t="s">
        <v>36</v>
      </c>
      <c r="I141" s="5">
        <v>44682</v>
      </c>
      <c r="J141" s="6">
        <v>0</v>
      </c>
      <c r="K141" s="6">
        <v>0</v>
      </c>
      <c r="L141" s="6">
        <v>0.83333000000000002</v>
      </c>
      <c r="M141" s="6">
        <v>0.83333000000000002</v>
      </c>
      <c r="N141" s="6">
        <v>0.83333000000000002</v>
      </c>
      <c r="O141" s="6">
        <v>0.83333000000000002</v>
      </c>
      <c r="P141" s="6">
        <v>0</v>
      </c>
      <c r="Q141" s="4" t="s">
        <v>26</v>
      </c>
      <c r="R141" s="4">
        <v>0</v>
      </c>
      <c r="S141" s="4" t="s">
        <v>190</v>
      </c>
      <c r="T141" s="4" t="s">
        <v>351</v>
      </c>
      <c r="U141" s="4">
        <v>0</v>
      </c>
      <c r="V141" s="4">
        <v>21</v>
      </c>
      <c r="W141" s="4">
        <v>83</v>
      </c>
    </row>
    <row r="142" spans="1:23" ht="11.25" customHeight="1" x14ac:dyDescent="0.3">
      <c r="A142" s="4" t="s">
        <v>21</v>
      </c>
      <c r="B142" s="4" t="s">
        <v>34</v>
      </c>
      <c r="C142" s="4" t="s">
        <v>35</v>
      </c>
      <c r="D142" s="4" t="s">
        <v>40</v>
      </c>
      <c r="E142" s="4" t="s">
        <v>25</v>
      </c>
      <c r="F142" s="4" t="s">
        <v>25</v>
      </c>
      <c r="G142" s="4" t="s">
        <v>25</v>
      </c>
      <c r="H142" s="4" t="s">
        <v>36</v>
      </c>
      <c r="I142" s="5">
        <v>44713</v>
      </c>
      <c r="J142" s="6">
        <v>0</v>
      </c>
      <c r="K142" s="6">
        <v>0</v>
      </c>
      <c r="L142" s="6">
        <v>3.0912799999999998</v>
      </c>
      <c r="M142" s="6">
        <v>3.0912799999999998</v>
      </c>
      <c r="N142" s="6">
        <v>3.0912799999999998</v>
      </c>
      <c r="O142" s="6">
        <v>3.0912799999999998</v>
      </c>
      <c r="P142" s="6">
        <v>0</v>
      </c>
      <c r="Q142" s="4" t="s">
        <v>26</v>
      </c>
      <c r="R142" s="4">
        <v>0</v>
      </c>
      <c r="S142" s="4" t="s">
        <v>191</v>
      </c>
      <c r="T142" s="4" t="s">
        <v>352</v>
      </c>
      <c r="U142" s="4">
        <v>0</v>
      </c>
      <c r="V142" s="4">
        <v>21</v>
      </c>
      <c r="W142" s="4">
        <v>83</v>
      </c>
    </row>
    <row r="143" spans="1:23" ht="11.25" customHeight="1" x14ac:dyDescent="0.3">
      <c r="A143" s="4" t="s">
        <v>27</v>
      </c>
      <c r="B143" s="4" t="s">
        <v>34</v>
      </c>
      <c r="C143" s="4" t="s">
        <v>35</v>
      </c>
      <c r="D143" s="4" t="s">
        <v>40</v>
      </c>
      <c r="E143" s="4" t="s">
        <v>25</v>
      </c>
      <c r="F143" s="4" t="s">
        <v>25</v>
      </c>
      <c r="G143" s="4" t="s">
        <v>25</v>
      </c>
      <c r="H143" s="4" t="s">
        <v>36</v>
      </c>
      <c r="I143" s="5">
        <v>44713</v>
      </c>
      <c r="J143" s="6">
        <v>0</v>
      </c>
      <c r="K143" s="6">
        <v>0</v>
      </c>
      <c r="L143" s="6">
        <v>0.80100000000000005</v>
      </c>
      <c r="M143" s="6">
        <v>0.80100000000000005</v>
      </c>
      <c r="N143" s="6">
        <v>0.80100000000000005</v>
      </c>
      <c r="O143" s="6">
        <v>0.80100000000000005</v>
      </c>
      <c r="P143" s="6">
        <v>0</v>
      </c>
      <c r="Q143" s="4" t="s">
        <v>26</v>
      </c>
      <c r="R143" s="4">
        <v>0</v>
      </c>
      <c r="S143" s="4" t="s">
        <v>191</v>
      </c>
      <c r="T143" s="4" t="s">
        <v>352</v>
      </c>
      <c r="U143" s="4">
        <v>0</v>
      </c>
      <c r="V143" s="4">
        <v>21</v>
      </c>
      <c r="W143" s="4">
        <v>83</v>
      </c>
    </row>
    <row r="144" spans="1:23" ht="11.25" customHeight="1" x14ac:dyDescent="0.3">
      <c r="A144" s="4" t="s">
        <v>21</v>
      </c>
      <c r="B144" s="4" t="s">
        <v>34</v>
      </c>
      <c r="C144" s="4" t="s">
        <v>35</v>
      </c>
      <c r="D144" s="4" t="s">
        <v>40</v>
      </c>
      <c r="E144" s="4" t="s">
        <v>25</v>
      </c>
      <c r="F144" s="4" t="s">
        <v>25</v>
      </c>
      <c r="G144" s="4" t="s">
        <v>25</v>
      </c>
      <c r="H144" s="4" t="s">
        <v>36</v>
      </c>
      <c r="I144" s="5">
        <v>44743</v>
      </c>
      <c r="J144" s="6">
        <v>0</v>
      </c>
      <c r="K144" s="6">
        <v>0</v>
      </c>
      <c r="L144" s="6">
        <v>3.3119999999999998</v>
      </c>
      <c r="M144" s="6">
        <v>3.3119999999999998</v>
      </c>
      <c r="N144" s="6">
        <v>3.3119999999999998</v>
      </c>
      <c r="O144" s="6">
        <v>3.3119999999999998</v>
      </c>
      <c r="P144" s="6">
        <v>0</v>
      </c>
      <c r="Q144" s="4" t="s">
        <v>26</v>
      </c>
      <c r="R144" s="4">
        <v>0</v>
      </c>
      <c r="S144" s="4" t="s">
        <v>192</v>
      </c>
      <c r="T144" s="4" t="s">
        <v>353</v>
      </c>
      <c r="U144" s="4">
        <v>0</v>
      </c>
      <c r="V144" s="4">
        <v>21</v>
      </c>
      <c r="W144" s="4">
        <v>83</v>
      </c>
    </row>
    <row r="145" spans="1:23" ht="11.25" customHeight="1" x14ac:dyDescent="0.3">
      <c r="A145" s="4" t="s">
        <v>27</v>
      </c>
      <c r="B145" s="4" t="s">
        <v>34</v>
      </c>
      <c r="C145" s="4" t="s">
        <v>35</v>
      </c>
      <c r="D145" s="4" t="s">
        <v>40</v>
      </c>
      <c r="E145" s="4" t="s">
        <v>25</v>
      </c>
      <c r="F145" s="4" t="s">
        <v>25</v>
      </c>
      <c r="G145" s="4" t="s">
        <v>25</v>
      </c>
      <c r="H145" s="4" t="s">
        <v>36</v>
      </c>
      <c r="I145" s="5">
        <v>44743</v>
      </c>
      <c r="J145" s="6">
        <v>0</v>
      </c>
      <c r="K145" s="6">
        <v>0</v>
      </c>
      <c r="L145" s="6">
        <v>0.75527999999999995</v>
      </c>
      <c r="M145" s="6">
        <v>0.75527999999999995</v>
      </c>
      <c r="N145" s="6">
        <v>0.75527999999999995</v>
      </c>
      <c r="O145" s="6">
        <v>0.75527999999999995</v>
      </c>
      <c r="P145" s="6">
        <v>0</v>
      </c>
      <c r="Q145" s="4" t="s">
        <v>26</v>
      </c>
      <c r="R145" s="4">
        <v>0</v>
      </c>
      <c r="S145" s="4" t="s">
        <v>192</v>
      </c>
      <c r="T145" s="4" t="s">
        <v>353</v>
      </c>
      <c r="U145" s="4">
        <v>0</v>
      </c>
      <c r="V145" s="4">
        <v>21</v>
      </c>
      <c r="W145" s="4">
        <v>83</v>
      </c>
    </row>
    <row r="146" spans="1:23" ht="11.25" customHeight="1" x14ac:dyDescent="0.3">
      <c r="A146" s="4" t="s">
        <v>21</v>
      </c>
      <c r="B146" s="4" t="s">
        <v>34</v>
      </c>
      <c r="C146" s="4" t="s">
        <v>35</v>
      </c>
      <c r="D146" s="4" t="s">
        <v>33</v>
      </c>
      <c r="E146" s="4" t="s">
        <v>25</v>
      </c>
      <c r="F146" s="4" t="s">
        <v>55</v>
      </c>
      <c r="G146" s="4" t="s">
        <v>25</v>
      </c>
      <c r="H146" s="4" t="s">
        <v>37</v>
      </c>
      <c r="I146" s="5">
        <v>44409</v>
      </c>
      <c r="J146" s="6">
        <v>0</v>
      </c>
      <c r="K146" s="6">
        <v>0</v>
      </c>
      <c r="L146" s="6">
        <v>2970.8047099999999</v>
      </c>
      <c r="M146" s="6">
        <v>2970.8047099999999</v>
      </c>
      <c r="N146" s="6">
        <v>0</v>
      </c>
      <c r="O146" s="6">
        <v>0</v>
      </c>
      <c r="P146" s="6">
        <v>0</v>
      </c>
      <c r="Q146" s="4" t="s">
        <v>56</v>
      </c>
      <c r="R146" s="4">
        <v>0</v>
      </c>
      <c r="S146" s="4" t="s">
        <v>157</v>
      </c>
      <c r="U146" s="4">
        <v>0</v>
      </c>
      <c r="V146" s="4">
        <v>22</v>
      </c>
      <c r="W146" s="4">
        <v>0</v>
      </c>
    </row>
    <row r="147" spans="1:23" ht="11.25" customHeight="1" x14ac:dyDescent="0.3">
      <c r="A147" s="4" t="s">
        <v>21</v>
      </c>
      <c r="B147" s="4" t="s">
        <v>34</v>
      </c>
      <c r="C147" s="4" t="s">
        <v>35</v>
      </c>
      <c r="D147" s="4" t="s">
        <v>33</v>
      </c>
      <c r="E147" s="4" t="s">
        <v>25</v>
      </c>
      <c r="F147" s="4" t="s">
        <v>55</v>
      </c>
      <c r="G147" s="4" t="s">
        <v>25</v>
      </c>
      <c r="H147" s="4" t="s">
        <v>37</v>
      </c>
      <c r="I147" s="5">
        <v>44440</v>
      </c>
      <c r="J147" s="6">
        <v>0</v>
      </c>
      <c r="K147" s="6">
        <v>0</v>
      </c>
      <c r="L147" s="6">
        <v>2776.491</v>
      </c>
      <c r="M147" s="6">
        <v>2776.491</v>
      </c>
      <c r="N147" s="6">
        <v>0</v>
      </c>
      <c r="O147" s="6">
        <v>0</v>
      </c>
      <c r="P147" s="6">
        <v>0</v>
      </c>
      <c r="Q147" s="4" t="s">
        <v>56</v>
      </c>
      <c r="R147" s="4">
        <v>0</v>
      </c>
      <c r="S147" s="4" t="s">
        <v>158</v>
      </c>
      <c r="U147" s="4">
        <v>0</v>
      </c>
      <c r="V147" s="4">
        <v>22</v>
      </c>
      <c r="W147" s="4">
        <v>0</v>
      </c>
    </row>
    <row r="148" spans="1:23" ht="11.25" customHeight="1" x14ac:dyDescent="0.3">
      <c r="A148" s="4" t="s">
        <v>21</v>
      </c>
      <c r="B148" s="4" t="s">
        <v>34</v>
      </c>
      <c r="C148" s="4" t="s">
        <v>35</v>
      </c>
      <c r="D148" s="4" t="s">
        <v>33</v>
      </c>
      <c r="E148" s="4" t="s">
        <v>25</v>
      </c>
      <c r="F148" s="4" t="s">
        <v>55</v>
      </c>
      <c r="G148" s="4" t="s">
        <v>25</v>
      </c>
      <c r="H148" s="4" t="s">
        <v>37</v>
      </c>
      <c r="I148" s="5">
        <v>44470</v>
      </c>
      <c r="J148" s="6">
        <v>0</v>
      </c>
      <c r="K148" s="6">
        <v>0</v>
      </c>
      <c r="L148" s="6">
        <v>3080.5311900000002</v>
      </c>
      <c r="M148" s="6">
        <v>3080.5311900000002</v>
      </c>
      <c r="N148" s="6">
        <v>0</v>
      </c>
      <c r="O148" s="6">
        <v>0</v>
      </c>
      <c r="P148" s="6">
        <v>0</v>
      </c>
      <c r="Q148" s="4" t="s">
        <v>56</v>
      </c>
      <c r="R148" s="4">
        <v>0</v>
      </c>
      <c r="S148" s="4" t="s">
        <v>159</v>
      </c>
      <c r="U148" s="4">
        <v>0</v>
      </c>
      <c r="V148" s="4">
        <v>22</v>
      </c>
      <c r="W148" s="4">
        <v>0</v>
      </c>
    </row>
    <row r="149" spans="1:23" ht="11.25" customHeight="1" x14ac:dyDescent="0.3">
      <c r="A149" s="4" t="s">
        <v>21</v>
      </c>
      <c r="B149" s="4" t="s">
        <v>34</v>
      </c>
      <c r="C149" s="4" t="s">
        <v>35</v>
      </c>
      <c r="D149" s="4" t="s">
        <v>33</v>
      </c>
      <c r="E149" s="4" t="s">
        <v>25</v>
      </c>
      <c r="F149" s="4" t="s">
        <v>55</v>
      </c>
      <c r="G149" s="4" t="s">
        <v>25</v>
      </c>
      <c r="H149" s="4" t="s">
        <v>37</v>
      </c>
      <c r="I149" s="5">
        <v>44501</v>
      </c>
      <c r="J149" s="6">
        <v>0</v>
      </c>
      <c r="K149" s="6">
        <v>0</v>
      </c>
      <c r="L149" s="6">
        <v>3219.0039999999999</v>
      </c>
      <c r="M149" s="6">
        <v>3219.0039999999999</v>
      </c>
      <c r="N149" s="6">
        <v>0</v>
      </c>
      <c r="O149" s="6">
        <v>0</v>
      </c>
      <c r="P149" s="6">
        <v>0</v>
      </c>
      <c r="Q149" s="4" t="s">
        <v>56</v>
      </c>
      <c r="R149" s="4">
        <v>0</v>
      </c>
      <c r="S149" s="4" t="s">
        <v>160</v>
      </c>
      <c r="U149" s="4">
        <v>0</v>
      </c>
      <c r="V149" s="4">
        <v>22</v>
      </c>
      <c r="W149" s="4">
        <v>0</v>
      </c>
    </row>
    <row r="150" spans="1:23" ht="11.25" customHeight="1" x14ac:dyDescent="0.3">
      <c r="A150" s="4" t="s">
        <v>21</v>
      </c>
      <c r="B150" s="4" t="s">
        <v>34</v>
      </c>
      <c r="C150" s="4" t="s">
        <v>35</v>
      </c>
      <c r="D150" s="4" t="s">
        <v>33</v>
      </c>
      <c r="E150" s="4" t="s">
        <v>25</v>
      </c>
      <c r="F150" s="4" t="s">
        <v>55</v>
      </c>
      <c r="G150" s="4" t="s">
        <v>25</v>
      </c>
      <c r="H150" s="4" t="s">
        <v>37</v>
      </c>
      <c r="I150" s="5">
        <v>44531</v>
      </c>
      <c r="J150" s="6">
        <v>0</v>
      </c>
      <c r="K150" s="6">
        <v>0</v>
      </c>
      <c r="L150" s="6">
        <v>2476.0529999999999</v>
      </c>
      <c r="M150" s="6">
        <v>2476.0529999999999</v>
      </c>
      <c r="N150" s="6">
        <v>0</v>
      </c>
      <c r="O150" s="6">
        <v>0</v>
      </c>
      <c r="P150" s="6">
        <v>0</v>
      </c>
      <c r="Q150" s="4" t="s">
        <v>56</v>
      </c>
      <c r="R150" s="4">
        <v>0</v>
      </c>
      <c r="S150" s="4" t="s">
        <v>161</v>
      </c>
      <c r="U150" s="4">
        <v>0</v>
      </c>
      <c r="V150" s="4">
        <v>22</v>
      </c>
      <c r="W150" s="4">
        <v>0</v>
      </c>
    </row>
    <row r="151" spans="1:23" ht="11.25" customHeight="1" x14ac:dyDescent="0.3">
      <c r="A151" s="4" t="s">
        <v>21</v>
      </c>
      <c r="B151" s="4" t="s">
        <v>34</v>
      </c>
      <c r="C151" s="4" t="s">
        <v>35</v>
      </c>
      <c r="D151" s="4" t="s">
        <v>33</v>
      </c>
      <c r="E151" s="4" t="s">
        <v>25</v>
      </c>
      <c r="F151" s="4" t="s">
        <v>55</v>
      </c>
      <c r="G151" s="4" t="s">
        <v>25</v>
      </c>
      <c r="H151" s="4" t="s">
        <v>37</v>
      </c>
      <c r="I151" s="5">
        <v>44562</v>
      </c>
      <c r="J151" s="6">
        <v>0</v>
      </c>
      <c r="K151" s="6">
        <v>0</v>
      </c>
      <c r="L151" s="6">
        <v>2614.6350000000002</v>
      </c>
      <c r="M151" s="6">
        <v>2614.6350000000002</v>
      </c>
      <c r="N151" s="6">
        <v>0</v>
      </c>
      <c r="O151" s="6">
        <v>0</v>
      </c>
      <c r="P151" s="6">
        <v>0</v>
      </c>
      <c r="Q151" s="4" t="s">
        <v>56</v>
      </c>
      <c r="R151" s="4">
        <v>0</v>
      </c>
      <c r="S151" s="4" t="s">
        <v>162</v>
      </c>
      <c r="U151" s="4">
        <v>0</v>
      </c>
      <c r="V151" s="4">
        <v>22</v>
      </c>
      <c r="W151" s="4">
        <v>0</v>
      </c>
    </row>
    <row r="152" spans="1:23" ht="11.25" customHeight="1" x14ac:dyDescent="0.3">
      <c r="A152" s="4" t="s">
        <v>21</v>
      </c>
      <c r="B152" s="4" t="s">
        <v>34</v>
      </c>
      <c r="C152" s="4" t="s">
        <v>35</v>
      </c>
      <c r="D152" s="4" t="s">
        <v>33</v>
      </c>
      <c r="E152" s="4" t="s">
        <v>25</v>
      </c>
      <c r="F152" s="4" t="s">
        <v>55</v>
      </c>
      <c r="G152" s="4" t="s">
        <v>25</v>
      </c>
      <c r="H152" s="4" t="s">
        <v>37</v>
      </c>
      <c r="I152" s="5">
        <v>44593</v>
      </c>
      <c r="J152" s="6">
        <v>0</v>
      </c>
      <c r="K152" s="6">
        <v>0</v>
      </c>
      <c r="L152" s="6">
        <v>2692.8690000000001</v>
      </c>
      <c r="M152" s="6">
        <v>2692.8690000000001</v>
      </c>
      <c r="N152" s="6">
        <v>0</v>
      </c>
      <c r="O152" s="6">
        <v>0</v>
      </c>
      <c r="P152" s="6">
        <v>0</v>
      </c>
      <c r="Q152" s="4" t="s">
        <v>56</v>
      </c>
      <c r="R152" s="4">
        <v>0</v>
      </c>
      <c r="S152" s="4" t="s">
        <v>163</v>
      </c>
      <c r="U152" s="4">
        <v>0</v>
      </c>
      <c r="V152" s="4">
        <v>22</v>
      </c>
      <c r="W152" s="4">
        <v>0</v>
      </c>
    </row>
    <row r="153" spans="1:23" ht="11.25" customHeight="1" x14ac:dyDescent="0.3">
      <c r="A153" s="4" t="s">
        <v>21</v>
      </c>
      <c r="B153" s="4" t="s">
        <v>34</v>
      </c>
      <c r="C153" s="4" t="s">
        <v>35</v>
      </c>
      <c r="D153" s="4" t="s">
        <v>33</v>
      </c>
      <c r="E153" s="4" t="s">
        <v>25</v>
      </c>
      <c r="F153" s="4" t="s">
        <v>55</v>
      </c>
      <c r="G153" s="4" t="s">
        <v>25</v>
      </c>
      <c r="H153" s="4" t="s">
        <v>37</v>
      </c>
      <c r="I153" s="5">
        <v>44621</v>
      </c>
      <c r="J153" s="6">
        <v>0</v>
      </c>
      <c r="K153" s="6">
        <v>0</v>
      </c>
      <c r="L153" s="6">
        <v>3033.424</v>
      </c>
      <c r="M153" s="6">
        <v>3033.424</v>
      </c>
      <c r="N153" s="6">
        <v>0</v>
      </c>
      <c r="O153" s="6">
        <v>0</v>
      </c>
      <c r="P153" s="6">
        <v>0</v>
      </c>
      <c r="Q153" s="4" t="s">
        <v>56</v>
      </c>
      <c r="R153" s="4">
        <v>0</v>
      </c>
      <c r="S153" s="4" t="s">
        <v>164</v>
      </c>
      <c r="U153" s="4">
        <v>0</v>
      </c>
      <c r="V153" s="4">
        <v>22</v>
      </c>
      <c r="W153" s="4">
        <v>0</v>
      </c>
    </row>
    <row r="154" spans="1:23" ht="11.25" customHeight="1" x14ac:dyDescent="0.3">
      <c r="A154" s="4" t="s">
        <v>21</v>
      </c>
      <c r="B154" s="4" t="s">
        <v>34</v>
      </c>
      <c r="C154" s="4" t="s">
        <v>35</v>
      </c>
      <c r="D154" s="4" t="s">
        <v>33</v>
      </c>
      <c r="E154" s="4" t="s">
        <v>25</v>
      </c>
      <c r="F154" s="4" t="s">
        <v>55</v>
      </c>
      <c r="G154" s="4" t="s">
        <v>25</v>
      </c>
      <c r="H154" s="4" t="s">
        <v>37</v>
      </c>
      <c r="I154" s="5">
        <v>44652</v>
      </c>
      <c r="J154" s="6">
        <v>0</v>
      </c>
      <c r="K154" s="6">
        <v>0</v>
      </c>
      <c r="L154" s="6">
        <v>2854.1410000000001</v>
      </c>
      <c r="M154" s="6">
        <v>2854.1410000000001</v>
      </c>
      <c r="N154" s="6">
        <v>0</v>
      </c>
      <c r="O154" s="6">
        <v>0</v>
      </c>
      <c r="P154" s="6">
        <v>0</v>
      </c>
      <c r="Q154" s="4" t="s">
        <v>56</v>
      </c>
      <c r="R154" s="4">
        <v>0</v>
      </c>
      <c r="S154" s="4" t="s">
        <v>165</v>
      </c>
      <c r="U154" s="4">
        <v>0</v>
      </c>
      <c r="V154" s="4">
        <v>22</v>
      </c>
      <c r="W154" s="4">
        <v>0</v>
      </c>
    </row>
    <row r="155" spans="1:23" ht="11.25" customHeight="1" x14ac:dyDescent="0.3">
      <c r="A155" s="4" t="s">
        <v>21</v>
      </c>
      <c r="B155" s="4" t="s">
        <v>34</v>
      </c>
      <c r="C155" s="4" t="s">
        <v>35</v>
      </c>
      <c r="D155" s="4" t="s">
        <v>33</v>
      </c>
      <c r="E155" s="4" t="s">
        <v>25</v>
      </c>
      <c r="F155" s="4" t="s">
        <v>55</v>
      </c>
      <c r="G155" s="4" t="s">
        <v>25</v>
      </c>
      <c r="H155" s="4" t="s">
        <v>37</v>
      </c>
      <c r="I155" s="5">
        <v>44682</v>
      </c>
      <c r="J155" s="6">
        <v>0</v>
      </c>
      <c r="K155" s="6">
        <v>0</v>
      </c>
      <c r="L155" s="6">
        <v>2914.23</v>
      </c>
      <c r="M155" s="6">
        <v>2914.23</v>
      </c>
      <c r="N155" s="6">
        <v>0</v>
      </c>
      <c r="O155" s="6">
        <v>0</v>
      </c>
      <c r="P155" s="6">
        <v>0</v>
      </c>
      <c r="Q155" s="4" t="s">
        <v>56</v>
      </c>
      <c r="R155" s="4">
        <v>0</v>
      </c>
      <c r="S155" s="4" t="s">
        <v>166</v>
      </c>
      <c r="U155" s="4">
        <v>0</v>
      </c>
      <c r="V155" s="4">
        <v>22</v>
      </c>
      <c r="W155" s="4">
        <v>0</v>
      </c>
    </row>
    <row r="156" spans="1:23" ht="11.25" customHeight="1" x14ac:dyDescent="0.3">
      <c r="A156" s="4" t="s">
        <v>21</v>
      </c>
      <c r="B156" s="4" t="s">
        <v>34</v>
      </c>
      <c r="C156" s="4" t="s">
        <v>35</v>
      </c>
      <c r="D156" s="4" t="s">
        <v>33</v>
      </c>
      <c r="E156" s="4" t="s">
        <v>25</v>
      </c>
      <c r="F156" s="4" t="s">
        <v>55</v>
      </c>
      <c r="G156" s="4" t="s">
        <v>25</v>
      </c>
      <c r="H156" s="4" t="s">
        <v>37</v>
      </c>
      <c r="I156" s="5">
        <v>44713</v>
      </c>
      <c r="J156" s="6">
        <v>0</v>
      </c>
      <c r="K156" s="6">
        <v>0</v>
      </c>
      <c r="L156" s="6">
        <v>2965.4425299999998</v>
      </c>
      <c r="M156" s="6">
        <v>2965.4425299999998</v>
      </c>
      <c r="N156" s="6">
        <v>0</v>
      </c>
      <c r="O156" s="6">
        <v>0</v>
      </c>
      <c r="P156" s="6">
        <v>0</v>
      </c>
      <c r="Q156" s="4" t="s">
        <v>56</v>
      </c>
      <c r="R156" s="4">
        <v>0</v>
      </c>
      <c r="S156" s="4" t="s">
        <v>167</v>
      </c>
      <c r="U156" s="4">
        <v>0</v>
      </c>
      <c r="V156" s="4">
        <v>22</v>
      </c>
      <c r="W156" s="4">
        <v>0</v>
      </c>
    </row>
    <row r="157" spans="1:23" ht="11.25" customHeight="1" x14ac:dyDescent="0.3">
      <c r="A157" s="4" t="s">
        <v>21</v>
      </c>
      <c r="B157" s="4" t="s">
        <v>34</v>
      </c>
      <c r="C157" s="4" t="s">
        <v>35</v>
      </c>
      <c r="D157" s="4" t="s">
        <v>33</v>
      </c>
      <c r="E157" s="4" t="s">
        <v>25</v>
      </c>
      <c r="F157" s="4" t="s">
        <v>55</v>
      </c>
      <c r="G157" s="4" t="s">
        <v>25</v>
      </c>
      <c r="H157" s="4" t="s">
        <v>37</v>
      </c>
      <c r="I157" s="5">
        <v>44743</v>
      </c>
      <c r="J157" s="6">
        <v>0</v>
      </c>
      <c r="K157" s="6">
        <v>0</v>
      </c>
      <c r="L157" s="6">
        <v>3008.4816900000001</v>
      </c>
      <c r="M157" s="6">
        <v>3008.4816900000001</v>
      </c>
      <c r="N157" s="6">
        <v>0</v>
      </c>
      <c r="O157" s="6">
        <v>0</v>
      </c>
      <c r="P157" s="6">
        <v>0</v>
      </c>
      <c r="Q157" s="4" t="s">
        <v>56</v>
      </c>
      <c r="R157" s="4">
        <v>0</v>
      </c>
      <c r="S157" s="4" t="s">
        <v>168</v>
      </c>
      <c r="U157" s="4">
        <v>0</v>
      </c>
      <c r="V157" s="4">
        <v>22</v>
      </c>
      <c r="W157" s="4">
        <v>0</v>
      </c>
    </row>
    <row r="158" spans="1:23" ht="11.25" customHeight="1" x14ac:dyDescent="0.3">
      <c r="A158" s="4" t="s">
        <v>21</v>
      </c>
      <c r="B158" s="4" t="s">
        <v>34</v>
      </c>
      <c r="C158" s="4" t="s">
        <v>35</v>
      </c>
      <c r="D158" s="4" t="s">
        <v>33</v>
      </c>
      <c r="E158" s="4" t="s">
        <v>25</v>
      </c>
      <c r="F158" s="4" t="s">
        <v>55</v>
      </c>
      <c r="G158" s="4" t="s">
        <v>25</v>
      </c>
      <c r="H158" s="4" t="s">
        <v>25</v>
      </c>
      <c r="I158" s="5">
        <v>44409</v>
      </c>
      <c r="J158" s="6">
        <v>10860.54</v>
      </c>
      <c r="K158" s="6">
        <v>5493.7808088390002</v>
      </c>
      <c r="L158" s="6">
        <v>0</v>
      </c>
      <c r="M158" s="6">
        <v>0</v>
      </c>
      <c r="N158" s="6">
        <v>0</v>
      </c>
      <c r="O158" s="6">
        <v>0</v>
      </c>
      <c r="P158" s="6">
        <v>12</v>
      </c>
      <c r="Q158" s="4" t="s">
        <v>56</v>
      </c>
      <c r="R158" s="4">
        <v>0</v>
      </c>
      <c r="S158" s="4" t="s">
        <v>169</v>
      </c>
      <c r="U158" s="4">
        <v>18</v>
      </c>
      <c r="V158" s="4">
        <v>0</v>
      </c>
      <c r="W158" s="4">
        <v>0</v>
      </c>
    </row>
    <row r="159" spans="1:23" ht="11.25" customHeight="1" x14ac:dyDescent="0.3">
      <c r="A159" s="4" t="s">
        <v>21</v>
      </c>
      <c r="B159" s="4" t="s">
        <v>34</v>
      </c>
      <c r="C159" s="4" t="s">
        <v>35</v>
      </c>
      <c r="D159" s="4" t="s">
        <v>33</v>
      </c>
      <c r="E159" s="4" t="s">
        <v>25</v>
      </c>
      <c r="F159" s="4" t="s">
        <v>55</v>
      </c>
      <c r="G159" s="4" t="s">
        <v>25</v>
      </c>
      <c r="H159" s="4" t="s">
        <v>25</v>
      </c>
      <c r="I159" s="5">
        <v>44440</v>
      </c>
      <c r="J159" s="6">
        <v>10843</v>
      </c>
      <c r="K159" s="6">
        <v>5470.3615940400005</v>
      </c>
      <c r="L159" s="6">
        <v>0</v>
      </c>
      <c r="M159" s="6">
        <v>0</v>
      </c>
      <c r="N159" s="6">
        <v>0</v>
      </c>
      <c r="O159" s="6">
        <v>0</v>
      </c>
      <c r="P159" s="6">
        <v>12</v>
      </c>
      <c r="Q159" s="4" t="s">
        <v>56</v>
      </c>
      <c r="R159" s="4">
        <v>0</v>
      </c>
      <c r="S159" s="4" t="s">
        <v>170</v>
      </c>
      <c r="U159" s="4">
        <v>18</v>
      </c>
      <c r="V159" s="4">
        <v>0</v>
      </c>
      <c r="W159" s="4">
        <v>0</v>
      </c>
    </row>
    <row r="160" spans="1:23" ht="11.25" customHeight="1" x14ac:dyDescent="0.3">
      <c r="A160" s="4" t="s">
        <v>21</v>
      </c>
      <c r="B160" s="4" t="s">
        <v>34</v>
      </c>
      <c r="C160" s="4" t="s">
        <v>35</v>
      </c>
      <c r="D160" s="4" t="s">
        <v>33</v>
      </c>
      <c r="E160" s="4" t="s">
        <v>25</v>
      </c>
      <c r="F160" s="4" t="s">
        <v>55</v>
      </c>
      <c r="G160" s="4" t="s">
        <v>25</v>
      </c>
      <c r="H160" s="4" t="s">
        <v>25</v>
      </c>
      <c r="I160" s="5">
        <v>44470</v>
      </c>
      <c r="J160" s="6">
        <v>11240.22</v>
      </c>
      <c r="K160" s="6">
        <v>5671.8020857470001</v>
      </c>
      <c r="L160" s="6">
        <v>0</v>
      </c>
      <c r="M160" s="6">
        <v>0</v>
      </c>
      <c r="N160" s="6">
        <v>0</v>
      </c>
      <c r="O160" s="6">
        <v>0</v>
      </c>
      <c r="P160" s="6">
        <v>12</v>
      </c>
      <c r="Q160" s="4" t="s">
        <v>56</v>
      </c>
      <c r="R160" s="4">
        <v>0</v>
      </c>
      <c r="S160" s="4" t="s">
        <v>171</v>
      </c>
      <c r="U160" s="4">
        <v>18</v>
      </c>
      <c r="V160" s="4">
        <v>0</v>
      </c>
      <c r="W160" s="4">
        <v>0</v>
      </c>
    </row>
    <row r="161" spans="1:23" ht="11.25" customHeight="1" x14ac:dyDescent="0.3">
      <c r="A161" s="4" t="s">
        <v>21</v>
      </c>
      <c r="B161" s="4" t="s">
        <v>34</v>
      </c>
      <c r="C161" s="4" t="s">
        <v>35</v>
      </c>
      <c r="D161" s="4" t="s">
        <v>33</v>
      </c>
      <c r="E161" s="4" t="s">
        <v>25</v>
      </c>
      <c r="F161" s="4" t="s">
        <v>55</v>
      </c>
      <c r="G161" s="4" t="s">
        <v>25</v>
      </c>
      <c r="H161" s="4" t="s">
        <v>25</v>
      </c>
      <c r="I161" s="5">
        <v>44501</v>
      </c>
      <c r="J161" s="6">
        <v>11461</v>
      </c>
      <c r="K161" s="6">
        <v>5831.1337689399998</v>
      </c>
      <c r="L161" s="6">
        <v>0</v>
      </c>
      <c r="M161" s="6">
        <v>0</v>
      </c>
      <c r="N161" s="6">
        <v>0</v>
      </c>
      <c r="O161" s="6">
        <v>0</v>
      </c>
      <c r="P161" s="6">
        <v>12</v>
      </c>
      <c r="Q161" s="4" t="s">
        <v>56</v>
      </c>
      <c r="R161" s="4">
        <v>0</v>
      </c>
      <c r="S161" s="4" t="s">
        <v>172</v>
      </c>
      <c r="U161" s="4">
        <v>18</v>
      </c>
      <c r="V161" s="4">
        <v>0</v>
      </c>
      <c r="W161" s="4">
        <v>0</v>
      </c>
    </row>
    <row r="162" spans="1:23" ht="11.25" customHeight="1" x14ac:dyDescent="0.3">
      <c r="A162" s="4" t="s">
        <v>21</v>
      </c>
      <c r="B162" s="4" t="s">
        <v>34</v>
      </c>
      <c r="C162" s="4" t="s">
        <v>35</v>
      </c>
      <c r="D162" s="4" t="s">
        <v>33</v>
      </c>
      <c r="E162" s="4" t="s">
        <v>25</v>
      </c>
      <c r="F162" s="4" t="s">
        <v>55</v>
      </c>
      <c r="G162" s="4" t="s">
        <v>25</v>
      </c>
      <c r="H162" s="4" t="s">
        <v>25</v>
      </c>
      <c r="I162" s="5">
        <v>44531</v>
      </c>
      <c r="J162" s="6">
        <v>11352</v>
      </c>
      <c r="K162" s="6">
        <v>5753.7146567999998</v>
      </c>
      <c r="L162" s="6">
        <v>0</v>
      </c>
      <c r="M162" s="6">
        <v>0</v>
      </c>
      <c r="N162" s="6">
        <v>0</v>
      </c>
      <c r="O162" s="6">
        <v>0</v>
      </c>
      <c r="P162" s="6">
        <v>12</v>
      </c>
      <c r="Q162" s="4" t="s">
        <v>56</v>
      </c>
      <c r="R162" s="4">
        <v>0</v>
      </c>
      <c r="S162" s="4" t="s">
        <v>173</v>
      </c>
      <c r="U162" s="4">
        <v>18</v>
      </c>
      <c r="V162" s="4">
        <v>0</v>
      </c>
      <c r="W162" s="4">
        <v>0</v>
      </c>
    </row>
    <row r="163" spans="1:23" ht="11.25" customHeight="1" x14ac:dyDescent="0.3">
      <c r="A163" s="4" t="s">
        <v>21</v>
      </c>
      <c r="B163" s="4" t="s">
        <v>34</v>
      </c>
      <c r="C163" s="4" t="s">
        <v>35</v>
      </c>
      <c r="D163" s="4" t="s">
        <v>33</v>
      </c>
      <c r="E163" s="4" t="s">
        <v>25</v>
      </c>
      <c r="F163" s="4" t="s">
        <v>55</v>
      </c>
      <c r="G163" s="4" t="s">
        <v>25</v>
      </c>
      <c r="H163" s="4" t="s">
        <v>25</v>
      </c>
      <c r="I163" s="5">
        <v>44562</v>
      </c>
      <c r="J163" s="6">
        <v>11339</v>
      </c>
      <c r="K163" s="6">
        <v>5732.9009979900002</v>
      </c>
      <c r="L163" s="6">
        <v>0</v>
      </c>
      <c r="M163" s="6">
        <v>0</v>
      </c>
      <c r="N163" s="6">
        <v>0</v>
      </c>
      <c r="O163" s="6">
        <v>0</v>
      </c>
      <c r="P163" s="6">
        <v>12</v>
      </c>
      <c r="Q163" s="4" t="s">
        <v>56</v>
      </c>
      <c r="R163" s="4">
        <v>0</v>
      </c>
      <c r="S163" s="4" t="s">
        <v>174</v>
      </c>
      <c r="U163" s="4">
        <v>18</v>
      </c>
      <c r="V163" s="4">
        <v>0</v>
      </c>
      <c r="W163" s="4">
        <v>0</v>
      </c>
    </row>
    <row r="164" spans="1:23" ht="11.25" customHeight="1" x14ac:dyDescent="0.3">
      <c r="A164" s="4" t="s">
        <v>21</v>
      </c>
      <c r="B164" s="4" t="s">
        <v>34</v>
      </c>
      <c r="C164" s="4" t="s">
        <v>35</v>
      </c>
      <c r="D164" s="4" t="s">
        <v>33</v>
      </c>
      <c r="E164" s="4" t="s">
        <v>25</v>
      </c>
      <c r="F164" s="4" t="s">
        <v>55</v>
      </c>
      <c r="G164" s="4" t="s">
        <v>25</v>
      </c>
      <c r="H164" s="4" t="s">
        <v>25</v>
      </c>
      <c r="I164" s="5">
        <v>44593</v>
      </c>
      <c r="J164" s="6">
        <v>11178</v>
      </c>
      <c r="K164" s="6">
        <v>5654.33194482</v>
      </c>
      <c r="L164" s="6">
        <v>0</v>
      </c>
      <c r="M164" s="6">
        <v>0</v>
      </c>
      <c r="N164" s="6">
        <v>0</v>
      </c>
      <c r="O164" s="6">
        <v>0</v>
      </c>
      <c r="P164" s="6">
        <v>12</v>
      </c>
      <c r="Q164" s="4" t="s">
        <v>56</v>
      </c>
      <c r="R164" s="4">
        <v>0</v>
      </c>
      <c r="S164" s="4" t="s">
        <v>175</v>
      </c>
      <c r="U164" s="4">
        <v>18</v>
      </c>
      <c r="V164" s="4">
        <v>0</v>
      </c>
      <c r="W164" s="4">
        <v>0</v>
      </c>
    </row>
    <row r="165" spans="1:23" ht="11.25" customHeight="1" x14ac:dyDescent="0.3">
      <c r="A165" s="4" t="s">
        <v>21</v>
      </c>
      <c r="B165" s="4" t="s">
        <v>34</v>
      </c>
      <c r="C165" s="4" t="s">
        <v>35</v>
      </c>
      <c r="D165" s="4" t="s">
        <v>33</v>
      </c>
      <c r="E165" s="4" t="s">
        <v>25</v>
      </c>
      <c r="F165" s="4" t="s">
        <v>55</v>
      </c>
      <c r="G165" s="4" t="s">
        <v>25</v>
      </c>
      <c r="H165" s="4" t="s">
        <v>25</v>
      </c>
      <c r="I165" s="5">
        <v>44621</v>
      </c>
      <c r="J165" s="6">
        <v>11143</v>
      </c>
      <c r="K165" s="6">
        <v>5667.1542977500003</v>
      </c>
      <c r="L165" s="6">
        <v>0</v>
      </c>
      <c r="M165" s="6">
        <v>0</v>
      </c>
      <c r="N165" s="6">
        <v>0</v>
      </c>
      <c r="O165" s="6">
        <v>0</v>
      </c>
      <c r="P165" s="6">
        <v>12</v>
      </c>
      <c r="Q165" s="4" t="s">
        <v>56</v>
      </c>
      <c r="R165" s="4">
        <v>0</v>
      </c>
      <c r="S165" s="4" t="s">
        <v>176</v>
      </c>
      <c r="U165" s="4">
        <v>18</v>
      </c>
      <c r="V165" s="4">
        <v>0</v>
      </c>
      <c r="W165" s="4">
        <v>0</v>
      </c>
    </row>
    <row r="166" spans="1:23" ht="11.25" customHeight="1" x14ac:dyDescent="0.3">
      <c r="A166" s="4" t="s">
        <v>21</v>
      </c>
      <c r="B166" s="4" t="s">
        <v>34</v>
      </c>
      <c r="C166" s="4" t="s">
        <v>35</v>
      </c>
      <c r="D166" s="4" t="s">
        <v>33</v>
      </c>
      <c r="E166" s="4" t="s">
        <v>25</v>
      </c>
      <c r="F166" s="4" t="s">
        <v>55</v>
      </c>
      <c r="G166" s="4" t="s">
        <v>25</v>
      </c>
      <c r="H166" s="4" t="s">
        <v>25</v>
      </c>
      <c r="I166" s="5">
        <v>44652</v>
      </c>
      <c r="J166" s="6">
        <v>11145</v>
      </c>
      <c r="K166" s="6">
        <v>5626.5137967000001</v>
      </c>
      <c r="L166" s="6">
        <v>0</v>
      </c>
      <c r="M166" s="6">
        <v>0</v>
      </c>
      <c r="N166" s="6">
        <v>0</v>
      </c>
      <c r="O166" s="6">
        <v>0</v>
      </c>
      <c r="P166" s="6">
        <v>12</v>
      </c>
      <c r="Q166" s="4" t="s">
        <v>56</v>
      </c>
      <c r="R166" s="4">
        <v>0</v>
      </c>
      <c r="S166" s="4" t="s">
        <v>177</v>
      </c>
      <c r="U166" s="4">
        <v>18</v>
      </c>
      <c r="V166" s="4">
        <v>0</v>
      </c>
      <c r="W166" s="4">
        <v>0</v>
      </c>
    </row>
    <row r="167" spans="1:23" ht="11.25" customHeight="1" x14ac:dyDescent="0.3">
      <c r="A167" s="4" t="s">
        <v>21</v>
      </c>
      <c r="B167" s="4" t="s">
        <v>34</v>
      </c>
      <c r="C167" s="4" t="s">
        <v>35</v>
      </c>
      <c r="D167" s="4" t="s">
        <v>33</v>
      </c>
      <c r="E167" s="4" t="s">
        <v>25</v>
      </c>
      <c r="F167" s="4" t="s">
        <v>55</v>
      </c>
      <c r="G167" s="4" t="s">
        <v>25</v>
      </c>
      <c r="H167" s="4" t="s">
        <v>25</v>
      </c>
      <c r="I167" s="5">
        <v>44682</v>
      </c>
      <c r="J167" s="6">
        <v>11192</v>
      </c>
      <c r="K167" s="6">
        <v>5663.6857464799996</v>
      </c>
      <c r="L167" s="6">
        <v>0</v>
      </c>
      <c r="M167" s="6">
        <v>0</v>
      </c>
      <c r="N167" s="6">
        <v>0</v>
      </c>
      <c r="O167" s="6">
        <v>0</v>
      </c>
      <c r="P167" s="6">
        <v>12</v>
      </c>
      <c r="Q167" s="4" t="s">
        <v>56</v>
      </c>
      <c r="R167" s="4">
        <v>0</v>
      </c>
      <c r="S167" s="4" t="s">
        <v>178</v>
      </c>
      <c r="U167" s="4">
        <v>18</v>
      </c>
      <c r="V167" s="4">
        <v>0</v>
      </c>
      <c r="W167" s="4">
        <v>0</v>
      </c>
    </row>
    <row r="168" spans="1:23" ht="11.25" customHeight="1" x14ac:dyDescent="0.3">
      <c r="A168" s="4" t="s">
        <v>21</v>
      </c>
      <c r="B168" s="4" t="s">
        <v>34</v>
      </c>
      <c r="C168" s="4" t="s">
        <v>35</v>
      </c>
      <c r="D168" s="4" t="s">
        <v>33</v>
      </c>
      <c r="E168" s="4" t="s">
        <v>25</v>
      </c>
      <c r="F168" s="4" t="s">
        <v>55</v>
      </c>
      <c r="G168" s="4" t="s">
        <v>25</v>
      </c>
      <c r="H168" s="4" t="s">
        <v>25</v>
      </c>
      <c r="I168" s="5">
        <v>44713</v>
      </c>
      <c r="J168" s="6">
        <v>11135</v>
      </c>
      <c r="K168" s="6">
        <v>5673.2455318000002</v>
      </c>
      <c r="L168" s="6">
        <v>0</v>
      </c>
      <c r="M168" s="6">
        <v>0</v>
      </c>
      <c r="N168" s="6">
        <v>0</v>
      </c>
      <c r="O168" s="6">
        <v>0</v>
      </c>
      <c r="P168" s="6">
        <v>12</v>
      </c>
      <c r="Q168" s="4" t="s">
        <v>56</v>
      </c>
      <c r="R168" s="4">
        <v>0</v>
      </c>
      <c r="S168" s="4" t="s">
        <v>179</v>
      </c>
      <c r="U168" s="4">
        <v>18</v>
      </c>
      <c r="V168" s="4">
        <v>0</v>
      </c>
      <c r="W168" s="4">
        <v>0</v>
      </c>
    </row>
    <row r="169" spans="1:23" ht="11.25" customHeight="1" x14ac:dyDescent="0.3">
      <c r="A169" s="4" t="s">
        <v>21</v>
      </c>
      <c r="B169" s="4" t="s">
        <v>34</v>
      </c>
      <c r="C169" s="4" t="s">
        <v>35</v>
      </c>
      <c r="D169" s="4" t="s">
        <v>33</v>
      </c>
      <c r="E169" s="4" t="s">
        <v>25</v>
      </c>
      <c r="F169" s="4" t="s">
        <v>55</v>
      </c>
      <c r="G169" s="4" t="s">
        <v>25</v>
      </c>
      <c r="H169" s="4" t="s">
        <v>25</v>
      </c>
      <c r="I169" s="5">
        <v>44743</v>
      </c>
      <c r="J169" s="6">
        <v>11165.48</v>
      </c>
      <c r="K169" s="6">
        <v>5624.0284935276004</v>
      </c>
      <c r="L169" s="6">
        <v>0</v>
      </c>
      <c r="M169" s="6">
        <v>0</v>
      </c>
      <c r="N169" s="6">
        <v>0</v>
      </c>
      <c r="O169" s="6">
        <v>0</v>
      </c>
      <c r="P169" s="6">
        <v>12</v>
      </c>
      <c r="Q169" s="4" t="s">
        <v>56</v>
      </c>
      <c r="R169" s="4">
        <v>0</v>
      </c>
      <c r="S169" s="4" t="s">
        <v>180</v>
      </c>
      <c r="U169" s="4">
        <v>18</v>
      </c>
      <c r="V169" s="4">
        <v>0</v>
      </c>
      <c r="W169" s="4">
        <v>0</v>
      </c>
    </row>
    <row r="170" spans="1:23" ht="11.25" customHeight="1" x14ac:dyDescent="0.3">
      <c r="A170" s="4" t="s">
        <v>21</v>
      </c>
      <c r="B170" s="4" t="s">
        <v>34</v>
      </c>
      <c r="C170" s="4" t="s">
        <v>35</v>
      </c>
      <c r="D170" s="4" t="s">
        <v>33</v>
      </c>
      <c r="E170" s="4" t="s">
        <v>25</v>
      </c>
      <c r="F170" s="4" t="s">
        <v>55</v>
      </c>
      <c r="G170" s="4" t="s">
        <v>25</v>
      </c>
      <c r="H170" s="4" t="s">
        <v>36</v>
      </c>
      <c r="I170" s="5">
        <v>44409</v>
      </c>
      <c r="J170" s="6">
        <v>0</v>
      </c>
      <c r="K170" s="6">
        <v>0</v>
      </c>
      <c r="L170" s="6">
        <v>321.35113999999999</v>
      </c>
      <c r="M170" s="6">
        <v>162.49413787690801</v>
      </c>
      <c r="N170" s="6">
        <v>0</v>
      </c>
      <c r="O170" s="6">
        <v>0</v>
      </c>
      <c r="P170" s="6">
        <v>0</v>
      </c>
      <c r="Q170" s="4" t="s">
        <v>56</v>
      </c>
      <c r="R170" s="4">
        <v>0</v>
      </c>
      <c r="S170" s="4" t="s">
        <v>181</v>
      </c>
      <c r="U170" s="4">
        <v>0</v>
      </c>
      <c r="V170" s="4">
        <v>21</v>
      </c>
      <c r="W170" s="4">
        <v>0</v>
      </c>
    </row>
    <row r="171" spans="1:23" ht="11.25" customHeight="1" x14ac:dyDescent="0.3">
      <c r="A171" s="4" t="s">
        <v>21</v>
      </c>
      <c r="B171" s="4" t="s">
        <v>34</v>
      </c>
      <c r="C171" s="4" t="s">
        <v>35</v>
      </c>
      <c r="D171" s="4" t="s">
        <v>33</v>
      </c>
      <c r="E171" s="4" t="s">
        <v>25</v>
      </c>
      <c r="F171" s="4" t="s">
        <v>55</v>
      </c>
      <c r="G171" s="4" t="s">
        <v>25</v>
      </c>
      <c r="H171" s="4" t="s">
        <v>36</v>
      </c>
      <c r="I171" s="5">
        <v>44440</v>
      </c>
      <c r="J171" s="6">
        <v>0</v>
      </c>
      <c r="K171" s="6">
        <v>0</v>
      </c>
      <c r="L171" s="6">
        <v>283.25900000000001</v>
      </c>
      <c r="M171" s="6">
        <v>142.74908403008999</v>
      </c>
      <c r="N171" s="6">
        <v>0</v>
      </c>
      <c r="O171" s="6">
        <v>0</v>
      </c>
      <c r="P171" s="6">
        <v>0</v>
      </c>
      <c r="Q171" s="4" t="s">
        <v>56</v>
      </c>
      <c r="R171" s="4">
        <v>0</v>
      </c>
      <c r="S171" s="4" t="s">
        <v>182</v>
      </c>
      <c r="U171" s="4">
        <v>0</v>
      </c>
      <c r="V171" s="4">
        <v>21</v>
      </c>
      <c r="W171" s="4">
        <v>0</v>
      </c>
    </row>
    <row r="172" spans="1:23" ht="11.25" customHeight="1" x14ac:dyDescent="0.3">
      <c r="A172" s="4" t="s">
        <v>21</v>
      </c>
      <c r="B172" s="4" t="s">
        <v>34</v>
      </c>
      <c r="C172" s="4" t="s">
        <v>35</v>
      </c>
      <c r="D172" s="4" t="s">
        <v>33</v>
      </c>
      <c r="E172" s="4" t="s">
        <v>25</v>
      </c>
      <c r="F172" s="4" t="s">
        <v>55</v>
      </c>
      <c r="G172" s="4" t="s">
        <v>25</v>
      </c>
      <c r="H172" s="4" t="s">
        <v>36</v>
      </c>
      <c r="I172" s="5">
        <v>44470</v>
      </c>
      <c r="J172" s="6">
        <v>0</v>
      </c>
      <c r="K172" s="6">
        <v>0</v>
      </c>
      <c r="L172" s="6">
        <v>304.5573</v>
      </c>
      <c r="M172" s="6">
        <v>153.48364313974199</v>
      </c>
      <c r="N172" s="6">
        <v>0</v>
      </c>
      <c r="O172" s="6">
        <v>0</v>
      </c>
      <c r="P172" s="6">
        <v>0</v>
      </c>
      <c r="Q172" s="4" t="s">
        <v>56</v>
      </c>
      <c r="R172" s="4">
        <v>0</v>
      </c>
      <c r="S172" s="4" t="s">
        <v>183</v>
      </c>
      <c r="U172" s="4">
        <v>0</v>
      </c>
      <c r="V172" s="4">
        <v>21</v>
      </c>
      <c r="W172" s="4">
        <v>0</v>
      </c>
    </row>
    <row r="173" spans="1:23" ht="11.25" customHeight="1" x14ac:dyDescent="0.3">
      <c r="A173" s="4" t="s">
        <v>21</v>
      </c>
      <c r="B173" s="4" t="s">
        <v>34</v>
      </c>
      <c r="C173" s="4" t="s">
        <v>35</v>
      </c>
      <c r="D173" s="4" t="s">
        <v>33</v>
      </c>
      <c r="E173" s="4" t="s">
        <v>25</v>
      </c>
      <c r="F173" s="4" t="s">
        <v>55</v>
      </c>
      <c r="G173" s="4" t="s">
        <v>25</v>
      </c>
      <c r="H173" s="4" t="s">
        <v>36</v>
      </c>
      <c r="I173" s="5">
        <v>44501</v>
      </c>
      <c r="J173" s="6">
        <v>0</v>
      </c>
      <c r="K173" s="6">
        <v>0</v>
      </c>
      <c r="L173" s="6">
        <v>286.74200000000002</v>
      </c>
      <c r="M173" s="6">
        <v>145.64622895191999</v>
      </c>
      <c r="N173" s="6">
        <v>0</v>
      </c>
      <c r="O173" s="6">
        <v>0</v>
      </c>
      <c r="P173" s="6">
        <v>0</v>
      </c>
      <c r="Q173" s="4" t="s">
        <v>56</v>
      </c>
      <c r="R173" s="4">
        <v>0</v>
      </c>
      <c r="S173" s="4" t="s">
        <v>184</v>
      </c>
      <c r="U173" s="4">
        <v>0</v>
      </c>
      <c r="V173" s="4">
        <v>21</v>
      </c>
      <c r="W173" s="4">
        <v>0</v>
      </c>
    </row>
    <row r="174" spans="1:23" ht="11.25" customHeight="1" x14ac:dyDescent="0.3">
      <c r="A174" s="4" t="s">
        <v>21</v>
      </c>
      <c r="B174" s="4" t="s">
        <v>34</v>
      </c>
      <c r="C174" s="4" t="s">
        <v>35</v>
      </c>
      <c r="D174" s="4" t="s">
        <v>33</v>
      </c>
      <c r="E174" s="4" t="s">
        <v>25</v>
      </c>
      <c r="F174" s="4" t="s">
        <v>55</v>
      </c>
      <c r="G174" s="4" t="s">
        <v>25</v>
      </c>
      <c r="H174" s="4" t="s">
        <v>36</v>
      </c>
      <c r="I174" s="5">
        <v>44531</v>
      </c>
      <c r="J174" s="6">
        <v>0</v>
      </c>
      <c r="K174" s="6">
        <v>0</v>
      </c>
      <c r="L174" s="6">
        <v>248.25200000000001</v>
      </c>
      <c r="M174" s="6">
        <v>125.5233980954</v>
      </c>
      <c r="N174" s="6">
        <v>0</v>
      </c>
      <c r="O174" s="6">
        <v>0</v>
      </c>
      <c r="P174" s="6">
        <v>0</v>
      </c>
      <c r="Q174" s="4" t="s">
        <v>56</v>
      </c>
      <c r="R174" s="4">
        <v>0</v>
      </c>
      <c r="S174" s="4" t="s">
        <v>185</v>
      </c>
      <c r="U174" s="4">
        <v>0</v>
      </c>
      <c r="V174" s="4">
        <v>21</v>
      </c>
      <c r="W174" s="4">
        <v>0</v>
      </c>
    </row>
    <row r="175" spans="1:23" ht="11.25" customHeight="1" x14ac:dyDescent="0.3">
      <c r="A175" s="4" t="s">
        <v>21</v>
      </c>
      <c r="B175" s="4" t="s">
        <v>34</v>
      </c>
      <c r="C175" s="4" t="s">
        <v>35</v>
      </c>
      <c r="D175" s="4" t="s">
        <v>33</v>
      </c>
      <c r="E175" s="4" t="s">
        <v>25</v>
      </c>
      <c r="F175" s="4" t="s">
        <v>55</v>
      </c>
      <c r="G175" s="4" t="s">
        <v>25</v>
      </c>
      <c r="H175" s="4" t="s">
        <v>36</v>
      </c>
      <c r="I175" s="5">
        <v>44562</v>
      </c>
      <c r="J175" s="6">
        <v>0</v>
      </c>
      <c r="K175" s="6">
        <v>0</v>
      </c>
      <c r="L175" s="6">
        <v>230.46899999999999</v>
      </c>
      <c r="M175" s="6">
        <v>116.43120336843</v>
      </c>
      <c r="N175" s="6">
        <v>0</v>
      </c>
      <c r="O175" s="6">
        <v>0</v>
      </c>
      <c r="P175" s="6">
        <v>0</v>
      </c>
      <c r="Q175" s="4" t="s">
        <v>56</v>
      </c>
      <c r="R175" s="4">
        <v>0</v>
      </c>
      <c r="S175" s="4" t="s">
        <v>186</v>
      </c>
      <c r="U175" s="4">
        <v>0</v>
      </c>
      <c r="V175" s="4">
        <v>21</v>
      </c>
      <c r="W175" s="4">
        <v>0</v>
      </c>
    </row>
    <row r="176" spans="1:23" ht="11.25" customHeight="1" x14ac:dyDescent="0.3">
      <c r="A176" s="4" t="s">
        <v>21</v>
      </c>
      <c r="B176" s="4" t="s">
        <v>34</v>
      </c>
      <c r="C176" s="4" t="s">
        <v>35</v>
      </c>
      <c r="D176" s="4" t="s">
        <v>33</v>
      </c>
      <c r="E176" s="4" t="s">
        <v>25</v>
      </c>
      <c r="F176" s="4" t="s">
        <v>55</v>
      </c>
      <c r="G176" s="4" t="s">
        <v>25</v>
      </c>
      <c r="H176" s="4" t="s">
        <v>36</v>
      </c>
      <c r="I176" s="5">
        <v>44593</v>
      </c>
      <c r="J176" s="6">
        <v>0</v>
      </c>
      <c r="K176" s="6">
        <v>0</v>
      </c>
      <c r="L176" s="6">
        <v>228.01300000000001</v>
      </c>
      <c r="M176" s="6">
        <v>115.24984120822</v>
      </c>
      <c r="N176" s="6">
        <v>0</v>
      </c>
      <c r="O176" s="6">
        <v>0</v>
      </c>
      <c r="P176" s="6">
        <v>0</v>
      </c>
      <c r="Q176" s="4" t="s">
        <v>56</v>
      </c>
      <c r="R176" s="4">
        <v>0</v>
      </c>
      <c r="S176" s="4" t="s">
        <v>187</v>
      </c>
      <c r="U176" s="4">
        <v>0</v>
      </c>
      <c r="V176" s="4">
        <v>21</v>
      </c>
      <c r="W176" s="4">
        <v>0</v>
      </c>
    </row>
    <row r="177" spans="1:23" ht="11.25" customHeight="1" x14ac:dyDescent="0.3">
      <c r="A177" s="4" t="s">
        <v>21</v>
      </c>
      <c r="B177" s="4" t="s">
        <v>34</v>
      </c>
      <c r="C177" s="4" t="s">
        <v>35</v>
      </c>
      <c r="D177" s="4" t="s">
        <v>33</v>
      </c>
      <c r="E177" s="4" t="s">
        <v>25</v>
      </c>
      <c r="F177" s="4" t="s">
        <v>55</v>
      </c>
      <c r="G177" s="4" t="s">
        <v>25</v>
      </c>
      <c r="H177" s="4" t="s">
        <v>36</v>
      </c>
      <c r="I177" s="5">
        <v>44621</v>
      </c>
      <c r="J177" s="6">
        <v>0</v>
      </c>
      <c r="K177" s="6">
        <v>0</v>
      </c>
      <c r="L177" s="6">
        <v>249.446</v>
      </c>
      <c r="M177" s="6">
        <v>126.737027004</v>
      </c>
      <c r="N177" s="6">
        <v>0</v>
      </c>
      <c r="O177" s="6">
        <v>0</v>
      </c>
      <c r="P177" s="6">
        <v>0</v>
      </c>
      <c r="Q177" s="4" t="s">
        <v>56</v>
      </c>
      <c r="R177" s="4">
        <v>0</v>
      </c>
      <c r="S177" s="4" t="s">
        <v>188</v>
      </c>
      <c r="U177" s="4">
        <v>0</v>
      </c>
      <c r="V177" s="4">
        <v>21</v>
      </c>
      <c r="W177" s="4">
        <v>0</v>
      </c>
    </row>
    <row r="178" spans="1:23" ht="11.25" customHeight="1" x14ac:dyDescent="0.3">
      <c r="A178" s="4" t="s">
        <v>21</v>
      </c>
      <c r="B178" s="4" t="s">
        <v>34</v>
      </c>
      <c r="C178" s="4" t="s">
        <v>35</v>
      </c>
      <c r="D178" s="4" t="s">
        <v>33</v>
      </c>
      <c r="E178" s="4" t="s">
        <v>25</v>
      </c>
      <c r="F178" s="4" t="s">
        <v>55</v>
      </c>
      <c r="G178" s="4" t="s">
        <v>25</v>
      </c>
      <c r="H178" s="4" t="s">
        <v>36</v>
      </c>
      <c r="I178" s="5">
        <v>44652</v>
      </c>
      <c r="J178" s="6">
        <v>0</v>
      </c>
      <c r="K178" s="6">
        <v>0</v>
      </c>
      <c r="L178" s="6">
        <v>214.226</v>
      </c>
      <c r="M178" s="6">
        <v>108.15031656815999</v>
      </c>
      <c r="N178" s="6">
        <v>0</v>
      </c>
      <c r="O178" s="6">
        <v>0</v>
      </c>
      <c r="P178" s="6">
        <v>0</v>
      </c>
      <c r="Q178" s="4" t="s">
        <v>56</v>
      </c>
      <c r="R178" s="4">
        <v>0</v>
      </c>
      <c r="S178" s="4" t="s">
        <v>189</v>
      </c>
      <c r="U178" s="4">
        <v>0</v>
      </c>
      <c r="V178" s="4">
        <v>21</v>
      </c>
      <c r="W178" s="4">
        <v>0</v>
      </c>
    </row>
    <row r="179" spans="1:23" ht="11.25" customHeight="1" x14ac:dyDescent="0.3">
      <c r="A179" s="4" t="s">
        <v>21</v>
      </c>
      <c r="B179" s="4" t="s">
        <v>34</v>
      </c>
      <c r="C179" s="4" t="s">
        <v>35</v>
      </c>
      <c r="D179" s="4" t="s">
        <v>33</v>
      </c>
      <c r="E179" s="4" t="s">
        <v>25</v>
      </c>
      <c r="F179" s="4" t="s">
        <v>55</v>
      </c>
      <c r="G179" s="4" t="s">
        <v>25</v>
      </c>
      <c r="H179" s="4" t="s">
        <v>36</v>
      </c>
      <c r="I179" s="5">
        <v>44682</v>
      </c>
      <c r="J179" s="6">
        <v>0</v>
      </c>
      <c r="K179" s="6">
        <v>0</v>
      </c>
      <c r="L179" s="6">
        <v>257.37099999999998</v>
      </c>
      <c r="M179" s="6">
        <v>130.17359853232</v>
      </c>
      <c r="N179" s="6">
        <v>0</v>
      </c>
      <c r="O179" s="6">
        <v>0</v>
      </c>
      <c r="P179" s="6">
        <v>0</v>
      </c>
      <c r="Q179" s="4" t="s">
        <v>56</v>
      </c>
      <c r="R179" s="4">
        <v>0</v>
      </c>
      <c r="S179" s="4" t="s">
        <v>190</v>
      </c>
      <c r="U179" s="4">
        <v>0</v>
      </c>
      <c r="V179" s="4">
        <v>21</v>
      </c>
      <c r="W179" s="4">
        <v>0</v>
      </c>
    </row>
    <row r="180" spans="1:23" ht="11.25" customHeight="1" x14ac:dyDescent="0.3">
      <c r="A180" s="4" t="s">
        <v>21</v>
      </c>
      <c r="B180" s="4" t="s">
        <v>34</v>
      </c>
      <c r="C180" s="4" t="s">
        <v>35</v>
      </c>
      <c r="D180" s="4" t="s">
        <v>33</v>
      </c>
      <c r="E180" s="4" t="s">
        <v>25</v>
      </c>
      <c r="F180" s="4" t="s">
        <v>55</v>
      </c>
      <c r="G180" s="4" t="s">
        <v>25</v>
      </c>
      <c r="H180" s="4" t="s">
        <v>36</v>
      </c>
      <c r="I180" s="5">
        <v>44713</v>
      </c>
      <c r="J180" s="6">
        <v>0</v>
      </c>
      <c r="K180" s="6">
        <v>0</v>
      </c>
      <c r="L180" s="6">
        <v>251.95477</v>
      </c>
      <c r="M180" s="6">
        <v>128.185312520916</v>
      </c>
      <c r="N180" s="6">
        <v>0</v>
      </c>
      <c r="O180" s="6">
        <v>0</v>
      </c>
      <c r="P180" s="6">
        <v>0</v>
      </c>
      <c r="Q180" s="4" t="s">
        <v>56</v>
      </c>
      <c r="R180" s="4">
        <v>0</v>
      </c>
      <c r="S180" s="4" t="s">
        <v>191</v>
      </c>
      <c r="U180" s="4">
        <v>0</v>
      </c>
      <c r="V180" s="4">
        <v>21</v>
      </c>
      <c r="W180" s="4">
        <v>0</v>
      </c>
    </row>
    <row r="181" spans="1:23" ht="11.25" customHeight="1" x14ac:dyDescent="0.3">
      <c r="A181" s="4" t="s">
        <v>21</v>
      </c>
      <c r="B181" s="4" t="s">
        <v>34</v>
      </c>
      <c r="C181" s="4" t="s">
        <v>35</v>
      </c>
      <c r="D181" s="4" t="s">
        <v>33</v>
      </c>
      <c r="E181" s="4" t="s">
        <v>25</v>
      </c>
      <c r="F181" s="4" t="s">
        <v>55</v>
      </c>
      <c r="G181" s="4" t="s">
        <v>25</v>
      </c>
      <c r="H181" s="4" t="s">
        <v>36</v>
      </c>
      <c r="I181" s="5">
        <v>44743</v>
      </c>
      <c r="J181" s="6">
        <v>0</v>
      </c>
      <c r="K181" s="6">
        <v>0</v>
      </c>
      <c r="L181" s="6">
        <v>246.23115999999999</v>
      </c>
      <c r="M181" s="6">
        <v>124.163633384801</v>
      </c>
      <c r="N181" s="6">
        <v>0</v>
      </c>
      <c r="O181" s="6">
        <v>0</v>
      </c>
      <c r="P181" s="6">
        <v>0</v>
      </c>
      <c r="Q181" s="4" t="s">
        <v>56</v>
      </c>
      <c r="R181" s="4">
        <v>0</v>
      </c>
      <c r="S181" s="4" t="s">
        <v>192</v>
      </c>
      <c r="U181" s="4">
        <v>0</v>
      </c>
      <c r="V181" s="4">
        <v>21</v>
      </c>
      <c r="W181" s="4">
        <v>0</v>
      </c>
    </row>
    <row r="182" spans="1:23" ht="11.25" customHeight="1" x14ac:dyDescent="0.3">
      <c r="A182" s="4" t="s">
        <v>21</v>
      </c>
      <c r="B182" s="4" t="s">
        <v>34</v>
      </c>
      <c r="C182" s="4" t="s">
        <v>35</v>
      </c>
      <c r="D182" s="4" t="s">
        <v>33</v>
      </c>
      <c r="E182" s="4" t="s">
        <v>25</v>
      </c>
      <c r="F182" s="4" t="s">
        <v>25</v>
      </c>
      <c r="G182" s="4" t="s">
        <v>25</v>
      </c>
      <c r="H182" s="4" t="s">
        <v>37</v>
      </c>
      <c r="I182" s="5">
        <v>44409</v>
      </c>
      <c r="J182" s="6">
        <v>0</v>
      </c>
      <c r="K182" s="6">
        <v>0</v>
      </c>
      <c r="L182" s="6">
        <v>187.76761999999999</v>
      </c>
      <c r="M182" s="6">
        <v>187.76761999999999</v>
      </c>
      <c r="N182" s="6">
        <v>187.76761999999999</v>
      </c>
      <c r="O182" s="6">
        <v>187.76761999999999</v>
      </c>
      <c r="P182" s="6">
        <v>0</v>
      </c>
      <c r="Q182" s="4" t="s">
        <v>26</v>
      </c>
      <c r="R182" s="4">
        <v>0</v>
      </c>
      <c r="S182" s="4" t="s">
        <v>157</v>
      </c>
      <c r="T182" s="4" t="s">
        <v>326</v>
      </c>
      <c r="U182" s="4">
        <v>0</v>
      </c>
      <c r="V182" s="4">
        <v>22</v>
      </c>
      <c r="W182" s="4">
        <v>84</v>
      </c>
    </row>
    <row r="183" spans="1:23" ht="11.25" customHeight="1" x14ac:dyDescent="0.3">
      <c r="A183" s="4" t="s">
        <v>27</v>
      </c>
      <c r="B183" s="4" t="s">
        <v>34</v>
      </c>
      <c r="C183" s="4" t="s">
        <v>35</v>
      </c>
      <c r="D183" s="4" t="s">
        <v>33</v>
      </c>
      <c r="E183" s="4" t="s">
        <v>25</v>
      </c>
      <c r="F183" s="4" t="s">
        <v>25</v>
      </c>
      <c r="G183" s="4" t="s">
        <v>25</v>
      </c>
      <c r="H183" s="4" t="s">
        <v>37</v>
      </c>
      <c r="I183" s="5">
        <v>44409</v>
      </c>
      <c r="J183" s="6">
        <v>0</v>
      </c>
      <c r="K183" s="6">
        <v>0</v>
      </c>
      <c r="L183" s="6">
        <v>32.51632</v>
      </c>
      <c r="M183" s="6">
        <v>32.51632</v>
      </c>
      <c r="N183" s="6">
        <v>32.51632</v>
      </c>
      <c r="O183" s="6">
        <v>32.51632</v>
      </c>
      <c r="P183" s="6">
        <v>0</v>
      </c>
      <c r="Q183" s="4" t="s">
        <v>26</v>
      </c>
      <c r="R183" s="4">
        <v>0</v>
      </c>
      <c r="S183" s="4" t="s">
        <v>157</v>
      </c>
      <c r="T183" s="4" t="s">
        <v>326</v>
      </c>
      <c r="U183" s="4">
        <v>0</v>
      </c>
      <c r="V183" s="4">
        <v>22</v>
      </c>
      <c r="W183" s="4">
        <v>84</v>
      </c>
    </row>
    <row r="184" spans="1:23" ht="11.25" customHeight="1" x14ac:dyDescent="0.3">
      <c r="A184" s="4" t="s">
        <v>21</v>
      </c>
      <c r="B184" s="4" t="s">
        <v>34</v>
      </c>
      <c r="C184" s="4" t="s">
        <v>35</v>
      </c>
      <c r="D184" s="4" t="s">
        <v>33</v>
      </c>
      <c r="E184" s="4" t="s">
        <v>25</v>
      </c>
      <c r="F184" s="4" t="s">
        <v>25</v>
      </c>
      <c r="G184" s="4" t="s">
        <v>25</v>
      </c>
      <c r="H184" s="4" t="s">
        <v>37</v>
      </c>
      <c r="I184" s="5">
        <v>44440</v>
      </c>
      <c r="J184" s="6">
        <v>0</v>
      </c>
      <c r="K184" s="6">
        <v>0</v>
      </c>
      <c r="L184" s="6">
        <v>186.911</v>
      </c>
      <c r="M184" s="6">
        <v>186.911</v>
      </c>
      <c r="N184" s="6">
        <v>186.911</v>
      </c>
      <c r="O184" s="6">
        <v>186.911</v>
      </c>
      <c r="P184" s="6">
        <v>0</v>
      </c>
      <c r="Q184" s="4" t="s">
        <v>26</v>
      </c>
      <c r="R184" s="4">
        <v>0</v>
      </c>
      <c r="S184" s="4" t="s">
        <v>158</v>
      </c>
      <c r="T184" s="4" t="s">
        <v>327</v>
      </c>
      <c r="U184" s="4">
        <v>0</v>
      </c>
      <c r="V184" s="4">
        <v>22</v>
      </c>
      <c r="W184" s="4">
        <v>84</v>
      </c>
    </row>
    <row r="185" spans="1:23" ht="11.25" customHeight="1" x14ac:dyDescent="0.3">
      <c r="A185" s="4" t="s">
        <v>27</v>
      </c>
      <c r="B185" s="4" t="s">
        <v>34</v>
      </c>
      <c r="C185" s="4" t="s">
        <v>35</v>
      </c>
      <c r="D185" s="4" t="s">
        <v>33</v>
      </c>
      <c r="E185" s="4" t="s">
        <v>25</v>
      </c>
      <c r="F185" s="4" t="s">
        <v>25</v>
      </c>
      <c r="G185" s="4" t="s">
        <v>25</v>
      </c>
      <c r="H185" s="4" t="s">
        <v>37</v>
      </c>
      <c r="I185" s="5">
        <v>44440</v>
      </c>
      <c r="J185" s="6">
        <v>0</v>
      </c>
      <c r="K185" s="6">
        <v>0</v>
      </c>
      <c r="L185" s="6">
        <v>22.265999999999998</v>
      </c>
      <c r="M185" s="6">
        <v>22.265999999999998</v>
      </c>
      <c r="N185" s="6">
        <v>22.265999999999998</v>
      </c>
      <c r="O185" s="6">
        <v>22.265999999999998</v>
      </c>
      <c r="P185" s="6">
        <v>0</v>
      </c>
      <c r="Q185" s="4" t="s">
        <v>26</v>
      </c>
      <c r="R185" s="4">
        <v>0</v>
      </c>
      <c r="S185" s="4" t="s">
        <v>158</v>
      </c>
      <c r="T185" s="4" t="s">
        <v>327</v>
      </c>
      <c r="U185" s="4">
        <v>0</v>
      </c>
      <c r="V185" s="4">
        <v>22</v>
      </c>
      <c r="W185" s="4">
        <v>84</v>
      </c>
    </row>
    <row r="186" spans="1:23" ht="11.25" customHeight="1" x14ac:dyDescent="0.3">
      <c r="A186" s="4" t="s">
        <v>21</v>
      </c>
      <c r="B186" s="4" t="s">
        <v>34</v>
      </c>
      <c r="C186" s="4" t="s">
        <v>35</v>
      </c>
      <c r="D186" s="4" t="s">
        <v>33</v>
      </c>
      <c r="E186" s="4" t="s">
        <v>25</v>
      </c>
      <c r="F186" s="4" t="s">
        <v>25</v>
      </c>
      <c r="G186" s="4" t="s">
        <v>25</v>
      </c>
      <c r="H186" s="4" t="s">
        <v>37</v>
      </c>
      <c r="I186" s="5">
        <v>44470</v>
      </c>
      <c r="J186" s="6">
        <v>0</v>
      </c>
      <c r="K186" s="6">
        <v>0</v>
      </c>
      <c r="L186" s="6">
        <v>177.922</v>
      </c>
      <c r="M186" s="6">
        <v>177.922</v>
      </c>
      <c r="N186" s="6">
        <v>177.922</v>
      </c>
      <c r="O186" s="6">
        <v>177.922</v>
      </c>
      <c r="P186" s="6">
        <v>0</v>
      </c>
      <c r="Q186" s="4" t="s">
        <v>26</v>
      </c>
      <c r="R186" s="4">
        <v>0</v>
      </c>
      <c r="S186" s="4" t="s">
        <v>159</v>
      </c>
      <c r="T186" s="4" t="s">
        <v>328</v>
      </c>
      <c r="U186" s="4">
        <v>0</v>
      </c>
      <c r="V186" s="4">
        <v>22</v>
      </c>
      <c r="W186" s="4">
        <v>84</v>
      </c>
    </row>
    <row r="187" spans="1:23" ht="11.25" customHeight="1" x14ac:dyDescent="0.3">
      <c r="A187" s="4" t="s">
        <v>27</v>
      </c>
      <c r="B187" s="4" t="s">
        <v>34</v>
      </c>
      <c r="C187" s="4" t="s">
        <v>35</v>
      </c>
      <c r="D187" s="4" t="s">
        <v>33</v>
      </c>
      <c r="E187" s="4" t="s">
        <v>25</v>
      </c>
      <c r="F187" s="4" t="s">
        <v>25</v>
      </c>
      <c r="G187" s="4" t="s">
        <v>25</v>
      </c>
      <c r="H187" s="4" t="s">
        <v>37</v>
      </c>
      <c r="I187" s="5">
        <v>44470</v>
      </c>
      <c r="J187" s="6">
        <v>0</v>
      </c>
      <c r="K187" s="6">
        <v>0</v>
      </c>
      <c r="L187" s="6">
        <v>16.67539</v>
      </c>
      <c r="M187" s="6">
        <v>16.67539</v>
      </c>
      <c r="N187" s="6">
        <v>16.67539</v>
      </c>
      <c r="O187" s="6">
        <v>16.67539</v>
      </c>
      <c r="P187" s="6">
        <v>0</v>
      </c>
      <c r="Q187" s="4" t="s">
        <v>26</v>
      </c>
      <c r="R187" s="4">
        <v>0</v>
      </c>
      <c r="S187" s="4" t="s">
        <v>159</v>
      </c>
      <c r="T187" s="4" t="s">
        <v>328</v>
      </c>
      <c r="U187" s="4">
        <v>0</v>
      </c>
      <c r="V187" s="4">
        <v>22</v>
      </c>
      <c r="W187" s="4">
        <v>84</v>
      </c>
    </row>
    <row r="188" spans="1:23" ht="11.25" customHeight="1" x14ac:dyDescent="0.3">
      <c r="A188" s="4" t="s">
        <v>21</v>
      </c>
      <c r="B188" s="4" t="s">
        <v>34</v>
      </c>
      <c r="C188" s="4" t="s">
        <v>35</v>
      </c>
      <c r="D188" s="4" t="s">
        <v>33</v>
      </c>
      <c r="E188" s="4" t="s">
        <v>25</v>
      </c>
      <c r="F188" s="4" t="s">
        <v>25</v>
      </c>
      <c r="G188" s="4" t="s">
        <v>25</v>
      </c>
      <c r="H188" s="4" t="s">
        <v>37</v>
      </c>
      <c r="I188" s="5">
        <v>44501</v>
      </c>
      <c r="J188" s="6">
        <v>0</v>
      </c>
      <c r="K188" s="6">
        <v>0</v>
      </c>
      <c r="L188" s="6">
        <v>177.07300000000001</v>
      </c>
      <c r="M188" s="6">
        <v>177.07300000000001</v>
      </c>
      <c r="N188" s="6">
        <v>177.07300000000001</v>
      </c>
      <c r="O188" s="6">
        <v>177.07300000000001</v>
      </c>
      <c r="P188" s="6">
        <v>0</v>
      </c>
      <c r="Q188" s="4" t="s">
        <v>26</v>
      </c>
      <c r="R188" s="4">
        <v>0</v>
      </c>
      <c r="S188" s="4" t="s">
        <v>160</v>
      </c>
      <c r="T188" s="4" t="s">
        <v>329</v>
      </c>
      <c r="U188" s="4">
        <v>0</v>
      </c>
      <c r="V188" s="4">
        <v>22</v>
      </c>
      <c r="W188" s="4">
        <v>84</v>
      </c>
    </row>
    <row r="189" spans="1:23" ht="11.25" customHeight="1" x14ac:dyDescent="0.3">
      <c r="A189" s="4" t="s">
        <v>27</v>
      </c>
      <c r="B189" s="4" t="s">
        <v>34</v>
      </c>
      <c r="C189" s="4" t="s">
        <v>35</v>
      </c>
      <c r="D189" s="4" t="s">
        <v>33</v>
      </c>
      <c r="E189" s="4" t="s">
        <v>25</v>
      </c>
      <c r="F189" s="4" t="s">
        <v>25</v>
      </c>
      <c r="G189" s="4" t="s">
        <v>25</v>
      </c>
      <c r="H189" s="4" t="s">
        <v>37</v>
      </c>
      <c r="I189" s="5">
        <v>44501</v>
      </c>
      <c r="J189" s="6">
        <v>0</v>
      </c>
      <c r="K189" s="6">
        <v>0</v>
      </c>
      <c r="L189" s="6">
        <v>10.463290000000001</v>
      </c>
      <c r="M189" s="6">
        <v>10.463290000000001</v>
      </c>
      <c r="N189" s="6">
        <v>10.463290000000001</v>
      </c>
      <c r="O189" s="6">
        <v>10.463290000000001</v>
      </c>
      <c r="P189" s="6">
        <v>0</v>
      </c>
      <c r="Q189" s="4" t="s">
        <v>26</v>
      </c>
      <c r="R189" s="4">
        <v>0</v>
      </c>
      <c r="S189" s="4" t="s">
        <v>160</v>
      </c>
      <c r="T189" s="4" t="s">
        <v>329</v>
      </c>
      <c r="U189" s="4">
        <v>0</v>
      </c>
      <c r="V189" s="4">
        <v>22</v>
      </c>
      <c r="W189" s="4">
        <v>84</v>
      </c>
    </row>
    <row r="190" spans="1:23" ht="11.25" customHeight="1" x14ac:dyDescent="0.3">
      <c r="A190" s="4" t="s">
        <v>21</v>
      </c>
      <c r="B190" s="4" t="s">
        <v>34</v>
      </c>
      <c r="C190" s="4" t="s">
        <v>35</v>
      </c>
      <c r="D190" s="4" t="s">
        <v>33</v>
      </c>
      <c r="E190" s="4" t="s">
        <v>25</v>
      </c>
      <c r="F190" s="4" t="s">
        <v>25</v>
      </c>
      <c r="G190" s="4" t="s">
        <v>25</v>
      </c>
      <c r="H190" s="4" t="s">
        <v>37</v>
      </c>
      <c r="I190" s="5">
        <v>44531</v>
      </c>
      <c r="J190" s="6">
        <v>0</v>
      </c>
      <c r="K190" s="6">
        <v>0</v>
      </c>
      <c r="L190" s="6">
        <v>169.011</v>
      </c>
      <c r="M190" s="6">
        <v>169.011</v>
      </c>
      <c r="N190" s="6">
        <v>169.011</v>
      </c>
      <c r="O190" s="6">
        <v>169.011</v>
      </c>
      <c r="P190" s="6">
        <v>0</v>
      </c>
      <c r="Q190" s="4" t="s">
        <v>26</v>
      </c>
      <c r="R190" s="4">
        <v>0</v>
      </c>
      <c r="S190" s="4" t="s">
        <v>161</v>
      </c>
      <c r="T190" s="4" t="s">
        <v>330</v>
      </c>
      <c r="U190" s="4">
        <v>0</v>
      </c>
      <c r="V190" s="4">
        <v>22</v>
      </c>
      <c r="W190" s="4">
        <v>84</v>
      </c>
    </row>
    <row r="191" spans="1:23" ht="11.25" customHeight="1" x14ac:dyDescent="0.3">
      <c r="A191" s="4" t="s">
        <v>27</v>
      </c>
      <c r="B191" s="4" t="s">
        <v>34</v>
      </c>
      <c r="C191" s="4" t="s">
        <v>35</v>
      </c>
      <c r="D191" s="4" t="s">
        <v>33</v>
      </c>
      <c r="E191" s="4" t="s">
        <v>25</v>
      </c>
      <c r="F191" s="4" t="s">
        <v>25</v>
      </c>
      <c r="G191" s="4" t="s">
        <v>25</v>
      </c>
      <c r="H191" s="4" t="s">
        <v>37</v>
      </c>
      <c r="I191" s="5">
        <v>44531</v>
      </c>
      <c r="J191" s="6">
        <v>0</v>
      </c>
      <c r="K191" s="6">
        <v>0</v>
      </c>
      <c r="L191" s="6">
        <v>1.3240000000000001</v>
      </c>
      <c r="M191" s="6">
        <v>1.3240000000000001</v>
      </c>
      <c r="N191" s="6">
        <v>1.3240000000000001</v>
      </c>
      <c r="O191" s="6">
        <v>1.3240000000000001</v>
      </c>
      <c r="P191" s="6">
        <v>0</v>
      </c>
      <c r="Q191" s="4" t="s">
        <v>26</v>
      </c>
      <c r="R191" s="4">
        <v>0</v>
      </c>
      <c r="S191" s="4" t="s">
        <v>161</v>
      </c>
      <c r="T191" s="4" t="s">
        <v>330</v>
      </c>
      <c r="U191" s="4">
        <v>0</v>
      </c>
      <c r="V191" s="4">
        <v>22</v>
      </c>
      <c r="W191" s="4">
        <v>84</v>
      </c>
    </row>
    <row r="192" spans="1:23" ht="11.25" customHeight="1" x14ac:dyDescent="0.3">
      <c r="A192" s="4" t="s">
        <v>21</v>
      </c>
      <c r="B192" s="4" t="s">
        <v>34</v>
      </c>
      <c r="C192" s="4" t="s">
        <v>35</v>
      </c>
      <c r="D192" s="4" t="s">
        <v>33</v>
      </c>
      <c r="E192" s="4" t="s">
        <v>25</v>
      </c>
      <c r="F192" s="4" t="s">
        <v>25</v>
      </c>
      <c r="G192" s="4" t="s">
        <v>25</v>
      </c>
      <c r="H192" s="4" t="s">
        <v>37</v>
      </c>
      <c r="I192" s="5">
        <v>44562</v>
      </c>
      <c r="J192" s="6">
        <v>0</v>
      </c>
      <c r="K192" s="6">
        <v>0</v>
      </c>
      <c r="L192" s="6">
        <v>172.00299999999999</v>
      </c>
      <c r="M192" s="6">
        <v>172.00299999999999</v>
      </c>
      <c r="N192" s="6">
        <v>172.00299999999999</v>
      </c>
      <c r="O192" s="6">
        <v>172.00299999999999</v>
      </c>
      <c r="P192" s="6">
        <v>0</v>
      </c>
      <c r="Q192" s="4" t="s">
        <v>26</v>
      </c>
      <c r="R192" s="4">
        <v>0</v>
      </c>
      <c r="S192" s="4" t="s">
        <v>162</v>
      </c>
      <c r="T192" s="4" t="s">
        <v>331</v>
      </c>
      <c r="U192" s="4">
        <v>0</v>
      </c>
      <c r="V192" s="4">
        <v>22</v>
      </c>
      <c r="W192" s="4">
        <v>84</v>
      </c>
    </row>
    <row r="193" spans="1:23" ht="11.25" customHeight="1" x14ac:dyDescent="0.3">
      <c r="A193" s="4" t="s">
        <v>27</v>
      </c>
      <c r="B193" s="4" t="s">
        <v>34</v>
      </c>
      <c r="C193" s="4" t="s">
        <v>35</v>
      </c>
      <c r="D193" s="4" t="s">
        <v>33</v>
      </c>
      <c r="E193" s="4" t="s">
        <v>25</v>
      </c>
      <c r="F193" s="4" t="s">
        <v>25</v>
      </c>
      <c r="G193" s="4" t="s">
        <v>25</v>
      </c>
      <c r="H193" s="4" t="s">
        <v>37</v>
      </c>
      <c r="I193" s="5">
        <v>44562</v>
      </c>
      <c r="J193" s="6">
        <v>0</v>
      </c>
      <c r="K193" s="6">
        <v>0</v>
      </c>
      <c r="L193" s="6">
        <v>3.63</v>
      </c>
      <c r="M193" s="6">
        <v>3.63</v>
      </c>
      <c r="N193" s="6">
        <v>3.63</v>
      </c>
      <c r="O193" s="6">
        <v>3.63</v>
      </c>
      <c r="P193" s="6">
        <v>0</v>
      </c>
      <c r="Q193" s="4" t="s">
        <v>26</v>
      </c>
      <c r="R193" s="4">
        <v>0</v>
      </c>
      <c r="S193" s="4" t="s">
        <v>162</v>
      </c>
      <c r="T193" s="4" t="s">
        <v>331</v>
      </c>
      <c r="U193" s="4">
        <v>0</v>
      </c>
      <c r="V193" s="4">
        <v>22</v>
      </c>
      <c r="W193" s="4">
        <v>84</v>
      </c>
    </row>
    <row r="194" spans="1:23" ht="11.25" customHeight="1" x14ac:dyDescent="0.3">
      <c r="A194" s="4" t="s">
        <v>21</v>
      </c>
      <c r="B194" s="4" t="s">
        <v>34</v>
      </c>
      <c r="C194" s="4" t="s">
        <v>35</v>
      </c>
      <c r="D194" s="4" t="s">
        <v>33</v>
      </c>
      <c r="E194" s="4" t="s">
        <v>25</v>
      </c>
      <c r="F194" s="4" t="s">
        <v>25</v>
      </c>
      <c r="G194" s="4" t="s">
        <v>25</v>
      </c>
      <c r="H194" s="4" t="s">
        <v>37</v>
      </c>
      <c r="I194" s="5">
        <v>44593</v>
      </c>
      <c r="J194" s="6">
        <v>0</v>
      </c>
      <c r="K194" s="6">
        <v>0</v>
      </c>
      <c r="L194" s="6">
        <v>165.65600000000001</v>
      </c>
      <c r="M194" s="6">
        <v>165.65600000000001</v>
      </c>
      <c r="N194" s="6">
        <v>165.65600000000001</v>
      </c>
      <c r="O194" s="6">
        <v>165.65600000000001</v>
      </c>
      <c r="P194" s="6">
        <v>0</v>
      </c>
      <c r="Q194" s="4" t="s">
        <v>26</v>
      </c>
      <c r="R194" s="4">
        <v>0</v>
      </c>
      <c r="S194" s="4" t="s">
        <v>163</v>
      </c>
      <c r="T194" s="4" t="s">
        <v>332</v>
      </c>
      <c r="U194" s="4">
        <v>0</v>
      </c>
      <c r="V194" s="4">
        <v>22</v>
      </c>
      <c r="W194" s="4">
        <v>84</v>
      </c>
    </row>
    <row r="195" spans="1:23" ht="11.25" customHeight="1" x14ac:dyDescent="0.3">
      <c r="A195" s="4" t="s">
        <v>27</v>
      </c>
      <c r="B195" s="4" t="s">
        <v>34</v>
      </c>
      <c r="C195" s="4" t="s">
        <v>35</v>
      </c>
      <c r="D195" s="4" t="s">
        <v>33</v>
      </c>
      <c r="E195" s="4" t="s">
        <v>25</v>
      </c>
      <c r="F195" s="4" t="s">
        <v>25</v>
      </c>
      <c r="G195" s="4" t="s">
        <v>25</v>
      </c>
      <c r="H195" s="4" t="s">
        <v>37</v>
      </c>
      <c r="I195" s="5">
        <v>44593</v>
      </c>
      <c r="J195" s="6">
        <v>0</v>
      </c>
      <c r="K195" s="6">
        <v>0</v>
      </c>
      <c r="L195" s="6">
        <v>8.5209200000000003</v>
      </c>
      <c r="M195" s="6">
        <v>8.5209200000000003</v>
      </c>
      <c r="N195" s="6">
        <v>8.5209200000000003</v>
      </c>
      <c r="O195" s="6">
        <v>8.5209200000000003</v>
      </c>
      <c r="P195" s="6">
        <v>0</v>
      </c>
      <c r="Q195" s="4" t="s">
        <v>26</v>
      </c>
      <c r="R195" s="4">
        <v>0</v>
      </c>
      <c r="S195" s="4" t="s">
        <v>163</v>
      </c>
      <c r="T195" s="4" t="s">
        <v>332</v>
      </c>
      <c r="U195" s="4">
        <v>0</v>
      </c>
      <c r="V195" s="4">
        <v>22</v>
      </c>
      <c r="W195" s="4">
        <v>84</v>
      </c>
    </row>
    <row r="196" spans="1:23" ht="11.25" customHeight="1" x14ac:dyDescent="0.3">
      <c r="A196" s="4" t="s">
        <v>21</v>
      </c>
      <c r="B196" s="4" t="s">
        <v>34</v>
      </c>
      <c r="C196" s="4" t="s">
        <v>35</v>
      </c>
      <c r="D196" s="4" t="s">
        <v>33</v>
      </c>
      <c r="E196" s="4" t="s">
        <v>25</v>
      </c>
      <c r="F196" s="4" t="s">
        <v>25</v>
      </c>
      <c r="G196" s="4" t="s">
        <v>25</v>
      </c>
      <c r="H196" s="4" t="s">
        <v>37</v>
      </c>
      <c r="I196" s="5">
        <v>44621</v>
      </c>
      <c r="J196" s="6">
        <v>0</v>
      </c>
      <c r="K196" s="6">
        <v>0</v>
      </c>
      <c r="L196" s="6">
        <v>188.005</v>
      </c>
      <c r="M196" s="6">
        <v>188.005</v>
      </c>
      <c r="N196" s="6">
        <v>188.005</v>
      </c>
      <c r="O196" s="6">
        <v>188.005</v>
      </c>
      <c r="P196" s="6">
        <v>0</v>
      </c>
      <c r="Q196" s="4" t="s">
        <v>26</v>
      </c>
      <c r="R196" s="4">
        <v>0</v>
      </c>
      <c r="S196" s="4" t="s">
        <v>164</v>
      </c>
      <c r="T196" s="4" t="s">
        <v>333</v>
      </c>
      <c r="U196" s="4">
        <v>0</v>
      </c>
      <c r="V196" s="4">
        <v>22</v>
      </c>
      <c r="W196" s="4">
        <v>84</v>
      </c>
    </row>
    <row r="197" spans="1:23" ht="11.25" customHeight="1" x14ac:dyDescent="0.3">
      <c r="A197" s="4" t="s">
        <v>27</v>
      </c>
      <c r="B197" s="4" t="s">
        <v>34</v>
      </c>
      <c r="C197" s="4" t="s">
        <v>35</v>
      </c>
      <c r="D197" s="4" t="s">
        <v>33</v>
      </c>
      <c r="E197" s="4" t="s">
        <v>25</v>
      </c>
      <c r="F197" s="4" t="s">
        <v>25</v>
      </c>
      <c r="G197" s="4" t="s">
        <v>25</v>
      </c>
      <c r="H197" s="4" t="s">
        <v>37</v>
      </c>
      <c r="I197" s="5">
        <v>44621</v>
      </c>
      <c r="J197" s="6">
        <v>0</v>
      </c>
      <c r="K197" s="6">
        <v>0</v>
      </c>
      <c r="L197" s="6">
        <v>20.262239999999998</v>
      </c>
      <c r="M197" s="6">
        <v>20.262239999999998</v>
      </c>
      <c r="N197" s="6">
        <v>20.262239999999998</v>
      </c>
      <c r="O197" s="6">
        <v>20.262239999999998</v>
      </c>
      <c r="P197" s="6">
        <v>0</v>
      </c>
      <c r="Q197" s="4" t="s">
        <v>26</v>
      </c>
      <c r="R197" s="4">
        <v>0</v>
      </c>
      <c r="S197" s="4" t="s">
        <v>164</v>
      </c>
      <c r="T197" s="4" t="s">
        <v>333</v>
      </c>
      <c r="U197" s="4">
        <v>0</v>
      </c>
      <c r="V197" s="4">
        <v>22</v>
      </c>
      <c r="W197" s="4">
        <v>84</v>
      </c>
    </row>
    <row r="198" spans="1:23" ht="11.25" customHeight="1" x14ac:dyDescent="0.3">
      <c r="A198" s="4" t="s">
        <v>21</v>
      </c>
      <c r="B198" s="4" t="s">
        <v>34</v>
      </c>
      <c r="C198" s="4" t="s">
        <v>35</v>
      </c>
      <c r="D198" s="4" t="s">
        <v>33</v>
      </c>
      <c r="E198" s="4" t="s">
        <v>25</v>
      </c>
      <c r="F198" s="4" t="s">
        <v>25</v>
      </c>
      <c r="G198" s="4" t="s">
        <v>25</v>
      </c>
      <c r="H198" s="4" t="s">
        <v>37</v>
      </c>
      <c r="I198" s="5">
        <v>44652</v>
      </c>
      <c r="J198" s="6">
        <v>0</v>
      </c>
      <c r="K198" s="6">
        <v>0</v>
      </c>
      <c r="L198" s="6">
        <v>157.31800000000001</v>
      </c>
      <c r="M198" s="6">
        <v>157.31800000000001</v>
      </c>
      <c r="N198" s="6">
        <v>157.31800000000001</v>
      </c>
      <c r="O198" s="6">
        <v>157.31800000000001</v>
      </c>
      <c r="P198" s="6">
        <v>0</v>
      </c>
      <c r="Q198" s="4" t="s">
        <v>26</v>
      </c>
      <c r="R198" s="4">
        <v>0</v>
      </c>
      <c r="S198" s="4" t="s">
        <v>165</v>
      </c>
      <c r="T198" s="4" t="s">
        <v>334</v>
      </c>
      <c r="U198" s="4">
        <v>0</v>
      </c>
      <c r="V198" s="4">
        <v>22</v>
      </c>
      <c r="W198" s="4">
        <v>84</v>
      </c>
    </row>
    <row r="199" spans="1:23" ht="11.25" customHeight="1" x14ac:dyDescent="0.3">
      <c r="A199" s="4" t="s">
        <v>27</v>
      </c>
      <c r="B199" s="4" t="s">
        <v>34</v>
      </c>
      <c r="C199" s="4" t="s">
        <v>35</v>
      </c>
      <c r="D199" s="4" t="s">
        <v>33</v>
      </c>
      <c r="E199" s="4" t="s">
        <v>25</v>
      </c>
      <c r="F199" s="4" t="s">
        <v>25</v>
      </c>
      <c r="G199" s="4" t="s">
        <v>25</v>
      </c>
      <c r="H199" s="4" t="s">
        <v>37</v>
      </c>
      <c r="I199" s="5">
        <v>44652</v>
      </c>
      <c r="J199" s="6">
        <v>0</v>
      </c>
      <c r="K199" s="6">
        <v>0</v>
      </c>
      <c r="L199" s="6">
        <v>17.570340000000002</v>
      </c>
      <c r="M199" s="6">
        <v>17.570340000000002</v>
      </c>
      <c r="N199" s="6">
        <v>17.570340000000002</v>
      </c>
      <c r="O199" s="6">
        <v>17.570340000000002</v>
      </c>
      <c r="P199" s="6">
        <v>0</v>
      </c>
      <c r="Q199" s="4" t="s">
        <v>26</v>
      </c>
      <c r="R199" s="4">
        <v>0</v>
      </c>
      <c r="S199" s="4" t="s">
        <v>165</v>
      </c>
      <c r="T199" s="4" t="s">
        <v>334</v>
      </c>
      <c r="U199" s="4">
        <v>0</v>
      </c>
      <c r="V199" s="4">
        <v>22</v>
      </c>
      <c r="W199" s="4">
        <v>84</v>
      </c>
    </row>
    <row r="200" spans="1:23" ht="11.25" customHeight="1" x14ac:dyDescent="0.3">
      <c r="A200" s="4" t="s">
        <v>21</v>
      </c>
      <c r="B200" s="4" t="s">
        <v>34</v>
      </c>
      <c r="C200" s="4" t="s">
        <v>35</v>
      </c>
      <c r="D200" s="4" t="s">
        <v>33</v>
      </c>
      <c r="E200" s="4" t="s">
        <v>25</v>
      </c>
      <c r="F200" s="4" t="s">
        <v>25</v>
      </c>
      <c r="G200" s="4" t="s">
        <v>25</v>
      </c>
      <c r="H200" s="4" t="s">
        <v>37</v>
      </c>
      <c r="I200" s="5">
        <v>44682</v>
      </c>
      <c r="J200" s="6">
        <v>0</v>
      </c>
      <c r="K200" s="6">
        <v>0</v>
      </c>
      <c r="L200" s="6">
        <v>175.25800000000001</v>
      </c>
      <c r="M200" s="6">
        <v>175.25800000000001</v>
      </c>
      <c r="N200" s="6">
        <v>175.25800000000001</v>
      </c>
      <c r="O200" s="6">
        <v>175.25800000000001</v>
      </c>
      <c r="P200" s="6">
        <v>0</v>
      </c>
      <c r="Q200" s="4" t="s">
        <v>26</v>
      </c>
      <c r="R200" s="4">
        <v>0</v>
      </c>
      <c r="S200" s="4" t="s">
        <v>166</v>
      </c>
      <c r="T200" s="4" t="s">
        <v>335</v>
      </c>
      <c r="U200" s="4">
        <v>0</v>
      </c>
      <c r="V200" s="4">
        <v>22</v>
      </c>
      <c r="W200" s="4">
        <v>84</v>
      </c>
    </row>
    <row r="201" spans="1:23" ht="11.25" customHeight="1" x14ac:dyDescent="0.3">
      <c r="A201" s="4" t="s">
        <v>27</v>
      </c>
      <c r="B201" s="4" t="s">
        <v>34</v>
      </c>
      <c r="C201" s="4" t="s">
        <v>35</v>
      </c>
      <c r="D201" s="4" t="s">
        <v>33</v>
      </c>
      <c r="E201" s="4" t="s">
        <v>25</v>
      </c>
      <c r="F201" s="4" t="s">
        <v>25</v>
      </c>
      <c r="G201" s="4" t="s">
        <v>25</v>
      </c>
      <c r="H201" s="4" t="s">
        <v>37</v>
      </c>
      <c r="I201" s="5">
        <v>44682</v>
      </c>
      <c r="J201" s="6">
        <v>0</v>
      </c>
      <c r="K201" s="6">
        <v>0</v>
      </c>
      <c r="L201" s="6">
        <v>24.851900000000001</v>
      </c>
      <c r="M201" s="6">
        <v>24.851900000000001</v>
      </c>
      <c r="N201" s="6">
        <v>24.851900000000001</v>
      </c>
      <c r="O201" s="6">
        <v>24.851900000000001</v>
      </c>
      <c r="P201" s="6">
        <v>0</v>
      </c>
      <c r="Q201" s="4" t="s">
        <v>26</v>
      </c>
      <c r="R201" s="4">
        <v>0</v>
      </c>
      <c r="S201" s="4" t="s">
        <v>166</v>
      </c>
      <c r="T201" s="4" t="s">
        <v>335</v>
      </c>
      <c r="U201" s="4">
        <v>0</v>
      </c>
      <c r="V201" s="4">
        <v>22</v>
      </c>
      <c r="W201" s="4">
        <v>84</v>
      </c>
    </row>
    <row r="202" spans="1:23" ht="11.25" customHeight="1" x14ac:dyDescent="0.3">
      <c r="A202" s="4" t="s">
        <v>21</v>
      </c>
      <c r="B202" s="4" t="s">
        <v>34</v>
      </c>
      <c r="C202" s="4" t="s">
        <v>35</v>
      </c>
      <c r="D202" s="4" t="s">
        <v>33</v>
      </c>
      <c r="E202" s="4" t="s">
        <v>25</v>
      </c>
      <c r="F202" s="4" t="s">
        <v>25</v>
      </c>
      <c r="G202" s="4" t="s">
        <v>25</v>
      </c>
      <c r="H202" s="4" t="s">
        <v>37</v>
      </c>
      <c r="I202" s="5">
        <v>44713</v>
      </c>
      <c r="J202" s="6">
        <v>0</v>
      </c>
      <c r="K202" s="6">
        <v>0</v>
      </c>
      <c r="L202" s="6">
        <v>157.922</v>
      </c>
      <c r="M202" s="6">
        <v>157.922</v>
      </c>
      <c r="N202" s="6">
        <v>157.922</v>
      </c>
      <c r="O202" s="6">
        <v>157.922</v>
      </c>
      <c r="P202" s="6">
        <v>0</v>
      </c>
      <c r="Q202" s="4" t="s">
        <v>26</v>
      </c>
      <c r="R202" s="4">
        <v>0</v>
      </c>
      <c r="S202" s="4" t="s">
        <v>167</v>
      </c>
      <c r="T202" s="4" t="s">
        <v>336</v>
      </c>
      <c r="U202" s="4">
        <v>0</v>
      </c>
      <c r="V202" s="4">
        <v>22</v>
      </c>
      <c r="W202" s="4">
        <v>84</v>
      </c>
    </row>
    <row r="203" spans="1:23" ht="11.25" customHeight="1" x14ac:dyDescent="0.3">
      <c r="A203" s="4" t="s">
        <v>27</v>
      </c>
      <c r="B203" s="4" t="s">
        <v>34</v>
      </c>
      <c r="C203" s="4" t="s">
        <v>35</v>
      </c>
      <c r="D203" s="4" t="s">
        <v>33</v>
      </c>
      <c r="E203" s="4" t="s">
        <v>25</v>
      </c>
      <c r="F203" s="4" t="s">
        <v>25</v>
      </c>
      <c r="G203" s="4" t="s">
        <v>25</v>
      </c>
      <c r="H203" s="4" t="s">
        <v>37</v>
      </c>
      <c r="I203" s="5">
        <v>44713</v>
      </c>
      <c r="J203" s="6">
        <v>0</v>
      </c>
      <c r="K203" s="6">
        <v>0</v>
      </c>
      <c r="L203" s="6">
        <v>26.805409999999998</v>
      </c>
      <c r="M203" s="6">
        <v>26.805409999999998</v>
      </c>
      <c r="N203" s="6">
        <v>26.805409999999998</v>
      </c>
      <c r="O203" s="6">
        <v>26.805409999999998</v>
      </c>
      <c r="P203" s="6">
        <v>0</v>
      </c>
      <c r="Q203" s="4" t="s">
        <v>26</v>
      </c>
      <c r="R203" s="4">
        <v>0</v>
      </c>
      <c r="S203" s="4" t="s">
        <v>167</v>
      </c>
      <c r="T203" s="4" t="s">
        <v>336</v>
      </c>
      <c r="U203" s="4">
        <v>0</v>
      </c>
      <c r="V203" s="4">
        <v>22</v>
      </c>
      <c r="W203" s="4">
        <v>84</v>
      </c>
    </row>
    <row r="204" spans="1:23" ht="11.25" customHeight="1" x14ac:dyDescent="0.3">
      <c r="A204" s="4" t="s">
        <v>21</v>
      </c>
      <c r="B204" s="4" t="s">
        <v>34</v>
      </c>
      <c r="C204" s="4" t="s">
        <v>35</v>
      </c>
      <c r="D204" s="4" t="s">
        <v>33</v>
      </c>
      <c r="E204" s="4" t="s">
        <v>25</v>
      </c>
      <c r="F204" s="4" t="s">
        <v>25</v>
      </c>
      <c r="G204" s="4" t="s">
        <v>25</v>
      </c>
      <c r="H204" s="4" t="s">
        <v>37</v>
      </c>
      <c r="I204" s="5">
        <v>44743</v>
      </c>
      <c r="J204" s="6">
        <v>0</v>
      </c>
      <c r="K204" s="6">
        <v>0</v>
      </c>
      <c r="L204" s="6">
        <v>153.59897000000001</v>
      </c>
      <c r="M204" s="6">
        <v>153.59897000000001</v>
      </c>
      <c r="N204" s="6">
        <v>153.59897000000001</v>
      </c>
      <c r="O204" s="6">
        <v>153.59897000000001</v>
      </c>
      <c r="P204" s="6">
        <v>0</v>
      </c>
      <c r="Q204" s="4" t="s">
        <v>26</v>
      </c>
      <c r="R204" s="4">
        <v>0</v>
      </c>
      <c r="S204" s="4" t="s">
        <v>168</v>
      </c>
      <c r="T204" s="4" t="s">
        <v>337</v>
      </c>
      <c r="U204" s="4">
        <v>0</v>
      </c>
      <c r="V204" s="4">
        <v>22</v>
      </c>
      <c r="W204" s="4">
        <v>84</v>
      </c>
    </row>
    <row r="205" spans="1:23" ht="11.25" customHeight="1" x14ac:dyDescent="0.3">
      <c r="A205" s="4" t="s">
        <v>27</v>
      </c>
      <c r="B205" s="4" t="s">
        <v>34</v>
      </c>
      <c r="C205" s="4" t="s">
        <v>35</v>
      </c>
      <c r="D205" s="4" t="s">
        <v>33</v>
      </c>
      <c r="E205" s="4" t="s">
        <v>25</v>
      </c>
      <c r="F205" s="4" t="s">
        <v>25</v>
      </c>
      <c r="G205" s="4" t="s">
        <v>25</v>
      </c>
      <c r="H205" s="4" t="s">
        <v>37</v>
      </c>
      <c r="I205" s="5">
        <v>44743</v>
      </c>
      <c r="J205" s="6">
        <v>0</v>
      </c>
      <c r="K205" s="6">
        <v>0</v>
      </c>
      <c r="L205" s="6">
        <v>41.171619999999997</v>
      </c>
      <c r="M205" s="6">
        <v>41.171619999999997</v>
      </c>
      <c r="N205" s="6">
        <v>41.171619999999997</v>
      </c>
      <c r="O205" s="6">
        <v>41.171619999999997</v>
      </c>
      <c r="P205" s="6">
        <v>0</v>
      </c>
      <c r="Q205" s="4" t="s">
        <v>26</v>
      </c>
      <c r="R205" s="4">
        <v>0</v>
      </c>
      <c r="S205" s="4" t="s">
        <v>168</v>
      </c>
      <c r="T205" s="4" t="s">
        <v>337</v>
      </c>
      <c r="U205" s="4">
        <v>0</v>
      </c>
      <c r="V205" s="4">
        <v>22</v>
      </c>
      <c r="W205" s="4">
        <v>84</v>
      </c>
    </row>
    <row r="206" spans="1:23" ht="11.25" customHeight="1" x14ac:dyDescent="0.3">
      <c r="A206" s="4" t="s">
        <v>21</v>
      </c>
      <c r="B206" s="4" t="s">
        <v>34</v>
      </c>
      <c r="C206" s="4" t="s">
        <v>35</v>
      </c>
      <c r="D206" s="4" t="s">
        <v>33</v>
      </c>
      <c r="E206" s="4" t="s">
        <v>25</v>
      </c>
      <c r="F206" s="4" t="s">
        <v>25</v>
      </c>
      <c r="G206" s="4" t="s">
        <v>25</v>
      </c>
      <c r="H206" s="4" t="s">
        <v>25</v>
      </c>
      <c r="I206" s="5">
        <v>44409</v>
      </c>
      <c r="J206" s="6">
        <v>1378.57</v>
      </c>
      <c r="K206" s="6">
        <v>1378.57</v>
      </c>
      <c r="L206" s="6">
        <v>0</v>
      </c>
      <c r="M206" s="6">
        <v>0</v>
      </c>
      <c r="N206" s="6">
        <v>0</v>
      </c>
      <c r="O206" s="6">
        <v>0</v>
      </c>
      <c r="P206" s="6">
        <v>10</v>
      </c>
      <c r="Q206" s="4" t="s">
        <v>26</v>
      </c>
      <c r="R206" s="4">
        <v>0</v>
      </c>
      <c r="S206" s="4" t="s">
        <v>169</v>
      </c>
      <c r="U206" s="4">
        <v>18</v>
      </c>
      <c r="V206" s="4">
        <v>0</v>
      </c>
      <c r="W206" s="4">
        <v>0</v>
      </c>
    </row>
    <row r="207" spans="1:23" ht="11.25" customHeight="1" x14ac:dyDescent="0.3">
      <c r="A207" s="4" t="s">
        <v>27</v>
      </c>
      <c r="B207" s="4" t="s">
        <v>34</v>
      </c>
      <c r="C207" s="4" t="s">
        <v>35</v>
      </c>
      <c r="D207" s="4" t="s">
        <v>33</v>
      </c>
      <c r="E207" s="4" t="s">
        <v>25</v>
      </c>
      <c r="F207" s="4" t="s">
        <v>25</v>
      </c>
      <c r="G207" s="4" t="s">
        <v>25</v>
      </c>
      <c r="H207" s="4" t="s">
        <v>25</v>
      </c>
      <c r="I207" s="5">
        <v>44409</v>
      </c>
      <c r="J207" s="6">
        <v>350</v>
      </c>
      <c r="K207" s="6">
        <v>350</v>
      </c>
      <c r="L207" s="6">
        <v>0</v>
      </c>
      <c r="M207" s="6">
        <v>0</v>
      </c>
      <c r="N207" s="6">
        <v>0</v>
      </c>
      <c r="O207" s="6">
        <v>0</v>
      </c>
      <c r="P207" s="6">
        <v>2</v>
      </c>
      <c r="Q207" s="4" t="s">
        <v>26</v>
      </c>
      <c r="R207" s="4">
        <v>0</v>
      </c>
      <c r="S207" s="4" t="s">
        <v>169</v>
      </c>
      <c r="U207" s="4">
        <v>18</v>
      </c>
      <c r="V207" s="4">
        <v>0</v>
      </c>
      <c r="W207" s="4">
        <v>0</v>
      </c>
    </row>
    <row r="208" spans="1:23" ht="11.25" customHeight="1" x14ac:dyDescent="0.3">
      <c r="A208" s="4" t="s">
        <v>21</v>
      </c>
      <c r="B208" s="4" t="s">
        <v>34</v>
      </c>
      <c r="C208" s="4" t="s">
        <v>35</v>
      </c>
      <c r="D208" s="4" t="s">
        <v>33</v>
      </c>
      <c r="E208" s="4" t="s">
        <v>25</v>
      </c>
      <c r="F208" s="4" t="s">
        <v>25</v>
      </c>
      <c r="G208" s="4" t="s">
        <v>25</v>
      </c>
      <c r="H208" s="4" t="s">
        <v>25</v>
      </c>
      <c r="I208" s="5">
        <v>44440</v>
      </c>
      <c r="J208" s="6">
        <v>1369</v>
      </c>
      <c r="K208" s="6">
        <v>1369</v>
      </c>
      <c r="L208" s="6">
        <v>0</v>
      </c>
      <c r="M208" s="6">
        <v>0</v>
      </c>
      <c r="N208" s="6">
        <v>0</v>
      </c>
      <c r="O208" s="6">
        <v>0</v>
      </c>
      <c r="P208" s="6">
        <v>10</v>
      </c>
      <c r="Q208" s="4" t="s">
        <v>26</v>
      </c>
      <c r="R208" s="4">
        <v>0</v>
      </c>
      <c r="S208" s="4" t="s">
        <v>170</v>
      </c>
      <c r="U208" s="4">
        <v>18</v>
      </c>
      <c r="V208" s="4">
        <v>0</v>
      </c>
      <c r="W208" s="4">
        <v>0</v>
      </c>
    </row>
    <row r="209" spans="1:23" ht="11.25" customHeight="1" x14ac:dyDescent="0.3">
      <c r="A209" s="4" t="s">
        <v>27</v>
      </c>
      <c r="B209" s="4" t="s">
        <v>34</v>
      </c>
      <c r="C209" s="4" t="s">
        <v>35</v>
      </c>
      <c r="D209" s="4" t="s">
        <v>33</v>
      </c>
      <c r="E209" s="4" t="s">
        <v>25</v>
      </c>
      <c r="F209" s="4" t="s">
        <v>25</v>
      </c>
      <c r="G209" s="4" t="s">
        <v>25</v>
      </c>
      <c r="H209" s="4" t="s">
        <v>25</v>
      </c>
      <c r="I209" s="5">
        <v>44440</v>
      </c>
      <c r="J209" s="6">
        <v>350</v>
      </c>
      <c r="K209" s="6">
        <v>350</v>
      </c>
      <c r="L209" s="6">
        <v>0</v>
      </c>
      <c r="M209" s="6">
        <v>0</v>
      </c>
      <c r="N209" s="6">
        <v>0</v>
      </c>
      <c r="O209" s="6">
        <v>0</v>
      </c>
      <c r="P209" s="6">
        <v>2</v>
      </c>
      <c r="Q209" s="4" t="s">
        <v>26</v>
      </c>
      <c r="R209" s="4">
        <v>0</v>
      </c>
      <c r="S209" s="4" t="s">
        <v>170</v>
      </c>
      <c r="U209" s="4">
        <v>18</v>
      </c>
      <c r="V209" s="4">
        <v>0</v>
      </c>
      <c r="W209" s="4">
        <v>0</v>
      </c>
    </row>
    <row r="210" spans="1:23" ht="11.25" customHeight="1" x14ac:dyDescent="0.3">
      <c r="A210" s="4" t="s">
        <v>21</v>
      </c>
      <c r="B210" s="4" t="s">
        <v>34</v>
      </c>
      <c r="C210" s="4" t="s">
        <v>35</v>
      </c>
      <c r="D210" s="4" t="s">
        <v>33</v>
      </c>
      <c r="E210" s="4" t="s">
        <v>25</v>
      </c>
      <c r="F210" s="4" t="s">
        <v>25</v>
      </c>
      <c r="G210" s="4" t="s">
        <v>25</v>
      </c>
      <c r="H210" s="4" t="s">
        <v>25</v>
      </c>
      <c r="I210" s="5">
        <v>44470</v>
      </c>
      <c r="J210" s="6">
        <v>1399</v>
      </c>
      <c r="K210" s="6">
        <v>1399</v>
      </c>
      <c r="L210" s="6">
        <v>0</v>
      </c>
      <c r="M210" s="6">
        <v>0</v>
      </c>
      <c r="N210" s="6">
        <v>0</v>
      </c>
      <c r="O210" s="6">
        <v>0</v>
      </c>
      <c r="P210" s="6">
        <v>10</v>
      </c>
      <c r="Q210" s="4" t="s">
        <v>26</v>
      </c>
      <c r="R210" s="4">
        <v>0</v>
      </c>
      <c r="S210" s="4" t="s">
        <v>171</v>
      </c>
      <c r="U210" s="4">
        <v>18</v>
      </c>
      <c r="V210" s="4">
        <v>0</v>
      </c>
      <c r="W210" s="4">
        <v>0</v>
      </c>
    </row>
    <row r="211" spans="1:23" ht="11.25" customHeight="1" x14ac:dyDescent="0.3">
      <c r="A211" s="4" t="s">
        <v>27</v>
      </c>
      <c r="B211" s="4" t="s">
        <v>34</v>
      </c>
      <c r="C211" s="4" t="s">
        <v>35</v>
      </c>
      <c r="D211" s="4" t="s">
        <v>33</v>
      </c>
      <c r="E211" s="4" t="s">
        <v>25</v>
      </c>
      <c r="F211" s="4" t="s">
        <v>25</v>
      </c>
      <c r="G211" s="4" t="s">
        <v>25</v>
      </c>
      <c r="H211" s="4" t="s">
        <v>25</v>
      </c>
      <c r="I211" s="5">
        <v>44470</v>
      </c>
      <c r="J211" s="6">
        <v>350</v>
      </c>
      <c r="K211" s="6">
        <v>350</v>
      </c>
      <c r="L211" s="6">
        <v>0</v>
      </c>
      <c r="M211" s="6">
        <v>0</v>
      </c>
      <c r="N211" s="6">
        <v>0</v>
      </c>
      <c r="O211" s="6">
        <v>0</v>
      </c>
      <c r="P211" s="6">
        <v>2</v>
      </c>
      <c r="Q211" s="4" t="s">
        <v>26</v>
      </c>
      <c r="R211" s="4">
        <v>0</v>
      </c>
      <c r="S211" s="4" t="s">
        <v>171</v>
      </c>
      <c r="U211" s="4">
        <v>18</v>
      </c>
      <c r="V211" s="4">
        <v>0</v>
      </c>
      <c r="W211" s="4">
        <v>0</v>
      </c>
    </row>
    <row r="212" spans="1:23" ht="11.25" customHeight="1" x14ac:dyDescent="0.3">
      <c r="A212" s="4" t="s">
        <v>21</v>
      </c>
      <c r="B212" s="4" t="s">
        <v>34</v>
      </c>
      <c r="C212" s="4" t="s">
        <v>35</v>
      </c>
      <c r="D212" s="4" t="s">
        <v>33</v>
      </c>
      <c r="E212" s="4" t="s">
        <v>25</v>
      </c>
      <c r="F212" s="4" t="s">
        <v>25</v>
      </c>
      <c r="G212" s="4" t="s">
        <v>25</v>
      </c>
      <c r="H212" s="4" t="s">
        <v>25</v>
      </c>
      <c r="I212" s="5">
        <v>44501</v>
      </c>
      <c r="J212" s="6">
        <v>1397</v>
      </c>
      <c r="K212" s="6">
        <v>1397</v>
      </c>
      <c r="L212" s="6">
        <v>0</v>
      </c>
      <c r="M212" s="6">
        <v>0</v>
      </c>
      <c r="N212" s="6">
        <v>0</v>
      </c>
      <c r="O212" s="6">
        <v>0</v>
      </c>
      <c r="P212" s="6">
        <v>10</v>
      </c>
      <c r="Q212" s="4" t="s">
        <v>26</v>
      </c>
      <c r="R212" s="4">
        <v>0</v>
      </c>
      <c r="S212" s="4" t="s">
        <v>172</v>
      </c>
      <c r="U212" s="4">
        <v>18</v>
      </c>
      <c r="V212" s="4">
        <v>0</v>
      </c>
      <c r="W212" s="4">
        <v>0</v>
      </c>
    </row>
    <row r="213" spans="1:23" ht="11.25" customHeight="1" x14ac:dyDescent="0.3">
      <c r="A213" s="4" t="s">
        <v>27</v>
      </c>
      <c r="B213" s="4" t="s">
        <v>34</v>
      </c>
      <c r="C213" s="4" t="s">
        <v>35</v>
      </c>
      <c r="D213" s="4" t="s">
        <v>33</v>
      </c>
      <c r="E213" s="4" t="s">
        <v>25</v>
      </c>
      <c r="F213" s="4" t="s">
        <v>25</v>
      </c>
      <c r="G213" s="4" t="s">
        <v>25</v>
      </c>
      <c r="H213" s="4" t="s">
        <v>25</v>
      </c>
      <c r="I213" s="5">
        <v>44501</v>
      </c>
      <c r="J213" s="6">
        <v>350</v>
      </c>
      <c r="K213" s="6">
        <v>350</v>
      </c>
      <c r="L213" s="6">
        <v>0</v>
      </c>
      <c r="M213" s="6">
        <v>0</v>
      </c>
      <c r="N213" s="6">
        <v>0</v>
      </c>
      <c r="O213" s="6">
        <v>0</v>
      </c>
      <c r="P213" s="6">
        <v>2</v>
      </c>
      <c r="Q213" s="4" t="s">
        <v>26</v>
      </c>
      <c r="R213" s="4">
        <v>0</v>
      </c>
      <c r="S213" s="4" t="s">
        <v>172</v>
      </c>
      <c r="U213" s="4">
        <v>18</v>
      </c>
      <c r="V213" s="4">
        <v>0</v>
      </c>
      <c r="W213" s="4">
        <v>0</v>
      </c>
    </row>
    <row r="214" spans="1:23" ht="11.25" customHeight="1" x14ac:dyDescent="0.3">
      <c r="A214" s="4" t="s">
        <v>21</v>
      </c>
      <c r="B214" s="4" t="s">
        <v>34</v>
      </c>
      <c r="C214" s="4" t="s">
        <v>35</v>
      </c>
      <c r="D214" s="4" t="s">
        <v>33</v>
      </c>
      <c r="E214" s="4" t="s">
        <v>25</v>
      </c>
      <c r="F214" s="4" t="s">
        <v>25</v>
      </c>
      <c r="G214" s="4" t="s">
        <v>25</v>
      </c>
      <c r="H214" s="4" t="s">
        <v>25</v>
      </c>
      <c r="I214" s="5">
        <v>44531</v>
      </c>
      <c r="J214" s="6">
        <v>1411</v>
      </c>
      <c r="K214" s="6">
        <v>1411</v>
      </c>
      <c r="L214" s="6">
        <v>0</v>
      </c>
      <c r="M214" s="6">
        <v>0</v>
      </c>
      <c r="N214" s="6">
        <v>0</v>
      </c>
      <c r="O214" s="6">
        <v>0</v>
      </c>
      <c r="P214" s="6">
        <v>10</v>
      </c>
      <c r="Q214" s="4" t="s">
        <v>26</v>
      </c>
      <c r="R214" s="4">
        <v>0</v>
      </c>
      <c r="S214" s="4" t="s">
        <v>173</v>
      </c>
      <c r="U214" s="4">
        <v>18</v>
      </c>
      <c r="V214" s="4">
        <v>0</v>
      </c>
      <c r="W214" s="4">
        <v>0</v>
      </c>
    </row>
    <row r="215" spans="1:23" ht="11.25" customHeight="1" x14ac:dyDescent="0.3">
      <c r="A215" s="4" t="s">
        <v>27</v>
      </c>
      <c r="B215" s="4" t="s">
        <v>34</v>
      </c>
      <c r="C215" s="4" t="s">
        <v>35</v>
      </c>
      <c r="D215" s="4" t="s">
        <v>33</v>
      </c>
      <c r="E215" s="4" t="s">
        <v>25</v>
      </c>
      <c r="F215" s="4" t="s">
        <v>25</v>
      </c>
      <c r="G215" s="4" t="s">
        <v>25</v>
      </c>
      <c r="H215" s="4" t="s">
        <v>25</v>
      </c>
      <c r="I215" s="5">
        <v>44531</v>
      </c>
      <c r="J215" s="6">
        <v>350</v>
      </c>
      <c r="K215" s="6">
        <v>350</v>
      </c>
      <c r="L215" s="6">
        <v>0</v>
      </c>
      <c r="M215" s="6">
        <v>0</v>
      </c>
      <c r="N215" s="6">
        <v>0</v>
      </c>
      <c r="O215" s="6">
        <v>0</v>
      </c>
      <c r="P215" s="6">
        <v>2</v>
      </c>
      <c r="Q215" s="4" t="s">
        <v>26</v>
      </c>
      <c r="R215" s="4">
        <v>0</v>
      </c>
      <c r="S215" s="4" t="s">
        <v>173</v>
      </c>
      <c r="U215" s="4">
        <v>18</v>
      </c>
      <c r="V215" s="4">
        <v>0</v>
      </c>
      <c r="W215" s="4">
        <v>0</v>
      </c>
    </row>
    <row r="216" spans="1:23" ht="11.25" customHeight="1" x14ac:dyDescent="0.3">
      <c r="A216" s="4" t="s">
        <v>21</v>
      </c>
      <c r="B216" s="4" t="s">
        <v>34</v>
      </c>
      <c r="C216" s="4" t="s">
        <v>35</v>
      </c>
      <c r="D216" s="4" t="s">
        <v>33</v>
      </c>
      <c r="E216" s="4" t="s">
        <v>25</v>
      </c>
      <c r="F216" s="4" t="s">
        <v>25</v>
      </c>
      <c r="G216" s="4" t="s">
        <v>25</v>
      </c>
      <c r="H216" s="4" t="s">
        <v>25</v>
      </c>
      <c r="I216" s="5">
        <v>44562</v>
      </c>
      <c r="J216" s="6">
        <v>1310</v>
      </c>
      <c r="K216" s="6">
        <v>1310</v>
      </c>
      <c r="L216" s="6">
        <v>0</v>
      </c>
      <c r="M216" s="6">
        <v>0</v>
      </c>
      <c r="N216" s="6">
        <v>0</v>
      </c>
      <c r="O216" s="6">
        <v>0</v>
      </c>
      <c r="P216" s="6">
        <v>10</v>
      </c>
      <c r="Q216" s="4" t="s">
        <v>26</v>
      </c>
      <c r="R216" s="4">
        <v>0</v>
      </c>
      <c r="S216" s="4" t="s">
        <v>174</v>
      </c>
      <c r="U216" s="4">
        <v>18</v>
      </c>
      <c r="V216" s="4">
        <v>0</v>
      </c>
      <c r="W216" s="4">
        <v>0</v>
      </c>
    </row>
    <row r="217" spans="1:23" ht="11.25" customHeight="1" x14ac:dyDescent="0.3">
      <c r="A217" s="4" t="s">
        <v>27</v>
      </c>
      <c r="B217" s="4" t="s">
        <v>34</v>
      </c>
      <c r="C217" s="4" t="s">
        <v>35</v>
      </c>
      <c r="D217" s="4" t="s">
        <v>33</v>
      </c>
      <c r="E217" s="4" t="s">
        <v>25</v>
      </c>
      <c r="F217" s="4" t="s">
        <v>25</v>
      </c>
      <c r="G217" s="4" t="s">
        <v>25</v>
      </c>
      <c r="H217" s="4" t="s">
        <v>25</v>
      </c>
      <c r="I217" s="5">
        <v>44562</v>
      </c>
      <c r="J217" s="6">
        <v>350</v>
      </c>
      <c r="K217" s="6">
        <v>350</v>
      </c>
      <c r="L217" s="6">
        <v>0</v>
      </c>
      <c r="M217" s="6">
        <v>0</v>
      </c>
      <c r="N217" s="6">
        <v>0</v>
      </c>
      <c r="O217" s="6">
        <v>0</v>
      </c>
      <c r="P217" s="6">
        <v>2</v>
      </c>
      <c r="Q217" s="4" t="s">
        <v>26</v>
      </c>
      <c r="R217" s="4">
        <v>0</v>
      </c>
      <c r="S217" s="4" t="s">
        <v>174</v>
      </c>
      <c r="U217" s="4">
        <v>18</v>
      </c>
      <c r="V217" s="4">
        <v>0</v>
      </c>
      <c r="W217" s="4">
        <v>0</v>
      </c>
    </row>
    <row r="218" spans="1:23" ht="11.25" customHeight="1" x14ac:dyDescent="0.3">
      <c r="A218" s="4" t="s">
        <v>21</v>
      </c>
      <c r="B218" s="4" t="s">
        <v>34</v>
      </c>
      <c r="C218" s="4" t="s">
        <v>35</v>
      </c>
      <c r="D218" s="4" t="s">
        <v>33</v>
      </c>
      <c r="E218" s="4" t="s">
        <v>25</v>
      </c>
      <c r="F218" s="4" t="s">
        <v>25</v>
      </c>
      <c r="G218" s="4" t="s">
        <v>25</v>
      </c>
      <c r="H218" s="4" t="s">
        <v>25</v>
      </c>
      <c r="I218" s="5">
        <v>44593</v>
      </c>
      <c r="J218" s="6">
        <v>1336</v>
      </c>
      <c r="K218" s="6">
        <v>1336</v>
      </c>
      <c r="L218" s="6">
        <v>0</v>
      </c>
      <c r="M218" s="6">
        <v>0</v>
      </c>
      <c r="N218" s="6">
        <v>0</v>
      </c>
      <c r="O218" s="6">
        <v>0</v>
      </c>
      <c r="P218" s="6">
        <v>10</v>
      </c>
      <c r="Q218" s="4" t="s">
        <v>26</v>
      </c>
      <c r="R218" s="4">
        <v>0</v>
      </c>
      <c r="S218" s="4" t="s">
        <v>175</v>
      </c>
      <c r="U218" s="4">
        <v>18</v>
      </c>
      <c r="V218" s="4">
        <v>0</v>
      </c>
      <c r="W218" s="4">
        <v>0</v>
      </c>
    </row>
    <row r="219" spans="1:23" ht="11.25" customHeight="1" x14ac:dyDescent="0.3">
      <c r="A219" s="4" t="s">
        <v>27</v>
      </c>
      <c r="B219" s="4" t="s">
        <v>34</v>
      </c>
      <c r="C219" s="4" t="s">
        <v>35</v>
      </c>
      <c r="D219" s="4" t="s">
        <v>33</v>
      </c>
      <c r="E219" s="4" t="s">
        <v>25</v>
      </c>
      <c r="F219" s="4" t="s">
        <v>25</v>
      </c>
      <c r="G219" s="4" t="s">
        <v>25</v>
      </c>
      <c r="H219" s="4" t="s">
        <v>25</v>
      </c>
      <c r="I219" s="5">
        <v>44593</v>
      </c>
      <c r="J219" s="6">
        <v>350</v>
      </c>
      <c r="K219" s="6">
        <v>350</v>
      </c>
      <c r="L219" s="6">
        <v>0</v>
      </c>
      <c r="M219" s="6">
        <v>0</v>
      </c>
      <c r="N219" s="6">
        <v>0</v>
      </c>
      <c r="O219" s="6">
        <v>0</v>
      </c>
      <c r="P219" s="6">
        <v>2</v>
      </c>
      <c r="Q219" s="4" t="s">
        <v>26</v>
      </c>
      <c r="R219" s="4">
        <v>0</v>
      </c>
      <c r="S219" s="4" t="s">
        <v>175</v>
      </c>
      <c r="U219" s="4">
        <v>18</v>
      </c>
      <c r="V219" s="4">
        <v>0</v>
      </c>
      <c r="W219" s="4">
        <v>0</v>
      </c>
    </row>
    <row r="220" spans="1:23" ht="11.25" customHeight="1" x14ac:dyDescent="0.3">
      <c r="A220" s="4" t="s">
        <v>21</v>
      </c>
      <c r="B220" s="4" t="s">
        <v>34</v>
      </c>
      <c r="C220" s="4" t="s">
        <v>35</v>
      </c>
      <c r="D220" s="4" t="s">
        <v>33</v>
      </c>
      <c r="E220" s="4" t="s">
        <v>25</v>
      </c>
      <c r="F220" s="4" t="s">
        <v>25</v>
      </c>
      <c r="G220" s="4" t="s">
        <v>25</v>
      </c>
      <c r="H220" s="4" t="s">
        <v>25</v>
      </c>
      <c r="I220" s="5">
        <v>44621</v>
      </c>
      <c r="J220" s="6">
        <v>1179</v>
      </c>
      <c r="K220" s="6">
        <v>1179</v>
      </c>
      <c r="L220" s="6">
        <v>0</v>
      </c>
      <c r="M220" s="6">
        <v>0</v>
      </c>
      <c r="N220" s="6">
        <v>0</v>
      </c>
      <c r="O220" s="6">
        <v>0</v>
      </c>
      <c r="P220" s="6">
        <v>9</v>
      </c>
      <c r="Q220" s="4" t="s">
        <v>26</v>
      </c>
      <c r="R220" s="4">
        <v>0</v>
      </c>
      <c r="S220" s="4" t="s">
        <v>176</v>
      </c>
      <c r="U220" s="4">
        <v>18</v>
      </c>
      <c r="V220" s="4">
        <v>0</v>
      </c>
      <c r="W220" s="4">
        <v>0</v>
      </c>
    </row>
    <row r="221" spans="1:23" ht="11.25" customHeight="1" x14ac:dyDescent="0.3">
      <c r="A221" s="4" t="s">
        <v>27</v>
      </c>
      <c r="B221" s="4" t="s">
        <v>34</v>
      </c>
      <c r="C221" s="4" t="s">
        <v>35</v>
      </c>
      <c r="D221" s="4" t="s">
        <v>33</v>
      </c>
      <c r="E221" s="4" t="s">
        <v>25</v>
      </c>
      <c r="F221" s="4" t="s">
        <v>25</v>
      </c>
      <c r="G221" s="4" t="s">
        <v>25</v>
      </c>
      <c r="H221" s="4" t="s">
        <v>25</v>
      </c>
      <c r="I221" s="5">
        <v>44621</v>
      </c>
      <c r="J221" s="6">
        <v>350</v>
      </c>
      <c r="K221" s="6">
        <v>350</v>
      </c>
      <c r="L221" s="6">
        <v>0</v>
      </c>
      <c r="M221" s="6">
        <v>0</v>
      </c>
      <c r="N221" s="6">
        <v>0</v>
      </c>
      <c r="O221" s="6">
        <v>0</v>
      </c>
      <c r="P221" s="6">
        <v>2</v>
      </c>
      <c r="Q221" s="4" t="s">
        <v>26</v>
      </c>
      <c r="R221" s="4">
        <v>0</v>
      </c>
      <c r="S221" s="4" t="s">
        <v>176</v>
      </c>
      <c r="U221" s="4">
        <v>18</v>
      </c>
      <c r="V221" s="4">
        <v>0</v>
      </c>
      <c r="W221" s="4">
        <v>0</v>
      </c>
    </row>
    <row r="222" spans="1:23" ht="11.25" customHeight="1" x14ac:dyDescent="0.3">
      <c r="A222" s="4" t="s">
        <v>21</v>
      </c>
      <c r="B222" s="4" t="s">
        <v>34</v>
      </c>
      <c r="C222" s="4" t="s">
        <v>35</v>
      </c>
      <c r="D222" s="4" t="s">
        <v>33</v>
      </c>
      <c r="E222" s="4" t="s">
        <v>25</v>
      </c>
      <c r="F222" s="4" t="s">
        <v>25</v>
      </c>
      <c r="G222" s="4" t="s">
        <v>25</v>
      </c>
      <c r="H222" s="4" t="s">
        <v>25</v>
      </c>
      <c r="I222" s="5">
        <v>44652</v>
      </c>
      <c r="J222" s="6">
        <v>1394</v>
      </c>
      <c r="K222" s="6">
        <v>1394</v>
      </c>
      <c r="L222" s="6">
        <v>0</v>
      </c>
      <c r="M222" s="6">
        <v>0</v>
      </c>
      <c r="N222" s="6">
        <v>0</v>
      </c>
      <c r="O222" s="6">
        <v>0</v>
      </c>
      <c r="P222" s="6">
        <v>9</v>
      </c>
      <c r="Q222" s="4" t="s">
        <v>26</v>
      </c>
      <c r="R222" s="4">
        <v>0</v>
      </c>
      <c r="S222" s="4" t="s">
        <v>177</v>
      </c>
      <c r="U222" s="4">
        <v>18</v>
      </c>
      <c r="V222" s="4">
        <v>0</v>
      </c>
      <c r="W222" s="4">
        <v>0</v>
      </c>
    </row>
    <row r="223" spans="1:23" ht="11.25" customHeight="1" x14ac:dyDescent="0.3">
      <c r="A223" s="4" t="s">
        <v>27</v>
      </c>
      <c r="B223" s="4" t="s">
        <v>34</v>
      </c>
      <c r="C223" s="4" t="s">
        <v>35</v>
      </c>
      <c r="D223" s="4" t="s">
        <v>33</v>
      </c>
      <c r="E223" s="4" t="s">
        <v>25</v>
      </c>
      <c r="F223" s="4" t="s">
        <v>25</v>
      </c>
      <c r="G223" s="4" t="s">
        <v>25</v>
      </c>
      <c r="H223" s="4" t="s">
        <v>25</v>
      </c>
      <c r="I223" s="5">
        <v>44652</v>
      </c>
      <c r="J223" s="6">
        <v>350</v>
      </c>
      <c r="K223" s="6">
        <v>350</v>
      </c>
      <c r="L223" s="6">
        <v>0</v>
      </c>
      <c r="M223" s="6">
        <v>0</v>
      </c>
      <c r="N223" s="6">
        <v>0</v>
      </c>
      <c r="O223" s="6">
        <v>0</v>
      </c>
      <c r="P223" s="6">
        <v>2</v>
      </c>
      <c r="Q223" s="4" t="s">
        <v>26</v>
      </c>
      <c r="R223" s="4">
        <v>0</v>
      </c>
      <c r="S223" s="4" t="s">
        <v>177</v>
      </c>
      <c r="U223" s="4">
        <v>18</v>
      </c>
      <c r="V223" s="4">
        <v>0</v>
      </c>
      <c r="W223" s="4">
        <v>0</v>
      </c>
    </row>
    <row r="224" spans="1:23" ht="11.25" customHeight="1" x14ac:dyDescent="0.3">
      <c r="A224" s="4" t="s">
        <v>21</v>
      </c>
      <c r="B224" s="4" t="s">
        <v>34</v>
      </c>
      <c r="C224" s="4" t="s">
        <v>35</v>
      </c>
      <c r="D224" s="4" t="s">
        <v>33</v>
      </c>
      <c r="E224" s="4" t="s">
        <v>25</v>
      </c>
      <c r="F224" s="4" t="s">
        <v>25</v>
      </c>
      <c r="G224" s="4" t="s">
        <v>25</v>
      </c>
      <c r="H224" s="4" t="s">
        <v>25</v>
      </c>
      <c r="I224" s="5">
        <v>44682</v>
      </c>
      <c r="J224" s="6">
        <v>1382</v>
      </c>
      <c r="K224" s="6">
        <v>1382</v>
      </c>
      <c r="L224" s="6">
        <v>0</v>
      </c>
      <c r="M224" s="6">
        <v>0</v>
      </c>
      <c r="N224" s="6">
        <v>0</v>
      </c>
      <c r="O224" s="6">
        <v>0</v>
      </c>
      <c r="P224" s="6">
        <v>9</v>
      </c>
      <c r="Q224" s="4" t="s">
        <v>26</v>
      </c>
      <c r="R224" s="4">
        <v>0</v>
      </c>
      <c r="S224" s="4" t="s">
        <v>178</v>
      </c>
      <c r="U224" s="4">
        <v>18</v>
      </c>
      <c r="V224" s="4">
        <v>0</v>
      </c>
      <c r="W224" s="4">
        <v>0</v>
      </c>
    </row>
    <row r="225" spans="1:23" ht="11.25" customHeight="1" x14ac:dyDescent="0.3">
      <c r="A225" s="4" t="s">
        <v>27</v>
      </c>
      <c r="B225" s="4" t="s">
        <v>34</v>
      </c>
      <c r="C225" s="4" t="s">
        <v>35</v>
      </c>
      <c r="D225" s="4" t="s">
        <v>33</v>
      </c>
      <c r="E225" s="4" t="s">
        <v>25</v>
      </c>
      <c r="F225" s="4" t="s">
        <v>25</v>
      </c>
      <c r="G225" s="4" t="s">
        <v>25</v>
      </c>
      <c r="H225" s="4" t="s">
        <v>25</v>
      </c>
      <c r="I225" s="5">
        <v>44682</v>
      </c>
      <c r="J225" s="6">
        <v>250</v>
      </c>
      <c r="K225" s="6">
        <v>250</v>
      </c>
      <c r="L225" s="6">
        <v>0</v>
      </c>
      <c r="M225" s="6">
        <v>0</v>
      </c>
      <c r="N225" s="6">
        <v>0</v>
      </c>
      <c r="O225" s="6">
        <v>0</v>
      </c>
      <c r="P225" s="6">
        <v>1</v>
      </c>
      <c r="Q225" s="4" t="s">
        <v>26</v>
      </c>
      <c r="R225" s="4">
        <v>0</v>
      </c>
      <c r="S225" s="4" t="s">
        <v>178</v>
      </c>
      <c r="U225" s="4">
        <v>18</v>
      </c>
      <c r="V225" s="4">
        <v>0</v>
      </c>
      <c r="W225" s="4">
        <v>0</v>
      </c>
    </row>
    <row r="226" spans="1:23" ht="11.25" customHeight="1" x14ac:dyDescent="0.3">
      <c r="A226" s="4" t="s">
        <v>21</v>
      </c>
      <c r="B226" s="4" t="s">
        <v>34</v>
      </c>
      <c r="C226" s="4" t="s">
        <v>35</v>
      </c>
      <c r="D226" s="4" t="s">
        <v>33</v>
      </c>
      <c r="E226" s="4" t="s">
        <v>25</v>
      </c>
      <c r="F226" s="4" t="s">
        <v>25</v>
      </c>
      <c r="G226" s="4" t="s">
        <v>25</v>
      </c>
      <c r="H226" s="4" t="s">
        <v>25</v>
      </c>
      <c r="I226" s="5">
        <v>44713</v>
      </c>
      <c r="J226" s="6">
        <v>1251</v>
      </c>
      <c r="K226" s="6">
        <v>1251</v>
      </c>
      <c r="L226" s="6">
        <v>0</v>
      </c>
      <c r="M226" s="6">
        <v>0</v>
      </c>
      <c r="N226" s="6">
        <v>0</v>
      </c>
      <c r="O226" s="6">
        <v>0</v>
      </c>
      <c r="P226" s="6">
        <v>8</v>
      </c>
      <c r="Q226" s="4" t="s">
        <v>26</v>
      </c>
      <c r="R226" s="4">
        <v>0</v>
      </c>
      <c r="S226" s="4" t="s">
        <v>179</v>
      </c>
      <c r="U226" s="4">
        <v>18</v>
      </c>
      <c r="V226" s="4">
        <v>0</v>
      </c>
      <c r="W226" s="4">
        <v>0</v>
      </c>
    </row>
    <row r="227" spans="1:23" ht="11.25" customHeight="1" x14ac:dyDescent="0.3">
      <c r="A227" s="4" t="s">
        <v>27</v>
      </c>
      <c r="B227" s="4" t="s">
        <v>34</v>
      </c>
      <c r="C227" s="4" t="s">
        <v>35</v>
      </c>
      <c r="D227" s="4" t="s">
        <v>33</v>
      </c>
      <c r="E227" s="4" t="s">
        <v>25</v>
      </c>
      <c r="F227" s="4" t="s">
        <v>25</v>
      </c>
      <c r="G227" s="4" t="s">
        <v>25</v>
      </c>
      <c r="H227" s="4" t="s">
        <v>25</v>
      </c>
      <c r="I227" s="5">
        <v>44713</v>
      </c>
      <c r="J227" s="6">
        <v>370</v>
      </c>
      <c r="K227" s="6">
        <v>370</v>
      </c>
      <c r="L227" s="6">
        <v>0</v>
      </c>
      <c r="M227" s="6">
        <v>0</v>
      </c>
      <c r="N227" s="6">
        <v>0</v>
      </c>
      <c r="O227" s="6">
        <v>0</v>
      </c>
      <c r="P227" s="6">
        <v>2</v>
      </c>
      <c r="Q227" s="4" t="s">
        <v>26</v>
      </c>
      <c r="R227" s="4">
        <v>0</v>
      </c>
      <c r="S227" s="4" t="s">
        <v>179</v>
      </c>
      <c r="U227" s="4">
        <v>18</v>
      </c>
      <c r="V227" s="4">
        <v>0</v>
      </c>
      <c r="W227" s="4">
        <v>0</v>
      </c>
    </row>
    <row r="228" spans="1:23" ht="11.25" customHeight="1" x14ac:dyDescent="0.3">
      <c r="A228" s="4" t="s">
        <v>21</v>
      </c>
      <c r="B228" s="4" t="s">
        <v>34</v>
      </c>
      <c r="C228" s="4" t="s">
        <v>35</v>
      </c>
      <c r="D228" s="4" t="s">
        <v>33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44743</v>
      </c>
      <c r="J228" s="6">
        <v>1251.6600000000001</v>
      </c>
      <c r="K228" s="6">
        <v>1251.6600000000001</v>
      </c>
      <c r="L228" s="6">
        <v>0</v>
      </c>
      <c r="M228" s="6">
        <v>0</v>
      </c>
      <c r="N228" s="6">
        <v>0</v>
      </c>
      <c r="O228" s="6">
        <v>0</v>
      </c>
      <c r="P228" s="6">
        <v>8</v>
      </c>
      <c r="Q228" s="4" t="s">
        <v>26</v>
      </c>
      <c r="R228" s="4">
        <v>0</v>
      </c>
      <c r="S228" s="4" t="s">
        <v>180</v>
      </c>
      <c r="U228" s="4">
        <v>18</v>
      </c>
      <c r="V228" s="4">
        <v>0</v>
      </c>
      <c r="W228" s="4">
        <v>0</v>
      </c>
    </row>
    <row r="229" spans="1:23" ht="11.25" customHeight="1" x14ac:dyDescent="0.3">
      <c r="A229" s="4" t="s">
        <v>27</v>
      </c>
      <c r="B229" s="4" t="s">
        <v>34</v>
      </c>
      <c r="C229" s="4" t="s">
        <v>35</v>
      </c>
      <c r="D229" s="4" t="s">
        <v>33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44743</v>
      </c>
      <c r="J229" s="6">
        <v>370</v>
      </c>
      <c r="K229" s="6">
        <v>370</v>
      </c>
      <c r="L229" s="6">
        <v>0</v>
      </c>
      <c r="M229" s="6">
        <v>0</v>
      </c>
      <c r="N229" s="6">
        <v>0</v>
      </c>
      <c r="O229" s="6">
        <v>0</v>
      </c>
      <c r="P229" s="6">
        <v>2</v>
      </c>
      <c r="Q229" s="4" t="s">
        <v>26</v>
      </c>
      <c r="R229" s="4">
        <v>0</v>
      </c>
      <c r="S229" s="4" t="s">
        <v>180</v>
      </c>
      <c r="U229" s="4">
        <v>18</v>
      </c>
      <c r="V229" s="4">
        <v>0</v>
      </c>
      <c r="W229" s="4">
        <v>0</v>
      </c>
    </row>
    <row r="230" spans="1:23" ht="11.25" customHeight="1" x14ac:dyDescent="0.3">
      <c r="A230" s="4" t="s">
        <v>21</v>
      </c>
      <c r="B230" s="4" t="s">
        <v>34</v>
      </c>
      <c r="C230" s="4" t="s">
        <v>35</v>
      </c>
      <c r="D230" s="4" t="s">
        <v>33</v>
      </c>
      <c r="E230" s="4" t="s">
        <v>25</v>
      </c>
      <c r="F230" s="4" t="s">
        <v>25</v>
      </c>
      <c r="G230" s="4" t="s">
        <v>25</v>
      </c>
      <c r="H230" s="4" t="s">
        <v>36</v>
      </c>
      <c r="I230" s="5">
        <v>44409</v>
      </c>
      <c r="J230" s="6">
        <v>0</v>
      </c>
      <c r="K230" s="6">
        <v>0</v>
      </c>
      <c r="L230" s="6">
        <v>17.806629999999998</v>
      </c>
      <c r="M230" s="6">
        <v>17.806629999999998</v>
      </c>
      <c r="N230" s="6">
        <v>17.806629999999998</v>
      </c>
      <c r="O230" s="6">
        <v>17.806629999999998</v>
      </c>
      <c r="P230" s="6">
        <v>0</v>
      </c>
      <c r="Q230" s="4" t="s">
        <v>26</v>
      </c>
      <c r="R230" s="4">
        <v>0</v>
      </c>
      <c r="S230" s="4" t="s">
        <v>181</v>
      </c>
      <c r="T230" s="4" t="s">
        <v>342</v>
      </c>
      <c r="U230" s="4">
        <v>0</v>
      </c>
      <c r="V230" s="4">
        <v>21</v>
      </c>
      <c r="W230" s="4">
        <v>83</v>
      </c>
    </row>
    <row r="231" spans="1:23" ht="11.25" customHeight="1" x14ac:dyDescent="0.3">
      <c r="A231" s="4" t="s">
        <v>27</v>
      </c>
      <c r="B231" s="4" t="s">
        <v>34</v>
      </c>
      <c r="C231" s="4" t="s">
        <v>35</v>
      </c>
      <c r="D231" s="4" t="s">
        <v>33</v>
      </c>
      <c r="E231" s="4" t="s">
        <v>25</v>
      </c>
      <c r="F231" s="4" t="s">
        <v>25</v>
      </c>
      <c r="G231" s="4" t="s">
        <v>25</v>
      </c>
      <c r="H231" s="4" t="s">
        <v>36</v>
      </c>
      <c r="I231" s="5">
        <v>44409</v>
      </c>
      <c r="J231" s="6">
        <v>0</v>
      </c>
      <c r="K231" s="6">
        <v>0</v>
      </c>
      <c r="L231" s="6">
        <v>0.58309</v>
      </c>
      <c r="M231" s="6">
        <v>0.58309</v>
      </c>
      <c r="N231" s="6">
        <v>0.58309</v>
      </c>
      <c r="O231" s="6">
        <v>0.58309</v>
      </c>
      <c r="P231" s="6">
        <v>0</v>
      </c>
      <c r="Q231" s="4" t="s">
        <v>26</v>
      </c>
      <c r="R231" s="4">
        <v>0</v>
      </c>
      <c r="S231" s="4" t="s">
        <v>181</v>
      </c>
      <c r="T231" s="4" t="s">
        <v>342</v>
      </c>
      <c r="U231" s="4">
        <v>0</v>
      </c>
      <c r="V231" s="4">
        <v>21</v>
      </c>
      <c r="W231" s="4">
        <v>83</v>
      </c>
    </row>
    <row r="232" spans="1:23" ht="11.25" customHeight="1" x14ac:dyDescent="0.3">
      <c r="A232" s="4" t="s">
        <v>21</v>
      </c>
      <c r="B232" s="4" t="s">
        <v>34</v>
      </c>
      <c r="C232" s="4" t="s">
        <v>35</v>
      </c>
      <c r="D232" s="4" t="s">
        <v>33</v>
      </c>
      <c r="E232" s="4" t="s">
        <v>25</v>
      </c>
      <c r="F232" s="4" t="s">
        <v>25</v>
      </c>
      <c r="G232" s="4" t="s">
        <v>25</v>
      </c>
      <c r="H232" s="4" t="s">
        <v>36</v>
      </c>
      <c r="I232" s="5">
        <v>44440</v>
      </c>
      <c r="J232" s="6">
        <v>0</v>
      </c>
      <c r="K232" s="6">
        <v>0</v>
      </c>
      <c r="L232" s="6">
        <v>17.073</v>
      </c>
      <c r="M232" s="6">
        <v>17.073</v>
      </c>
      <c r="N232" s="6">
        <v>17.073</v>
      </c>
      <c r="O232" s="6">
        <v>17.073</v>
      </c>
      <c r="P232" s="6">
        <v>0</v>
      </c>
      <c r="Q232" s="4" t="s">
        <v>26</v>
      </c>
      <c r="R232" s="4">
        <v>0</v>
      </c>
      <c r="S232" s="4" t="s">
        <v>182</v>
      </c>
      <c r="T232" s="4" t="s">
        <v>343</v>
      </c>
      <c r="U232" s="4">
        <v>0</v>
      </c>
      <c r="V232" s="4">
        <v>21</v>
      </c>
      <c r="W232" s="4">
        <v>83</v>
      </c>
    </row>
    <row r="233" spans="1:23" ht="11.25" customHeight="1" x14ac:dyDescent="0.3">
      <c r="A233" s="4" t="s">
        <v>27</v>
      </c>
      <c r="B233" s="4" t="s">
        <v>34</v>
      </c>
      <c r="C233" s="4" t="s">
        <v>35</v>
      </c>
      <c r="D233" s="4" t="s">
        <v>33</v>
      </c>
      <c r="E233" s="4" t="s">
        <v>25</v>
      </c>
      <c r="F233" s="4" t="s">
        <v>25</v>
      </c>
      <c r="G233" s="4" t="s">
        <v>25</v>
      </c>
      <c r="H233" s="4" t="s">
        <v>36</v>
      </c>
      <c r="I233" s="5">
        <v>44440</v>
      </c>
      <c r="J233" s="6">
        <v>0</v>
      </c>
      <c r="K233" s="6">
        <v>0</v>
      </c>
      <c r="L233" s="6">
        <v>0.39</v>
      </c>
      <c r="M233" s="6">
        <v>0.39</v>
      </c>
      <c r="N233" s="6">
        <v>0.39</v>
      </c>
      <c r="O233" s="6">
        <v>0.39</v>
      </c>
      <c r="P233" s="6">
        <v>0</v>
      </c>
      <c r="Q233" s="4" t="s">
        <v>26</v>
      </c>
      <c r="R233" s="4">
        <v>0</v>
      </c>
      <c r="S233" s="4" t="s">
        <v>182</v>
      </c>
      <c r="T233" s="4" t="s">
        <v>343</v>
      </c>
      <c r="U233" s="4">
        <v>0</v>
      </c>
      <c r="V233" s="4">
        <v>21</v>
      </c>
      <c r="W233" s="4">
        <v>83</v>
      </c>
    </row>
    <row r="234" spans="1:23" ht="11.25" customHeight="1" x14ac:dyDescent="0.3">
      <c r="A234" s="4" t="s">
        <v>21</v>
      </c>
      <c r="B234" s="4" t="s">
        <v>34</v>
      </c>
      <c r="C234" s="4" t="s">
        <v>35</v>
      </c>
      <c r="D234" s="4" t="s">
        <v>33</v>
      </c>
      <c r="E234" s="4" t="s">
        <v>25</v>
      </c>
      <c r="F234" s="4" t="s">
        <v>25</v>
      </c>
      <c r="G234" s="4" t="s">
        <v>25</v>
      </c>
      <c r="H234" s="4" t="s">
        <v>36</v>
      </c>
      <c r="I234" s="5">
        <v>44470</v>
      </c>
      <c r="J234" s="6">
        <v>0</v>
      </c>
      <c r="K234" s="6">
        <v>0</v>
      </c>
      <c r="L234" s="6">
        <v>15.673</v>
      </c>
      <c r="M234" s="6">
        <v>15.673</v>
      </c>
      <c r="N234" s="6">
        <v>15.673</v>
      </c>
      <c r="O234" s="6">
        <v>15.673</v>
      </c>
      <c r="P234" s="6">
        <v>0</v>
      </c>
      <c r="Q234" s="4" t="s">
        <v>26</v>
      </c>
      <c r="R234" s="4">
        <v>0</v>
      </c>
      <c r="S234" s="4" t="s">
        <v>183</v>
      </c>
      <c r="T234" s="4" t="s">
        <v>344</v>
      </c>
      <c r="U234" s="4">
        <v>0</v>
      </c>
      <c r="V234" s="4">
        <v>21</v>
      </c>
      <c r="W234" s="4">
        <v>83</v>
      </c>
    </row>
    <row r="235" spans="1:23" ht="11.25" customHeight="1" x14ac:dyDescent="0.3">
      <c r="A235" s="4" t="s">
        <v>27</v>
      </c>
      <c r="B235" s="4" t="s">
        <v>34</v>
      </c>
      <c r="C235" s="4" t="s">
        <v>35</v>
      </c>
      <c r="D235" s="4" t="s">
        <v>33</v>
      </c>
      <c r="E235" s="4" t="s">
        <v>25</v>
      </c>
      <c r="F235" s="4" t="s">
        <v>25</v>
      </c>
      <c r="G235" s="4" t="s">
        <v>25</v>
      </c>
      <c r="H235" s="4" t="s">
        <v>36</v>
      </c>
      <c r="I235" s="5">
        <v>44470</v>
      </c>
      <c r="J235" s="6">
        <v>0</v>
      </c>
      <c r="K235" s="6">
        <v>0</v>
      </c>
      <c r="L235" s="6">
        <v>0.42138999999999999</v>
      </c>
      <c r="M235" s="6">
        <v>0.42138999999999999</v>
      </c>
      <c r="N235" s="6">
        <v>0.42138999999999999</v>
      </c>
      <c r="O235" s="6">
        <v>0.42138999999999999</v>
      </c>
      <c r="P235" s="6">
        <v>0</v>
      </c>
      <c r="Q235" s="4" t="s">
        <v>26</v>
      </c>
      <c r="R235" s="4">
        <v>0</v>
      </c>
      <c r="S235" s="4" t="s">
        <v>183</v>
      </c>
      <c r="T235" s="4" t="s">
        <v>344</v>
      </c>
      <c r="U235" s="4">
        <v>0</v>
      </c>
      <c r="V235" s="4">
        <v>21</v>
      </c>
      <c r="W235" s="4">
        <v>83</v>
      </c>
    </row>
    <row r="236" spans="1:23" ht="11.25" customHeight="1" x14ac:dyDescent="0.3">
      <c r="A236" s="4" t="s">
        <v>21</v>
      </c>
      <c r="B236" s="4" t="s">
        <v>34</v>
      </c>
      <c r="C236" s="4" t="s">
        <v>35</v>
      </c>
      <c r="D236" s="4" t="s">
        <v>33</v>
      </c>
      <c r="E236" s="4" t="s">
        <v>25</v>
      </c>
      <c r="F236" s="4" t="s">
        <v>25</v>
      </c>
      <c r="G236" s="4" t="s">
        <v>25</v>
      </c>
      <c r="H236" s="4" t="s">
        <v>36</v>
      </c>
      <c r="I236" s="5">
        <v>44501</v>
      </c>
      <c r="J236" s="6">
        <v>0</v>
      </c>
      <c r="K236" s="6">
        <v>0</v>
      </c>
      <c r="L236" s="6">
        <v>15.188000000000001</v>
      </c>
      <c r="M236" s="6">
        <v>15.188000000000001</v>
      </c>
      <c r="N236" s="6">
        <v>15.188000000000001</v>
      </c>
      <c r="O236" s="6">
        <v>15.188000000000001</v>
      </c>
      <c r="P236" s="6">
        <v>0</v>
      </c>
      <c r="Q236" s="4" t="s">
        <v>26</v>
      </c>
      <c r="R236" s="4">
        <v>0</v>
      </c>
      <c r="S236" s="4" t="s">
        <v>184</v>
      </c>
      <c r="T236" s="4" t="s">
        <v>345</v>
      </c>
      <c r="U236" s="4">
        <v>0</v>
      </c>
      <c r="V236" s="4">
        <v>21</v>
      </c>
      <c r="W236" s="4">
        <v>83</v>
      </c>
    </row>
    <row r="237" spans="1:23" ht="11.25" customHeight="1" x14ac:dyDescent="0.3">
      <c r="A237" s="4" t="s">
        <v>27</v>
      </c>
      <c r="B237" s="4" t="s">
        <v>34</v>
      </c>
      <c r="C237" s="4" t="s">
        <v>35</v>
      </c>
      <c r="D237" s="4" t="s">
        <v>33</v>
      </c>
      <c r="E237" s="4" t="s">
        <v>25</v>
      </c>
      <c r="F237" s="4" t="s">
        <v>25</v>
      </c>
      <c r="G237" s="4" t="s">
        <v>25</v>
      </c>
      <c r="H237" s="4" t="s">
        <v>36</v>
      </c>
      <c r="I237" s="5">
        <v>44501</v>
      </c>
      <c r="J237" s="6">
        <v>0</v>
      </c>
      <c r="K237" s="6">
        <v>0</v>
      </c>
      <c r="L237" s="6">
        <v>0.43491000000000002</v>
      </c>
      <c r="M237" s="6">
        <v>0.43491000000000002</v>
      </c>
      <c r="N237" s="6">
        <v>0.43491000000000002</v>
      </c>
      <c r="O237" s="6">
        <v>0.43491000000000002</v>
      </c>
      <c r="P237" s="6">
        <v>0</v>
      </c>
      <c r="Q237" s="4" t="s">
        <v>26</v>
      </c>
      <c r="R237" s="4">
        <v>0</v>
      </c>
      <c r="S237" s="4" t="s">
        <v>184</v>
      </c>
      <c r="T237" s="4" t="s">
        <v>345</v>
      </c>
      <c r="U237" s="4">
        <v>0</v>
      </c>
      <c r="V237" s="4">
        <v>21</v>
      </c>
      <c r="W237" s="4">
        <v>83</v>
      </c>
    </row>
    <row r="238" spans="1:23" ht="11.25" customHeight="1" x14ac:dyDescent="0.3">
      <c r="A238" s="4" t="s">
        <v>21</v>
      </c>
      <c r="B238" s="4" t="s">
        <v>34</v>
      </c>
      <c r="C238" s="4" t="s">
        <v>35</v>
      </c>
      <c r="D238" s="4" t="s">
        <v>33</v>
      </c>
      <c r="E238" s="4" t="s">
        <v>25</v>
      </c>
      <c r="F238" s="4" t="s">
        <v>25</v>
      </c>
      <c r="G238" s="4" t="s">
        <v>25</v>
      </c>
      <c r="H238" s="4" t="s">
        <v>36</v>
      </c>
      <c r="I238" s="5">
        <v>44531</v>
      </c>
      <c r="J238" s="6">
        <v>0</v>
      </c>
      <c r="K238" s="6">
        <v>0</v>
      </c>
      <c r="L238" s="6">
        <v>14.321</v>
      </c>
      <c r="M238" s="6">
        <v>14.321</v>
      </c>
      <c r="N238" s="6">
        <v>14.321</v>
      </c>
      <c r="O238" s="6">
        <v>14.321</v>
      </c>
      <c r="P238" s="6">
        <v>0</v>
      </c>
      <c r="Q238" s="4" t="s">
        <v>26</v>
      </c>
      <c r="R238" s="4">
        <v>0</v>
      </c>
      <c r="S238" s="4" t="s">
        <v>185</v>
      </c>
      <c r="T238" s="4" t="s">
        <v>346</v>
      </c>
      <c r="U238" s="4">
        <v>0</v>
      </c>
      <c r="V238" s="4">
        <v>21</v>
      </c>
      <c r="W238" s="4">
        <v>83</v>
      </c>
    </row>
    <row r="239" spans="1:23" ht="11.25" customHeight="1" x14ac:dyDescent="0.3">
      <c r="A239" s="4" t="s">
        <v>27</v>
      </c>
      <c r="B239" s="4" t="s">
        <v>34</v>
      </c>
      <c r="C239" s="4" t="s">
        <v>35</v>
      </c>
      <c r="D239" s="4" t="s">
        <v>33</v>
      </c>
      <c r="E239" s="4" t="s">
        <v>25</v>
      </c>
      <c r="F239" s="4" t="s">
        <v>25</v>
      </c>
      <c r="G239" s="4" t="s">
        <v>25</v>
      </c>
      <c r="H239" s="4" t="s">
        <v>36</v>
      </c>
      <c r="I239" s="5">
        <v>44531</v>
      </c>
      <c r="J239" s="6">
        <v>0</v>
      </c>
      <c r="K239" s="6">
        <v>0</v>
      </c>
      <c r="L239" s="6">
        <v>0.32100000000000001</v>
      </c>
      <c r="M239" s="6">
        <v>0.32100000000000001</v>
      </c>
      <c r="N239" s="6">
        <v>0.32100000000000001</v>
      </c>
      <c r="O239" s="6">
        <v>0.32100000000000001</v>
      </c>
      <c r="P239" s="6">
        <v>0</v>
      </c>
      <c r="Q239" s="4" t="s">
        <v>26</v>
      </c>
      <c r="R239" s="4">
        <v>0</v>
      </c>
      <c r="S239" s="4" t="s">
        <v>185</v>
      </c>
      <c r="T239" s="4" t="s">
        <v>346</v>
      </c>
      <c r="U239" s="4">
        <v>0</v>
      </c>
      <c r="V239" s="4">
        <v>21</v>
      </c>
      <c r="W239" s="4">
        <v>83</v>
      </c>
    </row>
    <row r="240" spans="1:23" ht="11.25" customHeight="1" x14ac:dyDescent="0.3">
      <c r="A240" s="4" t="s">
        <v>21</v>
      </c>
      <c r="B240" s="4" t="s">
        <v>34</v>
      </c>
      <c r="C240" s="4" t="s">
        <v>35</v>
      </c>
      <c r="D240" s="4" t="s">
        <v>33</v>
      </c>
      <c r="E240" s="4" t="s">
        <v>25</v>
      </c>
      <c r="F240" s="4" t="s">
        <v>25</v>
      </c>
      <c r="G240" s="4" t="s">
        <v>25</v>
      </c>
      <c r="H240" s="4" t="s">
        <v>36</v>
      </c>
      <c r="I240" s="5">
        <v>44562</v>
      </c>
      <c r="J240" s="6">
        <v>0</v>
      </c>
      <c r="K240" s="6">
        <v>0</v>
      </c>
      <c r="L240" s="6">
        <v>14.286</v>
      </c>
      <c r="M240" s="6">
        <v>14.286</v>
      </c>
      <c r="N240" s="6">
        <v>14.286</v>
      </c>
      <c r="O240" s="6">
        <v>14.286</v>
      </c>
      <c r="P240" s="6">
        <v>0</v>
      </c>
      <c r="Q240" s="4" t="s">
        <v>26</v>
      </c>
      <c r="R240" s="4">
        <v>0</v>
      </c>
      <c r="S240" s="4" t="s">
        <v>186</v>
      </c>
      <c r="T240" s="4" t="s">
        <v>347</v>
      </c>
      <c r="U240" s="4">
        <v>0</v>
      </c>
      <c r="V240" s="4">
        <v>21</v>
      </c>
      <c r="W240" s="4">
        <v>83</v>
      </c>
    </row>
    <row r="241" spans="1:23" ht="11.25" customHeight="1" x14ac:dyDescent="0.3">
      <c r="A241" s="4" t="s">
        <v>27</v>
      </c>
      <c r="B241" s="4" t="s">
        <v>34</v>
      </c>
      <c r="C241" s="4" t="s">
        <v>35</v>
      </c>
      <c r="D241" s="4" t="s">
        <v>33</v>
      </c>
      <c r="E241" s="4" t="s">
        <v>25</v>
      </c>
      <c r="F241" s="4" t="s">
        <v>25</v>
      </c>
      <c r="G241" s="4" t="s">
        <v>25</v>
      </c>
      <c r="H241" s="4" t="s">
        <v>36</v>
      </c>
      <c r="I241" s="5">
        <v>44562</v>
      </c>
      <c r="J241" s="6">
        <v>0</v>
      </c>
      <c r="K241" s="6">
        <v>0</v>
      </c>
      <c r="L241" s="6">
        <v>0.29899999999999999</v>
      </c>
      <c r="M241" s="6">
        <v>0.29899999999999999</v>
      </c>
      <c r="N241" s="6">
        <v>0.29899999999999999</v>
      </c>
      <c r="O241" s="6">
        <v>0.29899999999999999</v>
      </c>
      <c r="P241" s="6">
        <v>0</v>
      </c>
      <c r="Q241" s="4" t="s">
        <v>26</v>
      </c>
      <c r="R241" s="4">
        <v>0</v>
      </c>
      <c r="S241" s="4" t="s">
        <v>186</v>
      </c>
      <c r="T241" s="4" t="s">
        <v>347</v>
      </c>
      <c r="U241" s="4">
        <v>0</v>
      </c>
      <c r="V241" s="4">
        <v>21</v>
      </c>
      <c r="W241" s="4">
        <v>83</v>
      </c>
    </row>
    <row r="242" spans="1:23" ht="11.25" customHeight="1" x14ac:dyDescent="0.3">
      <c r="A242" s="4" t="s">
        <v>21</v>
      </c>
      <c r="B242" s="4" t="s">
        <v>34</v>
      </c>
      <c r="C242" s="4" t="s">
        <v>35</v>
      </c>
      <c r="D242" s="4" t="s">
        <v>33</v>
      </c>
      <c r="E242" s="4" t="s">
        <v>25</v>
      </c>
      <c r="F242" s="4" t="s">
        <v>25</v>
      </c>
      <c r="G242" s="4" t="s">
        <v>25</v>
      </c>
      <c r="H242" s="4" t="s">
        <v>36</v>
      </c>
      <c r="I242" s="5">
        <v>44593</v>
      </c>
      <c r="J242" s="6">
        <v>0</v>
      </c>
      <c r="K242" s="6">
        <v>0</v>
      </c>
      <c r="L242" s="6">
        <v>14.051</v>
      </c>
      <c r="M242" s="6">
        <v>14.051</v>
      </c>
      <c r="N242" s="6">
        <v>14.051</v>
      </c>
      <c r="O242" s="6">
        <v>14.051</v>
      </c>
      <c r="P242" s="6">
        <v>0</v>
      </c>
      <c r="Q242" s="4" t="s">
        <v>26</v>
      </c>
      <c r="R242" s="4">
        <v>0</v>
      </c>
      <c r="S242" s="4" t="s">
        <v>187</v>
      </c>
      <c r="T242" s="4" t="s">
        <v>348</v>
      </c>
      <c r="U242" s="4">
        <v>0</v>
      </c>
      <c r="V242" s="4">
        <v>21</v>
      </c>
      <c r="W242" s="4">
        <v>83</v>
      </c>
    </row>
    <row r="243" spans="1:23" ht="11.25" customHeight="1" x14ac:dyDescent="0.3">
      <c r="A243" s="4" t="s">
        <v>27</v>
      </c>
      <c r="B243" s="4" t="s">
        <v>34</v>
      </c>
      <c r="C243" s="4" t="s">
        <v>35</v>
      </c>
      <c r="D243" s="4" t="s">
        <v>33</v>
      </c>
      <c r="E243" s="4" t="s">
        <v>25</v>
      </c>
      <c r="F243" s="4" t="s">
        <v>25</v>
      </c>
      <c r="G243" s="4" t="s">
        <v>25</v>
      </c>
      <c r="H243" s="4" t="s">
        <v>36</v>
      </c>
      <c r="I243" s="5">
        <v>44593</v>
      </c>
      <c r="J243" s="6">
        <v>0</v>
      </c>
      <c r="K243" s="6">
        <v>0</v>
      </c>
      <c r="L243" s="6">
        <v>0.39291999999999999</v>
      </c>
      <c r="M243" s="6">
        <v>0.39291999999999999</v>
      </c>
      <c r="N243" s="6">
        <v>0.39291999999999999</v>
      </c>
      <c r="O243" s="6">
        <v>0.39291999999999999</v>
      </c>
      <c r="P243" s="6">
        <v>0</v>
      </c>
      <c r="Q243" s="4" t="s">
        <v>26</v>
      </c>
      <c r="R243" s="4">
        <v>0</v>
      </c>
      <c r="S243" s="4" t="s">
        <v>187</v>
      </c>
      <c r="T243" s="4" t="s">
        <v>348</v>
      </c>
      <c r="U243" s="4">
        <v>0</v>
      </c>
      <c r="V243" s="4">
        <v>21</v>
      </c>
      <c r="W243" s="4">
        <v>83</v>
      </c>
    </row>
    <row r="244" spans="1:23" ht="11.25" customHeight="1" x14ac:dyDescent="0.3">
      <c r="A244" s="4" t="s">
        <v>21</v>
      </c>
      <c r="B244" s="4" t="s">
        <v>34</v>
      </c>
      <c r="C244" s="4" t="s">
        <v>35</v>
      </c>
      <c r="D244" s="4" t="s">
        <v>33</v>
      </c>
      <c r="E244" s="4" t="s">
        <v>25</v>
      </c>
      <c r="F244" s="4" t="s">
        <v>25</v>
      </c>
      <c r="G244" s="4" t="s">
        <v>25</v>
      </c>
      <c r="H244" s="4" t="s">
        <v>36</v>
      </c>
      <c r="I244" s="5">
        <v>44621</v>
      </c>
      <c r="J244" s="6">
        <v>0</v>
      </c>
      <c r="K244" s="6">
        <v>0</v>
      </c>
      <c r="L244" s="6">
        <v>14.566000000000001</v>
      </c>
      <c r="M244" s="6">
        <v>14.566000000000001</v>
      </c>
      <c r="N244" s="6">
        <v>14.566000000000001</v>
      </c>
      <c r="O244" s="6">
        <v>14.566000000000001</v>
      </c>
      <c r="P244" s="6">
        <v>0</v>
      </c>
      <c r="Q244" s="4" t="s">
        <v>26</v>
      </c>
      <c r="R244" s="4">
        <v>0</v>
      </c>
      <c r="S244" s="4" t="s">
        <v>188</v>
      </c>
      <c r="T244" s="4" t="s">
        <v>349</v>
      </c>
      <c r="U244" s="4">
        <v>0</v>
      </c>
      <c r="V244" s="4">
        <v>21</v>
      </c>
      <c r="W244" s="4">
        <v>83</v>
      </c>
    </row>
    <row r="245" spans="1:23" ht="11.25" customHeight="1" x14ac:dyDescent="0.3">
      <c r="A245" s="4" t="s">
        <v>27</v>
      </c>
      <c r="B245" s="4" t="s">
        <v>34</v>
      </c>
      <c r="C245" s="4" t="s">
        <v>35</v>
      </c>
      <c r="D245" s="4" t="s">
        <v>33</v>
      </c>
      <c r="E245" s="4" t="s">
        <v>25</v>
      </c>
      <c r="F245" s="4" t="s">
        <v>25</v>
      </c>
      <c r="G245" s="4" t="s">
        <v>25</v>
      </c>
      <c r="H245" s="4" t="s">
        <v>36</v>
      </c>
      <c r="I245" s="5">
        <v>44621</v>
      </c>
      <c r="J245" s="6">
        <v>0</v>
      </c>
      <c r="K245" s="6">
        <v>0</v>
      </c>
      <c r="L245" s="6">
        <v>0.40798000000000001</v>
      </c>
      <c r="M245" s="6">
        <v>0.40798000000000001</v>
      </c>
      <c r="N245" s="6">
        <v>0.40798000000000001</v>
      </c>
      <c r="O245" s="6">
        <v>0.40798000000000001</v>
      </c>
      <c r="P245" s="6">
        <v>0</v>
      </c>
      <c r="Q245" s="4" t="s">
        <v>26</v>
      </c>
      <c r="R245" s="4">
        <v>0</v>
      </c>
      <c r="S245" s="4" t="s">
        <v>188</v>
      </c>
      <c r="T245" s="4" t="s">
        <v>349</v>
      </c>
      <c r="U245" s="4">
        <v>0</v>
      </c>
      <c r="V245" s="4">
        <v>21</v>
      </c>
      <c r="W245" s="4">
        <v>83</v>
      </c>
    </row>
    <row r="246" spans="1:23" ht="11.25" customHeight="1" x14ac:dyDescent="0.3">
      <c r="A246" s="4" t="s">
        <v>21</v>
      </c>
      <c r="B246" s="4" t="s">
        <v>34</v>
      </c>
      <c r="C246" s="4" t="s">
        <v>35</v>
      </c>
      <c r="D246" s="4" t="s">
        <v>33</v>
      </c>
      <c r="E246" s="4" t="s">
        <v>25</v>
      </c>
      <c r="F246" s="4" t="s">
        <v>25</v>
      </c>
      <c r="G246" s="4" t="s">
        <v>25</v>
      </c>
      <c r="H246" s="4" t="s">
        <v>36</v>
      </c>
      <c r="I246" s="5">
        <v>44652</v>
      </c>
      <c r="J246" s="6">
        <v>0</v>
      </c>
      <c r="K246" s="6">
        <v>0</v>
      </c>
      <c r="L246" s="6">
        <v>11.105</v>
      </c>
      <c r="M246" s="6">
        <v>11.105</v>
      </c>
      <c r="N246" s="6">
        <v>11.105</v>
      </c>
      <c r="O246" s="6">
        <v>11.105</v>
      </c>
      <c r="P246" s="6">
        <v>0</v>
      </c>
      <c r="Q246" s="4" t="s">
        <v>26</v>
      </c>
      <c r="R246" s="4">
        <v>0</v>
      </c>
      <c r="S246" s="4" t="s">
        <v>189</v>
      </c>
      <c r="T246" s="4" t="s">
        <v>350</v>
      </c>
      <c r="U246" s="4">
        <v>0</v>
      </c>
      <c r="V246" s="4">
        <v>21</v>
      </c>
      <c r="W246" s="4">
        <v>83</v>
      </c>
    </row>
    <row r="247" spans="1:23" ht="11.25" customHeight="1" x14ac:dyDescent="0.3">
      <c r="A247" s="4" t="s">
        <v>27</v>
      </c>
      <c r="B247" s="4" t="s">
        <v>34</v>
      </c>
      <c r="C247" s="4" t="s">
        <v>35</v>
      </c>
      <c r="D247" s="4" t="s">
        <v>33</v>
      </c>
      <c r="E247" s="4" t="s">
        <v>25</v>
      </c>
      <c r="F247" s="4" t="s">
        <v>25</v>
      </c>
      <c r="G247" s="4" t="s">
        <v>25</v>
      </c>
      <c r="H247" s="4" t="s">
        <v>36</v>
      </c>
      <c r="I247" s="5">
        <v>44652</v>
      </c>
      <c r="J247" s="6">
        <v>0</v>
      </c>
      <c r="K247" s="6">
        <v>0</v>
      </c>
      <c r="L247" s="6">
        <v>0.38883000000000001</v>
      </c>
      <c r="M247" s="6">
        <v>0.38883000000000001</v>
      </c>
      <c r="N247" s="6">
        <v>0.38883000000000001</v>
      </c>
      <c r="O247" s="6">
        <v>0.38883000000000001</v>
      </c>
      <c r="P247" s="6">
        <v>0</v>
      </c>
      <c r="Q247" s="4" t="s">
        <v>26</v>
      </c>
      <c r="R247" s="4">
        <v>0</v>
      </c>
      <c r="S247" s="4" t="s">
        <v>189</v>
      </c>
      <c r="T247" s="4" t="s">
        <v>350</v>
      </c>
      <c r="U247" s="4">
        <v>0</v>
      </c>
      <c r="V247" s="4">
        <v>21</v>
      </c>
      <c r="W247" s="4">
        <v>83</v>
      </c>
    </row>
    <row r="248" spans="1:23" ht="11.25" customHeight="1" x14ac:dyDescent="0.3">
      <c r="A248" s="4" t="s">
        <v>21</v>
      </c>
      <c r="B248" s="4" t="s">
        <v>34</v>
      </c>
      <c r="C248" s="4" t="s">
        <v>35</v>
      </c>
      <c r="D248" s="4" t="s">
        <v>33</v>
      </c>
      <c r="E248" s="4" t="s">
        <v>25</v>
      </c>
      <c r="F248" s="4" t="s">
        <v>25</v>
      </c>
      <c r="G248" s="4" t="s">
        <v>25</v>
      </c>
      <c r="H248" s="4" t="s">
        <v>36</v>
      </c>
      <c r="I248" s="5">
        <v>44682</v>
      </c>
      <c r="J248" s="6">
        <v>0</v>
      </c>
      <c r="K248" s="6">
        <v>0</v>
      </c>
      <c r="L248" s="6">
        <v>15.603999999999999</v>
      </c>
      <c r="M248" s="6">
        <v>15.603999999999999</v>
      </c>
      <c r="N248" s="6">
        <v>15.603999999999999</v>
      </c>
      <c r="O248" s="6">
        <v>15.603999999999999</v>
      </c>
      <c r="P248" s="6">
        <v>0</v>
      </c>
      <c r="Q248" s="4" t="s">
        <v>26</v>
      </c>
      <c r="R248" s="4">
        <v>0</v>
      </c>
      <c r="S248" s="4" t="s">
        <v>190</v>
      </c>
      <c r="T248" s="4" t="s">
        <v>351</v>
      </c>
      <c r="U248" s="4">
        <v>0</v>
      </c>
      <c r="V248" s="4">
        <v>21</v>
      </c>
      <c r="W248" s="4">
        <v>83</v>
      </c>
    </row>
    <row r="249" spans="1:23" ht="11.25" customHeight="1" x14ac:dyDescent="0.3">
      <c r="A249" s="4" t="s">
        <v>27</v>
      </c>
      <c r="B249" s="4" t="s">
        <v>34</v>
      </c>
      <c r="C249" s="4" t="s">
        <v>35</v>
      </c>
      <c r="D249" s="4" t="s">
        <v>33</v>
      </c>
      <c r="E249" s="4" t="s">
        <v>25</v>
      </c>
      <c r="F249" s="4" t="s">
        <v>25</v>
      </c>
      <c r="G249" s="4" t="s">
        <v>25</v>
      </c>
      <c r="H249" s="4" t="s">
        <v>36</v>
      </c>
      <c r="I249" s="5">
        <v>44682</v>
      </c>
      <c r="J249" s="6">
        <v>0</v>
      </c>
      <c r="K249" s="6">
        <v>0</v>
      </c>
      <c r="L249" s="6">
        <v>0.49231999999999998</v>
      </c>
      <c r="M249" s="6">
        <v>0.49231999999999998</v>
      </c>
      <c r="N249" s="6">
        <v>0.49231999999999998</v>
      </c>
      <c r="O249" s="6">
        <v>0.49231999999999998</v>
      </c>
      <c r="P249" s="6">
        <v>0</v>
      </c>
      <c r="Q249" s="4" t="s">
        <v>26</v>
      </c>
      <c r="R249" s="4">
        <v>0</v>
      </c>
      <c r="S249" s="4" t="s">
        <v>190</v>
      </c>
      <c r="T249" s="4" t="s">
        <v>351</v>
      </c>
      <c r="U249" s="4">
        <v>0</v>
      </c>
      <c r="V249" s="4">
        <v>21</v>
      </c>
      <c r="W249" s="4">
        <v>83</v>
      </c>
    </row>
    <row r="250" spans="1:23" ht="11.25" customHeight="1" x14ac:dyDescent="0.3">
      <c r="A250" s="4" t="s">
        <v>21</v>
      </c>
      <c r="B250" s="4" t="s">
        <v>34</v>
      </c>
      <c r="C250" s="4" t="s">
        <v>35</v>
      </c>
      <c r="D250" s="4" t="s">
        <v>33</v>
      </c>
      <c r="E250" s="4" t="s">
        <v>25</v>
      </c>
      <c r="F250" s="4" t="s">
        <v>25</v>
      </c>
      <c r="G250" s="4" t="s">
        <v>25</v>
      </c>
      <c r="H250" s="4" t="s">
        <v>36</v>
      </c>
      <c r="I250" s="5">
        <v>44713</v>
      </c>
      <c r="J250" s="6">
        <v>0</v>
      </c>
      <c r="K250" s="6">
        <v>0</v>
      </c>
      <c r="L250" s="6">
        <v>14.263</v>
      </c>
      <c r="M250" s="6">
        <v>14.263</v>
      </c>
      <c r="N250" s="6">
        <v>14.263</v>
      </c>
      <c r="O250" s="6">
        <v>14.263</v>
      </c>
      <c r="P250" s="6">
        <v>0</v>
      </c>
      <c r="Q250" s="4" t="s">
        <v>26</v>
      </c>
      <c r="R250" s="4">
        <v>0</v>
      </c>
      <c r="S250" s="4" t="s">
        <v>191</v>
      </c>
      <c r="T250" s="4" t="s">
        <v>352</v>
      </c>
      <c r="U250" s="4">
        <v>0</v>
      </c>
      <c r="V250" s="4">
        <v>21</v>
      </c>
      <c r="W250" s="4">
        <v>83</v>
      </c>
    </row>
    <row r="251" spans="1:23" ht="11.25" customHeight="1" x14ac:dyDescent="0.3">
      <c r="A251" s="4" t="s">
        <v>27</v>
      </c>
      <c r="B251" s="4" t="s">
        <v>34</v>
      </c>
      <c r="C251" s="4" t="s">
        <v>35</v>
      </c>
      <c r="D251" s="4" t="s">
        <v>33</v>
      </c>
      <c r="E251" s="4" t="s">
        <v>25</v>
      </c>
      <c r="F251" s="4" t="s">
        <v>25</v>
      </c>
      <c r="G251" s="4" t="s">
        <v>25</v>
      </c>
      <c r="H251" s="4" t="s">
        <v>36</v>
      </c>
      <c r="I251" s="5">
        <v>44713</v>
      </c>
      <c r="J251" s="6">
        <v>0</v>
      </c>
      <c r="K251" s="6">
        <v>0</v>
      </c>
      <c r="L251" s="6">
        <v>0.80052000000000001</v>
      </c>
      <c r="M251" s="6">
        <v>0.80052000000000001</v>
      </c>
      <c r="N251" s="6">
        <v>0.80052000000000001</v>
      </c>
      <c r="O251" s="6">
        <v>0.80052000000000001</v>
      </c>
      <c r="P251" s="6">
        <v>0</v>
      </c>
      <c r="Q251" s="4" t="s">
        <v>26</v>
      </c>
      <c r="R251" s="4">
        <v>0</v>
      </c>
      <c r="S251" s="4" t="s">
        <v>191</v>
      </c>
      <c r="T251" s="4" t="s">
        <v>352</v>
      </c>
      <c r="U251" s="4">
        <v>0</v>
      </c>
      <c r="V251" s="4">
        <v>21</v>
      </c>
      <c r="W251" s="4">
        <v>83</v>
      </c>
    </row>
    <row r="252" spans="1:23" ht="11.25" customHeight="1" x14ac:dyDescent="0.3">
      <c r="A252" s="4" t="s">
        <v>21</v>
      </c>
      <c r="B252" s="4" t="s">
        <v>34</v>
      </c>
      <c r="C252" s="4" t="s">
        <v>35</v>
      </c>
      <c r="D252" s="4" t="s">
        <v>33</v>
      </c>
      <c r="E252" s="4" t="s">
        <v>25</v>
      </c>
      <c r="F252" s="4" t="s">
        <v>25</v>
      </c>
      <c r="G252" s="4" t="s">
        <v>25</v>
      </c>
      <c r="H252" s="4" t="s">
        <v>36</v>
      </c>
      <c r="I252" s="5">
        <v>44743</v>
      </c>
      <c r="J252" s="6">
        <v>0</v>
      </c>
      <c r="K252" s="6">
        <v>0</v>
      </c>
      <c r="L252" s="6">
        <v>13.87434</v>
      </c>
      <c r="M252" s="6">
        <v>13.87434</v>
      </c>
      <c r="N252" s="6">
        <v>13.87434</v>
      </c>
      <c r="O252" s="6">
        <v>13.87434</v>
      </c>
      <c r="P252" s="6">
        <v>0</v>
      </c>
      <c r="Q252" s="4" t="s">
        <v>26</v>
      </c>
      <c r="R252" s="4">
        <v>0</v>
      </c>
      <c r="S252" s="4" t="s">
        <v>192</v>
      </c>
      <c r="T252" s="4" t="s">
        <v>353</v>
      </c>
      <c r="U252" s="4">
        <v>0</v>
      </c>
      <c r="V252" s="4">
        <v>21</v>
      </c>
      <c r="W252" s="4">
        <v>83</v>
      </c>
    </row>
    <row r="253" spans="1:23" ht="11.25" customHeight="1" x14ac:dyDescent="0.3">
      <c r="A253" s="4" t="s">
        <v>27</v>
      </c>
      <c r="B253" s="4" t="s">
        <v>34</v>
      </c>
      <c r="C253" s="4" t="s">
        <v>35</v>
      </c>
      <c r="D253" s="4" t="s">
        <v>33</v>
      </c>
      <c r="E253" s="4" t="s">
        <v>25</v>
      </c>
      <c r="F253" s="4" t="s">
        <v>25</v>
      </c>
      <c r="G253" s="4" t="s">
        <v>25</v>
      </c>
      <c r="H253" s="4" t="s">
        <v>36</v>
      </c>
      <c r="I253" s="5">
        <v>44743</v>
      </c>
      <c r="J253" s="6">
        <v>0</v>
      </c>
      <c r="K253" s="6">
        <v>0</v>
      </c>
      <c r="L253" s="6">
        <v>1.2235799999999999</v>
      </c>
      <c r="M253" s="6">
        <v>1.2235799999999999</v>
      </c>
      <c r="N253" s="6">
        <v>1.2235799999999999</v>
      </c>
      <c r="O253" s="6">
        <v>1.2235799999999999</v>
      </c>
      <c r="P253" s="6">
        <v>0</v>
      </c>
      <c r="Q253" s="4" t="s">
        <v>26</v>
      </c>
      <c r="R253" s="4">
        <v>0</v>
      </c>
      <c r="S253" s="4" t="s">
        <v>192</v>
      </c>
      <c r="T253" s="4" t="s">
        <v>353</v>
      </c>
      <c r="U253" s="4">
        <v>0</v>
      </c>
      <c r="V253" s="4">
        <v>21</v>
      </c>
      <c r="W253" s="4">
        <v>83</v>
      </c>
    </row>
    <row r="254" spans="1:23" ht="11.25" customHeight="1" x14ac:dyDescent="0.3">
      <c r="A254" s="4" t="s">
        <v>21</v>
      </c>
      <c r="B254" s="4" t="s">
        <v>34</v>
      </c>
      <c r="C254" s="4" t="s">
        <v>35</v>
      </c>
      <c r="D254" s="4" t="s">
        <v>43</v>
      </c>
      <c r="E254" s="4" t="s">
        <v>25</v>
      </c>
      <c r="F254" s="4" t="s">
        <v>25</v>
      </c>
      <c r="G254" s="4" t="s">
        <v>25</v>
      </c>
      <c r="H254" s="4" t="s">
        <v>37</v>
      </c>
      <c r="I254" s="5">
        <v>44409</v>
      </c>
      <c r="J254" s="6">
        <v>0</v>
      </c>
      <c r="K254" s="6">
        <v>0</v>
      </c>
      <c r="L254" s="6">
        <v>9.8829999999999991</v>
      </c>
      <c r="M254" s="6">
        <v>9.8829999999999991</v>
      </c>
      <c r="N254" s="6">
        <v>9.8829999999999991</v>
      </c>
      <c r="O254" s="6">
        <v>9.8829999999999991</v>
      </c>
      <c r="P254" s="6">
        <v>0</v>
      </c>
      <c r="Q254" s="4" t="s">
        <v>26</v>
      </c>
      <c r="R254" s="4">
        <v>0</v>
      </c>
      <c r="S254" s="4" t="s">
        <v>157</v>
      </c>
      <c r="T254" s="4" t="s">
        <v>326</v>
      </c>
      <c r="U254" s="4">
        <v>0</v>
      </c>
      <c r="V254" s="4">
        <v>22</v>
      </c>
      <c r="W254" s="4">
        <v>84</v>
      </c>
    </row>
    <row r="255" spans="1:23" ht="11.25" customHeight="1" x14ac:dyDescent="0.3">
      <c r="A255" s="4" t="s">
        <v>21</v>
      </c>
      <c r="B255" s="4" t="s">
        <v>34</v>
      </c>
      <c r="C255" s="4" t="s">
        <v>35</v>
      </c>
      <c r="D255" s="4" t="s">
        <v>43</v>
      </c>
      <c r="E255" s="4" t="s">
        <v>25</v>
      </c>
      <c r="F255" s="4" t="s">
        <v>25</v>
      </c>
      <c r="G255" s="4" t="s">
        <v>25</v>
      </c>
      <c r="H255" s="4" t="s">
        <v>37</v>
      </c>
      <c r="I255" s="5">
        <v>44440</v>
      </c>
      <c r="J255" s="6">
        <v>0</v>
      </c>
      <c r="K255" s="6">
        <v>0</v>
      </c>
      <c r="L255" s="6">
        <v>11.0678</v>
      </c>
      <c r="M255" s="6">
        <v>11.0678</v>
      </c>
      <c r="N255" s="6">
        <v>11.0678</v>
      </c>
      <c r="O255" s="6">
        <v>11.0678</v>
      </c>
      <c r="P255" s="6">
        <v>0</v>
      </c>
      <c r="Q255" s="4" t="s">
        <v>26</v>
      </c>
      <c r="R255" s="4">
        <v>0</v>
      </c>
      <c r="S255" s="4" t="s">
        <v>158</v>
      </c>
      <c r="T255" s="4" t="s">
        <v>327</v>
      </c>
      <c r="U255" s="4">
        <v>0</v>
      </c>
      <c r="V255" s="4">
        <v>22</v>
      </c>
      <c r="W255" s="4">
        <v>84</v>
      </c>
    </row>
    <row r="256" spans="1:23" ht="11.25" customHeight="1" x14ac:dyDescent="0.3">
      <c r="A256" s="4" t="s">
        <v>21</v>
      </c>
      <c r="B256" s="4" t="s">
        <v>34</v>
      </c>
      <c r="C256" s="4" t="s">
        <v>35</v>
      </c>
      <c r="D256" s="4" t="s">
        <v>43</v>
      </c>
      <c r="E256" s="4" t="s">
        <v>25</v>
      </c>
      <c r="F256" s="4" t="s">
        <v>25</v>
      </c>
      <c r="G256" s="4" t="s">
        <v>25</v>
      </c>
      <c r="H256" s="4" t="s">
        <v>37</v>
      </c>
      <c r="I256" s="5">
        <v>44470</v>
      </c>
      <c r="J256" s="6">
        <v>0</v>
      </c>
      <c r="K256" s="6">
        <v>0</v>
      </c>
      <c r="L256" s="6">
        <v>11.593</v>
      </c>
      <c r="M256" s="6">
        <v>11.593</v>
      </c>
      <c r="N256" s="6">
        <v>11.593</v>
      </c>
      <c r="O256" s="6">
        <v>11.593</v>
      </c>
      <c r="P256" s="6">
        <v>0</v>
      </c>
      <c r="Q256" s="4" t="s">
        <v>26</v>
      </c>
      <c r="R256" s="4">
        <v>0</v>
      </c>
      <c r="S256" s="4" t="s">
        <v>159</v>
      </c>
      <c r="T256" s="4" t="s">
        <v>328</v>
      </c>
      <c r="U256" s="4">
        <v>0</v>
      </c>
      <c r="V256" s="4">
        <v>22</v>
      </c>
      <c r="W256" s="4">
        <v>84</v>
      </c>
    </row>
    <row r="257" spans="1:23" ht="11.25" customHeight="1" x14ac:dyDescent="0.3">
      <c r="A257" s="4" t="s">
        <v>21</v>
      </c>
      <c r="B257" s="4" t="s">
        <v>34</v>
      </c>
      <c r="C257" s="4" t="s">
        <v>35</v>
      </c>
      <c r="D257" s="4" t="s">
        <v>43</v>
      </c>
      <c r="E257" s="4" t="s">
        <v>25</v>
      </c>
      <c r="F257" s="4" t="s">
        <v>25</v>
      </c>
      <c r="G257" s="4" t="s">
        <v>25</v>
      </c>
      <c r="H257" s="4" t="s">
        <v>37</v>
      </c>
      <c r="I257" s="5">
        <v>44501</v>
      </c>
      <c r="J257" s="6">
        <v>0</v>
      </c>
      <c r="K257" s="6">
        <v>0</v>
      </c>
      <c r="L257" s="6">
        <v>13.98794</v>
      </c>
      <c r="M257" s="6">
        <v>13.98794</v>
      </c>
      <c r="N257" s="6">
        <v>13.98794</v>
      </c>
      <c r="O257" s="6">
        <v>13.98794</v>
      </c>
      <c r="P257" s="6">
        <v>0</v>
      </c>
      <c r="Q257" s="4" t="s">
        <v>26</v>
      </c>
      <c r="R257" s="4">
        <v>0</v>
      </c>
      <c r="S257" s="4" t="s">
        <v>160</v>
      </c>
      <c r="T257" s="4" t="s">
        <v>329</v>
      </c>
      <c r="U257" s="4">
        <v>0</v>
      </c>
      <c r="V257" s="4">
        <v>22</v>
      </c>
      <c r="W257" s="4">
        <v>84</v>
      </c>
    </row>
    <row r="258" spans="1:23" ht="11.25" customHeight="1" x14ac:dyDescent="0.3">
      <c r="A258" s="4" t="s">
        <v>21</v>
      </c>
      <c r="B258" s="4" t="s">
        <v>34</v>
      </c>
      <c r="C258" s="4" t="s">
        <v>35</v>
      </c>
      <c r="D258" s="4" t="s">
        <v>43</v>
      </c>
      <c r="E258" s="4" t="s">
        <v>25</v>
      </c>
      <c r="F258" s="4" t="s">
        <v>25</v>
      </c>
      <c r="G258" s="4" t="s">
        <v>25</v>
      </c>
      <c r="H258" s="4" t="s">
        <v>37</v>
      </c>
      <c r="I258" s="5">
        <v>44531</v>
      </c>
      <c r="J258" s="6">
        <v>0</v>
      </c>
      <c r="K258" s="6">
        <v>0</v>
      </c>
      <c r="L258" s="6">
        <v>16.49072</v>
      </c>
      <c r="M258" s="6">
        <v>16.49072</v>
      </c>
      <c r="N258" s="6">
        <v>16.49072</v>
      </c>
      <c r="O258" s="6">
        <v>16.49072</v>
      </c>
      <c r="P258" s="6">
        <v>0</v>
      </c>
      <c r="Q258" s="4" t="s">
        <v>26</v>
      </c>
      <c r="R258" s="4">
        <v>0</v>
      </c>
      <c r="S258" s="4" t="s">
        <v>161</v>
      </c>
      <c r="T258" s="4" t="s">
        <v>330</v>
      </c>
      <c r="U258" s="4">
        <v>0</v>
      </c>
      <c r="V258" s="4">
        <v>22</v>
      </c>
      <c r="W258" s="4">
        <v>84</v>
      </c>
    </row>
    <row r="259" spans="1:23" ht="11.25" customHeight="1" x14ac:dyDescent="0.3">
      <c r="A259" s="4" t="s">
        <v>21</v>
      </c>
      <c r="B259" s="4" t="s">
        <v>34</v>
      </c>
      <c r="C259" s="4" t="s">
        <v>35</v>
      </c>
      <c r="D259" s="4" t="s">
        <v>43</v>
      </c>
      <c r="E259" s="4" t="s">
        <v>25</v>
      </c>
      <c r="F259" s="4" t="s">
        <v>25</v>
      </c>
      <c r="G259" s="4" t="s">
        <v>25</v>
      </c>
      <c r="H259" s="4" t="s">
        <v>37</v>
      </c>
      <c r="I259" s="5">
        <v>44562</v>
      </c>
      <c r="J259" s="6">
        <v>0</v>
      </c>
      <c r="K259" s="6">
        <v>0</v>
      </c>
      <c r="L259" s="6">
        <v>20.244700000000002</v>
      </c>
      <c r="M259" s="6">
        <v>20.244700000000002</v>
      </c>
      <c r="N259" s="6">
        <v>20.244700000000002</v>
      </c>
      <c r="O259" s="6">
        <v>20.244700000000002</v>
      </c>
      <c r="P259" s="6">
        <v>0</v>
      </c>
      <c r="Q259" s="4" t="s">
        <v>26</v>
      </c>
      <c r="R259" s="4">
        <v>0</v>
      </c>
      <c r="S259" s="4" t="s">
        <v>162</v>
      </c>
      <c r="T259" s="4" t="s">
        <v>331</v>
      </c>
      <c r="U259" s="4">
        <v>0</v>
      </c>
      <c r="V259" s="4">
        <v>22</v>
      </c>
      <c r="W259" s="4">
        <v>84</v>
      </c>
    </row>
    <row r="260" spans="1:23" ht="11.25" customHeight="1" x14ac:dyDescent="0.3">
      <c r="A260" s="4" t="s">
        <v>21</v>
      </c>
      <c r="B260" s="4" t="s">
        <v>34</v>
      </c>
      <c r="C260" s="4" t="s">
        <v>35</v>
      </c>
      <c r="D260" s="4" t="s">
        <v>43</v>
      </c>
      <c r="E260" s="4" t="s">
        <v>25</v>
      </c>
      <c r="F260" s="4" t="s">
        <v>25</v>
      </c>
      <c r="G260" s="4" t="s">
        <v>25</v>
      </c>
      <c r="H260" s="4" t="s">
        <v>37</v>
      </c>
      <c r="I260" s="5">
        <v>44593</v>
      </c>
      <c r="J260" s="6">
        <v>0</v>
      </c>
      <c r="K260" s="6">
        <v>0</v>
      </c>
      <c r="L260" s="6">
        <v>17.725000000000001</v>
      </c>
      <c r="M260" s="6">
        <v>17.725000000000001</v>
      </c>
      <c r="N260" s="6">
        <v>17.725000000000001</v>
      </c>
      <c r="O260" s="6">
        <v>17.725000000000001</v>
      </c>
      <c r="P260" s="6">
        <v>0</v>
      </c>
      <c r="Q260" s="4" t="s">
        <v>26</v>
      </c>
      <c r="R260" s="4">
        <v>0</v>
      </c>
      <c r="S260" s="4" t="s">
        <v>163</v>
      </c>
      <c r="T260" s="4" t="s">
        <v>332</v>
      </c>
      <c r="U260" s="4">
        <v>0</v>
      </c>
      <c r="V260" s="4">
        <v>22</v>
      </c>
      <c r="W260" s="4">
        <v>84</v>
      </c>
    </row>
    <row r="261" spans="1:23" ht="11.25" customHeight="1" x14ac:dyDescent="0.3">
      <c r="A261" s="4" t="s">
        <v>21</v>
      </c>
      <c r="B261" s="4" t="s">
        <v>34</v>
      </c>
      <c r="C261" s="4" t="s">
        <v>35</v>
      </c>
      <c r="D261" s="4" t="s">
        <v>43</v>
      </c>
      <c r="E261" s="4" t="s">
        <v>25</v>
      </c>
      <c r="F261" s="4" t="s">
        <v>25</v>
      </c>
      <c r="G261" s="4" t="s">
        <v>25</v>
      </c>
      <c r="H261" s="4" t="s">
        <v>37</v>
      </c>
      <c r="I261" s="5">
        <v>44621</v>
      </c>
      <c r="J261" s="6">
        <v>0</v>
      </c>
      <c r="K261" s="6">
        <v>0</v>
      </c>
      <c r="L261" s="6">
        <v>17.638680000000001</v>
      </c>
      <c r="M261" s="6">
        <v>17.638680000000001</v>
      </c>
      <c r="N261" s="6">
        <v>17.638680000000001</v>
      </c>
      <c r="O261" s="6">
        <v>17.638680000000001</v>
      </c>
      <c r="P261" s="6">
        <v>0</v>
      </c>
      <c r="Q261" s="4" t="s">
        <v>26</v>
      </c>
      <c r="R261" s="4">
        <v>0</v>
      </c>
      <c r="S261" s="4" t="s">
        <v>164</v>
      </c>
      <c r="T261" s="4" t="s">
        <v>333</v>
      </c>
      <c r="U261" s="4">
        <v>0</v>
      </c>
      <c r="V261" s="4">
        <v>22</v>
      </c>
      <c r="W261" s="4">
        <v>84</v>
      </c>
    </row>
    <row r="262" spans="1:23" ht="11.25" customHeight="1" x14ac:dyDescent="0.3">
      <c r="A262" s="4" t="s">
        <v>21</v>
      </c>
      <c r="B262" s="4" t="s">
        <v>34</v>
      </c>
      <c r="C262" s="4" t="s">
        <v>35</v>
      </c>
      <c r="D262" s="4" t="s">
        <v>43</v>
      </c>
      <c r="E262" s="4" t="s">
        <v>25</v>
      </c>
      <c r="F262" s="4" t="s">
        <v>25</v>
      </c>
      <c r="G262" s="4" t="s">
        <v>25</v>
      </c>
      <c r="H262" s="4" t="s">
        <v>37</v>
      </c>
      <c r="I262" s="5">
        <v>44652</v>
      </c>
      <c r="J262" s="6">
        <v>0</v>
      </c>
      <c r="K262" s="6">
        <v>0</v>
      </c>
      <c r="L262" s="6">
        <v>12.5853</v>
      </c>
      <c r="M262" s="6">
        <v>12.5853</v>
      </c>
      <c r="N262" s="6">
        <v>12.5853</v>
      </c>
      <c r="O262" s="6">
        <v>12.5853</v>
      </c>
      <c r="P262" s="6">
        <v>0</v>
      </c>
      <c r="Q262" s="4" t="s">
        <v>26</v>
      </c>
      <c r="R262" s="4">
        <v>0</v>
      </c>
      <c r="S262" s="4" t="s">
        <v>165</v>
      </c>
      <c r="T262" s="4" t="s">
        <v>334</v>
      </c>
      <c r="U262" s="4">
        <v>0</v>
      </c>
      <c r="V262" s="4">
        <v>22</v>
      </c>
      <c r="W262" s="4">
        <v>84</v>
      </c>
    </row>
    <row r="263" spans="1:23" ht="11.25" customHeight="1" x14ac:dyDescent="0.3">
      <c r="A263" s="4" t="s">
        <v>21</v>
      </c>
      <c r="B263" s="4" t="s">
        <v>34</v>
      </c>
      <c r="C263" s="4" t="s">
        <v>35</v>
      </c>
      <c r="D263" s="4" t="s">
        <v>43</v>
      </c>
      <c r="E263" s="4" t="s">
        <v>25</v>
      </c>
      <c r="F263" s="4" t="s">
        <v>25</v>
      </c>
      <c r="G263" s="4" t="s">
        <v>25</v>
      </c>
      <c r="H263" s="4" t="s">
        <v>37</v>
      </c>
      <c r="I263" s="5">
        <v>44682</v>
      </c>
      <c r="J263" s="6">
        <v>0</v>
      </c>
      <c r="K263" s="6">
        <v>0</v>
      </c>
      <c r="L263" s="6">
        <v>9.7867800000000003</v>
      </c>
      <c r="M263" s="6">
        <v>9.7867800000000003</v>
      </c>
      <c r="N263" s="6">
        <v>9.7867800000000003</v>
      </c>
      <c r="O263" s="6">
        <v>9.7867800000000003</v>
      </c>
      <c r="P263" s="6">
        <v>0</v>
      </c>
      <c r="Q263" s="4" t="s">
        <v>26</v>
      </c>
      <c r="R263" s="4">
        <v>0</v>
      </c>
      <c r="S263" s="4" t="s">
        <v>166</v>
      </c>
      <c r="T263" s="4" t="s">
        <v>335</v>
      </c>
      <c r="U263" s="4">
        <v>0</v>
      </c>
      <c r="V263" s="4">
        <v>22</v>
      </c>
      <c r="W263" s="4">
        <v>84</v>
      </c>
    </row>
    <row r="264" spans="1:23" ht="11.25" customHeight="1" x14ac:dyDescent="0.3">
      <c r="A264" s="4" t="s">
        <v>21</v>
      </c>
      <c r="B264" s="4" t="s">
        <v>34</v>
      </c>
      <c r="C264" s="4" t="s">
        <v>35</v>
      </c>
      <c r="D264" s="4" t="s">
        <v>43</v>
      </c>
      <c r="E264" s="4" t="s">
        <v>25</v>
      </c>
      <c r="F264" s="4" t="s">
        <v>25</v>
      </c>
      <c r="G264" s="4" t="s">
        <v>25</v>
      </c>
      <c r="H264" s="4" t="s">
        <v>37</v>
      </c>
      <c r="I264" s="5">
        <v>44713</v>
      </c>
      <c r="J264" s="6">
        <v>0</v>
      </c>
      <c r="K264" s="6">
        <v>0</v>
      </c>
      <c r="L264" s="6">
        <v>8.5603899999999999</v>
      </c>
      <c r="M264" s="6">
        <v>8.5603899999999999</v>
      </c>
      <c r="N264" s="6">
        <v>8.5603899999999999</v>
      </c>
      <c r="O264" s="6">
        <v>8.5603899999999999</v>
      </c>
      <c r="P264" s="6">
        <v>0</v>
      </c>
      <c r="Q264" s="4" t="s">
        <v>26</v>
      </c>
      <c r="R264" s="4">
        <v>0</v>
      </c>
      <c r="S264" s="4" t="s">
        <v>167</v>
      </c>
      <c r="T264" s="4" t="s">
        <v>336</v>
      </c>
      <c r="U264" s="4">
        <v>0</v>
      </c>
      <c r="V264" s="4">
        <v>22</v>
      </c>
      <c r="W264" s="4">
        <v>84</v>
      </c>
    </row>
    <row r="265" spans="1:23" ht="11.25" customHeight="1" x14ac:dyDescent="0.3">
      <c r="A265" s="4" t="s">
        <v>21</v>
      </c>
      <c r="B265" s="4" t="s">
        <v>34</v>
      </c>
      <c r="C265" s="4" t="s">
        <v>35</v>
      </c>
      <c r="D265" s="4" t="s">
        <v>43</v>
      </c>
      <c r="E265" s="4" t="s">
        <v>25</v>
      </c>
      <c r="F265" s="4" t="s">
        <v>25</v>
      </c>
      <c r="G265" s="4" t="s">
        <v>25</v>
      </c>
      <c r="H265" s="4" t="s">
        <v>37</v>
      </c>
      <c r="I265" s="5">
        <v>44743</v>
      </c>
      <c r="J265" s="6">
        <v>0</v>
      </c>
      <c r="K265" s="6">
        <v>0</v>
      </c>
      <c r="L265" s="6">
        <v>10.27472</v>
      </c>
      <c r="M265" s="6">
        <v>10.27472</v>
      </c>
      <c r="N265" s="6">
        <v>10.27472</v>
      </c>
      <c r="O265" s="6">
        <v>10.27472</v>
      </c>
      <c r="P265" s="6">
        <v>0</v>
      </c>
      <c r="Q265" s="4" t="s">
        <v>26</v>
      </c>
      <c r="R265" s="4">
        <v>0</v>
      </c>
      <c r="S265" s="4" t="s">
        <v>168</v>
      </c>
      <c r="T265" s="4" t="s">
        <v>337</v>
      </c>
      <c r="U265" s="4">
        <v>0</v>
      </c>
      <c r="V265" s="4">
        <v>22</v>
      </c>
      <c r="W265" s="4">
        <v>84</v>
      </c>
    </row>
    <row r="266" spans="1:23" ht="11.25" customHeight="1" x14ac:dyDescent="0.3">
      <c r="A266" s="4" t="s">
        <v>21</v>
      </c>
      <c r="B266" s="4" t="s">
        <v>34</v>
      </c>
      <c r="C266" s="4" t="s">
        <v>35</v>
      </c>
      <c r="D266" s="4" t="s">
        <v>43</v>
      </c>
      <c r="E266" s="4" t="s">
        <v>25</v>
      </c>
      <c r="F266" s="4" t="s">
        <v>25</v>
      </c>
      <c r="G266" s="4" t="s">
        <v>25</v>
      </c>
      <c r="H266" s="4" t="s">
        <v>25</v>
      </c>
      <c r="I266" s="5">
        <v>44409</v>
      </c>
      <c r="J266" s="6">
        <v>115</v>
      </c>
      <c r="K266" s="6">
        <v>115</v>
      </c>
      <c r="L266" s="6">
        <v>0</v>
      </c>
      <c r="M266" s="6">
        <v>0</v>
      </c>
      <c r="N266" s="6">
        <v>0</v>
      </c>
      <c r="O266" s="6">
        <v>0</v>
      </c>
      <c r="P266" s="6">
        <v>2</v>
      </c>
      <c r="Q266" s="4" t="s">
        <v>26</v>
      </c>
      <c r="R266" s="4">
        <v>0</v>
      </c>
      <c r="S266" s="4" t="s">
        <v>169</v>
      </c>
      <c r="U266" s="4">
        <v>18</v>
      </c>
      <c r="V266" s="4">
        <v>0</v>
      </c>
      <c r="W266" s="4">
        <v>0</v>
      </c>
    </row>
    <row r="267" spans="1:23" ht="11.25" customHeight="1" x14ac:dyDescent="0.3">
      <c r="A267" s="4" t="s">
        <v>21</v>
      </c>
      <c r="B267" s="4" t="s">
        <v>34</v>
      </c>
      <c r="C267" s="4" t="s">
        <v>35</v>
      </c>
      <c r="D267" s="4" t="s">
        <v>43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44440</v>
      </c>
      <c r="J267" s="6">
        <v>115</v>
      </c>
      <c r="K267" s="6">
        <v>115</v>
      </c>
      <c r="L267" s="6">
        <v>0</v>
      </c>
      <c r="M267" s="6">
        <v>0</v>
      </c>
      <c r="N267" s="6">
        <v>0</v>
      </c>
      <c r="O267" s="6">
        <v>0</v>
      </c>
      <c r="P267" s="6">
        <v>2</v>
      </c>
      <c r="Q267" s="4" t="s">
        <v>26</v>
      </c>
      <c r="R267" s="4">
        <v>0</v>
      </c>
      <c r="S267" s="4" t="s">
        <v>170</v>
      </c>
      <c r="U267" s="4">
        <v>18</v>
      </c>
      <c r="V267" s="4">
        <v>0</v>
      </c>
      <c r="W267" s="4">
        <v>0</v>
      </c>
    </row>
    <row r="268" spans="1:23" ht="11.25" customHeight="1" x14ac:dyDescent="0.3">
      <c r="A268" s="4" t="s">
        <v>21</v>
      </c>
      <c r="B268" s="4" t="s">
        <v>34</v>
      </c>
      <c r="C268" s="4" t="s">
        <v>35</v>
      </c>
      <c r="D268" s="4" t="s">
        <v>43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44470</v>
      </c>
      <c r="J268" s="6">
        <v>115</v>
      </c>
      <c r="K268" s="6">
        <v>115</v>
      </c>
      <c r="L268" s="6">
        <v>0</v>
      </c>
      <c r="M268" s="6">
        <v>0</v>
      </c>
      <c r="N268" s="6">
        <v>0</v>
      </c>
      <c r="O268" s="6">
        <v>0</v>
      </c>
      <c r="P268" s="6">
        <v>2</v>
      </c>
      <c r="Q268" s="4" t="s">
        <v>26</v>
      </c>
      <c r="R268" s="4">
        <v>0</v>
      </c>
      <c r="S268" s="4" t="s">
        <v>171</v>
      </c>
      <c r="U268" s="4">
        <v>18</v>
      </c>
      <c r="V268" s="4">
        <v>0</v>
      </c>
      <c r="W268" s="4">
        <v>0</v>
      </c>
    </row>
    <row r="269" spans="1:23" ht="11.25" customHeight="1" x14ac:dyDescent="0.3">
      <c r="A269" s="4" t="s">
        <v>21</v>
      </c>
      <c r="B269" s="4" t="s">
        <v>34</v>
      </c>
      <c r="C269" s="4" t="s">
        <v>35</v>
      </c>
      <c r="D269" s="4" t="s">
        <v>43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44501</v>
      </c>
      <c r="J269" s="6">
        <v>115.01</v>
      </c>
      <c r="K269" s="6">
        <v>115.01</v>
      </c>
      <c r="L269" s="6">
        <v>0</v>
      </c>
      <c r="M269" s="6">
        <v>0</v>
      </c>
      <c r="N269" s="6">
        <v>0</v>
      </c>
      <c r="O269" s="6">
        <v>0</v>
      </c>
      <c r="P269" s="6">
        <v>2</v>
      </c>
      <c r="Q269" s="4" t="s">
        <v>26</v>
      </c>
      <c r="R269" s="4">
        <v>0</v>
      </c>
      <c r="S269" s="4" t="s">
        <v>172</v>
      </c>
      <c r="U269" s="4">
        <v>18</v>
      </c>
      <c r="V269" s="4">
        <v>0</v>
      </c>
      <c r="W269" s="4">
        <v>0</v>
      </c>
    </row>
    <row r="270" spans="1:23" ht="11.25" customHeight="1" x14ac:dyDescent="0.3">
      <c r="A270" s="4" t="s">
        <v>21</v>
      </c>
      <c r="B270" s="4" t="s">
        <v>34</v>
      </c>
      <c r="C270" s="4" t="s">
        <v>35</v>
      </c>
      <c r="D270" s="4" t="s">
        <v>43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44531</v>
      </c>
      <c r="J270" s="6">
        <v>115</v>
      </c>
      <c r="K270" s="6">
        <v>115</v>
      </c>
      <c r="L270" s="6">
        <v>0</v>
      </c>
      <c r="M270" s="6">
        <v>0</v>
      </c>
      <c r="N270" s="6">
        <v>0</v>
      </c>
      <c r="O270" s="6">
        <v>0</v>
      </c>
      <c r="P270" s="6">
        <v>2</v>
      </c>
      <c r="Q270" s="4" t="s">
        <v>26</v>
      </c>
      <c r="R270" s="4">
        <v>0</v>
      </c>
      <c r="S270" s="4" t="s">
        <v>173</v>
      </c>
      <c r="U270" s="4">
        <v>18</v>
      </c>
      <c r="V270" s="4">
        <v>0</v>
      </c>
      <c r="W270" s="4">
        <v>0</v>
      </c>
    </row>
    <row r="271" spans="1:23" ht="11.25" customHeight="1" x14ac:dyDescent="0.3">
      <c r="A271" s="4" t="s">
        <v>21</v>
      </c>
      <c r="B271" s="4" t="s">
        <v>34</v>
      </c>
      <c r="C271" s="4" t="s">
        <v>35</v>
      </c>
      <c r="D271" s="4" t="s">
        <v>43</v>
      </c>
      <c r="E271" s="4" t="s">
        <v>25</v>
      </c>
      <c r="F271" s="4" t="s">
        <v>25</v>
      </c>
      <c r="G271" s="4" t="s">
        <v>25</v>
      </c>
      <c r="H271" s="4" t="s">
        <v>25</v>
      </c>
      <c r="I271" s="5">
        <v>44562</v>
      </c>
      <c r="J271" s="6">
        <v>115</v>
      </c>
      <c r="K271" s="6">
        <v>115</v>
      </c>
      <c r="L271" s="6">
        <v>0</v>
      </c>
      <c r="M271" s="6">
        <v>0</v>
      </c>
      <c r="N271" s="6">
        <v>0</v>
      </c>
      <c r="O271" s="6">
        <v>0</v>
      </c>
      <c r="P271" s="6">
        <v>2</v>
      </c>
      <c r="Q271" s="4" t="s">
        <v>26</v>
      </c>
      <c r="R271" s="4">
        <v>0</v>
      </c>
      <c r="S271" s="4" t="s">
        <v>174</v>
      </c>
      <c r="U271" s="4">
        <v>18</v>
      </c>
      <c r="V271" s="4">
        <v>0</v>
      </c>
      <c r="W271" s="4">
        <v>0</v>
      </c>
    </row>
    <row r="272" spans="1:23" ht="11.25" customHeight="1" x14ac:dyDescent="0.3">
      <c r="A272" s="4" t="s">
        <v>21</v>
      </c>
      <c r="B272" s="4" t="s">
        <v>34</v>
      </c>
      <c r="C272" s="4" t="s">
        <v>35</v>
      </c>
      <c r="D272" s="4" t="s">
        <v>43</v>
      </c>
      <c r="E272" s="4" t="s">
        <v>25</v>
      </c>
      <c r="F272" s="4" t="s">
        <v>25</v>
      </c>
      <c r="G272" s="4" t="s">
        <v>25</v>
      </c>
      <c r="H272" s="4" t="s">
        <v>25</v>
      </c>
      <c r="I272" s="5">
        <v>44593</v>
      </c>
      <c r="J272" s="6">
        <v>115</v>
      </c>
      <c r="K272" s="6">
        <v>115</v>
      </c>
      <c r="L272" s="6">
        <v>0</v>
      </c>
      <c r="M272" s="6">
        <v>0</v>
      </c>
      <c r="N272" s="6">
        <v>0</v>
      </c>
      <c r="O272" s="6">
        <v>0</v>
      </c>
      <c r="P272" s="6">
        <v>2</v>
      </c>
      <c r="Q272" s="4" t="s">
        <v>26</v>
      </c>
      <c r="R272" s="4">
        <v>0</v>
      </c>
      <c r="S272" s="4" t="s">
        <v>175</v>
      </c>
      <c r="U272" s="4">
        <v>18</v>
      </c>
      <c r="V272" s="4">
        <v>0</v>
      </c>
      <c r="W272" s="4">
        <v>0</v>
      </c>
    </row>
    <row r="273" spans="1:23" ht="11.25" customHeight="1" x14ac:dyDescent="0.3">
      <c r="A273" s="4" t="s">
        <v>21</v>
      </c>
      <c r="B273" s="4" t="s">
        <v>34</v>
      </c>
      <c r="C273" s="4" t="s">
        <v>35</v>
      </c>
      <c r="D273" s="4" t="s">
        <v>43</v>
      </c>
      <c r="E273" s="4" t="s">
        <v>25</v>
      </c>
      <c r="F273" s="4" t="s">
        <v>25</v>
      </c>
      <c r="G273" s="4" t="s">
        <v>25</v>
      </c>
      <c r="H273" s="4" t="s">
        <v>25</v>
      </c>
      <c r="I273" s="5">
        <v>44621</v>
      </c>
      <c r="J273" s="6">
        <v>115</v>
      </c>
      <c r="K273" s="6">
        <v>115</v>
      </c>
      <c r="L273" s="6">
        <v>0</v>
      </c>
      <c r="M273" s="6">
        <v>0</v>
      </c>
      <c r="N273" s="6">
        <v>0</v>
      </c>
      <c r="O273" s="6">
        <v>0</v>
      </c>
      <c r="P273" s="6">
        <v>2</v>
      </c>
      <c r="Q273" s="4" t="s">
        <v>26</v>
      </c>
      <c r="R273" s="4">
        <v>0</v>
      </c>
      <c r="S273" s="4" t="s">
        <v>176</v>
      </c>
      <c r="U273" s="4">
        <v>18</v>
      </c>
      <c r="V273" s="4">
        <v>0</v>
      </c>
      <c r="W273" s="4">
        <v>0</v>
      </c>
    </row>
    <row r="274" spans="1:23" ht="11.25" customHeight="1" x14ac:dyDescent="0.3">
      <c r="A274" s="4" t="s">
        <v>21</v>
      </c>
      <c r="B274" s="4" t="s">
        <v>34</v>
      </c>
      <c r="C274" s="4" t="s">
        <v>35</v>
      </c>
      <c r="D274" s="4" t="s">
        <v>43</v>
      </c>
      <c r="E274" s="4" t="s">
        <v>25</v>
      </c>
      <c r="F274" s="4" t="s">
        <v>25</v>
      </c>
      <c r="G274" s="4" t="s">
        <v>25</v>
      </c>
      <c r="H274" s="4" t="s">
        <v>25</v>
      </c>
      <c r="I274" s="5">
        <v>44652</v>
      </c>
      <c r="J274" s="6">
        <v>115</v>
      </c>
      <c r="K274" s="6">
        <v>115</v>
      </c>
      <c r="L274" s="6">
        <v>0</v>
      </c>
      <c r="M274" s="6">
        <v>0</v>
      </c>
      <c r="N274" s="6">
        <v>0</v>
      </c>
      <c r="O274" s="6">
        <v>0</v>
      </c>
      <c r="P274" s="6">
        <v>2</v>
      </c>
      <c r="Q274" s="4" t="s">
        <v>26</v>
      </c>
      <c r="R274" s="4">
        <v>0</v>
      </c>
      <c r="S274" s="4" t="s">
        <v>177</v>
      </c>
      <c r="U274" s="4">
        <v>18</v>
      </c>
      <c r="V274" s="4">
        <v>0</v>
      </c>
      <c r="W274" s="4">
        <v>0</v>
      </c>
    </row>
    <row r="275" spans="1:23" ht="11.25" customHeight="1" x14ac:dyDescent="0.3">
      <c r="A275" s="4" t="s">
        <v>21</v>
      </c>
      <c r="B275" s="4" t="s">
        <v>34</v>
      </c>
      <c r="C275" s="4" t="s">
        <v>35</v>
      </c>
      <c r="D275" s="4" t="s">
        <v>43</v>
      </c>
      <c r="E275" s="4" t="s">
        <v>25</v>
      </c>
      <c r="F275" s="4" t="s">
        <v>25</v>
      </c>
      <c r="G275" s="4" t="s">
        <v>25</v>
      </c>
      <c r="H275" s="4" t="s">
        <v>25</v>
      </c>
      <c r="I275" s="5">
        <v>44682</v>
      </c>
      <c r="J275" s="6">
        <v>115</v>
      </c>
      <c r="K275" s="6">
        <v>115</v>
      </c>
      <c r="L275" s="6">
        <v>0</v>
      </c>
      <c r="M275" s="6">
        <v>0</v>
      </c>
      <c r="N275" s="6">
        <v>0</v>
      </c>
      <c r="O275" s="6">
        <v>0</v>
      </c>
      <c r="P275" s="6">
        <v>2</v>
      </c>
      <c r="Q275" s="4" t="s">
        <v>26</v>
      </c>
      <c r="R275" s="4">
        <v>0</v>
      </c>
      <c r="S275" s="4" t="s">
        <v>178</v>
      </c>
      <c r="U275" s="4">
        <v>18</v>
      </c>
      <c r="V275" s="4">
        <v>0</v>
      </c>
      <c r="W275" s="4">
        <v>0</v>
      </c>
    </row>
    <row r="276" spans="1:23" ht="11.25" customHeight="1" x14ac:dyDescent="0.3">
      <c r="A276" s="4" t="s">
        <v>21</v>
      </c>
      <c r="B276" s="4" t="s">
        <v>34</v>
      </c>
      <c r="C276" s="4" t="s">
        <v>35</v>
      </c>
      <c r="D276" s="4" t="s">
        <v>43</v>
      </c>
      <c r="E276" s="4" t="s">
        <v>25</v>
      </c>
      <c r="F276" s="4" t="s">
        <v>25</v>
      </c>
      <c r="G276" s="4" t="s">
        <v>25</v>
      </c>
      <c r="H276" s="4" t="s">
        <v>25</v>
      </c>
      <c r="I276" s="5">
        <v>44713</v>
      </c>
      <c r="J276" s="6">
        <v>115</v>
      </c>
      <c r="K276" s="6">
        <v>115</v>
      </c>
      <c r="L276" s="6">
        <v>0</v>
      </c>
      <c r="M276" s="6">
        <v>0</v>
      </c>
      <c r="N276" s="6">
        <v>0</v>
      </c>
      <c r="O276" s="6">
        <v>0</v>
      </c>
      <c r="P276" s="6">
        <v>2</v>
      </c>
      <c r="Q276" s="4" t="s">
        <v>26</v>
      </c>
      <c r="R276" s="4">
        <v>0</v>
      </c>
      <c r="S276" s="4" t="s">
        <v>179</v>
      </c>
      <c r="U276" s="4">
        <v>18</v>
      </c>
      <c r="V276" s="4">
        <v>0</v>
      </c>
      <c r="W276" s="4">
        <v>0</v>
      </c>
    </row>
    <row r="277" spans="1:23" ht="11.25" customHeight="1" x14ac:dyDescent="0.3">
      <c r="A277" s="4" t="s">
        <v>21</v>
      </c>
      <c r="B277" s="4" t="s">
        <v>34</v>
      </c>
      <c r="C277" s="4" t="s">
        <v>35</v>
      </c>
      <c r="D277" s="4" t="s">
        <v>43</v>
      </c>
      <c r="E277" s="4" t="s">
        <v>25</v>
      </c>
      <c r="F277" s="4" t="s">
        <v>25</v>
      </c>
      <c r="G277" s="4" t="s">
        <v>25</v>
      </c>
      <c r="H277" s="4" t="s">
        <v>25</v>
      </c>
      <c r="I277" s="5">
        <v>44743</v>
      </c>
      <c r="J277" s="6">
        <v>115</v>
      </c>
      <c r="K277" s="6">
        <v>115</v>
      </c>
      <c r="L277" s="6">
        <v>0</v>
      </c>
      <c r="M277" s="6">
        <v>0</v>
      </c>
      <c r="N277" s="6">
        <v>0</v>
      </c>
      <c r="O277" s="6">
        <v>0</v>
      </c>
      <c r="P277" s="6">
        <v>2</v>
      </c>
      <c r="Q277" s="4" t="s">
        <v>26</v>
      </c>
      <c r="R277" s="4">
        <v>0</v>
      </c>
      <c r="S277" s="4" t="s">
        <v>180</v>
      </c>
      <c r="U277" s="4">
        <v>18</v>
      </c>
      <c r="V277" s="4">
        <v>0</v>
      </c>
      <c r="W277" s="4">
        <v>0</v>
      </c>
    </row>
    <row r="278" spans="1:23" ht="11.25" customHeight="1" x14ac:dyDescent="0.3">
      <c r="A278" s="4" t="s">
        <v>21</v>
      </c>
      <c r="B278" s="4" t="s">
        <v>34</v>
      </c>
      <c r="C278" s="4" t="s">
        <v>35</v>
      </c>
      <c r="D278" s="4" t="s">
        <v>43</v>
      </c>
      <c r="E278" s="4" t="s">
        <v>25</v>
      </c>
      <c r="F278" s="4" t="s">
        <v>25</v>
      </c>
      <c r="G278" s="4" t="s">
        <v>25</v>
      </c>
      <c r="H278" s="4" t="s">
        <v>36</v>
      </c>
      <c r="I278" s="5">
        <v>44409</v>
      </c>
      <c r="J278" s="6">
        <v>0</v>
      </c>
      <c r="K278" s="6">
        <v>0</v>
      </c>
      <c r="L278" s="6">
        <v>0.81699999999999995</v>
      </c>
      <c r="M278" s="6">
        <v>0.81699999999999995</v>
      </c>
      <c r="N278" s="6">
        <v>0.81699999999999995</v>
      </c>
      <c r="O278" s="6">
        <v>0.81699999999999995</v>
      </c>
      <c r="P278" s="6">
        <v>0</v>
      </c>
      <c r="Q278" s="4" t="s">
        <v>26</v>
      </c>
      <c r="R278" s="4">
        <v>0</v>
      </c>
      <c r="S278" s="4" t="s">
        <v>181</v>
      </c>
      <c r="T278" s="4" t="s">
        <v>342</v>
      </c>
      <c r="U278" s="4">
        <v>0</v>
      </c>
      <c r="V278" s="4">
        <v>21</v>
      </c>
      <c r="W278" s="4">
        <v>83</v>
      </c>
    </row>
    <row r="279" spans="1:23" ht="11.25" customHeight="1" x14ac:dyDescent="0.3">
      <c r="A279" s="4" t="s">
        <v>21</v>
      </c>
      <c r="B279" s="4" t="s">
        <v>34</v>
      </c>
      <c r="C279" s="4" t="s">
        <v>35</v>
      </c>
      <c r="D279" s="4" t="s">
        <v>43</v>
      </c>
      <c r="E279" s="4" t="s">
        <v>25</v>
      </c>
      <c r="F279" s="4" t="s">
        <v>25</v>
      </c>
      <c r="G279" s="4" t="s">
        <v>25</v>
      </c>
      <c r="H279" s="4" t="s">
        <v>36</v>
      </c>
      <c r="I279" s="5">
        <v>44440</v>
      </c>
      <c r="J279" s="6">
        <v>0</v>
      </c>
      <c r="K279" s="6">
        <v>0</v>
      </c>
      <c r="L279" s="6">
        <v>0.82306000000000001</v>
      </c>
      <c r="M279" s="6">
        <v>0.82306000000000001</v>
      </c>
      <c r="N279" s="6">
        <v>0.82306000000000001</v>
      </c>
      <c r="O279" s="6">
        <v>0.82306000000000001</v>
      </c>
      <c r="P279" s="6">
        <v>0</v>
      </c>
      <c r="Q279" s="4" t="s">
        <v>26</v>
      </c>
      <c r="R279" s="4">
        <v>0</v>
      </c>
      <c r="S279" s="4" t="s">
        <v>182</v>
      </c>
      <c r="T279" s="4" t="s">
        <v>343</v>
      </c>
      <c r="U279" s="4">
        <v>0</v>
      </c>
      <c r="V279" s="4">
        <v>21</v>
      </c>
      <c r="W279" s="4">
        <v>83</v>
      </c>
    </row>
    <row r="280" spans="1:23" ht="11.25" customHeight="1" x14ac:dyDescent="0.3">
      <c r="A280" s="4" t="s">
        <v>21</v>
      </c>
      <c r="B280" s="4" t="s">
        <v>34</v>
      </c>
      <c r="C280" s="4" t="s">
        <v>35</v>
      </c>
      <c r="D280" s="4" t="s">
        <v>43</v>
      </c>
      <c r="E280" s="4" t="s">
        <v>25</v>
      </c>
      <c r="F280" s="4" t="s">
        <v>25</v>
      </c>
      <c r="G280" s="4" t="s">
        <v>25</v>
      </c>
      <c r="H280" s="4" t="s">
        <v>36</v>
      </c>
      <c r="I280" s="5">
        <v>44470</v>
      </c>
      <c r="J280" s="6">
        <v>0</v>
      </c>
      <c r="K280" s="6">
        <v>0</v>
      </c>
      <c r="L280" s="6">
        <v>0.76600000000000001</v>
      </c>
      <c r="M280" s="6">
        <v>0.76600000000000001</v>
      </c>
      <c r="N280" s="6">
        <v>0.76600000000000001</v>
      </c>
      <c r="O280" s="6">
        <v>0.76600000000000001</v>
      </c>
      <c r="P280" s="6">
        <v>0</v>
      </c>
      <c r="Q280" s="4" t="s">
        <v>26</v>
      </c>
      <c r="R280" s="4">
        <v>0</v>
      </c>
      <c r="S280" s="4" t="s">
        <v>183</v>
      </c>
      <c r="T280" s="4" t="s">
        <v>344</v>
      </c>
      <c r="U280" s="4">
        <v>0</v>
      </c>
      <c r="V280" s="4">
        <v>21</v>
      </c>
      <c r="W280" s="4">
        <v>83</v>
      </c>
    </row>
    <row r="281" spans="1:23" ht="11.25" customHeight="1" x14ac:dyDescent="0.3">
      <c r="A281" s="4" t="s">
        <v>21</v>
      </c>
      <c r="B281" s="4" t="s">
        <v>34</v>
      </c>
      <c r="C281" s="4" t="s">
        <v>35</v>
      </c>
      <c r="D281" s="4" t="s">
        <v>43</v>
      </c>
      <c r="E281" s="4" t="s">
        <v>25</v>
      </c>
      <c r="F281" s="4" t="s">
        <v>25</v>
      </c>
      <c r="G281" s="4" t="s">
        <v>25</v>
      </c>
      <c r="H281" s="4" t="s">
        <v>36</v>
      </c>
      <c r="I281" s="5">
        <v>44501</v>
      </c>
      <c r="J281" s="6">
        <v>0</v>
      </c>
      <c r="K281" s="6">
        <v>0</v>
      </c>
      <c r="L281" s="6">
        <v>0.80735000000000001</v>
      </c>
      <c r="M281" s="6">
        <v>0.80735000000000001</v>
      </c>
      <c r="N281" s="6">
        <v>0.80735000000000001</v>
      </c>
      <c r="O281" s="6">
        <v>0.80735000000000001</v>
      </c>
      <c r="P281" s="6">
        <v>0</v>
      </c>
      <c r="Q281" s="4" t="s">
        <v>26</v>
      </c>
      <c r="R281" s="4">
        <v>0</v>
      </c>
      <c r="S281" s="4" t="s">
        <v>184</v>
      </c>
      <c r="T281" s="4" t="s">
        <v>345</v>
      </c>
      <c r="U281" s="4">
        <v>0</v>
      </c>
      <c r="V281" s="4">
        <v>21</v>
      </c>
      <c r="W281" s="4">
        <v>83</v>
      </c>
    </row>
    <row r="282" spans="1:23" ht="11.25" customHeight="1" x14ac:dyDescent="0.3">
      <c r="A282" s="4" t="s">
        <v>21</v>
      </c>
      <c r="B282" s="4" t="s">
        <v>34</v>
      </c>
      <c r="C282" s="4" t="s">
        <v>35</v>
      </c>
      <c r="D282" s="4" t="s">
        <v>43</v>
      </c>
      <c r="E282" s="4" t="s">
        <v>25</v>
      </c>
      <c r="F282" s="4" t="s">
        <v>25</v>
      </c>
      <c r="G282" s="4" t="s">
        <v>25</v>
      </c>
      <c r="H282" s="4" t="s">
        <v>36</v>
      </c>
      <c r="I282" s="5">
        <v>44531</v>
      </c>
      <c r="J282" s="6">
        <v>0</v>
      </c>
      <c r="K282" s="6">
        <v>0</v>
      </c>
      <c r="L282" s="6">
        <v>0.97685999999999995</v>
      </c>
      <c r="M282" s="6">
        <v>0.97685999999999995</v>
      </c>
      <c r="N282" s="6">
        <v>0.97685999999999995</v>
      </c>
      <c r="O282" s="6">
        <v>0.97685999999999995</v>
      </c>
      <c r="P282" s="6">
        <v>0</v>
      </c>
      <c r="Q282" s="4" t="s">
        <v>26</v>
      </c>
      <c r="R282" s="4">
        <v>0</v>
      </c>
      <c r="S282" s="4" t="s">
        <v>185</v>
      </c>
      <c r="T282" s="4" t="s">
        <v>346</v>
      </c>
      <c r="U282" s="4">
        <v>0</v>
      </c>
      <c r="V282" s="4">
        <v>21</v>
      </c>
      <c r="W282" s="4">
        <v>83</v>
      </c>
    </row>
    <row r="283" spans="1:23" ht="11.25" customHeight="1" x14ac:dyDescent="0.3">
      <c r="A283" s="4" t="s">
        <v>21</v>
      </c>
      <c r="B283" s="4" t="s">
        <v>34</v>
      </c>
      <c r="C283" s="4" t="s">
        <v>35</v>
      </c>
      <c r="D283" s="4" t="s">
        <v>43</v>
      </c>
      <c r="E283" s="4" t="s">
        <v>25</v>
      </c>
      <c r="F283" s="4" t="s">
        <v>25</v>
      </c>
      <c r="G283" s="4" t="s">
        <v>25</v>
      </c>
      <c r="H283" s="4" t="s">
        <v>36</v>
      </c>
      <c r="I283" s="5">
        <v>44562</v>
      </c>
      <c r="J283" s="6">
        <v>0</v>
      </c>
      <c r="K283" s="6">
        <v>0</v>
      </c>
      <c r="L283" s="6">
        <v>1.06816</v>
      </c>
      <c r="M283" s="6">
        <v>1.06816</v>
      </c>
      <c r="N283" s="6">
        <v>1.06816</v>
      </c>
      <c r="O283" s="6">
        <v>1.06816</v>
      </c>
      <c r="P283" s="6">
        <v>0</v>
      </c>
      <c r="Q283" s="4" t="s">
        <v>26</v>
      </c>
      <c r="R283" s="4">
        <v>0</v>
      </c>
      <c r="S283" s="4" t="s">
        <v>186</v>
      </c>
      <c r="T283" s="4" t="s">
        <v>347</v>
      </c>
      <c r="U283" s="4">
        <v>0</v>
      </c>
      <c r="V283" s="4">
        <v>21</v>
      </c>
      <c r="W283" s="4">
        <v>83</v>
      </c>
    </row>
    <row r="284" spans="1:23" ht="11.25" customHeight="1" x14ac:dyDescent="0.3">
      <c r="A284" s="4" t="s">
        <v>21</v>
      </c>
      <c r="B284" s="4" t="s">
        <v>34</v>
      </c>
      <c r="C284" s="4" t="s">
        <v>35</v>
      </c>
      <c r="D284" s="4" t="s">
        <v>43</v>
      </c>
      <c r="E284" s="4" t="s">
        <v>25</v>
      </c>
      <c r="F284" s="4" t="s">
        <v>25</v>
      </c>
      <c r="G284" s="4" t="s">
        <v>25</v>
      </c>
      <c r="H284" s="4" t="s">
        <v>36</v>
      </c>
      <c r="I284" s="5">
        <v>44593</v>
      </c>
      <c r="J284" s="6">
        <v>0</v>
      </c>
      <c r="K284" s="6">
        <v>0</v>
      </c>
      <c r="L284" s="6">
        <v>0.998</v>
      </c>
      <c r="M284" s="6">
        <v>0.998</v>
      </c>
      <c r="N284" s="6">
        <v>0.998</v>
      </c>
      <c r="O284" s="6">
        <v>0.998</v>
      </c>
      <c r="P284" s="6">
        <v>0</v>
      </c>
      <c r="Q284" s="4" t="s">
        <v>26</v>
      </c>
      <c r="R284" s="4">
        <v>0</v>
      </c>
      <c r="S284" s="4" t="s">
        <v>187</v>
      </c>
      <c r="T284" s="4" t="s">
        <v>348</v>
      </c>
      <c r="U284" s="4">
        <v>0</v>
      </c>
      <c r="V284" s="4">
        <v>21</v>
      </c>
      <c r="W284" s="4">
        <v>83</v>
      </c>
    </row>
    <row r="285" spans="1:23" ht="11.25" customHeight="1" x14ac:dyDescent="0.3">
      <c r="A285" s="4" t="s">
        <v>21</v>
      </c>
      <c r="B285" s="4" t="s">
        <v>34</v>
      </c>
      <c r="C285" s="4" t="s">
        <v>35</v>
      </c>
      <c r="D285" s="4" t="s">
        <v>43</v>
      </c>
      <c r="E285" s="4" t="s">
        <v>25</v>
      </c>
      <c r="F285" s="4" t="s">
        <v>25</v>
      </c>
      <c r="G285" s="4" t="s">
        <v>25</v>
      </c>
      <c r="H285" s="4" t="s">
        <v>36</v>
      </c>
      <c r="I285" s="5">
        <v>44621</v>
      </c>
      <c r="J285" s="6">
        <v>0</v>
      </c>
      <c r="K285" s="6">
        <v>0</v>
      </c>
      <c r="L285" s="6">
        <v>1.04671</v>
      </c>
      <c r="M285" s="6">
        <v>1.04671</v>
      </c>
      <c r="N285" s="6">
        <v>1.04671</v>
      </c>
      <c r="O285" s="6">
        <v>1.04671</v>
      </c>
      <c r="P285" s="6">
        <v>0</v>
      </c>
      <c r="Q285" s="4" t="s">
        <v>26</v>
      </c>
      <c r="R285" s="4">
        <v>0</v>
      </c>
      <c r="S285" s="4" t="s">
        <v>188</v>
      </c>
      <c r="T285" s="4" t="s">
        <v>349</v>
      </c>
      <c r="U285" s="4">
        <v>0</v>
      </c>
      <c r="V285" s="4">
        <v>21</v>
      </c>
      <c r="W285" s="4">
        <v>83</v>
      </c>
    </row>
    <row r="286" spans="1:23" ht="11.25" customHeight="1" x14ac:dyDescent="0.3">
      <c r="A286" s="4" t="s">
        <v>21</v>
      </c>
      <c r="B286" s="4" t="s">
        <v>34</v>
      </c>
      <c r="C286" s="4" t="s">
        <v>35</v>
      </c>
      <c r="D286" s="4" t="s">
        <v>43</v>
      </c>
      <c r="E286" s="4" t="s">
        <v>25</v>
      </c>
      <c r="F286" s="4" t="s">
        <v>25</v>
      </c>
      <c r="G286" s="4" t="s">
        <v>25</v>
      </c>
      <c r="H286" s="4" t="s">
        <v>36</v>
      </c>
      <c r="I286" s="5">
        <v>44652</v>
      </c>
      <c r="J286" s="6">
        <v>0</v>
      </c>
      <c r="K286" s="6">
        <v>0</v>
      </c>
      <c r="L286" s="6">
        <v>0.77219000000000004</v>
      </c>
      <c r="M286" s="6">
        <v>0.77219000000000004</v>
      </c>
      <c r="N286" s="6">
        <v>0.77219000000000004</v>
      </c>
      <c r="O286" s="6">
        <v>0.77219000000000004</v>
      </c>
      <c r="P286" s="6">
        <v>0</v>
      </c>
      <c r="Q286" s="4" t="s">
        <v>26</v>
      </c>
      <c r="R286" s="4">
        <v>0</v>
      </c>
      <c r="S286" s="4" t="s">
        <v>189</v>
      </c>
      <c r="T286" s="4" t="s">
        <v>350</v>
      </c>
      <c r="U286" s="4">
        <v>0</v>
      </c>
      <c r="V286" s="4">
        <v>21</v>
      </c>
      <c r="W286" s="4">
        <v>83</v>
      </c>
    </row>
    <row r="287" spans="1:23" ht="11.25" customHeight="1" x14ac:dyDescent="0.3">
      <c r="A287" s="4" t="s">
        <v>21</v>
      </c>
      <c r="B287" s="4" t="s">
        <v>34</v>
      </c>
      <c r="C287" s="4" t="s">
        <v>35</v>
      </c>
      <c r="D287" s="4" t="s">
        <v>43</v>
      </c>
      <c r="E287" s="4" t="s">
        <v>25</v>
      </c>
      <c r="F287" s="4" t="s">
        <v>25</v>
      </c>
      <c r="G287" s="4" t="s">
        <v>25</v>
      </c>
      <c r="H287" s="4" t="s">
        <v>36</v>
      </c>
      <c r="I287" s="5">
        <v>44682</v>
      </c>
      <c r="J287" s="6">
        <v>0</v>
      </c>
      <c r="K287" s="6">
        <v>0</v>
      </c>
      <c r="L287" s="6">
        <v>0.79690000000000005</v>
      </c>
      <c r="M287" s="6">
        <v>0.79690000000000005</v>
      </c>
      <c r="N287" s="6">
        <v>0.79690000000000005</v>
      </c>
      <c r="O287" s="6">
        <v>0.79690000000000005</v>
      </c>
      <c r="P287" s="6">
        <v>0</v>
      </c>
      <c r="Q287" s="4" t="s">
        <v>26</v>
      </c>
      <c r="R287" s="4">
        <v>0</v>
      </c>
      <c r="S287" s="4" t="s">
        <v>190</v>
      </c>
      <c r="T287" s="4" t="s">
        <v>351</v>
      </c>
      <c r="U287" s="4">
        <v>0</v>
      </c>
      <c r="V287" s="4">
        <v>21</v>
      </c>
      <c r="W287" s="4">
        <v>83</v>
      </c>
    </row>
    <row r="288" spans="1:23" ht="11.25" customHeight="1" x14ac:dyDescent="0.3">
      <c r="A288" s="4" t="s">
        <v>21</v>
      </c>
      <c r="B288" s="4" t="s">
        <v>34</v>
      </c>
      <c r="C288" s="4" t="s">
        <v>35</v>
      </c>
      <c r="D288" s="4" t="s">
        <v>43</v>
      </c>
      <c r="E288" s="4" t="s">
        <v>25</v>
      </c>
      <c r="F288" s="4" t="s">
        <v>25</v>
      </c>
      <c r="G288" s="4" t="s">
        <v>25</v>
      </c>
      <c r="H288" s="4" t="s">
        <v>36</v>
      </c>
      <c r="I288" s="5">
        <v>44713</v>
      </c>
      <c r="J288" s="6">
        <v>0</v>
      </c>
      <c r="K288" s="6">
        <v>0</v>
      </c>
      <c r="L288" s="6">
        <v>0.72843999999999998</v>
      </c>
      <c r="M288" s="6">
        <v>0.72843999999999998</v>
      </c>
      <c r="N288" s="6">
        <v>0.72843999999999998</v>
      </c>
      <c r="O288" s="6">
        <v>0.72843999999999998</v>
      </c>
      <c r="P288" s="6">
        <v>0</v>
      </c>
      <c r="Q288" s="4" t="s">
        <v>26</v>
      </c>
      <c r="R288" s="4">
        <v>0</v>
      </c>
      <c r="S288" s="4" t="s">
        <v>191</v>
      </c>
      <c r="T288" s="4" t="s">
        <v>352</v>
      </c>
      <c r="U288" s="4">
        <v>0</v>
      </c>
      <c r="V288" s="4">
        <v>21</v>
      </c>
      <c r="W288" s="4">
        <v>83</v>
      </c>
    </row>
    <row r="289" spans="1:23" ht="11.25" customHeight="1" x14ac:dyDescent="0.3">
      <c r="A289" s="4" t="s">
        <v>21</v>
      </c>
      <c r="B289" s="4" t="s">
        <v>34</v>
      </c>
      <c r="C289" s="4" t="s">
        <v>35</v>
      </c>
      <c r="D289" s="4" t="s">
        <v>43</v>
      </c>
      <c r="E289" s="4" t="s">
        <v>25</v>
      </c>
      <c r="F289" s="4" t="s">
        <v>25</v>
      </c>
      <c r="G289" s="4" t="s">
        <v>25</v>
      </c>
      <c r="H289" s="4" t="s">
        <v>36</v>
      </c>
      <c r="I289" s="5">
        <v>44743</v>
      </c>
      <c r="J289" s="6">
        <v>0</v>
      </c>
      <c r="K289" s="6">
        <v>0</v>
      </c>
      <c r="L289" s="6">
        <v>0.79681999999999997</v>
      </c>
      <c r="M289" s="6">
        <v>0.79681999999999997</v>
      </c>
      <c r="N289" s="6">
        <v>0.79681999999999997</v>
      </c>
      <c r="O289" s="6">
        <v>0.79681999999999997</v>
      </c>
      <c r="P289" s="6">
        <v>0</v>
      </c>
      <c r="Q289" s="4" t="s">
        <v>26</v>
      </c>
      <c r="R289" s="4">
        <v>0</v>
      </c>
      <c r="S289" s="4" t="s">
        <v>192</v>
      </c>
      <c r="T289" s="4" t="s">
        <v>353</v>
      </c>
      <c r="U289" s="4">
        <v>0</v>
      </c>
      <c r="V289" s="4">
        <v>21</v>
      </c>
      <c r="W289" s="4">
        <v>83</v>
      </c>
    </row>
    <row r="290" spans="1:23" ht="11.25" customHeight="1" x14ac:dyDescent="0.3">
      <c r="A290" s="4" t="s">
        <v>21</v>
      </c>
      <c r="B290" s="4" t="s">
        <v>22</v>
      </c>
      <c r="C290" s="4" t="s">
        <v>23</v>
      </c>
      <c r="D290" s="4" t="s">
        <v>24</v>
      </c>
      <c r="E290" s="4" t="s">
        <v>24</v>
      </c>
      <c r="F290" s="4" t="s">
        <v>25</v>
      </c>
      <c r="G290" s="4" t="s">
        <v>25</v>
      </c>
      <c r="H290" s="4" t="s">
        <v>25</v>
      </c>
      <c r="I290" s="5">
        <v>44409</v>
      </c>
      <c r="J290" s="6">
        <v>0</v>
      </c>
      <c r="K290" s="6">
        <v>0</v>
      </c>
      <c r="L290" s="6">
        <v>905.87900000000002</v>
      </c>
      <c r="M290" s="6">
        <v>905.87900000000002</v>
      </c>
      <c r="N290" s="6">
        <v>905.87900000000002</v>
      </c>
      <c r="O290" s="6">
        <v>905.87900000000002</v>
      </c>
      <c r="P290" s="6">
        <v>5048</v>
      </c>
      <c r="Q290" s="4" t="s">
        <v>26</v>
      </c>
      <c r="R290" s="4">
        <v>0</v>
      </c>
      <c r="S290" s="4" t="s">
        <v>193</v>
      </c>
      <c r="T290" s="4" t="s">
        <v>354</v>
      </c>
      <c r="U290" s="4">
        <v>0</v>
      </c>
      <c r="V290" s="4">
        <v>38</v>
      </c>
      <c r="W290" s="4">
        <v>89</v>
      </c>
    </row>
    <row r="291" spans="1:23" ht="11.25" customHeight="1" x14ac:dyDescent="0.3">
      <c r="A291" s="4" t="s">
        <v>27</v>
      </c>
      <c r="B291" s="4" t="s">
        <v>22</v>
      </c>
      <c r="C291" s="4" t="s">
        <v>23</v>
      </c>
      <c r="D291" s="4" t="s">
        <v>24</v>
      </c>
      <c r="E291" s="4" t="s">
        <v>24</v>
      </c>
      <c r="F291" s="4" t="s">
        <v>25</v>
      </c>
      <c r="G291" s="4" t="s">
        <v>25</v>
      </c>
      <c r="H291" s="4" t="s">
        <v>25</v>
      </c>
      <c r="I291" s="5">
        <v>44409</v>
      </c>
      <c r="J291" s="6">
        <v>0</v>
      </c>
      <c r="K291" s="6">
        <v>0</v>
      </c>
      <c r="L291" s="6">
        <v>8.3460000000000001</v>
      </c>
      <c r="M291" s="6">
        <v>8.3460000000000001</v>
      </c>
      <c r="N291" s="6">
        <v>8.3460000000000001</v>
      </c>
      <c r="O291" s="6">
        <v>8.3460000000000001</v>
      </c>
      <c r="P291" s="6">
        <v>66</v>
      </c>
      <c r="Q291" s="4" t="s">
        <v>26</v>
      </c>
      <c r="R291" s="4">
        <v>0</v>
      </c>
      <c r="S291" s="4" t="s">
        <v>193</v>
      </c>
      <c r="T291" s="4" t="s">
        <v>354</v>
      </c>
      <c r="U291" s="4">
        <v>0</v>
      </c>
      <c r="V291" s="4">
        <v>38</v>
      </c>
      <c r="W291" s="4">
        <v>89</v>
      </c>
    </row>
    <row r="292" spans="1:23" ht="11.25" customHeight="1" x14ac:dyDescent="0.3">
      <c r="A292" s="4" t="s">
        <v>21</v>
      </c>
      <c r="B292" s="4" t="s">
        <v>22</v>
      </c>
      <c r="C292" s="4" t="s">
        <v>23</v>
      </c>
      <c r="D292" s="4" t="s">
        <v>24</v>
      </c>
      <c r="E292" s="4" t="s">
        <v>24</v>
      </c>
      <c r="F292" s="4" t="s">
        <v>25</v>
      </c>
      <c r="G292" s="4" t="s">
        <v>25</v>
      </c>
      <c r="H292" s="4" t="s">
        <v>25</v>
      </c>
      <c r="I292" s="5">
        <v>44440</v>
      </c>
      <c r="J292" s="6">
        <v>0</v>
      </c>
      <c r="K292" s="6">
        <v>0</v>
      </c>
      <c r="L292" s="6">
        <v>965.36699999999996</v>
      </c>
      <c r="M292" s="6">
        <v>965.36699999999996</v>
      </c>
      <c r="N292" s="6">
        <v>965.36699999999996</v>
      </c>
      <c r="O292" s="6">
        <v>965.36699999999996</v>
      </c>
      <c r="P292" s="6">
        <v>5063</v>
      </c>
      <c r="Q292" s="4" t="s">
        <v>26</v>
      </c>
      <c r="R292" s="4">
        <v>0</v>
      </c>
      <c r="S292" s="4" t="s">
        <v>194</v>
      </c>
      <c r="T292" s="4" t="s">
        <v>355</v>
      </c>
      <c r="U292" s="4">
        <v>0</v>
      </c>
      <c r="V292" s="4">
        <v>38</v>
      </c>
      <c r="W292" s="4">
        <v>89</v>
      </c>
    </row>
    <row r="293" spans="1:23" ht="11.25" customHeight="1" x14ac:dyDescent="0.3">
      <c r="A293" s="4" t="s">
        <v>27</v>
      </c>
      <c r="B293" s="4" t="s">
        <v>22</v>
      </c>
      <c r="C293" s="4" t="s">
        <v>23</v>
      </c>
      <c r="D293" s="4" t="s">
        <v>24</v>
      </c>
      <c r="E293" s="4" t="s">
        <v>24</v>
      </c>
      <c r="F293" s="4" t="s">
        <v>25</v>
      </c>
      <c r="G293" s="4" t="s">
        <v>25</v>
      </c>
      <c r="H293" s="4" t="s">
        <v>25</v>
      </c>
      <c r="I293" s="5">
        <v>44440</v>
      </c>
      <c r="J293" s="6">
        <v>0</v>
      </c>
      <c r="K293" s="6">
        <v>0</v>
      </c>
      <c r="L293" s="6">
        <v>8.8989999999999991</v>
      </c>
      <c r="M293" s="6">
        <v>8.8989999999999991</v>
      </c>
      <c r="N293" s="6">
        <v>8.8989999999999991</v>
      </c>
      <c r="O293" s="6">
        <v>8.8989999999999991</v>
      </c>
      <c r="P293" s="6">
        <v>70</v>
      </c>
      <c r="Q293" s="4" t="s">
        <v>26</v>
      </c>
      <c r="R293" s="4">
        <v>0</v>
      </c>
      <c r="S293" s="4" t="s">
        <v>194</v>
      </c>
      <c r="T293" s="4" t="s">
        <v>355</v>
      </c>
      <c r="U293" s="4">
        <v>0</v>
      </c>
      <c r="V293" s="4">
        <v>38</v>
      </c>
      <c r="W293" s="4">
        <v>89</v>
      </c>
    </row>
    <row r="294" spans="1:23" ht="11.25" customHeight="1" x14ac:dyDescent="0.3">
      <c r="A294" s="4" t="s">
        <v>21</v>
      </c>
      <c r="B294" s="4" t="s">
        <v>22</v>
      </c>
      <c r="C294" s="4" t="s">
        <v>23</v>
      </c>
      <c r="D294" s="4" t="s">
        <v>24</v>
      </c>
      <c r="E294" s="4" t="s">
        <v>24</v>
      </c>
      <c r="F294" s="4" t="s">
        <v>25</v>
      </c>
      <c r="G294" s="4" t="s">
        <v>25</v>
      </c>
      <c r="H294" s="4" t="s">
        <v>25</v>
      </c>
      <c r="I294" s="5">
        <v>44470</v>
      </c>
      <c r="J294" s="6">
        <v>0</v>
      </c>
      <c r="K294" s="6">
        <v>0</v>
      </c>
      <c r="L294" s="6">
        <v>857.79</v>
      </c>
      <c r="M294" s="6">
        <v>857.79</v>
      </c>
      <c r="N294" s="6">
        <v>857.79</v>
      </c>
      <c r="O294" s="6">
        <v>857.79</v>
      </c>
      <c r="P294" s="6">
        <v>5084</v>
      </c>
      <c r="Q294" s="4" t="s">
        <v>26</v>
      </c>
      <c r="R294" s="4">
        <v>0</v>
      </c>
      <c r="S294" s="4" t="s">
        <v>195</v>
      </c>
      <c r="T294" s="4" t="s">
        <v>356</v>
      </c>
      <c r="U294" s="4">
        <v>0</v>
      </c>
      <c r="V294" s="4">
        <v>38</v>
      </c>
      <c r="W294" s="4">
        <v>89</v>
      </c>
    </row>
    <row r="295" spans="1:23" ht="11.25" customHeight="1" x14ac:dyDescent="0.3">
      <c r="A295" s="4" t="s">
        <v>27</v>
      </c>
      <c r="B295" s="4" t="s">
        <v>22</v>
      </c>
      <c r="C295" s="4" t="s">
        <v>23</v>
      </c>
      <c r="D295" s="4" t="s">
        <v>24</v>
      </c>
      <c r="E295" s="4" t="s">
        <v>24</v>
      </c>
      <c r="F295" s="4" t="s">
        <v>25</v>
      </c>
      <c r="G295" s="4" t="s">
        <v>25</v>
      </c>
      <c r="H295" s="4" t="s">
        <v>25</v>
      </c>
      <c r="I295" s="5">
        <v>44470</v>
      </c>
      <c r="J295" s="6">
        <v>0</v>
      </c>
      <c r="K295" s="6">
        <v>0</v>
      </c>
      <c r="L295" s="6">
        <v>7.76</v>
      </c>
      <c r="M295" s="6">
        <v>7.76</v>
      </c>
      <c r="N295" s="6">
        <v>7.76</v>
      </c>
      <c r="O295" s="6">
        <v>7.76</v>
      </c>
      <c r="P295" s="6">
        <v>71</v>
      </c>
      <c r="Q295" s="4" t="s">
        <v>26</v>
      </c>
      <c r="R295" s="4">
        <v>0</v>
      </c>
      <c r="S295" s="4" t="s">
        <v>195</v>
      </c>
      <c r="T295" s="4" t="s">
        <v>356</v>
      </c>
      <c r="U295" s="4">
        <v>0</v>
      </c>
      <c r="V295" s="4">
        <v>38</v>
      </c>
      <c r="W295" s="4">
        <v>89</v>
      </c>
    </row>
    <row r="296" spans="1:23" ht="11.25" customHeight="1" x14ac:dyDescent="0.3">
      <c r="A296" s="4" t="s">
        <v>21</v>
      </c>
      <c r="B296" s="4" t="s">
        <v>22</v>
      </c>
      <c r="C296" s="4" t="s">
        <v>23</v>
      </c>
      <c r="D296" s="4" t="s">
        <v>24</v>
      </c>
      <c r="E296" s="4" t="s">
        <v>24</v>
      </c>
      <c r="F296" s="4" t="s">
        <v>25</v>
      </c>
      <c r="G296" s="4" t="s">
        <v>25</v>
      </c>
      <c r="H296" s="4" t="s">
        <v>25</v>
      </c>
      <c r="I296" s="5">
        <v>44501</v>
      </c>
      <c r="J296" s="6">
        <v>0</v>
      </c>
      <c r="K296" s="6">
        <v>0</v>
      </c>
      <c r="L296" s="6">
        <v>850.14300000000003</v>
      </c>
      <c r="M296" s="6">
        <v>850.14300000000003</v>
      </c>
      <c r="N296" s="6">
        <v>850.14300000000003</v>
      </c>
      <c r="O296" s="6">
        <v>850.14300000000003</v>
      </c>
      <c r="P296" s="6">
        <v>5097</v>
      </c>
      <c r="Q296" s="4" t="s">
        <v>26</v>
      </c>
      <c r="R296" s="4">
        <v>0</v>
      </c>
      <c r="S296" s="4" t="s">
        <v>196</v>
      </c>
      <c r="T296" s="4" t="s">
        <v>357</v>
      </c>
      <c r="U296" s="4">
        <v>0</v>
      </c>
      <c r="V296" s="4">
        <v>38</v>
      </c>
      <c r="W296" s="4">
        <v>89</v>
      </c>
    </row>
    <row r="297" spans="1:23" ht="11.25" customHeight="1" x14ac:dyDescent="0.3">
      <c r="A297" s="4" t="s">
        <v>27</v>
      </c>
      <c r="B297" s="4" t="s">
        <v>22</v>
      </c>
      <c r="C297" s="4" t="s">
        <v>23</v>
      </c>
      <c r="D297" s="4" t="s">
        <v>24</v>
      </c>
      <c r="E297" s="4" t="s">
        <v>24</v>
      </c>
      <c r="F297" s="4" t="s">
        <v>25</v>
      </c>
      <c r="G297" s="4" t="s">
        <v>25</v>
      </c>
      <c r="H297" s="4" t="s">
        <v>25</v>
      </c>
      <c r="I297" s="5">
        <v>44501</v>
      </c>
      <c r="J297" s="6">
        <v>0</v>
      </c>
      <c r="K297" s="6">
        <v>0</v>
      </c>
      <c r="L297" s="6">
        <v>6.6920000000000002</v>
      </c>
      <c r="M297" s="6">
        <v>6.6920000000000002</v>
      </c>
      <c r="N297" s="6">
        <v>6.6920000000000002</v>
      </c>
      <c r="O297" s="6">
        <v>6.6920000000000002</v>
      </c>
      <c r="P297" s="6">
        <v>72</v>
      </c>
      <c r="Q297" s="4" t="s">
        <v>26</v>
      </c>
      <c r="R297" s="4">
        <v>0</v>
      </c>
      <c r="S297" s="4" t="s">
        <v>196</v>
      </c>
      <c r="T297" s="4" t="s">
        <v>357</v>
      </c>
      <c r="U297" s="4">
        <v>0</v>
      </c>
      <c r="V297" s="4">
        <v>38</v>
      </c>
      <c r="W297" s="4">
        <v>89</v>
      </c>
    </row>
    <row r="298" spans="1:23" ht="11.25" customHeight="1" x14ac:dyDescent="0.3">
      <c r="A298" s="4" t="s">
        <v>21</v>
      </c>
      <c r="B298" s="4" t="s">
        <v>22</v>
      </c>
      <c r="C298" s="4" t="s">
        <v>23</v>
      </c>
      <c r="D298" s="4" t="s">
        <v>24</v>
      </c>
      <c r="E298" s="4" t="s">
        <v>24</v>
      </c>
      <c r="F298" s="4" t="s">
        <v>25</v>
      </c>
      <c r="G298" s="4" t="s">
        <v>25</v>
      </c>
      <c r="H298" s="4" t="s">
        <v>25</v>
      </c>
      <c r="I298" s="5">
        <v>44531</v>
      </c>
      <c r="J298" s="6">
        <v>0</v>
      </c>
      <c r="K298" s="6">
        <v>0</v>
      </c>
      <c r="L298" s="6">
        <v>960.702</v>
      </c>
      <c r="M298" s="6">
        <v>960.702</v>
      </c>
      <c r="N298" s="6">
        <v>960.702</v>
      </c>
      <c r="O298" s="6">
        <v>960.702</v>
      </c>
      <c r="P298" s="6">
        <v>5105</v>
      </c>
      <c r="Q298" s="4" t="s">
        <v>26</v>
      </c>
      <c r="R298" s="4">
        <v>0</v>
      </c>
      <c r="S298" s="4" t="s">
        <v>197</v>
      </c>
      <c r="T298" s="4" t="s">
        <v>358</v>
      </c>
      <c r="U298" s="4">
        <v>0</v>
      </c>
      <c r="V298" s="4">
        <v>38</v>
      </c>
      <c r="W298" s="4">
        <v>89</v>
      </c>
    </row>
    <row r="299" spans="1:23" ht="11.25" customHeight="1" x14ac:dyDescent="0.3">
      <c r="A299" s="4" t="s">
        <v>27</v>
      </c>
      <c r="B299" s="4" t="s">
        <v>22</v>
      </c>
      <c r="C299" s="4" t="s">
        <v>23</v>
      </c>
      <c r="D299" s="4" t="s">
        <v>24</v>
      </c>
      <c r="E299" s="4" t="s">
        <v>24</v>
      </c>
      <c r="F299" s="4" t="s">
        <v>25</v>
      </c>
      <c r="G299" s="4" t="s">
        <v>25</v>
      </c>
      <c r="H299" s="4" t="s">
        <v>25</v>
      </c>
      <c r="I299" s="5">
        <v>44531</v>
      </c>
      <c r="J299" s="6">
        <v>0</v>
      </c>
      <c r="K299" s="6">
        <v>0</v>
      </c>
      <c r="L299" s="6">
        <v>7.8049999999999997</v>
      </c>
      <c r="M299" s="6">
        <v>7.8049999999999997</v>
      </c>
      <c r="N299" s="6">
        <v>7.8049999999999997</v>
      </c>
      <c r="O299" s="6">
        <v>7.8049999999999997</v>
      </c>
      <c r="P299" s="6">
        <v>78</v>
      </c>
      <c r="Q299" s="4" t="s">
        <v>26</v>
      </c>
      <c r="R299" s="4">
        <v>0</v>
      </c>
      <c r="S299" s="4" t="s">
        <v>197</v>
      </c>
      <c r="T299" s="4" t="s">
        <v>358</v>
      </c>
      <c r="U299" s="4">
        <v>0</v>
      </c>
      <c r="V299" s="4">
        <v>38</v>
      </c>
      <c r="W299" s="4">
        <v>89</v>
      </c>
    </row>
    <row r="300" spans="1:23" ht="11.25" customHeight="1" x14ac:dyDescent="0.3">
      <c r="A300" s="4" t="s">
        <v>21</v>
      </c>
      <c r="B300" s="4" t="s">
        <v>22</v>
      </c>
      <c r="C300" s="4" t="s">
        <v>23</v>
      </c>
      <c r="D300" s="4" t="s">
        <v>24</v>
      </c>
      <c r="E300" s="4" t="s">
        <v>24</v>
      </c>
      <c r="F300" s="4" t="s">
        <v>25</v>
      </c>
      <c r="G300" s="4" t="s">
        <v>25</v>
      </c>
      <c r="H300" s="4" t="s">
        <v>25</v>
      </c>
      <c r="I300" s="5">
        <v>44562</v>
      </c>
      <c r="J300" s="6">
        <v>0</v>
      </c>
      <c r="K300" s="6">
        <v>0</v>
      </c>
      <c r="L300" s="6">
        <v>935.45699999999999</v>
      </c>
      <c r="M300" s="6">
        <v>935.45699999999999</v>
      </c>
      <c r="N300" s="6">
        <v>935.45699999999999</v>
      </c>
      <c r="O300" s="6">
        <v>935.45699999999999</v>
      </c>
      <c r="P300" s="6">
        <v>5108</v>
      </c>
      <c r="Q300" s="4" t="s">
        <v>26</v>
      </c>
      <c r="R300" s="4">
        <v>0</v>
      </c>
      <c r="S300" s="4" t="s">
        <v>198</v>
      </c>
      <c r="T300" s="4" t="s">
        <v>359</v>
      </c>
      <c r="U300" s="4">
        <v>0</v>
      </c>
      <c r="V300" s="4">
        <v>38</v>
      </c>
      <c r="W300" s="4">
        <v>89</v>
      </c>
    </row>
    <row r="301" spans="1:23" ht="11.25" customHeight="1" x14ac:dyDescent="0.3">
      <c r="A301" s="4" t="s">
        <v>27</v>
      </c>
      <c r="B301" s="4" t="s">
        <v>22</v>
      </c>
      <c r="C301" s="4" t="s">
        <v>23</v>
      </c>
      <c r="D301" s="4" t="s">
        <v>24</v>
      </c>
      <c r="E301" s="4" t="s">
        <v>24</v>
      </c>
      <c r="F301" s="4" t="s">
        <v>25</v>
      </c>
      <c r="G301" s="4" t="s">
        <v>25</v>
      </c>
      <c r="H301" s="4" t="s">
        <v>25</v>
      </c>
      <c r="I301" s="5">
        <v>44562</v>
      </c>
      <c r="J301" s="6">
        <v>0</v>
      </c>
      <c r="K301" s="6">
        <v>0</v>
      </c>
      <c r="L301" s="6">
        <v>8.8699999999999992</v>
      </c>
      <c r="M301" s="6">
        <v>8.8699999999999992</v>
      </c>
      <c r="N301" s="6">
        <v>8.8699999999999992</v>
      </c>
      <c r="O301" s="6">
        <v>8.8699999999999992</v>
      </c>
      <c r="P301" s="6">
        <v>84</v>
      </c>
      <c r="Q301" s="4" t="s">
        <v>26</v>
      </c>
      <c r="R301" s="4">
        <v>0</v>
      </c>
      <c r="S301" s="4" t="s">
        <v>198</v>
      </c>
      <c r="T301" s="4" t="s">
        <v>359</v>
      </c>
      <c r="U301" s="4">
        <v>0</v>
      </c>
      <c r="V301" s="4">
        <v>38</v>
      </c>
      <c r="W301" s="4">
        <v>89</v>
      </c>
    </row>
    <row r="302" spans="1:23" ht="11.25" customHeight="1" x14ac:dyDescent="0.3">
      <c r="A302" s="4" t="s">
        <v>21</v>
      </c>
      <c r="B302" s="4" t="s">
        <v>22</v>
      </c>
      <c r="C302" s="4" t="s">
        <v>23</v>
      </c>
      <c r="D302" s="4" t="s">
        <v>24</v>
      </c>
      <c r="E302" s="4" t="s">
        <v>24</v>
      </c>
      <c r="F302" s="4" t="s">
        <v>25</v>
      </c>
      <c r="G302" s="4" t="s">
        <v>25</v>
      </c>
      <c r="H302" s="4" t="s">
        <v>25</v>
      </c>
      <c r="I302" s="5">
        <v>44593</v>
      </c>
      <c r="J302" s="6">
        <v>0</v>
      </c>
      <c r="K302" s="6">
        <v>0</v>
      </c>
      <c r="L302" s="6">
        <v>1210.3520000000001</v>
      </c>
      <c r="M302" s="6">
        <v>1210.3520000000001</v>
      </c>
      <c r="N302" s="6">
        <v>1210.3520000000001</v>
      </c>
      <c r="O302" s="6">
        <v>1210.3520000000001</v>
      </c>
      <c r="P302" s="6">
        <v>5094</v>
      </c>
      <c r="Q302" s="4" t="s">
        <v>26</v>
      </c>
      <c r="R302" s="4">
        <v>0</v>
      </c>
      <c r="S302" s="4" t="s">
        <v>199</v>
      </c>
      <c r="T302" s="4" t="s">
        <v>360</v>
      </c>
      <c r="U302" s="4">
        <v>0</v>
      </c>
      <c r="V302" s="4">
        <v>38</v>
      </c>
      <c r="W302" s="4">
        <v>89</v>
      </c>
    </row>
    <row r="303" spans="1:23" ht="11.25" customHeight="1" x14ac:dyDescent="0.3">
      <c r="A303" s="4" t="s">
        <v>27</v>
      </c>
      <c r="B303" s="4" t="s">
        <v>22</v>
      </c>
      <c r="C303" s="4" t="s">
        <v>23</v>
      </c>
      <c r="D303" s="4" t="s">
        <v>24</v>
      </c>
      <c r="E303" s="4" t="s">
        <v>24</v>
      </c>
      <c r="F303" s="4" t="s">
        <v>25</v>
      </c>
      <c r="G303" s="4" t="s">
        <v>25</v>
      </c>
      <c r="H303" s="4" t="s">
        <v>25</v>
      </c>
      <c r="I303" s="5">
        <v>44593</v>
      </c>
      <c r="J303" s="6">
        <v>0</v>
      </c>
      <c r="K303" s="6">
        <v>0</v>
      </c>
      <c r="L303" s="6">
        <v>12.363</v>
      </c>
      <c r="M303" s="6">
        <v>12.363</v>
      </c>
      <c r="N303" s="6">
        <v>12.363</v>
      </c>
      <c r="O303" s="6">
        <v>12.363</v>
      </c>
      <c r="P303" s="6">
        <v>85</v>
      </c>
      <c r="Q303" s="4" t="s">
        <v>26</v>
      </c>
      <c r="R303" s="4">
        <v>0</v>
      </c>
      <c r="S303" s="4" t="s">
        <v>199</v>
      </c>
      <c r="T303" s="4" t="s">
        <v>360</v>
      </c>
      <c r="U303" s="4">
        <v>0</v>
      </c>
      <c r="V303" s="4">
        <v>38</v>
      </c>
      <c r="W303" s="4">
        <v>89</v>
      </c>
    </row>
    <row r="304" spans="1:23" ht="11.25" customHeight="1" x14ac:dyDescent="0.3">
      <c r="A304" s="4" t="s">
        <v>21</v>
      </c>
      <c r="B304" s="4" t="s">
        <v>22</v>
      </c>
      <c r="C304" s="4" t="s">
        <v>23</v>
      </c>
      <c r="D304" s="4" t="s">
        <v>24</v>
      </c>
      <c r="E304" s="4" t="s">
        <v>24</v>
      </c>
      <c r="F304" s="4" t="s">
        <v>25</v>
      </c>
      <c r="G304" s="4" t="s">
        <v>25</v>
      </c>
      <c r="H304" s="4" t="s">
        <v>25</v>
      </c>
      <c r="I304" s="5">
        <v>44621</v>
      </c>
      <c r="J304" s="6">
        <v>0</v>
      </c>
      <c r="K304" s="6">
        <v>0</v>
      </c>
      <c r="L304" s="6">
        <v>1064.2370000000001</v>
      </c>
      <c r="M304" s="6">
        <v>1064.2370000000001</v>
      </c>
      <c r="N304" s="6">
        <v>1064.2370000000001</v>
      </c>
      <c r="O304" s="6">
        <v>1064.2370000000001</v>
      </c>
      <c r="P304" s="6">
        <v>5065</v>
      </c>
      <c r="Q304" s="4" t="s">
        <v>26</v>
      </c>
      <c r="R304" s="4">
        <v>0</v>
      </c>
      <c r="S304" s="4" t="s">
        <v>200</v>
      </c>
      <c r="T304" s="4" t="s">
        <v>361</v>
      </c>
      <c r="U304" s="4">
        <v>0</v>
      </c>
      <c r="V304" s="4">
        <v>38</v>
      </c>
      <c r="W304" s="4">
        <v>89</v>
      </c>
    </row>
    <row r="305" spans="1:23" ht="11.25" customHeight="1" x14ac:dyDescent="0.3">
      <c r="A305" s="4" t="s">
        <v>27</v>
      </c>
      <c r="B305" s="4" t="s">
        <v>22</v>
      </c>
      <c r="C305" s="4" t="s">
        <v>23</v>
      </c>
      <c r="D305" s="4" t="s">
        <v>24</v>
      </c>
      <c r="E305" s="4" t="s">
        <v>24</v>
      </c>
      <c r="F305" s="4" t="s">
        <v>25</v>
      </c>
      <c r="G305" s="4" t="s">
        <v>25</v>
      </c>
      <c r="H305" s="4" t="s">
        <v>25</v>
      </c>
      <c r="I305" s="5">
        <v>44621</v>
      </c>
      <c r="J305" s="6">
        <v>0</v>
      </c>
      <c r="K305" s="6">
        <v>0</v>
      </c>
      <c r="L305" s="6">
        <v>11.416</v>
      </c>
      <c r="M305" s="6">
        <v>11.416</v>
      </c>
      <c r="N305" s="6">
        <v>11.416</v>
      </c>
      <c r="O305" s="6">
        <v>11.416</v>
      </c>
      <c r="P305" s="6">
        <v>91</v>
      </c>
      <c r="Q305" s="4" t="s">
        <v>26</v>
      </c>
      <c r="R305" s="4">
        <v>0</v>
      </c>
      <c r="S305" s="4" t="s">
        <v>200</v>
      </c>
      <c r="T305" s="4" t="s">
        <v>361</v>
      </c>
      <c r="U305" s="4">
        <v>0</v>
      </c>
      <c r="V305" s="4">
        <v>38</v>
      </c>
      <c r="W305" s="4">
        <v>89</v>
      </c>
    </row>
    <row r="306" spans="1:23" ht="11.25" customHeight="1" x14ac:dyDescent="0.3">
      <c r="A306" s="4" t="s">
        <v>21</v>
      </c>
      <c r="B306" s="4" t="s">
        <v>22</v>
      </c>
      <c r="C306" s="4" t="s">
        <v>23</v>
      </c>
      <c r="D306" s="4" t="s">
        <v>24</v>
      </c>
      <c r="E306" s="4" t="s">
        <v>24</v>
      </c>
      <c r="F306" s="4" t="s">
        <v>25</v>
      </c>
      <c r="G306" s="4" t="s">
        <v>25</v>
      </c>
      <c r="H306" s="4" t="s">
        <v>25</v>
      </c>
      <c r="I306" s="5">
        <v>44652</v>
      </c>
      <c r="J306" s="6">
        <v>0</v>
      </c>
      <c r="K306" s="6">
        <v>0</v>
      </c>
      <c r="L306" s="6">
        <v>938.63199999999995</v>
      </c>
      <c r="M306" s="6">
        <v>938.63199999999995</v>
      </c>
      <c r="N306" s="6">
        <v>938.63199999999995</v>
      </c>
      <c r="O306" s="6">
        <v>938.63199999999995</v>
      </c>
      <c r="P306" s="6">
        <v>5073</v>
      </c>
      <c r="Q306" s="4" t="s">
        <v>26</v>
      </c>
      <c r="R306" s="4">
        <v>0</v>
      </c>
      <c r="S306" s="4" t="s">
        <v>201</v>
      </c>
      <c r="T306" s="4" t="s">
        <v>362</v>
      </c>
      <c r="U306" s="4">
        <v>0</v>
      </c>
      <c r="V306" s="4">
        <v>38</v>
      </c>
      <c r="W306" s="4">
        <v>89</v>
      </c>
    </row>
    <row r="307" spans="1:23" ht="11.25" customHeight="1" x14ac:dyDescent="0.3">
      <c r="A307" s="4" t="s">
        <v>27</v>
      </c>
      <c r="B307" s="4" t="s">
        <v>22</v>
      </c>
      <c r="C307" s="4" t="s">
        <v>23</v>
      </c>
      <c r="D307" s="4" t="s">
        <v>24</v>
      </c>
      <c r="E307" s="4" t="s">
        <v>24</v>
      </c>
      <c r="F307" s="4" t="s">
        <v>25</v>
      </c>
      <c r="G307" s="4" t="s">
        <v>25</v>
      </c>
      <c r="H307" s="4" t="s">
        <v>25</v>
      </c>
      <c r="I307" s="5">
        <v>44652</v>
      </c>
      <c r="J307" s="6">
        <v>0</v>
      </c>
      <c r="K307" s="6">
        <v>0</v>
      </c>
      <c r="L307" s="6">
        <v>11.135999999999999</v>
      </c>
      <c r="M307" s="6">
        <v>11.135999999999999</v>
      </c>
      <c r="N307" s="6">
        <v>11.135999999999999</v>
      </c>
      <c r="O307" s="6">
        <v>11.135999999999999</v>
      </c>
      <c r="P307" s="6">
        <v>94</v>
      </c>
      <c r="Q307" s="4" t="s">
        <v>26</v>
      </c>
      <c r="R307" s="4">
        <v>0</v>
      </c>
      <c r="S307" s="4" t="s">
        <v>201</v>
      </c>
      <c r="T307" s="4" t="s">
        <v>362</v>
      </c>
      <c r="U307" s="4">
        <v>0</v>
      </c>
      <c r="V307" s="4">
        <v>38</v>
      </c>
      <c r="W307" s="4">
        <v>89</v>
      </c>
    </row>
    <row r="308" spans="1:23" ht="11.25" customHeight="1" x14ac:dyDescent="0.3">
      <c r="A308" s="4" t="s">
        <v>21</v>
      </c>
      <c r="B308" s="4" t="s">
        <v>22</v>
      </c>
      <c r="C308" s="4" t="s">
        <v>23</v>
      </c>
      <c r="D308" s="4" t="s">
        <v>24</v>
      </c>
      <c r="E308" s="4" t="s">
        <v>24</v>
      </c>
      <c r="F308" s="4" t="s">
        <v>25</v>
      </c>
      <c r="G308" s="4" t="s">
        <v>25</v>
      </c>
      <c r="H308" s="4" t="s">
        <v>25</v>
      </c>
      <c r="I308" s="5">
        <v>44682</v>
      </c>
      <c r="J308" s="6">
        <v>0</v>
      </c>
      <c r="K308" s="6">
        <v>0</v>
      </c>
      <c r="L308" s="6">
        <v>825.43399999999997</v>
      </c>
      <c r="M308" s="6">
        <v>825.43399999999997</v>
      </c>
      <c r="N308" s="6">
        <v>825.43399999999997</v>
      </c>
      <c r="O308" s="6">
        <v>825.43399999999997</v>
      </c>
      <c r="P308" s="6">
        <v>5049</v>
      </c>
      <c r="Q308" s="4" t="s">
        <v>26</v>
      </c>
      <c r="R308" s="4">
        <v>0</v>
      </c>
      <c r="S308" s="4" t="s">
        <v>202</v>
      </c>
      <c r="T308" s="4" t="s">
        <v>363</v>
      </c>
      <c r="U308" s="4">
        <v>0</v>
      </c>
      <c r="V308" s="4">
        <v>38</v>
      </c>
      <c r="W308" s="4">
        <v>89</v>
      </c>
    </row>
    <row r="309" spans="1:23" ht="11.25" customHeight="1" x14ac:dyDescent="0.3">
      <c r="A309" s="4" t="s">
        <v>27</v>
      </c>
      <c r="B309" s="4" t="s">
        <v>22</v>
      </c>
      <c r="C309" s="4" t="s">
        <v>23</v>
      </c>
      <c r="D309" s="4" t="s">
        <v>24</v>
      </c>
      <c r="E309" s="4" t="s">
        <v>24</v>
      </c>
      <c r="F309" s="4" t="s">
        <v>25</v>
      </c>
      <c r="G309" s="4" t="s">
        <v>25</v>
      </c>
      <c r="H309" s="4" t="s">
        <v>25</v>
      </c>
      <c r="I309" s="5">
        <v>44682</v>
      </c>
      <c r="J309" s="6">
        <v>0</v>
      </c>
      <c r="K309" s="6">
        <v>0</v>
      </c>
      <c r="L309" s="6">
        <v>8.3059999999999992</v>
      </c>
      <c r="M309" s="6">
        <v>8.3059999999999992</v>
      </c>
      <c r="N309" s="6">
        <v>8.3059999999999992</v>
      </c>
      <c r="O309" s="6">
        <v>8.3059999999999992</v>
      </c>
      <c r="P309" s="6">
        <v>100</v>
      </c>
      <c r="Q309" s="4" t="s">
        <v>26</v>
      </c>
      <c r="R309" s="4">
        <v>0</v>
      </c>
      <c r="S309" s="4" t="s">
        <v>202</v>
      </c>
      <c r="T309" s="4" t="s">
        <v>363</v>
      </c>
      <c r="U309" s="4">
        <v>0</v>
      </c>
      <c r="V309" s="4">
        <v>38</v>
      </c>
      <c r="W309" s="4">
        <v>89</v>
      </c>
    </row>
    <row r="310" spans="1:23" ht="11.25" customHeight="1" x14ac:dyDescent="0.3">
      <c r="A310" s="4" t="s">
        <v>21</v>
      </c>
      <c r="B310" s="4" t="s">
        <v>22</v>
      </c>
      <c r="C310" s="4" t="s">
        <v>23</v>
      </c>
      <c r="D310" s="4" t="s">
        <v>24</v>
      </c>
      <c r="E310" s="4" t="s">
        <v>24</v>
      </c>
      <c r="F310" s="4" t="s">
        <v>25</v>
      </c>
      <c r="G310" s="4" t="s">
        <v>25</v>
      </c>
      <c r="H310" s="4" t="s">
        <v>25</v>
      </c>
      <c r="I310" s="5">
        <v>44713</v>
      </c>
      <c r="J310" s="6">
        <v>0</v>
      </c>
      <c r="K310" s="6">
        <v>0</v>
      </c>
      <c r="L310" s="6">
        <v>939.94399999999996</v>
      </c>
      <c r="M310" s="6">
        <v>939.94399999999996</v>
      </c>
      <c r="N310" s="6">
        <v>939.94399999999996</v>
      </c>
      <c r="O310" s="6">
        <v>939.94399999999996</v>
      </c>
      <c r="P310" s="6">
        <v>5130</v>
      </c>
      <c r="Q310" s="4" t="s">
        <v>26</v>
      </c>
      <c r="R310" s="4">
        <v>0</v>
      </c>
      <c r="S310" s="4" t="s">
        <v>203</v>
      </c>
      <c r="T310" s="4" t="s">
        <v>364</v>
      </c>
      <c r="U310" s="4">
        <v>0</v>
      </c>
      <c r="V310" s="4">
        <v>38</v>
      </c>
      <c r="W310" s="4">
        <v>89</v>
      </c>
    </row>
    <row r="311" spans="1:23" ht="11.25" customHeight="1" x14ac:dyDescent="0.3">
      <c r="A311" s="4" t="s">
        <v>27</v>
      </c>
      <c r="B311" s="4" t="s">
        <v>22</v>
      </c>
      <c r="C311" s="4" t="s">
        <v>23</v>
      </c>
      <c r="D311" s="4" t="s">
        <v>24</v>
      </c>
      <c r="E311" s="4" t="s">
        <v>24</v>
      </c>
      <c r="F311" s="4" t="s">
        <v>25</v>
      </c>
      <c r="G311" s="4" t="s">
        <v>25</v>
      </c>
      <c r="H311" s="4" t="s">
        <v>25</v>
      </c>
      <c r="I311" s="5">
        <v>44713</v>
      </c>
      <c r="J311" s="6">
        <v>0</v>
      </c>
      <c r="K311" s="6">
        <v>0</v>
      </c>
      <c r="L311" s="6">
        <v>12.606</v>
      </c>
      <c r="M311" s="6">
        <v>12.606</v>
      </c>
      <c r="N311" s="6">
        <v>12.606</v>
      </c>
      <c r="O311" s="6">
        <v>12.606</v>
      </c>
      <c r="P311" s="6">
        <v>101</v>
      </c>
      <c r="Q311" s="4" t="s">
        <v>26</v>
      </c>
      <c r="R311" s="4">
        <v>0</v>
      </c>
      <c r="S311" s="4" t="s">
        <v>203</v>
      </c>
      <c r="T311" s="4" t="s">
        <v>364</v>
      </c>
      <c r="U311" s="4">
        <v>0</v>
      </c>
      <c r="V311" s="4">
        <v>38</v>
      </c>
      <c r="W311" s="4">
        <v>89</v>
      </c>
    </row>
    <row r="312" spans="1:23" ht="11.25" customHeight="1" x14ac:dyDescent="0.3">
      <c r="A312" s="4" t="s">
        <v>21</v>
      </c>
      <c r="B312" s="4" t="s">
        <v>22</v>
      </c>
      <c r="C312" s="4" t="s">
        <v>23</v>
      </c>
      <c r="D312" s="4" t="s">
        <v>24</v>
      </c>
      <c r="E312" s="4" t="s">
        <v>24</v>
      </c>
      <c r="F312" s="4" t="s">
        <v>25</v>
      </c>
      <c r="G312" s="4" t="s">
        <v>25</v>
      </c>
      <c r="H312" s="4" t="s">
        <v>25</v>
      </c>
      <c r="I312" s="5">
        <v>44743</v>
      </c>
      <c r="J312" s="6">
        <v>0</v>
      </c>
      <c r="K312" s="6">
        <v>0</v>
      </c>
      <c r="L312" s="6">
        <v>954.72799999999995</v>
      </c>
      <c r="M312" s="6">
        <v>954.72799999999995</v>
      </c>
      <c r="N312" s="6">
        <v>954.72799999999995</v>
      </c>
      <c r="O312" s="6">
        <v>954.72799999999995</v>
      </c>
      <c r="P312" s="6">
        <v>5090</v>
      </c>
      <c r="Q312" s="4" t="s">
        <v>26</v>
      </c>
      <c r="R312" s="4">
        <v>0</v>
      </c>
      <c r="S312" s="4" t="s">
        <v>204</v>
      </c>
      <c r="T312" s="4" t="s">
        <v>365</v>
      </c>
      <c r="U312" s="4">
        <v>0</v>
      </c>
      <c r="V312" s="4">
        <v>38</v>
      </c>
      <c r="W312" s="4">
        <v>89</v>
      </c>
    </row>
    <row r="313" spans="1:23" ht="11.25" customHeight="1" x14ac:dyDescent="0.3">
      <c r="A313" s="4" t="s">
        <v>27</v>
      </c>
      <c r="B313" s="4" t="s">
        <v>22</v>
      </c>
      <c r="C313" s="4" t="s">
        <v>23</v>
      </c>
      <c r="D313" s="4" t="s">
        <v>24</v>
      </c>
      <c r="E313" s="4" t="s">
        <v>24</v>
      </c>
      <c r="F313" s="4" t="s">
        <v>25</v>
      </c>
      <c r="G313" s="4" t="s">
        <v>25</v>
      </c>
      <c r="H313" s="4" t="s">
        <v>25</v>
      </c>
      <c r="I313" s="5">
        <v>44743</v>
      </c>
      <c r="J313" s="6">
        <v>0</v>
      </c>
      <c r="K313" s="6">
        <v>0</v>
      </c>
      <c r="L313" s="6">
        <v>17.584</v>
      </c>
      <c r="M313" s="6">
        <v>17.584</v>
      </c>
      <c r="N313" s="6">
        <v>17.584</v>
      </c>
      <c r="O313" s="6">
        <v>17.584</v>
      </c>
      <c r="P313" s="6">
        <v>104</v>
      </c>
      <c r="Q313" s="4" t="s">
        <v>26</v>
      </c>
      <c r="R313" s="4">
        <v>0</v>
      </c>
      <c r="S313" s="4" t="s">
        <v>204</v>
      </c>
      <c r="T313" s="4" t="s">
        <v>365</v>
      </c>
      <c r="U313" s="4">
        <v>0</v>
      </c>
      <c r="V313" s="4">
        <v>38</v>
      </c>
      <c r="W313" s="4">
        <v>89</v>
      </c>
    </row>
    <row r="314" spans="1:23" ht="11.25" customHeight="1" x14ac:dyDescent="0.3">
      <c r="A314" s="4" t="s">
        <v>21</v>
      </c>
      <c r="B314" s="4" t="s">
        <v>22</v>
      </c>
      <c r="C314" s="4" t="s">
        <v>23</v>
      </c>
      <c r="D314" s="4" t="s">
        <v>24</v>
      </c>
      <c r="E314" s="4" t="s">
        <v>28</v>
      </c>
      <c r="F314" s="4" t="s">
        <v>25</v>
      </c>
      <c r="G314" s="4" t="s">
        <v>25</v>
      </c>
      <c r="H314" s="4" t="s">
        <v>25</v>
      </c>
      <c r="I314" s="5">
        <v>44409</v>
      </c>
      <c r="J314" s="6">
        <v>0</v>
      </c>
      <c r="K314" s="6">
        <v>0</v>
      </c>
      <c r="L314" s="6">
        <v>8.9700000000000006</v>
      </c>
      <c r="M314" s="6">
        <v>8.9700000000000006</v>
      </c>
      <c r="N314" s="6">
        <v>8.9700000000000006</v>
      </c>
      <c r="O314" s="6">
        <v>8.9700000000000006</v>
      </c>
      <c r="P314" s="6">
        <v>14</v>
      </c>
      <c r="Q314" s="4" t="s">
        <v>26</v>
      </c>
      <c r="R314" s="4">
        <v>0</v>
      </c>
      <c r="S314" s="4" t="s">
        <v>205</v>
      </c>
      <c r="T314" s="4" t="s">
        <v>366</v>
      </c>
      <c r="U314" s="4">
        <v>0</v>
      </c>
      <c r="V314" s="4">
        <v>41</v>
      </c>
      <c r="W314" s="4">
        <v>90</v>
      </c>
    </row>
    <row r="315" spans="1:23" ht="11.25" customHeight="1" x14ac:dyDescent="0.3">
      <c r="A315" s="4" t="s">
        <v>21</v>
      </c>
      <c r="B315" s="4" t="s">
        <v>22</v>
      </c>
      <c r="C315" s="4" t="s">
        <v>23</v>
      </c>
      <c r="D315" s="4" t="s">
        <v>24</v>
      </c>
      <c r="E315" s="4" t="s">
        <v>28</v>
      </c>
      <c r="F315" s="4" t="s">
        <v>25</v>
      </c>
      <c r="G315" s="4" t="s">
        <v>25</v>
      </c>
      <c r="H315" s="4" t="s">
        <v>25</v>
      </c>
      <c r="I315" s="5">
        <v>44440</v>
      </c>
      <c r="J315" s="6">
        <v>0</v>
      </c>
      <c r="K315" s="6">
        <v>0</v>
      </c>
      <c r="L315" s="6">
        <v>9.2100000000000009</v>
      </c>
      <c r="M315" s="6">
        <v>9.2100000000000009</v>
      </c>
      <c r="N315" s="6">
        <v>9.2100000000000009</v>
      </c>
      <c r="O315" s="6">
        <v>9.2100000000000009</v>
      </c>
      <c r="P315" s="6">
        <v>10</v>
      </c>
      <c r="Q315" s="4" t="s">
        <v>26</v>
      </c>
      <c r="R315" s="4">
        <v>0</v>
      </c>
      <c r="S315" s="4" t="s">
        <v>206</v>
      </c>
      <c r="T315" s="4" t="s">
        <v>367</v>
      </c>
      <c r="U315" s="4">
        <v>0</v>
      </c>
      <c r="V315" s="4">
        <v>41</v>
      </c>
      <c r="W315" s="4">
        <v>90</v>
      </c>
    </row>
    <row r="316" spans="1:23" ht="11.25" customHeight="1" x14ac:dyDescent="0.3">
      <c r="A316" s="4" t="s">
        <v>21</v>
      </c>
      <c r="B316" s="4" t="s">
        <v>22</v>
      </c>
      <c r="C316" s="4" t="s">
        <v>23</v>
      </c>
      <c r="D316" s="4" t="s">
        <v>24</v>
      </c>
      <c r="E316" s="4" t="s">
        <v>28</v>
      </c>
      <c r="F316" s="4" t="s">
        <v>25</v>
      </c>
      <c r="G316" s="4" t="s">
        <v>25</v>
      </c>
      <c r="H316" s="4" t="s">
        <v>25</v>
      </c>
      <c r="I316" s="5">
        <v>44470</v>
      </c>
      <c r="J316" s="6">
        <v>0</v>
      </c>
      <c r="K316" s="6">
        <v>0</v>
      </c>
      <c r="L316" s="6">
        <v>9.09</v>
      </c>
      <c r="M316" s="6">
        <v>9.09</v>
      </c>
      <c r="N316" s="6">
        <v>9.09</v>
      </c>
      <c r="O316" s="6">
        <v>9.09</v>
      </c>
      <c r="P316" s="6">
        <v>11</v>
      </c>
      <c r="Q316" s="4" t="s">
        <v>26</v>
      </c>
      <c r="R316" s="4">
        <v>0</v>
      </c>
      <c r="S316" s="4" t="s">
        <v>207</v>
      </c>
      <c r="T316" s="4" t="s">
        <v>368</v>
      </c>
      <c r="U316" s="4">
        <v>0</v>
      </c>
      <c r="V316" s="4">
        <v>41</v>
      </c>
      <c r="W316" s="4">
        <v>90</v>
      </c>
    </row>
    <row r="317" spans="1:23" ht="11.25" customHeight="1" x14ac:dyDescent="0.3">
      <c r="A317" s="4" t="s">
        <v>21</v>
      </c>
      <c r="B317" s="4" t="s">
        <v>22</v>
      </c>
      <c r="C317" s="4" t="s">
        <v>23</v>
      </c>
      <c r="D317" s="4" t="s">
        <v>24</v>
      </c>
      <c r="E317" s="4" t="s">
        <v>28</v>
      </c>
      <c r="F317" s="4" t="s">
        <v>25</v>
      </c>
      <c r="G317" s="4" t="s">
        <v>25</v>
      </c>
      <c r="H317" s="4" t="s">
        <v>25</v>
      </c>
      <c r="I317" s="5">
        <v>44501</v>
      </c>
      <c r="J317" s="6">
        <v>0</v>
      </c>
      <c r="K317" s="6">
        <v>0</v>
      </c>
      <c r="L317" s="6">
        <v>9.27</v>
      </c>
      <c r="M317" s="6">
        <v>9.27</v>
      </c>
      <c r="N317" s="6">
        <v>9.27</v>
      </c>
      <c r="O317" s="6">
        <v>9.27</v>
      </c>
      <c r="P317" s="6">
        <v>12</v>
      </c>
      <c r="Q317" s="4" t="s">
        <v>26</v>
      </c>
      <c r="R317" s="4">
        <v>0</v>
      </c>
      <c r="S317" s="4" t="s">
        <v>208</v>
      </c>
      <c r="T317" s="4" t="s">
        <v>369</v>
      </c>
      <c r="U317" s="4">
        <v>0</v>
      </c>
      <c r="V317" s="4">
        <v>41</v>
      </c>
      <c r="W317" s="4">
        <v>90</v>
      </c>
    </row>
    <row r="318" spans="1:23" ht="11.25" customHeight="1" x14ac:dyDescent="0.3">
      <c r="A318" s="4" t="s">
        <v>21</v>
      </c>
      <c r="B318" s="4" t="s">
        <v>22</v>
      </c>
      <c r="C318" s="4" t="s">
        <v>23</v>
      </c>
      <c r="D318" s="4" t="s">
        <v>24</v>
      </c>
      <c r="E318" s="4" t="s">
        <v>28</v>
      </c>
      <c r="F318" s="4" t="s">
        <v>25</v>
      </c>
      <c r="G318" s="4" t="s">
        <v>25</v>
      </c>
      <c r="H318" s="4" t="s">
        <v>25</v>
      </c>
      <c r="I318" s="5">
        <v>44531</v>
      </c>
      <c r="J318" s="6">
        <v>0</v>
      </c>
      <c r="K318" s="6">
        <v>0</v>
      </c>
      <c r="L318" s="6">
        <v>9.48</v>
      </c>
      <c r="M318" s="6">
        <v>9.48</v>
      </c>
      <c r="N318" s="6">
        <v>9.48</v>
      </c>
      <c r="O318" s="6">
        <v>9.48</v>
      </c>
      <c r="P318" s="6">
        <v>11</v>
      </c>
      <c r="Q318" s="4" t="s">
        <v>26</v>
      </c>
      <c r="R318" s="4">
        <v>0</v>
      </c>
      <c r="S318" s="4" t="s">
        <v>209</v>
      </c>
      <c r="T318" s="4" t="s">
        <v>370</v>
      </c>
      <c r="U318" s="4">
        <v>0</v>
      </c>
      <c r="V318" s="4">
        <v>41</v>
      </c>
      <c r="W318" s="4">
        <v>90</v>
      </c>
    </row>
    <row r="319" spans="1:23" ht="11.25" customHeight="1" x14ac:dyDescent="0.3">
      <c r="A319" s="4" t="s">
        <v>21</v>
      </c>
      <c r="B319" s="4" t="s">
        <v>22</v>
      </c>
      <c r="C319" s="4" t="s">
        <v>23</v>
      </c>
      <c r="D319" s="4" t="s">
        <v>24</v>
      </c>
      <c r="E319" s="4" t="s">
        <v>28</v>
      </c>
      <c r="F319" s="4" t="s">
        <v>25</v>
      </c>
      <c r="G319" s="4" t="s">
        <v>25</v>
      </c>
      <c r="H319" s="4" t="s">
        <v>25</v>
      </c>
      <c r="I319" s="5">
        <v>44562</v>
      </c>
      <c r="J319" s="6">
        <v>0</v>
      </c>
      <c r="K319" s="6">
        <v>0</v>
      </c>
      <c r="L319" s="6">
        <v>9.69</v>
      </c>
      <c r="M319" s="6">
        <v>9.69</v>
      </c>
      <c r="N319" s="6">
        <v>9.69</v>
      </c>
      <c r="O319" s="6">
        <v>9.69</v>
      </c>
      <c r="P319" s="6">
        <v>10</v>
      </c>
      <c r="Q319" s="4" t="s">
        <v>26</v>
      </c>
      <c r="R319" s="4">
        <v>0</v>
      </c>
      <c r="S319" s="4" t="s">
        <v>210</v>
      </c>
      <c r="T319" s="4" t="s">
        <v>371</v>
      </c>
      <c r="U319" s="4">
        <v>0</v>
      </c>
      <c r="V319" s="4">
        <v>41</v>
      </c>
      <c r="W319" s="4">
        <v>90</v>
      </c>
    </row>
    <row r="320" spans="1:23" ht="11.25" customHeight="1" x14ac:dyDescent="0.3">
      <c r="A320" s="4" t="s">
        <v>21</v>
      </c>
      <c r="B320" s="4" t="s">
        <v>22</v>
      </c>
      <c r="C320" s="4" t="s">
        <v>23</v>
      </c>
      <c r="D320" s="4" t="s">
        <v>24</v>
      </c>
      <c r="E320" s="4" t="s">
        <v>28</v>
      </c>
      <c r="F320" s="4" t="s">
        <v>25</v>
      </c>
      <c r="G320" s="4" t="s">
        <v>25</v>
      </c>
      <c r="H320" s="4" t="s">
        <v>25</v>
      </c>
      <c r="I320" s="5">
        <v>44593</v>
      </c>
      <c r="J320" s="6">
        <v>0</v>
      </c>
      <c r="K320" s="6">
        <v>0</v>
      </c>
      <c r="L320" s="6">
        <v>10.56</v>
      </c>
      <c r="M320" s="6">
        <v>10.56</v>
      </c>
      <c r="N320" s="6">
        <v>10.56</v>
      </c>
      <c r="O320" s="6">
        <v>10.56</v>
      </c>
      <c r="P320" s="6">
        <v>9</v>
      </c>
      <c r="Q320" s="4" t="s">
        <v>26</v>
      </c>
      <c r="R320" s="4">
        <v>0</v>
      </c>
      <c r="S320" s="4" t="s">
        <v>211</v>
      </c>
      <c r="T320" s="4" t="s">
        <v>372</v>
      </c>
      <c r="U320" s="4">
        <v>0</v>
      </c>
      <c r="V320" s="4">
        <v>41</v>
      </c>
      <c r="W320" s="4">
        <v>90</v>
      </c>
    </row>
    <row r="321" spans="1:23" ht="11.25" customHeight="1" x14ac:dyDescent="0.3">
      <c r="A321" s="4" t="s">
        <v>21</v>
      </c>
      <c r="B321" s="4" t="s">
        <v>22</v>
      </c>
      <c r="C321" s="4" t="s">
        <v>23</v>
      </c>
      <c r="D321" s="4" t="s">
        <v>24</v>
      </c>
      <c r="E321" s="4" t="s">
        <v>28</v>
      </c>
      <c r="F321" s="4" t="s">
        <v>25</v>
      </c>
      <c r="G321" s="4" t="s">
        <v>25</v>
      </c>
      <c r="H321" s="4" t="s">
        <v>25</v>
      </c>
      <c r="I321" s="5">
        <v>44621</v>
      </c>
      <c r="J321" s="6">
        <v>0</v>
      </c>
      <c r="K321" s="6">
        <v>0</v>
      </c>
      <c r="L321" s="6">
        <v>11.22</v>
      </c>
      <c r="M321" s="6">
        <v>11.22</v>
      </c>
      <c r="N321" s="6">
        <v>11.22</v>
      </c>
      <c r="O321" s="6">
        <v>11.22</v>
      </c>
      <c r="P321" s="6">
        <v>11</v>
      </c>
      <c r="Q321" s="4" t="s">
        <v>26</v>
      </c>
      <c r="R321" s="4">
        <v>0</v>
      </c>
      <c r="S321" s="4" t="s">
        <v>212</v>
      </c>
      <c r="T321" s="4" t="s">
        <v>373</v>
      </c>
      <c r="U321" s="4">
        <v>0</v>
      </c>
      <c r="V321" s="4">
        <v>41</v>
      </c>
      <c r="W321" s="4">
        <v>90</v>
      </c>
    </row>
    <row r="322" spans="1:23" ht="11.25" customHeight="1" x14ac:dyDescent="0.3">
      <c r="A322" s="4" t="s">
        <v>21</v>
      </c>
      <c r="B322" s="4" t="s">
        <v>22</v>
      </c>
      <c r="C322" s="4" t="s">
        <v>23</v>
      </c>
      <c r="D322" s="4" t="s">
        <v>24</v>
      </c>
      <c r="E322" s="4" t="s">
        <v>28</v>
      </c>
      <c r="F322" s="4" t="s">
        <v>25</v>
      </c>
      <c r="G322" s="4" t="s">
        <v>25</v>
      </c>
      <c r="H322" s="4" t="s">
        <v>25</v>
      </c>
      <c r="I322" s="5">
        <v>44652</v>
      </c>
      <c r="J322" s="6">
        <v>0</v>
      </c>
      <c r="K322" s="6">
        <v>0</v>
      </c>
      <c r="L322" s="6">
        <v>11.37</v>
      </c>
      <c r="M322" s="6">
        <v>11.37</v>
      </c>
      <c r="N322" s="6">
        <v>11.37</v>
      </c>
      <c r="O322" s="6">
        <v>11.37</v>
      </c>
      <c r="P322" s="6">
        <v>14</v>
      </c>
      <c r="Q322" s="4" t="s">
        <v>26</v>
      </c>
      <c r="R322" s="4">
        <v>0</v>
      </c>
      <c r="S322" s="4" t="s">
        <v>213</v>
      </c>
      <c r="T322" s="4" t="s">
        <v>374</v>
      </c>
      <c r="U322" s="4">
        <v>0</v>
      </c>
      <c r="V322" s="4">
        <v>41</v>
      </c>
      <c r="W322" s="4">
        <v>90</v>
      </c>
    </row>
    <row r="323" spans="1:23" ht="11.25" customHeight="1" x14ac:dyDescent="0.3">
      <c r="A323" s="4" t="s">
        <v>21</v>
      </c>
      <c r="B323" s="4" t="s">
        <v>22</v>
      </c>
      <c r="C323" s="4" t="s">
        <v>23</v>
      </c>
      <c r="D323" s="4" t="s">
        <v>24</v>
      </c>
      <c r="E323" s="4" t="s">
        <v>28</v>
      </c>
      <c r="F323" s="4" t="s">
        <v>25</v>
      </c>
      <c r="G323" s="4" t="s">
        <v>25</v>
      </c>
      <c r="H323" s="4" t="s">
        <v>25</v>
      </c>
      <c r="I323" s="5">
        <v>44682</v>
      </c>
      <c r="J323" s="6">
        <v>0</v>
      </c>
      <c r="K323" s="6">
        <v>0</v>
      </c>
      <c r="L323" s="6">
        <v>11.82</v>
      </c>
      <c r="M323" s="6">
        <v>11.82</v>
      </c>
      <c r="N323" s="6">
        <v>11.82</v>
      </c>
      <c r="O323" s="6">
        <v>11.82</v>
      </c>
      <c r="P323" s="6">
        <v>9</v>
      </c>
      <c r="Q323" s="4" t="s">
        <v>26</v>
      </c>
      <c r="R323" s="4">
        <v>0</v>
      </c>
      <c r="S323" s="4" t="s">
        <v>214</v>
      </c>
      <c r="T323" s="4" t="s">
        <v>375</v>
      </c>
      <c r="U323" s="4">
        <v>0</v>
      </c>
      <c r="V323" s="4">
        <v>41</v>
      </c>
      <c r="W323" s="4">
        <v>90</v>
      </c>
    </row>
    <row r="324" spans="1:23" ht="11.25" customHeight="1" x14ac:dyDescent="0.3">
      <c r="A324" s="4" t="s">
        <v>21</v>
      </c>
      <c r="B324" s="4" t="s">
        <v>22</v>
      </c>
      <c r="C324" s="4" t="s">
        <v>23</v>
      </c>
      <c r="D324" s="4" t="s">
        <v>24</v>
      </c>
      <c r="E324" s="4" t="s">
        <v>28</v>
      </c>
      <c r="F324" s="4" t="s">
        <v>25</v>
      </c>
      <c r="G324" s="4" t="s">
        <v>25</v>
      </c>
      <c r="H324" s="4" t="s">
        <v>25</v>
      </c>
      <c r="I324" s="5">
        <v>44713</v>
      </c>
      <c r="J324" s="6">
        <v>0</v>
      </c>
      <c r="K324" s="6">
        <v>0</v>
      </c>
      <c r="L324" s="6">
        <v>9.6300000000000008</v>
      </c>
      <c r="M324" s="6">
        <v>9.6300000000000008</v>
      </c>
      <c r="N324" s="6">
        <v>9.6300000000000008</v>
      </c>
      <c r="O324" s="6">
        <v>9.6300000000000008</v>
      </c>
      <c r="P324" s="6">
        <v>10</v>
      </c>
      <c r="Q324" s="4" t="s">
        <v>26</v>
      </c>
      <c r="R324" s="4">
        <v>0</v>
      </c>
      <c r="S324" s="4" t="s">
        <v>215</v>
      </c>
      <c r="T324" s="4" t="s">
        <v>376</v>
      </c>
      <c r="U324" s="4">
        <v>0</v>
      </c>
      <c r="V324" s="4">
        <v>41</v>
      </c>
      <c r="W324" s="4">
        <v>90</v>
      </c>
    </row>
    <row r="325" spans="1:23" ht="11.25" customHeight="1" x14ac:dyDescent="0.3">
      <c r="A325" s="4" t="s">
        <v>21</v>
      </c>
      <c r="B325" s="4" t="s">
        <v>22</v>
      </c>
      <c r="C325" s="4" t="s">
        <v>23</v>
      </c>
      <c r="D325" s="4" t="s">
        <v>24</v>
      </c>
      <c r="E325" s="4" t="s">
        <v>28</v>
      </c>
      <c r="F325" s="4" t="s">
        <v>25</v>
      </c>
      <c r="G325" s="4" t="s">
        <v>25</v>
      </c>
      <c r="H325" s="4" t="s">
        <v>25</v>
      </c>
      <c r="I325" s="5">
        <v>44743</v>
      </c>
      <c r="J325" s="6">
        <v>0</v>
      </c>
      <c r="K325" s="6">
        <v>0</v>
      </c>
      <c r="L325" s="6">
        <v>10.95</v>
      </c>
      <c r="M325" s="6">
        <v>10.95</v>
      </c>
      <c r="N325" s="6">
        <v>10.95</v>
      </c>
      <c r="O325" s="6">
        <v>10.95</v>
      </c>
      <c r="P325" s="6">
        <v>17</v>
      </c>
      <c r="Q325" s="4" t="s">
        <v>26</v>
      </c>
      <c r="R325" s="4">
        <v>0</v>
      </c>
      <c r="S325" s="4" t="s">
        <v>216</v>
      </c>
      <c r="T325" s="4" t="s">
        <v>377</v>
      </c>
      <c r="U325" s="4">
        <v>0</v>
      </c>
      <c r="V325" s="4">
        <v>41</v>
      </c>
      <c r="W325" s="4">
        <v>90</v>
      </c>
    </row>
    <row r="326" spans="1:23" ht="11.25" customHeight="1" x14ac:dyDescent="0.3">
      <c r="A326" s="4" t="s">
        <v>21</v>
      </c>
      <c r="B326" s="4" t="s">
        <v>22</v>
      </c>
      <c r="C326" s="4" t="s">
        <v>23</v>
      </c>
      <c r="D326" s="4" t="s">
        <v>24</v>
      </c>
      <c r="E326" s="4" t="s">
        <v>29</v>
      </c>
      <c r="F326" s="4" t="s">
        <v>25</v>
      </c>
      <c r="G326" s="4" t="s">
        <v>25</v>
      </c>
      <c r="H326" s="4" t="s">
        <v>25</v>
      </c>
      <c r="I326" s="5">
        <v>44409</v>
      </c>
      <c r="J326" s="6">
        <v>0</v>
      </c>
      <c r="K326" s="6">
        <v>0</v>
      </c>
      <c r="L326" s="6">
        <v>18.370999999999999</v>
      </c>
      <c r="M326" s="6">
        <v>18.370999999999999</v>
      </c>
      <c r="N326" s="6">
        <v>18.370999999999999</v>
      </c>
      <c r="O326" s="6">
        <v>18.370999999999999</v>
      </c>
      <c r="P326" s="6">
        <v>56</v>
      </c>
      <c r="Q326" s="4" t="s">
        <v>26</v>
      </c>
      <c r="R326" s="4">
        <v>0</v>
      </c>
      <c r="S326" s="4" t="s">
        <v>217</v>
      </c>
      <c r="T326" s="4" t="s">
        <v>378</v>
      </c>
      <c r="U326" s="4">
        <v>0</v>
      </c>
      <c r="V326" s="4">
        <v>42</v>
      </c>
      <c r="W326" s="4">
        <v>91</v>
      </c>
    </row>
    <row r="327" spans="1:23" ht="11.25" customHeight="1" x14ac:dyDescent="0.3">
      <c r="A327" s="4" t="s">
        <v>21</v>
      </c>
      <c r="B327" s="4" t="s">
        <v>22</v>
      </c>
      <c r="C327" s="4" t="s">
        <v>23</v>
      </c>
      <c r="D327" s="4" t="s">
        <v>24</v>
      </c>
      <c r="E327" s="4" t="s">
        <v>29</v>
      </c>
      <c r="F327" s="4" t="s">
        <v>25</v>
      </c>
      <c r="G327" s="4" t="s">
        <v>25</v>
      </c>
      <c r="H327" s="4" t="s">
        <v>25</v>
      </c>
      <c r="I327" s="5">
        <v>44440</v>
      </c>
      <c r="J327" s="6">
        <v>0</v>
      </c>
      <c r="K327" s="6">
        <v>0</v>
      </c>
      <c r="L327" s="6">
        <v>19.5</v>
      </c>
      <c r="M327" s="6">
        <v>19.5</v>
      </c>
      <c r="N327" s="6">
        <v>19.5</v>
      </c>
      <c r="O327" s="6">
        <v>19.5</v>
      </c>
      <c r="P327" s="6">
        <v>42</v>
      </c>
      <c r="Q327" s="4" t="s">
        <v>26</v>
      </c>
      <c r="R327" s="4">
        <v>0</v>
      </c>
      <c r="S327" s="4" t="s">
        <v>218</v>
      </c>
      <c r="T327" s="4" t="s">
        <v>379</v>
      </c>
      <c r="U327" s="4">
        <v>0</v>
      </c>
      <c r="V327" s="4">
        <v>42</v>
      </c>
      <c r="W327" s="4">
        <v>91</v>
      </c>
    </row>
    <row r="328" spans="1:23" ht="11.25" customHeight="1" x14ac:dyDescent="0.3">
      <c r="A328" s="4" t="s">
        <v>21</v>
      </c>
      <c r="B328" s="4" t="s">
        <v>22</v>
      </c>
      <c r="C328" s="4" t="s">
        <v>23</v>
      </c>
      <c r="D328" s="4" t="s">
        <v>24</v>
      </c>
      <c r="E328" s="4" t="s">
        <v>29</v>
      </c>
      <c r="F328" s="4" t="s">
        <v>25</v>
      </c>
      <c r="G328" s="4" t="s">
        <v>25</v>
      </c>
      <c r="H328" s="4" t="s">
        <v>25</v>
      </c>
      <c r="I328" s="5">
        <v>44470</v>
      </c>
      <c r="J328" s="6">
        <v>0</v>
      </c>
      <c r="K328" s="6">
        <v>0</v>
      </c>
      <c r="L328" s="6">
        <v>19.084</v>
      </c>
      <c r="M328" s="6">
        <v>19.084</v>
      </c>
      <c r="N328" s="6">
        <v>19.084</v>
      </c>
      <c r="O328" s="6">
        <v>19.084</v>
      </c>
      <c r="P328" s="6">
        <v>58</v>
      </c>
      <c r="Q328" s="4" t="s">
        <v>26</v>
      </c>
      <c r="R328" s="4">
        <v>0</v>
      </c>
      <c r="S328" s="4" t="s">
        <v>219</v>
      </c>
      <c r="T328" s="4" t="s">
        <v>380</v>
      </c>
      <c r="U328" s="4">
        <v>0</v>
      </c>
      <c r="V328" s="4">
        <v>42</v>
      </c>
      <c r="W328" s="4">
        <v>91</v>
      </c>
    </row>
    <row r="329" spans="1:23" ht="11.25" customHeight="1" x14ac:dyDescent="0.3">
      <c r="A329" s="4" t="s">
        <v>21</v>
      </c>
      <c r="B329" s="4" t="s">
        <v>22</v>
      </c>
      <c r="C329" s="4" t="s">
        <v>23</v>
      </c>
      <c r="D329" s="4" t="s">
        <v>24</v>
      </c>
      <c r="E329" s="4" t="s">
        <v>29</v>
      </c>
      <c r="F329" s="4" t="s">
        <v>25</v>
      </c>
      <c r="G329" s="4" t="s">
        <v>25</v>
      </c>
      <c r="H329" s="4" t="s">
        <v>25</v>
      </c>
      <c r="I329" s="5">
        <v>44501</v>
      </c>
      <c r="J329" s="6">
        <v>0</v>
      </c>
      <c r="K329" s="6">
        <v>0</v>
      </c>
      <c r="L329" s="6">
        <v>18.992999999999999</v>
      </c>
      <c r="M329" s="6">
        <v>18.992999999999999</v>
      </c>
      <c r="N329" s="6">
        <v>18.992999999999999</v>
      </c>
      <c r="O329" s="6">
        <v>18.992999999999999</v>
      </c>
      <c r="P329" s="6">
        <v>67</v>
      </c>
      <c r="Q329" s="4" t="s">
        <v>26</v>
      </c>
      <c r="R329" s="4">
        <v>0</v>
      </c>
      <c r="S329" s="4" t="s">
        <v>220</v>
      </c>
      <c r="T329" s="4" t="s">
        <v>381</v>
      </c>
      <c r="U329" s="4">
        <v>0</v>
      </c>
      <c r="V329" s="4">
        <v>42</v>
      </c>
      <c r="W329" s="4">
        <v>91</v>
      </c>
    </row>
    <row r="330" spans="1:23" ht="11.25" customHeight="1" x14ac:dyDescent="0.3">
      <c r="A330" s="4" t="s">
        <v>21</v>
      </c>
      <c r="B330" s="4" t="s">
        <v>22</v>
      </c>
      <c r="C330" s="4" t="s">
        <v>23</v>
      </c>
      <c r="D330" s="4" t="s">
        <v>24</v>
      </c>
      <c r="E330" s="4" t="s">
        <v>29</v>
      </c>
      <c r="F330" s="4" t="s">
        <v>25</v>
      </c>
      <c r="G330" s="4" t="s">
        <v>25</v>
      </c>
      <c r="H330" s="4" t="s">
        <v>25</v>
      </c>
      <c r="I330" s="5">
        <v>44531</v>
      </c>
      <c r="J330" s="6">
        <v>0</v>
      </c>
      <c r="K330" s="6">
        <v>0</v>
      </c>
      <c r="L330" s="6">
        <v>20.306999999999999</v>
      </c>
      <c r="M330" s="6">
        <v>20.306999999999999</v>
      </c>
      <c r="N330" s="6">
        <v>20.306999999999999</v>
      </c>
      <c r="O330" s="6">
        <v>20.306999999999999</v>
      </c>
      <c r="P330" s="6">
        <v>47</v>
      </c>
      <c r="Q330" s="4" t="s">
        <v>26</v>
      </c>
      <c r="R330" s="4">
        <v>0</v>
      </c>
      <c r="S330" s="4" t="s">
        <v>221</v>
      </c>
      <c r="T330" s="4" t="s">
        <v>382</v>
      </c>
      <c r="U330" s="4">
        <v>0</v>
      </c>
      <c r="V330" s="4">
        <v>42</v>
      </c>
      <c r="W330" s="4">
        <v>91</v>
      </c>
    </row>
    <row r="331" spans="1:23" ht="11.25" customHeight="1" x14ac:dyDescent="0.3">
      <c r="A331" s="4" t="s">
        <v>21</v>
      </c>
      <c r="B331" s="4" t="s">
        <v>22</v>
      </c>
      <c r="C331" s="4" t="s">
        <v>23</v>
      </c>
      <c r="D331" s="4" t="s">
        <v>24</v>
      </c>
      <c r="E331" s="4" t="s">
        <v>29</v>
      </c>
      <c r="F331" s="4" t="s">
        <v>25</v>
      </c>
      <c r="G331" s="4" t="s">
        <v>25</v>
      </c>
      <c r="H331" s="4" t="s">
        <v>25</v>
      </c>
      <c r="I331" s="5">
        <v>44562</v>
      </c>
      <c r="J331" s="6">
        <v>0</v>
      </c>
      <c r="K331" s="6">
        <v>0</v>
      </c>
      <c r="L331" s="6">
        <v>20.56</v>
      </c>
      <c r="M331" s="6">
        <v>20.56</v>
      </c>
      <c r="N331" s="6">
        <v>20.56</v>
      </c>
      <c r="O331" s="6">
        <v>20.56</v>
      </c>
      <c r="P331" s="6">
        <v>54</v>
      </c>
      <c r="Q331" s="4" t="s">
        <v>26</v>
      </c>
      <c r="R331" s="4">
        <v>0</v>
      </c>
      <c r="S331" s="4" t="s">
        <v>222</v>
      </c>
      <c r="T331" s="4" t="s">
        <v>383</v>
      </c>
      <c r="U331" s="4">
        <v>0</v>
      </c>
      <c r="V331" s="4">
        <v>42</v>
      </c>
      <c r="W331" s="4">
        <v>91</v>
      </c>
    </row>
    <row r="332" spans="1:23" ht="11.25" customHeight="1" x14ac:dyDescent="0.3">
      <c r="A332" s="4" t="s">
        <v>21</v>
      </c>
      <c r="B332" s="4" t="s">
        <v>22</v>
      </c>
      <c r="C332" s="4" t="s">
        <v>23</v>
      </c>
      <c r="D332" s="4" t="s">
        <v>24</v>
      </c>
      <c r="E332" s="4" t="s">
        <v>29</v>
      </c>
      <c r="F332" s="4" t="s">
        <v>25</v>
      </c>
      <c r="G332" s="4" t="s">
        <v>25</v>
      </c>
      <c r="H332" s="4" t="s">
        <v>25</v>
      </c>
      <c r="I332" s="5">
        <v>44593</v>
      </c>
      <c r="J332" s="6">
        <v>0</v>
      </c>
      <c r="K332" s="6">
        <v>0</v>
      </c>
      <c r="L332" s="6">
        <v>23.015999999999998</v>
      </c>
      <c r="M332" s="6">
        <v>23.015999999999998</v>
      </c>
      <c r="N332" s="6">
        <v>23.015999999999998</v>
      </c>
      <c r="O332" s="6">
        <v>23.015999999999998</v>
      </c>
      <c r="P332" s="6">
        <v>37</v>
      </c>
      <c r="Q332" s="4" t="s">
        <v>26</v>
      </c>
      <c r="R332" s="4">
        <v>0</v>
      </c>
      <c r="S332" s="4" t="s">
        <v>223</v>
      </c>
      <c r="T332" s="4" t="s">
        <v>384</v>
      </c>
      <c r="U332" s="4">
        <v>0</v>
      </c>
      <c r="V332" s="4">
        <v>42</v>
      </c>
      <c r="W332" s="4">
        <v>91</v>
      </c>
    </row>
    <row r="333" spans="1:23" ht="11.25" customHeight="1" x14ac:dyDescent="0.3">
      <c r="A333" s="4" t="s">
        <v>21</v>
      </c>
      <c r="B333" s="4" t="s">
        <v>22</v>
      </c>
      <c r="C333" s="4" t="s">
        <v>23</v>
      </c>
      <c r="D333" s="4" t="s">
        <v>24</v>
      </c>
      <c r="E333" s="4" t="s">
        <v>29</v>
      </c>
      <c r="F333" s="4" t="s">
        <v>25</v>
      </c>
      <c r="G333" s="4" t="s">
        <v>25</v>
      </c>
      <c r="H333" s="4" t="s">
        <v>25</v>
      </c>
      <c r="I333" s="5">
        <v>44621</v>
      </c>
      <c r="J333" s="6">
        <v>0</v>
      </c>
      <c r="K333" s="6">
        <v>0</v>
      </c>
      <c r="L333" s="6">
        <v>24</v>
      </c>
      <c r="M333" s="6">
        <v>24</v>
      </c>
      <c r="N333" s="6">
        <v>24</v>
      </c>
      <c r="O333" s="6">
        <v>24</v>
      </c>
      <c r="P333" s="6">
        <v>55</v>
      </c>
      <c r="Q333" s="4" t="s">
        <v>26</v>
      </c>
      <c r="R333" s="4">
        <v>0</v>
      </c>
      <c r="S333" s="4" t="s">
        <v>224</v>
      </c>
      <c r="T333" s="4" t="s">
        <v>385</v>
      </c>
      <c r="U333" s="4">
        <v>0</v>
      </c>
      <c r="V333" s="4">
        <v>42</v>
      </c>
      <c r="W333" s="4">
        <v>91</v>
      </c>
    </row>
    <row r="334" spans="1:23" ht="11.25" customHeight="1" x14ac:dyDescent="0.3">
      <c r="A334" s="4" t="s">
        <v>21</v>
      </c>
      <c r="B334" s="4" t="s">
        <v>22</v>
      </c>
      <c r="C334" s="4" t="s">
        <v>23</v>
      </c>
      <c r="D334" s="4" t="s">
        <v>24</v>
      </c>
      <c r="E334" s="4" t="s">
        <v>29</v>
      </c>
      <c r="F334" s="4" t="s">
        <v>25</v>
      </c>
      <c r="G334" s="4" t="s">
        <v>25</v>
      </c>
      <c r="H334" s="4" t="s">
        <v>25</v>
      </c>
      <c r="I334" s="5">
        <v>44652</v>
      </c>
      <c r="J334" s="6">
        <v>0</v>
      </c>
      <c r="K334" s="6">
        <v>0</v>
      </c>
      <c r="L334" s="6">
        <v>23.969000000000001</v>
      </c>
      <c r="M334" s="6">
        <v>23.969000000000001</v>
      </c>
      <c r="N334" s="6">
        <v>23.969000000000001</v>
      </c>
      <c r="O334" s="6">
        <v>23.969000000000001</v>
      </c>
      <c r="P334" s="6">
        <v>65</v>
      </c>
      <c r="Q334" s="4" t="s">
        <v>26</v>
      </c>
      <c r="R334" s="4">
        <v>0</v>
      </c>
      <c r="S334" s="4" t="s">
        <v>225</v>
      </c>
      <c r="T334" s="4" t="s">
        <v>386</v>
      </c>
      <c r="U334" s="4">
        <v>0</v>
      </c>
      <c r="V334" s="4">
        <v>42</v>
      </c>
      <c r="W334" s="4">
        <v>91</v>
      </c>
    </row>
    <row r="335" spans="1:23" ht="11.25" customHeight="1" x14ac:dyDescent="0.3">
      <c r="A335" s="4" t="s">
        <v>21</v>
      </c>
      <c r="B335" s="4" t="s">
        <v>22</v>
      </c>
      <c r="C335" s="4" t="s">
        <v>23</v>
      </c>
      <c r="D335" s="4" t="s">
        <v>24</v>
      </c>
      <c r="E335" s="4" t="s">
        <v>29</v>
      </c>
      <c r="F335" s="4" t="s">
        <v>25</v>
      </c>
      <c r="G335" s="4" t="s">
        <v>25</v>
      </c>
      <c r="H335" s="4" t="s">
        <v>25</v>
      </c>
      <c r="I335" s="5">
        <v>44682</v>
      </c>
      <c r="J335" s="6">
        <v>0</v>
      </c>
      <c r="K335" s="6">
        <v>0</v>
      </c>
      <c r="L335" s="6">
        <v>24.436</v>
      </c>
      <c r="M335" s="6">
        <v>24.436</v>
      </c>
      <c r="N335" s="6">
        <v>24.436</v>
      </c>
      <c r="O335" s="6">
        <v>24.436</v>
      </c>
      <c r="P335" s="6">
        <v>97</v>
      </c>
      <c r="Q335" s="4" t="s">
        <v>26</v>
      </c>
      <c r="R335" s="4">
        <v>0</v>
      </c>
      <c r="S335" s="4" t="s">
        <v>226</v>
      </c>
      <c r="T335" s="4" t="s">
        <v>387</v>
      </c>
      <c r="U335" s="4">
        <v>0</v>
      </c>
      <c r="V335" s="4">
        <v>42</v>
      </c>
      <c r="W335" s="4">
        <v>91</v>
      </c>
    </row>
    <row r="336" spans="1:23" ht="11.25" customHeight="1" x14ac:dyDescent="0.3">
      <c r="A336" s="4" t="s">
        <v>21</v>
      </c>
      <c r="B336" s="4" t="s">
        <v>22</v>
      </c>
      <c r="C336" s="4" t="s">
        <v>23</v>
      </c>
      <c r="D336" s="4" t="s">
        <v>24</v>
      </c>
      <c r="E336" s="4" t="s">
        <v>29</v>
      </c>
      <c r="F336" s="4" t="s">
        <v>25</v>
      </c>
      <c r="G336" s="4" t="s">
        <v>25</v>
      </c>
      <c r="H336" s="4" t="s">
        <v>25</v>
      </c>
      <c r="I336" s="5">
        <v>44713</v>
      </c>
      <c r="J336" s="6">
        <v>0</v>
      </c>
      <c r="K336" s="6">
        <v>0</v>
      </c>
      <c r="L336" s="6">
        <v>19.992999999999999</v>
      </c>
      <c r="M336" s="6">
        <v>19.992999999999999</v>
      </c>
      <c r="N336" s="6">
        <v>19.992999999999999</v>
      </c>
      <c r="O336" s="6">
        <v>19.992999999999999</v>
      </c>
      <c r="P336" s="6">
        <v>64</v>
      </c>
      <c r="Q336" s="4" t="s">
        <v>26</v>
      </c>
      <c r="R336" s="4">
        <v>0</v>
      </c>
      <c r="S336" s="4" t="s">
        <v>227</v>
      </c>
      <c r="T336" s="4" t="s">
        <v>388</v>
      </c>
      <c r="U336" s="4">
        <v>0</v>
      </c>
      <c r="V336" s="4">
        <v>42</v>
      </c>
      <c r="W336" s="4">
        <v>91</v>
      </c>
    </row>
    <row r="337" spans="1:23" ht="11.25" customHeight="1" x14ac:dyDescent="0.3">
      <c r="A337" s="4" t="s">
        <v>21</v>
      </c>
      <c r="B337" s="4" t="s">
        <v>22</v>
      </c>
      <c r="C337" s="4" t="s">
        <v>23</v>
      </c>
      <c r="D337" s="4" t="s">
        <v>24</v>
      </c>
      <c r="E337" s="4" t="s">
        <v>29</v>
      </c>
      <c r="F337" s="4" t="s">
        <v>25</v>
      </c>
      <c r="G337" s="4" t="s">
        <v>25</v>
      </c>
      <c r="H337" s="4" t="s">
        <v>25</v>
      </c>
      <c r="I337" s="5">
        <v>44743</v>
      </c>
      <c r="J337" s="6">
        <v>0</v>
      </c>
      <c r="K337" s="6">
        <v>0</v>
      </c>
      <c r="L337" s="6">
        <v>22.091000000000001</v>
      </c>
      <c r="M337" s="6">
        <v>22.091000000000001</v>
      </c>
      <c r="N337" s="6">
        <v>22.091000000000001</v>
      </c>
      <c r="O337" s="6">
        <v>22.091000000000001</v>
      </c>
      <c r="P337" s="6">
        <v>78</v>
      </c>
      <c r="Q337" s="4" t="s">
        <v>26</v>
      </c>
      <c r="R337" s="4">
        <v>0</v>
      </c>
      <c r="S337" s="4" t="s">
        <v>228</v>
      </c>
      <c r="T337" s="4" t="s">
        <v>389</v>
      </c>
      <c r="U337" s="4">
        <v>0</v>
      </c>
      <c r="V337" s="4">
        <v>42</v>
      </c>
      <c r="W337" s="4">
        <v>91</v>
      </c>
    </row>
    <row r="338" spans="1:23" ht="11.25" customHeight="1" x14ac:dyDescent="0.3">
      <c r="A338" s="4" t="s">
        <v>21</v>
      </c>
      <c r="B338" s="4" t="s">
        <v>22</v>
      </c>
      <c r="C338" s="4" t="s">
        <v>23</v>
      </c>
      <c r="D338" s="4" t="s">
        <v>24</v>
      </c>
      <c r="E338" s="4" t="s">
        <v>30</v>
      </c>
      <c r="F338" s="4" t="s">
        <v>25</v>
      </c>
      <c r="G338" s="4" t="s">
        <v>25</v>
      </c>
      <c r="H338" s="4" t="s">
        <v>25</v>
      </c>
      <c r="I338" s="5">
        <v>44409</v>
      </c>
      <c r="J338" s="6">
        <v>0</v>
      </c>
      <c r="K338" s="6">
        <v>0</v>
      </c>
      <c r="L338" s="6">
        <v>17.896999999999998</v>
      </c>
      <c r="M338" s="6">
        <v>17.896999999999998</v>
      </c>
      <c r="N338" s="6">
        <v>17.896999999999998</v>
      </c>
      <c r="O338" s="6">
        <v>17.896999999999998</v>
      </c>
      <c r="P338" s="6">
        <v>147</v>
      </c>
      <c r="Q338" s="4" t="s">
        <v>26</v>
      </c>
      <c r="R338" s="4">
        <v>0</v>
      </c>
      <c r="S338" s="4" t="s">
        <v>229</v>
      </c>
      <c r="T338" s="4" t="s">
        <v>390</v>
      </c>
      <c r="U338" s="4">
        <v>0</v>
      </c>
      <c r="V338" s="4">
        <v>45</v>
      </c>
      <c r="W338" s="4">
        <v>2</v>
      </c>
    </row>
    <row r="339" spans="1:23" ht="11.25" customHeight="1" x14ac:dyDescent="0.3">
      <c r="A339" s="4" t="s">
        <v>21</v>
      </c>
      <c r="B339" s="4" t="s">
        <v>22</v>
      </c>
      <c r="C339" s="4" t="s">
        <v>23</v>
      </c>
      <c r="D339" s="4" t="s">
        <v>24</v>
      </c>
      <c r="E339" s="4" t="s">
        <v>30</v>
      </c>
      <c r="F339" s="4" t="s">
        <v>25</v>
      </c>
      <c r="G339" s="4" t="s">
        <v>25</v>
      </c>
      <c r="H339" s="4" t="s">
        <v>25</v>
      </c>
      <c r="I339" s="5">
        <v>44440</v>
      </c>
      <c r="J339" s="6">
        <v>0</v>
      </c>
      <c r="K339" s="6">
        <v>0</v>
      </c>
      <c r="L339" s="6">
        <v>20.79</v>
      </c>
      <c r="M339" s="6">
        <v>20.79</v>
      </c>
      <c r="N339" s="6">
        <v>20.79</v>
      </c>
      <c r="O339" s="6">
        <v>20.79</v>
      </c>
      <c r="P339" s="6">
        <v>159</v>
      </c>
      <c r="Q339" s="4" t="s">
        <v>26</v>
      </c>
      <c r="R339" s="4">
        <v>0</v>
      </c>
      <c r="S339" s="4" t="s">
        <v>230</v>
      </c>
      <c r="T339" s="4" t="s">
        <v>391</v>
      </c>
      <c r="U339" s="4">
        <v>0</v>
      </c>
      <c r="V339" s="4">
        <v>45</v>
      </c>
      <c r="W339" s="4">
        <v>2</v>
      </c>
    </row>
    <row r="340" spans="1:23" ht="11.25" customHeight="1" x14ac:dyDescent="0.3">
      <c r="A340" s="4" t="s">
        <v>21</v>
      </c>
      <c r="B340" s="4" t="s">
        <v>22</v>
      </c>
      <c r="C340" s="4" t="s">
        <v>23</v>
      </c>
      <c r="D340" s="4" t="s">
        <v>24</v>
      </c>
      <c r="E340" s="4" t="s">
        <v>30</v>
      </c>
      <c r="F340" s="4" t="s">
        <v>25</v>
      </c>
      <c r="G340" s="4" t="s">
        <v>25</v>
      </c>
      <c r="H340" s="4" t="s">
        <v>25</v>
      </c>
      <c r="I340" s="5">
        <v>44470</v>
      </c>
      <c r="J340" s="6">
        <v>0</v>
      </c>
      <c r="K340" s="6">
        <v>0</v>
      </c>
      <c r="L340" s="6">
        <v>17.515999999999998</v>
      </c>
      <c r="M340" s="6">
        <v>17.515999999999998</v>
      </c>
      <c r="N340" s="6">
        <v>17.515999999999998</v>
      </c>
      <c r="O340" s="6">
        <v>17.515999999999998</v>
      </c>
      <c r="P340" s="6">
        <v>170</v>
      </c>
      <c r="Q340" s="4" t="s">
        <v>26</v>
      </c>
      <c r="R340" s="4">
        <v>0</v>
      </c>
      <c r="S340" s="4" t="s">
        <v>231</v>
      </c>
      <c r="T340" s="4" t="s">
        <v>392</v>
      </c>
      <c r="U340" s="4">
        <v>0</v>
      </c>
      <c r="V340" s="4">
        <v>45</v>
      </c>
      <c r="W340" s="4">
        <v>2</v>
      </c>
    </row>
    <row r="341" spans="1:23" ht="11.25" customHeight="1" x14ac:dyDescent="0.3">
      <c r="A341" s="4" t="s">
        <v>21</v>
      </c>
      <c r="B341" s="4" t="s">
        <v>22</v>
      </c>
      <c r="C341" s="4" t="s">
        <v>23</v>
      </c>
      <c r="D341" s="4" t="s">
        <v>24</v>
      </c>
      <c r="E341" s="4" t="s">
        <v>30</v>
      </c>
      <c r="F341" s="4" t="s">
        <v>25</v>
      </c>
      <c r="G341" s="4" t="s">
        <v>25</v>
      </c>
      <c r="H341" s="4" t="s">
        <v>25</v>
      </c>
      <c r="I341" s="5">
        <v>44501</v>
      </c>
      <c r="J341" s="6">
        <v>0</v>
      </c>
      <c r="K341" s="6">
        <v>0</v>
      </c>
      <c r="L341" s="6">
        <v>16.582999999999998</v>
      </c>
      <c r="M341" s="6">
        <v>16.582999999999998</v>
      </c>
      <c r="N341" s="6">
        <v>16.582999999999998</v>
      </c>
      <c r="O341" s="6">
        <v>16.582999999999998</v>
      </c>
      <c r="P341" s="6">
        <v>170</v>
      </c>
      <c r="Q341" s="4" t="s">
        <v>26</v>
      </c>
      <c r="R341" s="4">
        <v>0</v>
      </c>
      <c r="S341" s="4" t="s">
        <v>232</v>
      </c>
      <c r="T341" s="4" t="s">
        <v>393</v>
      </c>
      <c r="U341" s="4">
        <v>0</v>
      </c>
      <c r="V341" s="4">
        <v>45</v>
      </c>
      <c r="W341" s="4">
        <v>2</v>
      </c>
    </row>
    <row r="342" spans="1:23" ht="11.25" customHeight="1" x14ac:dyDescent="0.3">
      <c r="A342" s="4" t="s">
        <v>21</v>
      </c>
      <c r="B342" s="4" t="s">
        <v>22</v>
      </c>
      <c r="C342" s="4" t="s">
        <v>23</v>
      </c>
      <c r="D342" s="4" t="s">
        <v>24</v>
      </c>
      <c r="E342" s="4" t="s">
        <v>30</v>
      </c>
      <c r="F342" s="4" t="s">
        <v>25</v>
      </c>
      <c r="G342" s="4" t="s">
        <v>25</v>
      </c>
      <c r="H342" s="4" t="s">
        <v>25</v>
      </c>
      <c r="I342" s="5">
        <v>44531</v>
      </c>
      <c r="J342" s="6">
        <v>0</v>
      </c>
      <c r="K342" s="6">
        <v>0</v>
      </c>
      <c r="L342" s="6">
        <v>20.638999999999999</v>
      </c>
      <c r="M342" s="6">
        <v>20.638999999999999</v>
      </c>
      <c r="N342" s="6">
        <v>20.638999999999999</v>
      </c>
      <c r="O342" s="6">
        <v>20.638999999999999</v>
      </c>
      <c r="P342" s="6">
        <v>161</v>
      </c>
      <c r="Q342" s="4" t="s">
        <v>26</v>
      </c>
      <c r="R342" s="4">
        <v>0</v>
      </c>
      <c r="S342" s="4" t="s">
        <v>233</v>
      </c>
      <c r="T342" s="4" t="s">
        <v>394</v>
      </c>
      <c r="U342" s="4">
        <v>0</v>
      </c>
      <c r="V342" s="4">
        <v>45</v>
      </c>
      <c r="W342" s="4">
        <v>2</v>
      </c>
    </row>
    <row r="343" spans="1:23" ht="11.25" customHeight="1" x14ac:dyDescent="0.3">
      <c r="A343" s="4" t="s">
        <v>21</v>
      </c>
      <c r="B343" s="4" t="s">
        <v>22</v>
      </c>
      <c r="C343" s="4" t="s">
        <v>23</v>
      </c>
      <c r="D343" s="4" t="s">
        <v>24</v>
      </c>
      <c r="E343" s="4" t="s">
        <v>30</v>
      </c>
      <c r="F343" s="4" t="s">
        <v>25</v>
      </c>
      <c r="G343" s="4" t="s">
        <v>25</v>
      </c>
      <c r="H343" s="4" t="s">
        <v>25</v>
      </c>
      <c r="I343" s="5">
        <v>44562</v>
      </c>
      <c r="J343" s="6">
        <v>0</v>
      </c>
      <c r="K343" s="6">
        <v>0</v>
      </c>
      <c r="L343" s="6">
        <v>19.594000000000001</v>
      </c>
      <c r="M343" s="6">
        <v>19.594000000000001</v>
      </c>
      <c r="N343" s="6">
        <v>19.594000000000001</v>
      </c>
      <c r="O343" s="6">
        <v>19.594000000000001</v>
      </c>
      <c r="P343" s="6">
        <v>172</v>
      </c>
      <c r="Q343" s="4" t="s">
        <v>26</v>
      </c>
      <c r="R343" s="4">
        <v>0</v>
      </c>
      <c r="S343" s="4" t="s">
        <v>234</v>
      </c>
      <c r="T343" s="4" t="s">
        <v>395</v>
      </c>
      <c r="U343" s="4">
        <v>0</v>
      </c>
      <c r="V343" s="4">
        <v>45</v>
      </c>
      <c r="W343" s="4">
        <v>2</v>
      </c>
    </row>
    <row r="344" spans="1:23" ht="11.25" customHeight="1" x14ac:dyDescent="0.3">
      <c r="A344" s="4" t="s">
        <v>21</v>
      </c>
      <c r="B344" s="4" t="s">
        <v>22</v>
      </c>
      <c r="C344" s="4" t="s">
        <v>23</v>
      </c>
      <c r="D344" s="4" t="s">
        <v>24</v>
      </c>
      <c r="E344" s="4" t="s">
        <v>30</v>
      </c>
      <c r="F344" s="4" t="s">
        <v>25</v>
      </c>
      <c r="G344" s="4" t="s">
        <v>25</v>
      </c>
      <c r="H344" s="4" t="s">
        <v>25</v>
      </c>
      <c r="I344" s="5">
        <v>44593</v>
      </c>
      <c r="J344" s="6">
        <v>0</v>
      </c>
      <c r="K344" s="6">
        <v>0</v>
      </c>
      <c r="L344" s="6">
        <v>26.75</v>
      </c>
      <c r="M344" s="6">
        <v>26.75</v>
      </c>
      <c r="N344" s="6">
        <v>26.75</v>
      </c>
      <c r="O344" s="6">
        <v>26.75</v>
      </c>
      <c r="P344" s="6">
        <v>163</v>
      </c>
      <c r="Q344" s="4" t="s">
        <v>26</v>
      </c>
      <c r="R344" s="4">
        <v>0</v>
      </c>
      <c r="S344" s="4" t="s">
        <v>235</v>
      </c>
      <c r="T344" s="4" t="s">
        <v>396</v>
      </c>
      <c r="U344" s="4">
        <v>0</v>
      </c>
      <c r="V344" s="4">
        <v>45</v>
      </c>
      <c r="W344" s="4">
        <v>2</v>
      </c>
    </row>
    <row r="345" spans="1:23" ht="11.25" customHeight="1" x14ac:dyDescent="0.3">
      <c r="A345" s="4" t="s">
        <v>21</v>
      </c>
      <c r="B345" s="4" t="s">
        <v>22</v>
      </c>
      <c r="C345" s="4" t="s">
        <v>23</v>
      </c>
      <c r="D345" s="4" t="s">
        <v>24</v>
      </c>
      <c r="E345" s="4" t="s">
        <v>30</v>
      </c>
      <c r="F345" s="4" t="s">
        <v>25</v>
      </c>
      <c r="G345" s="4" t="s">
        <v>25</v>
      </c>
      <c r="H345" s="4" t="s">
        <v>25</v>
      </c>
      <c r="I345" s="5">
        <v>44621</v>
      </c>
      <c r="J345" s="6">
        <v>0</v>
      </c>
      <c r="K345" s="6">
        <v>0</v>
      </c>
      <c r="L345" s="6">
        <v>25.718</v>
      </c>
      <c r="M345" s="6">
        <v>25.718</v>
      </c>
      <c r="N345" s="6">
        <v>25.718</v>
      </c>
      <c r="O345" s="6">
        <v>25.718</v>
      </c>
      <c r="P345" s="6">
        <v>190</v>
      </c>
      <c r="Q345" s="4" t="s">
        <v>26</v>
      </c>
      <c r="R345" s="4">
        <v>0</v>
      </c>
      <c r="S345" s="4" t="s">
        <v>236</v>
      </c>
      <c r="T345" s="4" t="s">
        <v>397</v>
      </c>
      <c r="U345" s="4">
        <v>0</v>
      </c>
      <c r="V345" s="4">
        <v>45</v>
      </c>
      <c r="W345" s="4">
        <v>2</v>
      </c>
    </row>
    <row r="346" spans="1:23" ht="11.25" customHeight="1" x14ac:dyDescent="0.3">
      <c r="A346" s="4" t="s">
        <v>21</v>
      </c>
      <c r="B346" s="4" t="s">
        <v>22</v>
      </c>
      <c r="C346" s="4" t="s">
        <v>23</v>
      </c>
      <c r="D346" s="4" t="s">
        <v>24</v>
      </c>
      <c r="E346" s="4" t="s">
        <v>30</v>
      </c>
      <c r="F346" s="4" t="s">
        <v>25</v>
      </c>
      <c r="G346" s="4" t="s">
        <v>25</v>
      </c>
      <c r="H346" s="4" t="s">
        <v>25</v>
      </c>
      <c r="I346" s="5">
        <v>44652</v>
      </c>
      <c r="J346" s="6">
        <v>0</v>
      </c>
      <c r="K346" s="6">
        <v>0</v>
      </c>
      <c r="L346" s="6">
        <v>22.731999999999999</v>
      </c>
      <c r="M346" s="6">
        <v>22.731999999999999</v>
      </c>
      <c r="N346" s="6">
        <v>22.731999999999999</v>
      </c>
      <c r="O346" s="6">
        <v>22.731999999999999</v>
      </c>
      <c r="P346" s="6">
        <v>205</v>
      </c>
      <c r="Q346" s="4" t="s">
        <v>26</v>
      </c>
      <c r="R346" s="4">
        <v>0</v>
      </c>
      <c r="S346" s="4" t="s">
        <v>237</v>
      </c>
      <c r="T346" s="4" t="s">
        <v>398</v>
      </c>
      <c r="U346" s="4">
        <v>0</v>
      </c>
      <c r="V346" s="4">
        <v>45</v>
      </c>
      <c r="W346" s="4">
        <v>2</v>
      </c>
    </row>
    <row r="347" spans="1:23" ht="11.25" customHeight="1" x14ac:dyDescent="0.3">
      <c r="A347" s="4" t="s">
        <v>21</v>
      </c>
      <c r="B347" s="4" t="s">
        <v>22</v>
      </c>
      <c r="C347" s="4" t="s">
        <v>23</v>
      </c>
      <c r="D347" s="4" t="s">
        <v>24</v>
      </c>
      <c r="E347" s="4" t="s">
        <v>30</v>
      </c>
      <c r="F347" s="4" t="s">
        <v>25</v>
      </c>
      <c r="G347" s="4" t="s">
        <v>25</v>
      </c>
      <c r="H347" s="4" t="s">
        <v>25</v>
      </c>
      <c r="I347" s="5">
        <v>44682</v>
      </c>
      <c r="J347" s="6">
        <v>0</v>
      </c>
      <c r="K347" s="6">
        <v>0</v>
      </c>
      <c r="L347" s="6">
        <v>21.222999999999999</v>
      </c>
      <c r="M347" s="6">
        <v>21.222999999999999</v>
      </c>
      <c r="N347" s="6">
        <v>21.222999999999999</v>
      </c>
      <c r="O347" s="6">
        <v>21.222999999999999</v>
      </c>
      <c r="P347" s="6">
        <v>212</v>
      </c>
      <c r="Q347" s="4" t="s">
        <v>26</v>
      </c>
      <c r="R347" s="4">
        <v>0</v>
      </c>
      <c r="S347" s="4" t="s">
        <v>238</v>
      </c>
      <c r="T347" s="4" t="s">
        <v>399</v>
      </c>
      <c r="U347" s="4">
        <v>0</v>
      </c>
      <c r="V347" s="4">
        <v>45</v>
      </c>
      <c r="W347" s="4">
        <v>2</v>
      </c>
    </row>
    <row r="348" spans="1:23" ht="11.25" customHeight="1" x14ac:dyDescent="0.3">
      <c r="A348" s="4" t="s">
        <v>21</v>
      </c>
      <c r="B348" s="4" t="s">
        <v>22</v>
      </c>
      <c r="C348" s="4" t="s">
        <v>23</v>
      </c>
      <c r="D348" s="4" t="s">
        <v>24</v>
      </c>
      <c r="E348" s="4" t="s">
        <v>30</v>
      </c>
      <c r="F348" s="4" t="s">
        <v>25</v>
      </c>
      <c r="G348" s="4" t="s">
        <v>25</v>
      </c>
      <c r="H348" s="4" t="s">
        <v>25</v>
      </c>
      <c r="I348" s="5">
        <v>44713</v>
      </c>
      <c r="J348" s="6">
        <v>0</v>
      </c>
      <c r="K348" s="6">
        <v>0</v>
      </c>
      <c r="L348" s="6">
        <v>18.413</v>
      </c>
      <c r="M348" s="6">
        <v>18.413</v>
      </c>
      <c r="N348" s="6">
        <v>18.413</v>
      </c>
      <c r="O348" s="6">
        <v>18.413</v>
      </c>
      <c r="P348" s="6">
        <v>178</v>
      </c>
      <c r="Q348" s="4" t="s">
        <v>26</v>
      </c>
      <c r="R348" s="4">
        <v>0</v>
      </c>
      <c r="S348" s="4" t="s">
        <v>239</v>
      </c>
      <c r="T348" s="4" t="s">
        <v>400</v>
      </c>
      <c r="U348" s="4">
        <v>0</v>
      </c>
      <c r="V348" s="4">
        <v>45</v>
      </c>
      <c r="W348" s="4">
        <v>2</v>
      </c>
    </row>
    <row r="349" spans="1:23" ht="11.25" customHeight="1" x14ac:dyDescent="0.3">
      <c r="A349" s="4" t="s">
        <v>21</v>
      </c>
      <c r="B349" s="4" t="s">
        <v>22</v>
      </c>
      <c r="C349" s="4" t="s">
        <v>23</v>
      </c>
      <c r="D349" s="4" t="s">
        <v>24</v>
      </c>
      <c r="E349" s="4" t="s">
        <v>30</v>
      </c>
      <c r="F349" s="4" t="s">
        <v>25</v>
      </c>
      <c r="G349" s="4" t="s">
        <v>25</v>
      </c>
      <c r="H349" s="4" t="s">
        <v>25</v>
      </c>
      <c r="I349" s="5">
        <v>44743</v>
      </c>
      <c r="J349" s="6">
        <v>0</v>
      </c>
      <c r="K349" s="6">
        <v>0</v>
      </c>
      <c r="L349" s="6">
        <v>20.666</v>
      </c>
      <c r="M349" s="6">
        <v>20.666</v>
      </c>
      <c r="N349" s="6">
        <v>20.666</v>
      </c>
      <c r="O349" s="6">
        <v>20.666</v>
      </c>
      <c r="P349" s="6">
        <v>180</v>
      </c>
      <c r="Q349" s="4" t="s">
        <v>26</v>
      </c>
      <c r="R349" s="4">
        <v>0</v>
      </c>
      <c r="S349" s="4" t="s">
        <v>240</v>
      </c>
      <c r="T349" s="4" t="s">
        <v>401</v>
      </c>
      <c r="U349" s="4">
        <v>0</v>
      </c>
      <c r="V349" s="4">
        <v>45</v>
      </c>
      <c r="W349" s="4">
        <v>2</v>
      </c>
    </row>
    <row r="350" spans="1:23" ht="11.25" customHeight="1" x14ac:dyDescent="0.3">
      <c r="A350" s="4" t="s">
        <v>21</v>
      </c>
      <c r="B350" s="4" t="s">
        <v>22</v>
      </c>
      <c r="C350" s="4" t="s">
        <v>23</v>
      </c>
      <c r="D350" s="4" t="s">
        <v>24</v>
      </c>
      <c r="E350" s="4" t="s">
        <v>31</v>
      </c>
      <c r="F350" s="4" t="s">
        <v>25</v>
      </c>
      <c r="G350" s="4" t="s">
        <v>25</v>
      </c>
      <c r="H350" s="4" t="s">
        <v>25</v>
      </c>
      <c r="I350" s="5">
        <v>44409</v>
      </c>
      <c r="J350" s="6">
        <v>0</v>
      </c>
      <c r="K350" s="6">
        <v>0</v>
      </c>
      <c r="L350" s="6">
        <v>5.9829999999999997</v>
      </c>
      <c r="M350" s="6">
        <v>5.9829999999999997</v>
      </c>
      <c r="N350" s="6">
        <v>5.9829999999999997</v>
      </c>
      <c r="O350" s="6">
        <v>5.9829999999999997</v>
      </c>
      <c r="P350" s="6">
        <v>82</v>
      </c>
      <c r="Q350" s="4" t="s">
        <v>26</v>
      </c>
      <c r="R350" s="4">
        <v>0</v>
      </c>
      <c r="S350" s="4" t="s">
        <v>241</v>
      </c>
      <c r="T350" s="4" t="s">
        <v>402</v>
      </c>
      <c r="U350" s="4">
        <v>0</v>
      </c>
      <c r="V350" s="4">
        <v>46</v>
      </c>
      <c r="W350" s="4">
        <v>4</v>
      </c>
    </row>
    <row r="351" spans="1:23" ht="11.25" customHeight="1" x14ac:dyDescent="0.3">
      <c r="A351" s="4" t="s">
        <v>21</v>
      </c>
      <c r="B351" s="4" t="s">
        <v>22</v>
      </c>
      <c r="C351" s="4" t="s">
        <v>23</v>
      </c>
      <c r="D351" s="4" t="s">
        <v>24</v>
      </c>
      <c r="E351" s="4" t="s">
        <v>31</v>
      </c>
      <c r="F351" s="4" t="s">
        <v>25</v>
      </c>
      <c r="G351" s="4" t="s">
        <v>25</v>
      </c>
      <c r="H351" s="4" t="s">
        <v>25</v>
      </c>
      <c r="I351" s="5">
        <v>44440</v>
      </c>
      <c r="J351" s="6">
        <v>0</v>
      </c>
      <c r="K351" s="6">
        <v>0</v>
      </c>
      <c r="L351" s="6">
        <v>7.6020000000000003</v>
      </c>
      <c r="M351" s="6">
        <v>7.6020000000000003</v>
      </c>
      <c r="N351" s="6">
        <v>7.6020000000000003</v>
      </c>
      <c r="O351" s="6">
        <v>7.6020000000000003</v>
      </c>
      <c r="P351" s="6">
        <v>96</v>
      </c>
      <c r="Q351" s="4" t="s">
        <v>26</v>
      </c>
      <c r="R351" s="4">
        <v>0</v>
      </c>
      <c r="S351" s="4" t="s">
        <v>242</v>
      </c>
      <c r="T351" s="4" t="s">
        <v>403</v>
      </c>
      <c r="U351" s="4">
        <v>0</v>
      </c>
      <c r="V351" s="4">
        <v>46</v>
      </c>
      <c r="W351" s="4">
        <v>4</v>
      </c>
    </row>
    <row r="352" spans="1:23" ht="11.25" customHeight="1" x14ac:dyDescent="0.3">
      <c r="A352" s="4" t="s">
        <v>21</v>
      </c>
      <c r="B352" s="4" t="s">
        <v>22</v>
      </c>
      <c r="C352" s="4" t="s">
        <v>23</v>
      </c>
      <c r="D352" s="4" t="s">
        <v>24</v>
      </c>
      <c r="E352" s="4" t="s">
        <v>31</v>
      </c>
      <c r="F352" s="4" t="s">
        <v>25</v>
      </c>
      <c r="G352" s="4" t="s">
        <v>25</v>
      </c>
      <c r="H352" s="4" t="s">
        <v>25</v>
      </c>
      <c r="I352" s="5">
        <v>44470</v>
      </c>
      <c r="J352" s="6">
        <v>0</v>
      </c>
      <c r="K352" s="6">
        <v>0</v>
      </c>
      <c r="L352" s="6">
        <v>4.5890000000000004</v>
      </c>
      <c r="M352" s="6">
        <v>4.5890000000000004</v>
      </c>
      <c r="N352" s="6">
        <v>4.5890000000000004</v>
      </c>
      <c r="O352" s="6">
        <v>4.5890000000000004</v>
      </c>
      <c r="P352" s="6">
        <v>64</v>
      </c>
      <c r="Q352" s="4" t="s">
        <v>26</v>
      </c>
      <c r="R352" s="4">
        <v>0</v>
      </c>
      <c r="S352" s="4" t="s">
        <v>243</v>
      </c>
      <c r="T352" s="4" t="s">
        <v>404</v>
      </c>
      <c r="U352" s="4">
        <v>0</v>
      </c>
      <c r="V352" s="4">
        <v>46</v>
      </c>
      <c r="W352" s="4">
        <v>4</v>
      </c>
    </row>
    <row r="353" spans="1:23" ht="11.25" customHeight="1" x14ac:dyDescent="0.3">
      <c r="A353" s="4" t="s">
        <v>21</v>
      </c>
      <c r="B353" s="4" t="s">
        <v>22</v>
      </c>
      <c r="C353" s="4" t="s">
        <v>23</v>
      </c>
      <c r="D353" s="4" t="s">
        <v>24</v>
      </c>
      <c r="E353" s="4" t="s">
        <v>31</v>
      </c>
      <c r="F353" s="4" t="s">
        <v>25</v>
      </c>
      <c r="G353" s="4" t="s">
        <v>25</v>
      </c>
      <c r="H353" s="4" t="s">
        <v>25</v>
      </c>
      <c r="I353" s="5">
        <v>44501</v>
      </c>
      <c r="J353" s="6">
        <v>0</v>
      </c>
      <c r="K353" s="6">
        <v>0</v>
      </c>
      <c r="L353" s="6">
        <v>3.7509999999999999</v>
      </c>
      <c r="M353" s="6">
        <v>3.7509999999999999</v>
      </c>
      <c r="N353" s="6">
        <v>3.7509999999999999</v>
      </c>
      <c r="O353" s="6">
        <v>3.7509999999999999</v>
      </c>
      <c r="P353" s="6">
        <v>60</v>
      </c>
      <c r="Q353" s="4" t="s">
        <v>26</v>
      </c>
      <c r="R353" s="4">
        <v>0</v>
      </c>
      <c r="S353" s="4" t="s">
        <v>244</v>
      </c>
      <c r="T353" s="4" t="s">
        <v>405</v>
      </c>
      <c r="U353" s="4">
        <v>0</v>
      </c>
      <c r="V353" s="4">
        <v>46</v>
      </c>
      <c r="W353" s="4">
        <v>4</v>
      </c>
    </row>
    <row r="354" spans="1:23" ht="11.25" customHeight="1" x14ac:dyDescent="0.3">
      <c r="A354" s="4" t="s">
        <v>21</v>
      </c>
      <c r="B354" s="4" t="s">
        <v>22</v>
      </c>
      <c r="C354" s="4" t="s">
        <v>23</v>
      </c>
      <c r="D354" s="4" t="s">
        <v>24</v>
      </c>
      <c r="E354" s="4" t="s">
        <v>31</v>
      </c>
      <c r="F354" s="4" t="s">
        <v>25</v>
      </c>
      <c r="G354" s="4" t="s">
        <v>25</v>
      </c>
      <c r="H354" s="4" t="s">
        <v>25</v>
      </c>
      <c r="I354" s="5">
        <v>44531</v>
      </c>
      <c r="J354" s="6">
        <v>0</v>
      </c>
      <c r="K354" s="6">
        <v>0</v>
      </c>
      <c r="L354" s="6">
        <v>7.5640000000000001</v>
      </c>
      <c r="M354" s="6">
        <v>7.5640000000000001</v>
      </c>
      <c r="N354" s="6">
        <v>7.5640000000000001</v>
      </c>
      <c r="O354" s="6">
        <v>7.5640000000000001</v>
      </c>
      <c r="P354" s="6">
        <v>97</v>
      </c>
      <c r="Q354" s="4" t="s">
        <v>26</v>
      </c>
      <c r="R354" s="4">
        <v>0</v>
      </c>
      <c r="S354" s="4" t="s">
        <v>245</v>
      </c>
      <c r="T354" s="4" t="s">
        <v>406</v>
      </c>
      <c r="U354" s="4">
        <v>0</v>
      </c>
      <c r="V354" s="4">
        <v>46</v>
      </c>
      <c r="W354" s="4">
        <v>4</v>
      </c>
    </row>
    <row r="355" spans="1:23" ht="11.25" customHeight="1" x14ac:dyDescent="0.3">
      <c r="A355" s="4" t="s">
        <v>21</v>
      </c>
      <c r="B355" s="4" t="s">
        <v>22</v>
      </c>
      <c r="C355" s="4" t="s">
        <v>23</v>
      </c>
      <c r="D355" s="4" t="s">
        <v>24</v>
      </c>
      <c r="E355" s="4" t="s">
        <v>31</v>
      </c>
      <c r="F355" s="4" t="s">
        <v>25</v>
      </c>
      <c r="G355" s="4" t="s">
        <v>25</v>
      </c>
      <c r="H355" s="4" t="s">
        <v>25</v>
      </c>
      <c r="I355" s="5">
        <v>44562</v>
      </c>
      <c r="J355" s="6">
        <v>0</v>
      </c>
      <c r="K355" s="6">
        <v>0</v>
      </c>
      <c r="L355" s="6">
        <v>6.6920000000000002</v>
      </c>
      <c r="M355" s="6">
        <v>6.6920000000000002</v>
      </c>
      <c r="N355" s="6">
        <v>6.6920000000000002</v>
      </c>
      <c r="O355" s="6">
        <v>6.6920000000000002</v>
      </c>
      <c r="P355" s="6">
        <v>87</v>
      </c>
      <c r="Q355" s="4" t="s">
        <v>26</v>
      </c>
      <c r="R355" s="4">
        <v>0</v>
      </c>
      <c r="S355" s="4" t="s">
        <v>246</v>
      </c>
      <c r="T355" s="4" t="s">
        <v>407</v>
      </c>
      <c r="U355" s="4">
        <v>0</v>
      </c>
      <c r="V355" s="4">
        <v>46</v>
      </c>
      <c r="W355" s="4">
        <v>4</v>
      </c>
    </row>
    <row r="356" spans="1:23" ht="11.25" customHeight="1" x14ac:dyDescent="0.3">
      <c r="A356" s="4" t="s">
        <v>21</v>
      </c>
      <c r="B356" s="4" t="s">
        <v>22</v>
      </c>
      <c r="C356" s="4" t="s">
        <v>23</v>
      </c>
      <c r="D356" s="4" t="s">
        <v>24</v>
      </c>
      <c r="E356" s="4" t="s">
        <v>31</v>
      </c>
      <c r="F356" s="4" t="s">
        <v>25</v>
      </c>
      <c r="G356" s="4" t="s">
        <v>25</v>
      </c>
      <c r="H356" s="4" t="s">
        <v>25</v>
      </c>
      <c r="I356" s="5">
        <v>44593</v>
      </c>
      <c r="J356" s="6">
        <v>0</v>
      </c>
      <c r="K356" s="6">
        <v>0</v>
      </c>
      <c r="L356" s="6">
        <v>15.93</v>
      </c>
      <c r="M356" s="6">
        <v>15.93</v>
      </c>
      <c r="N356" s="6">
        <v>15.93</v>
      </c>
      <c r="O356" s="6">
        <v>15.93</v>
      </c>
      <c r="P356" s="6">
        <v>143</v>
      </c>
      <c r="Q356" s="4" t="s">
        <v>26</v>
      </c>
      <c r="R356" s="4">
        <v>0</v>
      </c>
      <c r="S356" s="4" t="s">
        <v>247</v>
      </c>
      <c r="T356" s="4" t="s">
        <v>408</v>
      </c>
      <c r="U356" s="4">
        <v>0</v>
      </c>
      <c r="V356" s="4">
        <v>46</v>
      </c>
      <c r="W356" s="4">
        <v>4</v>
      </c>
    </row>
    <row r="357" spans="1:23" ht="11.25" customHeight="1" x14ac:dyDescent="0.3">
      <c r="A357" s="4" t="s">
        <v>21</v>
      </c>
      <c r="B357" s="4" t="s">
        <v>22</v>
      </c>
      <c r="C357" s="4" t="s">
        <v>23</v>
      </c>
      <c r="D357" s="4" t="s">
        <v>24</v>
      </c>
      <c r="E357" s="4" t="s">
        <v>31</v>
      </c>
      <c r="F357" s="4" t="s">
        <v>25</v>
      </c>
      <c r="G357" s="4" t="s">
        <v>25</v>
      </c>
      <c r="H357" s="4" t="s">
        <v>25</v>
      </c>
      <c r="I357" s="5">
        <v>44621</v>
      </c>
      <c r="J357" s="6">
        <v>0</v>
      </c>
      <c r="K357" s="6">
        <v>0</v>
      </c>
      <c r="L357" s="6">
        <v>12.44</v>
      </c>
      <c r="M357" s="6">
        <v>12.44</v>
      </c>
      <c r="N357" s="6">
        <v>12.44</v>
      </c>
      <c r="O357" s="6">
        <v>12.44</v>
      </c>
      <c r="P357" s="6">
        <v>118</v>
      </c>
      <c r="Q357" s="4" t="s">
        <v>26</v>
      </c>
      <c r="R357" s="4">
        <v>0</v>
      </c>
      <c r="S357" s="4" t="s">
        <v>248</v>
      </c>
      <c r="T357" s="4" t="s">
        <v>409</v>
      </c>
      <c r="U357" s="4">
        <v>0</v>
      </c>
      <c r="V357" s="4">
        <v>46</v>
      </c>
      <c r="W357" s="4">
        <v>4</v>
      </c>
    </row>
    <row r="358" spans="1:23" ht="11.25" customHeight="1" x14ac:dyDescent="0.3">
      <c r="A358" s="4" t="s">
        <v>21</v>
      </c>
      <c r="B358" s="4" t="s">
        <v>22</v>
      </c>
      <c r="C358" s="4" t="s">
        <v>23</v>
      </c>
      <c r="D358" s="4" t="s">
        <v>24</v>
      </c>
      <c r="E358" s="4" t="s">
        <v>31</v>
      </c>
      <c r="F358" s="4" t="s">
        <v>25</v>
      </c>
      <c r="G358" s="4" t="s">
        <v>25</v>
      </c>
      <c r="H358" s="4" t="s">
        <v>25</v>
      </c>
      <c r="I358" s="5">
        <v>44652</v>
      </c>
      <c r="J358" s="6">
        <v>0</v>
      </c>
      <c r="K358" s="6">
        <v>0</v>
      </c>
      <c r="L358" s="6">
        <v>7.141</v>
      </c>
      <c r="M358" s="6">
        <v>7.141</v>
      </c>
      <c r="N358" s="6">
        <v>7.141</v>
      </c>
      <c r="O358" s="6">
        <v>7.141</v>
      </c>
      <c r="P358" s="6">
        <v>95</v>
      </c>
      <c r="Q358" s="4" t="s">
        <v>26</v>
      </c>
      <c r="R358" s="4">
        <v>0</v>
      </c>
      <c r="S358" s="4" t="s">
        <v>249</v>
      </c>
      <c r="T358" s="4" t="s">
        <v>410</v>
      </c>
      <c r="U358" s="4">
        <v>0</v>
      </c>
      <c r="V358" s="4">
        <v>46</v>
      </c>
      <c r="W358" s="4">
        <v>4</v>
      </c>
    </row>
    <row r="359" spans="1:23" ht="11.25" customHeight="1" x14ac:dyDescent="0.3">
      <c r="A359" s="4" t="s">
        <v>21</v>
      </c>
      <c r="B359" s="4" t="s">
        <v>22</v>
      </c>
      <c r="C359" s="4" t="s">
        <v>23</v>
      </c>
      <c r="D359" s="4" t="s">
        <v>24</v>
      </c>
      <c r="E359" s="4" t="s">
        <v>31</v>
      </c>
      <c r="F359" s="4" t="s">
        <v>25</v>
      </c>
      <c r="G359" s="4" t="s">
        <v>25</v>
      </c>
      <c r="H359" s="4" t="s">
        <v>25</v>
      </c>
      <c r="I359" s="5">
        <v>44682</v>
      </c>
      <c r="J359" s="6">
        <v>0</v>
      </c>
      <c r="K359" s="6">
        <v>0</v>
      </c>
      <c r="L359" s="6">
        <v>5.4130000000000003</v>
      </c>
      <c r="M359" s="6">
        <v>5.4130000000000003</v>
      </c>
      <c r="N359" s="6">
        <v>5.4130000000000003</v>
      </c>
      <c r="O359" s="6">
        <v>5.4130000000000003</v>
      </c>
      <c r="P359" s="6">
        <v>76</v>
      </c>
      <c r="Q359" s="4" t="s">
        <v>26</v>
      </c>
      <c r="R359" s="4">
        <v>0</v>
      </c>
      <c r="S359" s="4" t="s">
        <v>250</v>
      </c>
      <c r="T359" s="4" t="s">
        <v>411</v>
      </c>
      <c r="U359" s="4">
        <v>0</v>
      </c>
      <c r="V359" s="4">
        <v>46</v>
      </c>
      <c r="W359" s="4">
        <v>4</v>
      </c>
    </row>
    <row r="360" spans="1:23" ht="11.25" customHeight="1" x14ac:dyDescent="0.3">
      <c r="A360" s="4" t="s">
        <v>21</v>
      </c>
      <c r="B360" s="4" t="s">
        <v>22</v>
      </c>
      <c r="C360" s="4" t="s">
        <v>23</v>
      </c>
      <c r="D360" s="4" t="s">
        <v>24</v>
      </c>
      <c r="E360" s="4" t="s">
        <v>31</v>
      </c>
      <c r="F360" s="4" t="s">
        <v>25</v>
      </c>
      <c r="G360" s="4" t="s">
        <v>25</v>
      </c>
      <c r="H360" s="4" t="s">
        <v>25</v>
      </c>
      <c r="I360" s="5">
        <v>44713</v>
      </c>
      <c r="J360" s="6">
        <v>0</v>
      </c>
      <c r="K360" s="6">
        <v>0</v>
      </c>
      <c r="L360" s="6">
        <v>6.1180000000000003</v>
      </c>
      <c r="M360" s="6">
        <v>6.1180000000000003</v>
      </c>
      <c r="N360" s="6">
        <v>6.1180000000000003</v>
      </c>
      <c r="O360" s="6">
        <v>6.1180000000000003</v>
      </c>
      <c r="P360" s="6">
        <v>69</v>
      </c>
      <c r="Q360" s="4" t="s">
        <v>26</v>
      </c>
      <c r="R360" s="4">
        <v>0</v>
      </c>
      <c r="S360" s="4" t="s">
        <v>251</v>
      </c>
      <c r="T360" s="4" t="s">
        <v>412</v>
      </c>
      <c r="U360" s="4">
        <v>0</v>
      </c>
      <c r="V360" s="4">
        <v>46</v>
      </c>
      <c r="W360" s="4">
        <v>4</v>
      </c>
    </row>
    <row r="361" spans="1:23" ht="11.25" customHeight="1" x14ac:dyDescent="0.3">
      <c r="A361" s="4" t="s">
        <v>21</v>
      </c>
      <c r="B361" s="4" t="s">
        <v>22</v>
      </c>
      <c r="C361" s="4" t="s">
        <v>23</v>
      </c>
      <c r="D361" s="4" t="s">
        <v>24</v>
      </c>
      <c r="E361" s="4" t="s">
        <v>31</v>
      </c>
      <c r="F361" s="4" t="s">
        <v>25</v>
      </c>
      <c r="G361" s="4" t="s">
        <v>25</v>
      </c>
      <c r="H361" s="4" t="s">
        <v>25</v>
      </c>
      <c r="I361" s="5">
        <v>44743</v>
      </c>
      <c r="J361" s="6">
        <v>0</v>
      </c>
      <c r="K361" s="6">
        <v>0</v>
      </c>
      <c r="L361" s="6">
        <v>8.77</v>
      </c>
      <c r="M361" s="6">
        <v>8.77</v>
      </c>
      <c r="N361" s="6">
        <v>8.77</v>
      </c>
      <c r="O361" s="6">
        <v>8.77</v>
      </c>
      <c r="P361" s="6">
        <v>90</v>
      </c>
      <c r="Q361" s="4" t="s">
        <v>26</v>
      </c>
      <c r="R361" s="4">
        <v>0</v>
      </c>
      <c r="S361" s="4" t="s">
        <v>252</v>
      </c>
      <c r="T361" s="4" t="s">
        <v>413</v>
      </c>
      <c r="U361" s="4">
        <v>0</v>
      </c>
      <c r="V361" s="4">
        <v>46</v>
      </c>
      <c r="W361" s="4">
        <v>4</v>
      </c>
    </row>
    <row r="362" spans="1:23" ht="11.25" customHeight="1" x14ac:dyDescent="0.3">
      <c r="A362" s="4" t="s">
        <v>21</v>
      </c>
      <c r="B362" s="4" t="s">
        <v>41</v>
      </c>
      <c r="C362" s="4" t="s">
        <v>23</v>
      </c>
      <c r="D362" s="4" t="s">
        <v>42</v>
      </c>
      <c r="E362" s="4" t="s">
        <v>50</v>
      </c>
      <c r="F362" s="4" t="s">
        <v>51</v>
      </c>
      <c r="G362" s="4" t="s">
        <v>25</v>
      </c>
      <c r="H362" s="4" t="s">
        <v>25</v>
      </c>
      <c r="I362" s="5">
        <v>44409</v>
      </c>
      <c r="J362" s="6">
        <v>0</v>
      </c>
      <c r="K362" s="6">
        <v>0</v>
      </c>
      <c r="L362" s="6">
        <v>0.1</v>
      </c>
      <c r="M362" s="6">
        <v>0.1</v>
      </c>
      <c r="N362" s="6">
        <v>0.1</v>
      </c>
      <c r="O362" s="6">
        <v>0.1</v>
      </c>
      <c r="P362" s="6">
        <v>0</v>
      </c>
      <c r="Q362" s="4" t="s">
        <v>26</v>
      </c>
      <c r="R362" s="4">
        <v>0</v>
      </c>
      <c r="S362" s="4" t="s">
        <v>253</v>
      </c>
      <c r="T362" s="4" t="s">
        <v>414</v>
      </c>
      <c r="U362" s="4">
        <v>0</v>
      </c>
      <c r="V362" s="4">
        <v>62</v>
      </c>
      <c r="W362" s="4">
        <v>23</v>
      </c>
    </row>
    <row r="363" spans="1:23" ht="11.25" customHeight="1" x14ac:dyDescent="0.3">
      <c r="A363" s="4" t="s">
        <v>21</v>
      </c>
      <c r="B363" s="4" t="s">
        <v>41</v>
      </c>
      <c r="C363" s="4" t="s">
        <v>23</v>
      </c>
      <c r="D363" s="4" t="s">
        <v>42</v>
      </c>
      <c r="E363" s="4" t="s">
        <v>50</v>
      </c>
      <c r="F363" s="4" t="s">
        <v>51</v>
      </c>
      <c r="G363" s="4" t="s">
        <v>25</v>
      </c>
      <c r="H363" s="4" t="s">
        <v>25</v>
      </c>
      <c r="I363" s="5">
        <v>44440</v>
      </c>
      <c r="J363" s="6">
        <v>0</v>
      </c>
      <c r="K363" s="6">
        <v>0</v>
      </c>
      <c r="L363" s="6">
        <v>0.1</v>
      </c>
      <c r="M363" s="6">
        <v>0.1</v>
      </c>
      <c r="N363" s="6">
        <v>0.1</v>
      </c>
      <c r="O363" s="6">
        <v>0.1</v>
      </c>
      <c r="P363" s="6">
        <v>0</v>
      </c>
      <c r="Q363" s="4" t="s">
        <v>26</v>
      </c>
      <c r="R363" s="4">
        <v>0</v>
      </c>
      <c r="S363" s="4" t="s">
        <v>254</v>
      </c>
      <c r="T363" s="4" t="s">
        <v>415</v>
      </c>
      <c r="U363" s="4">
        <v>0</v>
      </c>
      <c r="V363" s="4">
        <v>62</v>
      </c>
      <c r="W363" s="4">
        <v>23</v>
      </c>
    </row>
    <row r="364" spans="1:23" ht="11.25" customHeight="1" x14ac:dyDescent="0.3">
      <c r="A364" s="4" t="s">
        <v>21</v>
      </c>
      <c r="B364" s="4" t="s">
        <v>41</v>
      </c>
      <c r="C364" s="4" t="s">
        <v>23</v>
      </c>
      <c r="D364" s="4" t="s">
        <v>42</v>
      </c>
      <c r="E364" s="4" t="s">
        <v>50</v>
      </c>
      <c r="F364" s="4" t="s">
        <v>51</v>
      </c>
      <c r="G364" s="4" t="s">
        <v>25</v>
      </c>
      <c r="H364" s="4" t="s">
        <v>25</v>
      </c>
      <c r="I364" s="5">
        <v>44470</v>
      </c>
      <c r="J364" s="6">
        <v>0</v>
      </c>
      <c r="K364" s="6">
        <v>0</v>
      </c>
      <c r="L364" s="6">
        <v>0.221</v>
      </c>
      <c r="M364" s="6">
        <v>0.221</v>
      </c>
      <c r="N364" s="6">
        <v>0.221</v>
      </c>
      <c r="O364" s="6">
        <v>0.221</v>
      </c>
      <c r="P364" s="6">
        <v>0</v>
      </c>
      <c r="Q364" s="4" t="s">
        <v>26</v>
      </c>
      <c r="R364" s="4">
        <v>0</v>
      </c>
      <c r="S364" s="4" t="s">
        <v>255</v>
      </c>
      <c r="T364" s="4" t="s">
        <v>416</v>
      </c>
      <c r="U364" s="4">
        <v>0</v>
      </c>
      <c r="V364" s="4">
        <v>62</v>
      </c>
      <c r="W364" s="4">
        <v>23</v>
      </c>
    </row>
    <row r="365" spans="1:23" ht="11.25" customHeight="1" x14ac:dyDescent="0.3">
      <c r="A365" s="4" t="s">
        <v>21</v>
      </c>
      <c r="B365" s="4" t="s">
        <v>41</v>
      </c>
      <c r="C365" s="4" t="s">
        <v>23</v>
      </c>
      <c r="D365" s="4" t="s">
        <v>42</v>
      </c>
      <c r="E365" s="4" t="s">
        <v>50</v>
      </c>
      <c r="F365" s="4" t="s">
        <v>51</v>
      </c>
      <c r="G365" s="4" t="s">
        <v>25</v>
      </c>
      <c r="H365" s="4" t="s">
        <v>25</v>
      </c>
      <c r="I365" s="5">
        <v>44501</v>
      </c>
      <c r="J365" s="6">
        <v>0</v>
      </c>
      <c r="K365" s="6">
        <v>0</v>
      </c>
      <c r="L365" s="6">
        <v>0.16200000000000001</v>
      </c>
      <c r="M365" s="6">
        <v>0.16200000000000001</v>
      </c>
      <c r="N365" s="6">
        <v>0.16200000000000001</v>
      </c>
      <c r="O365" s="6">
        <v>0.16200000000000001</v>
      </c>
      <c r="P365" s="6">
        <v>0</v>
      </c>
      <c r="Q365" s="4" t="s">
        <v>26</v>
      </c>
      <c r="R365" s="4">
        <v>0</v>
      </c>
      <c r="S365" s="4" t="s">
        <v>256</v>
      </c>
      <c r="T365" s="4" t="s">
        <v>417</v>
      </c>
      <c r="U365" s="4">
        <v>0</v>
      </c>
      <c r="V365" s="4">
        <v>62</v>
      </c>
      <c r="W365" s="4">
        <v>23</v>
      </c>
    </row>
    <row r="366" spans="1:23" ht="11.25" customHeight="1" x14ac:dyDescent="0.3">
      <c r="A366" s="4" t="s">
        <v>21</v>
      </c>
      <c r="B366" s="4" t="s">
        <v>41</v>
      </c>
      <c r="C366" s="4" t="s">
        <v>23</v>
      </c>
      <c r="D366" s="4" t="s">
        <v>42</v>
      </c>
      <c r="E366" s="4" t="s">
        <v>50</v>
      </c>
      <c r="F366" s="4" t="s">
        <v>51</v>
      </c>
      <c r="G366" s="4" t="s">
        <v>25</v>
      </c>
      <c r="H366" s="4" t="s">
        <v>25</v>
      </c>
      <c r="I366" s="5">
        <v>44531</v>
      </c>
      <c r="J366" s="6">
        <v>0</v>
      </c>
      <c r="K366" s="6">
        <v>0</v>
      </c>
      <c r="L366" s="6">
        <v>0.20599999999999999</v>
      </c>
      <c r="M366" s="6">
        <v>0.20599999999999999</v>
      </c>
      <c r="N366" s="6">
        <v>0.20599999999999999</v>
      </c>
      <c r="O366" s="6">
        <v>0.20599999999999999</v>
      </c>
      <c r="P366" s="6">
        <v>0</v>
      </c>
      <c r="Q366" s="4" t="s">
        <v>26</v>
      </c>
      <c r="R366" s="4">
        <v>0</v>
      </c>
      <c r="S366" s="4" t="s">
        <v>257</v>
      </c>
      <c r="T366" s="4" t="s">
        <v>418</v>
      </c>
      <c r="U366" s="4">
        <v>0</v>
      </c>
      <c r="V366" s="4">
        <v>62</v>
      </c>
      <c r="W366" s="4">
        <v>23</v>
      </c>
    </row>
    <row r="367" spans="1:23" ht="11.25" customHeight="1" x14ac:dyDescent="0.3">
      <c r="A367" s="4" t="s">
        <v>21</v>
      </c>
      <c r="B367" s="4" t="s">
        <v>41</v>
      </c>
      <c r="C367" s="4" t="s">
        <v>23</v>
      </c>
      <c r="D367" s="4" t="s">
        <v>42</v>
      </c>
      <c r="E367" s="4" t="s">
        <v>50</v>
      </c>
      <c r="F367" s="4" t="s">
        <v>51</v>
      </c>
      <c r="G367" s="4" t="s">
        <v>25</v>
      </c>
      <c r="H367" s="4" t="s">
        <v>25</v>
      </c>
      <c r="I367" s="5">
        <v>44562</v>
      </c>
      <c r="J367" s="6">
        <v>0</v>
      </c>
      <c r="K367" s="6">
        <v>0</v>
      </c>
      <c r="L367" s="6">
        <v>0.1</v>
      </c>
      <c r="M367" s="6">
        <v>0.1</v>
      </c>
      <c r="N367" s="6">
        <v>0.1</v>
      </c>
      <c r="O367" s="6">
        <v>0.1</v>
      </c>
      <c r="P367" s="6">
        <v>0</v>
      </c>
      <c r="Q367" s="4" t="s">
        <v>26</v>
      </c>
      <c r="R367" s="4">
        <v>0</v>
      </c>
      <c r="S367" s="4" t="s">
        <v>258</v>
      </c>
      <c r="T367" s="4" t="s">
        <v>419</v>
      </c>
      <c r="U367" s="4">
        <v>0</v>
      </c>
      <c r="V367" s="4">
        <v>62</v>
      </c>
      <c r="W367" s="4">
        <v>23</v>
      </c>
    </row>
    <row r="368" spans="1:23" ht="11.25" customHeight="1" x14ac:dyDescent="0.3">
      <c r="A368" s="4" t="s">
        <v>21</v>
      </c>
      <c r="B368" s="4" t="s">
        <v>41</v>
      </c>
      <c r="C368" s="4" t="s">
        <v>23</v>
      </c>
      <c r="D368" s="4" t="s">
        <v>42</v>
      </c>
      <c r="E368" s="4" t="s">
        <v>50</v>
      </c>
      <c r="F368" s="4" t="s">
        <v>51</v>
      </c>
      <c r="G368" s="4" t="s">
        <v>25</v>
      </c>
      <c r="H368" s="4" t="s">
        <v>25</v>
      </c>
      <c r="I368" s="5">
        <v>44593</v>
      </c>
      <c r="J368" s="6">
        <v>0</v>
      </c>
      <c r="K368" s="6">
        <v>0</v>
      </c>
      <c r="L368" s="6">
        <v>0.5</v>
      </c>
      <c r="M368" s="6">
        <v>0.5</v>
      </c>
      <c r="N368" s="6">
        <v>0.5</v>
      </c>
      <c r="O368" s="6">
        <v>0.5</v>
      </c>
      <c r="P368" s="6">
        <v>0</v>
      </c>
      <c r="Q368" s="4" t="s">
        <v>26</v>
      </c>
      <c r="R368" s="4">
        <v>0</v>
      </c>
      <c r="S368" s="4" t="s">
        <v>259</v>
      </c>
      <c r="T368" s="4" t="s">
        <v>420</v>
      </c>
      <c r="U368" s="4">
        <v>0</v>
      </c>
      <c r="V368" s="4">
        <v>62</v>
      </c>
      <c r="W368" s="4">
        <v>23</v>
      </c>
    </row>
    <row r="369" spans="1:23" ht="11.25" customHeight="1" x14ac:dyDescent="0.3">
      <c r="A369" s="4" t="s">
        <v>21</v>
      </c>
      <c r="B369" s="4" t="s">
        <v>41</v>
      </c>
      <c r="C369" s="4" t="s">
        <v>23</v>
      </c>
      <c r="D369" s="4" t="s">
        <v>42</v>
      </c>
      <c r="E369" s="4" t="s">
        <v>50</v>
      </c>
      <c r="F369" s="4" t="s">
        <v>51</v>
      </c>
      <c r="G369" s="4" t="s">
        <v>25</v>
      </c>
      <c r="H369" s="4" t="s">
        <v>25</v>
      </c>
      <c r="I369" s="5">
        <v>44621</v>
      </c>
      <c r="J369" s="6">
        <v>0</v>
      </c>
      <c r="K369" s="6">
        <v>0</v>
      </c>
      <c r="L369" s="6">
        <v>0.313</v>
      </c>
      <c r="M369" s="6">
        <v>0.313</v>
      </c>
      <c r="N369" s="6">
        <v>0.313</v>
      </c>
      <c r="O369" s="6">
        <v>0.313</v>
      </c>
      <c r="P369" s="6">
        <v>0</v>
      </c>
      <c r="Q369" s="4" t="s">
        <v>26</v>
      </c>
      <c r="R369" s="4">
        <v>0</v>
      </c>
      <c r="S369" s="4" t="s">
        <v>260</v>
      </c>
      <c r="T369" s="4" t="s">
        <v>421</v>
      </c>
      <c r="U369" s="4">
        <v>0</v>
      </c>
      <c r="V369" s="4">
        <v>62</v>
      </c>
      <c r="W369" s="4">
        <v>23</v>
      </c>
    </row>
    <row r="370" spans="1:23" ht="11.25" customHeight="1" x14ac:dyDescent="0.3">
      <c r="A370" s="4" t="s">
        <v>21</v>
      </c>
      <c r="B370" s="4" t="s">
        <v>41</v>
      </c>
      <c r="C370" s="4" t="s">
        <v>23</v>
      </c>
      <c r="D370" s="4" t="s">
        <v>42</v>
      </c>
      <c r="E370" s="4" t="s">
        <v>50</v>
      </c>
      <c r="F370" s="4" t="s">
        <v>51</v>
      </c>
      <c r="G370" s="4" t="s">
        <v>25</v>
      </c>
      <c r="H370" s="4" t="s">
        <v>25</v>
      </c>
      <c r="I370" s="5">
        <v>44652</v>
      </c>
      <c r="J370" s="6">
        <v>0</v>
      </c>
      <c r="K370" s="6">
        <v>0</v>
      </c>
      <c r="L370" s="6">
        <v>0.24299999999999999</v>
      </c>
      <c r="M370" s="6">
        <v>0.24299999999999999</v>
      </c>
      <c r="N370" s="6">
        <v>0.24299999999999999</v>
      </c>
      <c r="O370" s="6">
        <v>0.24299999999999999</v>
      </c>
      <c r="P370" s="6">
        <v>0</v>
      </c>
      <c r="Q370" s="4" t="s">
        <v>26</v>
      </c>
      <c r="R370" s="4">
        <v>0</v>
      </c>
      <c r="S370" s="4" t="s">
        <v>261</v>
      </c>
      <c r="T370" s="4" t="s">
        <v>422</v>
      </c>
      <c r="U370" s="4">
        <v>0</v>
      </c>
      <c r="V370" s="4">
        <v>62</v>
      </c>
      <c r="W370" s="4">
        <v>23</v>
      </c>
    </row>
    <row r="371" spans="1:23" ht="11.25" customHeight="1" x14ac:dyDescent="0.3">
      <c r="A371" s="4" t="s">
        <v>21</v>
      </c>
      <c r="B371" s="4" t="s">
        <v>41</v>
      </c>
      <c r="C371" s="4" t="s">
        <v>23</v>
      </c>
      <c r="D371" s="4" t="s">
        <v>42</v>
      </c>
      <c r="E371" s="4" t="s">
        <v>50</v>
      </c>
      <c r="F371" s="4" t="s">
        <v>51</v>
      </c>
      <c r="G371" s="4" t="s">
        <v>25</v>
      </c>
      <c r="H371" s="4" t="s">
        <v>25</v>
      </c>
      <c r="I371" s="5">
        <v>44682</v>
      </c>
      <c r="J371" s="6">
        <v>0</v>
      </c>
      <c r="K371" s="6">
        <v>0</v>
      </c>
      <c r="L371" s="6">
        <v>0.309</v>
      </c>
      <c r="M371" s="6">
        <v>0.309</v>
      </c>
      <c r="N371" s="6">
        <v>0.309</v>
      </c>
      <c r="O371" s="6">
        <v>0.309</v>
      </c>
      <c r="P371" s="6">
        <v>0</v>
      </c>
      <c r="Q371" s="4" t="s">
        <v>26</v>
      </c>
      <c r="R371" s="4">
        <v>0</v>
      </c>
      <c r="S371" s="4" t="s">
        <v>262</v>
      </c>
      <c r="T371" s="4" t="s">
        <v>423</v>
      </c>
      <c r="U371" s="4">
        <v>0</v>
      </c>
      <c r="V371" s="4">
        <v>62</v>
      </c>
      <c r="W371" s="4">
        <v>23</v>
      </c>
    </row>
    <row r="372" spans="1:23" ht="11.25" customHeight="1" x14ac:dyDescent="0.3">
      <c r="A372" s="4" t="s">
        <v>21</v>
      </c>
      <c r="B372" s="4" t="s">
        <v>41</v>
      </c>
      <c r="C372" s="4" t="s">
        <v>23</v>
      </c>
      <c r="D372" s="4" t="s">
        <v>42</v>
      </c>
      <c r="E372" s="4" t="s">
        <v>50</v>
      </c>
      <c r="F372" s="4" t="s">
        <v>51</v>
      </c>
      <c r="G372" s="4" t="s">
        <v>25</v>
      </c>
      <c r="H372" s="4" t="s">
        <v>25</v>
      </c>
      <c r="I372" s="5">
        <v>44713</v>
      </c>
      <c r="J372" s="6">
        <v>0</v>
      </c>
      <c r="K372" s="6">
        <v>0</v>
      </c>
      <c r="L372" s="6">
        <v>0.2</v>
      </c>
      <c r="M372" s="6">
        <v>0.2</v>
      </c>
      <c r="N372" s="6">
        <v>0.2</v>
      </c>
      <c r="O372" s="6">
        <v>0.2</v>
      </c>
      <c r="P372" s="6">
        <v>0</v>
      </c>
      <c r="Q372" s="4" t="s">
        <v>26</v>
      </c>
      <c r="R372" s="4">
        <v>0</v>
      </c>
      <c r="S372" s="4" t="s">
        <v>263</v>
      </c>
      <c r="T372" s="4" t="s">
        <v>424</v>
      </c>
      <c r="U372" s="4">
        <v>0</v>
      </c>
      <c r="V372" s="4">
        <v>62</v>
      </c>
      <c r="W372" s="4">
        <v>23</v>
      </c>
    </row>
    <row r="373" spans="1:23" ht="11.25" customHeight="1" x14ac:dyDescent="0.3">
      <c r="A373" s="4" t="s">
        <v>21</v>
      </c>
      <c r="B373" s="4" t="s">
        <v>41</v>
      </c>
      <c r="C373" s="4" t="s">
        <v>23</v>
      </c>
      <c r="D373" s="4" t="s">
        <v>42</v>
      </c>
      <c r="E373" s="4" t="s">
        <v>50</v>
      </c>
      <c r="F373" s="4" t="s">
        <v>51</v>
      </c>
      <c r="G373" s="4" t="s">
        <v>25</v>
      </c>
      <c r="H373" s="4" t="s">
        <v>25</v>
      </c>
      <c r="I373" s="5">
        <v>44743</v>
      </c>
      <c r="J373" s="6">
        <v>0</v>
      </c>
      <c r="K373" s="6">
        <v>0</v>
      </c>
      <c r="L373" s="6">
        <v>0.22500000000000001</v>
      </c>
      <c r="M373" s="6">
        <v>0.22500000000000001</v>
      </c>
      <c r="N373" s="6">
        <v>0.22500000000000001</v>
      </c>
      <c r="O373" s="6">
        <v>0.22500000000000001</v>
      </c>
      <c r="P373" s="6">
        <v>0</v>
      </c>
      <c r="Q373" s="4" t="s">
        <v>26</v>
      </c>
      <c r="R373" s="4">
        <v>0</v>
      </c>
      <c r="S373" s="4" t="s">
        <v>264</v>
      </c>
      <c r="T373" s="4" t="s">
        <v>425</v>
      </c>
      <c r="U373" s="4">
        <v>0</v>
      </c>
      <c r="V373" s="4">
        <v>62</v>
      </c>
      <c r="W373" s="4">
        <v>23</v>
      </c>
    </row>
    <row r="374" spans="1:23" ht="11.25" customHeight="1" x14ac:dyDescent="0.3">
      <c r="A374" s="4" t="s">
        <v>21</v>
      </c>
      <c r="B374" s="4" t="s">
        <v>41</v>
      </c>
      <c r="C374" s="4" t="s">
        <v>23</v>
      </c>
      <c r="D374" s="4" t="s">
        <v>42</v>
      </c>
      <c r="E374" s="4" t="s">
        <v>50</v>
      </c>
      <c r="F374" s="4" t="s">
        <v>53</v>
      </c>
      <c r="G374" s="4" t="s">
        <v>25</v>
      </c>
      <c r="H374" s="4" t="s">
        <v>25</v>
      </c>
      <c r="I374" s="5">
        <v>44501</v>
      </c>
      <c r="J374" s="6">
        <v>0</v>
      </c>
      <c r="K374" s="6">
        <v>0</v>
      </c>
      <c r="L374" s="6">
        <v>1.9E-2</v>
      </c>
      <c r="M374" s="6">
        <v>7.6E-3</v>
      </c>
      <c r="N374" s="6">
        <v>1.9E-2</v>
      </c>
      <c r="O374" s="6">
        <v>7.6E-3</v>
      </c>
      <c r="P374" s="6">
        <v>0</v>
      </c>
      <c r="Q374" s="4" t="s">
        <v>26</v>
      </c>
      <c r="R374" s="4">
        <v>0</v>
      </c>
      <c r="S374" s="4" t="s">
        <v>256</v>
      </c>
      <c r="T374" s="4" t="s">
        <v>417</v>
      </c>
      <c r="U374" s="4">
        <v>0</v>
      </c>
      <c r="V374" s="4">
        <v>62</v>
      </c>
      <c r="W374" s="4">
        <v>23</v>
      </c>
    </row>
    <row r="375" spans="1:23" ht="11.25" customHeight="1" x14ac:dyDescent="0.3">
      <c r="A375" s="4" t="s">
        <v>21</v>
      </c>
      <c r="B375" s="4" t="s">
        <v>41</v>
      </c>
      <c r="C375" s="4" t="s">
        <v>23</v>
      </c>
      <c r="D375" s="4" t="s">
        <v>42</v>
      </c>
      <c r="E375" s="4" t="s">
        <v>50</v>
      </c>
      <c r="F375" s="4" t="s">
        <v>53</v>
      </c>
      <c r="G375" s="4" t="s">
        <v>25</v>
      </c>
      <c r="H375" s="4" t="s">
        <v>25</v>
      </c>
      <c r="I375" s="5">
        <v>44621</v>
      </c>
      <c r="J375" s="6">
        <v>0</v>
      </c>
      <c r="K375" s="6">
        <v>0</v>
      </c>
      <c r="L375" s="6">
        <v>0.93799999999999994</v>
      </c>
      <c r="M375" s="6">
        <v>0.37519999999999998</v>
      </c>
      <c r="N375" s="6">
        <v>0.93799999999999994</v>
      </c>
      <c r="O375" s="6">
        <v>0.37519999999999998</v>
      </c>
      <c r="P375" s="6">
        <v>0</v>
      </c>
      <c r="Q375" s="4" t="s">
        <v>26</v>
      </c>
      <c r="R375" s="4">
        <v>0</v>
      </c>
      <c r="S375" s="4" t="s">
        <v>260</v>
      </c>
      <c r="T375" s="4" t="s">
        <v>421</v>
      </c>
      <c r="U375" s="4">
        <v>0</v>
      </c>
      <c r="V375" s="4">
        <v>62</v>
      </c>
      <c r="W375" s="4">
        <v>23</v>
      </c>
    </row>
    <row r="376" spans="1:23" ht="11.25" customHeight="1" x14ac:dyDescent="0.3">
      <c r="A376" s="4" t="s">
        <v>21</v>
      </c>
      <c r="B376" s="4" t="s">
        <v>41</v>
      </c>
      <c r="C376" s="4" t="s">
        <v>23</v>
      </c>
      <c r="D376" s="4" t="s">
        <v>42</v>
      </c>
      <c r="E376" s="4" t="s">
        <v>50</v>
      </c>
      <c r="F376" s="4" t="s">
        <v>53</v>
      </c>
      <c r="G376" s="4" t="s">
        <v>25</v>
      </c>
      <c r="H376" s="4" t="s">
        <v>25</v>
      </c>
      <c r="I376" s="5">
        <v>44652</v>
      </c>
      <c r="J376" s="6">
        <v>0</v>
      </c>
      <c r="K376" s="6">
        <v>0</v>
      </c>
      <c r="L376" s="6">
        <v>0.309</v>
      </c>
      <c r="M376" s="6">
        <v>0.1236</v>
      </c>
      <c r="N376" s="6">
        <v>0.309</v>
      </c>
      <c r="O376" s="6">
        <v>0.1236</v>
      </c>
      <c r="P376" s="6">
        <v>0</v>
      </c>
      <c r="Q376" s="4" t="s">
        <v>26</v>
      </c>
      <c r="R376" s="4">
        <v>0</v>
      </c>
      <c r="S376" s="4" t="s">
        <v>261</v>
      </c>
      <c r="T376" s="4" t="s">
        <v>422</v>
      </c>
      <c r="U376" s="4">
        <v>0</v>
      </c>
      <c r="V376" s="4">
        <v>62</v>
      </c>
      <c r="W376" s="4">
        <v>23</v>
      </c>
    </row>
    <row r="377" spans="1:23" ht="11.25" customHeight="1" x14ac:dyDescent="0.3">
      <c r="A377" s="4" t="s">
        <v>21</v>
      </c>
      <c r="B377" s="4" t="s">
        <v>41</v>
      </c>
      <c r="C377" s="4" t="s">
        <v>23</v>
      </c>
      <c r="D377" s="4" t="s">
        <v>42</v>
      </c>
      <c r="E377" s="4" t="s">
        <v>52</v>
      </c>
      <c r="F377" s="4" t="s">
        <v>51</v>
      </c>
      <c r="G377" s="4" t="s">
        <v>25</v>
      </c>
      <c r="H377" s="4" t="s">
        <v>25</v>
      </c>
      <c r="I377" s="5">
        <v>44409</v>
      </c>
      <c r="J377" s="6">
        <v>0</v>
      </c>
      <c r="K377" s="6">
        <v>0</v>
      </c>
      <c r="L377" s="6">
        <v>0.96799999999999997</v>
      </c>
      <c r="M377" s="6">
        <v>0.96799999999999997</v>
      </c>
      <c r="N377" s="6">
        <v>0.96799999999999997</v>
      </c>
      <c r="O377" s="6">
        <v>0.96799999999999997</v>
      </c>
      <c r="P377" s="6">
        <v>0</v>
      </c>
      <c r="Q377" s="4" t="s">
        <v>26</v>
      </c>
      <c r="R377" s="4">
        <v>0</v>
      </c>
      <c r="S377" s="4" t="s">
        <v>253</v>
      </c>
      <c r="T377" s="4" t="s">
        <v>414</v>
      </c>
      <c r="U377" s="4">
        <v>0</v>
      </c>
      <c r="V377" s="4">
        <v>62</v>
      </c>
      <c r="W377" s="4">
        <v>23</v>
      </c>
    </row>
    <row r="378" spans="1:23" ht="11.25" customHeight="1" x14ac:dyDescent="0.3">
      <c r="A378" s="4" t="s">
        <v>21</v>
      </c>
      <c r="B378" s="4" t="s">
        <v>41</v>
      </c>
      <c r="C378" s="4" t="s">
        <v>23</v>
      </c>
      <c r="D378" s="4" t="s">
        <v>42</v>
      </c>
      <c r="E378" s="4" t="s">
        <v>52</v>
      </c>
      <c r="F378" s="4" t="s">
        <v>51</v>
      </c>
      <c r="G378" s="4" t="s">
        <v>25</v>
      </c>
      <c r="H378" s="4" t="s">
        <v>25</v>
      </c>
      <c r="I378" s="5">
        <v>44440</v>
      </c>
      <c r="J378" s="6">
        <v>0</v>
      </c>
      <c r="K378" s="6">
        <v>0</v>
      </c>
      <c r="L378" s="6">
        <v>0.85199999999999998</v>
      </c>
      <c r="M378" s="6">
        <v>0.85199999999999998</v>
      </c>
      <c r="N378" s="6">
        <v>0.85199999999999998</v>
      </c>
      <c r="O378" s="6">
        <v>0.85199999999999998</v>
      </c>
      <c r="P378" s="6">
        <v>0</v>
      </c>
      <c r="Q378" s="4" t="s">
        <v>26</v>
      </c>
      <c r="R378" s="4">
        <v>0</v>
      </c>
      <c r="S378" s="4" t="s">
        <v>254</v>
      </c>
      <c r="T378" s="4" t="s">
        <v>415</v>
      </c>
      <c r="U378" s="4">
        <v>0</v>
      </c>
      <c r="V378" s="4">
        <v>62</v>
      </c>
      <c r="W378" s="4">
        <v>23</v>
      </c>
    </row>
    <row r="379" spans="1:23" ht="11.25" customHeight="1" x14ac:dyDescent="0.3">
      <c r="A379" s="4" t="s">
        <v>21</v>
      </c>
      <c r="B379" s="4" t="s">
        <v>41</v>
      </c>
      <c r="C379" s="4" t="s">
        <v>23</v>
      </c>
      <c r="D379" s="4" t="s">
        <v>42</v>
      </c>
      <c r="E379" s="4" t="s">
        <v>52</v>
      </c>
      <c r="F379" s="4" t="s">
        <v>51</v>
      </c>
      <c r="G379" s="4" t="s">
        <v>25</v>
      </c>
      <c r="H379" s="4" t="s">
        <v>25</v>
      </c>
      <c r="I379" s="5">
        <v>44470</v>
      </c>
      <c r="J379" s="6">
        <v>0</v>
      </c>
      <c r="K379" s="6">
        <v>0</v>
      </c>
      <c r="L379" s="6">
        <v>1.4</v>
      </c>
      <c r="M379" s="6">
        <v>1.4</v>
      </c>
      <c r="N379" s="6">
        <v>1.4</v>
      </c>
      <c r="O379" s="6">
        <v>1.4</v>
      </c>
      <c r="P379" s="6">
        <v>0</v>
      </c>
      <c r="Q379" s="4" t="s">
        <v>26</v>
      </c>
      <c r="R379" s="4">
        <v>0</v>
      </c>
      <c r="S379" s="4" t="s">
        <v>255</v>
      </c>
      <c r="T379" s="4" t="s">
        <v>416</v>
      </c>
      <c r="U379" s="4">
        <v>0</v>
      </c>
      <c r="V379" s="4">
        <v>62</v>
      </c>
      <c r="W379" s="4">
        <v>23</v>
      </c>
    </row>
    <row r="380" spans="1:23" ht="11.25" customHeight="1" x14ac:dyDescent="0.3">
      <c r="A380" s="4" t="s">
        <v>21</v>
      </c>
      <c r="B380" s="4" t="s">
        <v>41</v>
      </c>
      <c r="C380" s="4" t="s">
        <v>23</v>
      </c>
      <c r="D380" s="4" t="s">
        <v>42</v>
      </c>
      <c r="E380" s="4" t="s">
        <v>52</v>
      </c>
      <c r="F380" s="4" t="s">
        <v>51</v>
      </c>
      <c r="G380" s="4" t="s">
        <v>25</v>
      </c>
      <c r="H380" s="4" t="s">
        <v>25</v>
      </c>
      <c r="I380" s="5">
        <v>44501</v>
      </c>
      <c r="J380" s="6">
        <v>0</v>
      </c>
      <c r="K380" s="6">
        <v>0</v>
      </c>
      <c r="L380" s="6">
        <v>0.52100000000000002</v>
      </c>
      <c r="M380" s="6">
        <v>0.52100000000000002</v>
      </c>
      <c r="N380" s="6">
        <v>0.52100000000000002</v>
      </c>
      <c r="O380" s="6">
        <v>0.52100000000000002</v>
      </c>
      <c r="P380" s="6">
        <v>0</v>
      </c>
      <c r="Q380" s="4" t="s">
        <v>26</v>
      </c>
      <c r="R380" s="4">
        <v>0</v>
      </c>
      <c r="S380" s="4" t="s">
        <v>256</v>
      </c>
      <c r="T380" s="4" t="s">
        <v>417</v>
      </c>
      <c r="U380" s="4">
        <v>0</v>
      </c>
      <c r="V380" s="4">
        <v>62</v>
      </c>
      <c r="W380" s="4">
        <v>23</v>
      </c>
    </row>
    <row r="381" spans="1:23" ht="11.25" customHeight="1" x14ac:dyDescent="0.3">
      <c r="A381" s="4" t="s">
        <v>21</v>
      </c>
      <c r="B381" s="4" t="s">
        <v>41</v>
      </c>
      <c r="C381" s="4" t="s">
        <v>23</v>
      </c>
      <c r="D381" s="4" t="s">
        <v>42</v>
      </c>
      <c r="E381" s="4" t="s">
        <v>52</v>
      </c>
      <c r="F381" s="4" t="s">
        <v>51</v>
      </c>
      <c r="G381" s="4" t="s">
        <v>25</v>
      </c>
      <c r="H381" s="4" t="s">
        <v>25</v>
      </c>
      <c r="I381" s="5">
        <v>44531</v>
      </c>
      <c r="J381" s="6">
        <v>0</v>
      </c>
      <c r="K381" s="6">
        <v>0</v>
      </c>
      <c r="L381" s="6">
        <v>1.2849999999999999</v>
      </c>
      <c r="M381" s="6">
        <v>1.2849999999999999</v>
      </c>
      <c r="N381" s="6">
        <v>1.2849999999999999</v>
      </c>
      <c r="O381" s="6">
        <v>1.2849999999999999</v>
      </c>
      <c r="P381" s="6">
        <v>0</v>
      </c>
      <c r="Q381" s="4" t="s">
        <v>26</v>
      </c>
      <c r="R381" s="4">
        <v>0</v>
      </c>
      <c r="S381" s="4" t="s">
        <v>257</v>
      </c>
      <c r="T381" s="4" t="s">
        <v>418</v>
      </c>
      <c r="U381" s="4">
        <v>0</v>
      </c>
      <c r="V381" s="4">
        <v>62</v>
      </c>
      <c r="W381" s="4">
        <v>23</v>
      </c>
    </row>
    <row r="382" spans="1:23" ht="11.25" customHeight="1" x14ac:dyDescent="0.3">
      <c r="A382" s="4" t="s">
        <v>21</v>
      </c>
      <c r="B382" s="4" t="s">
        <v>41</v>
      </c>
      <c r="C382" s="4" t="s">
        <v>23</v>
      </c>
      <c r="D382" s="4" t="s">
        <v>42</v>
      </c>
      <c r="E382" s="4" t="s">
        <v>52</v>
      </c>
      <c r="F382" s="4" t="s">
        <v>51</v>
      </c>
      <c r="G382" s="4" t="s">
        <v>25</v>
      </c>
      <c r="H382" s="4" t="s">
        <v>25</v>
      </c>
      <c r="I382" s="5">
        <v>44562</v>
      </c>
      <c r="J382" s="6">
        <v>0</v>
      </c>
      <c r="K382" s="6">
        <v>0</v>
      </c>
      <c r="L382" s="6">
        <v>1.57</v>
      </c>
      <c r="M382" s="6">
        <v>1.57</v>
      </c>
      <c r="N382" s="6">
        <v>1.57</v>
      </c>
      <c r="O382" s="6">
        <v>1.57</v>
      </c>
      <c r="P382" s="6">
        <v>0</v>
      </c>
      <c r="Q382" s="4" t="s">
        <v>26</v>
      </c>
      <c r="R382" s="4">
        <v>0</v>
      </c>
      <c r="S382" s="4" t="s">
        <v>258</v>
      </c>
      <c r="T382" s="4" t="s">
        <v>419</v>
      </c>
      <c r="U382" s="4">
        <v>0</v>
      </c>
      <c r="V382" s="4">
        <v>62</v>
      </c>
      <c r="W382" s="4">
        <v>23</v>
      </c>
    </row>
    <row r="383" spans="1:23" ht="11.25" customHeight="1" x14ac:dyDescent="0.3">
      <c r="A383" s="4" t="s">
        <v>21</v>
      </c>
      <c r="B383" s="4" t="s">
        <v>41</v>
      </c>
      <c r="C383" s="4" t="s">
        <v>23</v>
      </c>
      <c r="D383" s="4" t="s">
        <v>42</v>
      </c>
      <c r="E383" s="4" t="s">
        <v>52</v>
      </c>
      <c r="F383" s="4" t="s">
        <v>51</v>
      </c>
      <c r="G383" s="4" t="s">
        <v>25</v>
      </c>
      <c r="H383" s="4" t="s">
        <v>25</v>
      </c>
      <c r="I383" s="5">
        <v>44593</v>
      </c>
      <c r="J383" s="6">
        <v>0</v>
      </c>
      <c r="K383" s="6">
        <v>0</v>
      </c>
      <c r="L383" s="6">
        <v>1.621</v>
      </c>
      <c r="M383" s="6">
        <v>1.621</v>
      </c>
      <c r="N383" s="6">
        <v>1.621</v>
      </c>
      <c r="O383" s="6">
        <v>1.621</v>
      </c>
      <c r="P383" s="6">
        <v>0</v>
      </c>
      <c r="Q383" s="4" t="s">
        <v>26</v>
      </c>
      <c r="R383" s="4">
        <v>0</v>
      </c>
      <c r="S383" s="4" t="s">
        <v>259</v>
      </c>
      <c r="T383" s="4" t="s">
        <v>420</v>
      </c>
      <c r="U383" s="4">
        <v>0</v>
      </c>
      <c r="V383" s="4">
        <v>62</v>
      </c>
      <c r="W383" s="4">
        <v>23</v>
      </c>
    </row>
    <row r="384" spans="1:23" ht="11.25" customHeight="1" x14ac:dyDescent="0.3">
      <c r="A384" s="4" t="s">
        <v>21</v>
      </c>
      <c r="B384" s="4" t="s">
        <v>41</v>
      </c>
      <c r="C384" s="4" t="s">
        <v>23</v>
      </c>
      <c r="D384" s="4" t="s">
        <v>42</v>
      </c>
      <c r="E384" s="4" t="s">
        <v>52</v>
      </c>
      <c r="F384" s="4" t="s">
        <v>51</v>
      </c>
      <c r="G384" s="4" t="s">
        <v>25</v>
      </c>
      <c r="H384" s="4" t="s">
        <v>25</v>
      </c>
      <c r="I384" s="5">
        <v>44621</v>
      </c>
      <c r="J384" s="6">
        <v>0</v>
      </c>
      <c r="K384" s="6">
        <v>0</v>
      </c>
      <c r="L384" s="6">
        <v>0.90700000000000003</v>
      </c>
      <c r="M384" s="6">
        <v>0.90700000000000003</v>
      </c>
      <c r="N384" s="6">
        <v>0.90700000000000003</v>
      </c>
      <c r="O384" s="6">
        <v>0.90700000000000003</v>
      </c>
      <c r="P384" s="6">
        <v>0</v>
      </c>
      <c r="Q384" s="4" t="s">
        <v>26</v>
      </c>
      <c r="R384" s="4">
        <v>0</v>
      </c>
      <c r="S384" s="4" t="s">
        <v>260</v>
      </c>
      <c r="T384" s="4" t="s">
        <v>421</v>
      </c>
      <c r="U384" s="4">
        <v>0</v>
      </c>
      <c r="V384" s="4">
        <v>62</v>
      </c>
      <c r="W384" s="4">
        <v>23</v>
      </c>
    </row>
    <row r="385" spans="1:23" ht="11.25" customHeight="1" x14ac:dyDescent="0.3">
      <c r="A385" s="4" t="s">
        <v>21</v>
      </c>
      <c r="B385" s="4" t="s">
        <v>41</v>
      </c>
      <c r="C385" s="4" t="s">
        <v>23</v>
      </c>
      <c r="D385" s="4" t="s">
        <v>42</v>
      </c>
      <c r="E385" s="4" t="s">
        <v>52</v>
      </c>
      <c r="F385" s="4" t="s">
        <v>51</v>
      </c>
      <c r="G385" s="4" t="s">
        <v>25</v>
      </c>
      <c r="H385" s="4" t="s">
        <v>25</v>
      </c>
      <c r="I385" s="5">
        <v>44652</v>
      </c>
      <c r="J385" s="6">
        <v>0</v>
      </c>
      <c r="K385" s="6">
        <v>0</v>
      </c>
      <c r="L385" s="6">
        <v>1.081</v>
      </c>
      <c r="M385" s="6">
        <v>1.081</v>
      </c>
      <c r="N385" s="6">
        <v>1.081</v>
      </c>
      <c r="O385" s="6">
        <v>1.081</v>
      </c>
      <c r="P385" s="6">
        <v>0</v>
      </c>
      <c r="Q385" s="4" t="s">
        <v>26</v>
      </c>
      <c r="R385" s="4">
        <v>0</v>
      </c>
      <c r="S385" s="4" t="s">
        <v>261</v>
      </c>
      <c r="T385" s="4" t="s">
        <v>422</v>
      </c>
      <c r="U385" s="4">
        <v>0</v>
      </c>
      <c r="V385" s="4">
        <v>62</v>
      </c>
      <c r="W385" s="4">
        <v>23</v>
      </c>
    </row>
    <row r="386" spans="1:23" ht="11.25" customHeight="1" x14ac:dyDescent="0.3">
      <c r="A386" s="4" t="s">
        <v>21</v>
      </c>
      <c r="B386" s="4" t="s">
        <v>41</v>
      </c>
      <c r="C386" s="4" t="s">
        <v>23</v>
      </c>
      <c r="D386" s="4" t="s">
        <v>42</v>
      </c>
      <c r="E386" s="4" t="s">
        <v>52</v>
      </c>
      <c r="F386" s="4" t="s">
        <v>51</v>
      </c>
      <c r="G386" s="4" t="s">
        <v>25</v>
      </c>
      <c r="H386" s="4" t="s">
        <v>25</v>
      </c>
      <c r="I386" s="5">
        <v>44682</v>
      </c>
      <c r="J386" s="6">
        <v>0</v>
      </c>
      <c r="K386" s="6">
        <v>0</v>
      </c>
      <c r="L386" s="6">
        <v>1.173</v>
      </c>
      <c r="M386" s="6">
        <v>1.173</v>
      </c>
      <c r="N386" s="6">
        <v>1.173</v>
      </c>
      <c r="O386" s="6">
        <v>1.173</v>
      </c>
      <c r="P386" s="6">
        <v>0</v>
      </c>
      <c r="Q386" s="4" t="s">
        <v>26</v>
      </c>
      <c r="R386" s="4">
        <v>0</v>
      </c>
      <c r="S386" s="4" t="s">
        <v>262</v>
      </c>
      <c r="T386" s="4" t="s">
        <v>423</v>
      </c>
      <c r="U386" s="4">
        <v>0</v>
      </c>
      <c r="V386" s="4">
        <v>62</v>
      </c>
      <c r="W386" s="4">
        <v>23</v>
      </c>
    </row>
    <row r="387" spans="1:23" ht="11.25" customHeight="1" x14ac:dyDescent="0.3">
      <c r="A387" s="4" t="s">
        <v>21</v>
      </c>
      <c r="B387" s="4" t="s">
        <v>41</v>
      </c>
      <c r="C387" s="4" t="s">
        <v>23</v>
      </c>
      <c r="D387" s="4" t="s">
        <v>42</v>
      </c>
      <c r="E387" s="4" t="s">
        <v>52</v>
      </c>
      <c r="F387" s="4" t="s">
        <v>51</v>
      </c>
      <c r="G387" s="4" t="s">
        <v>25</v>
      </c>
      <c r="H387" s="4" t="s">
        <v>25</v>
      </c>
      <c r="I387" s="5">
        <v>44713</v>
      </c>
      <c r="J387" s="6">
        <v>0</v>
      </c>
      <c r="K387" s="6">
        <v>0</v>
      </c>
      <c r="L387" s="6">
        <v>0.95299999999999996</v>
      </c>
      <c r="M387" s="6">
        <v>0.95299999999999996</v>
      </c>
      <c r="N387" s="6">
        <v>0.95299999999999996</v>
      </c>
      <c r="O387" s="6">
        <v>0.95299999999999996</v>
      </c>
      <c r="P387" s="6">
        <v>0</v>
      </c>
      <c r="Q387" s="4" t="s">
        <v>26</v>
      </c>
      <c r="R387" s="4">
        <v>0</v>
      </c>
      <c r="S387" s="4" t="s">
        <v>263</v>
      </c>
      <c r="T387" s="4" t="s">
        <v>424</v>
      </c>
      <c r="U387" s="4">
        <v>0</v>
      </c>
      <c r="V387" s="4">
        <v>62</v>
      </c>
      <c r="W387" s="4">
        <v>23</v>
      </c>
    </row>
    <row r="388" spans="1:23" ht="11.25" customHeight="1" x14ac:dyDescent="0.3">
      <c r="A388" s="4" t="s">
        <v>21</v>
      </c>
      <c r="B388" s="4" t="s">
        <v>41</v>
      </c>
      <c r="C388" s="4" t="s">
        <v>23</v>
      </c>
      <c r="D388" s="4" t="s">
        <v>42</v>
      </c>
      <c r="E388" s="4" t="s">
        <v>52</v>
      </c>
      <c r="F388" s="4" t="s">
        <v>51</v>
      </c>
      <c r="G388" s="4" t="s">
        <v>25</v>
      </c>
      <c r="H388" s="4" t="s">
        <v>25</v>
      </c>
      <c r="I388" s="5">
        <v>44743</v>
      </c>
      <c r="J388" s="6">
        <v>0</v>
      </c>
      <c r="K388" s="6">
        <v>0</v>
      </c>
      <c r="L388" s="6">
        <v>0.73699999999999999</v>
      </c>
      <c r="M388" s="6">
        <v>0.73699999999999999</v>
      </c>
      <c r="N388" s="6">
        <v>0.73699999999999999</v>
      </c>
      <c r="O388" s="6">
        <v>0.73699999999999999</v>
      </c>
      <c r="P388" s="6">
        <v>0</v>
      </c>
      <c r="Q388" s="4" t="s">
        <v>26</v>
      </c>
      <c r="R388" s="4">
        <v>0</v>
      </c>
      <c r="S388" s="4" t="s">
        <v>264</v>
      </c>
      <c r="T388" s="4" t="s">
        <v>425</v>
      </c>
      <c r="U388" s="4">
        <v>0</v>
      </c>
      <c r="V388" s="4">
        <v>62</v>
      </c>
      <c r="W388" s="4">
        <v>23</v>
      </c>
    </row>
    <row r="389" spans="1:23" ht="11.25" customHeight="1" x14ac:dyDescent="0.3">
      <c r="A389" s="4" t="s">
        <v>21</v>
      </c>
      <c r="B389" s="4" t="s">
        <v>41</v>
      </c>
      <c r="C389" s="4" t="s">
        <v>23</v>
      </c>
      <c r="D389" s="4" t="s">
        <v>42</v>
      </c>
      <c r="E389" s="4" t="s">
        <v>52</v>
      </c>
      <c r="F389" s="4" t="s">
        <v>53</v>
      </c>
      <c r="G389" s="4" t="s">
        <v>25</v>
      </c>
      <c r="H389" s="4" t="s">
        <v>25</v>
      </c>
      <c r="I389" s="5">
        <v>44409</v>
      </c>
      <c r="J389" s="6">
        <v>0</v>
      </c>
      <c r="K389" s="6">
        <v>0</v>
      </c>
      <c r="L389" s="6">
        <v>1.992</v>
      </c>
      <c r="M389" s="6">
        <v>0.79679999999999995</v>
      </c>
      <c r="N389" s="6">
        <v>1.992</v>
      </c>
      <c r="O389" s="6">
        <v>0.79679999999999995</v>
      </c>
      <c r="P389" s="6">
        <v>0</v>
      </c>
      <c r="Q389" s="4" t="s">
        <v>26</v>
      </c>
      <c r="R389" s="4">
        <v>0</v>
      </c>
      <c r="S389" s="4" t="s">
        <v>253</v>
      </c>
      <c r="T389" s="4" t="s">
        <v>414</v>
      </c>
      <c r="U389" s="4">
        <v>0</v>
      </c>
      <c r="V389" s="4">
        <v>62</v>
      </c>
      <c r="W389" s="4">
        <v>23</v>
      </c>
    </row>
    <row r="390" spans="1:23" ht="11.25" customHeight="1" x14ac:dyDescent="0.3">
      <c r="A390" s="4" t="s">
        <v>21</v>
      </c>
      <c r="B390" s="4" t="s">
        <v>41</v>
      </c>
      <c r="C390" s="4" t="s">
        <v>23</v>
      </c>
      <c r="D390" s="4" t="s">
        <v>42</v>
      </c>
      <c r="E390" s="4" t="s">
        <v>52</v>
      </c>
      <c r="F390" s="4" t="s">
        <v>53</v>
      </c>
      <c r="G390" s="4" t="s">
        <v>25</v>
      </c>
      <c r="H390" s="4" t="s">
        <v>25</v>
      </c>
      <c r="I390" s="5">
        <v>44440</v>
      </c>
      <c r="J390" s="6">
        <v>0</v>
      </c>
      <c r="K390" s="6">
        <v>0</v>
      </c>
      <c r="L390" s="6">
        <v>2.012</v>
      </c>
      <c r="M390" s="6">
        <v>0.80479999999999996</v>
      </c>
      <c r="N390" s="6">
        <v>2.012</v>
      </c>
      <c r="O390" s="6">
        <v>0.80479999999999996</v>
      </c>
      <c r="P390" s="6">
        <v>0</v>
      </c>
      <c r="Q390" s="4" t="s">
        <v>26</v>
      </c>
      <c r="R390" s="4">
        <v>0</v>
      </c>
      <c r="S390" s="4" t="s">
        <v>254</v>
      </c>
      <c r="T390" s="4" t="s">
        <v>415</v>
      </c>
      <c r="U390" s="4">
        <v>0</v>
      </c>
      <c r="V390" s="4">
        <v>62</v>
      </c>
      <c r="W390" s="4">
        <v>23</v>
      </c>
    </row>
    <row r="391" spans="1:23" ht="11.25" customHeight="1" x14ac:dyDescent="0.3">
      <c r="A391" s="4" t="s">
        <v>21</v>
      </c>
      <c r="B391" s="4" t="s">
        <v>41</v>
      </c>
      <c r="C391" s="4" t="s">
        <v>23</v>
      </c>
      <c r="D391" s="4" t="s">
        <v>42</v>
      </c>
      <c r="E391" s="4" t="s">
        <v>52</v>
      </c>
      <c r="F391" s="4" t="s">
        <v>53</v>
      </c>
      <c r="G391" s="4" t="s">
        <v>25</v>
      </c>
      <c r="H391" s="4" t="s">
        <v>25</v>
      </c>
      <c r="I391" s="5">
        <v>44470</v>
      </c>
      <c r="J391" s="6">
        <v>0</v>
      </c>
      <c r="K391" s="6">
        <v>0</v>
      </c>
      <c r="L391" s="6">
        <v>1.7290000000000001</v>
      </c>
      <c r="M391" s="6">
        <v>0.69159999999999999</v>
      </c>
      <c r="N391" s="6">
        <v>1.7290000000000001</v>
      </c>
      <c r="O391" s="6">
        <v>0.69159999999999999</v>
      </c>
      <c r="P391" s="6">
        <v>0</v>
      </c>
      <c r="Q391" s="4" t="s">
        <v>26</v>
      </c>
      <c r="R391" s="4">
        <v>0</v>
      </c>
      <c r="S391" s="4" t="s">
        <v>255</v>
      </c>
      <c r="T391" s="4" t="s">
        <v>416</v>
      </c>
      <c r="U391" s="4">
        <v>0</v>
      </c>
      <c r="V391" s="4">
        <v>62</v>
      </c>
      <c r="W391" s="4">
        <v>23</v>
      </c>
    </row>
    <row r="392" spans="1:23" ht="11.25" customHeight="1" x14ac:dyDescent="0.3">
      <c r="A392" s="4" t="s">
        <v>21</v>
      </c>
      <c r="B392" s="4" t="s">
        <v>41</v>
      </c>
      <c r="C392" s="4" t="s">
        <v>23</v>
      </c>
      <c r="D392" s="4" t="s">
        <v>42</v>
      </c>
      <c r="E392" s="4" t="s">
        <v>52</v>
      </c>
      <c r="F392" s="4" t="s">
        <v>53</v>
      </c>
      <c r="G392" s="4" t="s">
        <v>25</v>
      </c>
      <c r="H392" s="4" t="s">
        <v>25</v>
      </c>
      <c r="I392" s="5">
        <v>44501</v>
      </c>
      <c r="J392" s="6">
        <v>0</v>
      </c>
      <c r="K392" s="6">
        <v>0</v>
      </c>
      <c r="L392" s="6">
        <v>0.91200000000000003</v>
      </c>
      <c r="M392" s="6">
        <v>0.36480000000000001</v>
      </c>
      <c r="N392" s="6">
        <v>0.91200000000000003</v>
      </c>
      <c r="O392" s="6">
        <v>0.36480000000000001</v>
      </c>
      <c r="P392" s="6">
        <v>0</v>
      </c>
      <c r="Q392" s="4" t="s">
        <v>26</v>
      </c>
      <c r="R392" s="4">
        <v>0</v>
      </c>
      <c r="S392" s="4" t="s">
        <v>256</v>
      </c>
      <c r="T392" s="4" t="s">
        <v>417</v>
      </c>
      <c r="U392" s="4">
        <v>0</v>
      </c>
      <c r="V392" s="4">
        <v>62</v>
      </c>
      <c r="W392" s="4">
        <v>23</v>
      </c>
    </row>
    <row r="393" spans="1:23" ht="11.25" customHeight="1" x14ac:dyDescent="0.3">
      <c r="A393" s="4" t="s">
        <v>21</v>
      </c>
      <c r="B393" s="4" t="s">
        <v>41</v>
      </c>
      <c r="C393" s="4" t="s">
        <v>23</v>
      </c>
      <c r="D393" s="4" t="s">
        <v>42</v>
      </c>
      <c r="E393" s="4" t="s">
        <v>52</v>
      </c>
      <c r="F393" s="4" t="s">
        <v>53</v>
      </c>
      <c r="G393" s="4" t="s">
        <v>25</v>
      </c>
      <c r="H393" s="4" t="s">
        <v>25</v>
      </c>
      <c r="I393" s="5">
        <v>44531</v>
      </c>
      <c r="J393" s="6">
        <v>0</v>
      </c>
      <c r="K393" s="6">
        <v>0</v>
      </c>
      <c r="L393" s="6">
        <v>1.5309999999999999</v>
      </c>
      <c r="M393" s="6">
        <v>0.61240000000000006</v>
      </c>
      <c r="N393" s="6">
        <v>1.5309999999999999</v>
      </c>
      <c r="O393" s="6">
        <v>0.61240000000000006</v>
      </c>
      <c r="P393" s="6">
        <v>0</v>
      </c>
      <c r="Q393" s="4" t="s">
        <v>26</v>
      </c>
      <c r="R393" s="4">
        <v>0</v>
      </c>
      <c r="S393" s="4" t="s">
        <v>257</v>
      </c>
      <c r="T393" s="4" t="s">
        <v>418</v>
      </c>
      <c r="U393" s="4">
        <v>0</v>
      </c>
      <c r="V393" s="4">
        <v>62</v>
      </c>
      <c r="W393" s="4">
        <v>23</v>
      </c>
    </row>
    <row r="394" spans="1:23" ht="11.25" customHeight="1" x14ac:dyDescent="0.3">
      <c r="A394" s="4" t="s">
        <v>21</v>
      </c>
      <c r="B394" s="4" t="s">
        <v>41</v>
      </c>
      <c r="C394" s="4" t="s">
        <v>23</v>
      </c>
      <c r="D394" s="4" t="s">
        <v>42</v>
      </c>
      <c r="E394" s="4" t="s">
        <v>52</v>
      </c>
      <c r="F394" s="4" t="s">
        <v>53</v>
      </c>
      <c r="G394" s="4" t="s">
        <v>25</v>
      </c>
      <c r="H394" s="4" t="s">
        <v>25</v>
      </c>
      <c r="I394" s="5">
        <v>44562</v>
      </c>
      <c r="J394" s="6">
        <v>0</v>
      </c>
      <c r="K394" s="6">
        <v>0</v>
      </c>
      <c r="L394" s="6">
        <v>1.302</v>
      </c>
      <c r="M394" s="6">
        <v>0.52080000000000004</v>
      </c>
      <c r="N394" s="6">
        <v>1.302</v>
      </c>
      <c r="O394" s="6">
        <v>0.52080000000000004</v>
      </c>
      <c r="P394" s="6">
        <v>0</v>
      </c>
      <c r="Q394" s="4" t="s">
        <v>26</v>
      </c>
      <c r="R394" s="4">
        <v>0</v>
      </c>
      <c r="S394" s="4" t="s">
        <v>258</v>
      </c>
      <c r="T394" s="4" t="s">
        <v>419</v>
      </c>
      <c r="U394" s="4">
        <v>0</v>
      </c>
      <c r="V394" s="4">
        <v>62</v>
      </c>
      <c r="W394" s="4">
        <v>23</v>
      </c>
    </row>
    <row r="395" spans="1:23" ht="11.25" customHeight="1" x14ac:dyDescent="0.3">
      <c r="A395" s="4" t="s">
        <v>21</v>
      </c>
      <c r="B395" s="4" t="s">
        <v>41</v>
      </c>
      <c r="C395" s="4" t="s">
        <v>23</v>
      </c>
      <c r="D395" s="4" t="s">
        <v>42</v>
      </c>
      <c r="E395" s="4" t="s">
        <v>52</v>
      </c>
      <c r="F395" s="4" t="s">
        <v>53</v>
      </c>
      <c r="G395" s="4" t="s">
        <v>25</v>
      </c>
      <c r="H395" s="4" t="s">
        <v>25</v>
      </c>
      <c r="I395" s="5">
        <v>44593</v>
      </c>
      <c r="J395" s="6">
        <v>0</v>
      </c>
      <c r="K395" s="6">
        <v>0</v>
      </c>
      <c r="L395" s="6">
        <v>1.1479999999999999</v>
      </c>
      <c r="M395" s="6">
        <v>0.4592</v>
      </c>
      <c r="N395" s="6">
        <v>1.1479999999999999</v>
      </c>
      <c r="O395" s="6">
        <v>0.4592</v>
      </c>
      <c r="P395" s="6">
        <v>0</v>
      </c>
      <c r="Q395" s="4" t="s">
        <v>26</v>
      </c>
      <c r="R395" s="4">
        <v>0</v>
      </c>
      <c r="S395" s="4" t="s">
        <v>259</v>
      </c>
      <c r="T395" s="4" t="s">
        <v>420</v>
      </c>
      <c r="U395" s="4">
        <v>0</v>
      </c>
      <c r="V395" s="4">
        <v>62</v>
      </c>
      <c r="W395" s="4">
        <v>23</v>
      </c>
    </row>
    <row r="396" spans="1:23" ht="11.25" customHeight="1" x14ac:dyDescent="0.3">
      <c r="A396" s="4" t="s">
        <v>21</v>
      </c>
      <c r="B396" s="4" t="s">
        <v>41</v>
      </c>
      <c r="C396" s="4" t="s">
        <v>23</v>
      </c>
      <c r="D396" s="4" t="s">
        <v>42</v>
      </c>
      <c r="E396" s="4" t="s">
        <v>52</v>
      </c>
      <c r="F396" s="4" t="s">
        <v>53</v>
      </c>
      <c r="G396" s="4" t="s">
        <v>25</v>
      </c>
      <c r="H396" s="4" t="s">
        <v>25</v>
      </c>
      <c r="I396" s="5">
        <v>44621</v>
      </c>
      <c r="J396" s="6">
        <v>0</v>
      </c>
      <c r="K396" s="6">
        <v>0</v>
      </c>
      <c r="L396" s="6">
        <v>0.73399999999999999</v>
      </c>
      <c r="M396" s="6">
        <v>0.29360000000000003</v>
      </c>
      <c r="N396" s="6">
        <v>0.73399999999999999</v>
      </c>
      <c r="O396" s="6">
        <v>0.29360000000000003</v>
      </c>
      <c r="P396" s="6">
        <v>0</v>
      </c>
      <c r="Q396" s="4" t="s">
        <v>26</v>
      </c>
      <c r="R396" s="4">
        <v>0</v>
      </c>
      <c r="S396" s="4" t="s">
        <v>260</v>
      </c>
      <c r="T396" s="4" t="s">
        <v>421</v>
      </c>
      <c r="U396" s="4">
        <v>0</v>
      </c>
      <c r="V396" s="4">
        <v>62</v>
      </c>
      <c r="W396" s="4">
        <v>23</v>
      </c>
    </row>
    <row r="397" spans="1:23" ht="11.25" customHeight="1" x14ac:dyDescent="0.3">
      <c r="A397" s="4" t="s">
        <v>21</v>
      </c>
      <c r="B397" s="4" t="s">
        <v>41</v>
      </c>
      <c r="C397" s="4" t="s">
        <v>23</v>
      </c>
      <c r="D397" s="4" t="s">
        <v>42</v>
      </c>
      <c r="E397" s="4" t="s">
        <v>52</v>
      </c>
      <c r="F397" s="4" t="s">
        <v>53</v>
      </c>
      <c r="G397" s="4" t="s">
        <v>25</v>
      </c>
      <c r="H397" s="4" t="s">
        <v>25</v>
      </c>
      <c r="I397" s="5">
        <v>44652</v>
      </c>
      <c r="J397" s="6">
        <v>0</v>
      </c>
      <c r="K397" s="6">
        <v>0</v>
      </c>
      <c r="L397" s="6">
        <v>0.89300000000000002</v>
      </c>
      <c r="M397" s="6">
        <v>0.35720000000000002</v>
      </c>
      <c r="N397" s="6">
        <v>0.89300000000000002</v>
      </c>
      <c r="O397" s="6">
        <v>0.35720000000000002</v>
      </c>
      <c r="P397" s="6">
        <v>0</v>
      </c>
      <c r="Q397" s="4" t="s">
        <v>26</v>
      </c>
      <c r="R397" s="4">
        <v>0</v>
      </c>
      <c r="S397" s="4" t="s">
        <v>261</v>
      </c>
      <c r="T397" s="4" t="s">
        <v>422</v>
      </c>
      <c r="U397" s="4">
        <v>0</v>
      </c>
      <c r="V397" s="4">
        <v>62</v>
      </c>
      <c r="W397" s="4">
        <v>23</v>
      </c>
    </row>
    <row r="398" spans="1:23" ht="11.25" customHeight="1" x14ac:dyDescent="0.3">
      <c r="A398" s="4" t="s">
        <v>21</v>
      </c>
      <c r="B398" s="4" t="s">
        <v>41</v>
      </c>
      <c r="C398" s="4" t="s">
        <v>23</v>
      </c>
      <c r="D398" s="4" t="s">
        <v>42</v>
      </c>
      <c r="E398" s="4" t="s">
        <v>52</v>
      </c>
      <c r="F398" s="4" t="s">
        <v>53</v>
      </c>
      <c r="G398" s="4" t="s">
        <v>25</v>
      </c>
      <c r="H398" s="4" t="s">
        <v>25</v>
      </c>
      <c r="I398" s="5">
        <v>44682</v>
      </c>
      <c r="J398" s="6">
        <v>0</v>
      </c>
      <c r="K398" s="6">
        <v>0</v>
      </c>
      <c r="L398" s="6">
        <v>1.534</v>
      </c>
      <c r="M398" s="6">
        <v>0.61360000000000003</v>
      </c>
      <c r="N398" s="6">
        <v>1.534</v>
      </c>
      <c r="O398" s="6">
        <v>0.61360000000000003</v>
      </c>
      <c r="P398" s="6">
        <v>0</v>
      </c>
      <c r="Q398" s="4" t="s">
        <v>26</v>
      </c>
      <c r="R398" s="4">
        <v>0</v>
      </c>
      <c r="S398" s="4" t="s">
        <v>262</v>
      </c>
      <c r="T398" s="4" t="s">
        <v>423</v>
      </c>
      <c r="U398" s="4">
        <v>0</v>
      </c>
      <c r="V398" s="4">
        <v>62</v>
      </c>
      <c r="W398" s="4">
        <v>23</v>
      </c>
    </row>
    <row r="399" spans="1:23" ht="11.25" customHeight="1" x14ac:dyDescent="0.3">
      <c r="A399" s="4" t="s">
        <v>21</v>
      </c>
      <c r="B399" s="4" t="s">
        <v>41</v>
      </c>
      <c r="C399" s="4" t="s">
        <v>23</v>
      </c>
      <c r="D399" s="4" t="s">
        <v>42</v>
      </c>
      <c r="E399" s="4" t="s">
        <v>52</v>
      </c>
      <c r="F399" s="4" t="s">
        <v>53</v>
      </c>
      <c r="G399" s="4" t="s">
        <v>25</v>
      </c>
      <c r="H399" s="4" t="s">
        <v>25</v>
      </c>
      <c r="I399" s="5">
        <v>44713</v>
      </c>
      <c r="J399" s="6">
        <v>0</v>
      </c>
      <c r="K399" s="6">
        <v>0</v>
      </c>
      <c r="L399" s="6">
        <v>1.4730000000000001</v>
      </c>
      <c r="M399" s="6">
        <v>0.58919999999999995</v>
      </c>
      <c r="N399" s="6">
        <v>1.4730000000000001</v>
      </c>
      <c r="O399" s="6">
        <v>0.58919999999999995</v>
      </c>
      <c r="P399" s="6">
        <v>0</v>
      </c>
      <c r="Q399" s="4" t="s">
        <v>26</v>
      </c>
      <c r="R399" s="4">
        <v>0</v>
      </c>
      <c r="S399" s="4" t="s">
        <v>263</v>
      </c>
      <c r="T399" s="4" t="s">
        <v>424</v>
      </c>
      <c r="U399" s="4">
        <v>0</v>
      </c>
      <c r="V399" s="4">
        <v>62</v>
      </c>
      <c r="W399" s="4">
        <v>23</v>
      </c>
    </row>
    <row r="400" spans="1:23" ht="11.25" customHeight="1" x14ac:dyDescent="0.3">
      <c r="A400" s="4" t="s">
        <v>21</v>
      </c>
      <c r="B400" s="4" t="s">
        <v>41</v>
      </c>
      <c r="C400" s="4" t="s">
        <v>23</v>
      </c>
      <c r="D400" s="4" t="s">
        <v>42</v>
      </c>
      <c r="E400" s="4" t="s">
        <v>52</v>
      </c>
      <c r="F400" s="4" t="s">
        <v>53</v>
      </c>
      <c r="G400" s="4" t="s">
        <v>25</v>
      </c>
      <c r="H400" s="4" t="s">
        <v>25</v>
      </c>
      <c r="I400" s="5">
        <v>44743</v>
      </c>
      <c r="J400" s="6">
        <v>0</v>
      </c>
      <c r="K400" s="6">
        <v>0</v>
      </c>
      <c r="L400" s="6">
        <v>0.89500000000000002</v>
      </c>
      <c r="M400" s="6">
        <v>0.35799999999999998</v>
      </c>
      <c r="N400" s="6">
        <v>0.89500000000000002</v>
      </c>
      <c r="O400" s="6">
        <v>0.35799999999999998</v>
      </c>
      <c r="P400" s="6">
        <v>0</v>
      </c>
      <c r="Q400" s="4" t="s">
        <v>26</v>
      </c>
      <c r="R400" s="4">
        <v>0</v>
      </c>
      <c r="S400" s="4" t="s">
        <v>264</v>
      </c>
      <c r="T400" s="4" t="s">
        <v>425</v>
      </c>
      <c r="U400" s="4">
        <v>0</v>
      </c>
      <c r="V400" s="4">
        <v>62</v>
      </c>
      <c r="W400" s="4">
        <v>23</v>
      </c>
    </row>
    <row r="401" spans="1:23" ht="11.25" customHeight="1" x14ac:dyDescent="0.3">
      <c r="A401" s="4" t="s">
        <v>21</v>
      </c>
      <c r="B401" s="4" t="s">
        <v>41</v>
      </c>
      <c r="C401" s="4" t="s">
        <v>23</v>
      </c>
      <c r="D401" s="4" t="s">
        <v>42</v>
      </c>
      <c r="E401" s="4" t="s">
        <v>25</v>
      </c>
      <c r="F401" s="4" t="s">
        <v>25</v>
      </c>
      <c r="G401" s="4" t="s">
        <v>25</v>
      </c>
      <c r="H401" s="4" t="s">
        <v>25</v>
      </c>
      <c r="I401" s="5">
        <v>44409</v>
      </c>
      <c r="J401" s="6">
        <v>0</v>
      </c>
      <c r="K401" s="6">
        <v>0</v>
      </c>
      <c r="L401" s="6">
        <v>201.24</v>
      </c>
      <c r="M401" s="6">
        <v>201.24</v>
      </c>
      <c r="N401" s="6">
        <v>201.24</v>
      </c>
      <c r="O401" s="6">
        <v>201.24</v>
      </c>
      <c r="P401" s="6">
        <v>794</v>
      </c>
      <c r="Q401" s="4" t="s">
        <v>26</v>
      </c>
      <c r="R401" s="4">
        <v>0</v>
      </c>
      <c r="S401" s="4" t="s">
        <v>253</v>
      </c>
      <c r="T401" s="4" t="s">
        <v>414</v>
      </c>
      <c r="U401" s="4">
        <v>0</v>
      </c>
      <c r="V401" s="4">
        <v>62</v>
      </c>
      <c r="W401" s="4">
        <v>23</v>
      </c>
    </row>
    <row r="402" spans="1:23" ht="11.25" customHeight="1" x14ac:dyDescent="0.3">
      <c r="A402" s="4" t="s">
        <v>27</v>
      </c>
      <c r="B402" s="4" t="s">
        <v>41</v>
      </c>
      <c r="C402" s="4" t="s">
        <v>23</v>
      </c>
      <c r="D402" s="4" t="s">
        <v>42</v>
      </c>
      <c r="E402" s="4" t="s">
        <v>25</v>
      </c>
      <c r="F402" s="4" t="s">
        <v>25</v>
      </c>
      <c r="G402" s="4" t="s">
        <v>25</v>
      </c>
      <c r="H402" s="4" t="s">
        <v>25</v>
      </c>
      <c r="I402" s="5">
        <v>44409</v>
      </c>
      <c r="J402" s="6">
        <v>0</v>
      </c>
      <c r="K402" s="6">
        <v>0</v>
      </c>
      <c r="L402" s="6">
        <v>4.51</v>
      </c>
      <c r="M402" s="6">
        <v>4.51</v>
      </c>
      <c r="N402" s="6">
        <v>4.51</v>
      </c>
      <c r="O402" s="6">
        <v>4.51</v>
      </c>
      <c r="P402" s="6">
        <v>32</v>
      </c>
      <c r="Q402" s="4" t="s">
        <v>26</v>
      </c>
      <c r="R402" s="4">
        <v>0</v>
      </c>
      <c r="S402" s="4" t="s">
        <v>253</v>
      </c>
      <c r="T402" s="4" t="s">
        <v>414</v>
      </c>
      <c r="U402" s="4">
        <v>0</v>
      </c>
      <c r="V402" s="4">
        <v>62</v>
      </c>
      <c r="W402" s="4">
        <v>23</v>
      </c>
    </row>
    <row r="403" spans="1:23" ht="11.25" customHeight="1" x14ac:dyDescent="0.3">
      <c r="A403" s="4" t="s">
        <v>21</v>
      </c>
      <c r="B403" s="4" t="s">
        <v>41</v>
      </c>
      <c r="C403" s="4" t="s">
        <v>23</v>
      </c>
      <c r="D403" s="4" t="s">
        <v>42</v>
      </c>
      <c r="E403" s="4" t="s">
        <v>25</v>
      </c>
      <c r="F403" s="4" t="s">
        <v>25</v>
      </c>
      <c r="G403" s="4" t="s">
        <v>25</v>
      </c>
      <c r="H403" s="4" t="s">
        <v>25</v>
      </c>
      <c r="I403" s="5">
        <v>44440</v>
      </c>
      <c r="J403" s="6">
        <v>0</v>
      </c>
      <c r="K403" s="6">
        <v>0</v>
      </c>
      <c r="L403" s="6">
        <v>228.11099999999999</v>
      </c>
      <c r="M403" s="6">
        <v>228.11099999999999</v>
      </c>
      <c r="N403" s="6">
        <v>228.11099999999999</v>
      </c>
      <c r="O403" s="6">
        <v>228.11099999999999</v>
      </c>
      <c r="P403" s="6">
        <v>791</v>
      </c>
      <c r="Q403" s="4" t="s">
        <v>26</v>
      </c>
      <c r="R403" s="4">
        <v>0</v>
      </c>
      <c r="S403" s="4" t="s">
        <v>254</v>
      </c>
      <c r="T403" s="4" t="s">
        <v>415</v>
      </c>
      <c r="U403" s="4">
        <v>0</v>
      </c>
      <c r="V403" s="4">
        <v>62</v>
      </c>
      <c r="W403" s="4">
        <v>23</v>
      </c>
    </row>
    <row r="404" spans="1:23" ht="11.25" customHeight="1" x14ac:dyDescent="0.3">
      <c r="A404" s="4" t="s">
        <v>27</v>
      </c>
      <c r="B404" s="4" t="s">
        <v>41</v>
      </c>
      <c r="C404" s="4" t="s">
        <v>23</v>
      </c>
      <c r="D404" s="4" t="s">
        <v>42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44440</v>
      </c>
      <c r="J404" s="6">
        <v>0</v>
      </c>
      <c r="K404" s="6">
        <v>0</v>
      </c>
      <c r="L404" s="6">
        <v>7.26</v>
      </c>
      <c r="M404" s="6">
        <v>7.26</v>
      </c>
      <c r="N404" s="6">
        <v>7.26</v>
      </c>
      <c r="O404" s="6">
        <v>7.26</v>
      </c>
      <c r="P404" s="6">
        <v>33</v>
      </c>
      <c r="Q404" s="4" t="s">
        <v>26</v>
      </c>
      <c r="R404" s="4">
        <v>0</v>
      </c>
      <c r="S404" s="4" t="s">
        <v>254</v>
      </c>
      <c r="T404" s="4" t="s">
        <v>415</v>
      </c>
      <c r="U404" s="4">
        <v>0</v>
      </c>
      <c r="V404" s="4">
        <v>62</v>
      </c>
      <c r="W404" s="4">
        <v>23</v>
      </c>
    </row>
    <row r="405" spans="1:23" ht="11.25" customHeight="1" x14ac:dyDescent="0.3">
      <c r="A405" s="4" t="s">
        <v>21</v>
      </c>
      <c r="B405" s="4" t="s">
        <v>41</v>
      </c>
      <c r="C405" s="4" t="s">
        <v>23</v>
      </c>
      <c r="D405" s="4" t="s">
        <v>42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44470</v>
      </c>
      <c r="J405" s="6">
        <v>0</v>
      </c>
      <c r="K405" s="6">
        <v>0</v>
      </c>
      <c r="L405" s="6">
        <v>223.05</v>
      </c>
      <c r="M405" s="6">
        <v>223.05</v>
      </c>
      <c r="N405" s="6">
        <v>223.05</v>
      </c>
      <c r="O405" s="6">
        <v>223.05</v>
      </c>
      <c r="P405" s="6">
        <v>797</v>
      </c>
      <c r="Q405" s="4" t="s">
        <v>26</v>
      </c>
      <c r="R405" s="4">
        <v>0</v>
      </c>
      <c r="S405" s="4" t="s">
        <v>255</v>
      </c>
      <c r="T405" s="4" t="s">
        <v>416</v>
      </c>
      <c r="U405" s="4">
        <v>0</v>
      </c>
      <c r="V405" s="4">
        <v>62</v>
      </c>
      <c r="W405" s="4">
        <v>23</v>
      </c>
    </row>
    <row r="406" spans="1:23" ht="11.25" customHeight="1" x14ac:dyDescent="0.3">
      <c r="A406" s="4" t="s">
        <v>27</v>
      </c>
      <c r="B406" s="4" t="s">
        <v>41</v>
      </c>
      <c r="C406" s="4" t="s">
        <v>23</v>
      </c>
      <c r="D406" s="4" t="s">
        <v>42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44470</v>
      </c>
      <c r="J406" s="6">
        <v>0</v>
      </c>
      <c r="K406" s="6">
        <v>0</v>
      </c>
      <c r="L406" s="6">
        <v>10.824</v>
      </c>
      <c r="M406" s="6">
        <v>10.824</v>
      </c>
      <c r="N406" s="6">
        <v>10.824</v>
      </c>
      <c r="O406" s="6">
        <v>10.824</v>
      </c>
      <c r="P406" s="6">
        <v>33</v>
      </c>
      <c r="Q406" s="4" t="s">
        <v>26</v>
      </c>
      <c r="R406" s="4">
        <v>0</v>
      </c>
      <c r="S406" s="4" t="s">
        <v>255</v>
      </c>
      <c r="T406" s="4" t="s">
        <v>416</v>
      </c>
      <c r="U406" s="4">
        <v>0</v>
      </c>
      <c r="V406" s="4">
        <v>62</v>
      </c>
      <c r="W406" s="4">
        <v>23</v>
      </c>
    </row>
    <row r="407" spans="1:23" ht="11.25" customHeight="1" x14ac:dyDescent="0.3">
      <c r="A407" s="4" t="s">
        <v>21</v>
      </c>
      <c r="B407" s="4" t="s">
        <v>41</v>
      </c>
      <c r="C407" s="4" t="s">
        <v>23</v>
      </c>
      <c r="D407" s="4" t="s">
        <v>42</v>
      </c>
      <c r="E407" s="4" t="s">
        <v>25</v>
      </c>
      <c r="F407" s="4" t="s">
        <v>25</v>
      </c>
      <c r="G407" s="4" t="s">
        <v>25</v>
      </c>
      <c r="H407" s="4" t="s">
        <v>25</v>
      </c>
      <c r="I407" s="5">
        <v>44501</v>
      </c>
      <c r="J407" s="6">
        <v>0</v>
      </c>
      <c r="K407" s="6">
        <v>0</v>
      </c>
      <c r="L407" s="6">
        <v>284.45699999999999</v>
      </c>
      <c r="M407" s="6">
        <v>284.45699999999999</v>
      </c>
      <c r="N407" s="6">
        <v>284.45699999999999</v>
      </c>
      <c r="O407" s="6">
        <v>284.45699999999999</v>
      </c>
      <c r="P407" s="6">
        <v>797</v>
      </c>
      <c r="Q407" s="4" t="s">
        <v>26</v>
      </c>
      <c r="R407" s="4">
        <v>0</v>
      </c>
      <c r="S407" s="4" t="s">
        <v>256</v>
      </c>
      <c r="T407" s="4" t="s">
        <v>417</v>
      </c>
      <c r="U407" s="4">
        <v>0</v>
      </c>
      <c r="V407" s="4">
        <v>62</v>
      </c>
      <c r="W407" s="4">
        <v>23</v>
      </c>
    </row>
    <row r="408" spans="1:23" ht="11.25" customHeight="1" x14ac:dyDescent="0.3">
      <c r="A408" s="4" t="s">
        <v>27</v>
      </c>
      <c r="B408" s="4" t="s">
        <v>41</v>
      </c>
      <c r="C408" s="4" t="s">
        <v>23</v>
      </c>
      <c r="D408" s="4" t="s">
        <v>42</v>
      </c>
      <c r="E408" s="4" t="s">
        <v>25</v>
      </c>
      <c r="F408" s="4" t="s">
        <v>25</v>
      </c>
      <c r="G408" s="4" t="s">
        <v>25</v>
      </c>
      <c r="H408" s="4" t="s">
        <v>25</v>
      </c>
      <c r="I408" s="5">
        <v>44501</v>
      </c>
      <c r="J408" s="6">
        <v>0</v>
      </c>
      <c r="K408" s="6">
        <v>0</v>
      </c>
      <c r="L408" s="6">
        <v>16.957999999999998</v>
      </c>
      <c r="M408" s="6">
        <v>16.957999999999998</v>
      </c>
      <c r="N408" s="6">
        <v>16.957999999999998</v>
      </c>
      <c r="O408" s="6">
        <v>16.957999999999998</v>
      </c>
      <c r="P408" s="6">
        <v>33</v>
      </c>
      <c r="Q408" s="4" t="s">
        <v>26</v>
      </c>
      <c r="R408" s="4">
        <v>0</v>
      </c>
      <c r="S408" s="4" t="s">
        <v>256</v>
      </c>
      <c r="T408" s="4" t="s">
        <v>417</v>
      </c>
      <c r="U408" s="4">
        <v>0</v>
      </c>
      <c r="V408" s="4">
        <v>62</v>
      </c>
      <c r="W408" s="4">
        <v>23</v>
      </c>
    </row>
    <row r="409" spans="1:23" ht="11.25" customHeight="1" x14ac:dyDescent="0.3">
      <c r="A409" s="4" t="s">
        <v>21</v>
      </c>
      <c r="B409" s="4" t="s">
        <v>41</v>
      </c>
      <c r="C409" s="4" t="s">
        <v>23</v>
      </c>
      <c r="D409" s="4" t="s">
        <v>42</v>
      </c>
      <c r="E409" s="4" t="s">
        <v>25</v>
      </c>
      <c r="F409" s="4" t="s">
        <v>25</v>
      </c>
      <c r="G409" s="4" t="s">
        <v>25</v>
      </c>
      <c r="H409" s="4" t="s">
        <v>25</v>
      </c>
      <c r="I409" s="5">
        <v>44531</v>
      </c>
      <c r="J409" s="6">
        <v>0</v>
      </c>
      <c r="K409" s="6">
        <v>0</v>
      </c>
      <c r="L409" s="6">
        <v>345.952</v>
      </c>
      <c r="M409" s="6">
        <v>345.952</v>
      </c>
      <c r="N409" s="6">
        <v>345.952</v>
      </c>
      <c r="O409" s="6">
        <v>345.952</v>
      </c>
      <c r="P409" s="6">
        <v>797</v>
      </c>
      <c r="Q409" s="4" t="s">
        <v>26</v>
      </c>
      <c r="R409" s="4">
        <v>0</v>
      </c>
      <c r="S409" s="4" t="s">
        <v>257</v>
      </c>
      <c r="T409" s="4" t="s">
        <v>418</v>
      </c>
      <c r="U409" s="4">
        <v>0</v>
      </c>
      <c r="V409" s="4">
        <v>62</v>
      </c>
      <c r="W409" s="4">
        <v>23</v>
      </c>
    </row>
    <row r="410" spans="1:23" ht="11.25" customHeight="1" x14ac:dyDescent="0.3">
      <c r="A410" s="4" t="s">
        <v>27</v>
      </c>
      <c r="B410" s="4" t="s">
        <v>41</v>
      </c>
      <c r="C410" s="4" t="s">
        <v>23</v>
      </c>
      <c r="D410" s="4" t="s">
        <v>42</v>
      </c>
      <c r="E410" s="4" t="s">
        <v>25</v>
      </c>
      <c r="F410" s="4" t="s">
        <v>25</v>
      </c>
      <c r="G410" s="4" t="s">
        <v>25</v>
      </c>
      <c r="H410" s="4" t="s">
        <v>25</v>
      </c>
      <c r="I410" s="5">
        <v>44531</v>
      </c>
      <c r="J410" s="6">
        <v>0</v>
      </c>
      <c r="K410" s="6">
        <v>0</v>
      </c>
      <c r="L410" s="6">
        <v>36.584000000000003</v>
      </c>
      <c r="M410" s="6">
        <v>36.584000000000003</v>
      </c>
      <c r="N410" s="6">
        <v>36.584000000000003</v>
      </c>
      <c r="O410" s="6">
        <v>36.584000000000003</v>
      </c>
      <c r="P410" s="6">
        <v>34</v>
      </c>
      <c r="Q410" s="4" t="s">
        <v>26</v>
      </c>
      <c r="R410" s="4">
        <v>0</v>
      </c>
      <c r="S410" s="4" t="s">
        <v>257</v>
      </c>
      <c r="T410" s="4" t="s">
        <v>418</v>
      </c>
      <c r="U410" s="4">
        <v>0</v>
      </c>
      <c r="V410" s="4">
        <v>62</v>
      </c>
      <c r="W410" s="4">
        <v>23</v>
      </c>
    </row>
    <row r="411" spans="1:23" ht="11.25" customHeight="1" x14ac:dyDescent="0.3">
      <c r="A411" s="4" t="s">
        <v>21</v>
      </c>
      <c r="B411" s="4" t="s">
        <v>41</v>
      </c>
      <c r="C411" s="4" t="s">
        <v>23</v>
      </c>
      <c r="D411" s="4" t="s">
        <v>42</v>
      </c>
      <c r="E411" s="4" t="s">
        <v>25</v>
      </c>
      <c r="F411" s="4" t="s">
        <v>25</v>
      </c>
      <c r="G411" s="4" t="s">
        <v>25</v>
      </c>
      <c r="H411" s="4" t="s">
        <v>25</v>
      </c>
      <c r="I411" s="5">
        <v>44562</v>
      </c>
      <c r="J411" s="6">
        <v>0</v>
      </c>
      <c r="K411" s="6">
        <v>0</v>
      </c>
      <c r="L411" s="6">
        <v>302.08199999999999</v>
      </c>
      <c r="M411" s="6">
        <v>302.08199999999999</v>
      </c>
      <c r="N411" s="6">
        <v>302.08199999999999</v>
      </c>
      <c r="O411" s="6">
        <v>302.08199999999999</v>
      </c>
      <c r="P411" s="6">
        <v>792</v>
      </c>
      <c r="Q411" s="4" t="s">
        <v>26</v>
      </c>
      <c r="R411" s="4">
        <v>0</v>
      </c>
      <c r="S411" s="4" t="s">
        <v>258</v>
      </c>
      <c r="T411" s="4" t="s">
        <v>419</v>
      </c>
      <c r="U411" s="4">
        <v>0</v>
      </c>
      <c r="V411" s="4">
        <v>62</v>
      </c>
      <c r="W411" s="4">
        <v>23</v>
      </c>
    </row>
    <row r="412" spans="1:23" ht="11.25" customHeight="1" x14ac:dyDescent="0.3">
      <c r="A412" s="4" t="s">
        <v>27</v>
      </c>
      <c r="B412" s="4" t="s">
        <v>41</v>
      </c>
      <c r="C412" s="4" t="s">
        <v>23</v>
      </c>
      <c r="D412" s="4" t="s">
        <v>42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44562</v>
      </c>
      <c r="J412" s="6">
        <v>0</v>
      </c>
      <c r="K412" s="6">
        <v>0</v>
      </c>
      <c r="L412" s="6">
        <v>26.65</v>
      </c>
      <c r="M412" s="6">
        <v>26.65</v>
      </c>
      <c r="N412" s="6">
        <v>26.65</v>
      </c>
      <c r="O412" s="6">
        <v>26.65</v>
      </c>
      <c r="P412" s="6">
        <v>38</v>
      </c>
      <c r="Q412" s="4" t="s">
        <v>26</v>
      </c>
      <c r="R412" s="4">
        <v>0</v>
      </c>
      <c r="S412" s="4" t="s">
        <v>258</v>
      </c>
      <c r="T412" s="4" t="s">
        <v>419</v>
      </c>
      <c r="U412" s="4">
        <v>0</v>
      </c>
      <c r="V412" s="4">
        <v>62</v>
      </c>
      <c r="W412" s="4">
        <v>23</v>
      </c>
    </row>
    <row r="413" spans="1:23" ht="11.25" customHeight="1" x14ac:dyDescent="0.3">
      <c r="A413" s="4" t="s">
        <v>21</v>
      </c>
      <c r="B413" s="4" t="s">
        <v>41</v>
      </c>
      <c r="C413" s="4" t="s">
        <v>23</v>
      </c>
      <c r="D413" s="4" t="s">
        <v>42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44593</v>
      </c>
      <c r="J413" s="6">
        <v>0</v>
      </c>
      <c r="K413" s="6">
        <v>0</v>
      </c>
      <c r="L413" s="6">
        <v>276.39600000000002</v>
      </c>
      <c r="M413" s="6">
        <v>276.39600000000002</v>
      </c>
      <c r="N413" s="6">
        <v>276.39600000000002</v>
      </c>
      <c r="O413" s="6">
        <v>276.39600000000002</v>
      </c>
      <c r="P413" s="6">
        <v>790</v>
      </c>
      <c r="Q413" s="4" t="s">
        <v>26</v>
      </c>
      <c r="R413" s="4">
        <v>0</v>
      </c>
      <c r="S413" s="4" t="s">
        <v>259</v>
      </c>
      <c r="T413" s="4" t="s">
        <v>420</v>
      </c>
      <c r="U413" s="4">
        <v>0</v>
      </c>
      <c r="V413" s="4">
        <v>62</v>
      </c>
      <c r="W413" s="4">
        <v>23</v>
      </c>
    </row>
    <row r="414" spans="1:23" ht="11.25" customHeight="1" x14ac:dyDescent="0.3">
      <c r="A414" s="4" t="s">
        <v>27</v>
      </c>
      <c r="B414" s="4" t="s">
        <v>41</v>
      </c>
      <c r="C414" s="4" t="s">
        <v>23</v>
      </c>
      <c r="D414" s="4" t="s">
        <v>42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44593</v>
      </c>
      <c r="J414" s="6">
        <v>0</v>
      </c>
      <c r="K414" s="6">
        <v>0</v>
      </c>
      <c r="L414" s="6">
        <v>38.256999999999998</v>
      </c>
      <c r="M414" s="6">
        <v>38.256999999999998</v>
      </c>
      <c r="N414" s="6">
        <v>38.256999999999998</v>
      </c>
      <c r="O414" s="6">
        <v>38.256999999999998</v>
      </c>
      <c r="P414" s="6">
        <v>38</v>
      </c>
      <c r="Q414" s="4" t="s">
        <v>26</v>
      </c>
      <c r="R414" s="4">
        <v>0</v>
      </c>
      <c r="S414" s="4" t="s">
        <v>259</v>
      </c>
      <c r="T414" s="4" t="s">
        <v>420</v>
      </c>
      <c r="U414" s="4">
        <v>0</v>
      </c>
      <c r="V414" s="4">
        <v>62</v>
      </c>
      <c r="W414" s="4">
        <v>23</v>
      </c>
    </row>
    <row r="415" spans="1:23" ht="11.25" customHeight="1" x14ac:dyDescent="0.3">
      <c r="A415" s="4" t="s">
        <v>21</v>
      </c>
      <c r="B415" s="4" t="s">
        <v>41</v>
      </c>
      <c r="C415" s="4" t="s">
        <v>23</v>
      </c>
      <c r="D415" s="4" t="s">
        <v>42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44621</v>
      </c>
      <c r="J415" s="6">
        <v>0</v>
      </c>
      <c r="K415" s="6">
        <v>0</v>
      </c>
      <c r="L415" s="6">
        <v>228.57900000000001</v>
      </c>
      <c r="M415" s="6">
        <v>228.57900000000001</v>
      </c>
      <c r="N415" s="6">
        <v>228.57900000000001</v>
      </c>
      <c r="O415" s="6">
        <v>228.57900000000001</v>
      </c>
      <c r="P415" s="6">
        <v>788</v>
      </c>
      <c r="Q415" s="4" t="s">
        <v>26</v>
      </c>
      <c r="R415" s="4">
        <v>0</v>
      </c>
      <c r="S415" s="4" t="s">
        <v>260</v>
      </c>
      <c r="T415" s="4" t="s">
        <v>421</v>
      </c>
      <c r="U415" s="4">
        <v>0</v>
      </c>
      <c r="V415" s="4">
        <v>62</v>
      </c>
      <c r="W415" s="4">
        <v>23</v>
      </c>
    </row>
    <row r="416" spans="1:23" ht="11.25" customHeight="1" x14ac:dyDescent="0.3">
      <c r="A416" s="4" t="s">
        <v>27</v>
      </c>
      <c r="B416" s="4" t="s">
        <v>41</v>
      </c>
      <c r="C416" s="4" t="s">
        <v>23</v>
      </c>
      <c r="D416" s="4" t="s">
        <v>42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44621</v>
      </c>
      <c r="J416" s="6">
        <v>0</v>
      </c>
      <c r="K416" s="6">
        <v>0</v>
      </c>
      <c r="L416" s="6">
        <v>8.7840000000000007</v>
      </c>
      <c r="M416" s="6">
        <v>8.7840000000000007</v>
      </c>
      <c r="N416" s="6">
        <v>8.7840000000000007</v>
      </c>
      <c r="O416" s="6">
        <v>8.7840000000000007</v>
      </c>
      <c r="P416" s="6">
        <v>38</v>
      </c>
      <c r="Q416" s="4" t="s">
        <v>26</v>
      </c>
      <c r="R416" s="4">
        <v>0</v>
      </c>
      <c r="S416" s="4" t="s">
        <v>260</v>
      </c>
      <c r="T416" s="4" t="s">
        <v>421</v>
      </c>
      <c r="U416" s="4">
        <v>0</v>
      </c>
      <c r="V416" s="4">
        <v>62</v>
      </c>
      <c r="W416" s="4">
        <v>23</v>
      </c>
    </row>
    <row r="417" spans="1:23" ht="11.25" customHeight="1" x14ac:dyDescent="0.3">
      <c r="A417" s="4" t="s">
        <v>21</v>
      </c>
      <c r="B417" s="4" t="s">
        <v>41</v>
      </c>
      <c r="C417" s="4" t="s">
        <v>23</v>
      </c>
      <c r="D417" s="4" t="s">
        <v>42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44652</v>
      </c>
      <c r="J417" s="6">
        <v>0</v>
      </c>
      <c r="K417" s="6">
        <v>0</v>
      </c>
      <c r="L417" s="6">
        <v>197.05199999999999</v>
      </c>
      <c r="M417" s="6">
        <v>197.05199999999999</v>
      </c>
      <c r="N417" s="6">
        <v>197.05199999999999</v>
      </c>
      <c r="O417" s="6">
        <v>197.05199999999999</v>
      </c>
      <c r="P417" s="6">
        <v>790</v>
      </c>
      <c r="Q417" s="4" t="s">
        <v>26</v>
      </c>
      <c r="R417" s="4">
        <v>0</v>
      </c>
      <c r="S417" s="4" t="s">
        <v>261</v>
      </c>
      <c r="T417" s="4" t="s">
        <v>422</v>
      </c>
      <c r="U417" s="4">
        <v>0</v>
      </c>
      <c r="V417" s="4">
        <v>62</v>
      </c>
      <c r="W417" s="4">
        <v>23</v>
      </c>
    </row>
    <row r="418" spans="1:23" ht="11.25" customHeight="1" x14ac:dyDescent="0.3">
      <c r="A418" s="4" t="s">
        <v>27</v>
      </c>
      <c r="B418" s="4" t="s">
        <v>41</v>
      </c>
      <c r="C418" s="4" t="s">
        <v>23</v>
      </c>
      <c r="D418" s="4" t="s">
        <v>42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44652</v>
      </c>
      <c r="J418" s="6">
        <v>0</v>
      </c>
      <c r="K418" s="6">
        <v>0</v>
      </c>
      <c r="L418" s="6">
        <v>13.965999999999999</v>
      </c>
      <c r="M418" s="6">
        <v>13.965999999999999</v>
      </c>
      <c r="N418" s="6">
        <v>13.965999999999999</v>
      </c>
      <c r="O418" s="6">
        <v>13.965999999999999</v>
      </c>
      <c r="P418" s="6">
        <v>39</v>
      </c>
      <c r="Q418" s="4" t="s">
        <v>26</v>
      </c>
      <c r="R418" s="4">
        <v>0</v>
      </c>
      <c r="S418" s="4" t="s">
        <v>261</v>
      </c>
      <c r="T418" s="4" t="s">
        <v>422</v>
      </c>
      <c r="U418" s="4">
        <v>0</v>
      </c>
      <c r="V418" s="4">
        <v>62</v>
      </c>
      <c r="W418" s="4">
        <v>23</v>
      </c>
    </row>
    <row r="419" spans="1:23" ht="11.25" customHeight="1" x14ac:dyDescent="0.3">
      <c r="A419" s="4" t="s">
        <v>21</v>
      </c>
      <c r="B419" s="4" t="s">
        <v>41</v>
      </c>
      <c r="C419" s="4" t="s">
        <v>23</v>
      </c>
      <c r="D419" s="4" t="s">
        <v>42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44682</v>
      </c>
      <c r="J419" s="6">
        <v>0</v>
      </c>
      <c r="K419" s="6">
        <v>0</v>
      </c>
      <c r="L419" s="6">
        <v>186.18</v>
      </c>
      <c r="M419" s="6">
        <v>186.18</v>
      </c>
      <c r="N419" s="6">
        <v>186.18</v>
      </c>
      <c r="O419" s="6">
        <v>186.18</v>
      </c>
      <c r="P419" s="6">
        <v>789</v>
      </c>
      <c r="Q419" s="4" t="s">
        <v>26</v>
      </c>
      <c r="R419" s="4">
        <v>0</v>
      </c>
      <c r="S419" s="4" t="s">
        <v>262</v>
      </c>
      <c r="T419" s="4" t="s">
        <v>423</v>
      </c>
      <c r="U419" s="4">
        <v>0</v>
      </c>
      <c r="V419" s="4">
        <v>62</v>
      </c>
      <c r="W419" s="4">
        <v>23</v>
      </c>
    </row>
    <row r="420" spans="1:23" ht="11.25" customHeight="1" x14ac:dyDescent="0.3">
      <c r="A420" s="4" t="s">
        <v>27</v>
      </c>
      <c r="B420" s="4" t="s">
        <v>41</v>
      </c>
      <c r="C420" s="4" t="s">
        <v>23</v>
      </c>
      <c r="D420" s="4" t="s">
        <v>42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44682</v>
      </c>
      <c r="J420" s="6">
        <v>0</v>
      </c>
      <c r="K420" s="6">
        <v>0</v>
      </c>
      <c r="L420" s="6">
        <v>8.7940000000000005</v>
      </c>
      <c r="M420" s="6">
        <v>8.7940000000000005</v>
      </c>
      <c r="N420" s="6">
        <v>8.7940000000000005</v>
      </c>
      <c r="O420" s="6">
        <v>8.7940000000000005</v>
      </c>
      <c r="P420" s="6">
        <v>40</v>
      </c>
      <c r="Q420" s="4" t="s">
        <v>26</v>
      </c>
      <c r="R420" s="4">
        <v>0</v>
      </c>
      <c r="S420" s="4" t="s">
        <v>262</v>
      </c>
      <c r="T420" s="4" t="s">
        <v>423</v>
      </c>
      <c r="U420" s="4">
        <v>0</v>
      </c>
      <c r="V420" s="4">
        <v>62</v>
      </c>
      <c r="W420" s="4">
        <v>23</v>
      </c>
    </row>
    <row r="421" spans="1:23" ht="11.25" customHeight="1" x14ac:dyDescent="0.3">
      <c r="A421" s="4" t="s">
        <v>21</v>
      </c>
      <c r="B421" s="4" t="s">
        <v>41</v>
      </c>
      <c r="C421" s="4" t="s">
        <v>23</v>
      </c>
      <c r="D421" s="4" t="s">
        <v>42</v>
      </c>
      <c r="E421" s="4" t="s">
        <v>25</v>
      </c>
      <c r="F421" s="4" t="s">
        <v>25</v>
      </c>
      <c r="G421" s="4" t="s">
        <v>25</v>
      </c>
      <c r="H421" s="4" t="s">
        <v>25</v>
      </c>
      <c r="I421" s="5">
        <v>44713</v>
      </c>
      <c r="J421" s="6">
        <v>0</v>
      </c>
      <c r="K421" s="6">
        <v>0</v>
      </c>
      <c r="L421" s="6">
        <v>202.459</v>
      </c>
      <c r="M421" s="6">
        <v>202.459</v>
      </c>
      <c r="N421" s="6">
        <v>202.459</v>
      </c>
      <c r="O421" s="6">
        <v>202.459</v>
      </c>
      <c r="P421" s="6">
        <v>792</v>
      </c>
      <c r="Q421" s="4" t="s">
        <v>26</v>
      </c>
      <c r="R421" s="4">
        <v>0</v>
      </c>
      <c r="S421" s="4" t="s">
        <v>263</v>
      </c>
      <c r="T421" s="4" t="s">
        <v>424</v>
      </c>
      <c r="U421" s="4">
        <v>0</v>
      </c>
      <c r="V421" s="4">
        <v>62</v>
      </c>
      <c r="W421" s="4">
        <v>23</v>
      </c>
    </row>
    <row r="422" spans="1:23" ht="11.25" customHeight="1" x14ac:dyDescent="0.3">
      <c r="A422" s="4" t="s">
        <v>27</v>
      </c>
      <c r="B422" s="4" t="s">
        <v>41</v>
      </c>
      <c r="C422" s="4" t="s">
        <v>23</v>
      </c>
      <c r="D422" s="4" t="s">
        <v>42</v>
      </c>
      <c r="E422" s="4" t="s">
        <v>25</v>
      </c>
      <c r="F422" s="4" t="s">
        <v>25</v>
      </c>
      <c r="G422" s="4" t="s">
        <v>25</v>
      </c>
      <c r="H422" s="4" t="s">
        <v>25</v>
      </c>
      <c r="I422" s="5">
        <v>44713</v>
      </c>
      <c r="J422" s="6">
        <v>0</v>
      </c>
      <c r="K422" s="6">
        <v>0</v>
      </c>
      <c r="L422" s="6">
        <v>12.084</v>
      </c>
      <c r="M422" s="6">
        <v>12.084</v>
      </c>
      <c r="N422" s="6">
        <v>12.084</v>
      </c>
      <c r="O422" s="6">
        <v>12.084</v>
      </c>
      <c r="P422" s="6">
        <v>41</v>
      </c>
      <c r="Q422" s="4" t="s">
        <v>26</v>
      </c>
      <c r="R422" s="4">
        <v>0</v>
      </c>
      <c r="S422" s="4" t="s">
        <v>263</v>
      </c>
      <c r="T422" s="4" t="s">
        <v>424</v>
      </c>
      <c r="U422" s="4">
        <v>0</v>
      </c>
      <c r="V422" s="4">
        <v>62</v>
      </c>
      <c r="W422" s="4">
        <v>23</v>
      </c>
    </row>
    <row r="423" spans="1:23" ht="11.25" customHeight="1" x14ac:dyDescent="0.3">
      <c r="A423" s="4" t="s">
        <v>21</v>
      </c>
      <c r="B423" s="4" t="s">
        <v>41</v>
      </c>
      <c r="C423" s="4" t="s">
        <v>23</v>
      </c>
      <c r="D423" s="4" t="s">
        <v>42</v>
      </c>
      <c r="E423" s="4" t="s">
        <v>25</v>
      </c>
      <c r="F423" s="4" t="s">
        <v>25</v>
      </c>
      <c r="G423" s="4" t="s">
        <v>25</v>
      </c>
      <c r="H423" s="4" t="s">
        <v>25</v>
      </c>
      <c r="I423" s="5">
        <v>44743</v>
      </c>
      <c r="J423" s="6">
        <v>0</v>
      </c>
      <c r="K423" s="6">
        <v>0</v>
      </c>
      <c r="L423" s="6">
        <v>207.00899999999999</v>
      </c>
      <c r="M423" s="6">
        <v>207.00899999999999</v>
      </c>
      <c r="N423" s="6">
        <v>207.00899999999999</v>
      </c>
      <c r="O423" s="6">
        <v>207.00899999999999</v>
      </c>
      <c r="P423" s="6">
        <v>791</v>
      </c>
      <c r="Q423" s="4" t="s">
        <v>26</v>
      </c>
      <c r="R423" s="4">
        <v>0</v>
      </c>
      <c r="S423" s="4" t="s">
        <v>264</v>
      </c>
      <c r="T423" s="4" t="s">
        <v>425</v>
      </c>
      <c r="U423" s="4">
        <v>0</v>
      </c>
      <c r="V423" s="4">
        <v>62</v>
      </c>
      <c r="W423" s="4">
        <v>23</v>
      </c>
    </row>
    <row r="424" spans="1:23" ht="11.25" customHeight="1" x14ac:dyDescent="0.3">
      <c r="A424" s="4" t="s">
        <v>27</v>
      </c>
      <c r="B424" s="4" t="s">
        <v>41</v>
      </c>
      <c r="C424" s="4" t="s">
        <v>23</v>
      </c>
      <c r="D424" s="4" t="s">
        <v>42</v>
      </c>
      <c r="E424" s="4" t="s">
        <v>25</v>
      </c>
      <c r="F424" s="4" t="s">
        <v>25</v>
      </c>
      <c r="G424" s="4" t="s">
        <v>25</v>
      </c>
      <c r="H424" s="4" t="s">
        <v>25</v>
      </c>
      <c r="I424" s="5">
        <v>44743</v>
      </c>
      <c r="J424" s="6">
        <v>0</v>
      </c>
      <c r="K424" s="6">
        <v>0</v>
      </c>
      <c r="L424" s="6">
        <v>12.455</v>
      </c>
      <c r="M424" s="6">
        <v>12.455</v>
      </c>
      <c r="N424" s="6">
        <v>12.455</v>
      </c>
      <c r="O424" s="6">
        <v>12.455</v>
      </c>
      <c r="P424" s="6">
        <v>41</v>
      </c>
      <c r="Q424" s="4" t="s">
        <v>26</v>
      </c>
      <c r="R424" s="4">
        <v>0</v>
      </c>
      <c r="S424" s="4" t="s">
        <v>264</v>
      </c>
      <c r="T424" s="4" t="s">
        <v>425</v>
      </c>
      <c r="U424" s="4">
        <v>0</v>
      </c>
      <c r="V424" s="4">
        <v>62</v>
      </c>
      <c r="W424" s="4">
        <v>23</v>
      </c>
    </row>
    <row r="425" spans="1:23" ht="11.25" customHeight="1" x14ac:dyDescent="0.3">
      <c r="A425" s="4" t="s">
        <v>21</v>
      </c>
      <c r="B425" s="4" t="s">
        <v>32</v>
      </c>
      <c r="C425" s="4" t="s">
        <v>38</v>
      </c>
      <c r="D425" s="4" t="s">
        <v>40</v>
      </c>
      <c r="E425" s="4" t="s">
        <v>25</v>
      </c>
      <c r="F425" s="4" t="s">
        <v>25</v>
      </c>
      <c r="G425" s="4" t="s">
        <v>25</v>
      </c>
      <c r="H425" s="4" t="s">
        <v>37</v>
      </c>
      <c r="I425" s="5">
        <v>44409</v>
      </c>
      <c r="J425" s="6">
        <v>0</v>
      </c>
      <c r="K425" s="6">
        <v>0</v>
      </c>
      <c r="L425" s="6">
        <v>4.5380000000000003</v>
      </c>
      <c r="M425" s="6">
        <v>4.5380000000000003</v>
      </c>
      <c r="N425" s="6">
        <v>4.5380000000000003</v>
      </c>
      <c r="O425" s="6">
        <v>4.5380000000000003</v>
      </c>
      <c r="P425" s="6">
        <v>0</v>
      </c>
      <c r="Q425" s="4" t="s">
        <v>26</v>
      </c>
      <c r="R425" s="4">
        <v>0</v>
      </c>
      <c r="S425" s="4" t="s">
        <v>265</v>
      </c>
      <c r="T425" s="4" t="s">
        <v>426</v>
      </c>
      <c r="U425" s="4">
        <v>0</v>
      </c>
      <c r="V425" s="4">
        <v>76</v>
      </c>
      <c r="W425" s="4">
        <v>51</v>
      </c>
    </row>
    <row r="426" spans="1:23" ht="11.25" customHeight="1" x14ac:dyDescent="0.3">
      <c r="A426" s="4" t="s">
        <v>21</v>
      </c>
      <c r="B426" s="4" t="s">
        <v>32</v>
      </c>
      <c r="C426" s="4" t="s">
        <v>38</v>
      </c>
      <c r="D426" s="4" t="s">
        <v>40</v>
      </c>
      <c r="E426" s="4" t="s">
        <v>25</v>
      </c>
      <c r="F426" s="4" t="s">
        <v>25</v>
      </c>
      <c r="G426" s="4" t="s">
        <v>25</v>
      </c>
      <c r="H426" s="4" t="s">
        <v>37</v>
      </c>
      <c r="I426" s="5">
        <v>44440</v>
      </c>
      <c r="J426" s="6">
        <v>0</v>
      </c>
      <c r="K426" s="6">
        <v>0</v>
      </c>
      <c r="L426" s="6">
        <v>4.0140000000000002</v>
      </c>
      <c r="M426" s="6">
        <v>4.0140000000000002</v>
      </c>
      <c r="N426" s="6">
        <v>4.0140000000000002</v>
      </c>
      <c r="O426" s="6">
        <v>4.0140000000000002</v>
      </c>
      <c r="P426" s="6">
        <v>0</v>
      </c>
      <c r="Q426" s="4" t="s">
        <v>26</v>
      </c>
      <c r="R426" s="4">
        <v>0</v>
      </c>
      <c r="S426" s="4" t="s">
        <v>266</v>
      </c>
      <c r="T426" s="4" t="s">
        <v>427</v>
      </c>
      <c r="U426" s="4">
        <v>0</v>
      </c>
      <c r="V426" s="4">
        <v>76</v>
      </c>
      <c r="W426" s="4">
        <v>51</v>
      </c>
    </row>
    <row r="427" spans="1:23" ht="11.25" customHeight="1" x14ac:dyDescent="0.3">
      <c r="A427" s="4" t="s">
        <v>21</v>
      </c>
      <c r="B427" s="4" t="s">
        <v>32</v>
      </c>
      <c r="C427" s="4" t="s">
        <v>38</v>
      </c>
      <c r="D427" s="4" t="s">
        <v>40</v>
      </c>
      <c r="E427" s="4" t="s">
        <v>25</v>
      </c>
      <c r="F427" s="4" t="s">
        <v>25</v>
      </c>
      <c r="G427" s="4" t="s">
        <v>25</v>
      </c>
      <c r="H427" s="4" t="s">
        <v>37</v>
      </c>
      <c r="I427" s="5">
        <v>44470</v>
      </c>
      <c r="J427" s="6">
        <v>0</v>
      </c>
      <c r="K427" s="6">
        <v>0</v>
      </c>
      <c r="L427" s="6">
        <v>4.2480000000000002</v>
      </c>
      <c r="M427" s="6">
        <v>4.2480000000000002</v>
      </c>
      <c r="N427" s="6">
        <v>4.2480000000000002</v>
      </c>
      <c r="O427" s="6">
        <v>4.2480000000000002</v>
      </c>
      <c r="P427" s="6">
        <v>0</v>
      </c>
      <c r="Q427" s="4" t="s">
        <v>26</v>
      </c>
      <c r="R427" s="4">
        <v>0</v>
      </c>
      <c r="S427" s="4" t="s">
        <v>267</v>
      </c>
      <c r="T427" s="4" t="s">
        <v>428</v>
      </c>
      <c r="U427" s="4">
        <v>0</v>
      </c>
      <c r="V427" s="4">
        <v>76</v>
      </c>
      <c r="W427" s="4">
        <v>51</v>
      </c>
    </row>
    <row r="428" spans="1:23" ht="11.25" customHeight="1" x14ac:dyDescent="0.3">
      <c r="A428" s="4" t="s">
        <v>21</v>
      </c>
      <c r="B428" s="4" t="s">
        <v>32</v>
      </c>
      <c r="C428" s="4" t="s">
        <v>38</v>
      </c>
      <c r="D428" s="4" t="s">
        <v>40</v>
      </c>
      <c r="E428" s="4" t="s">
        <v>25</v>
      </c>
      <c r="F428" s="4" t="s">
        <v>25</v>
      </c>
      <c r="G428" s="4" t="s">
        <v>25</v>
      </c>
      <c r="H428" s="4" t="s">
        <v>37</v>
      </c>
      <c r="I428" s="5">
        <v>44501</v>
      </c>
      <c r="J428" s="6">
        <v>0</v>
      </c>
      <c r="K428" s="6">
        <v>0</v>
      </c>
      <c r="L428" s="6">
        <v>4.3120000000000003</v>
      </c>
      <c r="M428" s="6">
        <v>4.3120000000000003</v>
      </c>
      <c r="N428" s="6">
        <v>4.3120000000000003</v>
      </c>
      <c r="O428" s="6">
        <v>4.3120000000000003</v>
      </c>
      <c r="P428" s="6">
        <v>0</v>
      </c>
      <c r="Q428" s="4" t="s">
        <v>26</v>
      </c>
      <c r="R428" s="4">
        <v>0</v>
      </c>
      <c r="S428" s="4" t="s">
        <v>268</v>
      </c>
      <c r="T428" s="4" t="s">
        <v>429</v>
      </c>
      <c r="U428" s="4">
        <v>0</v>
      </c>
      <c r="V428" s="4">
        <v>76</v>
      </c>
      <c r="W428" s="4">
        <v>51</v>
      </c>
    </row>
    <row r="429" spans="1:23" ht="11.25" customHeight="1" x14ac:dyDescent="0.3">
      <c r="A429" s="4" t="s">
        <v>21</v>
      </c>
      <c r="B429" s="4" t="s">
        <v>32</v>
      </c>
      <c r="C429" s="4" t="s">
        <v>38</v>
      </c>
      <c r="D429" s="4" t="s">
        <v>40</v>
      </c>
      <c r="E429" s="4" t="s">
        <v>25</v>
      </c>
      <c r="F429" s="4" t="s">
        <v>25</v>
      </c>
      <c r="G429" s="4" t="s">
        <v>25</v>
      </c>
      <c r="H429" s="4" t="s">
        <v>37</v>
      </c>
      <c r="I429" s="5">
        <v>44531</v>
      </c>
      <c r="J429" s="6">
        <v>0</v>
      </c>
      <c r="K429" s="6">
        <v>0</v>
      </c>
      <c r="L429" s="6">
        <v>4.9260000000000002</v>
      </c>
      <c r="M429" s="6">
        <v>4.9260000000000002</v>
      </c>
      <c r="N429" s="6">
        <v>4.9260000000000002</v>
      </c>
      <c r="O429" s="6">
        <v>4.9260000000000002</v>
      </c>
      <c r="P429" s="6">
        <v>0</v>
      </c>
      <c r="Q429" s="4" t="s">
        <v>26</v>
      </c>
      <c r="R429" s="4">
        <v>0</v>
      </c>
      <c r="S429" s="4" t="s">
        <v>269</v>
      </c>
      <c r="T429" s="4" t="s">
        <v>430</v>
      </c>
      <c r="U429" s="4">
        <v>0</v>
      </c>
      <c r="V429" s="4">
        <v>76</v>
      </c>
      <c r="W429" s="4">
        <v>51</v>
      </c>
    </row>
    <row r="430" spans="1:23" ht="11.25" customHeight="1" x14ac:dyDescent="0.3">
      <c r="A430" s="4" t="s">
        <v>21</v>
      </c>
      <c r="B430" s="4" t="s">
        <v>32</v>
      </c>
      <c r="C430" s="4" t="s">
        <v>38</v>
      </c>
      <c r="D430" s="4" t="s">
        <v>40</v>
      </c>
      <c r="E430" s="4" t="s">
        <v>25</v>
      </c>
      <c r="F430" s="4" t="s">
        <v>25</v>
      </c>
      <c r="G430" s="4" t="s">
        <v>25</v>
      </c>
      <c r="H430" s="4" t="s">
        <v>37</v>
      </c>
      <c r="I430" s="5">
        <v>44562</v>
      </c>
      <c r="J430" s="6">
        <v>0</v>
      </c>
      <c r="K430" s="6">
        <v>0</v>
      </c>
      <c r="L430" s="6">
        <v>6.1130000000000004</v>
      </c>
      <c r="M430" s="6">
        <v>6.1130000000000004</v>
      </c>
      <c r="N430" s="6">
        <v>6.1130000000000004</v>
      </c>
      <c r="O430" s="6">
        <v>6.1130000000000004</v>
      </c>
      <c r="P430" s="6">
        <v>0</v>
      </c>
      <c r="Q430" s="4" t="s">
        <v>26</v>
      </c>
      <c r="R430" s="4">
        <v>0</v>
      </c>
      <c r="S430" s="4" t="s">
        <v>270</v>
      </c>
      <c r="T430" s="4" t="s">
        <v>431</v>
      </c>
      <c r="U430" s="4">
        <v>0</v>
      </c>
      <c r="V430" s="4">
        <v>76</v>
      </c>
      <c r="W430" s="4">
        <v>51</v>
      </c>
    </row>
    <row r="431" spans="1:23" ht="11.25" customHeight="1" x14ac:dyDescent="0.3">
      <c r="A431" s="4" t="s">
        <v>21</v>
      </c>
      <c r="B431" s="4" t="s">
        <v>32</v>
      </c>
      <c r="C431" s="4" t="s">
        <v>38</v>
      </c>
      <c r="D431" s="4" t="s">
        <v>40</v>
      </c>
      <c r="E431" s="4" t="s">
        <v>25</v>
      </c>
      <c r="F431" s="4" t="s">
        <v>25</v>
      </c>
      <c r="G431" s="4" t="s">
        <v>25</v>
      </c>
      <c r="H431" s="4" t="s">
        <v>37</v>
      </c>
      <c r="I431" s="5">
        <v>44593</v>
      </c>
      <c r="J431" s="6">
        <v>0</v>
      </c>
      <c r="K431" s="6">
        <v>0</v>
      </c>
      <c r="L431" s="6">
        <v>7.43</v>
      </c>
      <c r="M431" s="6">
        <v>7.43</v>
      </c>
      <c r="N431" s="6">
        <v>7.43</v>
      </c>
      <c r="O431" s="6">
        <v>7.43</v>
      </c>
      <c r="P431" s="6">
        <v>0</v>
      </c>
      <c r="Q431" s="4" t="s">
        <v>26</v>
      </c>
      <c r="R431" s="4">
        <v>0</v>
      </c>
      <c r="S431" s="4" t="s">
        <v>271</v>
      </c>
      <c r="T431" s="4" t="s">
        <v>432</v>
      </c>
      <c r="U431" s="4">
        <v>0</v>
      </c>
      <c r="V431" s="4">
        <v>76</v>
      </c>
      <c r="W431" s="4">
        <v>51</v>
      </c>
    </row>
    <row r="432" spans="1:23" ht="11.25" customHeight="1" x14ac:dyDescent="0.3">
      <c r="A432" s="4" t="s">
        <v>21</v>
      </c>
      <c r="B432" s="4" t="s">
        <v>32</v>
      </c>
      <c r="C432" s="4" t="s">
        <v>38</v>
      </c>
      <c r="D432" s="4" t="s">
        <v>40</v>
      </c>
      <c r="E432" s="4" t="s">
        <v>25</v>
      </c>
      <c r="F432" s="4" t="s">
        <v>25</v>
      </c>
      <c r="G432" s="4" t="s">
        <v>25</v>
      </c>
      <c r="H432" s="4" t="s">
        <v>37</v>
      </c>
      <c r="I432" s="5">
        <v>44621</v>
      </c>
      <c r="J432" s="6">
        <v>0</v>
      </c>
      <c r="K432" s="6">
        <v>0</v>
      </c>
      <c r="L432" s="6">
        <v>6.3680000000000003</v>
      </c>
      <c r="M432" s="6">
        <v>6.3680000000000003</v>
      </c>
      <c r="N432" s="6">
        <v>6.3680000000000003</v>
      </c>
      <c r="O432" s="6">
        <v>6.3680000000000003</v>
      </c>
      <c r="P432" s="6">
        <v>0</v>
      </c>
      <c r="Q432" s="4" t="s">
        <v>26</v>
      </c>
      <c r="R432" s="4">
        <v>0</v>
      </c>
      <c r="S432" s="4" t="s">
        <v>272</v>
      </c>
      <c r="T432" s="4" t="s">
        <v>433</v>
      </c>
      <c r="U432" s="4">
        <v>0</v>
      </c>
      <c r="V432" s="4">
        <v>76</v>
      </c>
      <c r="W432" s="4">
        <v>51</v>
      </c>
    </row>
    <row r="433" spans="1:23" ht="11.25" customHeight="1" x14ac:dyDescent="0.3">
      <c r="A433" s="4" t="s">
        <v>21</v>
      </c>
      <c r="B433" s="4" t="s">
        <v>32</v>
      </c>
      <c r="C433" s="4" t="s">
        <v>38</v>
      </c>
      <c r="D433" s="4" t="s">
        <v>40</v>
      </c>
      <c r="E433" s="4" t="s">
        <v>25</v>
      </c>
      <c r="F433" s="4" t="s">
        <v>25</v>
      </c>
      <c r="G433" s="4" t="s">
        <v>25</v>
      </c>
      <c r="H433" s="4" t="s">
        <v>37</v>
      </c>
      <c r="I433" s="5">
        <v>44652</v>
      </c>
      <c r="J433" s="6">
        <v>0</v>
      </c>
      <c r="K433" s="6">
        <v>0</v>
      </c>
      <c r="L433" s="6">
        <v>5.8129999999999997</v>
      </c>
      <c r="M433" s="6">
        <v>5.8129999999999997</v>
      </c>
      <c r="N433" s="6">
        <v>5.8129999999999997</v>
      </c>
      <c r="O433" s="6">
        <v>5.8129999999999997</v>
      </c>
      <c r="P433" s="6">
        <v>0</v>
      </c>
      <c r="Q433" s="4" t="s">
        <v>26</v>
      </c>
      <c r="R433" s="4">
        <v>0</v>
      </c>
      <c r="S433" s="4" t="s">
        <v>273</v>
      </c>
      <c r="T433" s="4" t="s">
        <v>434</v>
      </c>
      <c r="U433" s="4">
        <v>0</v>
      </c>
      <c r="V433" s="4">
        <v>76</v>
      </c>
      <c r="W433" s="4">
        <v>51</v>
      </c>
    </row>
    <row r="434" spans="1:23" ht="11.25" customHeight="1" x14ac:dyDescent="0.3">
      <c r="A434" s="4" t="s">
        <v>21</v>
      </c>
      <c r="B434" s="4" t="s">
        <v>32</v>
      </c>
      <c r="C434" s="4" t="s">
        <v>38</v>
      </c>
      <c r="D434" s="4" t="s">
        <v>40</v>
      </c>
      <c r="E434" s="4" t="s">
        <v>25</v>
      </c>
      <c r="F434" s="4" t="s">
        <v>25</v>
      </c>
      <c r="G434" s="4" t="s">
        <v>25</v>
      </c>
      <c r="H434" s="4" t="s">
        <v>37</v>
      </c>
      <c r="I434" s="5">
        <v>44682</v>
      </c>
      <c r="J434" s="6">
        <v>0</v>
      </c>
      <c r="K434" s="6">
        <v>0</v>
      </c>
      <c r="L434" s="6">
        <v>4.8</v>
      </c>
      <c r="M434" s="6">
        <v>4.8</v>
      </c>
      <c r="N434" s="6">
        <v>4.8</v>
      </c>
      <c r="O434" s="6">
        <v>4.8</v>
      </c>
      <c r="P434" s="6">
        <v>0</v>
      </c>
      <c r="Q434" s="4" t="s">
        <v>26</v>
      </c>
      <c r="R434" s="4">
        <v>0</v>
      </c>
      <c r="S434" s="4" t="s">
        <v>274</v>
      </c>
      <c r="T434" s="4" t="s">
        <v>435</v>
      </c>
      <c r="U434" s="4">
        <v>0</v>
      </c>
      <c r="V434" s="4">
        <v>76</v>
      </c>
      <c r="W434" s="4">
        <v>51</v>
      </c>
    </row>
    <row r="435" spans="1:23" ht="11.25" customHeight="1" x14ac:dyDescent="0.3">
      <c r="A435" s="4" t="s">
        <v>21</v>
      </c>
      <c r="B435" s="4" t="s">
        <v>32</v>
      </c>
      <c r="C435" s="4" t="s">
        <v>38</v>
      </c>
      <c r="D435" s="4" t="s">
        <v>40</v>
      </c>
      <c r="E435" s="4" t="s">
        <v>25</v>
      </c>
      <c r="F435" s="4" t="s">
        <v>25</v>
      </c>
      <c r="G435" s="4" t="s">
        <v>25</v>
      </c>
      <c r="H435" s="4" t="s">
        <v>37</v>
      </c>
      <c r="I435" s="5">
        <v>44713</v>
      </c>
      <c r="J435" s="6">
        <v>0</v>
      </c>
      <c r="K435" s="6">
        <v>0</v>
      </c>
      <c r="L435" s="6">
        <v>5.0640000000000001</v>
      </c>
      <c r="M435" s="6">
        <v>5.0640000000000001</v>
      </c>
      <c r="N435" s="6">
        <v>5.0640000000000001</v>
      </c>
      <c r="O435" s="6">
        <v>5.0640000000000001</v>
      </c>
      <c r="P435" s="6">
        <v>0</v>
      </c>
      <c r="Q435" s="4" t="s">
        <v>26</v>
      </c>
      <c r="R435" s="4">
        <v>0</v>
      </c>
      <c r="S435" s="4" t="s">
        <v>275</v>
      </c>
      <c r="T435" s="4" t="s">
        <v>436</v>
      </c>
      <c r="U435" s="4">
        <v>0</v>
      </c>
      <c r="V435" s="4">
        <v>76</v>
      </c>
      <c r="W435" s="4">
        <v>51</v>
      </c>
    </row>
    <row r="436" spans="1:23" ht="11.25" customHeight="1" x14ac:dyDescent="0.3">
      <c r="A436" s="4" t="s">
        <v>21</v>
      </c>
      <c r="B436" s="4" t="s">
        <v>32</v>
      </c>
      <c r="C436" s="4" t="s">
        <v>38</v>
      </c>
      <c r="D436" s="4" t="s">
        <v>40</v>
      </c>
      <c r="E436" s="4" t="s">
        <v>25</v>
      </c>
      <c r="F436" s="4" t="s">
        <v>25</v>
      </c>
      <c r="G436" s="4" t="s">
        <v>25</v>
      </c>
      <c r="H436" s="4" t="s">
        <v>37</v>
      </c>
      <c r="I436" s="5">
        <v>44743</v>
      </c>
      <c r="J436" s="6">
        <v>0</v>
      </c>
      <c r="K436" s="6">
        <v>0</v>
      </c>
      <c r="L436" s="6">
        <v>5.016</v>
      </c>
      <c r="M436" s="6">
        <v>5.016</v>
      </c>
      <c r="N436" s="6">
        <v>5.016</v>
      </c>
      <c r="O436" s="6">
        <v>5.016</v>
      </c>
      <c r="P436" s="6">
        <v>0</v>
      </c>
      <c r="Q436" s="4" t="s">
        <v>26</v>
      </c>
      <c r="R436" s="4">
        <v>0</v>
      </c>
      <c r="S436" s="4" t="s">
        <v>276</v>
      </c>
      <c r="T436" s="4" t="s">
        <v>437</v>
      </c>
      <c r="U436" s="4">
        <v>0</v>
      </c>
      <c r="V436" s="4">
        <v>76</v>
      </c>
      <c r="W436" s="4">
        <v>51</v>
      </c>
    </row>
    <row r="437" spans="1:23" ht="11.25" customHeight="1" x14ac:dyDescent="0.3">
      <c r="A437" s="4" t="s">
        <v>21</v>
      </c>
      <c r="B437" s="4" t="s">
        <v>32</v>
      </c>
      <c r="C437" s="4" t="s">
        <v>38</v>
      </c>
      <c r="D437" s="4" t="s">
        <v>40</v>
      </c>
      <c r="E437" s="4" t="s">
        <v>25</v>
      </c>
      <c r="F437" s="4" t="s">
        <v>25</v>
      </c>
      <c r="G437" s="4" t="s">
        <v>25</v>
      </c>
      <c r="H437" s="4" t="s">
        <v>39</v>
      </c>
      <c r="I437" s="5">
        <v>44409</v>
      </c>
      <c r="J437" s="6">
        <v>0</v>
      </c>
      <c r="K437" s="6">
        <v>0</v>
      </c>
      <c r="L437" s="6">
        <v>0.317</v>
      </c>
      <c r="M437" s="6">
        <v>0.317</v>
      </c>
      <c r="N437" s="6">
        <v>0.317</v>
      </c>
      <c r="O437" s="6">
        <v>0.317</v>
      </c>
      <c r="P437" s="6">
        <v>0</v>
      </c>
      <c r="Q437" s="4" t="s">
        <v>26</v>
      </c>
      <c r="R437" s="4">
        <v>0</v>
      </c>
      <c r="S437" s="4" t="s">
        <v>277</v>
      </c>
      <c r="T437" s="4" t="s">
        <v>438</v>
      </c>
      <c r="U437" s="4">
        <v>0</v>
      </c>
      <c r="V437" s="4">
        <v>75</v>
      </c>
      <c r="W437" s="4">
        <v>48</v>
      </c>
    </row>
    <row r="438" spans="1:23" ht="11.25" customHeight="1" x14ac:dyDescent="0.3">
      <c r="A438" s="4" t="s">
        <v>21</v>
      </c>
      <c r="B438" s="4" t="s">
        <v>32</v>
      </c>
      <c r="C438" s="4" t="s">
        <v>38</v>
      </c>
      <c r="D438" s="4" t="s">
        <v>40</v>
      </c>
      <c r="E438" s="4" t="s">
        <v>25</v>
      </c>
      <c r="F438" s="4" t="s">
        <v>25</v>
      </c>
      <c r="G438" s="4" t="s">
        <v>25</v>
      </c>
      <c r="H438" s="4" t="s">
        <v>39</v>
      </c>
      <c r="I438" s="5">
        <v>44440</v>
      </c>
      <c r="J438" s="6">
        <v>0</v>
      </c>
      <c r="K438" s="6">
        <v>0</v>
      </c>
      <c r="L438" s="6">
        <v>0.27900000000000003</v>
      </c>
      <c r="M438" s="6">
        <v>0.27900000000000003</v>
      </c>
      <c r="N438" s="6">
        <v>0.27900000000000003</v>
      </c>
      <c r="O438" s="6">
        <v>0.27900000000000003</v>
      </c>
      <c r="P438" s="6">
        <v>0</v>
      </c>
      <c r="Q438" s="4" t="s">
        <v>26</v>
      </c>
      <c r="R438" s="4">
        <v>0</v>
      </c>
      <c r="S438" s="4" t="s">
        <v>278</v>
      </c>
      <c r="T438" s="4" t="s">
        <v>439</v>
      </c>
      <c r="U438" s="4">
        <v>0</v>
      </c>
      <c r="V438" s="4">
        <v>75</v>
      </c>
      <c r="W438" s="4">
        <v>48</v>
      </c>
    </row>
    <row r="439" spans="1:23" ht="11.25" customHeight="1" x14ac:dyDescent="0.3">
      <c r="A439" s="4" t="s">
        <v>21</v>
      </c>
      <c r="B439" s="4" t="s">
        <v>32</v>
      </c>
      <c r="C439" s="4" t="s">
        <v>38</v>
      </c>
      <c r="D439" s="4" t="s">
        <v>40</v>
      </c>
      <c r="E439" s="4" t="s">
        <v>25</v>
      </c>
      <c r="F439" s="4" t="s">
        <v>25</v>
      </c>
      <c r="G439" s="4" t="s">
        <v>25</v>
      </c>
      <c r="H439" s="4" t="s">
        <v>39</v>
      </c>
      <c r="I439" s="5">
        <v>44470</v>
      </c>
      <c r="J439" s="6">
        <v>0</v>
      </c>
      <c r="K439" s="6">
        <v>0</v>
      </c>
      <c r="L439" s="6">
        <v>0.27600000000000002</v>
      </c>
      <c r="M439" s="6">
        <v>0.27600000000000002</v>
      </c>
      <c r="N439" s="6">
        <v>0.27600000000000002</v>
      </c>
      <c r="O439" s="6">
        <v>0.27600000000000002</v>
      </c>
      <c r="P439" s="6">
        <v>0</v>
      </c>
      <c r="Q439" s="4" t="s">
        <v>26</v>
      </c>
      <c r="R439" s="4">
        <v>0</v>
      </c>
      <c r="S439" s="4" t="s">
        <v>279</v>
      </c>
      <c r="T439" s="4" t="s">
        <v>440</v>
      </c>
      <c r="U439" s="4">
        <v>0</v>
      </c>
      <c r="V439" s="4">
        <v>75</v>
      </c>
      <c r="W439" s="4">
        <v>48</v>
      </c>
    </row>
    <row r="440" spans="1:23" ht="11.25" customHeight="1" x14ac:dyDescent="0.3">
      <c r="A440" s="4" t="s">
        <v>21</v>
      </c>
      <c r="B440" s="4" t="s">
        <v>32</v>
      </c>
      <c r="C440" s="4" t="s">
        <v>38</v>
      </c>
      <c r="D440" s="4" t="s">
        <v>40</v>
      </c>
      <c r="E440" s="4" t="s">
        <v>25</v>
      </c>
      <c r="F440" s="4" t="s">
        <v>25</v>
      </c>
      <c r="G440" s="4" t="s">
        <v>25</v>
      </c>
      <c r="H440" s="4" t="s">
        <v>39</v>
      </c>
      <c r="I440" s="5">
        <v>44501</v>
      </c>
      <c r="J440" s="6">
        <v>0</v>
      </c>
      <c r="K440" s="6">
        <v>0</v>
      </c>
      <c r="L440" s="6">
        <v>0.26500000000000001</v>
      </c>
      <c r="M440" s="6">
        <v>0.26500000000000001</v>
      </c>
      <c r="N440" s="6">
        <v>0.26500000000000001</v>
      </c>
      <c r="O440" s="6">
        <v>0.26500000000000001</v>
      </c>
      <c r="P440" s="6">
        <v>0</v>
      </c>
      <c r="Q440" s="4" t="s">
        <v>26</v>
      </c>
      <c r="R440" s="4">
        <v>0</v>
      </c>
      <c r="S440" s="4" t="s">
        <v>280</v>
      </c>
      <c r="T440" s="4" t="s">
        <v>441</v>
      </c>
      <c r="U440" s="4">
        <v>0</v>
      </c>
      <c r="V440" s="4">
        <v>75</v>
      </c>
      <c r="W440" s="4">
        <v>48</v>
      </c>
    </row>
    <row r="441" spans="1:23" ht="11.25" customHeight="1" x14ac:dyDescent="0.3">
      <c r="A441" s="4" t="s">
        <v>21</v>
      </c>
      <c r="B441" s="4" t="s">
        <v>32</v>
      </c>
      <c r="C441" s="4" t="s">
        <v>38</v>
      </c>
      <c r="D441" s="4" t="s">
        <v>40</v>
      </c>
      <c r="E441" s="4" t="s">
        <v>25</v>
      </c>
      <c r="F441" s="4" t="s">
        <v>25</v>
      </c>
      <c r="G441" s="4" t="s">
        <v>25</v>
      </c>
      <c r="H441" s="4" t="s">
        <v>39</v>
      </c>
      <c r="I441" s="5">
        <v>44531</v>
      </c>
      <c r="J441" s="6">
        <v>0</v>
      </c>
      <c r="K441" s="6">
        <v>0</v>
      </c>
      <c r="L441" s="6">
        <v>0.27800000000000002</v>
      </c>
      <c r="M441" s="6">
        <v>0.27800000000000002</v>
      </c>
      <c r="N441" s="6">
        <v>0.27800000000000002</v>
      </c>
      <c r="O441" s="6">
        <v>0.27800000000000002</v>
      </c>
      <c r="P441" s="6">
        <v>0</v>
      </c>
      <c r="Q441" s="4" t="s">
        <v>26</v>
      </c>
      <c r="R441" s="4">
        <v>0</v>
      </c>
      <c r="S441" s="4" t="s">
        <v>281</v>
      </c>
      <c r="T441" s="4" t="s">
        <v>442</v>
      </c>
      <c r="U441" s="4">
        <v>0</v>
      </c>
      <c r="V441" s="4">
        <v>75</v>
      </c>
      <c r="W441" s="4">
        <v>48</v>
      </c>
    </row>
    <row r="442" spans="1:23" ht="11.25" customHeight="1" x14ac:dyDescent="0.3">
      <c r="A442" s="4" t="s">
        <v>21</v>
      </c>
      <c r="B442" s="4" t="s">
        <v>32</v>
      </c>
      <c r="C442" s="4" t="s">
        <v>38</v>
      </c>
      <c r="D442" s="4" t="s">
        <v>40</v>
      </c>
      <c r="E442" s="4" t="s">
        <v>25</v>
      </c>
      <c r="F442" s="4" t="s">
        <v>25</v>
      </c>
      <c r="G442" s="4" t="s">
        <v>25</v>
      </c>
      <c r="H442" s="4" t="s">
        <v>39</v>
      </c>
      <c r="I442" s="5">
        <v>44562</v>
      </c>
      <c r="J442" s="6">
        <v>0</v>
      </c>
      <c r="K442" s="6">
        <v>0</v>
      </c>
      <c r="L442" s="6">
        <v>0.309</v>
      </c>
      <c r="M442" s="6">
        <v>0.309</v>
      </c>
      <c r="N442" s="6">
        <v>0.309</v>
      </c>
      <c r="O442" s="6">
        <v>0.309</v>
      </c>
      <c r="P442" s="6">
        <v>0</v>
      </c>
      <c r="Q442" s="4" t="s">
        <v>26</v>
      </c>
      <c r="R442" s="4">
        <v>0</v>
      </c>
      <c r="S442" s="4" t="s">
        <v>282</v>
      </c>
      <c r="T442" s="4" t="s">
        <v>443</v>
      </c>
      <c r="U442" s="4">
        <v>0</v>
      </c>
      <c r="V442" s="4">
        <v>75</v>
      </c>
      <c r="W442" s="4">
        <v>48</v>
      </c>
    </row>
    <row r="443" spans="1:23" ht="11.25" customHeight="1" x14ac:dyDescent="0.3">
      <c r="A443" s="4" t="s">
        <v>21</v>
      </c>
      <c r="B443" s="4" t="s">
        <v>32</v>
      </c>
      <c r="C443" s="4" t="s">
        <v>38</v>
      </c>
      <c r="D443" s="4" t="s">
        <v>40</v>
      </c>
      <c r="E443" s="4" t="s">
        <v>25</v>
      </c>
      <c r="F443" s="4" t="s">
        <v>25</v>
      </c>
      <c r="G443" s="4" t="s">
        <v>25</v>
      </c>
      <c r="H443" s="4" t="s">
        <v>39</v>
      </c>
      <c r="I443" s="5">
        <v>44593</v>
      </c>
      <c r="J443" s="6">
        <v>0</v>
      </c>
      <c r="K443" s="6">
        <v>0</v>
      </c>
      <c r="L443" s="6">
        <v>0.38400000000000001</v>
      </c>
      <c r="M443" s="6">
        <v>0.38400000000000001</v>
      </c>
      <c r="N443" s="6">
        <v>0.38400000000000001</v>
      </c>
      <c r="O443" s="6">
        <v>0.38400000000000001</v>
      </c>
      <c r="P443" s="6">
        <v>0</v>
      </c>
      <c r="Q443" s="4" t="s">
        <v>26</v>
      </c>
      <c r="R443" s="4">
        <v>0</v>
      </c>
      <c r="S443" s="4" t="s">
        <v>283</v>
      </c>
      <c r="T443" s="4" t="s">
        <v>444</v>
      </c>
      <c r="U443" s="4">
        <v>0</v>
      </c>
      <c r="V443" s="4">
        <v>75</v>
      </c>
      <c r="W443" s="4">
        <v>48</v>
      </c>
    </row>
    <row r="444" spans="1:23" ht="11.25" customHeight="1" x14ac:dyDescent="0.3">
      <c r="A444" s="4" t="s">
        <v>21</v>
      </c>
      <c r="B444" s="4" t="s">
        <v>32</v>
      </c>
      <c r="C444" s="4" t="s">
        <v>38</v>
      </c>
      <c r="D444" s="4" t="s">
        <v>40</v>
      </c>
      <c r="E444" s="4" t="s">
        <v>25</v>
      </c>
      <c r="F444" s="4" t="s">
        <v>25</v>
      </c>
      <c r="G444" s="4" t="s">
        <v>25</v>
      </c>
      <c r="H444" s="4" t="s">
        <v>39</v>
      </c>
      <c r="I444" s="5">
        <v>44621</v>
      </c>
      <c r="J444" s="6">
        <v>0</v>
      </c>
      <c r="K444" s="6">
        <v>0</v>
      </c>
      <c r="L444" s="6">
        <v>0.29599999999999999</v>
      </c>
      <c r="M444" s="6">
        <v>0.29599999999999999</v>
      </c>
      <c r="N444" s="6">
        <v>0.29599999999999999</v>
      </c>
      <c r="O444" s="6">
        <v>0.29599999999999999</v>
      </c>
      <c r="P444" s="6">
        <v>0</v>
      </c>
      <c r="Q444" s="4" t="s">
        <v>26</v>
      </c>
      <c r="R444" s="4">
        <v>0</v>
      </c>
      <c r="S444" s="4" t="s">
        <v>284</v>
      </c>
      <c r="T444" s="4" t="s">
        <v>445</v>
      </c>
      <c r="U444" s="4">
        <v>0</v>
      </c>
      <c r="V444" s="4">
        <v>75</v>
      </c>
      <c r="W444" s="4">
        <v>48</v>
      </c>
    </row>
    <row r="445" spans="1:23" ht="11.25" customHeight="1" x14ac:dyDescent="0.3">
      <c r="A445" s="4" t="s">
        <v>21</v>
      </c>
      <c r="B445" s="4" t="s">
        <v>32</v>
      </c>
      <c r="C445" s="4" t="s">
        <v>38</v>
      </c>
      <c r="D445" s="4" t="s">
        <v>40</v>
      </c>
      <c r="E445" s="4" t="s">
        <v>25</v>
      </c>
      <c r="F445" s="4" t="s">
        <v>25</v>
      </c>
      <c r="G445" s="4" t="s">
        <v>25</v>
      </c>
      <c r="H445" s="4" t="s">
        <v>39</v>
      </c>
      <c r="I445" s="5">
        <v>44652</v>
      </c>
      <c r="J445" s="6">
        <v>0</v>
      </c>
      <c r="K445" s="6">
        <v>0</v>
      </c>
      <c r="L445" s="6">
        <v>0.317</v>
      </c>
      <c r="M445" s="6">
        <v>0.317</v>
      </c>
      <c r="N445" s="6">
        <v>0.317</v>
      </c>
      <c r="O445" s="6">
        <v>0.317</v>
      </c>
      <c r="P445" s="6">
        <v>0</v>
      </c>
      <c r="Q445" s="4" t="s">
        <v>26</v>
      </c>
      <c r="R445" s="4">
        <v>0</v>
      </c>
      <c r="S445" s="4" t="s">
        <v>285</v>
      </c>
      <c r="T445" s="4" t="s">
        <v>446</v>
      </c>
      <c r="U445" s="4">
        <v>0</v>
      </c>
      <c r="V445" s="4">
        <v>75</v>
      </c>
      <c r="W445" s="4">
        <v>48</v>
      </c>
    </row>
    <row r="446" spans="1:23" ht="11.25" customHeight="1" x14ac:dyDescent="0.3">
      <c r="A446" s="4" t="s">
        <v>21</v>
      </c>
      <c r="B446" s="4" t="s">
        <v>32</v>
      </c>
      <c r="C446" s="4" t="s">
        <v>38</v>
      </c>
      <c r="D446" s="4" t="s">
        <v>40</v>
      </c>
      <c r="E446" s="4" t="s">
        <v>25</v>
      </c>
      <c r="F446" s="4" t="s">
        <v>25</v>
      </c>
      <c r="G446" s="4" t="s">
        <v>25</v>
      </c>
      <c r="H446" s="4" t="s">
        <v>39</v>
      </c>
      <c r="I446" s="5">
        <v>44682</v>
      </c>
      <c r="J446" s="6">
        <v>0</v>
      </c>
      <c r="K446" s="6">
        <v>0</v>
      </c>
      <c r="L446" s="6">
        <v>0.32100000000000001</v>
      </c>
      <c r="M446" s="6">
        <v>0.32100000000000001</v>
      </c>
      <c r="N446" s="6">
        <v>0.32100000000000001</v>
      </c>
      <c r="O446" s="6">
        <v>0.32100000000000001</v>
      </c>
      <c r="P446" s="6">
        <v>0</v>
      </c>
      <c r="Q446" s="4" t="s">
        <v>26</v>
      </c>
      <c r="R446" s="4">
        <v>0</v>
      </c>
      <c r="S446" s="4" t="s">
        <v>286</v>
      </c>
      <c r="T446" s="4" t="s">
        <v>447</v>
      </c>
      <c r="U446" s="4">
        <v>0</v>
      </c>
      <c r="V446" s="4">
        <v>75</v>
      </c>
      <c r="W446" s="4">
        <v>48</v>
      </c>
    </row>
    <row r="447" spans="1:23" ht="11.25" customHeight="1" x14ac:dyDescent="0.3">
      <c r="A447" s="4" t="s">
        <v>21</v>
      </c>
      <c r="B447" s="4" t="s">
        <v>32</v>
      </c>
      <c r="C447" s="4" t="s">
        <v>38</v>
      </c>
      <c r="D447" s="4" t="s">
        <v>40</v>
      </c>
      <c r="E447" s="4" t="s">
        <v>25</v>
      </c>
      <c r="F447" s="4" t="s">
        <v>25</v>
      </c>
      <c r="G447" s="4" t="s">
        <v>25</v>
      </c>
      <c r="H447" s="4" t="s">
        <v>39</v>
      </c>
      <c r="I447" s="5">
        <v>44713</v>
      </c>
      <c r="J447" s="6">
        <v>0</v>
      </c>
      <c r="K447" s="6">
        <v>0</v>
      </c>
      <c r="L447" s="6">
        <v>0.35</v>
      </c>
      <c r="M447" s="6">
        <v>0.35</v>
      </c>
      <c r="N447" s="6">
        <v>0.35</v>
      </c>
      <c r="O447" s="6">
        <v>0.35</v>
      </c>
      <c r="P447" s="6">
        <v>0</v>
      </c>
      <c r="Q447" s="4" t="s">
        <v>26</v>
      </c>
      <c r="R447" s="4">
        <v>0</v>
      </c>
      <c r="S447" s="4" t="s">
        <v>287</v>
      </c>
      <c r="T447" s="4" t="s">
        <v>448</v>
      </c>
      <c r="U447" s="4">
        <v>0</v>
      </c>
      <c r="V447" s="4">
        <v>75</v>
      </c>
      <c r="W447" s="4">
        <v>48</v>
      </c>
    </row>
    <row r="448" spans="1:23" ht="11.25" customHeight="1" x14ac:dyDescent="0.3">
      <c r="A448" s="4" t="s">
        <v>21</v>
      </c>
      <c r="B448" s="4" t="s">
        <v>32</v>
      </c>
      <c r="C448" s="4" t="s">
        <v>38</v>
      </c>
      <c r="D448" s="4" t="s">
        <v>40</v>
      </c>
      <c r="E448" s="4" t="s">
        <v>25</v>
      </c>
      <c r="F448" s="4" t="s">
        <v>25</v>
      </c>
      <c r="G448" s="4" t="s">
        <v>25</v>
      </c>
      <c r="H448" s="4" t="s">
        <v>39</v>
      </c>
      <c r="I448" s="5">
        <v>44743</v>
      </c>
      <c r="J448" s="6">
        <v>0</v>
      </c>
      <c r="K448" s="6">
        <v>0</v>
      </c>
      <c r="L448" s="6">
        <v>0.36599999999999999</v>
      </c>
      <c r="M448" s="6">
        <v>0.36599999999999999</v>
      </c>
      <c r="N448" s="6">
        <v>0.36599999999999999</v>
      </c>
      <c r="O448" s="6">
        <v>0.36599999999999999</v>
      </c>
      <c r="P448" s="6">
        <v>0</v>
      </c>
      <c r="Q448" s="4" t="s">
        <v>26</v>
      </c>
      <c r="R448" s="4">
        <v>0</v>
      </c>
      <c r="S448" s="4" t="s">
        <v>288</v>
      </c>
      <c r="T448" s="4" t="s">
        <v>449</v>
      </c>
      <c r="U448" s="4">
        <v>0</v>
      </c>
      <c r="V448" s="4">
        <v>75</v>
      </c>
      <c r="W448" s="4">
        <v>48</v>
      </c>
    </row>
    <row r="449" spans="1:23" ht="11.25" customHeight="1" x14ac:dyDescent="0.3">
      <c r="A449" s="4" t="s">
        <v>21</v>
      </c>
      <c r="B449" s="4" t="s">
        <v>32</v>
      </c>
      <c r="C449" s="4" t="s">
        <v>38</v>
      </c>
      <c r="D449" s="4" t="s">
        <v>40</v>
      </c>
      <c r="E449" s="4" t="s">
        <v>25</v>
      </c>
      <c r="F449" s="4" t="s">
        <v>25</v>
      </c>
      <c r="G449" s="4" t="s">
        <v>25</v>
      </c>
      <c r="H449" s="4" t="s">
        <v>36</v>
      </c>
      <c r="I449" s="5">
        <v>44409</v>
      </c>
      <c r="J449" s="6">
        <v>0</v>
      </c>
      <c r="K449" s="6">
        <v>0</v>
      </c>
      <c r="L449" s="6">
        <v>0.32400000000000001</v>
      </c>
      <c r="M449" s="6">
        <v>0.32400000000000001</v>
      </c>
      <c r="N449" s="6">
        <v>0.32400000000000001</v>
      </c>
      <c r="O449" s="6">
        <v>0.32400000000000001</v>
      </c>
      <c r="P449" s="6">
        <v>0</v>
      </c>
      <c r="Q449" s="4" t="s">
        <v>26</v>
      </c>
      <c r="R449" s="4">
        <v>0</v>
      </c>
      <c r="S449" s="4" t="s">
        <v>289</v>
      </c>
      <c r="T449" s="4" t="s">
        <v>450</v>
      </c>
      <c r="U449" s="4">
        <v>0</v>
      </c>
      <c r="V449" s="4">
        <v>74</v>
      </c>
      <c r="W449" s="4">
        <v>47</v>
      </c>
    </row>
    <row r="450" spans="1:23" ht="11.25" customHeight="1" x14ac:dyDescent="0.3">
      <c r="A450" s="4" t="s">
        <v>21</v>
      </c>
      <c r="B450" s="4" t="s">
        <v>32</v>
      </c>
      <c r="C450" s="4" t="s">
        <v>38</v>
      </c>
      <c r="D450" s="4" t="s">
        <v>40</v>
      </c>
      <c r="E450" s="4" t="s">
        <v>25</v>
      </c>
      <c r="F450" s="4" t="s">
        <v>25</v>
      </c>
      <c r="G450" s="4" t="s">
        <v>25</v>
      </c>
      <c r="H450" s="4" t="s">
        <v>36</v>
      </c>
      <c r="I450" s="5">
        <v>44440</v>
      </c>
      <c r="J450" s="6">
        <v>0</v>
      </c>
      <c r="K450" s="6">
        <v>0</v>
      </c>
      <c r="L450" s="6">
        <v>0.315</v>
      </c>
      <c r="M450" s="6">
        <v>0.315</v>
      </c>
      <c r="N450" s="6">
        <v>0.315</v>
      </c>
      <c r="O450" s="6">
        <v>0.315</v>
      </c>
      <c r="P450" s="6">
        <v>0</v>
      </c>
      <c r="Q450" s="4" t="s">
        <v>26</v>
      </c>
      <c r="R450" s="4">
        <v>0</v>
      </c>
      <c r="S450" s="4" t="s">
        <v>290</v>
      </c>
      <c r="T450" s="4" t="s">
        <v>451</v>
      </c>
      <c r="U450" s="4">
        <v>0</v>
      </c>
      <c r="V450" s="4">
        <v>74</v>
      </c>
      <c r="W450" s="4">
        <v>47</v>
      </c>
    </row>
    <row r="451" spans="1:23" ht="11.25" customHeight="1" x14ac:dyDescent="0.3">
      <c r="A451" s="4" t="s">
        <v>21</v>
      </c>
      <c r="B451" s="4" t="s">
        <v>32</v>
      </c>
      <c r="C451" s="4" t="s">
        <v>38</v>
      </c>
      <c r="D451" s="4" t="s">
        <v>40</v>
      </c>
      <c r="E451" s="4" t="s">
        <v>25</v>
      </c>
      <c r="F451" s="4" t="s">
        <v>25</v>
      </c>
      <c r="G451" s="4" t="s">
        <v>25</v>
      </c>
      <c r="H451" s="4" t="s">
        <v>36</v>
      </c>
      <c r="I451" s="5">
        <v>44470</v>
      </c>
      <c r="J451" s="6">
        <v>0</v>
      </c>
      <c r="K451" s="6">
        <v>0</v>
      </c>
      <c r="L451" s="6">
        <v>0.311</v>
      </c>
      <c r="M451" s="6">
        <v>0.311</v>
      </c>
      <c r="N451" s="6">
        <v>0.311</v>
      </c>
      <c r="O451" s="6">
        <v>0.311</v>
      </c>
      <c r="P451" s="6">
        <v>0</v>
      </c>
      <c r="Q451" s="4" t="s">
        <v>26</v>
      </c>
      <c r="R451" s="4">
        <v>0</v>
      </c>
      <c r="S451" s="4" t="s">
        <v>291</v>
      </c>
      <c r="T451" s="4" t="s">
        <v>452</v>
      </c>
      <c r="U451" s="4">
        <v>0</v>
      </c>
      <c r="V451" s="4">
        <v>74</v>
      </c>
      <c r="W451" s="4">
        <v>47</v>
      </c>
    </row>
    <row r="452" spans="1:23" ht="11.25" customHeight="1" x14ac:dyDescent="0.3">
      <c r="A452" s="4" t="s">
        <v>21</v>
      </c>
      <c r="B452" s="4" t="s">
        <v>32</v>
      </c>
      <c r="C452" s="4" t="s">
        <v>38</v>
      </c>
      <c r="D452" s="4" t="s">
        <v>40</v>
      </c>
      <c r="E452" s="4" t="s">
        <v>25</v>
      </c>
      <c r="F452" s="4" t="s">
        <v>25</v>
      </c>
      <c r="G452" s="4" t="s">
        <v>25</v>
      </c>
      <c r="H452" s="4" t="s">
        <v>36</v>
      </c>
      <c r="I452" s="5">
        <v>44501</v>
      </c>
      <c r="J452" s="6">
        <v>0</v>
      </c>
      <c r="K452" s="6">
        <v>0</v>
      </c>
      <c r="L452" s="6">
        <v>0.29399999999999998</v>
      </c>
      <c r="M452" s="6">
        <v>0.29399999999999998</v>
      </c>
      <c r="N452" s="6">
        <v>0.29399999999999998</v>
      </c>
      <c r="O452" s="6">
        <v>0.29399999999999998</v>
      </c>
      <c r="P452" s="6">
        <v>0</v>
      </c>
      <c r="Q452" s="4" t="s">
        <v>26</v>
      </c>
      <c r="R452" s="4">
        <v>0</v>
      </c>
      <c r="S452" s="4" t="s">
        <v>292</v>
      </c>
      <c r="T452" s="4" t="s">
        <v>453</v>
      </c>
      <c r="U452" s="4">
        <v>0</v>
      </c>
      <c r="V452" s="4">
        <v>74</v>
      </c>
      <c r="W452" s="4">
        <v>47</v>
      </c>
    </row>
    <row r="453" spans="1:23" ht="11.25" customHeight="1" x14ac:dyDescent="0.3">
      <c r="A453" s="4" t="s">
        <v>21</v>
      </c>
      <c r="B453" s="4" t="s">
        <v>32</v>
      </c>
      <c r="C453" s="4" t="s">
        <v>38</v>
      </c>
      <c r="D453" s="4" t="s">
        <v>40</v>
      </c>
      <c r="E453" s="4" t="s">
        <v>25</v>
      </c>
      <c r="F453" s="4" t="s">
        <v>25</v>
      </c>
      <c r="G453" s="4" t="s">
        <v>25</v>
      </c>
      <c r="H453" s="4" t="s">
        <v>36</v>
      </c>
      <c r="I453" s="5">
        <v>44531</v>
      </c>
      <c r="J453" s="6">
        <v>0</v>
      </c>
      <c r="K453" s="6">
        <v>0</v>
      </c>
      <c r="L453" s="6">
        <v>0.27800000000000002</v>
      </c>
      <c r="M453" s="6">
        <v>0.27800000000000002</v>
      </c>
      <c r="N453" s="6">
        <v>0.27800000000000002</v>
      </c>
      <c r="O453" s="6">
        <v>0.27800000000000002</v>
      </c>
      <c r="P453" s="6">
        <v>0</v>
      </c>
      <c r="Q453" s="4" t="s">
        <v>26</v>
      </c>
      <c r="R453" s="4">
        <v>0</v>
      </c>
      <c r="S453" s="4" t="s">
        <v>293</v>
      </c>
      <c r="T453" s="4" t="s">
        <v>454</v>
      </c>
      <c r="U453" s="4">
        <v>0</v>
      </c>
      <c r="V453" s="4">
        <v>74</v>
      </c>
      <c r="W453" s="4">
        <v>47</v>
      </c>
    </row>
    <row r="454" spans="1:23" ht="11.25" customHeight="1" x14ac:dyDescent="0.3">
      <c r="A454" s="4" t="s">
        <v>21</v>
      </c>
      <c r="B454" s="4" t="s">
        <v>32</v>
      </c>
      <c r="C454" s="4" t="s">
        <v>38</v>
      </c>
      <c r="D454" s="4" t="s">
        <v>40</v>
      </c>
      <c r="E454" s="4" t="s">
        <v>25</v>
      </c>
      <c r="F454" s="4" t="s">
        <v>25</v>
      </c>
      <c r="G454" s="4" t="s">
        <v>25</v>
      </c>
      <c r="H454" s="4" t="s">
        <v>36</v>
      </c>
      <c r="I454" s="5">
        <v>44562</v>
      </c>
      <c r="J454" s="6">
        <v>0</v>
      </c>
      <c r="K454" s="6">
        <v>0</v>
      </c>
      <c r="L454" s="6">
        <v>0.40500000000000003</v>
      </c>
      <c r="M454" s="6">
        <v>0.40500000000000003</v>
      </c>
      <c r="N454" s="6">
        <v>0.40500000000000003</v>
      </c>
      <c r="O454" s="6">
        <v>0.40500000000000003</v>
      </c>
      <c r="P454" s="6">
        <v>0</v>
      </c>
      <c r="Q454" s="4" t="s">
        <v>26</v>
      </c>
      <c r="R454" s="4">
        <v>0</v>
      </c>
      <c r="S454" s="4" t="s">
        <v>294</v>
      </c>
      <c r="T454" s="4" t="s">
        <v>455</v>
      </c>
      <c r="U454" s="4">
        <v>0</v>
      </c>
      <c r="V454" s="4">
        <v>74</v>
      </c>
      <c r="W454" s="4">
        <v>47</v>
      </c>
    </row>
    <row r="455" spans="1:23" ht="11.25" customHeight="1" x14ac:dyDescent="0.3">
      <c r="A455" s="4" t="s">
        <v>21</v>
      </c>
      <c r="B455" s="4" t="s">
        <v>32</v>
      </c>
      <c r="C455" s="4" t="s">
        <v>38</v>
      </c>
      <c r="D455" s="4" t="s">
        <v>40</v>
      </c>
      <c r="E455" s="4" t="s">
        <v>25</v>
      </c>
      <c r="F455" s="4" t="s">
        <v>25</v>
      </c>
      <c r="G455" s="4" t="s">
        <v>25</v>
      </c>
      <c r="H455" s="4" t="s">
        <v>36</v>
      </c>
      <c r="I455" s="5">
        <v>44593</v>
      </c>
      <c r="J455" s="6">
        <v>0</v>
      </c>
      <c r="K455" s="6">
        <v>0</v>
      </c>
      <c r="L455" s="6">
        <v>0.36899999999999999</v>
      </c>
      <c r="M455" s="6">
        <v>0.36899999999999999</v>
      </c>
      <c r="N455" s="6">
        <v>0.36899999999999999</v>
      </c>
      <c r="O455" s="6">
        <v>0.36899999999999999</v>
      </c>
      <c r="P455" s="6">
        <v>0</v>
      </c>
      <c r="Q455" s="4" t="s">
        <v>26</v>
      </c>
      <c r="R455" s="4">
        <v>0</v>
      </c>
      <c r="S455" s="4" t="s">
        <v>295</v>
      </c>
      <c r="T455" s="4" t="s">
        <v>456</v>
      </c>
      <c r="U455" s="4">
        <v>0</v>
      </c>
      <c r="V455" s="4">
        <v>74</v>
      </c>
      <c r="W455" s="4">
        <v>47</v>
      </c>
    </row>
    <row r="456" spans="1:23" ht="11.25" customHeight="1" x14ac:dyDescent="0.3">
      <c r="A456" s="4" t="s">
        <v>21</v>
      </c>
      <c r="B456" s="4" t="s">
        <v>32</v>
      </c>
      <c r="C456" s="4" t="s">
        <v>38</v>
      </c>
      <c r="D456" s="4" t="s">
        <v>40</v>
      </c>
      <c r="E456" s="4" t="s">
        <v>25</v>
      </c>
      <c r="F456" s="4" t="s">
        <v>25</v>
      </c>
      <c r="G456" s="4" t="s">
        <v>25</v>
      </c>
      <c r="H456" s="4" t="s">
        <v>36</v>
      </c>
      <c r="I456" s="5">
        <v>44621</v>
      </c>
      <c r="J456" s="6">
        <v>0</v>
      </c>
      <c r="K456" s="6">
        <v>0</v>
      </c>
      <c r="L456" s="6">
        <v>0.29699999999999999</v>
      </c>
      <c r="M456" s="6">
        <v>0.29699999999999999</v>
      </c>
      <c r="N456" s="6">
        <v>0.29699999999999999</v>
      </c>
      <c r="O456" s="6">
        <v>0.29699999999999999</v>
      </c>
      <c r="P456" s="6">
        <v>0</v>
      </c>
      <c r="Q456" s="4" t="s">
        <v>26</v>
      </c>
      <c r="R456" s="4">
        <v>0</v>
      </c>
      <c r="S456" s="4" t="s">
        <v>296</v>
      </c>
      <c r="T456" s="4" t="s">
        <v>457</v>
      </c>
      <c r="U456" s="4">
        <v>0</v>
      </c>
      <c r="V456" s="4">
        <v>74</v>
      </c>
      <c r="W456" s="4">
        <v>47</v>
      </c>
    </row>
    <row r="457" spans="1:23" ht="11.25" customHeight="1" x14ac:dyDescent="0.3">
      <c r="A457" s="4" t="s">
        <v>21</v>
      </c>
      <c r="B457" s="4" t="s">
        <v>32</v>
      </c>
      <c r="C457" s="4" t="s">
        <v>38</v>
      </c>
      <c r="D457" s="4" t="s">
        <v>40</v>
      </c>
      <c r="E457" s="4" t="s">
        <v>25</v>
      </c>
      <c r="F457" s="4" t="s">
        <v>25</v>
      </c>
      <c r="G457" s="4" t="s">
        <v>25</v>
      </c>
      <c r="H457" s="4" t="s">
        <v>36</v>
      </c>
      <c r="I457" s="5">
        <v>44652</v>
      </c>
      <c r="J457" s="6">
        <v>0</v>
      </c>
      <c r="K457" s="6">
        <v>0</v>
      </c>
      <c r="L457" s="6">
        <v>0.32100000000000001</v>
      </c>
      <c r="M457" s="6">
        <v>0.32100000000000001</v>
      </c>
      <c r="N457" s="6">
        <v>0.32100000000000001</v>
      </c>
      <c r="O457" s="6">
        <v>0.32100000000000001</v>
      </c>
      <c r="P457" s="6">
        <v>0</v>
      </c>
      <c r="Q457" s="4" t="s">
        <v>26</v>
      </c>
      <c r="R457" s="4">
        <v>0</v>
      </c>
      <c r="S457" s="4" t="s">
        <v>297</v>
      </c>
      <c r="T457" s="4" t="s">
        <v>458</v>
      </c>
      <c r="U457" s="4">
        <v>0</v>
      </c>
      <c r="V457" s="4">
        <v>74</v>
      </c>
      <c r="W457" s="4">
        <v>47</v>
      </c>
    </row>
    <row r="458" spans="1:23" ht="11.25" customHeight="1" x14ac:dyDescent="0.3">
      <c r="A458" s="4" t="s">
        <v>21</v>
      </c>
      <c r="B458" s="4" t="s">
        <v>32</v>
      </c>
      <c r="C458" s="4" t="s">
        <v>38</v>
      </c>
      <c r="D458" s="4" t="s">
        <v>40</v>
      </c>
      <c r="E458" s="4" t="s">
        <v>25</v>
      </c>
      <c r="F458" s="4" t="s">
        <v>25</v>
      </c>
      <c r="G458" s="4" t="s">
        <v>25</v>
      </c>
      <c r="H458" s="4" t="s">
        <v>36</v>
      </c>
      <c r="I458" s="5">
        <v>44682</v>
      </c>
      <c r="J458" s="6">
        <v>0</v>
      </c>
      <c r="K458" s="6">
        <v>0</v>
      </c>
      <c r="L458" s="6">
        <v>0.35299999999999998</v>
      </c>
      <c r="M458" s="6">
        <v>0.35299999999999998</v>
      </c>
      <c r="N458" s="6">
        <v>0.35299999999999998</v>
      </c>
      <c r="O458" s="6">
        <v>0.35299999999999998</v>
      </c>
      <c r="P458" s="6">
        <v>0</v>
      </c>
      <c r="Q458" s="4" t="s">
        <v>26</v>
      </c>
      <c r="R458" s="4">
        <v>0</v>
      </c>
      <c r="S458" s="4" t="s">
        <v>298</v>
      </c>
      <c r="T458" s="4" t="s">
        <v>459</v>
      </c>
      <c r="U458" s="4">
        <v>0</v>
      </c>
      <c r="V458" s="4">
        <v>74</v>
      </c>
      <c r="W458" s="4">
        <v>47</v>
      </c>
    </row>
    <row r="459" spans="1:23" ht="11.25" customHeight="1" x14ac:dyDescent="0.3">
      <c r="A459" s="4" t="s">
        <v>21</v>
      </c>
      <c r="B459" s="4" t="s">
        <v>32</v>
      </c>
      <c r="C459" s="4" t="s">
        <v>38</v>
      </c>
      <c r="D459" s="4" t="s">
        <v>40</v>
      </c>
      <c r="E459" s="4" t="s">
        <v>25</v>
      </c>
      <c r="F459" s="4" t="s">
        <v>25</v>
      </c>
      <c r="G459" s="4" t="s">
        <v>25</v>
      </c>
      <c r="H459" s="4" t="s">
        <v>36</v>
      </c>
      <c r="I459" s="5">
        <v>44713</v>
      </c>
      <c r="J459" s="6">
        <v>0</v>
      </c>
      <c r="K459" s="6">
        <v>0</v>
      </c>
      <c r="L459" s="6">
        <v>0.36399999999999999</v>
      </c>
      <c r="M459" s="6">
        <v>0.36399999999999999</v>
      </c>
      <c r="N459" s="6">
        <v>0.36399999999999999</v>
      </c>
      <c r="O459" s="6">
        <v>0.36399999999999999</v>
      </c>
      <c r="P459" s="6">
        <v>0</v>
      </c>
      <c r="Q459" s="4" t="s">
        <v>26</v>
      </c>
      <c r="R459" s="4">
        <v>0</v>
      </c>
      <c r="S459" s="4" t="s">
        <v>299</v>
      </c>
      <c r="T459" s="4" t="s">
        <v>460</v>
      </c>
      <c r="U459" s="4">
        <v>0</v>
      </c>
      <c r="V459" s="4">
        <v>74</v>
      </c>
      <c r="W459" s="4">
        <v>47</v>
      </c>
    </row>
    <row r="460" spans="1:23" ht="11.25" customHeight="1" x14ac:dyDescent="0.3">
      <c r="A460" s="4" t="s">
        <v>21</v>
      </c>
      <c r="B460" s="4" t="s">
        <v>32</v>
      </c>
      <c r="C460" s="4" t="s">
        <v>38</v>
      </c>
      <c r="D460" s="4" t="s">
        <v>40</v>
      </c>
      <c r="E460" s="4" t="s">
        <v>25</v>
      </c>
      <c r="F460" s="4" t="s">
        <v>25</v>
      </c>
      <c r="G460" s="4" t="s">
        <v>25</v>
      </c>
      <c r="H460" s="4" t="s">
        <v>36</v>
      </c>
      <c r="I460" s="5">
        <v>44743</v>
      </c>
      <c r="J460" s="6">
        <v>0</v>
      </c>
      <c r="K460" s="6">
        <v>0</v>
      </c>
      <c r="L460" s="6">
        <v>0.34799999999999998</v>
      </c>
      <c r="M460" s="6">
        <v>0.34799999999999998</v>
      </c>
      <c r="N460" s="6">
        <v>0.34799999999999998</v>
      </c>
      <c r="O460" s="6">
        <v>0.34799999999999998</v>
      </c>
      <c r="P460" s="6">
        <v>0</v>
      </c>
      <c r="Q460" s="4" t="s">
        <v>26</v>
      </c>
      <c r="R460" s="4">
        <v>0</v>
      </c>
      <c r="S460" s="4" t="s">
        <v>300</v>
      </c>
      <c r="T460" s="4" t="s">
        <v>461</v>
      </c>
      <c r="U460" s="4">
        <v>0</v>
      </c>
      <c r="V460" s="4">
        <v>74</v>
      </c>
      <c r="W460" s="4">
        <v>47</v>
      </c>
    </row>
    <row r="461" spans="1:23" ht="11.25" customHeight="1" x14ac:dyDescent="0.3">
      <c r="A461" s="4" t="s">
        <v>21</v>
      </c>
      <c r="B461" s="4" t="s">
        <v>32</v>
      </c>
      <c r="C461" s="4" t="s">
        <v>38</v>
      </c>
      <c r="D461" s="4" t="s">
        <v>33</v>
      </c>
      <c r="E461" s="4" t="s">
        <v>25</v>
      </c>
      <c r="F461" s="4" t="s">
        <v>25</v>
      </c>
      <c r="G461" s="4" t="s">
        <v>25</v>
      </c>
      <c r="H461" s="4" t="s">
        <v>37</v>
      </c>
      <c r="I461" s="5">
        <v>44409</v>
      </c>
      <c r="J461" s="6">
        <v>0</v>
      </c>
      <c r="K461" s="6">
        <v>0</v>
      </c>
      <c r="L461" s="6">
        <v>6.9989999999999997</v>
      </c>
      <c r="M461" s="6">
        <v>6.9989999999999997</v>
      </c>
      <c r="N461" s="6">
        <v>6.9989999999999997</v>
      </c>
      <c r="O461" s="6">
        <v>6.9989999999999997</v>
      </c>
      <c r="P461" s="6">
        <v>0</v>
      </c>
      <c r="Q461" s="4" t="s">
        <v>26</v>
      </c>
      <c r="R461" s="4">
        <v>0</v>
      </c>
      <c r="S461" s="4" t="s">
        <v>265</v>
      </c>
      <c r="T461" s="4" t="s">
        <v>426</v>
      </c>
      <c r="U461" s="4">
        <v>0</v>
      </c>
      <c r="V461" s="4">
        <v>76</v>
      </c>
      <c r="W461" s="4">
        <v>51</v>
      </c>
    </row>
    <row r="462" spans="1:23" ht="11.25" customHeight="1" x14ac:dyDescent="0.3">
      <c r="A462" s="4" t="s">
        <v>21</v>
      </c>
      <c r="B462" s="4" t="s">
        <v>32</v>
      </c>
      <c r="C462" s="4" t="s">
        <v>38</v>
      </c>
      <c r="D462" s="4" t="s">
        <v>33</v>
      </c>
      <c r="E462" s="4" t="s">
        <v>25</v>
      </c>
      <c r="F462" s="4" t="s">
        <v>25</v>
      </c>
      <c r="G462" s="4" t="s">
        <v>25</v>
      </c>
      <c r="H462" s="4" t="s">
        <v>37</v>
      </c>
      <c r="I462" s="5">
        <v>44440</v>
      </c>
      <c r="J462" s="6">
        <v>0</v>
      </c>
      <c r="K462" s="6">
        <v>0</v>
      </c>
      <c r="L462" s="6">
        <v>7.8239999999999998</v>
      </c>
      <c r="M462" s="6">
        <v>7.8239999999999998</v>
      </c>
      <c r="N462" s="6">
        <v>7.8239999999999998</v>
      </c>
      <c r="O462" s="6">
        <v>7.8239999999999998</v>
      </c>
      <c r="P462" s="6">
        <v>0</v>
      </c>
      <c r="Q462" s="4" t="s">
        <v>26</v>
      </c>
      <c r="R462" s="4">
        <v>0</v>
      </c>
      <c r="S462" s="4" t="s">
        <v>266</v>
      </c>
      <c r="T462" s="4" t="s">
        <v>427</v>
      </c>
      <c r="U462" s="4">
        <v>0</v>
      </c>
      <c r="V462" s="4">
        <v>76</v>
      </c>
      <c r="W462" s="4">
        <v>51</v>
      </c>
    </row>
    <row r="463" spans="1:23" ht="11.25" customHeight="1" x14ac:dyDescent="0.3">
      <c r="A463" s="4" t="s">
        <v>21</v>
      </c>
      <c r="B463" s="4" t="s">
        <v>32</v>
      </c>
      <c r="C463" s="4" t="s">
        <v>38</v>
      </c>
      <c r="D463" s="4" t="s">
        <v>33</v>
      </c>
      <c r="E463" s="4" t="s">
        <v>25</v>
      </c>
      <c r="F463" s="4" t="s">
        <v>25</v>
      </c>
      <c r="G463" s="4" t="s">
        <v>25</v>
      </c>
      <c r="H463" s="4" t="s">
        <v>37</v>
      </c>
      <c r="I463" s="5">
        <v>44470</v>
      </c>
      <c r="J463" s="6">
        <v>0</v>
      </c>
      <c r="K463" s="6">
        <v>0</v>
      </c>
      <c r="L463" s="6">
        <v>8.3190000000000008</v>
      </c>
      <c r="M463" s="6">
        <v>8.3190000000000008</v>
      </c>
      <c r="N463" s="6">
        <v>8.3190000000000008</v>
      </c>
      <c r="O463" s="6">
        <v>8.3190000000000008</v>
      </c>
      <c r="P463" s="6">
        <v>0</v>
      </c>
      <c r="Q463" s="4" t="s">
        <v>26</v>
      </c>
      <c r="R463" s="4">
        <v>0</v>
      </c>
      <c r="S463" s="4" t="s">
        <v>267</v>
      </c>
      <c r="T463" s="4" t="s">
        <v>428</v>
      </c>
      <c r="U463" s="4">
        <v>0</v>
      </c>
      <c r="V463" s="4">
        <v>76</v>
      </c>
      <c r="W463" s="4">
        <v>51</v>
      </c>
    </row>
    <row r="464" spans="1:23" ht="11.25" customHeight="1" x14ac:dyDescent="0.3">
      <c r="A464" s="4" t="s">
        <v>21</v>
      </c>
      <c r="B464" s="4" t="s">
        <v>32</v>
      </c>
      <c r="C464" s="4" t="s">
        <v>38</v>
      </c>
      <c r="D464" s="4" t="s">
        <v>33</v>
      </c>
      <c r="E464" s="4" t="s">
        <v>25</v>
      </c>
      <c r="F464" s="4" t="s">
        <v>25</v>
      </c>
      <c r="G464" s="4" t="s">
        <v>25</v>
      </c>
      <c r="H464" s="4" t="s">
        <v>37</v>
      </c>
      <c r="I464" s="5">
        <v>44501</v>
      </c>
      <c r="J464" s="6">
        <v>0</v>
      </c>
      <c r="K464" s="6">
        <v>0</v>
      </c>
      <c r="L464" s="6">
        <v>7.0270000000000001</v>
      </c>
      <c r="M464" s="6">
        <v>7.0270000000000001</v>
      </c>
      <c r="N464" s="6">
        <v>7.0270000000000001</v>
      </c>
      <c r="O464" s="6">
        <v>7.0270000000000001</v>
      </c>
      <c r="P464" s="6">
        <v>0</v>
      </c>
      <c r="Q464" s="4" t="s">
        <v>26</v>
      </c>
      <c r="R464" s="4">
        <v>0</v>
      </c>
      <c r="S464" s="4" t="s">
        <v>268</v>
      </c>
      <c r="T464" s="4" t="s">
        <v>429</v>
      </c>
      <c r="U464" s="4">
        <v>0</v>
      </c>
      <c r="V464" s="4">
        <v>76</v>
      </c>
      <c r="W464" s="4">
        <v>51</v>
      </c>
    </row>
    <row r="465" spans="1:23" ht="11.25" customHeight="1" x14ac:dyDescent="0.3">
      <c r="A465" s="4" t="s">
        <v>21</v>
      </c>
      <c r="B465" s="4" t="s">
        <v>32</v>
      </c>
      <c r="C465" s="4" t="s">
        <v>38</v>
      </c>
      <c r="D465" s="4" t="s">
        <v>33</v>
      </c>
      <c r="E465" s="4" t="s">
        <v>25</v>
      </c>
      <c r="F465" s="4" t="s">
        <v>25</v>
      </c>
      <c r="G465" s="4" t="s">
        <v>25</v>
      </c>
      <c r="H465" s="4" t="s">
        <v>37</v>
      </c>
      <c r="I465" s="5">
        <v>44531</v>
      </c>
      <c r="J465" s="6">
        <v>0</v>
      </c>
      <c r="K465" s="6">
        <v>0</v>
      </c>
      <c r="L465" s="6">
        <v>6.6589999999999998</v>
      </c>
      <c r="M465" s="6">
        <v>6.6589999999999998</v>
      </c>
      <c r="N465" s="6">
        <v>6.6589999999999998</v>
      </c>
      <c r="O465" s="6">
        <v>6.6589999999999998</v>
      </c>
      <c r="P465" s="6">
        <v>0</v>
      </c>
      <c r="Q465" s="4" t="s">
        <v>26</v>
      </c>
      <c r="R465" s="4">
        <v>0</v>
      </c>
      <c r="S465" s="4" t="s">
        <v>269</v>
      </c>
      <c r="T465" s="4" t="s">
        <v>430</v>
      </c>
      <c r="U465" s="4">
        <v>0</v>
      </c>
      <c r="V465" s="4">
        <v>76</v>
      </c>
      <c r="W465" s="4">
        <v>51</v>
      </c>
    </row>
    <row r="466" spans="1:23" ht="11.25" customHeight="1" x14ac:dyDescent="0.3">
      <c r="A466" s="4" t="s">
        <v>21</v>
      </c>
      <c r="B466" s="4" t="s">
        <v>32</v>
      </c>
      <c r="C466" s="4" t="s">
        <v>38</v>
      </c>
      <c r="D466" s="4" t="s">
        <v>33</v>
      </c>
      <c r="E466" s="4" t="s">
        <v>25</v>
      </c>
      <c r="F466" s="4" t="s">
        <v>25</v>
      </c>
      <c r="G466" s="4" t="s">
        <v>25</v>
      </c>
      <c r="H466" s="4" t="s">
        <v>37</v>
      </c>
      <c r="I466" s="5">
        <v>44562</v>
      </c>
      <c r="J466" s="6">
        <v>0</v>
      </c>
      <c r="K466" s="6">
        <v>0</v>
      </c>
      <c r="L466" s="6">
        <v>7.5110000000000001</v>
      </c>
      <c r="M466" s="6">
        <v>7.5110000000000001</v>
      </c>
      <c r="N466" s="6">
        <v>7.5110000000000001</v>
      </c>
      <c r="O466" s="6">
        <v>7.5110000000000001</v>
      </c>
      <c r="P466" s="6">
        <v>0</v>
      </c>
      <c r="Q466" s="4" t="s">
        <v>26</v>
      </c>
      <c r="R466" s="4">
        <v>0</v>
      </c>
      <c r="S466" s="4" t="s">
        <v>270</v>
      </c>
      <c r="T466" s="4" t="s">
        <v>431</v>
      </c>
      <c r="U466" s="4">
        <v>0</v>
      </c>
      <c r="V466" s="4">
        <v>76</v>
      </c>
      <c r="W466" s="4">
        <v>51</v>
      </c>
    </row>
    <row r="467" spans="1:23" ht="11.25" customHeight="1" x14ac:dyDescent="0.3">
      <c r="A467" s="4" t="s">
        <v>21</v>
      </c>
      <c r="B467" s="4" t="s">
        <v>32</v>
      </c>
      <c r="C467" s="4" t="s">
        <v>38</v>
      </c>
      <c r="D467" s="4" t="s">
        <v>33</v>
      </c>
      <c r="E467" s="4" t="s">
        <v>25</v>
      </c>
      <c r="F467" s="4" t="s">
        <v>25</v>
      </c>
      <c r="G467" s="4" t="s">
        <v>25</v>
      </c>
      <c r="H467" s="4" t="s">
        <v>37</v>
      </c>
      <c r="I467" s="5">
        <v>44593</v>
      </c>
      <c r="J467" s="6">
        <v>0</v>
      </c>
      <c r="K467" s="6">
        <v>0</v>
      </c>
      <c r="L467" s="6">
        <v>8.2100000000000009</v>
      </c>
      <c r="M467" s="6">
        <v>8.2100000000000009</v>
      </c>
      <c r="N467" s="6">
        <v>8.2100000000000009</v>
      </c>
      <c r="O467" s="6">
        <v>8.2100000000000009</v>
      </c>
      <c r="P467" s="6">
        <v>0</v>
      </c>
      <c r="Q467" s="4" t="s">
        <v>26</v>
      </c>
      <c r="R467" s="4">
        <v>0</v>
      </c>
      <c r="S467" s="4" t="s">
        <v>271</v>
      </c>
      <c r="T467" s="4" t="s">
        <v>432</v>
      </c>
      <c r="U467" s="4">
        <v>0</v>
      </c>
      <c r="V467" s="4">
        <v>76</v>
      </c>
      <c r="W467" s="4">
        <v>51</v>
      </c>
    </row>
    <row r="468" spans="1:23" ht="11.25" customHeight="1" x14ac:dyDescent="0.3">
      <c r="A468" s="4" t="s">
        <v>21</v>
      </c>
      <c r="B468" s="4" t="s">
        <v>32</v>
      </c>
      <c r="C468" s="4" t="s">
        <v>38</v>
      </c>
      <c r="D468" s="4" t="s">
        <v>33</v>
      </c>
      <c r="E468" s="4" t="s">
        <v>25</v>
      </c>
      <c r="F468" s="4" t="s">
        <v>25</v>
      </c>
      <c r="G468" s="4" t="s">
        <v>25</v>
      </c>
      <c r="H468" s="4" t="s">
        <v>37</v>
      </c>
      <c r="I468" s="5">
        <v>44621</v>
      </c>
      <c r="J468" s="6">
        <v>0</v>
      </c>
      <c r="K468" s="6">
        <v>0</v>
      </c>
      <c r="L468" s="6">
        <v>6.6219999999999999</v>
      </c>
      <c r="M468" s="6">
        <v>6.6219999999999999</v>
      </c>
      <c r="N468" s="6">
        <v>6.6219999999999999</v>
      </c>
      <c r="O468" s="6">
        <v>6.6219999999999999</v>
      </c>
      <c r="P468" s="6">
        <v>0</v>
      </c>
      <c r="Q468" s="4" t="s">
        <v>26</v>
      </c>
      <c r="R468" s="4">
        <v>0</v>
      </c>
      <c r="S468" s="4" t="s">
        <v>272</v>
      </c>
      <c r="T468" s="4" t="s">
        <v>433</v>
      </c>
      <c r="U468" s="4">
        <v>0</v>
      </c>
      <c r="V468" s="4">
        <v>76</v>
      </c>
      <c r="W468" s="4">
        <v>51</v>
      </c>
    </row>
    <row r="469" spans="1:23" ht="11.25" customHeight="1" x14ac:dyDescent="0.3">
      <c r="A469" s="4" t="s">
        <v>21</v>
      </c>
      <c r="B469" s="4" t="s">
        <v>32</v>
      </c>
      <c r="C469" s="4" t="s">
        <v>38</v>
      </c>
      <c r="D469" s="4" t="s">
        <v>33</v>
      </c>
      <c r="E469" s="4" t="s">
        <v>25</v>
      </c>
      <c r="F469" s="4" t="s">
        <v>25</v>
      </c>
      <c r="G469" s="4" t="s">
        <v>25</v>
      </c>
      <c r="H469" s="4" t="s">
        <v>37</v>
      </c>
      <c r="I469" s="5">
        <v>44652</v>
      </c>
      <c r="J469" s="6">
        <v>0</v>
      </c>
      <c r="K469" s="6">
        <v>0</v>
      </c>
      <c r="L469" s="6">
        <v>6.51</v>
      </c>
      <c r="M469" s="6">
        <v>6.51</v>
      </c>
      <c r="N469" s="6">
        <v>6.51</v>
      </c>
      <c r="O469" s="6">
        <v>6.51</v>
      </c>
      <c r="P469" s="6">
        <v>0</v>
      </c>
      <c r="Q469" s="4" t="s">
        <v>26</v>
      </c>
      <c r="R469" s="4">
        <v>0</v>
      </c>
      <c r="S469" s="4" t="s">
        <v>273</v>
      </c>
      <c r="T469" s="4" t="s">
        <v>434</v>
      </c>
      <c r="U469" s="4">
        <v>0</v>
      </c>
      <c r="V469" s="4">
        <v>76</v>
      </c>
      <c r="W469" s="4">
        <v>51</v>
      </c>
    </row>
    <row r="470" spans="1:23" ht="11.25" customHeight="1" x14ac:dyDescent="0.3">
      <c r="A470" s="4" t="s">
        <v>21</v>
      </c>
      <c r="B470" s="4" t="s">
        <v>32</v>
      </c>
      <c r="C470" s="4" t="s">
        <v>38</v>
      </c>
      <c r="D470" s="4" t="s">
        <v>33</v>
      </c>
      <c r="E470" s="4" t="s">
        <v>25</v>
      </c>
      <c r="F470" s="4" t="s">
        <v>25</v>
      </c>
      <c r="G470" s="4" t="s">
        <v>25</v>
      </c>
      <c r="H470" s="4" t="s">
        <v>37</v>
      </c>
      <c r="I470" s="5">
        <v>44682</v>
      </c>
      <c r="J470" s="6">
        <v>0</v>
      </c>
      <c r="K470" s="6">
        <v>0</v>
      </c>
      <c r="L470" s="6">
        <v>7.702</v>
      </c>
      <c r="M470" s="6">
        <v>7.702</v>
      </c>
      <c r="N470" s="6">
        <v>7.702</v>
      </c>
      <c r="O470" s="6">
        <v>7.702</v>
      </c>
      <c r="P470" s="6">
        <v>0</v>
      </c>
      <c r="Q470" s="4" t="s">
        <v>26</v>
      </c>
      <c r="R470" s="4">
        <v>0</v>
      </c>
      <c r="S470" s="4" t="s">
        <v>274</v>
      </c>
      <c r="T470" s="4" t="s">
        <v>435</v>
      </c>
      <c r="U470" s="4">
        <v>0</v>
      </c>
      <c r="V470" s="4">
        <v>76</v>
      </c>
      <c r="W470" s="4">
        <v>51</v>
      </c>
    </row>
    <row r="471" spans="1:23" ht="11.25" customHeight="1" x14ac:dyDescent="0.3">
      <c r="A471" s="4" t="s">
        <v>21</v>
      </c>
      <c r="B471" s="4" t="s">
        <v>32</v>
      </c>
      <c r="C471" s="4" t="s">
        <v>38</v>
      </c>
      <c r="D471" s="4" t="s">
        <v>33</v>
      </c>
      <c r="E471" s="4" t="s">
        <v>25</v>
      </c>
      <c r="F471" s="4" t="s">
        <v>25</v>
      </c>
      <c r="G471" s="4" t="s">
        <v>25</v>
      </c>
      <c r="H471" s="4" t="s">
        <v>37</v>
      </c>
      <c r="I471" s="5">
        <v>44713</v>
      </c>
      <c r="J471" s="6">
        <v>0</v>
      </c>
      <c r="K471" s="6">
        <v>0</v>
      </c>
      <c r="L471" s="6">
        <v>8.7870000000000008</v>
      </c>
      <c r="M471" s="6">
        <v>8.7870000000000008</v>
      </c>
      <c r="N471" s="6">
        <v>8.7870000000000008</v>
      </c>
      <c r="O471" s="6">
        <v>8.7870000000000008</v>
      </c>
      <c r="P471" s="6">
        <v>0</v>
      </c>
      <c r="Q471" s="4" t="s">
        <v>26</v>
      </c>
      <c r="R471" s="4">
        <v>0</v>
      </c>
      <c r="S471" s="4" t="s">
        <v>275</v>
      </c>
      <c r="T471" s="4" t="s">
        <v>436</v>
      </c>
      <c r="U471" s="4">
        <v>0</v>
      </c>
      <c r="V471" s="4">
        <v>76</v>
      </c>
      <c r="W471" s="4">
        <v>51</v>
      </c>
    </row>
    <row r="472" spans="1:23" ht="11.25" customHeight="1" x14ac:dyDescent="0.3">
      <c r="A472" s="4" t="s">
        <v>21</v>
      </c>
      <c r="B472" s="4" t="s">
        <v>32</v>
      </c>
      <c r="C472" s="4" t="s">
        <v>38</v>
      </c>
      <c r="D472" s="4" t="s">
        <v>33</v>
      </c>
      <c r="E472" s="4" t="s">
        <v>25</v>
      </c>
      <c r="F472" s="4" t="s">
        <v>25</v>
      </c>
      <c r="G472" s="4" t="s">
        <v>25</v>
      </c>
      <c r="H472" s="4" t="s">
        <v>37</v>
      </c>
      <c r="I472" s="5">
        <v>44743</v>
      </c>
      <c r="J472" s="6">
        <v>0</v>
      </c>
      <c r="K472" s="6">
        <v>0</v>
      </c>
      <c r="L472" s="6">
        <v>8.8219999999999992</v>
      </c>
      <c r="M472" s="6">
        <v>8.8219999999999992</v>
      </c>
      <c r="N472" s="6">
        <v>8.8219999999999992</v>
      </c>
      <c r="O472" s="6">
        <v>8.8219999999999992</v>
      </c>
      <c r="P472" s="6">
        <v>0</v>
      </c>
      <c r="Q472" s="4" t="s">
        <v>26</v>
      </c>
      <c r="R472" s="4">
        <v>0</v>
      </c>
      <c r="S472" s="4" t="s">
        <v>276</v>
      </c>
      <c r="T472" s="4" t="s">
        <v>437</v>
      </c>
      <c r="U472" s="4">
        <v>0</v>
      </c>
      <c r="V472" s="4">
        <v>76</v>
      </c>
      <c r="W472" s="4">
        <v>51</v>
      </c>
    </row>
    <row r="473" spans="1:23" ht="11.25" customHeight="1" x14ac:dyDescent="0.3">
      <c r="A473" s="4" t="s">
        <v>21</v>
      </c>
      <c r="B473" s="4" t="s">
        <v>32</v>
      </c>
      <c r="C473" s="4" t="s">
        <v>38</v>
      </c>
      <c r="D473" s="4" t="s">
        <v>33</v>
      </c>
      <c r="E473" s="4" t="s">
        <v>25</v>
      </c>
      <c r="F473" s="4" t="s">
        <v>25</v>
      </c>
      <c r="G473" s="4" t="s">
        <v>25</v>
      </c>
      <c r="H473" s="4" t="s">
        <v>39</v>
      </c>
      <c r="I473" s="5">
        <v>44409</v>
      </c>
      <c r="J473" s="6">
        <v>0</v>
      </c>
      <c r="K473" s="6">
        <v>0</v>
      </c>
      <c r="L473" s="6">
        <v>0.121</v>
      </c>
      <c r="M473" s="6">
        <v>0.121</v>
      </c>
      <c r="N473" s="6">
        <v>0.121</v>
      </c>
      <c r="O473" s="6">
        <v>0.121</v>
      </c>
      <c r="P473" s="6">
        <v>0</v>
      </c>
      <c r="Q473" s="4" t="s">
        <v>26</v>
      </c>
      <c r="R473" s="4">
        <v>0</v>
      </c>
      <c r="S473" s="4" t="s">
        <v>277</v>
      </c>
      <c r="T473" s="4" t="s">
        <v>438</v>
      </c>
      <c r="U473" s="4">
        <v>0</v>
      </c>
      <c r="V473" s="4">
        <v>75</v>
      </c>
      <c r="W473" s="4">
        <v>48</v>
      </c>
    </row>
    <row r="474" spans="1:23" ht="11.25" customHeight="1" x14ac:dyDescent="0.3">
      <c r="A474" s="4" t="s">
        <v>21</v>
      </c>
      <c r="B474" s="4" t="s">
        <v>32</v>
      </c>
      <c r="C474" s="4" t="s">
        <v>38</v>
      </c>
      <c r="D474" s="4" t="s">
        <v>33</v>
      </c>
      <c r="E474" s="4" t="s">
        <v>25</v>
      </c>
      <c r="F474" s="4" t="s">
        <v>25</v>
      </c>
      <c r="G474" s="4" t="s">
        <v>25</v>
      </c>
      <c r="H474" s="4" t="s">
        <v>39</v>
      </c>
      <c r="I474" s="5">
        <v>44440</v>
      </c>
      <c r="J474" s="6">
        <v>0</v>
      </c>
      <c r="K474" s="6">
        <v>0</v>
      </c>
      <c r="L474" s="6">
        <v>9.9000000000000005E-2</v>
      </c>
      <c r="M474" s="6">
        <v>9.9000000000000005E-2</v>
      </c>
      <c r="N474" s="6">
        <v>9.9000000000000005E-2</v>
      </c>
      <c r="O474" s="6">
        <v>9.9000000000000005E-2</v>
      </c>
      <c r="P474" s="6">
        <v>0</v>
      </c>
      <c r="Q474" s="4" t="s">
        <v>26</v>
      </c>
      <c r="R474" s="4">
        <v>0</v>
      </c>
      <c r="S474" s="4" t="s">
        <v>278</v>
      </c>
      <c r="T474" s="4" t="s">
        <v>439</v>
      </c>
      <c r="U474" s="4">
        <v>0</v>
      </c>
      <c r="V474" s="4">
        <v>75</v>
      </c>
      <c r="W474" s="4">
        <v>48</v>
      </c>
    </row>
    <row r="475" spans="1:23" ht="11.25" customHeight="1" x14ac:dyDescent="0.3">
      <c r="A475" s="4" t="s">
        <v>21</v>
      </c>
      <c r="B475" s="4" t="s">
        <v>32</v>
      </c>
      <c r="C475" s="4" t="s">
        <v>38</v>
      </c>
      <c r="D475" s="4" t="s">
        <v>33</v>
      </c>
      <c r="E475" s="4" t="s">
        <v>25</v>
      </c>
      <c r="F475" s="4" t="s">
        <v>25</v>
      </c>
      <c r="G475" s="4" t="s">
        <v>25</v>
      </c>
      <c r="H475" s="4" t="s">
        <v>39</v>
      </c>
      <c r="I475" s="5">
        <v>44470</v>
      </c>
      <c r="J475" s="6">
        <v>0</v>
      </c>
      <c r="K475" s="6">
        <v>0</v>
      </c>
      <c r="L475" s="6">
        <v>0.112</v>
      </c>
      <c r="M475" s="6">
        <v>0.112</v>
      </c>
      <c r="N475" s="6">
        <v>0.112</v>
      </c>
      <c r="O475" s="6">
        <v>0.112</v>
      </c>
      <c r="P475" s="6">
        <v>0</v>
      </c>
      <c r="Q475" s="4" t="s">
        <v>26</v>
      </c>
      <c r="R475" s="4">
        <v>0</v>
      </c>
      <c r="S475" s="4" t="s">
        <v>279</v>
      </c>
      <c r="T475" s="4" t="s">
        <v>440</v>
      </c>
      <c r="U475" s="4">
        <v>0</v>
      </c>
      <c r="V475" s="4">
        <v>75</v>
      </c>
      <c r="W475" s="4">
        <v>48</v>
      </c>
    </row>
    <row r="476" spans="1:23" ht="11.25" customHeight="1" x14ac:dyDescent="0.3">
      <c r="A476" s="4" t="s">
        <v>21</v>
      </c>
      <c r="B476" s="4" t="s">
        <v>32</v>
      </c>
      <c r="C476" s="4" t="s">
        <v>38</v>
      </c>
      <c r="D476" s="4" t="s">
        <v>33</v>
      </c>
      <c r="E476" s="4" t="s">
        <v>25</v>
      </c>
      <c r="F476" s="4" t="s">
        <v>25</v>
      </c>
      <c r="G476" s="4" t="s">
        <v>25</v>
      </c>
      <c r="H476" s="4" t="s">
        <v>39</v>
      </c>
      <c r="I476" s="5">
        <v>44501</v>
      </c>
      <c r="J476" s="6">
        <v>0</v>
      </c>
      <c r="K476" s="6">
        <v>0</v>
      </c>
      <c r="L476" s="6">
        <v>7.5999999999999998E-2</v>
      </c>
      <c r="M476" s="6">
        <v>7.5999999999999998E-2</v>
      </c>
      <c r="N476" s="6">
        <v>7.5999999999999998E-2</v>
      </c>
      <c r="O476" s="6">
        <v>7.5999999999999998E-2</v>
      </c>
      <c r="P476" s="6">
        <v>0</v>
      </c>
      <c r="Q476" s="4" t="s">
        <v>26</v>
      </c>
      <c r="R476" s="4">
        <v>0</v>
      </c>
      <c r="S476" s="4" t="s">
        <v>280</v>
      </c>
      <c r="T476" s="4" t="s">
        <v>441</v>
      </c>
      <c r="U476" s="4">
        <v>0</v>
      </c>
      <c r="V476" s="4">
        <v>75</v>
      </c>
      <c r="W476" s="4">
        <v>48</v>
      </c>
    </row>
    <row r="477" spans="1:23" ht="11.25" customHeight="1" x14ac:dyDescent="0.3">
      <c r="A477" s="4" t="s">
        <v>21</v>
      </c>
      <c r="B477" s="4" t="s">
        <v>32</v>
      </c>
      <c r="C477" s="4" t="s">
        <v>38</v>
      </c>
      <c r="D477" s="4" t="s">
        <v>33</v>
      </c>
      <c r="E477" s="4" t="s">
        <v>25</v>
      </c>
      <c r="F477" s="4" t="s">
        <v>25</v>
      </c>
      <c r="G477" s="4" t="s">
        <v>25</v>
      </c>
      <c r="H477" s="4" t="s">
        <v>39</v>
      </c>
      <c r="I477" s="5">
        <v>44531</v>
      </c>
      <c r="J477" s="6">
        <v>0</v>
      </c>
      <c r="K477" s="6">
        <v>0</v>
      </c>
      <c r="L477" s="6">
        <v>8.5000000000000006E-2</v>
      </c>
      <c r="M477" s="6">
        <v>8.5000000000000006E-2</v>
      </c>
      <c r="N477" s="6">
        <v>8.5000000000000006E-2</v>
      </c>
      <c r="O477" s="6">
        <v>8.5000000000000006E-2</v>
      </c>
      <c r="P477" s="6">
        <v>0</v>
      </c>
      <c r="Q477" s="4" t="s">
        <v>26</v>
      </c>
      <c r="R477" s="4">
        <v>0</v>
      </c>
      <c r="S477" s="4" t="s">
        <v>281</v>
      </c>
      <c r="T477" s="4" t="s">
        <v>442</v>
      </c>
      <c r="U477" s="4">
        <v>0</v>
      </c>
      <c r="V477" s="4">
        <v>75</v>
      </c>
      <c r="W477" s="4">
        <v>48</v>
      </c>
    </row>
    <row r="478" spans="1:23" ht="11.25" customHeight="1" x14ac:dyDescent="0.3">
      <c r="A478" s="4" t="s">
        <v>21</v>
      </c>
      <c r="B478" s="4" t="s">
        <v>32</v>
      </c>
      <c r="C478" s="4" t="s">
        <v>38</v>
      </c>
      <c r="D478" s="4" t="s">
        <v>33</v>
      </c>
      <c r="E478" s="4" t="s">
        <v>25</v>
      </c>
      <c r="F478" s="4" t="s">
        <v>25</v>
      </c>
      <c r="G478" s="4" t="s">
        <v>25</v>
      </c>
      <c r="H478" s="4" t="s">
        <v>39</v>
      </c>
      <c r="I478" s="5">
        <v>44562</v>
      </c>
      <c r="J478" s="6">
        <v>0</v>
      </c>
      <c r="K478" s="6">
        <v>0</v>
      </c>
      <c r="L478" s="6">
        <v>7.9000000000000001E-2</v>
      </c>
      <c r="M478" s="6">
        <v>7.9000000000000001E-2</v>
      </c>
      <c r="N478" s="6">
        <v>7.9000000000000001E-2</v>
      </c>
      <c r="O478" s="6">
        <v>7.9000000000000001E-2</v>
      </c>
      <c r="P478" s="6">
        <v>0</v>
      </c>
      <c r="Q478" s="4" t="s">
        <v>26</v>
      </c>
      <c r="R478" s="4">
        <v>0</v>
      </c>
      <c r="S478" s="4" t="s">
        <v>282</v>
      </c>
      <c r="T478" s="4" t="s">
        <v>443</v>
      </c>
      <c r="U478" s="4">
        <v>0</v>
      </c>
      <c r="V478" s="4">
        <v>75</v>
      </c>
      <c r="W478" s="4">
        <v>48</v>
      </c>
    </row>
    <row r="479" spans="1:23" ht="11.25" customHeight="1" x14ac:dyDescent="0.3">
      <c r="A479" s="4" t="s">
        <v>21</v>
      </c>
      <c r="B479" s="4" t="s">
        <v>32</v>
      </c>
      <c r="C479" s="4" t="s">
        <v>38</v>
      </c>
      <c r="D479" s="4" t="s">
        <v>33</v>
      </c>
      <c r="E479" s="4" t="s">
        <v>25</v>
      </c>
      <c r="F479" s="4" t="s">
        <v>25</v>
      </c>
      <c r="G479" s="4" t="s">
        <v>25</v>
      </c>
      <c r="H479" s="4" t="s">
        <v>39</v>
      </c>
      <c r="I479" s="5">
        <v>44593</v>
      </c>
      <c r="J479" s="6">
        <v>0</v>
      </c>
      <c r="K479" s="6">
        <v>0</v>
      </c>
      <c r="L479" s="6">
        <v>9.0999999999999998E-2</v>
      </c>
      <c r="M479" s="6">
        <v>9.0999999999999998E-2</v>
      </c>
      <c r="N479" s="6">
        <v>9.0999999999999998E-2</v>
      </c>
      <c r="O479" s="6">
        <v>9.0999999999999998E-2</v>
      </c>
      <c r="P479" s="6">
        <v>0</v>
      </c>
      <c r="Q479" s="4" t="s">
        <v>26</v>
      </c>
      <c r="R479" s="4">
        <v>0</v>
      </c>
      <c r="S479" s="4" t="s">
        <v>283</v>
      </c>
      <c r="T479" s="4" t="s">
        <v>444</v>
      </c>
      <c r="U479" s="4">
        <v>0</v>
      </c>
      <c r="V479" s="4">
        <v>75</v>
      </c>
      <c r="W479" s="4">
        <v>48</v>
      </c>
    </row>
    <row r="480" spans="1:23" ht="11.25" customHeight="1" x14ac:dyDescent="0.3">
      <c r="A480" s="4" t="s">
        <v>21</v>
      </c>
      <c r="B480" s="4" t="s">
        <v>32</v>
      </c>
      <c r="C480" s="4" t="s">
        <v>38</v>
      </c>
      <c r="D480" s="4" t="s">
        <v>33</v>
      </c>
      <c r="E480" s="4" t="s">
        <v>25</v>
      </c>
      <c r="F480" s="4" t="s">
        <v>25</v>
      </c>
      <c r="G480" s="4" t="s">
        <v>25</v>
      </c>
      <c r="H480" s="4" t="s">
        <v>39</v>
      </c>
      <c r="I480" s="5">
        <v>44621</v>
      </c>
      <c r="J480" s="6">
        <v>0</v>
      </c>
      <c r="K480" s="6">
        <v>0</v>
      </c>
      <c r="L480" s="6">
        <v>5.6000000000000001E-2</v>
      </c>
      <c r="M480" s="6">
        <v>5.6000000000000001E-2</v>
      </c>
      <c r="N480" s="6">
        <v>5.6000000000000001E-2</v>
      </c>
      <c r="O480" s="6">
        <v>5.6000000000000001E-2</v>
      </c>
      <c r="P480" s="6">
        <v>0</v>
      </c>
      <c r="Q480" s="4" t="s">
        <v>26</v>
      </c>
      <c r="R480" s="4">
        <v>0</v>
      </c>
      <c r="S480" s="4" t="s">
        <v>284</v>
      </c>
      <c r="T480" s="4" t="s">
        <v>445</v>
      </c>
      <c r="U480" s="4">
        <v>0</v>
      </c>
      <c r="V480" s="4">
        <v>75</v>
      </c>
      <c r="W480" s="4">
        <v>48</v>
      </c>
    </row>
    <row r="481" spans="1:23" ht="11.25" customHeight="1" x14ac:dyDescent="0.3">
      <c r="A481" s="4" t="s">
        <v>21</v>
      </c>
      <c r="B481" s="4" t="s">
        <v>32</v>
      </c>
      <c r="C481" s="4" t="s">
        <v>38</v>
      </c>
      <c r="D481" s="4" t="s">
        <v>33</v>
      </c>
      <c r="E481" s="4" t="s">
        <v>25</v>
      </c>
      <c r="F481" s="4" t="s">
        <v>25</v>
      </c>
      <c r="G481" s="4" t="s">
        <v>25</v>
      </c>
      <c r="H481" s="4" t="s">
        <v>39</v>
      </c>
      <c r="I481" s="5">
        <v>44652</v>
      </c>
      <c r="J481" s="6">
        <v>0</v>
      </c>
      <c r="K481" s="6">
        <v>0</v>
      </c>
      <c r="L481" s="6">
        <v>9.0999999999999998E-2</v>
      </c>
      <c r="M481" s="6">
        <v>9.0999999999999998E-2</v>
      </c>
      <c r="N481" s="6">
        <v>9.0999999999999998E-2</v>
      </c>
      <c r="O481" s="6">
        <v>9.0999999999999998E-2</v>
      </c>
      <c r="P481" s="6">
        <v>0</v>
      </c>
      <c r="Q481" s="4" t="s">
        <v>26</v>
      </c>
      <c r="R481" s="4">
        <v>0</v>
      </c>
      <c r="S481" s="4" t="s">
        <v>285</v>
      </c>
      <c r="T481" s="4" t="s">
        <v>446</v>
      </c>
      <c r="U481" s="4">
        <v>0</v>
      </c>
      <c r="V481" s="4">
        <v>75</v>
      </c>
      <c r="W481" s="4">
        <v>48</v>
      </c>
    </row>
    <row r="482" spans="1:23" ht="11.25" customHeight="1" x14ac:dyDescent="0.3">
      <c r="A482" s="4" t="s">
        <v>21</v>
      </c>
      <c r="B482" s="4" t="s">
        <v>32</v>
      </c>
      <c r="C482" s="4" t="s">
        <v>38</v>
      </c>
      <c r="D482" s="4" t="s">
        <v>33</v>
      </c>
      <c r="E482" s="4" t="s">
        <v>25</v>
      </c>
      <c r="F482" s="4" t="s">
        <v>25</v>
      </c>
      <c r="G482" s="4" t="s">
        <v>25</v>
      </c>
      <c r="H482" s="4" t="s">
        <v>39</v>
      </c>
      <c r="I482" s="5">
        <v>44682</v>
      </c>
      <c r="J482" s="6">
        <v>0</v>
      </c>
      <c r="K482" s="6">
        <v>0</v>
      </c>
      <c r="L482" s="6">
        <v>5.3999999999999999E-2</v>
      </c>
      <c r="M482" s="6">
        <v>5.3999999999999999E-2</v>
      </c>
      <c r="N482" s="6">
        <v>5.3999999999999999E-2</v>
      </c>
      <c r="O482" s="6">
        <v>5.3999999999999999E-2</v>
      </c>
      <c r="P482" s="6">
        <v>0</v>
      </c>
      <c r="Q482" s="4" t="s">
        <v>26</v>
      </c>
      <c r="R482" s="4">
        <v>0</v>
      </c>
      <c r="S482" s="4" t="s">
        <v>286</v>
      </c>
      <c r="T482" s="4" t="s">
        <v>447</v>
      </c>
      <c r="U482" s="4">
        <v>0</v>
      </c>
      <c r="V482" s="4">
        <v>75</v>
      </c>
      <c r="W482" s="4">
        <v>48</v>
      </c>
    </row>
    <row r="483" spans="1:23" ht="11.25" customHeight="1" x14ac:dyDescent="0.3">
      <c r="A483" s="4" t="s">
        <v>21</v>
      </c>
      <c r="B483" s="4" t="s">
        <v>32</v>
      </c>
      <c r="C483" s="4" t="s">
        <v>38</v>
      </c>
      <c r="D483" s="4" t="s">
        <v>33</v>
      </c>
      <c r="E483" s="4" t="s">
        <v>25</v>
      </c>
      <c r="F483" s="4" t="s">
        <v>25</v>
      </c>
      <c r="G483" s="4" t="s">
        <v>25</v>
      </c>
      <c r="H483" s="4" t="s">
        <v>39</v>
      </c>
      <c r="I483" s="5">
        <v>44713</v>
      </c>
      <c r="J483" s="6">
        <v>0</v>
      </c>
      <c r="K483" s="6">
        <v>0</v>
      </c>
      <c r="L483" s="6">
        <v>8.7999999999999995E-2</v>
      </c>
      <c r="M483" s="6">
        <v>8.7999999999999995E-2</v>
      </c>
      <c r="N483" s="6">
        <v>8.7999999999999995E-2</v>
      </c>
      <c r="O483" s="6">
        <v>8.7999999999999995E-2</v>
      </c>
      <c r="P483" s="6">
        <v>0</v>
      </c>
      <c r="Q483" s="4" t="s">
        <v>26</v>
      </c>
      <c r="R483" s="4">
        <v>0</v>
      </c>
      <c r="S483" s="4" t="s">
        <v>287</v>
      </c>
      <c r="T483" s="4" t="s">
        <v>448</v>
      </c>
      <c r="U483" s="4">
        <v>0</v>
      </c>
      <c r="V483" s="4">
        <v>75</v>
      </c>
      <c r="W483" s="4">
        <v>48</v>
      </c>
    </row>
    <row r="484" spans="1:23" ht="11.25" customHeight="1" x14ac:dyDescent="0.3">
      <c r="A484" s="4" t="s">
        <v>21</v>
      </c>
      <c r="B484" s="4" t="s">
        <v>32</v>
      </c>
      <c r="C484" s="4" t="s">
        <v>38</v>
      </c>
      <c r="D484" s="4" t="s">
        <v>33</v>
      </c>
      <c r="E484" s="4" t="s">
        <v>25</v>
      </c>
      <c r="F484" s="4" t="s">
        <v>25</v>
      </c>
      <c r="G484" s="4" t="s">
        <v>25</v>
      </c>
      <c r="H484" s="4" t="s">
        <v>39</v>
      </c>
      <c r="I484" s="5">
        <v>44743</v>
      </c>
      <c r="J484" s="6">
        <v>0</v>
      </c>
      <c r="K484" s="6">
        <v>0</v>
      </c>
      <c r="L484" s="6">
        <v>7.5999999999999998E-2</v>
      </c>
      <c r="M484" s="6">
        <v>7.5999999999999998E-2</v>
      </c>
      <c r="N484" s="6">
        <v>7.5999999999999998E-2</v>
      </c>
      <c r="O484" s="6">
        <v>7.5999999999999998E-2</v>
      </c>
      <c r="P484" s="6">
        <v>0</v>
      </c>
      <c r="Q484" s="4" t="s">
        <v>26</v>
      </c>
      <c r="R484" s="4">
        <v>0</v>
      </c>
      <c r="S484" s="4" t="s">
        <v>288</v>
      </c>
      <c r="T484" s="4" t="s">
        <v>449</v>
      </c>
      <c r="U484" s="4">
        <v>0</v>
      </c>
      <c r="V484" s="4">
        <v>75</v>
      </c>
      <c r="W484" s="4">
        <v>48</v>
      </c>
    </row>
    <row r="485" spans="1:23" ht="11.25" customHeight="1" x14ac:dyDescent="0.3">
      <c r="A485" s="4" t="s">
        <v>21</v>
      </c>
      <c r="B485" s="4" t="s">
        <v>32</v>
      </c>
      <c r="C485" s="4" t="s">
        <v>38</v>
      </c>
      <c r="D485" s="4" t="s">
        <v>33</v>
      </c>
      <c r="E485" s="4" t="s">
        <v>25</v>
      </c>
      <c r="F485" s="4" t="s">
        <v>25</v>
      </c>
      <c r="G485" s="4" t="s">
        <v>25</v>
      </c>
      <c r="H485" s="4" t="s">
        <v>36</v>
      </c>
      <c r="I485" s="5">
        <v>44409</v>
      </c>
      <c r="J485" s="6">
        <v>0</v>
      </c>
      <c r="K485" s="6">
        <v>0</v>
      </c>
      <c r="L485" s="6">
        <v>1.6E-2</v>
      </c>
      <c r="M485" s="6">
        <v>1.6E-2</v>
      </c>
      <c r="N485" s="6">
        <v>1.6E-2</v>
      </c>
      <c r="O485" s="6">
        <v>1.6E-2</v>
      </c>
      <c r="P485" s="6">
        <v>0</v>
      </c>
      <c r="Q485" s="4" t="s">
        <v>26</v>
      </c>
      <c r="R485" s="4">
        <v>0</v>
      </c>
      <c r="S485" s="4" t="s">
        <v>289</v>
      </c>
      <c r="T485" s="4" t="s">
        <v>450</v>
      </c>
      <c r="U485" s="4">
        <v>0</v>
      </c>
      <c r="V485" s="4">
        <v>74</v>
      </c>
      <c r="W485" s="4">
        <v>47</v>
      </c>
    </row>
    <row r="486" spans="1:23" ht="11.25" customHeight="1" x14ac:dyDescent="0.3">
      <c r="A486" s="4" t="s">
        <v>21</v>
      </c>
      <c r="B486" s="4" t="s">
        <v>32</v>
      </c>
      <c r="C486" s="4" t="s">
        <v>38</v>
      </c>
      <c r="D486" s="4" t="s">
        <v>33</v>
      </c>
      <c r="E486" s="4" t="s">
        <v>25</v>
      </c>
      <c r="F486" s="4" t="s">
        <v>25</v>
      </c>
      <c r="G486" s="4" t="s">
        <v>25</v>
      </c>
      <c r="H486" s="4" t="s">
        <v>36</v>
      </c>
      <c r="I486" s="5">
        <v>44440</v>
      </c>
      <c r="J486" s="6">
        <v>0</v>
      </c>
      <c r="K486" s="6">
        <v>0</v>
      </c>
      <c r="L486" s="6">
        <v>2.1000000000000001E-2</v>
      </c>
      <c r="M486" s="6">
        <v>2.1000000000000001E-2</v>
      </c>
      <c r="N486" s="6">
        <v>2.1000000000000001E-2</v>
      </c>
      <c r="O486" s="6">
        <v>2.1000000000000001E-2</v>
      </c>
      <c r="P486" s="6">
        <v>0</v>
      </c>
      <c r="Q486" s="4" t="s">
        <v>26</v>
      </c>
      <c r="R486" s="4">
        <v>0</v>
      </c>
      <c r="S486" s="4" t="s">
        <v>290</v>
      </c>
      <c r="T486" s="4" t="s">
        <v>451</v>
      </c>
      <c r="U486" s="4">
        <v>0</v>
      </c>
      <c r="V486" s="4">
        <v>74</v>
      </c>
      <c r="W486" s="4">
        <v>47</v>
      </c>
    </row>
    <row r="487" spans="1:23" ht="11.25" customHeight="1" x14ac:dyDescent="0.3">
      <c r="A487" s="4" t="s">
        <v>21</v>
      </c>
      <c r="B487" s="4" t="s">
        <v>32</v>
      </c>
      <c r="C487" s="4" t="s">
        <v>38</v>
      </c>
      <c r="D487" s="4" t="s">
        <v>33</v>
      </c>
      <c r="E487" s="4" t="s">
        <v>25</v>
      </c>
      <c r="F487" s="4" t="s">
        <v>25</v>
      </c>
      <c r="G487" s="4" t="s">
        <v>25</v>
      </c>
      <c r="H487" s="4" t="s">
        <v>36</v>
      </c>
      <c r="I487" s="5">
        <v>44470</v>
      </c>
      <c r="J487" s="6">
        <v>0</v>
      </c>
      <c r="K487" s="6">
        <v>0</v>
      </c>
      <c r="L487" s="6">
        <v>0.03</v>
      </c>
      <c r="M487" s="6">
        <v>0.03</v>
      </c>
      <c r="N487" s="6">
        <v>0.03</v>
      </c>
      <c r="O487" s="6">
        <v>0.03</v>
      </c>
      <c r="P487" s="6">
        <v>0</v>
      </c>
      <c r="Q487" s="4" t="s">
        <v>26</v>
      </c>
      <c r="R487" s="4">
        <v>0</v>
      </c>
      <c r="S487" s="4" t="s">
        <v>291</v>
      </c>
      <c r="T487" s="4" t="s">
        <v>452</v>
      </c>
      <c r="U487" s="4">
        <v>0</v>
      </c>
      <c r="V487" s="4">
        <v>74</v>
      </c>
      <c r="W487" s="4">
        <v>47</v>
      </c>
    </row>
    <row r="488" spans="1:23" ht="11.25" customHeight="1" x14ac:dyDescent="0.3">
      <c r="A488" s="4" t="s">
        <v>21</v>
      </c>
      <c r="B488" s="4" t="s">
        <v>32</v>
      </c>
      <c r="C488" s="4" t="s">
        <v>38</v>
      </c>
      <c r="D488" s="4" t="s">
        <v>33</v>
      </c>
      <c r="E488" s="4" t="s">
        <v>25</v>
      </c>
      <c r="F488" s="4" t="s">
        <v>25</v>
      </c>
      <c r="G488" s="4" t="s">
        <v>25</v>
      </c>
      <c r="H488" s="4" t="s">
        <v>36</v>
      </c>
      <c r="I488" s="5">
        <v>44501</v>
      </c>
      <c r="J488" s="6">
        <v>0</v>
      </c>
      <c r="K488" s="6">
        <v>0</v>
      </c>
      <c r="L488" s="6">
        <v>2.9000000000000001E-2</v>
      </c>
      <c r="M488" s="6">
        <v>2.9000000000000001E-2</v>
      </c>
      <c r="N488" s="6">
        <v>2.9000000000000001E-2</v>
      </c>
      <c r="O488" s="6">
        <v>2.9000000000000001E-2</v>
      </c>
      <c r="P488" s="6">
        <v>0</v>
      </c>
      <c r="Q488" s="4" t="s">
        <v>26</v>
      </c>
      <c r="R488" s="4">
        <v>0</v>
      </c>
      <c r="S488" s="4" t="s">
        <v>292</v>
      </c>
      <c r="T488" s="4" t="s">
        <v>453</v>
      </c>
      <c r="U488" s="4">
        <v>0</v>
      </c>
      <c r="V488" s="4">
        <v>74</v>
      </c>
      <c r="W488" s="4">
        <v>47</v>
      </c>
    </row>
    <row r="489" spans="1:23" ht="11.25" customHeight="1" x14ac:dyDescent="0.3">
      <c r="A489" s="4" t="s">
        <v>21</v>
      </c>
      <c r="B489" s="4" t="s">
        <v>32</v>
      </c>
      <c r="C489" s="4" t="s">
        <v>38</v>
      </c>
      <c r="D489" s="4" t="s">
        <v>33</v>
      </c>
      <c r="E489" s="4" t="s">
        <v>25</v>
      </c>
      <c r="F489" s="4" t="s">
        <v>25</v>
      </c>
      <c r="G489" s="4" t="s">
        <v>25</v>
      </c>
      <c r="H489" s="4" t="s">
        <v>36</v>
      </c>
      <c r="I489" s="5">
        <v>44531</v>
      </c>
      <c r="J489" s="6">
        <v>0</v>
      </c>
      <c r="K489" s="6">
        <v>0</v>
      </c>
      <c r="L489" s="6">
        <v>3.1E-2</v>
      </c>
      <c r="M489" s="6">
        <v>3.1E-2</v>
      </c>
      <c r="N489" s="6">
        <v>3.1E-2</v>
      </c>
      <c r="O489" s="6">
        <v>3.1E-2</v>
      </c>
      <c r="P489" s="6">
        <v>0</v>
      </c>
      <c r="Q489" s="4" t="s">
        <v>26</v>
      </c>
      <c r="R489" s="4">
        <v>0</v>
      </c>
      <c r="S489" s="4" t="s">
        <v>293</v>
      </c>
      <c r="T489" s="4" t="s">
        <v>454</v>
      </c>
      <c r="U489" s="4">
        <v>0</v>
      </c>
      <c r="V489" s="4">
        <v>74</v>
      </c>
      <c r="W489" s="4">
        <v>47</v>
      </c>
    </row>
    <row r="490" spans="1:23" ht="11.25" customHeight="1" x14ac:dyDescent="0.3">
      <c r="A490" s="4" t="s">
        <v>21</v>
      </c>
      <c r="B490" s="4" t="s">
        <v>32</v>
      </c>
      <c r="C490" s="4" t="s">
        <v>38</v>
      </c>
      <c r="D490" s="4" t="s">
        <v>33</v>
      </c>
      <c r="E490" s="4" t="s">
        <v>25</v>
      </c>
      <c r="F490" s="4" t="s">
        <v>25</v>
      </c>
      <c r="G490" s="4" t="s">
        <v>25</v>
      </c>
      <c r="H490" s="4" t="s">
        <v>36</v>
      </c>
      <c r="I490" s="5">
        <v>44562</v>
      </c>
      <c r="J490" s="6">
        <v>0</v>
      </c>
      <c r="K490" s="6">
        <v>0</v>
      </c>
      <c r="L490" s="6">
        <v>4.2000000000000003E-2</v>
      </c>
      <c r="M490" s="6">
        <v>4.2000000000000003E-2</v>
      </c>
      <c r="N490" s="6">
        <v>4.2000000000000003E-2</v>
      </c>
      <c r="O490" s="6">
        <v>4.2000000000000003E-2</v>
      </c>
      <c r="P490" s="6">
        <v>0</v>
      </c>
      <c r="Q490" s="4" t="s">
        <v>26</v>
      </c>
      <c r="R490" s="4">
        <v>0</v>
      </c>
      <c r="S490" s="4" t="s">
        <v>294</v>
      </c>
      <c r="T490" s="4" t="s">
        <v>455</v>
      </c>
      <c r="U490" s="4">
        <v>0</v>
      </c>
      <c r="V490" s="4">
        <v>74</v>
      </c>
      <c r="W490" s="4">
        <v>47</v>
      </c>
    </row>
    <row r="491" spans="1:23" ht="11.25" customHeight="1" x14ac:dyDescent="0.3">
      <c r="A491" s="4" t="s">
        <v>21</v>
      </c>
      <c r="B491" s="4" t="s">
        <v>32</v>
      </c>
      <c r="C491" s="4" t="s">
        <v>38</v>
      </c>
      <c r="D491" s="4" t="s">
        <v>33</v>
      </c>
      <c r="E491" s="4" t="s">
        <v>25</v>
      </c>
      <c r="F491" s="4" t="s">
        <v>25</v>
      </c>
      <c r="G491" s="4" t="s">
        <v>25</v>
      </c>
      <c r="H491" s="4" t="s">
        <v>36</v>
      </c>
      <c r="I491" s="5">
        <v>44593</v>
      </c>
      <c r="J491" s="6">
        <v>0</v>
      </c>
      <c r="K491" s="6">
        <v>0</v>
      </c>
      <c r="L491" s="6">
        <v>3.5999999999999997E-2</v>
      </c>
      <c r="M491" s="6">
        <v>3.5999999999999997E-2</v>
      </c>
      <c r="N491" s="6">
        <v>3.5999999999999997E-2</v>
      </c>
      <c r="O491" s="6">
        <v>3.5999999999999997E-2</v>
      </c>
      <c r="P491" s="6">
        <v>0</v>
      </c>
      <c r="Q491" s="4" t="s">
        <v>26</v>
      </c>
      <c r="R491" s="4">
        <v>0</v>
      </c>
      <c r="S491" s="4" t="s">
        <v>295</v>
      </c>
      <c r="T491" s="4" t="s">
        <v>456</v>
      </c>
      <c r="U491" s="4">
        <v>0</v>
      </c>
      <c r="V491" s="4">
        <v>74</v>
      </c>
      <c r="W491" s="4">
        <v>47</v>
      </c>
    </row>
    <row r="492" spans="1:23" ht="11.25" customHeight="1" x14ac:dyDescent="0.3">
      <c r="A492" s="4" t="s">
        <v>21</v>
      </c>
      <c r="B492" s="4" t="s">
        <v>32</v>
      </c>
      <c r="C492" s="4" t="s">
        <v>38</v>
      </c>
      <c r="D492" s="4" t="s">
        <v>33</v>
      </c>
      <c r="E492" s="4" t="s">
        <v>25</v>
      </c>
      <c r="F492" s="4" t="s">
        <v>25</v>
      </c>
      <c r="G492" s="4" t="s">
        <v>25</v>
      </c>
      <c r="H492" s="4" t="s">
        <v>36</v>
      </c>
      <c r="I492" s="5">
        <v>44621</v>
      </c>
      <c r="J492" s="6">
        <v>0</v>
      </c>
      <c r="K492" s="6">
        <v>0</v>
      </c>
      <c r="L492" s="6">
        <v>4.3999999999999997E-2</v>
      </c>
      <c r="M492" s="6">
        <v>4.3999999999999997E-2</v>
      </c>
      <c r="N492" s="6">
        <v>4.3999999999999997E-2</v>
      </c>
      <c r="O492" s="6">
        <v>4.3999999999999997E-2</v>
      </c>
      <c r="P492" s="6">
        <v>0</v>
      </c>
      <c r="Q492" s="4" t="s">
        <v>26</v>
      </c>
      <c r="R492" s="4">
        <v>0</v>
      </c>
      <c r="S492" s="4" t="s">
        <v>296</v>
      </c>
      <c r="T492" s="4" t="s">
        <v>457</v>
      </c>
      <c r="U492" s="4">
        <v>0</v>
      </c>
      <c r="V492" s="4">
        <v>74</v>
      </c>
      <c r="W492" s="4">
        <v>47</v>
      </c>
    </row>
    <row r="493" spans="1:23" ht="11.25" customHeight="1" x14ac:dyDescent="0.3">
      <c r="A493" s="4" t="s">
        <v>21</v>
      </c>
      <c r="B493" s="4" t="s">
        <v>32</v>
      </c>
      <c r="C493" s="4" t="s">
        <v>38</v>
      </c>
      <c r="D493" s="4" t="s">
        <v>33</v>
      </c>
      <c r="E493" s="4" t="s">
        <v>25</v>
      </c>
      <c r="F493" s="4" t="s">
        <v>25</v>
      </c>
      <c r="G493" s="4" t="s">
        <v>25</v>
      </c>
      <c r="H493" s="4" t="s">
        <v>36</v>
      </c>
      <c r="I493" s="5">
        <v>44652</v>
      </c>
      <c r="J493" s="6">
        <v>0</v>
      </c>
      <c r="K493" s="6">
        <v>0</v>
      </c>
      <c r="L493" s="6">
        <v>5.2999999999999999E-2</v>
      </c>
      <c r="M493" s="6">
        <v>5.2999999999999999E-2</v>
      </c>
      <c r="N493" s="6">
        <v>5.2999999999999999E-2</v>
      </c>
      <c r="O493" s="6">
        <v>5.2999999999999999E-2</v>
      </c>
      <c r="P493" s="6">
        <v>0</v>
      </c>
      <c r="Q493" s="4" t="s">
        <v>26</v>
      </c>
      <c r="R493" s="4">
        <v>0</v>
      </c>
      <c r="S493" s="4" t="s">
        <v>297</v>
      </c>
      <c r="T493" s="4" t="s">
        <v>458</v>
      </c>
      <c r="U493" s="4">
        <v>0</v>
      </c>
      <c r="V493" s="4">
        <v>74</v>
      </c>
      <c r="W493" s="4">
        <v>47</v>
      </c>
    </row>
    <row r="494" spans="1:23" ht="11.25" customHeight="1" x14ac:dyDescent="0.3">
      <c r="A494" s="4" t="s">
        <v>21</v>
      </c>
      <c r="B494" s="4" t="s">
        <v>32</v>
      </c>
      <c r="C494" s="4" t="s">
        <v>38</v>
      </c>
      <c r="D494" s="4" t="s">
        <v>33</v>
      </c>
      <c r="E494" s="4" t="s">
        <v>25</v>
      </c>
      <c r="F494" s="4" t="s">
        <v>25</v>
      </c>
      <c r="G494" s="4" t="s">
        <v>25</v>
      </c>
      <c r="H494" s="4" t="s">
        <v>36</v>
      </c>
      <c r="I494" s="5">
        <v>44682</v>
      </c>
      <c r="J494" s="6">
        <v>0</v>
      </c>
      <c r="K494" s="6">
        <v>0</v>
      </c>
      <c r="L494" s="6">
        <v>0.04</v>
      </c>
      <c r="M494" s="6">
        <v>0.04</v>
      </c>
      <c r="N494" s="6">
        <v>0.04</v>
      </c>
      <c r="O494" s="6">
        <v>0.04</v>
      </c>
      <c r="P494" s="6">
        <v>0</v>
      </c>
      <c r="Q494" s="4" t="s">
        <v>26</v>
      </c>
      <c r="R494" s="4">
        <v>0</v>
      </c>
      <c r="S494" s="4" t="s">
        <v>298</v>
      </c>
      <c r="T494" s="4" t="s">
        <v>459</v>
      </c>
      <c r="U494" s="4">
        <v>0</v>
      </c>
      <c r="V494" s="4">
        <v>74</v>
      </c>
      <c r="W494" s="4">
        <v>47</v>
      </c>
    </row>
    <row r="495" spans="1:23" ht="11.25" customHeight="1" x14ac:dyDescent="0.3">
      <c r="A495" s="4" t="s">
        <v>21</v>
      </c>
      <c r="B495" s="4" t="s">
        <v>32</v>
      </c>
      <c r="C495" s="4" t="s">
        <v>38</v>
      </c>
      <c r="D495" s="4" t="s">
        <v>33</v>
      </c>
      <c r="E495" s="4" t="s">
        <v>25</v>
      </c>
      <c r="F495" s="4" t="s">
        <v>25</v>
      </c>
      <c r="G495" s="4" t="s">
        <v>25</v>
      </c>
      <c r="H495" s="4" t="s">
        <v>36</v>
      </c>
      <c r="I495" s="5">
        <v>44713</v>
      </c>
      <c r="J495" s="6">
        <v>0</v>
      </c>
      <c r="K495" s="6">
        <v>0</v>
      </c>
      <c r="L495" s="6">
        <v>9.1999999999999998E-2</v>
      </c>
      <c r="M495" s="6">
        <v>9.1999999999999998E-2</v>
      </c>
      <c r="N495" s="6">
        <v>9.1999999999999998E-2</v>
      </c>
      <c r="O495" s="6">
        <v>9.1999999999999998E-2</v>
      </c>
      <c r="P495" s="6">
        <v>0</v>
      </c>
      <c r="Q495" s="4" t="s">
        <v>26</v>
      </c>
      <c r="R495" s="4">
        <v>0</v>
      </c>
      <c r="S495" s="4" t="s">
        <v>299</v>
      </c>
      <c r="T495" s="4" t="s">
        <v>460</v>
      </c>
      <c r="U495" s="4">
        <v>0</v>
      </c>
      <c r="V495" s="4">
        <v>74</v>
      </c>
      <c r="W495" s="4">
        <v>47</v>
      </c>
    </row>
    <row r="496" spans="1:23" ht="11.25" customHeight="1" x14ac:dyDescent="0.3">
      <c r="A496" s="4" t="s">
        <v>21</v>
      </c>
      <c r="B496" s="4" t="s">
        <v>32</v>
      </c>
      <c r="C496" s="4" t="s">
        <v>38</v>
      </c>
      <c r="D496" s="4" t="s">
        <v>33</v>
      </c>
      <c r="E496" s="4" t="s">
        <v>25</v>
      </c>
      <c r="F496" s="4" t="s">
        <v>25</v>
      </c>
      <c r="G496" s="4" t="s">
        <v>25</v>
      </c>
      <c r="H496" s="4" t="s">
        <v>36</v>
      </c>
      <c r="I496" s="5">
        <v>44743</v>
      </c>
      <c r="J496" s="6">
        <v>0</v>
      </c>
      <c r="K496" s="6">
        <v>0</v>
      </c>
      <c r="L496" s="6">
        <v>5.5E-2</v>
      </c>
      <c r="M496" s="6">
        <v>5.5E-2</v>
      </c>
      <c r="N496" s="6">
        <v>5.5E-2</v>
      </c>
      <c r="O496" s="6">
        <v>5.5E-2</v>
      </c>
      <c r="P496" s="6">
        <v>0</v>
      </c>
      <c r="Q496" s="4" t="s">
        <v>26</v>
      </c>
      <c r="R496" s="4">
        <v>0</v>
      </c>
      <c r="S496" s="4" t="s">
        <v>300</v>
      </c>
      <c r="T496" s="4" t="s">
        <v>461</v>
      </c>
      <c r="U496" s="4">
        <v>0</v>
      </c>
      <c r="V496" s="4">
        <v>74</v>
      </c>
      <c r="W496" s="4">
        <v>47</v>
      </c>
    </row>
    <row r="497" spans="1:23" ht="11.25" customHeight="1" x14ac:dyDescent="0.3">
      <c r="A497" s="4" t="s">
        <v>21</v>
      </c>
      <c r="B497" s="4" t="s">
        <v>32</v>
      </c>
      <c r="C497" s="4" t="s">
        <v>23</v>
      </c>
      <c r="D497" s="4" t="s">
        <v>40</v>
      </c>
      <c r="E497" s="4" t="s">
        <v>25</v>
      </c>
      <c r="F497" s="4" t="s">
        <v>25</v>
      </c>
      <c r="G497" s="4" t="s">
        <v>25</v>
      </c>
      <c r="H497" s="4" t="s">
        <v>25</v>
      </c>
      <c r="I497" s="5">
        <v>44409</v>
      </c>
      <c r="J497" s="6">
        <v>0</v>
      </c>
      <c r="K497" s="6">
        <v>0</v>
      </c>
      <c r="L497" s="6">
        <v>253.59399999999999</v>
      </c>
      <c r="M497" s="6">
        <v>253.59399999999999</v>
      </c>
      <c r="N497" s="6">
        <v>253.59399999999999</v>
      </c>
      <c r="O497" s="6">
        <v>253.59399999999999</v>
      </c>
      <c r="P497" s="6">
        <v>714</v>
      </c>
      <c r="Q497" s="4" t="s">
        <v>26</v>
      </c>
      <c r="R497" s="4">
        <v>0</v>
      </c>
      <c r="S497" s="4" t="s">
        <v>301</v>
      </c>
      <c r="T497" s="4" t="s">
        <v>462</v>
      </c>
      <c r="U497" s="4">
        <v>0</v>
      </c>
      <c r="V497" s="4">
        <v>77</v>
      </c>
      <c r="W497" s="4">
        <v>52</v>
      </c>
    </row>
    <row r="498" spans="1:23" ht="11.25" customHeight="1" x14ac:dyDescent="0.3">
      <c r="A498" s="4" t="s">
        <v>27</v>
      </c>
      <c r="B498" s="4" t="s">
        <v>32</v>
      </c>
      <c r="C498" s="4" t="s">
        <v>23</v>
      </c>
      <c r="D498" s="4" t="s">
        <v>40</v>
      </c>
      <c r="E498" s="4" t="s">
        <v>25</v>
      </c>
      <c r="F498" s="4" t="s">
        <v>25</v>
      </c>
      <c r="G498" s="4" t="s">
        <v>25</v>
      </c>
      <c r="H498" s="4" t="s">
        <v>25</v>
      </c>
      <c r="I498" s="5">
        <v>44409</v>
      </c>
      <c r="J498" s="6">
        <v>0</v>
      </c>
      <c r="K498" s="6">
        <v>0</v>
      </c>
      <c r="L498" s="6">
        <v>7.8559999999999999</v>
      </c>
      <c r="M498" s="6">
        <v>7.8559999999999999</v>
      </c>
      <c r="N498" s="6">
        <v>7.8559999999999999</v>
      </c>
      <c r="O498" s="6">
        <v>7.8559999999999999</v>
      </c>
      <c r="P498" s="6">
        <v>23</v>
      </c>
      <c r="Q498" s="4" t="s">
        <v>26</v>
      </c>
      <c r="R498" s="4">
        <v>0</v>
      </c>
      <c r="S498" s="4" t="s">
        <v>301</v>
      </c>
      <c r="T498" s="4" t="s">
        <v>462</v>
      </c>
      <c r="U498" s="4">
        <v>0</v>
      </c>
      <c r="V498" s="4">
        <v>77</v>
      </c>
      <c r="W498" s="4">
        <v>52</v>
      </c>
    </row>
    <row r="499" spans="1:23" ht="11.25" customHeight="1" x14ac:dyDescent="0.3">
      <c r="A499" s="4" t="s">
        <v>21</v>
      </c>
      <c r="B499" s="4" t="s">
        <v>32</v>
      </c>
      <c r="C499" s="4" t="s">
        <v>23</v>
      </c>
      <c r="D499" s="4" t="s">
        <v>40</v>
      </c>
      <c r="E499" s="4" t="s">
        <v>25</v>
      </c>
      <c r="F499" s="4" t="s">
        <v>25</v>
      </c>
      <c r="G499" s="4" t="s">
        <v>25</v>
      </c>
      <c r="H499" s="4" t="s">
        <v>25</v>
      </c>
      <c r="I499" s="5">
        <v>44440</v>
      </c>
      <c r="J499" s="6">
        <v>0</v>
      </c>
      <c r="K499" s="6">
        <v>0</v>
      </c>
      <c r="L499" s="6">
        <v>273.43200000000002</v>
      </c>
      <c r="M499" s="6">
        <v>273.43200000000002</v>
      </c>
      <c r="N499" s="6">
        <v>273.43200000000002</v>
      </c>
      <c r="O499" s="6">
        <v>273.43200000000002</v>
      </c>
      <c r="P499" s="6">
        <v>723</v>
      </c>
      <c r="Q499" s="4" t="s">
        <v>26</v>
      </c>
      <c r="R499" s="4">
        <v>0</v>
      </c>
      <c r="S499" s="4" t="s">
        <v>302</v>
      </c>
      <c r="T499" s="4" t="s">
        <v>463</v>
      </c>
      <c r="U499" s="4">
        <v>0</v>
      </c>
      <c r="V499" s="4">
        <v>77</v>
      </c>
      <c r="W499" s="4">
        <v>52</v>
      </c>
    </row>
    <row r="500" spans="1:23" ht="11.25" customHeight="1" x14ac:dyDescent="0.3">
      <c r="A500" s="4" t="s">
        <v>27</v>
      </c>
      <c r="B500" s="4" t="s">
        <v>32</v>
      </c>
      <c r="C500" s="4" t="s">
        <v>23</v>
      </c>
      <c r="D500" s="4" t="s">
        <v>40</v>
      </c>
      <c r="E500" s="4" t="s">
        <v>25</v>
      </c>
      <c r="F500" s="4" t="s">
        <v>25</v>
      </c>
      <c r="G500" s="4" t="s">
        <v>25</v>
      </c>
      <c r="H500" s="4" t="s">
        <v>25</v>
      </c>
      <c r="I500" s="5">
        <v>44440</v>
      </c>
      <c r="J500" s="6">
        <v>0</v>
      </c>
      <c r="K500" s="6">
        <v>0</v>
      </c>
      <c r="L500" s="6">
        <v>10.975</v>
      </c>
      <c r="M500" s="6">
        <v>10.975</v>
      </c>
      <c r="N500" s="6">
        <v>10.975</v>
      </c>
      <c r="O500" s="6">
        <v>10.975</v>
      </c>
      <c r="P500" s="6">
        <v>24</v>
      </c>
      <c r="Q500" s="4" t="s">
        <v>26</v>
      </c>
      <c r="R500" s="4">
        <v>0</v>
      </c>
      <c r="S500" s="4" t="s">
        <v>302</v>
      </c>
      <c r="T500" s="4" t="s">
        <v>463</v>
      </c>
      <c r="U500" s="4">
        <v>0</v>
      </c>
      <c r="V500" s="4">
        <v>77</v>
      </c>
      <c r="W500" s="4">
        <v>52</v>
      </c>
    </row>
    <row r="501" spans="1:23" ht="11.25" customHeight="1" x14ac:dyDescent="0.3">
      <c r="A501" s="4" t="s">
        <v>21</v>
      </c>
      <c r="B501" s="4" t="s">
        <v>32</v>
      </c>
      <c r="C501" s="4" t="s">
        <v>23</v>
      </c>
      <c r="D501" s="4" t="s">
        <v>40</v>
      </c>
      <c r="E501" s="4" t="s">
        <v>25</v>
      </c>
      <c r="F501" s="4" t="s">
        <v>25</v>
      </c>
      <c r="G501" s="4" t="s">
        <v>25</v>
      </c>
      <c r="H501" s="4" t="s">
        <v>25</v>
      </c>
      <c r="I501" s="5">
        <v>44470</v>
      </c>
      <c r="J501" s="6">
        <v>0</v>
      </c>
      <c r="K501" s="6">
        <v>0</v>
      </c>
      <c r="L501" s="6">
        <v>256.66800000000001</v>
      </c>
      <c r="M501" s="6">
        <v>256.66800000000001</v>
      </c>
      <c r="N501" s="6">
        <v>256.66800000000001</v>
      </c>
      <c r="O501" s="6">
        <v>256.66800000000001</v>
      </c>
      <c r="P501" s="6">
        <v>725</v>
      </c>
      <c r="Q501" s="4" t="s">
        <v>26</v>
      </c>
      <c r="R501" s="4">
        <v>0</v>
      </c>
      <c r="S501" s="4" t="s">
        <v>303</v>
      </c>
      <c r="T501" s="4" t="s">
        <v>464</v>
      </c>
      <c r="U501" s="4">
        <v>0</v>
      </c>
      <c r="V501" s="4">
        <v>77</v>
      </c>
      <c r="W501" s="4">
        <v>52</v>
      </c>
    </row>
    <row r="502" spans="1:23" ht="11.25" customHeight="1" x14ac:dyDescent="0.3">
      <c r="A502" s="4" t="s">
        <v>27</v>
      </c>
      <c r="B502" s="4" t="s">
        <v>32</v>
      </c>
      <c r="C502" s="4" t="s">
        <v>23</v>
      </c>
      <c r="D502" s="4" t="s">
        <v>40</v>
      </c>
      <c r="E502" s="4" t="s">
        <v>25</v>
      </c>
      <c r="F502" s="4" t="s">
        <v>25</v>
      </c>
      <c r="G502" s="4" t="s">
        <v>25</v>
      </c>
      <c r="H502" s="4" t="s">
        <v>25</v>
      </c>
      <c r="I502" s="5">
        <v>44470</v>
      </c>
      <c r="J502" s="6">
        <v>0</v>
      </c>
      <c r="K502" s="6">
        <v>0</v>
      </c>
      <c r="L502" s="6">
        <v>12.308</v>
      </c>
      <c r="M502" s="6">
        <v>12.308</v>
      </c>
      <c r="N502" s="6">
        <v>12.308</v>
      </c>
      <c r="O502" s="6">
        <v>12.308</v>
      </c>
      <c r="P502" s="6">
        <v>25</v>
      </c>
      <c r="Q502" s="4" t="s">
        <v>26</v>
      </c>
      <c r="R502" s="4">
        <v>0</v>
      </c>
      <c r="S502" s="4" t="s">
        <v>303</v>
      </c>
      <c r="T502" s="4" t="s">
        <v>464</v>
      </c>
      <c r="U502" s="4">
        <v>0</v>
      </c>
      <c r="V502" s="4">
        <v>77</v>
      </c>
      <c r="W502" s="4">
        <v>52</v>
      </c>
    </row>
    <row r="503" spans="1:23" ht="11.25" customHeight="1" x14ac:dyDescent="0.3">
      <c r="A503" s="4" t="s">
        <v>21</v>
      </c>
      <c r="B503" s="4" t="s">
        <v>32</v>
      </c>
      <c r="C503" s="4" t="s">
        <v>23</v>
      </c>
      <c r="D503" s="4" t="s">
        <v>40</v>
      </c>
      <c r="E503" s="4" t="s">
        <v>25</v>
      </c>
      <c r="F503" s="4" t="s">
        <v>25</v>
      </c>
      <c r="G503" s="4" t="s">
        <v>25</v>
      </c>
      <c r="H503" s="4" t="s">
        <v>25</v>
      </c>
      <c r="I503" s="5">
        <v>44501</v>
      </c>
      <c r="J503" s="6">
        <v>0</v>
      </c>
      <c r="K503" s="6">
        <v>0</v>
      </c>
      <c r="L503" s="6">
        <v>260.02</v>
      </c>
      <c r="M503" s="6">
        <v>260.02</v>
      </c>
      <c r="N503" s="6">
        <v>260.02</v>
      </c>
      <c r="O503" s="6">
        <v>260.02</v>
      </c>
      <c r="P503" s="6">
        <v>721</v>
      </c>
      <c r="Q503" s="4" t="s">
        <v>26</v>
      </c>
      <c r="R503" s="4">
        <v>0</v>
      </c>
      <c r="S503" s="4" t="s">
        <v>304</v>
      </c>
      <c r="T503" s="4" t="s">
        <v>465</v>
      </c>
      <c r="U503" s="4">
        <v>0</v>
      </c>
      <c r="V503" s="4">
        <v>77</v>
      </c>
      <c r="W503" s="4">
        <v>52</v>
      </c>
    </row>
    <row r="504" spans="1:23" ht="11.25" customHeight="1" x14ac:dyDescent="0.3">
      <c r="A504" s="4" t="s">
        <v>27</v>
      </c>
      <c r="B504" s="4" t="s">
        <v>32</v>
      </c>
      <c r="C504" s="4" t="s">
        <v>23</v>
      </c>
      <c r="D504" s="4" t="s">
        <v>40</v>
      </c>
      <c r="E504" s="4" t="s">
        <v>25</v>
      </c>
      <c r="F504" s="4" t="s">
        <v>25</v>
      </c>
      <c r="G504" s="4" t="s">
        <v>25</v>
      </c>
      <c r="H504" s="4" t="s">
        <v>25</v>
      </c>
      <c r="I504" s="5">
        <v>44501</v>
      </c>
      <c r="J504" s="6">
        <v>0</v>
      </c>
      <c r="K504" s="6">
        <v>0</v>
      </c>
      <c r="L504" s="6">
        <v>10.545999999999999</v>
      </c>
      <c r="M504" s="6">
        <v>10.545999999999999</v>
      </c>
      <c r="N504" s="6">
        <v>10.545999999999999</v>
      </c>
      <c r="O504" s="6">
        <v>10.545999999999999</v>
      </c>
      <c r="P504" s="6">
        <v>25</v>
      </c>
      <c r="Q504" s="4" t="s">
        <v>26</v>
      </c>
      <c r="R504" s="4">
        <v>0</v>
      </c>
      <c r="S504" s="4" t="s">
        <v>304</v>
      </c>
      <c r="T504" s="4" t="s">
        <v>465</v>
      </c>
      <c r="U504" s="4">
        <v>0</v>
      </c>
      <c r="V504" s="4">
        <v>77</v>
      </c>
      <c r="W504" s="4">
        <v>52</v>
      </c>
    </row>
    <row r="505" spans="1:23" ht="11.25" customHeight="1" x14ac:dyDescent="0.3">
      <c r="A505" s="4" t="s">
        <v>21</v>
      </c>
      <c r="B505" s="4" t="s">
        <v>32</v>
      </c>
      <c r="C505" s="4" t="s">
        <v>23</v>
      </c>
      <c r="D505" s="4" t="s">
        <v>40</v>
      </c>
      <c r="E505" s="4" t="s">
        <v>25</v>
      </c>
      <c r="F505" s="4" t="s">
        <v>25</v>
      </c>
      <c r="G505" s="4" t="s">
        <v>25</v>
      </c>
      <c r="H505" s="4" t="s">
        <v>25</v>
      </c>
      <c r="I505" s="5">
        <v>44531</v>
      </c>
      <c r="J505" s="6">
        <v>0</v>
      </c>
      <c r="K505" s="6">
        <v>0</v>
      </c>
      <c r="L505" s="6">
        <v>310.25799999999998</v>
      </c>
      <c r="M505" s="6">
        <v>310.25799999999998</v>
      </c>
      <c r="N505" s="6">
        <v>310.25799999999998</v>
      </c>
      <c r="O505" s="6">
        <v>310.25799999999998</v>
      </c>
      <c r="P505" s="6">
        <v>721</v>
      </c>
      <c r="Q505" s="4" t="s">
        <v>26</v>
      </c>
      <c r="R505" s="4">
        <v>0</v>
      </c>
      <c r="S505" s="4" t="s">
        <v>305</v>
      </c>
      <c r="T505" s="4" t="s">
        <v>466</v>
      </c>
      <c r="U505" s="4">
        <v>0</v>
      </c>
      <c r="V505" s="4">
        <v>77</v>
      </c>
      <c r="W505" s="4">
        <v>52</v>
      </c>
    </row>
    <row r="506" spans="1:23" ht="11.25" customHeight="1" x14ac:dyDescent="0.3">
      <c r="A506" s="4" t="s">
        <v>27</v>
      </c>
      <c r="B506" s="4" t="s">
        <v>32</v>
      </c>
      <c r="C506" s="4" t="s">
        <v>23</v>
      </c>
      <c r="D506" s="4" t="s">
        <v>40</v>
      </c>
      <c r="E506" s="4" t="s">
        <v>25</v>
      </c>
      <c r="F506" s="4" t="s">
        <v>25</v>
      </c>
      <c r="G506" s="4" t="s">
        <v>25</v>
      </c>
      <c r="H506" s="4" t="s">
        <v>25</v>
      </c>
      <c r="I506" s="5">
        <v>44531</v>
      </c>
      <c r="J506" s="6">
        <v>0</v>
      </c>
      <c r="K506" s="6">
        <v>0</v>
      </c>
      <c r="L506" s="6">
        <v>11.718999999999999</v>
      </c>
      <c r="M506" s="6">
        <v>11.718999999999999</v>
      </c>
      <c r="N506" s="6">
        <v>11.718999999999999</v>
      </c>
      <c r="O506" s="6">
        <v>11.718999999999999</v>
      </c>
      <c r="P506" s="6">
        <v>25</v>
      </c>
      <c r="Q506" s="4" t="s">
        <v>26</v>
      </c>
      <c r="R506" s="4">
        <v>0</v>
      </c>
      <c r="S506" s="4" t="s">
        <v>305</v>
      </c>
      <c r="T506" s="4" t="s">
        <v>466</v>
      </c>
      <c r="U506" s="4">
        <v>0</v>
      </c>
      <c r="V506" s="4">
        <v>77</v>
      </c>
      <c r="W506" s="4">
        <v>52</v>
      </c>
    </row>
    <row r="507" spans="1:23" ht="11.25" customHeight="1" x14ac:dyDescent="0.3">
      <c r="A507" s="4" t="s">
        <v>21</v>
      </c>
      <c r="B507" s="4" t="s">
        <v>32</v>
      </c>
      <c r="C507" s="4" t="s">
        <v>23</v>
      </c>
      <c r="D507" s="4" t="s">
        <v>40</v>
      </c>
      <c r="E507" s="4" t="s">
        <v>25</v>
      </c>
      <c r="F507" s="4" t="s">
        <v>25</v>
      </c>
      <c r="G507" s="4" t="s">
        <v>25</v>
      </c>
      <c r="H507" s="4" t="s">
        <v>25</v>
      </c>
      <c r="I507" s="5">
        <v>44562</v>
      </c>
      <c r="J507" s="6">
        <v>0</v>
      </c>
      <c r="K507" s="6">
        <v>0</v>
      </c>
      <c r="L507" s="6">
        <v>333.21699999999998</v>
      </c>
      <c r="M507" s="6">
        <v>333.21699999999998</v>
      </c>
      <c r="N507" s="6">
        <v>333.21699999999998</v>
      </c>
      <c r="O507" s="6">
        <v>333.21699999999998</v>
      </c>
      <c r="P507" s="6">
        <v>723</v>
      </c>
      <c r="Q507" s="4" t="s">
        <v>26</v>
      </c>
      <c r="R507" s="4">
        <v>0</v>
      </c>
      <c r="S507" s="4" t="s">
        <v>306</v>
      </c>
      <c r="T507" s="4" t="s">
        <v>467</v>
      </c>
      <c r="U507" s="4">
        <v>0</v>
      </c>
      <c r="V507" s="4">
        <v>77</v>
      </c>
      <c r="W507" s="4">
        <v>52</v>
      </c>
    </row>
    <row r="508" spans="1:23" ht="11.25" customHeight="1" x14ac:dyDescent="0.3">
      <c r="A508" s="4" t="s">
        <v>27</v>
      </c>
      <c r="B508" s="4" t="s">
        <v>32</v>
      </c>
      <c r="C508" s="4" t="s">
        <v>23</v>
      </c>
      <c r="D508" s="4" t="s">
        <v>40</v>
      </c>
      <c r="E508" s="4" t="s">
        <v>25</v>
      </c>
      <c r="F508" s="4" t="s">
        <v>25</v>
      </c>
      <c r="G508" s="4" t="s">
        <v>25</v>
      </c>
      <c r="H508" s="4" t="s">
        <v>25</v>
      </c>
      <c r="I508" s="5">
        <v>44562</v>
      </c>
      <c r="J508" s="6">
        <v>0</v>
      </c>
      <c r="K508" s="6">
        <v>0</v>
      </c>
      <c r="L508" s="6">
        <v>13.016</v>
      </c>
      <c r="M508" s="6">
        <v>13.016</v>
      </c>
      <c r="N508" s="6">
        <v>13.016</v>
      </c>
      <c r="O508" s="6">
        <v>13.016</v>
      </c>
      <c r="P508" s="6">
        <v>25</v>
      </c>
      <c r="Q508" s="4" t="s">
        <v>26</v>
      </c>
      <c r="R508" s="4">
        <v>0</v>
      </c>
      <c r="S508" s="4" t="s">
        <v>306</v>
      </c>
      <c r="T508" s="4" t="s">
        <v>467</v>
      </c>
      <c r="U508" s="4">
        <v>0</v>
      </c>
      <c r="V508" s="4">
        <v>77</v>
      </c>
      <c r="W508" s="4">
        <v>52</v>
      </c>
    </row>
    <row r="509" spans="1:23" ht="11.25" customHeight="1" x14ac:dyDescent="0.3">
      <c r="A509" s="4" t="s">
        <v>21</v>
      </c>
      <c r="B509" s="4" t="s">
        <v>32</v>
      </c>
      <c r="C509" s="4" t="s">
        <v>23</v>
      </c>
      <c r="D509" s="4" t="s">
        <v>40</v>
      </c>
      <c r="E509" s="4" t="s">
        <v>25</v>
      </c>
      <c r="F509" s="4" t="s">
        <v>25</v>
      </c>
      <c r="G509" s="4" t="s">
        <v>25</v>
      </c>
      <c r="H509" s="4" t="s">
        <v>25</v>
      </c>
      <c r="I509" s="5">
        <v>44593</v>
      </c>
      <c r="J509" s="6">
        <v>0</v>
      </c>
      <c r="K509" s="6">
        <v>0</v>
      </c>
      <c r="L509" s="6">
        <v>391.59899999999999</v>
      </c>
      <c r="M509" s="6">
        <v>391.59899999999999</v>
      </c>
      <c r="N509" s="6">
        <v>391.59899999999999</v>
      </c>
      <c r="O509" s="6">
        <v>391.59899999999999</v>
      </c>
      <c r="P509" s="6">
        <v>720</v>
      </c>
      <c r="Q509" s="4" t="s">
        <v>26</v>
      </c>
      <c r="R509" s="4">
        <v>0</v>
      </c>
      <c r="S509" s="4" t="s">
        <v>307</v>
      </c>
      <c r="T509" s="4" t="s">
        <v>468</v>
      </c>
      <c r="U509" s="4">
        <v>0</v>
      </c>
      <c r="V509" s="4">
        <v>77</v>
      </c>
      <c r="W509" s="4">
        <v>52</v>
      </c>
    </row>
    <row r="510" spans="1:23" ht="11.25" customHeight="1" x14ac:dyDescent="0.3">
      <c r="A510" s="4" t="s">
        <v>27</v>
      </c>
      <c r="B510" s="4" t="s">
        <v>32</v>
      </c>
      <c r="C510" s="4" t="s">
        <v>23</v>
      </c>
      <c r="D510" s="4" t="s">
        <v>40</v>
      </c>
      <c r="E510" s="4" t="s">
        <v>25</v>
      </c>
      <c r="F510" s="4" t="s">
        <v>25</v>
      </c>
      <c r="G510" s="4" t="s">
        <v>25</v>
      </c>
      <c r="H510" s="4" t="s">
        <v>25</v>
      </c>
      <c r="I510" s="5">
        <v>44593</v>
      </c>
      <c r="J510" s="6">
        <v>0</v>
      </c>
      <c r="K510" s="6">
        <v>0</v>
      </c>
      <c r="L510" s="6">
        <v>12.395</v>
      </c>
      <c r="M510" s="6">
        <v>12.395</v>
      </c>
      <c r="N510" s="6">
        <v>12.395</v>
      </c>
      <c r="O510" s="6">
        <v>12.395</v>
      </c>
      <c r="P510" s="6">
        <v>25</v>
      </c>
      <c r="Q510" s="4" t="s">
        <v>26</v>
      </c>
      <c r="R510" s="4">
        <v>0</v>
      </c>
      <c r="S510" s="4" t="s">
        <v>307</v>
      </c>
      <c r="T510" s="4" t="s">
        <v>468</v>
      </c>
      <c r="U510" s="4">
        <v>0</v>
      </c>
      <c r="V510" s="4">
        <v>77</v>
      </c>
      <c r="W510" s="4">
        <v>52</v>
      </c>
    </row>
    <row r="511" spans="1:23" ht="11.25" customHeight="1" x14ac:dyDescent="0.3">
      <c r="A511" s="4" t="s">
        <v>21</v>
      </c>
      <c r="B511" s="4" t="s">
        <v>32</v>
      </c>
      <c r="C511" s="4" t="s">
        <v>23</v>
      </c>
      <c r="D511" s="4" t="s">
        <v>40</v>
      </c>
      <c r="E511" s="4" t="s">
        <v>25</v>
      </c>
      <c r="F511" s="4" t="s">
        <v>25</v>
      </c>
      <c r="G511" s="4" t="s">
        <v>25</v>
      </c>
      <c r="H511" s="4" t="s">
        <v>25</v>
      </c>
      <c r="I511" s="5">
        <v>44621</v>
      </c>
      <c r="J511" s="6">
        <v>0</v>
      </c>
      <c r="K511" s="6">
        <v>0</v>
      </c>
      <c r="L511" s="6">
        <v>368.37599999999998</v>
      </c>
      <c r="M511" s="6">
        <v>368.37599999999998</v>
      </c>
      <c r="N511" s="6">
        <v>368.37599999999998</v>
      </c>
      <c r="O511" s="6">
        <v>368.37599999999998</v>
      </c>
      <c r="P511" s="6">
        <v>723</v>
      </c>
      <c r="Q511" s="4" t="s">
        <v>26</v>
      </c>
      <c r="R511" s="4">
        <v>0</v>
      </c>
      <c r="S511" s="4" t="s">
        <v>308</v>
      </c>
      <c r="T511" s="4" t="s">
        <v>469</v>
      </c>
      <c r="U511" s="4">
        <v>0</v>
      </c>
      <c r="V511" s="4">
        <v>77</v>
      </c>
      <c r="W511" s="4">
        <v>52</v>
      </c>
    </row>
    <row r="512" spans="1:23" ht="11.25" customHeight="1" x14ac:dyDescent="0.3">
      <c r="A512" s="4" t="s">
        <v>27</v>
      </c>
      <c r="B512" s="4" t="s">
        <v>32</v>
      </c>
      <c r="C512" s="4" t="s">
        <v>23</v>
      </c>
      <c r="D512" s="4" t="s">
        <v>40</v>
      </c>
      <c r="E512" s="4" t="s">
        <v>25</v>
      </c>
      <c r="F512" s="4" t="s">
        <v>25</v>
      </c>
      <c r="G512" s="4" t="s">
        <v>25</v>
      </c>
      <c r="H512" s="4" t="s">
        <v>25</v>
      </c>
      <c r="I512" s="5">
        <v>44621</v>
      </c>
      <c r="J512" s="6">
        <v>0</v>
      </c>
      <c r="K512" s="6">
        <v>0</v>
      </c>
      <c r="L512" s="6">
        <v>11.8</v>
      </c>
      <c r="M512" s="6">
        <v>11.8</v>
      </c>
      <c r="N512" s="6">
        <v>11.8</v>
      </c>
      <c r="O512" s="6">
        <v>11.8</v>
      </c>
      <c r="P512" s="6">
        <v>25</v>
      </c>
      <c r="Q512" s="4" t="s">
        <v>26</v>
      </c>
      <c r="R512" s="4">
        <v>0</v>
      </c>
      <c r="S512" s="4" t="s">
        <v>308</v>
      </c>
      <c r="T512" s="4" t="s">
        <v>469</v>
      </c>
      <c r="U512" s="4">
        <v>0</v>
      </c>
      <c r="V512" s="4">
        <v>77</v>
      </c>
      <c r="W512" s="4">
        <v>52</v>
      </c>
    </row>
    <row r="513" spans="1:23" ht="11.25" customHeight="1" x14ac:dyDescent="0.3">
      <c r="A513" s="4" t="s">
        <v>21</v>
      </c>
      <c r="B513" s="4" t="s">
        <v>32</v>
      </c>
      <c r="C513" s="4" t="s">
        <v>23</v>
      </c>
      <c r="D513" s="4" t="s">
        <v>40</v>
      </c>
      <c r="E513" s="4" t="s">
        <v>25</v>
      </c>
      <c r="F513" s="4" t="s">
        <v>25</v>
      </c>
      <c r="G513" s="4" t="s">
        <v>25</v>
      </c>
      <c r="H513" s="4" t="s">
        <v>25</v>
      </c>
      <c r="I513" s="5">
        <v>44652</v>
      </c>
      <c r="J513" s="6">
        <v>0</v>
      </c>
      <c r="K513" s="6">
        <v>0</v>
      </c>
      <c r="L513" s="6">
        <v>326.64400000000001</v>
      </c>
      <c r="M513" s="6">
        <v>326.64400000000001</v>
      </c>
      <c r="N513" s="6">
        <v>326.64400000000001</v>
      </c>
      <c r="O513" s="6">
        <v>326.64400000000001</v>
      </c>
      <c r="P513" s="6">
        <v>719</v>
      </c>
      <c r="Q513" s="4" t="s">
        <v>26</v>
      </c>
      <c r="R513" s="4">
        <v>0</v>
      </c>
      <c r="S513" s="4" t="s">
        <v>309</v>
      </c>
      <c r="T513" s="4" t="s">
        <v>470</v>
      </c>
      <c r="U513" s="4">
        <v>0</v>
      </c>
      <c r="V513" s="4">
        <v>77</v>
      </c>
      <c r="W513" s="4">
        <v>52</v>
      </c>
    </row>
    <row r="514" spans="1:23" ht="11.25" customHeight="1" x14ac:dyDescent="0.3">
      <c r="A514" s="4" t="s">
        <v>27</v>
      </c>
      <c r="B514" s="4" t="s">
        <v>32</v>
      </c>
      <c r="C514" s="4" t="s">
        <v>23</v>
      </c>
      <c r="D514" s="4" t="s">
        <v>40</v>
      </c>
      <c r="E514" s="4" t="s">
        <v>25</v>
      </c>
      <c r="F514" s="4" t="s">
        <v>25</v>
      </c>
      <c r="G514" s="4" t="s">
        <v>25</v>
      </c>
      <c r="H514" s="4" t="s">
        <v>25</v>
      </c>
      <c r="I514" s="5">
        <v>44652</v>
      </c>
      <c r="J514" s="6">
        <v>0</v>
      </c>
      <c r="K514" s="6">
        <v>0</v>
      </c>
      <c r="L514" s="6">
        <v>17.266999999999999</v>
      </c>
      <c r="M514" s="6">
        <v>17.266999999999999</v>
      </c>
      <c r="N514" s="6">
        <v>17.266999999999999</v>
      </c>
      <c r="O514" s="6">
        <v>17.266999999999999</v>
      </c>
      <c r="P514" s="6">
        <v>27</v>
      </c>
      <c r="Q514" s="4" t="s">
        <v>26</v>
      </c>
      <c r="R514" s="4">
        <v>0</v>
      </c>
      <c r="S514" s="4" t="s">
        <v>309</v>
      </c>
      <c r="T514" s="4" t="s">
        <v>470</v>
      </c>
      <c r="U514" s="4">
        <v>0</v>
      </c>
      <c r="V514" s="4">
        <v>77</v>
      </c>
      <c r="W514" s="4">
        <v>52</v>
      </c>
    </row>
    <row r="515" spans="1:23" ht="11.25" customHeight="1" x14ac:dyDescent="0.3">
      <c r="A515" s="4" t="s">
        <v>21</v>
      </c>
      <c r="B515" s="4" t="s">
        <v>32</v>
      </c>
      <c r="C515" s="4" t="s">
        <v>23</v>
      </c>
      <c r="D515" s="4" t="s">
        <v>40</v>
      </c>
      <c r="E515" s="4" t="s">
        <v>25</v>
      </c>
      <c r="F515" s="4" t="s">
        <v>25</v>
      </c>
      <c r="G515" s="4" t="s">
        <v>25</v>
      </c>
      <c r="H515" s="4" t="s">
        <v>25</v>
      </c>
      <c r="I515" s="5">
        <v>44682</v>
      </c>
      <c r="J515" s="6">
        <v>0</v>
      </c>
      <c r="K515" s="6">
        <v>0</v>
      </c>
      <c r="L515" s="6">
        <v>256.05</v>
      </c>
      <c r="M515" s="6">
        <v>256.05</v>
      </c>
      <c r="N515" s="6">
        <v>256.05</v>
      </c>
      <c r="O515" s="6">
        <v>256.05</v>
      </c>
      <c r="P515" s="6">
        <v>725</v>
      </c>
      <c r="Q515" s="4" t="s">
        <v>26</v>
      </c>
      <c r="R515" s="4">
        <v>0</v>
      </c>
      <c r="S515" s="4" t="s">
        <v>310</v>
      </c>
      <c r="T515" s="4" t="s">
        <v>471</v>
      </c>
      <c r="U515" s="4">
        <v>0</v>
      </c>
      <c r="V515" s="4">
        <v>77</v>
      </c>
      <c r="W515" s="4">
        <v>52</v>
      </c>
    </row>
    <row r="516" spans="1:23" ht="11.25" customHeight="1" x14ac:dyDescent="0.3">
      <c r="A516" s="4" t="s">
        <v>27</v>
      </c>
      <c r="B516" s="4" t="s">
        <v>32</v>
      </c>
      <c r="C516" s="4" t="s">
        <v>23</v>
      </c>
      <c r="D516" s="4" t="s">
        <v>40</v>
      </c>
      <c r="E516" s="4" t="s">
        <v>25</v>
      </c>
      <c r="F516" s="4" t="s">
        <v>25</v>
      </c>
      <c r="G516" s="4" t="s">
        <v>25</v>
      </c>
      <c r="H516" s="4" t="s">
        <v>25</v>
      </c>
      <c r="I516" s="5">
        <v>44682</v>
      </c>
      <c r="J516" s="6">
        <v>0</v>
      </c>
      <c r="K516" s="6">
        <v>0</v>
      </c>
      <c r="L516" s="6">
        <v>11.25</v>
      </c>
      <c r="M516" s="6">
        <v>11.25</v>
      </c>
      <c r="N516" s="6">
        <v>11.25</v>
      </c>
      <c r="O516" s="6">
        <v>11.25</v>
      </c>
      <c r="P516" s="6">
        <v>27</v>
      </c>
      <c r="Q516" s="4" t="s">
        <v>26</v>
      </c>
      <c r="R516" s="4">
        <v>0</v>
      </c>
      <c r="S516" s="4" t="s">
        <v>310</v>
      </c>
      <c r="T516" s="4" t="s">
        <v>471</v>
      </c>
      <c r="U516" s="4">
        <v>0</v>
      </c>
      <c r="V516" s="4">
        <v>77</v>
      </c>
      <c r="W516" s="4">
        <v>52</v>
      </c>
    </row>
    <row r="517" spans="1:23" ht="11.25" customHeight="1" x14ac:dyDescent="0.3">
      <c r="A517" s="4" t="s">
        <v>21</v>
      </c>
      <c r="B517" s="4" t="s">
        <v>32</v>
      </c>
      <c r="C517" s="4" t="s">
        <v>23</v>
      </c>
      <c r="D517" s="4" t="s">
        <v>40</v>
      </c>
      <c r="E517" s="4" t="s">
        <v>25</v>
      </c>
      <c r="F517" s="4" t="s">
        <v>25</v>
      </c>
      <c r="G517" s="4" t="s">
        <v>25</v>
      </c>
      <c r="H517" s="4" t="s">
        <v>25</v>
      </c>
      <c r="I517" s="5">
        <v>44713</v>
      </c>
      <c r="J517" s="6">
        <v>0</v>
      </c>
      <c r="K517" s="6">
        <v>0</v>
      </c>
      <c r="L517" s="6">
        <v>258.20400000000001</v>
      </c>
      <c r="M517" s="6">
        <v>258.20400000000001</v>
      </c>
      <c r="N517" s="6">
        <v>258.20400000000001</v>
      </c>
      <c r="O517" s="6">
        <v>258.20400000000001</v>
      </c>
      <c r="P517" s="6">
        <v>720</v>
      </c>
      <c r="Q517" s="4" t="s">
        <v>26</v>
      </c>
      <c r="R517" s="4">
        <v>0</v>
      </c>
      <c r="S517" s="4" t="s">
        <v>311</v>
      </c>
      <c r="T517" s="4" t="s">
        <v>472</v>
      </c>
      <c r="U517" s="4">
        <v>0</v>
      </c>
      <c r="V517" s="4">
        <v>77</v>
      </c>
      <c r="W517" s="4">
        <v>52</v>
      </c>
    </row>
    <row r="518" spans="1:23" ht="11.25" customHeight="1" x14ac:dyDescent="0.3">
      <c r="A518" s="4" t="s">
        <v>27</v>
      </c>
      <c r="B518" s="4" t="s">
        <v>32</v>
      </c>
      <c r="C518" s="4" t="s">
        <v>23</v>
      </c>
      <c r="D518" s="4" t="s">
        <v>40</v>
      </c>
      <c r="E518" s="4" t="s">
        <v>25</v>
      </c>
      <c r="F518" s="4" t="s">
        <v>25</v>
      </c>
      <c r="G518" s="4" t="s">
        <v>25</v>
      </c>
      <c r="H518" s="4" t="s">
        <v>25</v>
      </c>
      <c r="I518" s="5">
        <v>44713</v>
      </c>
      <c r="J518" s="6">
        <v>0</v>
      </c>
      <c r="K518" s="6">
        <v>0</v>
      </c>
      <c r="L518" s="6">
        <v>16.280999999999999</v>
      </c>
      <c r="M518" s="6">
        <v>16.280999999999999</v>
      </c>
      <c r="N518" s="6">
        <v>16.280999999999999</v>
      </c>
      <c r="O518" s="6">
        <v>16.280999999999999</v>
      </c>
      <c r="P518" s="6">
        <v>27</v>
      </c>
      <c r="Q518" s="4" t="s">
        <v>26</v>
      </c>
      <c r="R518" s="4">
        <v>0</v>
      </c>
      <c r="S518" s="4" t="s">
        <v>311</v>
      </c>
      <c r="T518" s="4" t="s">
        <v>472</v>
      </c>
      <c r="U518" s="4">
        <v>0</v>
      </c>
      <c r="V518" s="4">
        <v>77</v>
      </c>
      <c r="W518" s="4">
        <v>52</v>
      </c>
    </row>
    <row r="519" spans="1:23" ht="11.25" customHeight="1" x14ac:dyDescent="0.3">
      <c r="A519" s="4" t="s">
        <v>21</v>
      </c>
      <c r="B519" s="4" t="s">
        <v>32</v>
      </c>
      <c r="C519" s="4" t="s">
        <v>23</v>
      </c>
      <c r="D519" s="4" t="s">
        <v>40</v>
      </c>
      <c r="E519" s="4" t="s">
        <v>25</v>
      </c>
      <c r="F519" s="4" t="s">
        <v>25</v>
      </c>
      <c r="G519" s="4" t="s">
        <v>25</v>
      </c>
      <c r="H519" s="4" t="s">
        <v>25</v>
      </c>
      <c r="I519" s="5">
        <v>44743</v>
      </c>
      <c r="J519" s="6">
        <v>0</v>
      </c>
      <c r="K519" s="6">
        <v>0</v>
      </c>
      <c r="L519" s="6">
        <v>244.58199999999999</v>
      </c>
      <c r="M519" s="6">
        <v>244.58199999999999</v>
      </c>
      <c r="N519" s="6">
        <v>244.58199999999999</v>
      </c>
      <c r="O519" s="6">
        <v>244.58199999999999</v>
      </c>
      <c r="P519" s="6">
        <v>727</v>
      </c>
      <c r="Q519" s="4" t="s">
        <v>26</v>
      </c>
      <c r="R519" s="4">
        <v>0</v>
      </c>
      <c r="S519" s="4" t="s">
        <v>312</v>
      </c>
      <c r="T519" s="4" t="s">
        <v>473</v>
      </c>
      <c r="U519" s="4">
        <v>0</v>
      </c>
      <c r="V519" s="4">
        <v>77</v>
      </c>
      <c r="W519" s="4">
        <v>52</v>
      </c>
    </row>
    <row r="520" spans="1:23" ht="11.25" customHeight="1" x14ac:dyDescent="0.3">
      <c r="A520" s="4" t="s">
        <v>27</v>
      </c>
      <c r="B520" s="4" t="s">
        <v>32</v>
      </c>
      <c r="C520" s="4" t="s">
        <v>23</v>
      </c>
      <c r="D520" s="4" t="s">
        <v>40</v>
      </c>
      <c r="E520" s="4" t="s">
        <v>25</v>
      </c>
      <c r="F520" s="4" t="s">
        <v>25</v>
      </c>
      <c r="G520" s="4" t="s">
        <v>25</v>
      </c>
      <c r="H520" s="4" t="s">
        <v>25</v>
      </c>
      <c r="I520" s="5">
        <v>44743</v>
      </c>
      <c r="J520" s="6">
        <v>0</v>
      </c>
      <c r="K520" s="6">
        <v>0</v>
      </c>
      <c r="L520" s="6">
        <v>16.545000000000002</v>
      </c>
      <c r="M520" s="6">
        <v>16.545000000000002</v>
      </c>
      <c r="N520" s="6">
        <v>16.545000000000002</v>
      </c>
      <c r="O520" s="6">
        <v>16.545000000000002</v>
      </c>
      <c r="P520" s="6">
        <v>27</v>
      </c>
      <c r="Q520" s="4" t="s">
        <v>26</v>
      </c>
      <c r="R520" s="4">
        <v>0</v>
      </c>
      <c r="S520" s="4" t="s">
        <v>312</v>
      </c>
      <c r="T520" s="4" t="s">
        <v>473</v>
      </c>
      <c r="U520" s="4">
        <v>0</v>
      </c>
      <c r="V520" s="4">
        <v>77</v>
      </c>
      <c r="W520" s="4">
        <v>52</v>
      </c>
    </row>
    <row r="521" spans="1:23" ht="11.25" customHeight="1" x14ac:dyDescent="0.3">
      <c r="A521" s="4" t="s">
        <v>21</v>
      </c>
      <c r="B521" s="4" t="s">
        <v>32</v>
      </c>
      <c r="C521" s="4" t="s">
        <v>23</v>
      </c>
      <c r="D521" s="4" t="s">
        <v>49</v>
      </c>
      <c r="E521" s="4" t="s">
        <v>25</v>
      </c>
      <c r="F521" s="4" t="s">
        <v>25</v>
      </c>
      <c r="G521" s="4" t="s">
        <v>25</v>
      </c>
      <c r="H521" s="4" t="s">
        <v>25</v>
      </c>
      <c r="I521" s="5">
        <v>44409</v>
      </c>
      <c r="J521" s="6">
        <v>0</v>
      </c>
      <c r="K521" s="6">
        <v>0</v>
      </c>
      <c r="L521" s="6">
        <v>2.41</v>
      </c>
      <c r="M521" s="6">
        <v>2.41</v>
      </c>
      <c r="N521" s="6">
        <v>2.41</v>
      </c>
      <c r="O521" s="6">
        <v>2.41</v>
      </c>
      <c r="P521" s="6">
        <v>2</v>
      </c>
      <c r="Q521" s="4" t="s">
        <v>26</v>
      </c>
      <c r="R521" s="4">
        <v>0</v>
      </c>
      <c r="S521" s="4" t="s">
        <v>301</v>
      </c>
      <c r="T521" s="4" t="s">
        <v>462</v>
      </c>
      <c r="U521" s="4">
        <v>0</v>
      </c>
      <c r="V521" s="4">
        <v>77</v>
      </c>
      <c r="W521" s="4">
        <v>52</v>
      </c>
    </row>
    <row r="522" spans="1:23" ht="11.25" customHeight="1" x14ac:dyDescent="0.3">
      <c r="A522" s="4" t="s">
        <v>21</v>
      </c>
      <c r="B522" s="4" t="s">
        <v>32</v>
      </c>
      <c r="C522" s="4" t="s">
        <v>23</v>
      </c>
      <c r="D522" s="4" t="s">
        <v>49</v>
      </c>
      <c r="E522" s="4" t="s">
        <v>25</v>
      </c>
      <c r="F522" s="4" t="s">
        <v>25</v>
      </c>
      <c r="G522" s="4" t="s">
        <v>25</v>
      </c>
      <c r="H522" s="4" t="s">
        <v>25</v>
      </c>
      <c r="I522" s="5">
        <v>44440</v>
      </c>
      <c r="J522" s="6">
        <v>0</v>
      </c>
      <c r="K522" s="6">
        <v>0</v>
      </c>
      <c r="L522" s="6">
        <v>2.89</v>
      </c>
      <c r="M522" s="6">
        <v>2.89</v>
      </c>
      <c r="N522" s="6">
        <v>2.89</v>
      </c>
      <c r="O522" s="6">
        <v>2.89</v>
      </c>
      <c r="P522" s="6">
        <v>2</v>
      </c>
      <c r="Q522" s="4" t="s">
        <v>26</v>
      </c>
      <c r="R522" s="4">
        <v>0</v>
      </c>
      <c r="S522" s="4" t="s">
        <v>302</v>
      </c>
      <c r="T522" s="4" t="s">
        <v>463</v>
      </c>
      <c r="U522" s="4">
        <v>0</v>
      </c>
      <c r="V522" s="4">
        <v>77</v>
      </c>
      <c r="W522" s="4">
        <v>52</v>
      </c>
    </row>
    <row r="523" spans="1:23" ht="11.25" customHeight="1" x14ac:dyDescent="0.3">
      <c r="A523" s="4" t="s">
        <v>21</v>
      </c>
      <c r="B523" s="4" t="s">
        <v>32</v>
      </c>
      <c r="C523" s="4" t="s">
        <v>23</v>
      </c>
      <c r="D523" s="4" t="s">
        <v>49</v>
      </c>
      <c r="E523" s="4" t="s">
        <v>25</v>
      </c>
      <c r="F523" s="4" t="s">
        <v>25</v>
      </c>
      <c r="G523" s="4" t="s">
        <v>25</v>
      </c>
      <c r="H523" s="4" t="s">
        <v>25</v>
      </c>
      <c r="I523" s="5">
        <v>44470</v>
      </c>
      <c r="J523" s="6">
        <v>0</v>
      </c>
      <c r="K523" s="6">
        <v>0</v>
      </c>
      <c r="L523" s="6">
        <v>2.83</v>
      </c>
      <c r="M523" s="6">
        <v>2.83</v>
      </c>
      <c r="N523" s="6">
        <v>2.83</v>
      </c>
      <c r="O523" s="6">
        <v>2.83</v>
      </c>
      <c r="P523" s="6">
        <v>2</v>
      </c>
      <c r="Q523" s="4" t="s">
        <v>26</v>
      </c>
      <c r="R523" s="4">
        <v>0</v>
      </c>
      <c r="S523" s="4" t="s">
        <v>303</v>
      </c>
      <c r="T523" s="4" t="s">
        <v>464</v>
      </c>
      <c r="U523" s="4">
        <v>0</v>
      </c>
      <c r="V523" s="4">
        <v>77</v>
      </c>
      <c r="W523" s="4">
        <v>52</v>
      </c>
    </row>
    <row r="524" spans="1:23" ht="11.25" customHeight="1" x14ac:dyDescent="0.3">
      <c r="A524" s="4" t="s">
        <v>21</v>
      </c>
      <c r="B524" s="4" t="s">
        <v>32</v>
      </c>
      <c r="C524" s="4" t="s">
        <v>23</v>
      </c>
      <c r="D524" s="4" t="s">
        <v>49</v>
      </c>
      <c r="E524" s="4" t="s">
        <v>25</v>
      </c>
      <c r="F524" s="4" t="s">
        <v>25</v>
      </c>
      <c r="G524" s="4" t="s">
        <v>25</v>
      </c>
      <c r="H524" s="4" t="s">
        <v>25</v>
      </c>
      <c r="I524" s="5">
        <v>44501</v>
      </c>
      <c r="J524" s="6">
        <v>0</v>
      </c>
      <c r="K524" s="6">
        <v>0</v>
      </c>
      <c r="L524" s="6">
        <v>3.46</v>
      </c>
      <c r="M524" s="6">
        <v>3.46</v>
      </c>
      <c r="N524" s="6">
        <v>3.46</v>
      </c>
      <c r="O524" s="6">
        <v>3.46</v>
      </c>
      <c r="P524" s="6">
        <v>2</v>
      </c>
      <c r="Q524" s="4" t="s">
        <v>26</v>
      </c>
      <c r="R524" s="4">
        <v>0</v>
      </c>
      <c r="S524" s="4" t="s">
        <v>304</v>
      </c>
      <c r="T524" s="4" t="s">
        <v>465</v>
      </c>
      <c r="U524" s="4">
        <v>0</v>
      </c>
      <c r="V524" s="4">
        <v>77</v>
      </c>
      <c r="W524" s="4">
        <v>52</v>
      </c>
    </row>
    <row r="525" spans="1:23" ht="11.25" customHeight="1" x14ac:dyDescent="0.3">
      <c r="A525" s="4" t="s">
        <v>21</v>
      </c>
      <c r="B525" s="4" t="s">
        <v>32</v>
      </c>
      <c r="C525" s="4" t="s">
        <v>23</v>
      </c>
      <c r="D525" s="4" t="s">
        <v>49</v>
      </c>
      <c r="E525" s="4" t="s">
        <v>25</v>
      </c>
      <c r="F525" s="4" t="s">
        <v>25</v>
      </c>
      <c r="G525" s="4" t="s">
        <v>25</v>
      </c>
      <c r="H525" s="4" t="s">
        <v>25</v>
      </c>
      <c r="I525" s="5">
        <v>44531</v>
      </c>
      <c r="J525" s="6">
        <v>0</v>
      </c>
      <c r="K525" s="6">
        <v>0</v>
      </c>
      <c r="L525" s="6">
        <v>4.12</v>
      </c>
      <c r="M525" s="6">
        <v>4.12</v>
      </c>
      <c r="N525" s="6">
        <v>4.12</v>
      </c>
      <c r="O525" s="6">
        <v>4.12</v>
      </c>
      <c r="P525" s="6">
        <v>2</v>
      </c>
      <c r="Q525" s="4" t="s">
        <v>26</v>
      </c>
      <c r="R525" s="4">
        <v>0</v>
      </c>
      <c r="S525" s="4" t="s">
        <v>305</v>
      </c>
      <c r="T525" s="4" t="s">
        <v>466</v>
      </c>
      <c r="U525" s="4">
        <v>0</v>
      </c>
      <c r="V525" s="4">
        <v>77</v>
      </c>
      <c r="W525" s="4">
        <v>52</v>
      </c>
    </row>
    <row r="526" spans="1:23" ht="11.25" customHeight="1" x14ac:dyDescent="0.3">
      <c r="A526" s="4" t="s">
        <v>21</v>
      </c>
      <c r="B526" s="4" t="s">
        <v>32</v>
      </c>
      <c r="C526" s="4" t="s">
        <v>23</v>
      </c>
      <c r="D526" s="4" t="s">
        <v>49</v>
      </c>
      <c r="E526" s="4" t="s">
        <v>25</v>
      </c>
      <c r="F526" s="4" t="s">
        <v>25</v>
      </c>
      <c r="G526" s="4" t="s">
        <v>25</v>
      </c>
      <c r="H526" s="4" t="s">
        <v>25</v>
      </c>
      <c r="I526" s="5">
        <v>44562</v>
      </c>
      <c r="J526" s="6">
        <v>0</v>
      </c>
      <c r="K526" s="6">
        <v>0</v>
      </c>
      <c r="L526" s="6">
        <v>4.63</v>
      </c>
      <c r="M526" s="6">
        <v>4.63</v>
      </c>
      <c r="N526" s="6">
        <v>4.63</v>
      </c>
      <c r="O526" s="6">
        <v>4.63</v>
      </c>
      <c r="P526" s="6">
        <v>2</v>
      </c>
      <c r="Q526" s="4" t="s">
        <v>26</v>
      </c>
      <c r="R526" s="4">
        <v>0</v>
      </c>
      <c r="S526" s="4" t="s">
        <v>306</v>
      </c>
      <c r="T526" s="4" t="s">
        <v>467</v>
      </c>
      <c r="U526" s="4">
        <v>0</v>
      </c>
      <c r="V526" s="4">
        <v>77</v>
      </c>
      <c r="W526" s="4">
        <v>52</v>
      </c>
    </row>
    <row r="527" spans="1:23" ht="11.25" customHeight="1" x14ac:dyDescent="0.3">
      <c r="A527" s="4" t="s">
        <v>21</v>
      </c>
      <c r="B527" s="4" t="s">
        <v>32</v>
      </c>
      <c r="C527" s="4" t="s">
        <v>23</v>
      </c>
      <c r="D527" s="4" t="s">
        <v>49</v>
      </c>
      <c r="E527" s="4" t="s">
        <v>25</v>
      </c>
      <c r="F527" s="4" t="s">
        <v>25</v>
      </c>
      <c r="G527" s="4" t="s">
        <v>25</v>
      </c>
      <c r="H527" s="4" t="s">
        <v>25</v>
      </c>
      <c r="I527" s="5">
        <v>44593</v>
      </c>
      <c r="J527" s="6">
        <v>0</v>
      </c>
      <c r="K527" s="6">
        <v>0</v>
      </c>
      <c r="L527" s="6">
        <v>6.49</v>
      </c>
      <c r="M527" s="6">
        <v>6.49</v>
      </c>
      <c r="N527" s="6">
        <v>6.49</v>
      </c>
      <c r="O527" s="6">
        <v>6.49</v>
      </c>
      <c r="P527" s="6">
        <v>2</v>
      </c>
      <c r="Q527" s="4" t="s">
        <v>26</v>
      </c>
      <c r="R527" s="4">
        <v>0</v>
      </c>
      <c r="S527" s="4" t="s">
        <v>307</v>
      </c>
      <c r="T527" s="4" t="s">
        <v>468</v>
      </c>
      <c r="U527" s="4">
        <v>0</v>
      </c>
      <c r="V527" s="4">
        <v>77</v>
      </c>
      <c r="W527" s="4">
        <v>52</v>
      </c>
    </row>
    <row r="528" spans="1:23" ht="11.25" customHeight="1" x14ac:dyDescent="0.3">
      <c r="A528" s="4" t="s">
        <v>21</v>
      </c>
      <c r="B528" s="4" t="s">
        <v>32</v>
      </c>
      <c r="C528" s="4" t="s">
        <v>23</v>
      </c>
      <c r="D528" s="4" t="s">
        <v>49</v>
      </c>
      <c r="E528" s="4" t="s">
        <v>25</v>
      </c>
      <c r="F528" s="4" t="s">
        <v>25</v>
      </c>
      <c r="G528" s="4" t="s">
        <v>25</v>
      </c>
      <c r="H528" s="4" t="s">
        <v>25</v>
      </c>
      <c r="I528" s="5">
        <v>44621</v>
      </c>
      <c r="J528" s="6">
        <v>0</v>
      </c>
      <c r="K528" s="6">
        <v>0</v>
      </c>
      <c r="L528" s="6">
        <v>5.14</v>
      </c>
      <c r="M528" s="6">
        <v>5.14</v>
      </c>
      <c r="N528" s="6">
        <v>5.14</v>
      </c>
      <c r="O528" s="6">
        <v>5.14</v>
      </c>
      <c r="P528" s="6">
        <v>2</v>
      </c>
      <c r="Q528" s="4" t="s">
        <v>26</v>
      </c>
      <c r="R528" s="4">
        <v>0</v>
      </c>
      <c r="S528" s="4" t="s">
        <v>308</v>
      </c>
      <c r="T528" s="4" t="s">
        <v>469</v>
      </c>
      <c r="U528" s="4">
        <v>0</v>
      </c>
      <c r="V528" s="4">
        <v>77</v>
      </c>
      <c r="W528" s="4">
        <v>52</v>
      </c>
    </row>
    <row r="529" spans="1:23" ht="11.25" customHeight="1" x14ac:dyDescent="0.3">
      <c r="A529" s="4" t="s">
        <v>21</v>
      </c>
      <c r="B529" s="4" t="s">
        <v>32</v>
      </c>
      <c r="C529" s="4" t="s">
        <v>23</v>
      </c>
      <c r="D529" s="4" t="s">
        <v>49</v>
      </c>
      <c r="E529" s="4" t="s">
        <v>25</v>
      </c>
      <c r="F529" s="4" t="s">
        <v>25</v>
      </c>
      <c r="G529" s="4" t="s">
        <v>25</v>
      </c>
      <c r="H529" s="4" t="s">
        <v>25</v>
      </c>
      <c r="I529" s="5">
        <v>44652</v>
      </c>
      <c r="J529" s="6">
        <v>0</v>
      </c>
      <c r="K529" s="6">
        <v>0</v>
      </c>
      <c r="L529" s="6">
        <v>4.57</v>
      </c>
      <c r="M529" s="6">
        <v>4.57</v>
      </c>
      <c r="N529" s="6">
        <v>4.57</v>
      </c>
      <c r="O529" s="6">
        <v>4.57</v>
      </c>
      <c r="P529" s="6">
        <v>2</v>
      </c>
      <c r="Q529" s="4" t="s">
        <v>26</v>
      </c>
      <c r="R529" s="4">
        <v>0</v>
      </c>
      <c r="S529" s="4" t="s">
        <v>309</v>
      </c>
      <c r="T529" s="4" t="s">
        <v>470</v>
      </c>
      <c r="U529" s="4">
        <v>0</v>
      </c>
      <c r="V529" s="4">
        <v>77</v>
      </c>
      <c r="W529" s="4">
        <v>52</v>
      </c>
    </row>
    <row r="530" spans="1:23" ht="11.25" customHeight="1" x14ac:dyDescent="0.3">
      <c r="A530" s="4" t="s">
        <v>21</v>
      </c>
      <c r="B530" s="4" t="s">
        <v>32</v>
      </c>
      <c r="C530" s="4" t="s">
        <v>23</v>
      </c>
      <c r="D530" s="4" t="s">
        <v>49</v>
      </c>
      <c r="E530" s="4" t="s">
        <v>25</v>
      </c>
      <c r="F530" s="4" t="s">
        <v>25</v>
      </c>
      <c r="G530" s="4" t="s">
        <v>25</v>
      </c>
      <c r="H530" s="4" t="s">
        <v>25</v>
      </c>
      <c r="I530" s="5">
        <v>44682</v>
      </c>
      <c r="J530" s="6">
        <v>0</v>
      </c>
      <c r="K530" s="6">
        <v>0</v>
      </c>
      <c r="L530" s="6">
        <v>2.68</v>
      </c>
      <c r="M530" s="6">
        <v>2.68</v>
      </c>
      <c r="N530" s="6">
        <v>2.68</v>
      </c>
      <c r="O530" s="6">
        <v>2.68</v>
      </c>
      <c r="P530" s="6">
        <v>2</v>
      </c>
      <c r="Q530" s="4" t="s">
        <v>26</v>
      </c>
      <c r="R530" s="4">
        <v>0</v>
      </c>
      <c r="S530" s="4" t="s">
        <v>310</v>
      </c>
      <c r="T530" s="4" t="s">
        <v>471</v>
      </c>
      <c r="U530" s="4">
        <v>0</v>
      </c>
      <c r="V530" s="4">
        <v>77</v>
      </c>
      <c r="W530" s="4">
        <v>52</v>
      </c>
    </row>
    <row r="531" spans="1:23" ht="11.25" customHeight="1" x14ac:dyDescent="0.3">
      <c r="A531" s="4" t="s">
        <v>21</v>
      </c>
      <c r="B531" s="4" t="s">
        <v>32</v>
      </c>
      <c r="C531" s="4" t="s">
        <v>23</v>
      </c>
      <c r="D531" s="4" t="s">
        <v>49</v>
      </c>
      <c r="E531" s="4" t="s">
        <v>25</v>
      </c>
      <c r="F531" s="4" t="s">
        <v>25</v>
      </c>
      <c r="G531" s="4" t="s">
        <v>25</v>
      </c>
      <c r="H531" s="4" t="s">
        <v>25</v>
      </c>
      <c r="I531" s="5">
        <v>44713</v>
      </c>
      <c r="J531" s="6">
        <v>0</v>
      </c>
      <c r="K531" s="6">
        <v>0</v>
      </c>
      <c r="L531" s="6">
        <v>2.68</v>
      </c>
      <c r="M531" s="6">
        <v>2.68</v>
      </c>
      <c r="N531" s="6">
        <v>2.68</v>
      </c>
      <c r="O531" s="6">
        <v>2.68</v>
      </c>
      <c r="P531" s="6">
        <v>2</v>
      </c>
      <c r="Q531" s="4" t="s">
        <v>26</v>
      </c>
      <c r="R531" s="4">
        <v>0</v>
      </c>
      <c r="S531" s="4" t="s">
        <v>311</v>
      </c>
      <c r="T531" s="4" t="s">
        <v>472</v>
      </c>
      <c r="U531" s="4">
        <v>0</v>
      </c>
      <c r="V531" s="4">
        <v>77</v>
      </c>
      <c r="W531" s="4">
        <v>52</v>
      </c>
    </row>
    <row r="532" spans="1:23" ht="11.25" customHeight="1" x14ac:dyDescent="0.3">
      <c r="A532" s="4" t="s">
        <v>21</v>
      </c>
      <c r="B532" s="4" t="s">
        <v>32</v>
      </c>
      <c r="C532" s="4" t="s">
        <v>23</v>
      </c>
      <c r="D532" s="4" t="s">
        <v>49</v>
      </c>
      <c r="E532" s="4" t="s">
        <v>25</v>
      </c>
      <c r="F532" s="4" t="s">
        <v>25</v>
      </c>
      <c r="G532" s="4" t="s">
        <v>25</v>
      </c>
      <c r="H532" s="4" t="s">
        <v>25</v>
      </c>
      <c r="I532" s="5">
        <v>44743</v>
      </c>
      <c r="J532" s="6">
        <v>0</v>
      </c>
      <c r="K532" s="6">
        <v>0</v>
      </c>
      <c r="L532" s="6">
        <v>2.38</v>
      </c>
      <c r="M532" s="6">
        <v>2.38</v>
      </c>
      <c r="N532" s="6">
        <v>2.38</v>
      </c>
      <c r="O532" s="6">
        <v>2.38</v>
      </c>
      <c r="P532" s="6">
        <v>2</v>
      </c>
      <c r="Q532" s="4" t="s">
        <v>26</v>
      </c>
      <c r="R532" s="4">
        <v>0</v>
      </c>
      <c r="S532" s="4" t="s">
        <v>312</v>
      </c>
      <c r="T532" s="4" t="s">
        <v>473</v>
      </c>
      <c r="U532" s="4">
        <v>0</v>
      </c>
      <c r="V532" s="4">
        <v>77</v>
      </c>
      <c r="W532" s="4">
        <v>52</v>
      </c>
    </row>
    <row r="533" spans="1:23" ht="11.25" customHeight="1" x14ac:dyDescent="0.3">
      <c r="A533" s="4" t="s">
        <v>21</v>
      </c>
      <c r="B533" s="4" t="s">
        <v>32</v>
      </c>
      <c r="C533" s="4" t="s">
        <v>23</v>
      </c>
      <c r="D533" s="4" t="s">
        <v>33</v>
      </c>
      <c r="E533" s="4" t="s">
        <v>25</v>
      </c>
      <c r="F533" s="4" t="s">
        <v>25</v>
      </c>
      <c r="G533" s="4" t="s">
        <v>25</v>
      </c>
      <c r="H533" s="4" t="s">
        <v>25</v>
      </c>
      <c r="I533" s="5">
        <v>44409</v>
      </c>
      <c r="J533" s="6">
        <v>0</v>
      </c>
      <c r="K533" s="6">
        <v>0</v>
      </c>
      <c r="L533" s="6">
        <v>98.552999999999997</v>
      </c>
      <c r="M533" s="6">
        <v>98.552999999999997</v>
      </c>
      <c r="N533" s="6">
        <v>98.552999999999997</v>
      </c>
      <c r="O533" s="6">
        <v>98.552999999999997</v>
      </c>
      <c r="P533" s="6">
        <v>89</v>
      </c>
      <c r="Q533" s="4" t="s">
        <v>26</v>
      </c>
      <c r="R533" s="4">
        <v>0</v>
      </c>
      <c r="S533" s="4" t="s">
        <v>301</v>
      </c>
      <c r="T533" s="4" t="s">
        <v>462</v>
      </c>
      <c r="U533" s="4">
        <v>0</v>
      </c>
      <c r="V533" s="4">
        <v>77</v>
      </c>
      <c r="W533" s="4">
        <v>52</v>
      </c>
    </row>
    <row r="534" spans="1:23" ht="11.25" customHeight="1" x14ac:dyDescent="0.3">
      <c r="A534" s="4" t="s">
        <v>27</v>
      </c>
      <c r="B534" s="4" t="s">
        <v>32</v>
      </c>
      <c r="C534" s="4" t="s">
        <v>23</v>
      </c>
      <c r="D534" s="4" t="s">
        <v>33</v>
      </c>
      <c r="E534" s="4" t="s">
        <v>25</v>
      </c>
      <c r="F534" s="4" t="s">
        <v>25</v>
      </c>
      <c r="G534" s="4" t="s">
        <v>25</v>
      </c>
      <c r="H534" s="4" t="s">
        <v>25</v>
      </c>
      <c r="I534" s="5">
        <v>44409</v>
      </c>
      <c r="J534" s="6">
        <v>0</v>
      </c>
      <c r="K534" s="6">
        <v>0</v>
      </c>
      <c r="L534" s="6">
        <v>0.45500000000000002</v>
      </c>
      <c r="M534" s="6">
        <v>0.45500000000000002</v>
      </c>
      <c r="N534" s="6">
        <v>0.45500000000000002</v>
      </c>
      <c r="O534" s="6">
        <v>0.45500000000000002</v>
      </c>
      <c r="P534" s="6">
        <v>3</v>
      </c>
      <c r="Q534" s="4" t="s">
        <v>26</v>
      </c>
      <c r="R534" s="4">
        <v>0</v>
      </c>
      <c r="S534" s="4" t="s">
        <v>301</v>
      </c>
      <c r="T534" s="4" t="s">
        <v>462</v>
      </c>
      <c r="U534" s="4">
        <v>0</v>
      </c>
      <c r="V534" s="4">
        <v>77</v>
      </c>
      <c r="W534" s="4">
        <v>52</v>
      </c>
    </row>
    <row r="535" spans="1:23" ht="11.25" customHeight="1" x14ac:dyDescent="0.3">
      <c r="A535" s="4" t="s">
        <v>21</v>
      </c>
      <c r="B535" s="4" t="s">
        <v>32</v>
      </c>
      <c r="C535" s="4" t="s">
        <v>23</v>
      </c>
      <c r="D535" s="4" t="s">
        <v>33</v>
      </c>
      <c r="E535" s="4" t="s">
        <v>25</v>
      </c>
      <c r="F535" s="4" t="s">
        <v>25</v>
      </c>
      <c r="G535" s="4" t="s">
        <v>25</v>
      </c>
      <c r="H535" s="4" t="s">
        <v>25</v>
      </c>
      <c r="I535" s="5">
        <v>44440</v>
      </c>
      <c r="J535" s="6">
        <v>0</v>
      </c>
      <c r="K535" s="6">
        <v>0</v>
      </c>
      <c r="L535" s="6">
        <v>105.804</v>
      </c>
      <c r="M535" s="6">
        <v>105.804</v>
      </c>
      <c r="N535" s="6">
        <v>105.804</v>
      </c>
      <c r="O535" s="6">
        <v>105.804</v>
      </c>
      <c r="P535" s="6">
        <v>88</v>
      </c>
      <c r="Q535" s="4" t="s">
        <v>26</v>
      </c>
      <c r="R535" s="4">
        <v>0</v>
      </c>
      <c r="S535" s="4" t="s">
        <v>302</v>
      </c>
      <c r="T535" s="4" t="s">
        <v>463</v>
      </c>
      <c r="U535" s="4">
        <v>0</v>
      </c>
      <c r="V535" s="4">
        <v>77</v>
      </c>
      <c r="W535" s="4">
        <v>52</v>
      </c>
    </row>
    <row r="536" spans="1:23" ht="11.25" customHeight="1" x14ac:dyDescent="0.3">
      <c r="A536" s="4" t="s">
        <v>27</v>
      </c>
      <c r="B536" s="4" t="s">
        <v>32</v>
      </c>
      <c r="C536" s="4" t="s">
        <v>23</v>
      </c>
      <c r="D536" s="4" t="s">
        <v>33</v>
      </c>
      <c r="E536" s="4" t="s">
        <v>25</v>
      </c>
      <c r="F536" s="4" t="s">
        <v>25</v>
      </c>
      <c r="G536" s="4" t="s">
        <v>25</v>
      </c>
      <c r="H536" s="4" t="s">
        <v>25</v>
      </c>
      <c r="I536" s="5">
        <v>44440</v>
      </c>
      <c r="J536" s="6">
        <v>0</v>
      </c>
      <c r="K536" s="6">
        <v>0</v>
      </c>
      <c r="L536" s="6">
        <v>0.97899999999999998</v>
      </c>
      <c r="M536" s="6">
        <v>0.97899999999999998</v>
      </c>
      <c r="N536" s="6">
        <v>0.97899999999999998</v>
      </c>
      <c r="O536" s="6">
        <v>0.97899999999999998</v>
      </c>
      <c r="P536" s="6">
        <v>3</v>
      </c>
      <c r="Q536" s="4" t="s">
        <v>26</v>
      </c>
      <c r="R536" s="4">
        <v>0</v>
      </c>
      <c r="S536" s="4" t="s">
        <v>302</v>
      </c>
      <c r="T536" s="4" t="s">
        <v>463</v>
      </c>
      <c r="U536" s="4">
        <v>0</v>
      </c>
      <c r="V536" s="4">
        <v>77</v>
      </c>
      <c r="W536" s="4">
        <v>52</v>
      </c>
    </row>
    <row r="537" spans="1:23" ht="11.25" customHeight="1" x14ac:dyDescent="0.3">
      <c r="A537" s="4" t="s">
        <v>21</v>
      </c>
      <c r="B537" s="4" t="s">
        <v>32</v>
      </c>
      <c r="C537" s="4" t="s">
        <v>23</v>
      </c>
      <c r="D537" s="4" t="s">
        <v>33</v>
      </c>
      <c r="E537" s="4" t="s">
        <v>25</v>
      </c>
      <c r="F537" s="4" t="s">
        <v>25</v>
      </c>
      <c r="G537" s="4" t="s">
        <v>25</v>
      </c>
      <c r="H537" s="4" t="s">
        <v>25</v>
      </c>
      <c r="I537" s="5">
        <v>44470</v>
      </c>
      <c r="J537" s="6">
        <v>0</v>
      </c>
      <c r="K537" s="6">
        <v>0</v>
      </c>
      <c r="L537" s="6">
        <v>97.123999999999995</v>
      </c>
      <c r="M537" s="6">
        <v>97.123999999999995</v>
      </c>
      <c r="N537" s="6">
        <v>97.123999999999995</v>
      </c>
      <c r="O537" s="6">
        <v>97.123999999999995</v>
      </c>
      <c r="P537" s="6">
        <v>87</v>
      </c>
      <c r="Q537" s="4" t="s">
        <v>26</v>
      </c>
      <c r="R537" s="4">
        <v>0</v>
      </c>
      <c r="S537" s="4" t="s">
        <v>303</v>
      </c>
      <c r="T537" s="4" t="s">
        <v>464</v>
      </c>
      <c r="U537" s="4">
        <v>0</v>
      </c>
      <c r="V537" s="4">
        <v>77</v>
      </c>
      <c r="W537" s="4">
        <v>52</v>
      </c>
    </row>
    <row r="538" spans="1:23" ht="11.25" customHeight="1" x14ac:dyDescent="0.3">
      <c r="A538" s="4" t="s">
        <v>27</v>
      </c>
      <c r="B538" s="4" t="s">
        <v>32</v>
      </c>
      <c r="C538" s="4" t="s">
        <v>23</v>
      </c>
      <c r="D538" s="4" t="s">
        <v>33</v>
      </c>
      <c r="E538" s="4" t="s">
        <v>25</v>
      </c>
      <c r="F538" s="4" t="s">
        <v>25</v>
      </c>
      <c r="G538" s="4" t="s">
        <v>25</v>
      </c>
      <c r="H538" s="4" t="s">
        <v>25</v>
      </c>
      <c r="I538" s="5">
        <v>44470</v>
      </c>
      <c r="J538" s="6">
        <v>0</v>
      </c>
      <c r="K538" s="6">
        <v>0</v>
      </c>
      <c r="L538" s="6">
        <v>2.5230000000000001</v>
      </c>
      <c r="M538" s="6">
        <v>2.5230000000000001</v>
      </c>
      <c r="N538" s="6">
        <v>2.5230000000000001</v>
      </c>
      <c r="O538" s="6">
        <v>2.5230000000000001</v>
      </c>
      <c r="P538" s="6">
        <v>4</v>
      </c>
      <c r="Q538" s="4" t="s">
        <v>26</v>
      </c>
      <c r="R538" s="4">
        <v>0</v>
      </c>
      <c r="S538" s="4" t="s">
        <v>303</v>
      </c>
      <c r="T538" s="4" t="s">
        <v>464</v>
      </c>
      <c r="U538" s="4">
        <v>0</v>
      </c>
      <c r="V538" s="4">
        <v>77</v>
      </c>
      <c r="W538" s="4">
        <v>52</v>
      </c>
    </row>
    <row r="539" spans="1:23" ht="11.25" customHeight="1" x14ac:dyDescent="0.3">
      <c r="A539" s="4" t="s">
        <v>21</v>
      </c>
      <c r="B539" s="4" t="s">
        <v>32</v>
      </c>
      <c r="C539" s="4" t="s">
        <v>23</v>
      </c>
      <c r="D539" s="4" t="s">
        <v>33</v>
      </c>
      <c r="E539" s="4" t="s">
        <v>25</v>
      </c>
      <c r="F539" s="4" t="s">
        <v>25</v>
      </c>
      <c r="G539" s="4" t="s">
        <v>25</v>
      </c>
      <c r="H539" s="4" t="s">
        <v>25</v>
      </c>
      <c r="I539" s="5">
        <v>44501</v>
      </c>
      <c r="J539" s="6">
        <v>0</v>
      </c>
      <c r="K539" s="6">
        <v>0</v>
      </c>
      <c r="L539" s="6">
        <v>97.576999999999998</v>
      </c>
      <c r="M539" s="6">
        <v>97.576999999999998</v>
      </c>
      <c r="N539" s="6">
        <v>97.576999999999998</v>
      </c>
      <c r="O539" s="6">
        <v>97.576999999999998</v>
      </c>
      <c r="P539" s="6">
        <v>88</v>
      </c>
      <c r="Q539" s="4" t="s">
        <v>26</v>
      </c>
      <c r="R539" s="4">
        <v>0</v>
      </c>
      <c r="S539" s="4" t="s">
        <v>304</v>
      </c>
      <c r="T539" s="4" t="s">
        <v>465</v>
      </c>
      <c r="U539" s="4">
        <v>0</v>
      </c>
      <c r="V539" s="4">
        <v>77</v>
      </c>
      <c r="W539" s="4">
        <v>52</v>
      </c>
    </row>
    <row r="540" spans="1:23" ht="11.25" customHeight="1" x14ac:dyDescent="0.3">
      <c r="A540" s="4" t="s">
        <v>27</v>
      </c>
      <c r="B540" s="4" t="s">
        <v>32</v>
      </c>
      <c r="C540" s="4" t="s">
        <v>23</v>
      </c>
      <c r="D540" s="4" t="s">
        <v>33</v>
      </c>
      <c r="E540" s="4" t="s">
        <v>25</v>
      </c>
      <c r="F540" s="4" t="s">
        <v>25</v>
      </c>
      <c r="G540" s="4" t="s">
        <v>25</v>
      </c>
      <c r="H540" s="4" t="s">
        <v>25</v>
      </c>
      <c r="I540" s="5">
        <v>44501</v>
      </c>
      <c r="J540" s="6">
        <v>0</v>
      </c>
      <c r="K540" s="6">
        <v>0</v>
      </c>
      <c r="L540" s="6">
        <v>0.55400000000000005</v>
      </c>
      <c r="M540" s="6">
        <v>0.55400000000000005</v>
      </c>
      <c r="N540" s="6">
        <v>0.55400000000000005</v>
      </c>
      <c r="O540" s="6">
        <v>0.55400000000000005</v>
      </c>
      <c r="P540" s="6">
        <v>4</v>
      </c>
      <c r="Q540" s="4" t="s">
        <v>26</v>
      </c>
      <c r="R540" s="4">
        <v>0</v>
      </c>
      <c r="S540" s="4" t="s">
        <v>304</v>
      </c>
      <c r="T540" s="4" t="s">
        <v>465</v>
      </c>
      <c r="U540" s="4">
        <v>0</v>
      </c>
      <c r="V540" s="4">
        <v>77</v>
      </c>
      <c r="W540" s="4">
        <v>52</v>
      </c>
    </row>
    <row r="541" spans="1:23" ht="11.25" customHeight="1" x14ac:dyDescent="0.3">
      <c r="A541" s="4" t="s">
        <v>21</v>
      </c>
      <c r="B541" s="4" t="s">
        <v>32</v>
      </c>
      <c r="C541" s="4" t="s">
        <v>23</v>
      </c>
      <c r="D541" s="4" t="s">
        <v>33</v>
      </c>
      <c r="E541" s="4" t="s">
        <v>25</v>
      </c>
      <c r="F541" s="4" t="s">
        <v>25</v>
      </c>
      <c r="G541" s="4" t="s">
        <v>25</v>
      </c>
      <c r="H541" s="4" t="s">
        <v>25</v>
      </c>
      <c r="I541" s="5">
        <v>44531</v>
      </c>
      <c r="J541" s="6">
        <v>0</v>
      </c>
      <c r="K541" s="6">
        <v>0</v>
      </c>
      <c r="L541" s="6">
        <v>108.20099999999999</v>
      </c>
      <c r="M541" s="6">
        <v>108.20099999999999</v>
      </c>
      <c r="N541" s="6">
        <v>108.20099999999999</v>
      </c>
      <c r="O541" s="6">
        <v>108.20099999999999</v>
      </c>
      <c r="P541" s="6">
        <v>88</v>
      </c>
      <c r="Q541" s="4" t="s">
        <v>26</v>
      </c>
      <c r="R541" s="4">
        <v>0</v>
      </c>
      <c r="S541" s="4" t="s">
        <v>305</v>
      </c>
      <c r="T541" s="4" t="s">
        <v>466</v>
      </c>
      <c r="U541" s="4">
        <v>0</v>
      </c>
      <c r="V541" s="4">
        <v>77</v>
      </c>
      <c r="W541" s="4">
        <v>52</v>
      </c>
    </row>
    <row r="542" spans="1:23" ht="11.25" customHeight="1" x14ac:dyDescent="0.3">
      <c r="A542" s="4" t="s">
        <v>27</v>
      </c>
      <c r="B542" s="4" t="s">
        <v>32</v>
      </c>
      <c r="C542" s="4" t="s">
        <v>23</v>
      </c>
      <c r="D542" s="4" t="s">
        <v>33</v>
      </c>
      <c r="E542" s="4" t="s">
        <v>25</v>
      </c>
      <c r="F542" s="4" t="s">
        <v>25</v>
      </c>
      <c r="G542" s="4" t="s">
        <v>25</v>
      </c>
      <c r="H542" s="4" t="s">
        <v>25</v>
      </c>
      <c r="I542" s="5">
        <v>44531</v>
      </c>
      <c r="J542" s="6">
        <v>0</v>
      </c>
      <c r="K542" s="6">
        <v>0</v>
      </c>
      <c r="L542" s="6">
        <v>0.66600000000000004</v>
      </c>
      <c r="M542" s="6">
        <v>0.66600000000000004</v>
      </c>
      <c r="N542" s="6">
        <v>0.66600000000000004</v>
      </c>
      <c r="O542" s="6">
        <v>0.66600000000000004</v>
      </c>
      <c r="P542" s="6">
        <v>4</v>
      </c>
      <c r="Q542" s="4" t="s">
        <v>26</v>
      </c>
      <c r="R542" s="4">
        <v>0</v>
      </c>
      <c r="S542" s="4" t="s">
        <v>305</v>
      </c>
      <c r="T542" s="4" t="s">
        <v>466</v>
      </c>
      <c r="U542" s="4">
        <v>0</v>
      </c>
      <c r="V542" s="4">
        <v>77</v>
      </c>
      <c r="W542" s="4">
        <v>52</v>
      </c>
    </row>
    <row r="543" spans="1:23" ht="11.25" customHeight="1" x14ac:dyDescent="0.3">
      <c r="A543" s="4" t="s">
        <v>21</v>
      </c>
      <c r="B543" s="4" t="s">
        <v>32</v>
      </c>
      <c r="C543" s="4" t="s">
        <v>23</v>
      </c>
      <c r="D543" s="4" t="s">
        <v>33</v>
      </c>
      <c r="E543" s="4" t="s">
        <v>25</v>
      </c>
      <c r="F543" s="4" t="s">
        <v>25</v>
      </c>
      <c r="G543" s="4" t="s">
        <v>25</v>
      </c>
      <c r="H543" s="4" t="s">
        <v>25</v>
      </c>
      <c r="I543" s="5">
        <v>44562</v>
      </c>
      <c r="J543" s="6">
        <v>0</v>
      </c>
      <c r="K543" s="6">
        <v>0</v>
      </c>
      <c r="L543" s="6">
        <v>94.998000000000005</v>
      </c>
      <c r="M543" s="6">
        <v>94.998000000000005</v>
      </c>
      <c r="N543" s="6">
        <v>94.998000000000005</v>
      </c>
      <c r="O543" s="6">
        <v>94.998000000000005</v>
      </c>
      <c r="P543" s="6">
        <v>87</v>
      </c>
      <c r="Q543" s="4" t="s">
        <v>26</v>
      </c>
      <c r="R543" s="4">
        <v>0</v>
      </c>
      <c r="S543" s="4" t="s">
        <v>306</v>
      </c>
      <c r="T543" s="4" t="s">
        <v>467</v>
      </c>
      <c r="U543" s="4">
        <v>0</v>
      </c>
      <c r="V543" s="4">
        <v>77</v>
      </c>
      <c r="W543" s="4">
        <v>52</v>
      </c>
    </row>
    <row r="544" spans="1:23" ht="11.25" customHeight="1" x14ac:dyDescent="0.3">
      <c r="A544" s="4" t="s">
        <v>27</v>
      </c>
      <c r="B544" s="4" t="s">
        <v>32</v>
      </c>
      <c r="C544" s="4" t="s">
        <v>23</v>
      </c>
      <c r="D544" s="4" t="s">
        <v>33</v>
      </c>
      <c r="E544" s="4" t="s">
        <v>25</v>
      </c>
      <c r="F544" s="4" t="s">
        <v>25</v>
      </c>
      <c r="G544" s="4" t="s">
        <v>25</v>
      </c>
      <c r="H544" s="4" t="s">
        <v>25</v>
      </c>
      <c r="I544" s="5">
        <v>44562</v>
      </c>
      <c r="J544" s="6">
        <v>0</v>
      </c>
      <c r="K544" s="6">
        <v>0</v>
      </c>
      <c r="L544" s="6">
        <v>0.4</v>
      </c>
      <c r="M544" s="6">
        <v>0.4</v>
      </c>
      <c r="N544" s="6">
        <v>0.4</v>
      </c>
      <c r="O544" s="6">
        <v>0.4</v>
      </c>
      <c r="P544" s="6">
        <v>4</v>
      </c>
      <c r="Q544" s="4" t="s">
        <v>26</v>
      </c>
      <c r="R544" s="4">
        <v>0</v>
      </c>
      <c r="S544" s="4" t="s">
        <v>306</v>
      </c>
      <c r="T544" s="4" t="s">
        <v>467</v>
      </c>
      <c r="U544" s="4">
        <v>0</v>
      </c>
      <c r="V544" s="4">
        <v>77</v>
      </c>
      <c r="W544" s="4">
        <v>52</v>
      </c>
    </row>
    <row r="545" spans="1:23" ht="11.25" customHeight="1" x14ac:dyDescent="0.3">
      <c r="A545" s="4" t="s">
        <v>21</v>
      </c>
      <c r="B545" s="4" t="s">
        <v>32</v>
      </c>
      <c r="C545" s="4" t="s">
        <v>23</v>
      </c>
      <c r="D545" s="4" t="s">
        <v>33</v>
      </c>
      <c r="E545" s="4" t="s">
        <v>25</v>
      </c>
      <c r="F545" s="4" t="s">
        <v>25</v>
      </c>
      <c r="G545" s="4" t="s">
        <v>25</v>
      </c>
      <c r="H545" s="4" t="s">
        <v>25</v>
      </c>
      <c r="I545" s="5">
        <v>44593</v>
      </c>
      <c r="J545" s="6">
        <v>0</v>
      </c>
      <c r="K545" s="6">
        <v>0</v>
      </c>
      <c r="L545" s="6">
        <v>110.358</v>
      </c>
      <c r="M545" s="6">
        <v>110.358</v>
      </c>
      <c r="N545" s="6">
        <v>110.358</v>
      </c>
      <c r="O545" s="6">
        <v>110.358</v>
      </c>
      <c r="P545" s="6">
        <v>87</v>
      </c>
      <c r="Q545" s="4" t="s">
        <v>26</v>
      </c>
      <c r="R545" s="4">
        <v>0</v>
      </c>
      <c r="S545" s="4" t="s">
        <v>307</v>
      </c>
      <c r="T545" s="4" t="s">
        <v>468</v>
      </c>
      <c r="U545" s="4">
        <v>0</v>
      </c>
      <c r="V545" s="4">
        <v>77</v>
      </c>
      <c r="W545" s="4">
        <v>52</v>
      </c>
    </row>
    <row r="546" spans="1:23" ht="11.25" customHeight="1" x14ac:dyDescent="0.3">
      <c r="A546" s="4" t="s">
        <v>27</v>
      </c>
      <c r="B546" s="4" t="s">
        <v>32</v>
      </c>
      <c r="C546" s="4" t="s">
        <v>23</v>
      </c>
      <c r="D546" s="4" t="s">
        <v>33</v>
      </c>
      <c r="E546" s="4" t="s">
        <v>25</v>
      </c>
      <c r="F546" s="4" t="s">
        <v>25</v>
      </c>
      <c r="G546" s="4" t="s">
        <v>25</v>
      </c>
      <c r="H546" s="4" t="s">
        <v>25</v>
      </c>
      <c r="I546" s="5">
        <v>44593</v>
      </c>
      <c r="J546" s="6">
        <v>0</v>
      </c>
      <c r="K546" s="6">
        <v>0</v>
      </c>
      <c r="L546" s="6">
        <v>0.4</v>
      </c>
      <c r="M546" s="6">
        <v>0.4</v>
      </c>
      <c r="N546" s="6">
        <v>0.4</v>
      </c>
      <c r="O546" s="6">
        <v>0.4</v>
      </c>
      <c r="P546" s="6">
        <v>4</v>
      </c>
      <c r="Q546" s="4" t="s">
        <v>26</v>
      </c>
      <c r="R546" s="4">
        <v>0</v>
      </c>
      <c r="S546" s="4" t="s">
        <v>307</v>
      </c>
      <c r="T546" s="4" t="s">
        <v>468</v>
      </c>
      <c r="U546" s="4">
        <v>0</v>
      </c>
      <c r="V546" s="4">
        <v>77</v>
      </c>
      <c r="W546" s="4">
        <v>52</v>
      </c>
    </row>
    <row r="547" spans="1:23" ht="11.25" customHeight="1" x14ac:dyDescent="0.3">
      <c r="A547" s="4" t="s">
        <v>21</v>
      </c>
      <c r="B547" s="4" t="s">
        <v>32</v>
      </c>
      <c r="C547" s="4" t="s">
        <v>23</v>
      </c>
      <c r="D547" s="4" t="s">
        <v>33</v>
      </c>
      <c r="E547" s="4" t="s">
        <v>25</v>
      </c>
      <c r="F547" s="4" t="s">
        <v>25</v>
      </c>
      <c r="G547" s="4" t="s">
        <v>25</v>
      </c>
      <c r="H547" s="4" t="s">
        <v>25</v>
      </c>
      <c r="I547" s="5">
        <v>44621</v>
      </c>
      <c r="J547" s="6">
        <v>0</v>
      </c>
      <c r="K547" s="6">
        <v>0</v>
      </c>
      <c r="L547" s="6">
        <v>111.623</v>
      </c>
      <c r="M547" s="6">
        <v>111.623</v>
      </c>
      <c r="N547" s="6">
        <v>111.623</v>
      </c>
      <c r="O547" s="6">
        <v>111.623</v>
      </c>
      <c r="P547" s="6">
        <v>86</v>
      </c>
      <c r="Q547" s="4" t="s">
        <v>26</v>
      </c>
      <c r="R547" s="4">
        <v>0</v>
      </c>
      <c r="S547" s="4" t="s">
        <v>308</v>
      </c>
      <c r="T547" s="4" t="s">
        <v>469</v>
      </c>
      <c r="U547" s="4">
        <v>0</v>
      </c>
      <c r="V547" s="4">
        <v>77</v>
      </c>
      <c r="W547" s="4">
        <v>52</v>
      </c>
    </row>
    <row r="548" spans="1:23" ht="11.25" customHeight="1" x14ac:dyDescent="0.3">
      <c r="A548" s="4" t="s">
        <v>27</v>
      </c>
      <c r="B548" s="4" t="s">
        <v>32</v>
      </c>
      <c r="C548" s="4" t="s">
        <v>23</v>
      </c>
      <c r="D548" s="4" t="s">
        <v>33</v>
      </c>
      <c r="E548" s="4" t="s">
        <v>25</v>
      </c>
      <c r="F548" s="4" t="s">
        <v>25</v>
      </c>
      <c r="G548" s="4" t="s">
        <v>25</v>
      </c>
      <c r="H548" s="4" t="s">
        <v>25</v>
      </c>
      <c r="I548" s="5">
        <v>44621</v>
      </c>
      <c r="J548" s="6">
        <v>0</v>
      </c>
      <c r="K548" s="6">
        <v>0</v>
      </c>
      <c r="L548" s="6">
        <v>0.4</v>
      </c>
      <c r="M548" s="6">
        <v>0.4</v>
      </c>
      <c r="N548" s="6">
        <v>0.4</v>
      </c>
      <c r="O548" s="6">
        <v>0.4</v>
      </c>
      <c r="P548" s="6">
        <v>4</v>
      </c>
      <c r="Q548" s="4" t="s">
        <v>26</v>
      </c>
      <c r="R548" s="4">
        <v>0</v>
      </c>
      <c r="S548" s="4" t="s">
        <v>308</v>
      </c>
      <c r="T548" s="4" t="s">
        <v>469</v>
      </c>
      <c r="U548" s="4">
        <v>0</v>
      </c>
      <c r="V548" s="4">
        <v>77</v>
      </c>
      <c r="W548" s="4">
        <v>52</v>
      </c>
    </row>
    <row r="549" spans="1:23" ht="11.25" customHeight="1" x14ac:dyDescent="0.3">
      <c r="A549" s="4" t="s">
        <v>21</v>
      </c>
      <c r="B549" s="4" t="s">
        <v>32</v>
      </c>
      <c r="C549" s="4" t="s">
        <v>23</v>
      </c>
      <c r="D549" s="4" t="s">
        <v>33</v>
      </c>
      <c r="E549" s="4" t="s">
        <v>25</v>
      </c>
      <c r="F549" s="4" t="s">
        <v>25</v>
      </c>
      <c r="G549" s="4" t="s">
        <v>25</v>
      </c>
      <c r="H549" s="4" t="s">
        <v>25</v>
      </c>
      <c r="I549" s="5">
        <v>44652</v>
      </c>
      <c r="J549" s="6">
        <v>0</v>
      </c>
      <c r="K549" s="6">
        <v>0</v>
      </c>
      <c r="L549" s="6">
        <v>100.437</v>
      </c>
      <c r="M549" s="6">
        <v>100.437</v>
      </c>
      <c r="N549" s="6">
        <v>100.437</v>
      </c>
      <c r="O549" s="6">
        <v>100.437</v>
      </c>
      <c r="P549" s="6">
        <v>88</v>
      </c>
      <c r="Q549" s="4" t="s">
        <v>26</v>
      </c>
      <c r="R549" s="4">
        <v>0</v>
      </c>
      <c r="S549" s="4" t="s">
        <v>309</v>
      </c>
      <c r="T549" s="4" t="s">
        <v>470</v>
      </c>
      <c r="U549" s="4">
        <v>0</v>
      </c>
      <c r="V549" s="4">
        <v>77</v>
      </c>
      <c r="W549" s="4">
        <v>52</v>
      </c>
    </row>
    <row r="550" spans="1:23" ht="11.25" customHeight="1" x14ac:dyDescent="0.3">
      <c r="A550" s="4" t="s">
        <v>27</v>
      </c>
      <c r="B550" s="4" t="s">
        <v>32</v>
      </c>
      <c r="C550" s="4" t="s">
        <v>23</v>
      </c>
      <c r="D550" s="4" t="s">
        <v>33</v>
      </c>
      <c r="E550" s="4" t="s">
        <v>25</v>
      </c>
      <c r="F550" s="4" t="s">
        <v>25</v>
      </c>
      <c r="G550" s="4" t="s">
        <v>25</v>
      </c>
      <c r="H550" s="4" t="s">
        <v>25</v>
      </c>
      <c r="I550" s="5">
        <v>44652</v>
      </c>
      <c r="J550" s="6">
        <v>0</v>
      </c>
      <c r="K550" s="6">
        <v>0</v>
      </c>
      <c r="L550" s="6">
        <v>0.4</v>
      </c>
      <c r="M550" s="6">
        <v>0.4</v>
      </c>
      <c r="N550" s="6">
        <v>0.4</v>
      </c>
      <c r="O550" s="6">
        <v>0.4</v>
      </c>
      <c r="P550" s="6">
        <v>4</v>
      </c>
      <c r="Q550" s="4" t="s">
        <v>26</v>
      </c>
      <c r="R550" s="4">
        <v>0</v>
      </c>
      <c r="S550" s="4" t="s">
        <v>309</v>
      </c>
      <c r="T550" s="4" t="s">
        <v>470</v>
      </c>
      <c r="U550" s="4">
        <v>0</v>
      </c>
      <c r="V550" s="4">
        <v>77</v>
      </c>
      <c r="W550" s="4">
        <v>52</v>
      </c>
    </row>
    <row r="551" spans="1:23" ht="11.25" customHeight="1" x14ac:dyDescent="0.3">
      <c r="A551" s="4" t="s">
        <v>21</v>
      </c>
      <c r="B551" s="4" t="s">
        <v>32</v>
      </c>
      <c r="C551" s="4" t="s">
        <v>23</v>
      </c>
      <c r="D551" s="4" t="s">
        <v>33</v>
      </c>
      <c r="E551" s="4" t="s">
        <v>25</v>
      </c>
      <c r="F551" s="4" t="s">
        <v>25</v>
      </c>
      <c r="G551" s="4" t="s">
        <v>25</v>
      </c>
      <c r="H551" s="4" t="s">
        <v>25</v>
      </c>
      <c r="I551" s="5">
        <v>44682</v>
      </c>
      <c r="J551" s="6">
        <v>0</v>
      </c>
      <c r="K551" s="6">
        <v>0</v>
      </c>
      <c r="L551" s="6">
        <v>90.561999999999998</v>
      </c>
      <c r="M551" s="6">
        <v>90.561999999999998</v>
      </c>
      <c r="N551" s="6">
        <v>90.561999999999998</v>
      </c>
      <c r="O551" s="6">
        <v>90.561999999999998</v>
      </c>
      <c r="P551" s="6">
        <v>87</v>
      </c>
      <c r="Q551" s="4" t="s">
        <v>26</v>
      </c>
      <c r="R551" s="4">
        <v>0</v>
      </c>
      <c r="S551" s="4" t="s">
        <v>310</v>
      </c>
      <c r="T551" s="4" t="s">
        <v>471</v>
      </c>
      <c r="U551" s="4">
        <v>0</v>
      </c>
      <c r="V551" s="4">
        <v>77</v>
      </c>
      <c r="W551" s="4">
        <v>52</v>
      </c>
    </row>
    <row r="552" spans="1:23" ht="11.25" customHeight="1" x14ac:dyDescent="0.3">
      <c r="A552" s="4" t="s">
        <v>27</v>
      </c>
      <c r="B552" s="4" t="s">
        <v>32</v>
      </c>
      <c r="C552" s="4" t="s">
        <v>23</v>
      </c>
      <c r="D552" s="4" t="s">
        <v>33</v>
      </c>
      <c r="E552" s="4" t="s">
        <v>25</v>
      </c>
      <c r="F552" s="4" t="s">
        <v>25</v>
      </c>
      <c r="G552" s="4" t="s">
        <v>25</v>
      </c>
      <c r="H552" s="4" t="s">
        <v>25</v>
      </c>
      <c r="I552" s="5">
        <v>44682</v>
      </c>
      <c r="J552" s="6">
        <v>0</v>
      </c>
      <c r="K552" s="6">
        <v>0</v>
      </c>
      <c r="L552" s="6">
        <v>0.4</v>
      </c>
      <c r="M552" s="6">
        <v>0.4</v>
      </c>
      <c r="N552" s="6">
        <v>0.4</v>
      </c>
      <c r="O552" s="6">
        <v>0.4</v>
      </c>
      <c r="P552" s="6">
        <v>4</v>
      </c>
      <c r="Q552" s="4" t="s">
        <v>26</v>
      </c>
      <c r="R552" s="4">
        <v>0</v>
      </c>
      <c r="S552" s="4" t="s">
        <v>310</v>
      </c>
      <c r="T552" s="4" t="s">
        <v>471</v>
      </c>
      <c r="U552" s="4">
        <v>0</v>
      </c>
      <c r="V552" s="4">
        <v>77</v>
      </c>
      <c r="W552" s="4">
        <v>52</v>
      </c>
    </row>
    <row r="553" spans="1:23" ht="11.25" customHeight="1" x14ac:dyDescent="0.3">
      <c r="A553" s="4" t="s">
        <v>21</v>
      </c>
      <c r="B553" s="4" t="s">
        <v>32</v>
      </c>
      <c r="C553" s="4" t="s">
        <v>23</v>
      </c>
      <c r="D553" s="4" t="s">
        <v>33</v>
      </c>
      <c r="E553" s="4" t="s">
        <v>25</v>
      </c>
      <c r="F553" s="4" t="s">
        <v>25</v>
      </c>
      <c r="G553" s="4" t="s">
        <v>25</v>
      </c>
      <c r="H553" s="4" t="s">
        <v>25</v>
      </c>
      <c r="I553" s="5">
        <v>44713</v>
      </c>
      <c r="J553" s="6">
        <v>0</v>
      </c>
      <c r="K553" s="6">
        <v>0</v>
      </c>
      <c r="L553" s="6">
        <v>99.206000000000003</v>
      </c>
      <c r="M553" s="6">
        <v>99.206000000000003</v>
      </c>
      <c r="N553" s="6">
        <v>99.206000000000003</v>
      </c>
      <c r="O553" s="6">
        <v>99.206000000000003</v>
      </c>
      <c r="P553" s="6">
        <v>86</v>
      </c>
      <c r="Q553" s="4" t="s">
        <v>26</v>
      </c>
      <c r="R553" s="4">
        <v>0</v>
      </c>
      <c r="S553" s="4" t="s">
        <v>311</v>
      </c>
      <c r="T553" s="4" t="s">
        <v>472</v>
      </c>
      <c r="U553" s="4">
        <v>0</v>
      </c>
      <c r="V553" s="4">
        <v>77</v>
      </c>
      <c r="W553" s="4">
        <v>52</v>
      </c>
    </row>
    <row r="554" spans="1:23" ht="11.25" customHeight="1" x14ac:dyDescent="0.3">
      <c r="A554" s="4" t="s">
        <v>27</v>
      </c>
      <c r="B554" s="4" t="s">
        <v>32</v>
      </c>
      <c r="C554" s="4" t="s">
        <v>23</v>
      </c>
      <c r="D554" s="4" t="s">
        <v>33</v>
      </c>
      <c r="E554" s="4" t="s">
        <v>25</v>
      </c>
      <c r="F554" s="4" t="s">
        <v>25</v>
      </c>
      <c r="G554" s="4" t="s">
        <v>25</v>
      </c>
      <c r="H554" s="4" t="s">
        <v>25</v>
      </c>
      <c r="I554" s="5">
        <v>44713</v>
      </c>
      <c r="J554" s="6">
        <v>0</v>
      </c>
      <c r="K554" s="6">
        <v>0</v>
      </c>
      <c r="L554" s="6">
        <v>2.3279999999999998</v>
      </c>
      <c r="M554" s="6">
        <v>2.3279999999999998</v>
      </c>
      <c r="N554" s="6">
        <v>2.3279999999999998</v>
      </c>
      <c r="O554" s="6">
        <v>2.3279999999999998</v>
      </c>
      <c r="P554" s="6">
        <v>5</v>
      </c>
      <c r="Q554" s="4" t="s">
        <v>26</v>
      </c>
      <c r="R554" s="4">
        <v>0</v>
      </c>
      <c r="S554" s="4" t="s">
        <v>311</v>
      </c>
      <c r="T554" s="4" t="s">
        <v>472</v>
      </c>
      <c r="U554" s="4">
        <v>0</v>
      </c>
      <c r="V554" s="4">
        <v>77</v>
      </c>
      <c r="W554" s="4">
        <v>52</v>
      </c>
    </row>
    <row r="555" spans="1:23" ht="11.25" customHeight="1" x14ac:dyDescent="0.3">
      <c r="A555" s="4" t="s">
        <v>21</v>
      </c>
      <c r="B555" s="4" t="s">
        <v>32</v>
      </c>
      <c r="C555" s="4" t="s">
        <v>23</v>
      </c>
      <c r="D555" s="4" t="s">
        <v>33</v>
      </c>
      <c r="E555" s="4" t="s">
        <v>25</v>
      </c>
      <c r="F555" s="4" t="s">
        <v>25</v>
      </c>
      <c r="G555" s="4" t="s">
        <v>25</v>
      </c>
      <c r="H555" s="4" t="s">
        <v>25</v>
      </c>
      <c r="I555" s="5">
        <v>44743</v>
      </c>
      <c r="J555" s="6">
        <v>0</v>
      </c>
      <c r="K555" s="6">
        <v>0</v>
      </c>
      <c r="L555" s="6">
        <v>106.953</v>
      </c>
      <c r="M555" s="6">
        <v>106.953</v>
      </c>
      <c r="N555" s="6">
        <v>106.953</v>
      </c>
      <c r="O555" s="6">
        <v>106.953</v>
      </c>
      <c r="P555" s="6">
        <v>83</v>
      </c>
      <c r="Q555" s="4" t="s">
        <v>26</v>
      </c>
      <c r="R555" s="4">
        <v>0</v>
      </c>
      <c r="S555" s="4" t="s">
        <v>312</v>
      </c>
      <c r="T555" s="4" t="s">
        <v>473</v>
      </c>
      <c r="U555" s="4">
        <v>0</v>
      </c>
      <c r="V555" s="4">
        <v>77</v>
      </c>
      <c r="W555" s="4">
        <v>52</v>
      </c>
    </row>
    <row r="556" spans="1:23" ht="11.25" customHeight="1" x14ac:dyDescent="0.3">
      <c r="A556" s="4" t="s">
        <v>27</v>
      </c>
      <c r="B556" s="4" t="s">
        <v>32</v>
      </c>
      <c r="C556" s="4" t="s">
        <v>23</v>
      </c>
      <c r="D556" s="4" t="s">
        <v>33</v>
      </c>
      <c r="E556" s="4" t="s">
        <v>25</v>
      </c>
      <c r="F556" s="4" t="s">
        <v>25</v>
      </c>
      <c r="G556" s="4" t="s">
        <v>25</v>
      </c>
      <c r="H556" s="4" t="s">
        <v>25</v>
      </c>
      <c r="I556" s="5">
        <v>44743</v>
      </c>
      <c r="J556" s="6">
        <v>0</v>
      </c>
      <c r="K556" s="6">
        <v>0</v>
      </c>
      <c r="L556" s="6">
        <v>6.556</v>
      </c>
      <c r="M556" s="6">
        <v>6.556</v>
      </c>
      <c r="N556" s="6">
        <v>6.556</v>
      </c>
      <c r="O556" s="6">
        <v>6.556</v>
      </c>
      <c r="P556" s="6">
        <v>6</v>
      </c>
      <c r="Q556" s="4" t="s">
        <v>26</v>
      </c>
      <c r="R556" s="4">
        <v>0</v>
      </c>
      <c r="S556" s="4" t="s">
        <v>312</v>
      </c>
      <c r="T556" s="4" t="s">
        <v>473</v>
      </c>
      <c r="U556" s="4">
        <v>0</v>
      </c>
      <c r="V556" s="4">
        <v>77</v>
      </c>
      <c r="W556" s="4">
        <v>52</v>
      </c>
    </row>
    <row r="557" spans="1:23" ht="11.25" customHeight="1" x14ac:dyDescent="0.3">
      <c r="A557" s="4" t="s">
        <v>21</v>
      </c>
      <c r="B557" s="4" t="s">
        <v>32</v>
      </c>
      <c r="C557" s="4" t="s">
        <v>23</v>
      </c>
      <c r="D557" s="4" t="s">
        <v>43</v>
      </c>
      <c r="E557" s="4" t="s">
        <v>25</v>
      </c>
      <c r="F557" s="4" t="s">
        <v>25</v>
      </c>
      <c r="G557" s="4" t="s">
        <v>25</v>
      </c>
      <c r="H557" s="4" t="s">
        <v>25</v>
      </c>
      <c r="I557" s="5">
        <v>44409</v>
      </c>
      <c r="J557" s="6">
        <v>0</v>
      </c>
      <c r="K557" s="6">
        <v>0</v>
      </c>
      <c r="L557" s="6">
        <v>67.95</v>
      </c>
      <c r="M557" s="6">
        <v>67.95</v>
      </c>
      <c r="N557" s="6">
        <v>67.95</v>
      </c>
      <c r="O557" s="6">
        <v>67.95</v>
      </c>
      <c r="P557" s="6">
        <v>75</v>
      </c>
      <c r="Q557" s="4" t="s">
        <v>26</v>
      </c>
      <c r="R557" s="4">
        <v>0</v>
      </c>
      <c r="S557" s="4" t="s">
        <v>301</v>
      </c>
      <c r="T557" s="4" t="s">
        <v>462</v>
      </c>
      <c r="U557" s="4">
        <v>0</v>
      </c>
      <c r="V557" s="4">
        <v>77</v>
      </c>
      <c r="W557" s="4">
        <v>52</v>
      </c>
    </row>
    <row r="558" spans="1:23" ht="11.25" customHeight="1" x14ac:dyDescent="0.3">
      <c r="A558" s="4" t="s">
        <v>27</v>
      </c>
      <c r="B558" s="4" t="s">
        <v>32</v>
      </c>
      <c r="C558" s="4" t="s">
        <v>23</v>
      </c>
      <c r="D558" s="4" t="s">
        <v>43</v>
      </c>
      <c r="E558" s="4" t="s">
        <v>25</v>
      </c>
      <c r="F558" s="4" t="s">
        <v>25</v>
      </c>
      <c r="G558" s="4" t="s">
        <v>25</v>
      </c>
      <c r="H558" s="4" t="s">
        <v>25</v>
      </c>
      <c r="I558" s="5">
        <v>44409</v>
      </c>
      <c r="J558" s="6">
        <v>0</v>
      </c>
      <c r="K558" s="6">
        <v>0</v>
      </c>
      <c r="L558" s="6">
        <v>0.52400000000000002</v>
      </c>
      <c r="M558" s="6">
        <v>0.52400000000000002</v>
      </c>
      <c r="N558" s="6">
        <v>0.52400000000000002</v>
      </c>
      <c r="O558" s="6">
        <v>0.52400000000000002</v>
      </c>
      <c r="P558" s="6">
        <v>2</v>
      </c>
      <c r="Q558" s="4" t="s">
        <v>26</v>
      </c>
      <c r="R558" s="4">
        <v>0</v>
      </c>
      <c r="S558" s="4" t="s">
        <v>301</v>
      </c>
      <c r="T558" s="4" t="s">
        <v>462</v>
      </c>
      <c r="U558" s="4">
        <v>0</v>
      </c>
      <c r="V558" s="4">
        <v>77</v>
      </c>
      <c r="W558" s="4">
        <v>52</v>
      </c>
    </row>
    <row r="559" spans="1:23" ht="11.25" customHeight="1" x14ac:dyDescent="0.3">
      <c r="A559" s="4" t="s">
        <v>21</v>
      </c>
      <c r="B559" s="4" t="s">
        <v>32</v>
      </c>
      <c r="C559" s="4" t="s">
        <v>23</v>
      </c>
      <c r="D559" s="4" t="s">
        <v>43</v>
      </c>
      <c r="E559" s="4" t="s">
        <v>25</v>
      </c>
      <c r="F559" s="4" t="s">
        <v>25</v>
      </c>
      <c r="G559" s="4" t="s">
        <v>25</v>
      </c>
      <c r="H559" s="4" t="s">
        <v>25</v>
      </c>
      <c r="I559" s="5">
        <v>44440</v>
      </c>
      <c r="J559" s="6">
        <v>0</v>
      </c>
      <c r="K559" s="6">
        <v>0</v>
      </c>
      <c r="L559" s="6">
        <v>71.960999999999999</v>
      </c>
      <c r="M559" s="6">
        <v>71.960999999999999</v>
      </c>
      <c r="N559" s="6">
        <v>71.960999999999999</v>
      </c>
      <c r="O559" s="6">
        <v>71.960999999999999</v>
      </c>
      <c r="P559" s="6">
        <v>75</v>
      </c>
      <c r="Q559" s="4" t="s">
        <v>26</v>
      </c>
      <c r="R559" s="4">
        <v>0</v>
      </c>
      <c r="S559" s="4" t="s">
        <v>302</v>
      </c>
      <c r="T559" s="4" t="s">
        <v>463</v>
      </c>
      <c r="U559" s="4">
        <v>0</v>
      </c>
      <c r="V559" s="4">
        <v>77</v>
      </c>
      <c r="W559" s="4">
        <v>52</v>
      </c>
    </row>
    <row r="560" spans="1:23" ht="11.25" customHeight="1" x14ac:dyDescent="0.3">
      <c r="A560" s="4" t="s">
        <v>27</v>
      </c>
      <c r="B560" s="4" t="s">
        <v>32</v>
      </c>
      <c r="C560" s="4" t="s">
        <v>23</v>
      </c>
      <c r="D560" s="4" t="s">
        <v>43</v>
      </c>
      <c r="E560" s="4" t="s">
        <v>25</v>
      </c>
      <c r="F560" s="4" t="s">
        <v>25</v>
      </c>
      <c r="G560" s="4" t="s">
        <v>25</v>
      </c>
      <c r="H560" s="4" t="s">
        <v>25</v>
      </c>
      <c r="I560" s="5">
        <v>44440</v>
      </c>
      <c r="J560" s="6">
        <v>0</v>
      </c>
      <c r="K560" s="6">
        <v>0</v>
      </c>
      <c r="L560" s="6">
        <v>0.65500000000000003</v>
      </c>
      <c r="M560" s="6">
        <v>0.65500000000000003</v>
      </c>
      <c r="N560" s="6">
        <v>0.65500000000000003</v>
      </c>
      <c r="O560" s="6">
        <v>0.65500000000000003</v>
      </c>
      <c r="P560" s="6">
        <v>2</v>
      </c>
      <c r="Q560" s="4" t="s">
        <v>26</v>
      </c>
      <c r="R560" s="4">
        <v>0</v>
      </c>
      <c r="S560" s="4" t="s">
        <v>302</v>
      </c>
      <c r="T560" s="4" t="s">
        <v>463</v>
      </c>
      <c r="U560" s="4">
        <v>0</v>
      </c>
      <c r="V560" s="4">
        <v>77</v>
      </c>
      <c r="W560" s="4">
        <v>52</v>
      </c>
    </row>
    <row r="561" spans="1:23" ht="11.25" customHeight="1" x14ac:dyDescent="0.3">
      <c r="A561" s="4" t="s">
        <v>21</v>
      </c>
      <c r="B561" s="4" t="s">
        <v>32</v>
      </c>
      <c r="C561" s="4" t="s">
        <v>23</v>
      </c>
      <c r="D561" s="4" t="s">
        <v>43</v>
      </c>
      <c r="E561" s="4" t="s">
        <v>25</v>
      </c>
      <c r="F561" s="4" t="s">
        <v>25</v>
      </c>
      <c r="G561" s="4" t="s">
        <v>25</v>
      </c>
      <c r="H561" s="4" t="s">
        <v>25</v>
      </c>
      <c r="I561" s="5">
        <v>44470</v>
      </c>
      <c r="J561" s="6">
        <v>0</v>
      </c>
      <c r="K561" s="6">
        <v>0</v>
      </c>
      <c r="L561" s="6">
        <v>69.941000000000003</v>
      </c>
      <c r="M561" s="6">
        <v>69.941000000000003</v>
      </c>
      <c r="N561" s="6">
        <v>69.941000000000003</v>
      </c>
      <c r="O561" s="6">
        <v>69.941000000000003</v>
      </c>
      <c r="P561" s="6">
        <v>75</v>
      </c>
      <c r="Q561" s="4" t="s">
        <v>26</v>
      </c>
      <c r="R561" s="4">
        <v>0</v>
      </c>
      <c r="S561" s="4" t="s">
        <v>303</v>
      </c>
      <c r="T561" s="4" t="s">
        <v>464</v>
      </c>
      <c r="U561" s="4">
        <v>0</v>
      </c>
      <c r="V561" s="4">
        <v>77</v>
      </c>
      <c r="W561" s="4">
        <v>52</v>
      </c>
    </row>
    <row r="562" spans="1:23" ht="11.25" customHeight="1" x14ac:dyDescent="0.3">
      <c r="A562" s="4" t="s">
        <v>27</v>
      </c>
      <c r="B562" s="4" t="s">
        <v>32</v>
      </c>
      <c r="C562" s="4" t="s">
        <v>23</v>
      </c>
      <c r="D562" s="4" t="s">
        <v>43</v>
      </c>
      <c r="E562" s="4" t="s">
        <v>25</v>
      </c>
      <c r="F562" s="4" t="s">
        <v>25</v>
      </c>
      <c r="G562" s="4" t="s">
        <v>25</v>
      </c>
      <c r="H562" s="4" t="s">
        <v>25</v>
      </c>
      <c r="I562" s="5">
        <v>44470</v>
      </c>
      <c r="J562" s="6">
        <v>0</v>
      </c>
      <c r="K562" s="6">
        <v>0</v>
      </c>
      <c r="L562" s="6">
        <v>0.67200000000000004</v>
      </c>
      <c r="M562" s="6">
        <v>0.67200000000000004</v>
      </c>
      <c r="N562" s="6">
        <v>0.67200000000000004</v>
      </c>
      <c r="O562" s="6">
        <v>0.67200000000000004</v>
      </c>
      <c r="P562" s="6">
        <v>2</v>
      </c>
      <c r="Q562" s="4" t="s">
        <v>26</v>
      </c>
      <c r="R562" s="4">
        <v>0</v>
      </c>
      <c r="S562" s="4" t="s">
        <v>303</v>
      </c>
      <c r="T562" s="4" t="s">
        <v>464</v>
      </c>
      <c r="U562" s="4">
        <v>0</v>
      </c>
      <c r="V562" s="4">
        <v>77</v>
      </c>
      <c r="W562" s="4">
        <v>52</v>
      </c>
    </row>
    <row r="563" spans="1:23" ht="11.25" customHeight="1" x14ac:dyDescent="0.3">
      <c r="A563" s="4" t="s">
        <v>21</v>
      </c>
      <c r="B563" s="4" t="s">
        <v>32</v>
      </c>
      <c r="C563" s="4" t="s">
        <v>23</v>
      </c>
      <c r="D563" s="4" t="s">
        <v>43</v>
      </c>
      <c r="E563" s="4" t="s">
        <v>25</v>
      </c>
      <c r="F563" s="4" t="s">
        <v>25</v>
      </c>
      <c r="G563" s="4" t="s">
        <v>25</v>
      </c>
      <c r="H563" s="4" t="s">
        <v>25</v>
      </c>
      <c r="I563" s="5">
        <v>44501</v>
      </c>
      <c r="J563" s="6">
        <v>0</v>
      </c>
      <c r="K563" s="6">
        <v>0</v>
      </c>
      <c r="L563" s="6">
        <v>69.537999999999997</v>
      </c>
      <c r="M563" s="6">
        <v>69.537999999999997</v>
      </c>
      <c r="N563" s="6">
        <v>69.537999999999997</v>
      </c>
      <c r="O563" s="6">
        <v>69.537999999999997</v>
      </c>
      <c r="P563" s="6">
        <v>75</v>
      </c>
      <c r="Q563" s="4" t="s">
        <v>26</v>
      </c>
      <c r="R563" s="4">
        <v>0</v>
      </c>
      <c r="S563" s="4" t="s">
        <v>304</v>
      </c>
      <c r="T563" s="4" t="s">
        <v>465</v>
      </c>
      <c r="U563" s="4">
        <v>0</v>
      </c>
      <c r="V563" s="4">
        <v>77</v>
      </c>
      <c r="W563" s="4">
        <v>52</v>
      </c>
    </row>
    <row r="564" spans="1:23" ht="11.25" customHeight="1" x14ac:dyDescent="0.3">
      <c r="A564" s="4" t="s">
        <v>27</v>
      </c>
      <c r="B564" s="4" t="s">
        <v>32</v>
      </c>
      <c r="C564" s="4" t="s">
        <v>23</v>
      </c>
      <c r="D564" s="4" t="s">
        <v>43</v>
      </c>
      <c r="E564" s="4" t="s">
        <v>25</v>
      </c>
      <c r="F564" s="4" t="s">
        <v>25</v>
      </c>
      <c r="G564" s="4" t="s">
        <v>25</v>
      </c>
      <c r="H564" s="4" t="s">
        <v>25</v>
      </c>
      <c r="I564" s="5">
        <v>44501</v>
      </c>
      <c r="J564" s="6">
        <v>0</v>
      </c>
      <c r="K564" s="6">
        <v>0</v>
      </c>
      <c r="L564" s="6">
        <v>0.82699999999999996</v>
      </c>
      <c r="M564" s="6">
        <v>0.82699999999999996</v>
      </c>
      <c r="N564" s="6">
        <v>0.82699999999999996</v>
      </c>
      <c r="O564" s="6">
        <v>0.82699999999999996</v>
      </c>
      <c r="P564" s="6">
        <v>2</v>
      </c>
      <c r="Q564" s="4" t="s">
        <v>26</v>
      </c>
      <c r="R564" s="4">
        <v>0</v>
      </c>
      <c r="S564" s="4" t="s">
        <v>304</v>
      </c>
      <c r="T564" s="4" t="s">
        <v>465</v>
      </c>
      <c r="U564" s="4">
        <v>0</v>
      </c>
      <c r="V564" s="4">
        <v>77</v>
      </c>
      <c r="W564" s="4">
        <v>52</v>
      </c>
    </row>
    <row r="565" spans="1:23" ht="11.25" customHeight="1" x14ac:dyDescent="0.3">
      <c r="A565" s="4" t="s">
        <v>21</v>
      </c>
      <c r="B565" s="4" t="s">
        <v>32</v>
      </c>
      <c r="C565" s="4" t="s">
        <v>23</v>
      </c>
      <c r="D565" s="4" t="s">
        <v>43</v>
      </c>
      <c r="E565" s="4" t="s">
        <v>25</v>
      </c>
      <c r="F565" s="4" t="s">
        <v>25</v>
      </c>
      <c r="G565" s="4" t="s">
        <v>25</v>
      </c>
      <c r="H565" s="4" t="s">
        <v>25</v>
      </c>
      <c r="I565" s="5">
        <v>44531</v>
      </c>
      <c r="J565" s="6">
        <v>0</v>
      </c>
      <c r="K565" s="6">
        <v>0</v>
      </c>
      <c r="L565" s="6">
        <v>87.212999999999994</v>
      </c>
      <c r="M565" s="6">
        <v>87.212999999999994</v>
      </c>
      <c r="N565" s="6">
        <v>87.212999999999994</v>
      </c>
      <c r="O565" s="6">
        <v>87.212999999999994</v>
      </c>
      <c r="P565" s="6">
        <v>73</v>
      </c>
      <c r="Q565" s="4" t="s">
        <v>26</v>
      </c>
      <c r="R565" s="4">
        <v>0</v>
      </c>
      <c r="S565" s="4" t="s">
        <v>305</v>
      </c>
      <c r="T565" s="4" t="s">
        <v>466</v>
      </c>
      <c r="U565" s="4">
        <v>0</v>
      </c>
      <c r="V565" s="4">
        <v>77</v>
      </c>
      <c r="W565" s="4">
        <v>52</v>
      </c>
    </row>
    <row r="566" spans="1:23" ht="11.25" customHeight="1" x14ac:dyDescent="0.3">
      <c r="A566" s="4" t="s">
        <v>27</v>
      </c>
      <c r="B566" s="4" t="s">
        <v>32</v>
      </c>
      <c r="C566" s="4" t="s">
        <v>23</v>
      </c>
      <c r="D566" s="4" t="s">
        <v>43</v>
      </c>
      <c r="E566" s="4" t="s">
        <v>25</v>
      </c>
      <c r="F566" s="4" t="s">
        <v>25</v>
      </c>
      <c r="G566" s="4" t="s">
        <v>25</v>
      </c>
      <c r="H566" s="4" t="s">
        <v>25</v>
      </c>
      <c r="I566" s="5">
        <v>44531</v>
      </c>
      <c r="J566" s="6">
        <v>0</v>
      </c>
      <c r="K566" s="6">
        <v>0</v>
      </c>
      <c r="L566" s="6">
        <v>1.367</v>
      </c>
      <c r="M566" s="6">
        <v>1.367</v>
      </c>
      <c r="N566" s="6">
        <v>1.367</v>
      </c>
      <c r="O566" s="6">
        <v>1.367</v>
      </c>
      <c r="P566" s="6">
        <v>2</v>
      </c>
      <c r="Q566" s="4" t="s">
        <v>26</v>
      </c>
      <c r="R566" s="4">
        <v>0</v>
      </c>
      <c r="S566" s="4" t="s">
        <v>305</v>
      </c>
      <c r="T566" s="4" t="s">
        <v>466</v>
      </c>
      <c r="U566" s="4">
        <v>0</v>
      </c>
      <c r="V566" s="4">
        <v>77</v>
      </c>
      <c r="W566" s="4">
        <v>52</v>
      </c>
    </row>
    <row r="567" spans="1:23" ht="11.25" customHeight="1" x14ac:dyDescent="0.3">
      <c r="A567" s="4" t="s">
        <v>21</v>
      </c>
      <c r="B567" s="4" t="s">
        <v>32</v>
      </c>
      <c r="C567" s="4" t="s">
        <v>23</v>
      </c>
      <c r="D567" s="4" t="s">
        <v>43</v>
      </c>
      <c r="E567" s="4" t="s">
        <v>25</v>
      </c>
      <c r="F567" s="4" t="s">
        <v>25</v>
      </c>
      <c r="G567" s="4" t="s">
        <v>25</v>
      </c>
      <c r="H567" s="4" t="s">
        <v>25</v>
      </c>
      <c r="I567" s="5">
        <v>44562</v>
      </c>
      <c r="J567" s="6">
        <v>0</v>
      </c>
      <c r="K567" s="6">
        <v>0</v>
      </c>
      <c r="L567" s="6">
        <v>77.984999999999999</v>
      </c>
      <c r="M567" s="6">
        <v>77.984999999999999</v>
      </c>
      <c r="N567" s="6">
        <v>77.984999999999999</v>
      </c>
      <c r="O567" s="6">
        <v>77.984999999999999</v>
      </c>
      <c r="P567" s="6">
        <v>73</v>
      </c>
      <c r="Q567" s="4" t="s">
        <v>26</v>
      </c>
      <c r="R567" s="4">
        <v>0</v>
      </c>
      <c r="S567" s="4" t="s">
        <v>306</v>
      </c>
      <c r="T567" s="4" t="s">
        <v>467</v>
      </c>
      <c r="U567" s="4">
        <v>0</v>
      </c>
      <c r="V567" s="4">
        <v>77</v>
      </c>
      <c r="W567" s="4">
        <v>52</v>
      </c>
    </row>
    <row r="568" spans="1:23" ht="11.25" customHeight="1" x14ac:dyDescent="0.3">
      <c r="A568" s="4" t="s">
        <v>27</v>
      </c>
      <c r="B568" s="4" t="s">
        <v>32</v>
      </c>
      <c r="C568" s="4" t="s">
        <v>23</v>
      </c>
      <c r="D568" s="4" t="s">
        <v>43</v>
      </c>
      <c r="E568" s="4" t="s">
        <v>25</v>
      </c>
      <c r="F568" s="4" t="s">
        <v>25</v>
      </c>
      <c r="G568" s="4" t="s">
        <v>25</v>
      </c>
      <c r="H568" s="4" t="s">
        <v>25</v>
      </c>
      <c r="I568" s="5">
        <v>44562</v>
      </c>
      <c r="J568" s="6">
        <v>0</v>
      </c>
      <c r="K568" s="6">
        <v>0</v>
      </c>
      <c r="L568" s="6">
        <v>0.65600000000000003</v>
      </c>
      <c r="M568" s="6">
        <v>0.65600000000000003</v>
      </c>
      <c r="N568" s="6">
        <v>0.65600000000000003</v>
      </c>
      <c r="O568" s="6">
        <v>0.65600000000000003</v>
      </c>
      <c r="P568" s="6">
        <v>2</v>
      </c>
      <c r="Q568" s="4" t="s">
        <v>26</v>
      </c>
      <c r="R568" s="4">
        <v>0</v>
      </c>
      <c r="S568" s="4" t="s">
        <v>306</v>
      </c>
      <c r="T568" s="4" t="s">
        <v>467</v>
      </c>
      <c r="U568" s="4">
        <v>0</v>
      </c>
      <c r="V568" s="4">
        <v>77</v>
      </c>
      <c r="W568" s="4">
        <v>52</v>
      </c>
    </row>
    <row r="569" spans="1:23" ht="11.25" customHeight="1" x14ac:dyDescent="0.3">
      <c r="A569" s="4" t="s">
        <v>21</v>
      </c>
      <c r="B569" s="4" t="s">
        <v>32</v>
      </c>
      <c r="C569" s="4" t="s">
        <v>23</v>
      </c>
      <c r="D569" s="4" t="s">
        <v>43</v>
      </c>
      <c r="E569" s="4" t="s">
        <v>25</v>
      </c>
      <c r="F569" s="4" t="s">
        <v>25</v>
      </c>
      <c r="G569" s="4" t="s">
        <v>25</v>
      </c>
      <c r="H569" s="4" t="s">
        <v>25</v>
      </c>
      <c r="I569" s="5">
        <v>44593</v>
      </c>
      <c r="J569" s="6">
        <v>0</v>
      </c>
      <c r="K569" s="6">
        <v>0</v>
      </c>
      <c r="L569" s="6">
        <v>88.49</v>
      </c>
      <c r="M569" s="6">
        <v>88.49</v>
      </c>
      <c r="N569" s="6">
        <v>88.49</v>
      </c>
      <c r="O569" s="6">
        <v>88.49</v>
      </c>
      <c r="P569" s="6">
        <v>73</v>
      </c>
      <c r="Q569" s="4" t="s">
        <v>26</v>
      </c>
      <c r="R569" s="4">
        <v>0</v>
      </c>
      <c r="S569" s="4" t="s">
        <v>307</v>
      </c>
      <c r="T569" s="4" t="s">
        <v>468</v>
      </c>
      <c r="U569" s="4">
        <v>0</v>
      </c>
      <c r="V569" s="4">
        <v>77</v>
      </c>
      <c r="W569" s="4">
        <v>52</v>
      </c>
    </row>
    <row r="570" spans="1:23" ht="11.25" customHeight="1" x14ac:dyDescent="0.3">
      <c r="A570" s="4" t="s">
        <v>27</v>
      </c>
      <c r="B570" s="4" t="s">
        <v>32</v>
      </c>
      <c r="C570" s="4" t="s">
        <v>23</v>
      </c>
      <c r="D570" s="4" t="s">
        <v>43</v>
      </c>
      <c r="E570" s="4" t="s">
        <v>25</v>
      </c>
      <c r="F570" s="4" t="s">
        <v>25</v>
      </c>
      <c r="G570" s="4" t="s">
        <v>25</v>
      </c>
      <c r="H570" s="4" t="s">
        <v>25</v>
      </c>
      <c r="I570" s="5">
        <v>44593</v>
      </c>
      <c r="J570" s="6">
        <v>0</v>
      </c>
      <c r="K570" s="6">
        <v>0</v>
      </c>
      <c r="L570" s="6">
        <v>0.2</v>
      </c>
      <c r="M570" s="6">
        <v>0.2</v>
      </c>
      <c r="N570" s="6">
        <v>0.2</v>
      </c>
      <c r="O570" s="6">
        <v>0.2</v>
      </c>
      <c r="P570" s="6">
        <v>2</v>
      </c>
      <c r="Q570" s="4" t="s">
        <v>26</v>
      </c>
      <c r="R570" s="4">
        <v>0</v>
      </c>
      <c r="S570" s="4" t="s">
        <v>307</v>
      </c>
      <c r="T570" s="4" t="s">
        <v>468</v>
      </c>
      <c r="U570" s="4">
        <v>0</v>
      </c>
      <c r="V570" s="4">
        <v>77</v>
      </c>
      <c r="W570" s="4">
        <v>52</v>
      </c>
    </row>
    <row r="571" spans="1:23" ht="11.25" customHeight="1" x14ac:dyDescent="0.3">
      <c r="A571" s="4" t="s">
        <v>21</v>
      </c>
      <c r="B571" s="4" t="s">
        <v>32</v>
      </c>
      <c r="C571" s="4" t="s">
        <v>23</v>
      </c>
      <c r="D571" s="4" t="s">
        <v>43</v>
      </c>
      <c r="E571" s="4" t="s">
        <v>25</v>
      </c>
      <c r="F571" s="4" t="s">
        <v>25</v>
      </c>
      <c r="G571" s="4" t="s">
        <v>25</v>
      </c>
      <c r="H571" s="4" t="s">
        <v>25</v>
      </c>
      <c r="I571" s="5">
        <v>44621</v>
      </c>
      <c r="J571" s="6">
        <v>0</v>
      </c>
      <c r="K571" s="6">
        <v>0</v>
      </c>
      <c r="L571" s="6">
        <v>109.11199999999999</v>
      </c>
      <c r="M571" s="6">
        <v>109.11199999999999</v>
      </c>
      <c r="N571" s="6">
        <v>109.11199999999999</v>
      </c>
      <c r="O571" s="6">
        <v>109.11199999999999</v>
      </c>
      <c r="P571" s="6">
        <v>73</v>
      </c>
      <c r="Q571" s="4" t="s">
        <v>26</v>
      </c>
      <c r="R571" s="4">
        <v>0</v>
      </c>
      <c r="S571" s="4" t="s">
        <v>308</v>
      </c>
      <c r="T571" s="4" t="s">
        <v>469</v>
      </c>
      <c r="U571" s="4">
        <v>0</v>
      </c>
      <c r="V571" s="4">
        <v>77</v>
      </c>
      <c r="W571" s="4">
        <v>52</v>
      </c>
    </row>
    <row r="572" spans="1:23" ht="11.25" customHeight="1" x14ac:dyDescent="0.3">
      <c r="A572" s="4" t="s">
        <v>27</v>
      </c>
      <c r="B572" s="4" t="s">
        <v>32</v>
      </c>
      <c r="C572" s="4" t="s">
        <v>23</v>
      </c>
      <c r="D572" s="4" t="s">
        <v>43</v>
      </c>
      <c r="E572" s="4" t="s">
        <v>25</v>
      </c>
      <c r="F572" s="4" t="s">
        <v>25</v>
      </c>
      <c r="G572" s="4" t="s">
        <v>25</v>
      </c>
      <c r="H572" s="4" t="s">
        <v>25</v>
      </c>
      <c r="I572" s="5">
        <v>44621</v>
      </c>
      <c r="J572" s="6">
        <v>0</v>
      </c>
      <c r="K572" s="6">
        <v>0</v>
      </c>
      <c r="L572" s="6">
        <v>1.6080000000000001</v>
      </c>
      <c r="M572" s="6">
        <v>1.6080000000000001</v>
      </c>
      <c r="N572" s="6">
        <v>1.6080000000000001</v>
      </c>
      <c r="O572" s="6">
        <v>1.6080000000000001</v>
      </c>
      <c r="P572" s="6">
        <v>2</v>
      </c>
      <c r="Q572" s="4" t="s">
        <v>26</v>
      </c>
      <c r="R572" s="4">
        <v>0</v>
      </c>
      <c r="S572" s="4" t="s">
        <v>308</v>
      </c>
      <c r="T572" s="4" t="s">
        <v>469</v>
      </c>
      <c r="U572" s="4">
        <v>0</v>
      </c>
      <c r="V572" s="4">
        <v>77</v>
      </c>
      <c r="W572" s="4">
        <v>52</v>
      </c>
    </row>
    <row r="573" spans="1:23" ht="11.25" customHeight="1" x14ac:dyDescent="0.3">
      <c r="A573" s="4" t="s">
        <v>21</v>
      </c>
      <c r="B573" s="4" t="s">
        <v>32</v>
      </c>
      <c r="C573" s="4" t="s">
        <v>23</v>
      </c>
      <c r="D573" s="4" t="s">
        <v>43</v>
      </c>
      <c r="E573" s="4" t="s">
        <v>25</v>
      </c>
      <c r="F573" s="4" t="s">
        <v>25</v>
      </c>
      <c r="G573" s="4" t="s">
        <v>25</v>
      </c>
      <c r="H573" s="4" t="s">
        <v>25</v>
      </c>
      <c r="I573" s="5">
        <v>44652</v>
      </c>
      <c r="J573" s="6">
        <v>0</v>
      </c>
      <c r="K573" s="6">
        <v>0</v>
      </c>
      <c r="L573" s="6">
        <v>107.56399999999999</v>
      </c>
      <c r="M573" s="6">
        <v>107.56399999999999</v>
      </c>
      <c r="N573" s="6">
        <v>107.56399999999999</v>
      </c>
      <c r="O573" s="6">
        <v>107.56399999999999</v>
      </c>
      <c r="P573" s="6">
        <v>73</v>
      </c>
      <c r="Q573" s="4" t="s">
        <v>26</v>
      </c>
      <c r="R573" s="4">
        <v>0</v>
      </c>
      <c r="S573" s="4" t="s">
        <v>309</v>
      </c>
      <c r="T573" s="4" t="s">
        <v>470</v>
      </c>
      <c r="U573" s="4">
        <v>0</v>
      </c>
      <c r="V573" s="4">
        <v>77</v>
      </c>
      <c r="W573" s="4">
        <v>52</v>
      </c>
    </row>
    <row r="574" spans="1:23" ht="11.25" customHeight="1" x14ac:dyDescent="0.3">
      <c r="A574" s="4" t="s">
        <v>27</v>
      </c>
      <c r="B574" s="4" t="s">
        <v>32</v>
      </c>
      <c r="C574" s="4" t="s">
        <v>23</v>
      </c>
      <c r="D574" s="4" t="s">
        <v>43</v>
      </c>
      <c r="E574" s="4" t="s">
        <v>25</v>
      </c>
      <c r="F574" s="4" t="s">
        <v>25</v>
      </c>
      <c r="G574" s="4" t="s">
        <v>25</v>
      </c>
      <c r="H574" s="4" t="s">
        <v>25</v>
      </c>
      <c r="I574" s="5">
        <v>44652</v>
      </c>
      <c r="J574" s="6">
        <v>0</v>
      </c>
      <c r="K574" s="6">
        <v>0</v>
      </c>
      <c r="L574" s="6">
        <v>1.5760000000000001</v>
      </c>
      <c r="M574" s="6">
        <v>1.5760000000000001</v>
      </c>
      <c r="N574" s="6">
        <v>1.5760000000000001</v>
      </c>
      <c r="O574" s="6">
        <v>1.5760000000000001</v>
      </c>
      <c r="P574" s="6">
        <v>2</v>
      </c>
      <c r="Q574" s="4" t="s">
        <v>26</v>
      </c>
      <c r="R574" s="4">
        <v>0</v>
      </c>
      <c r="S574" s="4" t="s">
        <v>309</v>
      </c>
      <c r="T574" s="4" t="s">
        <v>470</v>
      </c>
      <c r="U574" s="4">
        <v>0</v>
      </c>
      <c r="V574" s="4">
        <v>77</v>
      </c>
      <c r="W574" s="4">
        <v>52</v>
      </c>
    </row>
    <row r="575" spans="1:23" ht="11.25" customHeight="1" x14ac:dyDescent="0.3">
      <c r="A575" s="4" t="s">
        <v>21</v>
      </c>
      <c r="B575" s="4" t="s">
        <v>32</v>
      </c>
      <c r="C575" s="4" t="s">
        <v>23</v>
      </c>
      <c r="D575" s="4" t="s">
        <v>43</v>
      </c>
      <c r="E575" s="4" t="s">
        <v>25</v>
      </c>
      <c r="F575" s="4" t="s">
        <v>25</v>
      </c>
      <c r="G575" s="4" t="s">
        <v>25</v>
      </c>
      <c r="H575" s="4" t="s">
        <v>25</v>
      </c>
      <c r="I575" s="5">
        <v>44682</v>
      </c>
      <c r="J575" s="6">
        <v>0</v>
      </c>
      <c r="K575" s="6">
        <v>0</v>
      </c>
      <c r="L575" s="6">
        <v>70.241</v>
      </c>
      <c r="M575" s="6">
        <v>70.241</v>
      </c>
      <c r="N575" s="6">
        <v>70.241</v>
      </c>
      <c r="O575" s="6">
        <v>70.241</v>
      </c>
      <c r="P575" s="6">
        <v>73</v>
      </c>
      <c r="Q575" s="4" t="s">
        <v>26</v>
      </c>
      <c r="R575" s="4">
        <v>0</v>
      </c>
      <c r="S575" s="4" t="s">
        <v>310</v>
      </c>
      <c r="T575" s="4" t="s">
        <v>471</v>
      </c>
      <c r="U575" s="4">
        <v>0</v>
      </c>
      <c r="V575" s="4">
        <v>77</v>
      </c>
      <c r="W575" s="4">
        <v>52</v>
      </c>
    </row>
    <row r="576" spans="1:23" ht="11.25" customHeight="1" x14ac:dyDescent="0.3">
      <c r="A576" s="4" t="s">
        <v>27</v>
      </c>
      <c r="B576" s="4" t="s">
        <v>32</v>
      </c>
      <c r="C576" s="4" t="s">
        <v>23</v>
      </c>
      <c r="D576" s="4" t="s">
        <v>43</v>
      </c>
      <c r="E576" s="4" t="s">
        <v>25</v>
      </c>
      <c r="F576" s="4" t="s">
        <v>25</v>
      </c>
      <c r="G576" s="4" t="s">
        <v>25</v>
      </c>
      <c r="H576" s="4" t="s">
        <v>25</v>
      </c>
      <c r="I576" s="5">
        <v>44682</v>
      </c>
      <c r="J576" s="6">
        <v>0</v>
      </c>
      <c r="K576" s="6">
        <v>0</v>
      </c>
      <c r="L576" s="6">
        <v>0.2</v>
      </c>
      <c r="M576" s="6">
        <v>0.2</v>
      </c>
      <c r="N576" s="6">
        <v>0.2</v>
      </c>
      <c r="O576" s="6">
        <v>0.2</v>
      </c>
      <c r="P576" s="6">
        <v>2</v>
      </c>
      <c r="Q576" s="4" t="s">
        <v>26</v>
      </c>
      <c r="R576" s="4">
        <v>0</v>
      </c>
      <c r="S576" s="4" t="s">
        <v>310</v>
      </c>
      <c r="T576" s="4" t="s">
        <v>471</v>
      </c>
      <c r="U576" s="4">
        <v>0</v>
      </c>
      <c r="V576" s="4">
        <v>77</v>
      </c>
      <c r="W576" s="4">
        <v>52</v>
      </c>
    </row>
    <row r="577" spans="1:23" ht="11.25" customHeight="1" x14ac:dyDescent="0.3">
      <c r="A577" s="4" t="s">
        <v>21</v>
      </c>
      <c r="B577" s="4" t="s">
        <v>32</v>
      </c>
      <c r="C577" s="4" t="s">
        <v>23</v>
      </c>
      <c r="D577" s="4" t="s">
        <v>43</v>
      </c>
      <c r="E577" s="4" t="s">
        <v>25</v>
      </c>
      <c r="F577" s="4" t="s">
        <v>25</v>
      </c>
      <c r="G577" s="4" t="s">
        <v>25</v>
      </c>
      <c r="H577" s="4" t="s">
        <v>25</v>
      </c>
      <c r="I577" s="5">
        <v>44713</v>
      </c>
      <c r="J577" s="6">
        <v>0</v>
      </c>
      <c r="K577" s="6">
        <v>0</v>
      </c>
      <c r="L577" s="6">
        <v>68.995000000000005</v>
      </c>
      <c r="M577" s="6">
        <v>68.995000000000005</v>
      </c>
      <c r="N577" s="6">
        <v>68.995000000000005</v>
      </c>
      <c r="O577" s="6">
        <v>68.995000000000005</v>
      </c>
      <c r="P577" s="6">
        <v>73</v>
      </c>
      <c r="Q577" s="4" t="s">
        <v>26</v>
      </c>
      <c r="R577" s="4">
        <v>0</v>
      </c>
      <c r="S577" s="4" t="s">
        <v>311</v>
      </c>
      <c r="T577" s="4" t="s">
        <v>472</v>
      </c>
      <c r="U577" s="4">
        <v>0</v>
      </c>
      <c r="V577" s="4">
        <v>77</v>
      </c>
      <c r="W577" s="4">
        <v>52</v>
      </c>
    </row>
    <row r="578" spans="1:23" ht="11.25" customHeight="1" x14ac:dyDescent="0.3">
      <c r="A578" s="4" t="s">
        <v>27</v>
      </c>
      <c r="B578" s="4" t="s">
        <v>32</v>
      </c>
      <c r="C578" s="4" t="s">
        <v>23</v>
      </c>
      <c r="D578" s="4" t="s">
        <v>43</v>
      </c>
      <c r="E578" s="4" t="s">
        <v>25</v>
      </c>
      <c r="F578" s="4" t="s">
        <v>25</v>
      </c>
      <c r="G578" s="4" t="s">
        <v>25</v>
      </c>
      <c r="H578" s="4" t="s">
        <v>25</v>
      </c>
      <c r="I578" s="5">
        <v>44713</v>
      </c>
      <c r="J578" s="6">
        <v>0</v>
      </c>
      <c r="K578" s="6">
        <v>0</v>
      </c>
      <c r="L578" s="6">
        <v>0.63</v>
      </c>
      <c r="M578" s="6">
        <v>0.63</v>
      </c>
      <c r="N578" s="6">
        <v>0.63</v>
      </c>
      <c r="O578" s="6">
        <v>0.63</v>
      </c>
      <c r="P578" s="6">
        <v>2</v>
      </c>
      <c r="Q578" s="4" t="s">
        <v>26</v>
      </c>
      <c r="R578" s="4">
        <v>0</v>
      </c>
      <c r="S578" s="4" t="s">
        <v>311</v>
      </c>
      <c r="T578" s="4" t="s">
        <v>472</v>
      </c>
      <c r="U578" s="4">
        <v>0</v>
      </c>
      <c r="V578" s="4">
        <v>77</v>
      </c>
      <c r="W578" s="4">
        <v>52</v>
      </c>
    </row>
    <row r="579" spans="1:23" ht="11.25" customHeight="1" x14ac:dyDescent="0.3">
      <c r="A579" s="4" t="s">
        <v>21</v>
      </c>
      <c r="B579" s="4" t="s">
        <v>32</v>
      </c>
      <c r="C579" s="4" t="s">
        <v>23</v>
      </c>
      <c r="D579" s="4" t="s">
        <v>43</v>
      </c>
      <c r="E579" s="4" t="s">
        <v>25</v>
      </c>
      <c r="F579" s="4" t="s">
        <v>25</v>
      </c>
      <c r="G579" s="4" t="s">
        <v>25</v>
      </c>
      <c r="H579" s="4" t="s">
        <v>25</v>
      </c>
      <c r="I579" s="5">
        <v>44743</v>
      </c>
      <c r="J579" s="6">
        <v>0</v>
      </c>
      <c r="K579" s="6">
        <v>0</v>
      </c>
      <c r="L579" s="6">
        <v>70.135999999999996</v>
      </c>
      <c r="M579" s="6">
        <v>70.135999999999996</v>
      </c>
      <c r="N579" s="6">
        <v>70.135999999999996</v>
      </c>
      <c r="O579" s="6">
        <v>70.135999999999996</v>
      </c>
      <c r="P579" s="6">
        <v>73</v>
      </c>
      <c r="Q579" s="4" t="s">
        <v>26</v>
      </c>
      <c r="R579" s="4">
        <v>0</v>
      </c>
      <c r="S579" s="4" t="s">
        <v>312</v>
      </c>
      <c r="T579" s="4" t="s">
        <v>473</v>
      </c>
      <c r="U579" s="4">
        <v>0</v>
      </c>
      <c r="V579" s="4">
        <v>77</v>
      </c>
      <c r="W579" s="4">
        <v>52</v>
      </c>
    </row>
    <row r="580" spans="1:23" ht="11.25" customHeight="1" x14ac:dyDescent="0.3">
      <c r="A580" s="4" t="s">
        <v>27</v>
      </c>
      <c r="B580" s="4" t="s">
        <v>32</v>
      </c>
      <c r="C580" s="4" t="s">
        <v>23</v>
      </c>
      <c r="D580" s="4" t="s">
        <v>43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44743</v>
      </c>
      <c r="J580" s="6">
        <v>0</v>
      </c>
      <c r="K580" s="6">
        <v>0</v>
      </c>
      <c r="L580" s="6">
        <v>0.68200000000000005</v>
      </c>
      <c r="M580" s="6">
        <v>0.68200000000000005</v>
      </c>
      <c r="N580" s="6">
        <v>0.68200000000000005</v>
      </c>
      <c r="O580" s="6">
        <v>0.68200000000000005</v>
      </c>
      <c r="P580" s="6">
        <v>2</v>
      </c>
      <c r="Q580" s="4" t="s">
        <v>26</v>
      </c>
      <c r="R580" s="4">
        <v>0</v>
      </c>
      <c r="S580" s="4" t="s">
        <v>312</v>
      </c>
      <c r="T580" s="4" t="s">
        <v>473</v>
      </c>
      <c r="U580" s="4">
        <v>0</v>
      </c>
      <c r="V580" s="4">
        <v>77</v>
      </c>
      <c r="W580" s="4">
        <v>52</v>
      </c>
    </row>
    <row r="581" spans="1:23" ht="11.25" customHeight="1" x14ac:dyDescent="0.3">
      <c r="A581" s="4" t="s">
        <v>21</v>
      </c>
      <c r="B581" s="4" t="s">
        <v>32</v>
      </c>
      <c r="C581" s="4" t="s">
        <v>23</v>
      </c>
      <c r="D581" s="4" t="s">
        <v>47</v>
      </c>
      <c r="E581" s="4" t="s">
        <v>48</v>
      </c>
      <c r="F581" s="4" t="s">
        <v>25</v>
      </c>
      <c r="G581" s="4" t="s">
        <v>25</v>
      </c>
      <c r="H581" s="4" t="s">
        <v>25</v>
      </c>
      <c r="I581" s="5">
        <v>44409</v>
      </c>
      <c r="J581" s="6">
        <v>0</v>
      </c>
      <c r="K581" s="6">
        <v>0</v>
      </c>
      <c r="L581" s="6">
        <v>35.756999999999998</v>
      </c>
      <c r="M581" s="6">
        <v>33.611579999999996</v>
      </c>
      <c r="N581" s="6">
        <v>35.756999999999998</v>
      </c>
      <c r="O581" s="6">
        <v>33.611579999999996</v>
      </c>
      <c r="P581" s="6">
        <v>32</v>
      </c>
      <c r="Q581" s="4" t="s">
        <v>26</v>
      </c>
      <c r="R581" s="4">
        <v>0</v>
      </c>
      <c r="S581" s="4" t="s">
        <v>301</v>
      </c>
      <c r="T581" s="4" t="s">
        <v>462</v>
      </c>
      <c r="U581" s="4">
        <v>0</v>
      </c>
      <c r="V581" s="4">
        <v>77</v>
      </c>
      <c r="W581" s="4">
        <v>52</v>
      </c>
    </row>
    <row r="582" spans="1:23" ht="11.25" customHeight="1" x14ac:dyDescent="0.3">
      <c r="A582" s="4" t="s">
        <v>21</v>
      </c>
      <c r="B582" s="4" t="s">
        <v>32</v>
      </c>
      <c r="C582" s="4" t="s">
        <v>23</v>
      </c>
      <c r="D582" s="4" t="s">
        <v>47</v>
      </c>
      <c r="E582" s="4" t="s">
        <v>48</v>
      </c>
      <c r="F582" s="4" t="s">
        <v>25</v>
      </c>
      <c r="G582" s="4" t="s">
        <v>25</v>
      </c>
      <c r="H582" s="4" t="s">
        <v>25</v>
      </c>
      <c r="I582" s="5">
        <v>44440</v>
      </c>
      <c r="J582" s="6">
        <v>0</v>
      </c>
      <c r="K582" s="6">
        <v>0</v>
      </c>
      <c r="L582" s="6">
        <v>42.151000000000003</v>
      </c>
      <c r="M582" s="6">
        <v>39.621940000000002</v>
      </c>
      <c r="N582" s="6">
        <v>42.151000000000003</v>
      </c>
      <c r="O582" s="6">
        <v>39.621940000000002</v>
      </c>
      <c r="P582" s="6">
        <v>32</v>
      </c>
      <c r="Q582" s="4" t="s">
        <v>26</v>
      </c>
      <c r="R582" s="4">
        <v>0</v>
      </c>
      <c r="S582" s="4" t="s">
        <v>302</v>
      </c>
      <c r="T582" s="4" t="s">
        <v>463</v>
      </c>
      <c r="U582" s="4">
        <v>0</v>
      </c>
      <c r="V582" s="4">
        <v>77</v>
      </c>
      <c r="W582" s="4">
        <v>52</v>
      </c>
    </row>
    <row r="583" spans="1:23" ht="11.25" customHeight="1" x14ac:dyDescent="0.3">
      <c r="A583" s="4" t="s">
        <v>21</v>
      </c>
      <c r="B583" s="4" t="s">
        <v>32</v>
      </c>
      <c r="C583" s="4" t="s">
        <v>23</v>
      </c>
      <c r="D583" s="4" t="s">
        <v>47</v>
      </c>
      <c r="E583" s="4" t="s">
        <v>48</v>
      </c>
      <c r="F583" s="4" t="s">
        <v>25</v>
      </c>
      <c r="G583" s="4" t="s">
        <v>25</v>
      </c>
      <c r="H583" s="4" t="s">
        <v>25</v>
      </c>
      <c r="I583" s="5">
        <v>44470</v>
      </c>
      <c r="J583" s="6">
        <v>0</v>
      </c>
      <c r="K583" s="6">
        <v>0</v>
      </c>
      <c r="L583" s="6">
        <v>39.543999999999997</v>
      </c>
      <c r="M583" s="6">
        <v>37.171359999999993</v>
      </c>
      <c r="N583" s="6">
        <v>39.543999999999997</v>
      </c>
      <c r="O583" s="6">
        <v>37.171359999999993</v>
      </c>
      <c r="P583" s="6">
        <v>32</v>
      </c>
      <c r="Q583" s="4" t="s">
        <v>26</v>
      </c>
      <c r="R583" s="4">
        <v>0</v>
      </c>
      <c r="S583" s="4" t="s">
        <v>303</v>
      </c>
      <c r="T583" s="4" t="s">
        <v>464</v>
      </c>
      <c r="U583" s="4">
        <v>0</v>
      </c>
      <c r="V583" s="4">
        <v>77</v>
      </c>
      <c r="W583" s="4">
        <v>52</v>
      </c>
    </row>
    <row r="584" spans="1:23" ht="11.25" customHeight="1" x14ac:dyDescent="0.3">
      <c r="A584" s="4" t="s">
        <v>21</v>
      </c>
      <c r="B584" s="4" t="s">
        <v>32</v>
      </c>
      <c r="C584" s="4" t="s">
        <v>23</v>
      </c>
      <c r="D584" s="4" t="s">
        <v>47</v>
      </c>
      <c r="E584" s="4" t="s">
        <v>48</v>
      </c>
      <c r="F584" s="4" t="s">
        <v>25</v>
      </c>
      <c r="G584" s="4" t="s">
        <v>25</v>
      </c>
      <c r="H584" s="4" t="s">
        <v>25</v>
      </c>
      <c r="I584" s="5">
        <v>44501</v>
      </c>
      <c r="J584" s="6">
        <v>0</v>
      </c>
      <c r="K584" s="6">
        <v>0</v>
      </c>
      <c r="L584" s="6">
        <v>37.927</v>
      </c>
      <c r="M584" s="6">
        <v>35.651380000000003</v>
      </c>
      <c r="N584" s="6">
        <v>37.927</v>
      </c>
      <c r="O584" s="6">
        <v>35.651380000000003</v>
      </c>
      <c r="P584" s="6">
        <v>32</v>
      </c>
      <c r="Q584" s="4" t="s">
        <v>26</v>
      </c>
      <c r="R584" s="4">
        <v>0</v>
      </c>
      <c r="S584" s="4" t="s">
        <v>304</v>
      </c>
      <c r="T584" s="4" t="s">
        <v>465</v>
      </c>
      <c r="U584" s="4">
        <v>0</v>
      </c>
      <c r="V584" s="4">
        <v>77</v>
      </c>
      <c r="W584" s="4">
        <v>52</v>
      </c>
    </row>
    <row r="585" spans="1:23" ht="11.25" customHeight="1" x14ac:dyDescent="0.3">
      <c r="A585" s="4" t="s">
        <v>21</v>
      </c>
      <c r="B585" s="4" t="s">
        <v>32</v>
      </c>
      <c r="C585" s="4" t="s">
        <v>23</v>
      </c>
      <c r="D585" s="4" t="s">
        <v>47</v>
      </c>
      <c r="E585" s="4" t="s">
        <v>48</v>
      </c>
      <c r="F585" s="4" t="s">
        <v>25</v>
      </c>
      <c r="G585" s="4" t="s">
        <v>25</v>
      </c>
      <c r="H585" s="4" t="s">
        <v>25</v>
      </c>
      <c r="I585" s="5">
        <v>44531</v>
      </c>
      <c r="J585" s="6">
        <v>0</v>
      </c>
      <c r="K585" s="6">
        <v>0</v>
      </c>
      <c r="L585" s="6">
        <v>42.985999999999997</v>
      </c>
      <c r="M585" s="6">
        <v>40.406840000000003</v>
      </c>
      <c r="N585" s="6">
        <v>42.985999999999997</v>
      </c>
      <c r="O585" s="6">
        <v>40.406840000000003</v>
      </c>
      <c r="P585" s="6">
        <v>32</v>
      </c>
      <c r="Q585" s="4" t="s">
        <v>26</v>
      </c>
      <c r="R585" s="4">
        <v>0</v>
      </c>
      <c r="S585" s="4" t="s">
        <v>305</v>
      </c>
      <c r="T585" s="4" t="s">
        <v>466</v>
      </c>
      <c r="U585" s="4">
        <v>0</v>
      </c>
      <c r="V585" s="4">
        <v>77</v>
      </c>
      <c r="W585" s="4">
        <v>52</v>
      </c>
    </row>
    <row r="586" spans="1:23" ht="11.25" customHeight="1" x14ac:dyDescent="0.3">
      <c r="A586" s="4" t="s">
        <v>21</v>
      </c>
      <c r="B586" s="4" t="s">
        <v>32</v>
      </c>
      <c r="C586" s="4" t="s">
        <v>23</v>
      </c>
      <c r="D586" s="4" t="s">
        <v>47</v>
      </c>
      <c r="E586" s="4" t="s">
        <v>48</v>
      </c>
      <c r="F586" s="4" t="s">
        <v>25</v>
      </c>
      <c r="G586" s="4" t="s">
        <v>25</v>
      </c>
      <c r="H586" s="4" t="s">
        <v>25</v>
      </c>
      <c r="I586" s="5">
        <v>44562</v>
      </c>
      <c r="J586" s="6">
        <v>0</v>
      </c>
      <c r="K586" s="6">
        <v>0</v>
      </c>
      <c r="L586" s="6">
        <v>47.173999999999999</v>
      </c>
      <c r="M586" s="6">
        <v>44.343559999999997</v>
      </c>
      <c r="N586" s="6">
        <v>47.173999999999999</v>
      </c>
      <c r="O586" s="6">
        <v>44.343559999999997</v>
      </c>
      <c r="P586" s="6">
        <v>32</v>
      </c>
      <c r="Q586" s="4" t="s">
        <v>26</v>
      </c>
      <c r="R586" s="4">
        <v>0</v>
      </c>
      <c r="S586" s="4" t="s">
        <v>306</v>
      </c>
      <c r="T586" s="4" t="s">
        <v>467</v>
      </c>
      <c r="U586" s="4">
        <v>0</v>
      </c>
      <c r="V586" s="4">
        <v>77</v>
      </c>
      <c r="W586" s="4">
        <v>52</v>
      </c>
    </row>
    <row r="587" spans="1:23" ht="11.25" customHeight="1" x14ac:dyDescent="0.3">
      <c r="A587" s="4" t="s">
        <v>21</v>
      </c>
      <c r="B587" s="4" t="s">
        <v>32</v>
      </c>
      <c r="C587" s="4" t="s">
        <v>23</v>
      </c>
      <c r="D587" s="4" t="s">
        <v>47</v>
      </c>
      <c r="E587" s="4" t="s">
        <v>48</v>
      </c>
      <c r="F587" s="4" t="s">
        <v>25</v>
      </c>
      <c r="G587" s="4" t="s">
        <v>25</v>
      </c>
      <c r="H587" s="4" t="s">
        <v>25</v>
      </c>
      <c r="I587" s="5">
        <v>44593</v>
      </c>
      <c r="J587" s="6">
        <v>0</v>
      </c>
      <c r="K587" s="6">
        <v>0</v>
      </c>
      <c r="L587" s="6">
        <v>51.765999999999998</v>
      </c>
      <c r="M587" s="6">
        <v>48.660040000000002</v>
      </c>
      <c r="N587" s="6">
        <v>51.765999999999998</v>
      </c>
      <c r="O587" s="6">
        <v>48.660040000000002</v>
      </c>
      <c r="P587" s="6">
        <v>32</v>
      </c>
      <c r="Q587" s="4" t="s">
        <v>26</v>
      </c>
      <c r="R587" s="4">
        <v>0</v>
      </c>
      <c r="S587" s="4" t="s">
        <v>307</v>
      </c>
      <c r="T587" s="4" t="s">
        <v>468</v>
      </c>
      <c r="U587" s="4">
        <v>0</v>
      </c>
      <c r="V587" s="4">
        <v>77</v>
      </c>
      <c r="W587" s="4">
        <v>52</v>
      </c>
    </row>
    <row r="588" spans="1:23" ht="11.25" customHeight="1" x14ac:dyDescent="0.3">
      <c r="A588" s="4" t="s">
        <v>21</v>
      </c>
      <c r="B588" s="4" t="s">
        <v>32</v>
      </c>
      <c r="C588" s="4" t="s">
        <v>23</v>
      </c>
      <c r="D588" s="4" t="s">
        <v>47</v>
      </c>
      <c r="E588" s="4" t="s">
        <v>48</v>
      </c>
      <c r="F588" s="4" t="s">
        <v>25</v>
      </c>
      <c r="G588" s="4" t="s">
        <v>25</v>
      </c>
      <c r="H588" s="4" t="s">
        <v>25</v>
      </c>
      <c r="I588" s="5">
        <v>44621</v>
      </c>
      <c r="J588" s="6">
        <v>0</v>
      </c>
      <c r="K588" s="6">
        <v>0</v>
      </c>
      <c r="L588" s="6">
        <v>43.442</v>
      </c>
      <c r="M588" s="6">
        <v>40.835479999999997</v>
      </c>
      <c r="N588" s="6">
        <v>43.442</v>
      </c>
      <c r="O588" s="6">
        <v>40.835479999999997</v>
      </c>
      <c r="P588" s="6">
        <v>32</v>
      </c>
      <c r="Q588" s="4" t="s">
        <v>26</v>
      </c>
      <c r="R588" s="4">
        <v>0</v>
      </c>
      <c r="S588" s="4" t="s">
        <v>308</v>
      </c>
      <c r="T588" s="4" t="s">
        <v>469</v>
      </c>
      <c r="U588" s="4">
        <v>0</v>
      </c>
      <c r="V588" s="4">
        <v>77</v>
      </c>
      <c r="W588" s="4">
        <v>52</v>
      </c>
    </row>
    <row r="589" spans="1:23" ht="11.25" customHeight="1" x14ac:dyDescent="0.3">
      <c r="A589" s="4" t="s">
        <v>21</v>
      </c>
      <c r="B589" s="4" t="s">
        <v>32</v>
      </c>
      <c r="C589" s="4" t="s">
        <v>23</v>
      </c>
      <c r="D589" s="4" t="s">
        <v>47</v>
      </c>
      <c r="E589" s="4" t="s">
        <v>48</v>
      </c>
      <c r="F589" s="4" t="s">
        <v>25</v>
      </c>
      <c r="G589" s="4" t="s">
        <v>25</v>
      </c>
      <c r="H589" s="4" t="s">
        <v>25</v>
      </c>
      <c r="I589" s="5">
        <v>44652</v>
      </c>
      <c r="J589" s="6">
        <v>0</v>
      </c>
      <c r="K589" s="6">
        <v>0</v>
      </c>
      <c r="L589" s="6">
        <v>43.895000000000003</v>
      </c>
      <c r="M589" s="6">
        <v>41.261299999999999</v>
      </c>
      <c r="N589" s="6">
        <v>43.895000000000003</v>
      </c>
      <c r="O589" s="6">
        <v>41.261299999999999</v>
      </c>
      <c r="P589" s="6">
        <v>32</v>
      </c>
      <c r="Q589" s="4" t="s">
        <v>26</v>
      </c>
      <c r="R589" s="4">
        <v>0</v>
      </c>
      <c r="S589" s="4" t="s">
        <v>309</v>
      </c>
      <c r="T589" s="4" t="s">
        <v>470</v>
      </c>
      <c r="U589" s="4">
        <v>0</v>
      </c>
      <c r="V589" s="4">
        <v>77</v>
      </c>
      <c r="W589" s="4">
        <v>52</v>
      </c>
    </row>
    <row r="590" spans="1:23" ht="11.25" customHeight="1" x14ac:dyDescent="0.3">
      <c r="A590" s="4" t="s">
        <v>21</v>
      </c>
      <c r="B590" s="4" t="s">
        <v>32</v>
      </c>
      <c r="C590" s="4" t="s">
        <v>23</v>
      </c>
      <c r="D590" s="4" t="s">
        <v>47</v>
      </c>
      <c r="E590" s="4" t="s">
        <v>48</v>
      </c>
      <c r="F590" s="4" t="s">
        <v>25</v>
      </c>
      <c r="G590" s="4" t="s">
        <v>25</v>
      </c>
      <c r="H590" s="4" t="s">
        <v>25</v>
      </c>
      <c r="I590" s="5">
        <v>44682</v>
      </c>
      <c r="J590" s="6">
        <v>0</v>
      </c>
      <c r="K590" s="6">
        <v>0</v>
      </c>
      <c r="L590" s="6">
        <v>40.804000000000002</v>
      </c>
      <c r="M590" s="6">
        <v>38.355759999999997</v>
      </c>
      <c r="N590" s="6">
        <v>40.804000000000002</v>
      </c>
      <c r="O590" s="6">
        <v>38.355759999999997</v>
      </c>
      <c r="P590" s="6">
        <v>32</v>
      </c>
      <c r="Q590" s="4" t="s">
        <v>26</v>
      </c>
      <c r="R590" s="4">
        <v>0</v>
      </c>
      <c r="S590" s="4" t="s">
        <v>310</v>
      </c>
      <c r="T590" s="4" t="s">
        <v>471</v>
      </c>
      <c r="U590" s="4">
        <v>0</v>
      </c>
      <c r="V590" s="4">
        <v>77</v>
      </c>
      <c r="W590" s="4">
        <v>52</v>
      </c>
    </row>
    <row r="591" spans="1:23" ht="11.25" customHeight="1" x14ac:dyDescent="0.3">
      <c r="A591" s="4" t="s">
        <v>21</v>
      </c>
      <c r="B591" s="4" t="s">
        <v>32</v>
      </c>
      <c r="C591" s="4" t="s">
        <v>23</v>
      </c>
      <c r="D591" s="4" t="s">
        <v>47</v>
      </c>
      <c r="E591" s="4" t="s">
        <v>48</v>
      </c>
      <c r="F591" s="4" t="s">
        <v>25</v>
      </c>
      <c r="G591" s="4" t="s">
        <v>25</v>
      </c>
      <c r="H591" s="4" t="s">
        <v>25</v>
      </c>
      <c r="I591" s="5">
        <v>44713</v>
      </c>
      <c r="J591" s="6">
        <v>0</v>
      </c>
      <c r="K591" s="6">
        <v>0</v>
      </c>
      <c r="L591" s="6">
        <v>38.534999999999997</v>
      </c>
      <c r="M591" s="6">
        <v>36.222900000000003</v>
      </c>
      <c r="N591" s="6">
        <v>38.534999999999997</v>
      </c>
      <c r="O591" s="6">
        <v>36.222900000000003</v>
      </c>
      <c r="P591" s="6">
        <v>32</v>
      </c>
      <c r="Q591" s="4" t="s">
        <v>26</v>
      </c>
      <c r="R591" s="4">
        <v>0</v>
      </c>
      <c r="S591" s="4" t="s">
        <v>311</v>
      </c>
      <c r="T591" s="4" t="s">
        <v>472</v>
      </c>
      <c r="U591" s="4">
        <v>0</v>
      </c>
      <c r="V591" s="4">
        <v>77</v>
      </c>
      <c r="W591" s="4">
        <v>52</v>
      </c>
    </row>
    <row r="592" spans="1:23" ht="11.25" customHeight="1" x14ac:dyDescent="0.3">
      <c r="A592" s="4" t="s">
        <v>21</v>
      </c>
      <c r="B592" s="4" t="s">
        <v>32</v>
      </c>
      <c r="C592" s="4" t="s">
        <v>23</v>
      </c>
      <c r="D592" s="4" t="s">
        <v>47</v>
      </c>
      <c r="E592" s="4" t="s">
        <v>48</v>
      </c>
      <c r="F592" s="4" t="s">
        <v>25</v>
      </c>
      <c r="G592" s="4" t="s">
        <v>25</v>
      </c>
      <c r="H592" s="4" t="s">
        <v>25</v>
      </c>
      <c r="I592" s="5">
        <v>44743</v>
      </c>
      <c r="J592" s="6">
        <v>0</v>
      </c>
      <c r="K592" s="6">
        <v>0</v>
      </c>
      <c r="L592" s="6">
        <v>35.773000000000003</v>
      </c>
      <c r="M592" s="6">
        <v>33.626620000000003</v>
      </c>
      <c r="N592" s="6">
        <v>35.773000000000003</v>
      </c>
      <c r="O592" s="6">
        <v>33.626620000000003</v>
      </c>
      <c r="P592" s="6">
        <v>32</v>
      </c>
      <c r="Q592" s="4" t="s">
        <v>26</v>
      </c>
      <c r="R592" s="4">
        <v>0</v>
      </c>
      <c r="S592" s="4" t="s">
        <v>312</v>
      </c>
      <c r="T592" s="4" t="s">
        <v>473</v>
      </c>
      <c r="U592" s="4">
        <v>0</v>
      </c>
      <c r="V592" s="4">
        <v>77</v>
      </c>
      <c r="W592" s="4">
        <v>52</v>
      </c>
    </row>
    <row r="593" spans="1:23" ht="11.25" customHeight="1" x14ac:dyDescent="0.3">
      <c r="A593" s="4" t="s">
        <v>21</v>
      </c>
      <c r="B593" s="4" t="s">
        <v>44</v>
      </c>
      <c r="C593" s="4" t="s">
        <v>23</v>
      </c>
      <c r="D593" s="4" t="s">
        <v>45</v>
      </c>
      <c r="E593" s="4" t="s">
        <v>46</v>
      </c>
      <c r="F593" s="4" t="s">
        <v>25</v>
      </c>
      <c r="G593" s="4" t="s">
        <v>25</v>
      </c>
      <c r="H593" s="4" t="s">
        <v>25</v>
      </c>
      <c r="I593" s="5">
        <v>44409</v>
      </c>
      <c r="J593" s="6">
        <v>0</v>
      </c>
      <c r="K593" s="6">
        <v>0</v>
      </c>
      <c r="L593" s="6">
        <v>214.02199999999999</v>
      </c>
      <c r="M593" s="6">
        <v>214.02199999999999</v>
      </c>
      <c r="N593" s="6">
        <v>214.02199999999999</v>
      </c>
      <c r="O593" s="6">
        <v>214.02199999999999</v>
      </c>
      <c r="P593" s="6">
        <v>2</v>
      </c>
      <c r="Q593" s="4" t="s">
        <v>26</v>
      </c>
      <c r="R593" s="4">
        <v>0</v>
      </c>
      <c r="S593" s="4" t="s">
        <v>313</v>
      </c>
      <c r="T593" s="4" t="s">
        <v>474</v>
      </c>
      <c r="U593" s="4">
        <v>0</v>
      </c>
      <c r="V593" s="4">
        <v>79</v>
      </c>
      <c r="W593" s="4">
        <v>56</v>
      </c>
    </row>
    <row r="594" spans="1:23" ht="11.25" customHeight="1" x14ac:dyDescent="0.3">
      <c r="A594" s="4" t="s">
        <v>21</v>
      </c>
      <c r="B594" s="4" t="s">
        <v>44</v>
      </c>
      <c r="C594" s="4" t="s">
        <v>23</v>
      </c>
      <c r="D594" s="4" t="s">
        <v>45</v>
      </c>
      <c r="E594" s="4" t="s">
        <v>46</v>
      </c>
      <c r="F594" s="4" t="s">
        <v>25</v>
      </c>
      <c r="G594" s="4" t="s">
        <v>25</v>
      </c>
      <c r="H594" s="4" t="s">
        <v>25</v>
      </c>
      <c r="I594" s="5">
        <v>44440</v>
      </c>
      <c r="J594" s="6">
        <v>0</v>
      </c>
      <c r="K594" s="6">
        <v>0</v>
      </c>
      <c r="L594" s="6">
        <v>192.84399999999999</v>
      </c>
      <c r="M594" s="6">
        <v>192.84399999999999</v>
      </c>
      <c r="N594" s="6">
        <v>192.84399999999999</v>
      </c>
      <c r="O594" s="6">
        <v>192.84399999999999</v>
      </c>
      <c r="P594" s="6">
        <v>2</v>
      </c>
      <c r="Q594" s="4" t="s">
        <v>26</v>
      </c>
      <c r="R594" s="4">
        <v>0</v>
      </c>
      <c r="S594" s="4" t="s">
        <v>314</v>
      </c>
      <c r="T594" s="4" t="s">
        <v>475</v>
      </c>
      <c r="U594" s="4">
        <v>0</v>
      </c>
      <c r="V594" s="4">
        <v>79</v>
      </c>
      <c r="W594" s="4">
        <v>56</v>
      </c>
    </row>
    <row r="595" spans="1:23" ht="11.25" customHeight="1" x14ac:dyDescent="0.3">
      <c r="A595" s="4" t="s">
        <v>21</v>
      </c>
      <c r="B595" s="4" t="s">
        <v>44</v>
      </c>
      <c r="C595" s="4" t="s">
        <v>23</v>
      </c>
      <c r="D595" s="4" t="s">
        <v>45</v>
      </c>
      <c r="E595" s="4" t="s">
        <v>46</v>
      </c>
      <c r="F595" s="4" t="s">
        <v>25</v>
      </c>
      <c r="G595" s="4" t="s">
        <v>25</v>
      </c>
      <c r="H595" s="4" t="s">
        <v>25</v>
      </c>
      <c r="I595" s="5">
        <v>44470</v>
      </c>
      <c r="J595" s="6">
        <v>0</v>
      </c>
      <c r="K595" s="6">
        <v>0</v>
      </c>
      <c r="L595" s="6">
        <v>191.751</v>
      </c>
      <c r="M595" s="6">
        <v>191.751</v>
      </c>
      <c r="N595" s="6">
        <v>191.751</v>
      </c>
      <c r="O595" s="6">
        <v>191.751</v>
      </c>
      <c r="P595" s="6">
        <v>2</v>
      </c>
      <c r="Q595" s="4" t="s">
        <v>26</v>
      </c>
      <c r="R595" s="4">
        <v>0</v>
      </c>
      <c r="S595" s="4" t="s">
        <v>315</v>
      </c>
      <c r="T595" s="4" t="s">
        <v>476</v>
      </c>
      <c r="U595" s="4">
        <v>0</v>
      </c>
      <c r="V595" s="4">
        <v>79</v>
      </c>
      <c r="W595" s="4">
        <v>56</v>
      </c>
    </row>
    <row r="596" spans="1:23" ht="11.25" customHeight="1" x14ac:dyDescent="0.3">
      <c r="A596" s="4" t="s">
        <v>21</v>
      </c>
      <c r="B596" s="4" t="s">
        <v>44</v>
      </c>
      <c r="C596" s="4" t="s">
        <v>23</v>
      </c>
      <c r="D596" s="4" t="s">
        <v>45</v>
      </c>
      <c r="E596" s="4" t="s">
        <v>46</v>
      </c>
      <c r="F596" s="4" t="s">
        <v>25</v>
      </c>
      <c r="G596" s="4" t="s">
        <v>25</v>
      </c>
      <c r="H596" s="4" t="s">
        <v>25</v>
      </c>
      <c r="I596" s="5">
        <v>44501</v>
      </c>
      <c r="J596" s="6">
        <v>0</v>
      </c>
      <c r="K596" s="6">
        <v>0</v>
      </c>
      <c r="L596" s="6">
        <v>170.47399999999999</v>
      </c>
      <c r="M596" s="6">
        <v>170.47399999999999</v>
      </c>
      <c r="N596" s="6">
        <v>170.47399999999999</v>
      </c>
      <c r="O596" s="6">
        <v>170.47399999999999</v>
      </c>
      <c r="P596" s="6">
        <v>2</v>
      </c>
      <c r="Q596" s="4" t="s">
        <v>26</v>
      </c>
      <c r="R596" s="4">
        <v>0</v>
      </c>
      <c r="S596" s="4" t="s">
        <v>316</v>
      </c>
      <c r="T596" s="4" t="s">
        <v>477</v>
      </c>
      <c r="U596" s="4">
        <v>0</v>
      </c>
      <c r="V596" s="4">
        <v>79</v>
      </c>
      <c r="W596" s="4">
        <v>56</v>
      </c>
    </row>
    <row r="597" spans="1:23" ht="11.25" customHeight="1" x14ac:dyDescent="0.3">
      <c r="A597" s="4" t="s">
        <v>21</v>
      </c>
      <c r="B597" s="4" t="s">
        <v>44</v>
      </c>
      <c r="C597" s="4" t="s">
        <v>23</v>
      </c>
      <c r="D597" s="4" t="s">
        <v>45</v>
      </c>
      <c r="E597" s="4" t="s">
        <v>46</v>
      </c>
      <c r="F597" s="4" t="s">
        <v>25</v>
      </c>
      <c r="G597" s="4" t="s">
        <v>25</v>
      </c>
      <c r="H597" s="4" t="s">
        <v>25</v>
      </c>
      <c r="I597" s="5">
        <v>44531</v>
      </c>
      <c r="J597" s="6">
        <v>0</v>
      </c>
      <c r="K597" s="6">
        <v>0</v>
      </c>
      <c r="L597" s="6">
        <v>175.501</v>
      </c>
      <c r="M597" s="6">
        <v>175.501</v>
      </c>
      <c r="N597" s="6">
        <v>175.501</v>
      </c>
      <c r="O597" s="6">
        <v>175.501</v>
      </c>
      <c r="P597" s="6">
        <v>2</v>
      </c>
      <c r="Q597" s="4" t="s">
        <v>26</v>
      </c>
      <c r="R597" s="4">
        <v>0</v>
      </c>
      <c r="S597" s="4" t="s">
        <v>317</v>
      </c>
      <c r="T597" s="4" t="s">
        <v>478</v>
      </c>
      <c r="U597" s="4">
        <v>0</v>
      </c>
      <c r="V597" s="4">
        <v>79</v>
      </c>
      <c r="W597" s="4">
        <v>56</v>
      </c>
    </row>
    <row r="598" spans="1:23" ht="11.25" customHeight="1" x14ac:dyDescent="0.3">
      <c r="A598" s="4" t="s">
        <v>21</v>
      </c>
      <c r="B598" s="4" t="s">
        <v>44</v>
      </c>
      <c r="C598" s="4" t="s">
        <v>23</v>
      </c>
      <c r="D598" s="4" t="s">
        <v>45</v>
      </c>
      <c r="E598" s="4" t="s">
        <v>46</v>
      </c>
      <c r="F598" s="4" t="s">
        <v>25</v>
      </c>
      <c r="G598" s="4" t="s">
        <v>25</v>
      </c>
      <c r="H598" s="4" t="s">
        <v>25</v>
      </c>
      <c r="I598" s="5">
        <v>44562</v>
      </c>
      <c r="J598" s="6">
        <v>0</v>
      </c>
      <c r="K598" s="6">
        <v>0</v>
      </c>
      <c r="L598" s="6">
        <v>177.334</v>
      </c>
      <c r="M598" s="6">
        <v>177.334</v>
      </c>
      <c r="N598" s="6">
        <v>177.334</v>
      </c>
      <c r="O598" s="6">
        <v>177.334</v>
      </c>
      <c r="P598" s="6">
        <v>2</v>
      </c>
      <c r="Q598" s="4" t="s">
        <v>26</v>
      </c>
      <c r="R598" s="4">
        <v>0</v>
      </c>
      <c r="S598" s="4" t="s">
        <v>318</v>
      </c>
      <c r="T598" s="4" t="s">
        <v>479</v>
      </c>
      <c r="U598" s="4">
        <v>0</v>
      </c>
      <c r="V598" s="4">
        <v>79</v>
      </c>
      <c r="W598" s="4">
        <v>56</v>
      </c>
    </row>
    <row r="599" spans="1:23" ht="11.25" customHeight="1" x14ac:dyDescent="0.3">
      <c r="A599" s="4" t="s">
        <v>21</v>
      </c>
      <c r="B599" s="4" t="s">
        <v>44</v>
      </c>
      <c r="C599" s="4" t="s">
        <v>23</v>
      </c>
      <c r="D599" s="4" t="s">
        <v>45</v>
      </c>
      <c r="E599" s="4" t="s">
        <v>46</v>
      </c>
      <c r="F599" s="4" t="s">
        <v>25</v>
      </c>
      <c r="G599" s="4" t="s">
        <v>25</v>
      </c>
      <c r="H599" s="4" t="s">
        <v>25</v>
      </c>
      <c r="I599" s="5">
        <v>44593</v>
      </c>
      <c r="J599" s="6">
        <v>0</v>
      </c>
      <c r="K599" s="6">
        <v>0</v>
      </c>
      <c r="L599" s="6">
        <v>171.881</v>
      </c>
      <c r="M599" s="6">
        <v>171.881</v>
      </c>
      <c r="N599" s="6">
        <v>171.881</v>
      </c>
      <c r="O599" s="6">
        <v>171.881</v>
      </c>
      <c r="P599" s="6">
        <v>2</v>
      </c>
      <c r="Q599" s="4" t="s">
        <v>26</v>
      </c>
      <c r="R599" s="4">
        <v>0</v>
      </c>
      <c r="S599" s="4" t="s">
        <v>319</v>
      </c>
      <c r="T599" s="4" t="s">
        <v>480</v>
      </c>
      <c r="U599" s="4">
        <v>0</v>
      </c>
      <c r="V599" s="4">
        <v>79</v>
      </c>
      <c r="W599" s="4">
        <v>56</v>
      </c>
    </row>
    <row r="600" spans="1:23" ht="11.25" customHeight="1" x14ac:dyDescent="0.3">
      <c r="A600" s="4" t="s">
        <v>21</v>
      </c>
      <c r="B600" s="4" t="s">
        <v>44</v>
      </c>
      <c r="C600" s="4" t="s">
        <v>23</v>
      </c>
      <c r="D600" s="4" t="s">
        <v>45</v>
      </c>
      <c r="E600" s="4" t="s">
        <v>46</v>
      </c>
      <c r="F600" s="4" t="s">
        <v>25</v>
      </c>
      <c r="G600" s="4" t="s">
        <v>25</v>
      </c>
      <c r="H600" s="4" t="s">
        <v>25</v>
      </c>
      <c r="I600" s="5">
        <v>44621</v>
      </c>
      <c r="J600" s="6">
        <v>0</v>
      </c>
      <c r="K600" s="6">
        <v>0</v>
      </c>
      <c r="L600" s="6">
        <v>205.21799999999999</v>
      </c>
      <c r="M600" s="6">
        <v>205.21799999999999</v>
      </c>
      <c r="N600" s="6">
        <v>205.21799999999999</v>
      </c>
      <c r="O600" s="6">
        <v>205.21799999999999</v>
      </c>
      <c r="P600" s="6">
        <v>2</v>
      </c>
      <c r="Q600" s="4" t="s">
        <v>26</v>
      </c>
      <c r="R600" s="4">
        <v>0</v>
      </c>
      <c r="S600" s="4" t="s">
        <v>320</v>
      </c>
      <c r="T600" s="4" t="s">
        <v>481</v>
      </c>
      <c r="U600" s="4">
        <v>0</v>
      </c>
      <c r="V600" s="4">
        <v>79</v>
      </c>
      <c r="W600" s="4">
        <v>56</v>
      </c>
    </row>
    <row r="601" spans="1:23" ht="11.25" customHeight="1" x14ac:dyDescent="0.3">
      <c r="A601" s="4" t="s">
        <v>21</v>
      </c>
      <c r="B601" s="4" t="s">
        <v>44</v>
      </c>
      <c r="C601" s="4" t="s">
        <v>23</v>
      </c>
      <c r="D601" s="4" t="s">
        <v>45</v>
      </c>
      <c r="E601" s="4" t="s">
        <v>46</v>
      </c>
      <c r="F601" s="4" t="s">
        <v>25</v>
      </c>
      <c r="G601" s="4" t="s">
        <v>25</v>
      </c>
      <c r="H601" s="4" t="s">
        <v>25</v>
      </c>
      <c r="I601" s="5">
        <v>44652</v>
      </c>
      <c r="J601" s="6">
        <v>0</v>
      </c>
      <c r="K601" s="6">
        <v>0</v>
      </c>
      <c r="L601" s="6">
        <v>215.04300000000001</v>
      </c>
      <c r="M601" s="6">
        <v>215.04300000000001</v>
      </c>
      <c r="N601" s="6">
        <v>215.04300000000001</v>
      </c>
      <c r="O601" s="6">
        <v>215.04300000000001</v>
      </c>
      <c r="P601" s="6">
        <v>2</v>
      </c>
      <c r="Q601" s="4" t="s">
        <v>26</v>
      </c>
      <c r="R601" s="4">
        <v>0</v>
      </c>
      <c r="S601" s="4" t="s">
        <v>321</v>
      </c>
      <c r="T601" s="4" t="s">
        <v>482</v>
      </c>
      <c r="U601" s="4">
        <v>0</v>
      </c>
      <c r="V601" s="4">
        <v>79</v>
      </c>
      <c r="W601" s="4">
        <v>56</v>
      </c>
    </row>
    <row r="602" spans="1:23" ht="11.25" customHeight="1" x14ac:dyDescent="0.3">
      <c r="A602" s="4" t="s">
        <v>21</v>
      </c>
      <c r="B602" s="4" t="s">
        <v>44</v>
      </c>
      <c r="C602" s="4" t="s">
        <v>23</v>
      </c>
      <c r="D602" s="4" t="s">
        <v>45</v>
      </c>
      <c r="E602" s="4" t="s">
        <v>46</v>
      </c>
      <c r="F602" s="4" t="s">
        <v>25</v>
      </c>
      <c r="G602" s="4" t="s">
        <v>25</v>
      </c>
      <c r="H602" s="4" t="s">
        <v>25</v>
      </c>
      <c r="I602" s="5">
        <v>44682</v>
      </c>
      <c r="J602" s="6">
        <v>0</v>
      </c>
      <c r="K602" s="6">
        <v>0</v>
      </c>
      <c r="L602" s="6">
        <v>229.447</v>
      </c>
      <c r="M602" s="6">
        <v>229.447</v>
      </c>
      <c r="N602" s="6">
        <v>229.447</v>
      </c>
      <c r="O602" s="6">
        <v>229.447</v>
      </c>
      <c r="P602" s="6">
        <v>2</v>
      </c>
      <c r="Q602" s="4" t="s">
        <v>26</v>
      </c>
      <c r="R602" s="4">
        <v>0</v>
      </c>
      <c r="S602" s="4" t="s">
        <v>322</v>
      </c>
      <c r="T602" s="4" t="s">
        <v>483</v>
      </c>
      <c r="U602" s="4">
        <v>0</v>
      </c>
      <c r="V602" s="4">
        <v>79</v>
      </c>
      <c r="W602" s="4">
        <v>56</v>
      </c>
    </row>
    <row r="603" spans="1:23" ht="11.25" customHeight="1" x14ac:dyDescent="0.3">
      <c r="A603" s="4" t="s">
        <v>21</v>
      </c>
      <c r="B603" s="4" t="s">
        <v>44</v>
      </c>
      <c r="C603" s="4" t="s">
        <v>23</v>
      </c>
      <c r="D603" s="4" t="s">
        <v>45</v>
      </c>
      <c r="E603" s="4" t="s">
        <v>46</v>
      </c>
      <c r="F603" s="4" t="s">
        <v>25</v>
      </c>
      <c r="G603" s="4" t="s">
        <v>25</v>
      </c>
      <c r="H603" s="4" t="s">
        <v>25</v>
      </c>
      <c r="I603" s="5">
        <v>44713</v>
      </c>
      <c r="J603" s="6">
        <v>0</v>
      </c>
      <c r="K603" s="6">
        <v>0</v>
      </c>
      <c r="L603" s="6">
        <v>240.41900000000001</v>
      </c>
      <c r="M603" s="6">
        <v>240.41900000000001</v>
      </c>
      <c r="N603" s="6">
        <v>240.41900000000001</v>
      </c>
      <c r="O603" s="6">
        <v>240.41900000000001</v>
      </c>
      <c r="P603" s="6">
        <v>2</v>
      </c>
      <c r="Q603" s="4" t="s">
        <v>26</v>
      </c>
      <c r="R603" s="4">
        <v>0</v>
      </c>
      <c r="S603" s="4" t="s">
        <v>323</v>
      </c>
      <c r="T603" s="4" t="s">
        <v>484</v>
      </c>
      <c r="U603" s="4">
        <v>0</v>
      </c>
      <c r="V603" s="4">
        <v>79</v>
      </c>
      <c r="W603" s="4">
        <v>56</v>
      </c>
    </row>
    <row r="604" spans="1:23" ht="11.25" customHeight="1" x14ac:dyDescent="0.3">
      <c r="A604" s="4" t="s">
        <v>21</v>
      </c>
      <c r="B604" s="4" t="s">
        <v>44</v>
      </c>
      <c r="C604" s="4" t="s">
        <v>23</v>
      </c>
      <c r="D604" s="4" t="s">
        <v>45</v>
      </c>
      <c r="E604" s="4" t="s">
        <v>46</v>
      </c>
      <c r="F604" s="4" t="s">
        <v>25</v>
      </c>
      <c r="G604" s="4" t="s">
        <v>25</v>
      </c>
      <c r="H604" s="4" t="s">
        <v>25</v>
      </c>
      <c r="I604" s="5">
        <v>44743</v>
      </c>
      <c r="J604" s="6">
        <v>0</v>
      </c>
      <c r="K604" s="6">
        <v>0</v>
      </c>
      <c r="L604" s="6">
        <v>231.773</v>
      </c>
      <c r="M604" s="6">
        <v>231.773</v>
      </c>
      <c r="N604" s="6">
        <v>231.773</v>
      </c>
      <c r="O604" s="6">
        <v>231.773</v>
      </c>
      <c r="P604" s="6">
        <v>2</v>
      </c>
      <c r="Q604" s="4" t="s">
        <v>26</v>
      </c>
      <c r="R604" s="4">
        <v>0</v>
      </c>
      <c r="S604" s="4" t="s">
        <v>324</v>
      </c>
      <c r="T604" s="4" t="s">
        <v>485</v>
      </c>
      <c r="U604" s="4">
        <v>0</v>
      </c>
      <c r="V604" s="4">
        <v>79</v>
      </c>
      <c r="W604" s="4">
        <v>56</v>
      </c>
    </row>
  </sheetData>
  <sortState xmlns:xlrd2="http://schemas.microsoft.com/office/spreadsheetml/2017/richdata2" ref="A2:W604">
    <sortCondition ref="B2:B604"/>
    <sortCondition ref="C2:C604"/>
    <sortCondition ref="D2:D604"/>
    <sortCondition ref="E2:E604"/>
    <sortCondition ref="F2:F604"/>
    <sortCondition ref="H2:H604"/>
  </sortState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D1AE-C7BC-4B2C-81F1-640B67FFEBE1}">
  <dimension ref="A1:H63"/>
  <sheetViews>
    <sheetView showGridLines="0" workbookViewId="0">
      <selection activeCell="H1" sqref="H1"/>
    </sheetView>
  </sheetViews>
  <sheetFormatPr defaultRowHeight="11.25" customHeight="1" x14ac:dyDescent="0.3"/>
  <cols>
    <col min="1" max="1" width="11.5546875" style="8" bestFit="1" customWidth="1"/>
    <col min="2" max="2" width="15.21875" style="8" bestFit="1" customWidth="1"/>
    <col min="3" max="3" width="4.33203125" style="8" bestFit="1" customWidth="1"/>
    <col min="4" max="4" width="6.109375" style="8" bestFit="1" customWidth="1"/>
    <col min="5" max="5" width="8.109375" style="8" bestFit="1" customWidth="1"/>
    <col min="6" max="6" width="8.88671875" style="8"/>
    <col min="7" max="7" width="17.33203125" style="8" bestFit="1" customWidth="1"/>
    <col min="8" max="8" width="2" style="8" bestFit="1" customWidth="1"/>
    <col min="9" max="16384" width="8.88671875" style="8"/>
  </cols>
  <sheetData>
    <row r="1" spans="1:8" s="7" customFormat="1" ht="11.25" customHeight="1" x14ac:dyDescent="0.3">
      <c r="A1" s="7" t="s">
        <v>62</v>
      </c>
      <c r="B1" s="7" t="s">
        <v>63</v>
      </c>
      <c r="C1" s="7" t="s">
        <v>64</v>
      </c>
      <c r="D1" s="7" t="s">
        <v>65</v>
      </c>
      <c r="E1" s="7" t="s">
        <v>66</v>
      </c>
      <c r="G1" s="7" t="s">
        <v>67</v>
      </c>
      <c r="H1" s="7">
        <f>COUNTA(A:A)</f>
        <v>63</v>
      </c>
    </row>
    <row r="2" spans="1:8" ht="11.25" customHeight="1" x14ac:dyDescent="0.3">
      <c r="A2" s="8" t="s">
        <v>338</v>
      </c>
      <c r="B2" s="8" t="s">
        <v>339</v>
      </c>
      <c r="C2" s="8" t="s">
        <v>340</v>
      </c>
      <c r="D2" s="8">
        <v>98</v>
      </c>
      <c r="E2" s="8" t="s">
        <v>341</v>
      </c>
    </row>
    <row r="3" spans="1:8" ht="11.25" customHeight="1" x14ac:dyDescent="0.3">
      <c r="A3" s="8" t="s">
        <v>338</v>
      </c>
      <c r="B3" s="8" t="s">
        <v>339</v>
      </c>
      <c r="C3" s="8" t="s">
        <v>340</v>
      </c>
      <c r="D3" s="8">
        <v>99</v>
      </c>
      <c r="E3" s="8" t="s">
        <v>341</v>
      </c>
    </row>
    <row r="4" spans="1:8" ht="11.25" customHeight="1" x14ac:dyDescent="0.3">
      <c r="A4" s="8" t="s">
        <v>338</v>
      </c>
      <c r="B4" s="8" t="s">
        <v>339</v>
      </c>
      <c r="C4" s="8" t="s">
        <v>340</v>
      </c>
      <c r="D4" s="8">
        <v>100</v>
      </c>
      <c r="E4" s="8" t="s">
        <v>341</v>
      </c>
    </row>
    <row r="5" spans="1:8" ht="11.25" customHeight="1" x14ac:dyDescent="0.3">
      <c r="A5" s="8" t="s">
        <v>338</v>
      </c>
      <c r="B5" s="8" t="s">
        <v>339</v>
      </c>
      <c r="C5" s="8" t="s">
        <v>340</v>
      </c>
      <c r="D5" s="8">
        <v>101</v>
      </c>
      <c r="E5" s="8" t="s">
        <v>341</v>
      </c>
    </row>
    <row r="6" spans="1:8" ht="11.25" customHeight="1" x14ac:dyDescent="0.3">
      <c r="A6" s="8" t="s">
        <v>338</v>
      </c>
      <c r="B6" s="8" t="s">
        <v>339</v>
      </c>
      <c r="C6" s="8" t="s">
        <v>340</v>
      </c>
      <c r="D6" s="8">
        <v>102</v>
      </c>
      <c r="E6" s="8" t="s">
        <v>341</v>
      </c>
    </row>
    <row r="7" spans="1:8" ht="11.25" customHeight="1" x14ac:dyDescent="0.3">
      <c r="A7" s="8" t="s">
        <v>338</v>
      </c>
      <c r="B7" s="8" t="s">
        <v>339</v>
      </c>
      <c r="C7" s="8" t="s">
        <v>340</v>
      </c>
      <c r="D7" s="8">
        <v>103</v>
      </c>
      <c r="E7" s="8" t="s">
        <v>341</v>
      </c>
    </row>
    <row r="8" spans="1:8" ht="11.25" customHeight="1" x14ac:dyDescent="0.3">
      <c r="A8" s="8" t="s">
        <v>338</v>
      </c>
      <c r="B8" s="8" t="s">
        <v>339</v>
      </c>
      <c r="C8" s="8" t="s">
        <v>340</v>
      </c>
      <c r="D8" s="8">
        <v>104</v>
      </c>
      <c r="E8" s="8" t="s">
        <v>341</v>
      </c>
    </row>
    <row r="9" spans="1:8" ht="11.25" customHeight="1" x14ac:dyDescent="0.3">
      <c r="A9" s="8" t="s">
        <v>338</v>
      </c>
      <c r="B9" s="8" t="s">
        <v>339</v>
      </c>
      <c r="C9" s="8" t="s">
        <v>340</v>
      </c>
      <c r="D9" s="8">
        <v>105</v>
      </c>
      <c r="E9" s="8" t="s">
        <v>341</v>
      </c>
    </row>
    <row r="10" spans="1:8" ht="11.25" customHeight="1" x14ac:dyDescent="0.3">
      <c r="A10" s="8" t="s">
        <v>338</v>
      </c>
      <c r="B10" s="8" t="s">
        <v>339</v>
      </c>
      <c r="C10" s="8" t="s">
        <v>340</v>
      </c>
      <c r="D10" s="8">
        <v>106</v>
      </c>
      <c r="E10" s="8" t="s">
        <v>341</v>
      </c>
    </row>
    <row r="11" spans="1:8" ht="11.25" customHeight="1" x14ac:dyDescent="0.3">
      <c r="A11" s="8" t="s">
        <v>338</v>
      </c>
      <c r="B11" s="8" t="s">
        <v>339</v>
      </c>
      <c r="C11" s="8" t="s">
        <v>340</v>
      </c>
      <c r="D11" s="8">
        <v>107</v>
      </c>
      <c r="E11" s="8" t="s">
        <v>341</v>
      </c>
    </row>
    <row r="12" spans="1:8" ht="11.25" customHeight="1" x14ac:dyDescent="0.3">
      <c r="A12" s="8" t="s">
        <v>338</v>
      </c>
      <c r="B12" s="8" t="s">
        <v>339</v>
      </c>
      <c r="C12" s="8" t="s">
        <v>340</v>
      </c>
      <c r="D12" s="8">
        <v>108</v>
      </c>
      <c r="E12" s="8" t="s">
        <v>341</v>
      </c>
    </row>
    <row r="13" spans="1:8" ht="11.25" customHeight="1" x14ac:dyDescent="0.3">
      <c r="A13" s="8" t="s">
        <v>338</v>
      </c>
      <c r="B13" s="8" t="s">
        <v>339</v>
      </c>
      <c r="C13" s="8" t="s">
        <v>340</v>
      </c>
      <c r="D13" s="8">
        <v>109</v>
      </c>
      <c r="E13" s="8" t="s">
        <v>341</v>
      </c>
    </row>
    <row r="14" spans="1:8" ht="11.25" customHeight="1" x14ac:dyDescent="0.3">
      <c r="A14" s="8" t="s">
        <v>338</v>
      </c>
      <c r="B14" s="8" t="s">
        <v>339</v>
      </c>
      <c r="C14" s="8" t="s">
        <v>340</v>
      </c>
      <c r="D14" s="8">
        <v>110</v>
      </c>
      <c r="E14" s="8" t="s">
        <v>341</v>
      </c>
    </row>
    <row r="15" spans="1:8" ht="11.25" customHeight="1" x14ac:dyDescent="0.3">
      <c r="A15" s="8" t="s">
        <v>338</v>
      </c>
      <c r="B15" s="8" t="s">
        <v>339</v>
      </c>
      <c r="C15" s="8" t="s">
        <v>340</v>
      </c>
      <c r="D15" s="8">
        <v>111</v>
      </c>
      <c r="E15" s="8" t="s">
        <v>341</v>
      </c>
    </row>
    <row r="16" spans="1:8" ht="11.25" customHeight="1" x14ac:dyDescent="0.3">
      <c r="A16" s="8" t="s">
        <v>338</v>
      </c>
      <c r="B16" s="8" t="s">
        <v>339</v>
      </c>
      <c r="C16" s="8" t="s">
        <v>340</v>
      </c>
      <c r="D16" s="8">
        <v>112</v>
      </c>
      <c r="E16" s="8" t="s">
        <v>341</v>
      </c>
    </row>
    <row r="17" spans="1:5" ht="11.25" customHeight="1" x14ac:dyDescent="0.3">
      <c r="A17" s="8" t="s">
        <v>338</v>
      </c>
      <c r="B17" s="8" t="s">
        <v>339</v>
      </c>
      <c r="C17" s="8" t="s">
        <v>340</v>
      </c>
      <c r="D17" s="8">
        <v>113</v>
      </c>
      <c r="E17" s="8" t="s">
        <v>341</v>
      </c>
    </row>
    <row r="18" spans="1:5" ht="11.25" customHeight="1" x14ac:dyDescent="0.3">
      <c r="A18" s="8" t="s">
        <v>338</v>
      </c>
      <c r="B18" s="8" t="s">
        <v>339</v>
      </c>
      <c r="C18" s="8" t="s">
        <v>340</v>
      </c>
      <c r="D18" s="8">
        <v>114</v>
      </c>
      <c r="E18" s="8" t="s">
        <v>341</v>
      </c>
    </row>
    <row r="19" spans="1:5" ht="11.25" customHeight="1" x14ac:dyDescent="0.3">
      <c r="A19" s="8" t="s">
        <v>338</v>
      </c>
      <c r="B19" s="8" t="s">
        <v>339</v>
      </c>
      <c r="C19" s="8" t="s">
        <v>340</v>
      </c>
      <c r="D19" s="8">
        <v>115</v>
      </c>
      <c r="E19" s="8" t="s">
        <v>341</v>
      </c>
    </row>
    <row r="20" spans="1:5" ht="11.25" customHeight="1" x14ac:dyDescent="0.3">
      <c r="A20" s="8" t="s">
        <v>338</v>
      </c>
      <c r="B20" s="8" t="s">
        <v>339</v>
      </c>
      <c r="C20" s="8" t="s">
        <v>340</v>
      </c>
      <c r="D20" s="8">
        <v>116</v>
      </c>
      <c r="E20" s="8" t="s">
        <v>341</v>
      </c>
    </row>
    <row r="21" spans="1:5" ht="11.25" customHeight="1" x14ac:dyDescent="0.3">
      <c r="A21" s="8" t="s">
        <v>338</v>
      </c>
      <c r="B21" s="8" t="s">
        <v>339</v>
      </c>
      <c r="C21" s="8" t="s">
        <v>340</v>
      </c>
      <c r="D21" s="8">
        <v>117</v>
      </c>
      <c r="E21" s="8" t="s">
        <v>341</v>
      </c>
    </row>
    <row r="22" spans="1:5" ht="11.25" customHeight="1" x14ac:dyDescent="0.3">
      <c r="A22" s="8" t="s">
        <v>338</v>
      </c>
      <c r="B22" s="8" t="s">
        <v>339</v>
      </c>
      <c r="C22" s="8" t="s">
        <v>340</v>
      </c>
      <c r="D22" s="8">
        <v>118</v>
      </c>
      <c r="E22" s="8" t="s">
        <v>341</v>
      </c>
    </row>
    <row r="23" spans="1:5" ht="11.25" customHeight="1" x14ac:dyDescent="0.3">
      <c r="A23" s="8" t="s">
        <v>338</v>
      </c>
      <c r="B23" s="8" t="s">
        <v>339</v>
      </c>
      <c r="C23" s="8" t="s">
        <v>340</v>
      </c>
      <c r="D23" s="8">
        <v>119</v>
      </c>
      <c r="E23" s="8" t="s">
        <v>341</v>
      </c>
    </row>
    <row r="24" spans="1:5" ht="11.25" customHeight="1" x14ac:dyDescent="0.3">
      <c r="A24" s="8" t="s">
        <v>338</v>
      </c>
      <c r="B24" s="8" t="s">
        <v>339</v>
      </c>
      <c r="C24" s="8" t="s">
        <v>340</v>
      </c>
      <c r="D24" s="8">
        <v>120</v>
      </c>
      <c r="E24" s="8" t="s">
        <v>341</v>
      </c>
    </row>
    <row r="25" spans="1:5" ht="11.25" customHeight="1" x14ac:dyDescent="0.3">
      <c r="A25" s="8" t="s">
        <v>338</v>
      </c>
      <c r="B25" s="8" t="s">
        <v>339</v>
      </c>
      <c r="C25" s="8" t="s">
        <v>340</v>
      </c>
      <c r="D25" s="8">
        <v>121</v>
      </c>
      <c r="E25" s="8" t="s">
        <v>341</v>
      </c>
    </row>
    <row r="26" spans="1:5" ht="11.25" customHeight="1" x14ac:dyDescent="0.3">
      <c r="A26" s="8" t="s">
        <v>338</v>
      </c>
      <c r="B26" s="8" t="s">
        <v>339</v>
      </c>
      <c r="C26" s="8" t="s">
        <v>340</v>
      </c>
      <c r="D26" s="8">
        <v>206</v>
      </c>
      <c r="E26" s="8" t="s">
        <v>341</v>
      </c>
    </row>
    <row r="27" spans="1:5" ht="11.25" customHeight="1" x14ac:dyDescent="0.3">
      <c r="A27" s="8" t="s">
        <v>338</v>
      </c>
      <c r="B27" s="8" t="s">
        <v>339</v>
      </c>
      <c r="C27" s="8" t="s">
        <v>340</v>
      </c>
      <c r="D27" s="8">
        <v>207</v>
      </c>
      <c r="E27" s="8" t="s">
        <v>341</v>
      </c>
    </row>
    <row r="28" spans="1:5" ht="11.25" customHeight="1" x14ac:dyDescent="0.3">
      <c r="A28" s="8" t="s">
        <v>338</v>
      </c>
      <c r="B28" s="8" t="s">
        <v>339</v>
      </c>
      <c r="C28" s="8" t="s">
        <v>340</v>
      </c>
      <c r="D28" s="8">
        <v>208</v>
      </c>
      <c r="E28" s="8" t="s">
        <v>341</v>
      </c>
    </row>
    <row r="29" spans="1:5" ht="11.25" customHeight="1" x14ac:dyDescent="0.3">
      <c r="A29" s="8" t="s">
        <v>338</v>
      </c>
      <c r="B29" s="8" t="s">
        <v>339</v>
      </c>
      <c r="C29" s="8" t="s">
        <v>340</v>
      </c>
      <c r="D29" s="8">
        <v>209</v>
      </c>
      <c r="E29" s="8" t="s">
        <v>341</v>
      </c>
    </row>
    <row r="30" spans="1:5" ht="11.25" customHeight="1" x14ac:dyDescent="0.3">
      <c r="A30" s="8" t="s">
        <v>338</v>
      </c>
      <c r="B30" s="8" t="s">
        <v>339</v>
      </c>
      <c r="C30" s="8" t="s">
        <v>340</v>
      </c>
      <c r="D30" s="8">
        <v>210</v>
      </c>
      <c r="E30" s="8" t="s">
        <v>341</v>
      </c>
    </row>
    <row r="31" spans="1:5" ht="11.25" customHeight="1" x14ac:dyDescent="0.3">
      <c r="A31" s="8" t="s">
        <v>338</v>
      </c>
      <c r="B31" s="8" t="s">
        <v>339</v>
      </c>
      <c r="C31" s="8" t="s">
        <v>340</v>
      </c>
      <c r="D31" s="8">
        <v>211</v>
      </c>
      <c r="E31" s="8" t="s">
        <v>341</v>
      </c>
    </row>
    <row r="32" spans="1:5" ht="11.25" customHeight="1" x14ac:dyDescent="0.3">
      <c r="A32" s="8" t="s">
        <v>338</v>
      </c>
      <c r="B32" s="8" t="s">
        <v>339</v>
      </c>
      <c r="C32" s="8" t="s">
        <v>340</v>
      </c>
      <c r="D32" s="8">
        <v>212</v>
      </c>
      <c r="E32" s="8" t="s">
        <v>341</v>
      </c>
    </row>
    <row r="33" spans="1:5" ht="11.25" customHeight="1" x14ac:dyDescent="0.3">
      <c r="A33" s="8" t="s">
        <v>338</v>
      </c>
      <c r="B33" s="8" t="s">
        <v>339</v>
      </c>
      <c r="C33" s="8" t="s">
        <v>340</v>
      </c>
      <c r="D33" s="8">
        <v>213</v>
      </c>
      <c r="E33" s="8" t="s">
        <v>341</v>
      </c>
    </row>
    <row r="34" spans="1:5" ht="11.25" customHeight="1" x14ac:dyDescent="0.3">
      <c r="A34" s="8" t="s">
        <v>338</v>
      </c>
      <c r="B34" s="8" t="s">
        <v>339</v>
      </c>
      <c r="C34" s="8" t="s">
        <v>340</v>
      </c>
      <c r="D34" s="8">
        <v>214</v>
      </c>
      <c r="E34" s="8" t="s">
        <v>341</v>
      </c>
    </row>
    <row r="35" spans="1:5" ht="11.25" customHeight="1" x14ac:dyDescent="0.3">
      <c r="A35" s="8" t="s">
        <v>338</v>
      </c>
      <c r="B35" s="8" t="s">
        <v>339</v>
      </c>
      <c r="C35" s="8" t="s">
        <v>340</v>
      </c>
      <c r="D35" s="8">
        <v>215</v>
      </c>
      <c r="E35" s="8" t="s">
        <v>341</v>
      </c>
    </row>
    <row r="36" spans="1:5" ht="11.25" customHeight="1" x14ac:dyDescent="0.3">
      <c r="A36" s="8" t="s">
        <v>338</v>
      </c>
      <c r="B36" s="8" t="s">
        <v>339</v>
      </c>
      <c r="C36" s="8" t="s">
        <v>340</v>
      </c>
      <c r="D36" s="8">
        <v>216</v>
      </c>
      <c r="E36" s="8" t="s">
        <v>341</v>
      </c>
    </row>
    <row r="37" spans="1:5" ht="11.25" customHeight="1" x14ac:dyDescent="0.3">
      <c r="A37" s="8" t="s">
        <v>338</v>
      </c>
      <c r="B37" s="8" t="s">
        <v>339</v>
      </c>
      <c r="C37" s="8" t="s">
        <v>340</v>
      </c>
      <c r="D37" s="8">
        <v>217</v>
      </c>
      <c r="E37" s="8" t="s">
        <v>341</v>
      </c>
    </row>
    <row r="38" spans="1:5" ht="11.25" customHeight="1" x14ac:dyDescent="0.3">
      <c r="A38" s="8" t="s">
        <v>338</v>
      </c>
      <c r="B38" s="8" t="s">
        <v>339</v>
      </c>
      <c r="C38" s="8" t="s">
        <v>340</v>
      </c>
      <c r="D38" s="8">
        <v>218</v>
      </c>
      <c r="E38" s="8" t="s">
        <v>341</v>
      </c>
    </row>
    <row r="39" spans="1:5" ht="11.25" customHeight="1" x14ac:dyDescent="0.3">
      <c r="A39" s="8" t="s">
        <v>338</v>
      </c>
      <c r="B39" s="8" t="s">
        <v>339</v>
      </c>
      <c r="C39" s="8" t="s">
        <v>340</v>
      </c>
      <c r="D39" s="8">
        <v>219</v>
      </c>
      <c r="E39" s="8" t="s">
        <v>341</v>
      </c>
    </row>
    <row r="40" spans="1:5" ht="11.25" customHeight="1" x14ac:dyDescent="0.3">
      <c r="A40" s="8" t="s">
        <v>338</v>
      </c>
      <c r="B40" s="8" t="s">
        <v>339</v>
      </c>
      <c r="C40" s="8" t="s">
        <v>340</v>
      </c>
      <c r="D40" s="8">
        <v>220</v>
      </c>
      <c r="E40" s="8" t="s">
        <v>341</v>
      </c>
    </row>
    <row r="41" spans="1:5" ht="11.25" customHeight="1" x14ac:dyDescent="0.3">
      <c r="A41" s="8" t="s">
        <v>338</v>
      </c>
      <c r="B41" s="8" t="s">
        <v>339</v>
      </c>
      <c r="C41" s="8" t="s">
        <v>340</v>
      </c>
      <c r="D41" s="8">
        <v>221</v>
      </c>
      <c r="E41" s="8" t="s">
        <v>341</v>
      </c>
    </row>
    <row r="42" spans="1:5" ht="11.25" customHeight="1" x14ac:dyDescent="0.3">
      <c r="A42" s="8" t="s">
        <v>338</v>
      </c>
      <c r="B42" s="8" t="s">
        <v>339</v>
      </c>
      <c r="C42" s="8" t="s">
        <v>340</v>
      </c>
      <c r="D42" s="8">
        <v>222</v>
      </c>
      <c r="E42" s="8" t="s">
        <v>341</v>
      </c>
    </row>
    <row r="43" spans="1:5" ht="11.25" customHeight="1" x14ac:dyDescent="0.3">
      <c r="A43" s="8" t="s">
        <v>338</v>
      </c>
      <c r="B43" s="8" t="s">
        <v>339</v>
      </c>
      <c r="C43" s="8" t="s">
        <v>340</v>
      </c>
      <c r="D43" s="8">
        <v>223</v>
      </c>
      <c r="E43" s="8" t="s">
        <v>341</v>
      </c>
    </row>
    <row r="44" spans="1:5" ht="11.25" customHeight="1" x14ac:dyDescent="0.3">
      <c r="A44" s="8" t="s">
        <v>338</v>
      </c>
      <c r="B44" s="8" t="s">
        <v>339</v>
      </c>
      <c r="C44" s="8" t="s">
        <v>340</v>
      </c>
      <c r="D44" s="8">
        <v>224</v>
      </c>
      <c r="E44" s="8" t="s">
        <v>341</v>
      </c>
    </row>
    <row r="45" spans="1:5" ht="11.25" customHeight="1" x14ac:dyDescent="0.3">
      <c r="A45" s="8" t="s">
        <v>338</v>
      </c>
      <c r="B45" s="8" t="s">
        <v>339</v>
      </c>
      <c r="C45" s="8" t="s">
        <v>340</v>
      </c>
      <c r="D45" s="8">
        <v>225</v>
      </c>
      <c r="E45" s="8" t="s">
        <v>341</v>
      </c>
    </row>
    <row r="46" spans="1:5" ht="11.25" customHeight="1" x14ac:dyDescent="0.3">
      <c r="A46" s="8" t="s">
        <v>338</v>
      </c>
      <c r="B46" s="8" t="s">
        <v>339</v>
      </c>
      <c r="C46" s="8" t="s">
        <v>340</v>
      </c>
      <c r="D46" s="8">
        <v>226</v>
      </c>
      <c r="E46" s="8" t="s">
        <v>341</v>
      </c>
    </row>
    <row r="47" spans="1:5" ht="11.25" customHeight="1" x14ac:dyDescent="0.3">
      <c r="A47" s="8" t="s">
        <v>338</v>
      </c>
      <c r="B47" s="8" t="s">
        <v>339</v>
      </c>
      <c r="C47" s="8" t="s">
        <v>340</v>
      </c>
      <c r="D47" s="8">
        <v>227</v>
      </c>
      <c r="E47" s="8" t="s">
        <v>341</v>
      </c>
    </row>
    <row r="48" spans="1:5" ht="11.25" customHeight="1" x14ac:dyDescent="0.3">
      <c r="A48" s="8" t="s">
        <v>338</v>
      </c>
      <c r="B48" s="8" t="s">
        <v>339</v>
      </c>
      <c r="C48" s="8" t="s">
        <v>340</v>
      </c>
      <c r="D48" s="8">
        <v>228</v>
      </c>
      <c r="E48" s="8" t="s">
        <v>341</v>
      </c>
    </row>
    <row r="49" spans="1:5" ht="11.25" customHeight="1" x14ac:dyDescent="0.3">
      <c r="A49" s="8" t="s">
        <v>338</v>
      </c>
      <c r="B49" s="8" t="s">
        <v>339</v>
      </c>
      <c r="C49" s="8" t="s">
        <v>340</v>
      </c>
      <c r="D49" s="8">
        <v>229</v>
      </c>
      <c r="E49" s="8" t="s">
        <v>341</v>
      </c>
    </row>
    <row r="50" spans="1:5" ht="11.25" customHeight="1" x14ac:dyDescent="0.3">
      <c r="A50" s="8" t="s">
        <v>338</v>
      </c>
      <c r="B50" s="8" t="s">
        <v>339</v>
      </c>
      <c r="C50" s="8" t="s">
        <v>340</v>
      </c>
      <c r="D50" s="8">
        <v>266</v>
      </c>
      <c r="E50" s="8" t="s">
        <v>341</v>
      </c>
    </row>
    <row r="51" spans="1:5" ht="11.25" customHeight="1" x14ac:dyDescent="0.3">
      <c r="A51" s="8" t="s">
        <v>338</v>
      </c>
      <c r="B51" s="8" t="s">
        <v>339</v>
      </c>
      <c r="C51" s="8" t="s">
        <v>340</v>
      </c>
      <c r="D51" s="8">
        <v>267</v>
      </c>
      <c r="E51" s="8" t="s">
        <v>341</v>
      </c>
    </row>
    <row r="52" spans="1:5" ht="11.25" customHeight="1" x14ac:dyDescent="0.3">
      <c r="A52" s="8" t="s">
        <v>338</v>
      </c>
      <c r="B52" s="8" t="s">
        <v>339</v>
      </c>
      <c r="C52" s="8" t="s">
        <v>340</v>
      </c>
      <c r="D52" s="8">
        <v>268</v>
      </c>
      <c r="E52" s="8" t="s">
        <v>341</v>
      </c>
    </row>
    <row r="53" spans="1:5" ht="11.25" customHeight="1" x14ac:dyDescent="0.3">
      <c r="A53" s="8" t="s">
        <v>338</v>
      </c>
      <c r="B53" s="8" t="s">
        <v>339</v>
      </c>
      <c r="C53" s="8" t="s">
        <v>340</v>
      </c>
      <c r="D53" s="8">
        <v>269</v>
      </c>
      <c r="E53" s="8" t="s">
        <v>341</v>
      </c>
    </row>
    <row r="54" spans="1:5" ht="11.25" customHeight="1" x14ac:dyDescent="0.3">
      <c r="A54" s="8" t="s">
        <v>338</v>
      </c>
      <c r="B54" s="8" t="s">
        <v>339</v>
      </c>
      <c r="C54" s="8" t="s">
        <v>340</v>
      </c>
      <c r="D54" s="8">
        <v>270</v>
      </c>
      <c r="E54" s="8" t="s">
        <v>341</v>
      </c>
    </row>
    <row r="55" spans="1:5" ht="11.25" customHeight="1" x14ac:dyDescent="0.3">
      <c r="A55" s="8" t="s">
        <v>338</v>
      </c>
      <c r="B55" s="8" t="s">
        <v>339</v>
      </c>
      <c r="C55" s="8" t="s">
        <v>340</v>
      </c>
      <c r="D55" s="8">
        <v>271</v>
      </c>
      <c r="E55" s="8" t="s">
        <v>341</v>
      </c>
    </row>
    <row r="56" spans="1:5" ht="11.25" customHeight="1" x14ac:dyDescent="0.3">
      <c r="A56" s="8" t="s">
        <v>338</v>
      </c>
      <c r="B56" s="8" t="s">
        <v>339</v>
      </c>
      <c r="C56" s="8" t="s">
        <v>340</v>
      </c>
      <c r="D56" s="8">
        <v>272</v>
      </c>
      <c r="E56" s="8" t="s">
        <v>341</v>
      </c>
    </row>
    <row r="57" spans="1:5" ht="11.25" customHeight="1" x14ac:dyDescent="0.3">
      <c r="A57" s="8" t="s">
        <v>338</v>
      </c>
      <c r="B57" s="8" t="s">
        <v>339</v>
      </c>
      <c r="C57" s="8" t="s">
        <v>340</v>
      </c>
      <c r="D57" s="8">
        <v>273</v>
      </c>
      <c r="E57" s="8" t="s">
        <v>341</v>
      </c>
    </row>
    <row r="58" spans="1:5" ht="11.25" customHeight="1" x14ac:dyDescent="0.3">
      <c r="A58" s="8" t="s">
        <v>338</v>
      </c>
      <c r="B58" s="8" t="s">
        <v>339</v>
      </c>
      <c r="C58" s="8" t="s">
        <v>340</v>
      </c>
      <c r="D58" s="8">
        <v>274</v>
      </c>
      <c r="E58" s="8" t="s">
        <v>341</v>
      </c>
    </row>
    <row r="59" spans="1:5" ht="11.25" customHeight="1" x14ac:dyDescent="0.3">
      <c r="A59" s="8" t="s">
        <v>338</v>
      </c>
      <c r="B59" s="8" t="s">
        <v>339</v>
      </c>
      <c r="C59" s="8" t="s">
        <v>340</v>
      </c>
      <c r="D59" s="8">
        <v>275</v>
      </c>
      <c r="E59" s="8" t="s">
        <v>341</v>
      </c>
    </row>
    <row r="60" spans="1:5" ht="11.25" customHeight="1" x14ac:dyDescent="0.3">
      <c r="A60" s="8" t="s">
        <v>338</v>
      </c>
      <c r="B60" s="8" t="s">
        <v>339</v>
      </c>
      <c r="C60" s="8" t="s">
        <v>340</v>
      </c>
      <c r="D60" s="8">
        <v>276</v>
      </c>
      <c r="E60" s="8" t="s">
        <v>341</v>
      </c>
    </row>
    <row r="61" spans="1:5" ht="11.25" customHeight="1" x14ac:dyDescent="0.3">
      <c r="A61" s="8" t="s">
        <v>338</v>
      </c>
      <c r="B61" s="8" t="s">
        <v>339</v>
      </c>
      <c r="C61" s="8" t="s">
        <v>340</v>
      </c>
      <c r="D61" s="8">
        <v>277</v>
      </c>
      <c r="E61" s="8" t="s">
        <v>341</v>
      </c>
    </row>
    <row r="62" spans="1:5" ht="11.25" customHeight="1" x14ac:dyDescent="0.3">
      <c r="A62" s="8" t="s">
        <v>338</v>
      </c>
      <c r="C62" s="8" t="s">
        <v>575</v>
      </c>
      <c r="D62" s="8">
        <v>40</v>
      </c>
      <c r="E62" s="8" t="s">
        <v>9</v>
      </c>
    </row>
    <row r="63" spans="1:5" ht="11.25" customHeight="1" x14ac:dyDescent="0.3">
      <c r="A63" s="8" t="s">
        <v>338</v>
      </c>
      <c r="C63" s="8" t="s">
        <v>575</v>
      </c>
      <c r="D63" s="8">
        <v>40</v>
      </c>
      <c r="E63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F9E50-F127-4496-8F98-3C2FD70CCE2B}">
  <dimension ref="A1:AX92"/>
  <sheetViews>
    <sheetView showGridLines="0" workbookViewId="0">
      <selection activeCell="O3" sqref="O3"/>
    </sheetView>
  </sheetViews>
  <sheetFormatPr defaultRowHeight="10.199999999999999" x14ac:dyDescent="0.3"/>
  <cols>
    <col min="1" max="1" width="4.33203125" style="8" bestFit="1" customWidth="1"/>
    <col min="2" max="2" width="8" style="8" bestFit="1" customWidth="1"/>
    <col min="3" max="3" width="7.6640625" style="8" bestFit="1" customWidth="1"/>
    <col min="4" max="4" width="24.6640625" style="8" bestFit="1" customWidth="1"/>
    <col min="5" max="5" width="12.6640625" style="8" bestFit="1" customWidth="1"/>
    <col min="6" max="6" width="23.109375" style="8" bestFit="1" customWidth="1"/>
    <col min="7" max="9" width="9.5546875" style="8" bestFit="1" customWidth="1"/>
    <col min="10" max="10" width="6.44140625" style="8" bestFit="1" customWidth="1"/>
    <col min="11" max="11" width="3.88671875" style="8" bestFit="1" customWidth="1"/>
    <col min="12" max="12" width="4.21875" style="8" bestFit="1" customWidth="1"/>
    <col min="13" max="13" width="5.88671875" style="8" bestFit="1" customWidth="1"/>
    <col min="14" max="14" width="5.5546875" style="8" bestFit="1" customWidth="1"/>
    <col min="15" max="15" width="10.33203125" style="8" bestFit="1" customWidth="1"/>
    <col min="16" max="16" width="9.33203125" style="8" bestFit="1" customWidth="1"/>
    <col min="17" max="16384" width="8.88671875" style="8"/>
  </cols>
  <sheetData>
    <row r="1" spans="1:50" ht="11.25" customHeight="1" x14ac:dyDescent="0.3">
      <c r="A1" s="36" t="s">
        <v>634</v>
      </c>
      <c r="B1" s="36" t="s">
        <v>625</v>
      </c>
      <c r="C1" s="36" t="s">
        <v>1</v>
      </c>
      <c r="D1" s="36" t="s">
        <v>2</v>
      </c>
      <c r="E1" s="36" t="s">
        <v>3</v>
      </c>
      <c r="F1" s="36" t="s">
        <v>4</v>
      </c>
      <c r="G1" s="36" t="s">
        <v>5</v>
      </c>
      <c r="H1" s="36" t="s">
        <v>6</v>
      </c>
      <c r="I1" s="36" t="s">
        <v>7</v>
      </c>
      <c r="J1" s="36" t="s">
        <v>626</v>
      </c>
      <c r="K1" s="36" t="s">
        <v>627</v>
      </c>
      <c r="L1" s="36" t="s">
        <v>628</v>
      </c>
      <c r="M1" s="36" t="s">
        <v>629</v>
      </c>
      <c r="N1" s="36" t="s">
        <v>630</v>
      </c>
      <c r="O1" s="36" t="s">
        <v>507</v>
      </c>
      <c r="P1" s="36" t="s">
        <v>493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3">
      <c r="A2" s="37">
        <v>1</v>
      </c>
      <c r="B2" s="37" t="s">
        <v>487</v>
      </c>
      <c r="C2" s="37" t="s">
        <v>61</v>
      </c>
      <c r="D2" s="37" t="s">
        <v>54</v>
      </c>
      <c r="E2" s="37" t="s">
        <v>25</v>
      </c>
      <c r="F2" s="37" t="s">
        <v>25</v>
      </c>
      <c r="G2" s="37" t="s">
        <v>25</v>
      </c>
      <c r="H2" s="37" t="s">
        <v>25</v>
      </c>
      <c r="I2" s="37" t="s">
        <v>36</v>
      </c>
      <c r="J2" s="37" t="s">
        <v>631</v>
      </c>
      <c r="K2" s="37" t="s">
        <v>632</v>
      </c>
      <c r="L2" s="37" t="s">
        <v>81</v>
      </c>
      <c r="M2" s="37">
        <v>2021</v>
      </c>
      <c r="N2" s="37">
        <v>0</v>
      </c>
      <c r="O2" s="37">
        <v>22.04</v>
      </c>
      <c r="P2" s="37">
        <v>0</v>
      </c>
    </row>
    <row r="3" spans="1:50" ht="11.25" customHeight="1" x14ac:dyDescent="0.3">
      <c r="A3" s="37">
        <v>2</v>
      </c>
      <c r="B3" s="37" t="s">
        <v>515</v>
      </c>
      <c r="C3" s="37" t="s">
        <v>22</v>
      </c>
      <c r="D3" s="37" t="s">
        <v>90</v>
      </c>
      <c r="E3" s="37" t="s">
        <v>24</v>
      </c>
      <c r="F3" s="37" t="s">
        <v>30</v>
      </c>
      <c r="G3" s="37" t="s">
        <v>25</v>
      </c>
      <c r="H3" s="37" t="s">
        <v>25</v>
      </c>
      <c r="I3" s="37" t="s">
        <v>25</v>
      </c>
      <c r="J3" s="37" t="s">
        <v>633</v>
      </c>
      <c r="K3" s="37" t="s">
        <v>632</v>
      </c>
      <c r="L3" s="37" t="s">
        <v>78</v>
      </c>
      <c r="M3" s="37">
        <v>2021</v>
      </c>
      <c r="N3" s="37">
        <v>0</v>
      </c>
      <c r="O3" s="37">
        <v>273.19</v>
      </c>
      <c r="P3" s="37"/>
    </row>
    <row r="4" spans="1:50" ht="11.25" customHeight="1" x14ac:dyDescent="0.3">
      <c r="A4" s="37">
        <v>3</v>
      </c>
      <c r="B4" s="37" t="s">
        <v>487</v>
      </c>
      <c r="C4" s="37" t="s">
        <v>61</v>
      </c>
      <c r="D4" s="37" t="s">
        <v>54</v>
      </c>
      <c r="E4" s="37" t="s">
        <v>25</v>
      </c>
      <c r="F4" s="37" t="s">
        <v>25</v>
      </c>
      <c r="G4" s="37" t="s">
        <v>25</v>
      </c>
      <c r="H4" s="37" t="s">
        <v>25</v>
      </c>
      <c r="I4" s="37" t="s">
        <v>37</v>
      </c>
      <c r="J4" s="37" t="s">
        <v>631</v>
      </c>
      <c r="K4" s="37" t="s">
        <v>632</v>
      </c>
      <c r="L4" s="37" t="s">
        <v>81</v>
      </c>
      <c r="M4" s="37">
        <v>2021</v>
      </c>
      <c r="N4" s="37">
        <v>0</v>
      </c>
      <c r="O4" s="37">
        <v>13.87</v>
      </c>
      <c r="P4" s="37">
        <v>0</v>
      </c>
    </row>
    <row r="5" spans="1:50" ht="11.25" customHeight="1" x14ac:dyDescent="0.3">
      <c r="A5" s="37">
        <v>4</v>
      </c>
      <c r="B5" s="37" t="s">
        <v>515</v>
      </c>
      <c r="C5" s="37" t="s">
        <v>22</v>
      </c>
      <c r="D5" s="37" t="s">
        <v>90</v>
      </c>
      <c r="E5" s="37" t="s">
        <v>24</v>
      </c>
      <c r="F5" s="37" t="s">
        <v>31</v>
      </c>
      <c r="G5" s="37" t="s">
        <v>25</v>
      </c>
      <c r="H5" s="37" t="s">
        <v>25</v>
      </c>
      <c r="I5" s="37" t="s">
        <v>25</v>
      </c>
      <c r="J5" s="37" t="s">
        <v>633</v>
      </c>
      <c r="K5" s="37" t="s">
        <v>632</v>
      </c>
      <c r="L5" s="37" t="s">
        <v>78</v>
      </c>
      <c r="M5" s="37">
        <v>2021</v>
      </c>
      <c r="N5" s="37">
        <v>0</v>
      </c>
      <c r="O5" s="37">
        <v>303.54000000000002</v>
      </c>
      <c r="P5" s="37"/>
    </row>
    <row r="6" spans="1:50" ht="11.25" customHeight="1" x14ac:dyDescent="0.3">
      <c r="A6" s="37">
        <v>5</v>
      </c>
      <c r="B6" s="37" t="s">
        <v>487</v>
      </c>
      <c r="C6" s="37" t="s">
        <v>61</v>
      </c>
      <c r="D6" s="37" t="s">
        <v>54</v>
      </c>
      <c r="E6" s="37" t="s">
        <v>25</v>
      </c>
      <c r="F6" s="37" t="s">
        <v>25</v>
      </c>
      <c r="G6" s="37" t="s">
        <v>25</v>
      </c>
      <c r="H6" s="37" t="s">
        <v>25</v>
      </c>
      <c r="I6" s="37" t="s">
        <v>25</v>
      </c>
      <c r="J6" s="37" t="s">
        <v>633</v>
      </c>
      <c r="K6" s="37" t="s">
        <v>632</v>
      </c>
      <c r="L6" s="37" t="s">
        <v>78</v>
      </c>
      <c r="M6" s="37">
        <v>2021</v>
      </c>
      <c r="N6" s="37">
        <v>0</v>
      </c>
      <c r="O6" s="37">
        <v>57.86</v>
      </c>
      <c r="P6" s="37">
        <v>41.008378093704401</v>
      </c>
    </row>
    <row r="7" spans="1:50" ht="11.25" customHeight="1" x14ac:dyDescent="0.3">
      <c r="A7" s="37">
        <v>6</v>
      </c>
      <c r="B7" s="37" t="s">
        <v>515</v>
      </c>
      <c r="C7" s="37" t="s">
        <v>22</v>
      </c>
      <c r="D7" s="37" t="s">
        <v>91</v>
      </c>
      <c r="E7" s="37" t="s">
        <v>24</v>
      </c>
      <c r="F7" s="37" t="s">
        <v>24</v>
      </c>
      <c r="G7" s="37" t="s">
        <v>25</v>
      </c>
      <c r="H7" s="37" t="s">
        <v>25</v>
      </c>
      <c r="I7" s="37" t="s">
        <v>25</v>
      </c>
      <c r="J7" s="37" t="s">
        <v>633</v>
      </c>
      <c r="K7" s="37" t="s">
        <v>632</v>
      </c>
      <c r="L7" s="37" t="s">
        <v>78</v>
      </c>
      <c r="M7" s="37">
        <v>2021</v>
      </c>
      <c r="N7" s="37">
        <v>0</v>
      </c>
      <c r="O7" s="37">
        <v>303.54000000000002</v>
      </c>
      <c r="P7" s="37"/>
    </row>
    <row r="8" spans="1:50" ht="11.25" customHeight="1" x14ac:dyDescent="0.3">
      <c r="A8" s="37">
        <v>7</v>
      </c>
      <c r="B8" s="37" t="s">
        <v>487</v>
      </c>
      <c r="C8" s="37" t="s">
        <v>61</v>
      </c>
      <c r="D8" s="37" t="s">
        <v>54</v>
      </c>
      <c r="E8" s="37" t="s">
        <v>25</v>
      </c>
      <c r="F8" s="37" t="s">
        <v>25</v>
      </c>
      <c r="G8" s="37" t="s">
        <v>85</v>
      </c>
      <c r="H8" s="37" t="s">
        <v>25</v>
      </c>
      <c r="I8" s="37" t="s">
        <v>25</v>
      </c>
      <c r="J8" s="37" t="s">
        <v>633</v>
      </c>
      <c r="K8" s="37" t="s">
        <v>632</v>
      </c>
      <c r="L8" s="37" t="s">
        <v>78</v>
      </c>
      <c r="M8" s="37">
        <v>2021</v>
      </c>
      <c r="N8" s="37">
        <v>0</v>
      </c>
      <c r="O8" s="37">
        <v>6.64</v>
      </c>
      <c r="P8" s="37">
        <v>0</v>
      </c>
    </row>
    <row r="9" spans="1:50" ht="11.25" customHeight="1" x14ac:dyDescent="0.3">
      <c r="A9" s="37">
        <v>8</v>
      </c>
      <c r="B9" s="37" t="s">
        <v>515</v>
      </c>
      <c r="C9" s="37" t="s">
        <v>22</v>
      </c>
      <c r="D9" s="37" t="s">
        <v>91</v>
      </c>
      <c r="E9" s="37" t="s">
        <v>24</v>
      </c>
      <c r="F9" s="37" t="s">
        <v>28</v>
      </c>
      <c r="G9" s="37" t="s">
        <v>25</v>
      </c>
      <c r="H9" s="37" t="s">
        <v>25</v>
      </c>
      <c r="I9" s="37" t="s">
        <v>25</v>
      </c>
      <c r="J9" s="37" t="s">
        <v>633</v>
      </c>
      <c r="K9" s="37" t="s">
        <v>632</v>
      </c>
      <c r="L9" s="37" t="s">
        <v>78</v>
      </c>
      <c r="M9" s="37">
        <v>2021</v>
      </c>
      <c r="N9" s="37">
        <v>0</v>
      </c>
      <c r="O9" s="37">
        <v>106.24</v>
      </c>
      <c r="P9" s="37"/>
    </row>
    <row r="10" spans="1:50" ht="11.25" customHeight="1" x14ac:dyDescent="0.3">
      <c r="A10" s="37">
        <v>9</v>
      </c>
      <c r="B10" s="37" t="s">
        <v>487</v>
      </c>
      <c r="C10" s="37" t="s">
        <v>34</v>
      </c>
      <c r="D10" s="37" t="s">
        <v>54</v>
      </c>
      <c r="E10" s="37" t="s">
        <v>25</v>
      </c>
      <c r="F10" s="37" t="s">
        <v>25</v>
      </c>
      <c r="G10" s="37" t="s">
        <v>25</v>
      </c>
      <c r="H10" s="37" t="s">
        <v>25</v>
      </c>
      <c r="I10" s="37" t="s">
        <v>36</v>
      </c>
      <c r="J10" s="37" t="s">
        <v>631</v>
      </c>
      <c r="K10" s="37" t="s">
        <v>632</v>
      </c>
      <c r="L10" s="37" t="s">
        <v>81</v>
      </c>
      <c r="M10" s="37">
        <v>2021</v>
      </c>
      <c r="N10" s="37">
        <v>0</v>
      </c>
      <c r="O10" s="37">
        <v>29.39</v>
      </c>
      <c r="P10" s="37">
        <v>0</v>
      </c>
    </row>
    <row r="11" spans="1:50" ht="11.25" customHeight="1" x14ac:dyDescent="0.3">
      <c r="A11" s="37">
        <v>10</v>
      </c>
      <c r="B11" s="37" t="s">
        <v>487</v>
      </c>
      <c r="C11" s="37" t="s">
        <v>34</v>
      </c>
      <c r="D11" s="37" t="s">
        <v>54</v>
      </c>
      <c r="E11" s="37" t="s">
        <v>25</v>
      </c>
      <c r="F11" s="37" t="s">
        <v>25</v>
      </c>
      <c r="G11" s="37" t="s">
        <v>25</v>
      </c>
      <c r="H11" s="37" t="s">
        <v>25</v>
      </c>
      <c r="I11" s="37" t="s">
        <v>37</v>
      </c>
      <c r="J11" s="37" t="s">
        <v>631</v>
      </c>
      <c r="K11" s="37" t="s">
        <v>632</v>
      </c>
      <c r="L11" s="37" t="s">
        <v>81</v>
      </c>
      <c r="M11" s="37">
        <v>2021</v>
      </c>
      <c r="N11" s="37">
        <v>0</v>
      </c>
      <c r="O11" s="37">
        <v>18.489999999999998</v>
      </c>
      <c r="P11" s="37">
        <v>0</v>
      </c>
    </row>
    <row r="12" spans="1:50" ht="11.25" customHeight="1" x14ac:dyDescent="0.3">
      <c r="A12" s="37">
        <v>11</v>
      </c>
      <c r="B12" s="37" t="s">
        <v>515</v>
      </c>
      <c r="C12" s="37" t="s">
        <v>22</v>
      </c>
      <c r="D12" s="37" t="s">
        <v>91</v>
      </c>
      <c r="E12" s="37" t="s">
        <v>24</v>
      </c>
      <c r="F12" s="37" t="s">
        <v>29</v>
      </c>
      <c r="G12" s="37" t="s">
        <v>25</v>
      </c>
      <c r="H12" s="37" t="s">
        <v>25</v>
      </c>
      <c r="I12" s="37" t="s">
        <v>25</v>
      </c>
      <c r="J12" s="37" t="s">
        <v>633</v>
      </c>
      <c r="K12" s="37" t="s">
        <v>632</v>
      </c>
      <c r="L12" s="37" t="s">
        <v>78</v>
      </c>
      <c r="M12" s="37">
        <v>2021</v>
      </c>
      <c r="N12" s="37">
        <v>0</v>
      </c>
      <c r="O12" s="37">
        <v>182.12</v>
      </c>
      <c r="P12" s="37"/>
    </row>
    <row r="13" spans="1:50" ht="11.25" customHeight="1" x14ac:dyDescent="0.3">
      <c r="A13" s="37">
        <v>12</v>
      </c>
      <c r="B13" s="37" t="s">
        <v>515</v>
      </c>
      <c r="C13" s="37" t="s">
        <v>22</v>
      </c>
      <c r="D13" s="37" t="s">
        <v>91</v>
      </c>
      <c r="E13" s="37" t="s">
        <v>24</v>
      </c>
      <c r="F13" s="37" t="s">
        <v>30</v>
      </c>
      <c r="G13" s="37" t="s">
        <v>25</v>
      </c>
      <c r="H13" s="37" t="s">
        <v>25</v>
      </c>
      <c r="I13" s="37" t="s">
        <v>25</v>
      </c>
      <c r="J13" s="37" t="s">
        <v>633</v>
      </c>
      <c r="K13" s="37" t="s">
        <v>632</v>
      </c>
      <c r="L13" s="37" t="s">
        <v>78</v>
      </c>
      <c r="M13" s="37">
        <v>2021</v>
      </c>
      <c r="N13" s="37">
        <v>0</v>
      </c>
      <c r="O13" s="37">
        <v>273.19</v>
      </c>
      <c r="P13" s="37"/>
    </row>
    <row r="14" spans="1:50" ht="11.25" customHeight="1" x14ac:dyDescent="0.3">
      <c r="A14" s="37">
        <v>13</v>
      </c>
      <c r="B14" s="37" t="s">
        <v>487</v>
      </c>
      <c r="C14" s="37" t="s">
        <v>34</v>
      </c>
      <c r="D14" s="37" t="s">
        <v>54</v>
      </c>
      <c r="E14" s="37" t="s">
        <v>25</v>
      </c>
      <c r="F14" s="37" t="s">
        <v>25</v>
      </c>
      <c r="G14" s="37" t="s">
        <v>25</v>
      </c>
      <c r="H14" s="37" t="s">
        <v>25</v>
      </c>
      <c r="I14" s="37" t="s">
        <v>25</v>
      </c>
      <c r="J14" s="37" t="s">
        <v>633</v>
      </c>
      <c r="K14" s="37" t="s">
        <v>632</v>
      </c>
      <c r="L14" s="37" t="s">
        <v>78</v>
      </c>
      <c r="M14" s="37">
        <v>2021</v>
      </c>
      <c r="N14" s="37">
        <v>0</v>
      </c>
      <c r="O14" s="37">
        <v>73.28</v>
      </c>
      <c r="P14" s="37">
        <v>53.249684987347599</v>
      </c>
    </row>
    <row r="15" spans="1:50" ht="11.25" customHeight="1" x14ac:dyDescent="0.3">
      <c r="A15" s="37">
        <v>14</v>
      </c>
      <c r="B15" s="37" t="s">
        <v>487</v>
      </c>
      <c r="C15" s="37" t="s">
        <v>34</v>
      </c>
      <c r="D15" s="37" t="s">
        <v>54</v>
      </c>
      <c r="E15" s="37" t="s">
        <v>25</v>
      </c>
      <c r="F15" s="37" t="s">
        <v>25</v>
      </c>
      <c r="G15" s="37" t="s">
        <v>85</v>
      </c>
      <c r="H15" s="37" t="s">
        <v>25</v>
      </c>
      <c r="I15" s="37" t="s">
        <v>25</v>
      </c>
      <c r="J15" s="37" t="s">
        <v>633</v>
      </c>
      <c r="K15" s="37" t="s">
        <v>632</v>
      </c>
      <c r="L15" s="37" t="s">
        <v>78</v>
      </c>
      <c r="M15" s="37">
        <v>2021</v>
      </c>
      <c r="N15" s="37">
        <v>0</v>
      </c>
      <c r="O15" s="37">
        <v>9.5299999999999994</v>
      </c>
      <c r="P15" s="37">
        <v>0</v>
      </c>
    </row>
    <row r="16" spans="1:50" ht="11.25" customHeight="1" x14ac:dyDescent="0.3">
      <c r="A16" s="37">
        <v>15</v>
      </c>
      <c r="B16" s="37" t="s">
        <v>515</v>
      </c>
      <c r="C16" s="37" t="s">
        <v>22</v>
      </c>
      <c r="D16" s="37" t="s">
        <v>91</v>
      </c>
      <c r="E16" s="37" t="s">
        <v>24</v>
      </c>
      <c r="F16" s="37" t="s">
        <v>31</v>
      </c>
      <c r="G16" s="37" t="s">
        <v>25</v>
      </c>
      <c r="H16" s="37" t="s">
        <v>25</v>
      </c>
      <c r="I16" s="37" t="s">
        <v>25</v>
      </c>
      <c r="J16" s="37" t="s">
        <v>633</v>
      </c>
      <c r="K16" s="37" t="s">
        <v>632</v>
      </c>
      <c r="L16" s="37" t="s">
        <v>78</v>
      </c>
      <c r="M16" s="37">
        <v>2021</v>
      </c>
      <c r="N16" s="37">
        <v>0</v>
      </c>
      <c r="O16" s="37">
        <v>303.54000000000002</v>
      </c>
      <c r="P16" s="37"/>
    </row>
    <row r="17" spans="1:16" ht="11.25" customHeight="1" x14ac:dyDescent="0.3">
      <c r="A17" s="37">
        <v>16</v>
      </c>
      <c r="B17" s="37" t="s">
        <v>515</v>
      </c>
      <c r="C17" s="37" t="s">
        <v>41</v>
      </c>
      <c r="D17" s="37" t="s">
        <v>77</v>
      </c>
      <c r="E17" s="37" t="s">
        <v>42</v>
      </c>
      <c r="F17" s="37" t="s">
        <v>25</v>
      </c>
      <c r="G17" s="37" t="s">
        <v>25</v>
      </c>
      <c r="H17" s="37" t="s">
        <v>25</v>
      </c>
      <c r="I17" s="37" t="s">
        <v>36</v>
      </c>
      <c r="J17" s="37" t="s">
        <v>633</v>
      </c>
      <c r="K17" s="37" t="s">
        <v>632</v>
      </c>
      <c r="L17" s="37" t="s">
        <v>78</v>
      </c>
      <c r="M17" s="37">
        <v>2021</v>
      </c>
      <c r="N17" s="37">
        <v>0</v>
      </c>
      <c r="O17" s="37">
        <v>429.57</v>
      </c>
      <c r="P17" s="37"/>
    </row>
    <row r="18" spans="1:16" ht="11.25" customHeight="1" x14ac:dyDescent="0.3">
      <c r="A18" s="37">
        <v>17</v>
      </c>
      <c r="B18" s="37" t="s">
        <v>487</v>
      </c>
      <c r="C18" s="37" t="s">
        <v>34</v>
      </c>
      <c r="D18" s="37" t="s">
        <v>57</v>
      </c>
      <c r="E18" s="37" t="s">
        <v>25</v>
      </c>
      <c r="F18" s="37" t="s">
        <v>25</v>
      </c>
      <c r="G18" s="37" t="s">
        <v>25</v>
      </c>
      <c r="H18" s="37" t="s">
        <v>25</v>
      </c>
      <c r="I18" s="37" t="s">
        <v>25</v>
      </c>
      <c r="J18" s="37" t="s">
        <v>631</v>
      </c>
      <c r="K18" s="37" t="s">
        <v>632</v>
      </c>
      <c r="L18" s="37" t="s">
        <v>81</v>
      </c>
      <c r="M18" s="37">
        <v>2021</v>
      </c>
      <c r="N18" s="37">
        <v>0</v>
      </c>
      <c r="O18" s="37">
        <v>6.96</v>
      </c>
      <c r="P18" s="37">
        <v>0</v>
      </c>
    </row>
    <row r="19" spans="1:16" ht="11.25" customHeight="1" x14ac:dyDescent="0.3">
      <c r="A19" s="37">
        <v>18</v>
      </c>
      <c r="B19" s="37" t="s">
        <v>487</v>
      </c>
      <c r="C19" s="37" t="s">
        <v>34</v>
      </c>
      <c r="D19" s="37" t="s">
        <v>35</v>
      </c>
      <c r="E19" s="37" t="s">
        <v>25</v>
      </c>
      <c r="F19" s="37" t="s">
        <v>25</v>
      </c>
      <c r="G19" s="37" t="s">
        <v>25</v>
      </c>
      <c r="H19" s="37" t="s">
        <v>25</v>
      </c>
      <c r="I19" s="37" t="s">
        <v>25</v>
      </c>
      <c r="J19" s="37" t="s">
        <v>631</v>
      </c>
      <c r="K19" s="37" t="s">
        <v>632</v>
      </c>
      <c r="L19" s="37" t="s">
        <v>81</v>
      </c>
      <c r="M19" s="37">
        <v>2021</v>
      </c>
      <c r="N19" s="37">
        <v>0</v>
      </c>
      <c r="O19" s="37">
        <v>18.489999999999998</v>
      </c>
      <c r="P19" s="37">
        <v>0</v>
      </c>
    </row>
    <row r="20" spans="1:16" ht="11.25" customHeight="1" x14ac:dyDescent="0.3">
      <c r="A20" s="37">
        <v>19</v>
      </c>
      <c r="B20" s="37" t="s">
        <v>515</v>
      </c>
      <c r="C20" s="37" t="s">
        <v>41</v>
      </c>
      <c r="D20" s="37" t="s">
        <v>77</v>
      </c>
      <c r="E20" s="37" t="s">
        <v>42</v>
      </c>
      <c r="F20" s="37" t="s">
        <v>25</v>
      </c>
      <c r="G20" s="37" t="s">
        <v>25</v>
      </c>
      <c r="H20" s="37" t="s">
        <v>25</v>
      </c>
      <c r="I20" s="37" t="s">
        <v>39</v>
      </c>
      <c r="J20" s="37" t="s">
        <v>633</v>
      </c>
      <c r="K20" s="37" t="s">
        <v>632</v>
      </c>
      <c r="L20" s="37" t="s">
        <v>78</v>
      </c>
      <c r="M20" s="37">
        <v>2021</v>
      </c>
      <c r="N20" s="37">
        <v>0</v>
      </c>
      <c r="O20" s="37">
        <v>252.35</v>
      </c>
      <c r="P20" s="37"/>
    </row>
    <row r="21" spans="1:16" ht="11.25" customHeight="1" x14ac:dyDescent="0.3">
      <c r="A21" s="37">
        <v>20</v>
      </c>
      <c r="B21" s="37" t="s">
        <v>515</v>
      </c>
      <c r="C21" s="37" t="s">
        <v>41</v>
      </c>
      <c r="D21" s="37" t="s">
        <v>77</v>
      </c>
      <c r="E21" s="37" t="s">
        <v>42</v>
      </c>
      <c r="F21" s="37" t="s">
        <v>25</v>
      </c>
      <c r="G21" s="37" t="s">
        <v>25</v>
      </c>
      <c r="H21" s="37" t="s">
        <v>25</v>
      </c>
      <c r="I21" s="37" t="s">
        <v>37</v>
      </c>
      <c r="J21" s="37" t="s">
        <v>633</v>
      </c>
      <c r="K21" s="37" t="s">
        <v>632</v>
      </c>
      <c r="L21" s="37" t="s">
        <v>78</v>
      </c>
      <c r="M21" s="37">
        <v>2021</v>
      </c>
      <c r="N21" s="37">
        <v>0</v>
      </c>
      <c r="O21" s="37">
        <v>252.35</v>
      </c>
      <c r="P21" s="37"/>
    </row>
    <row r="22" spans="1:16" ht="11.25" customHeight="1" x14ac:dyDescent="0.3">
      <c r="A22" s="37">
        <v>21</v>
      </c>
      <c r="B22" s="37" t="s">
        <v>487</v>
      </c>
      <c r="C22" s="37" t="s">
        <v>34</v>
      </c>
      <c r="D22" s="37" t="s">
        <v>35</v>
      </c>
      <c r="E22" s="37" t="s">
        <v>25</v>
      </c>
      <c r="F22" s="37" t="s">
        <v>25</v>
      </c>
      <c r="G22" s="37" t="s">
        <v>25</v>
      </c>
      <c r="H22" s="37" t="s">
        <v>25</v>
      </c>
      <c r="I22" s="37" t="s">
        <v>36</v>
      </c>
      <c r="J22" s="37" t="s">
        <v>633</v>
      </c>
      <c r="K22" s="37" t="s">
        <v>632</v>
      </c>
      <c r="L22" s="37" t="s">
        <v>78</v>
      </c>
      <c r="M22" s="37">
        <v>2021</v>
      </c>
      <c r="N22" s="37">
        <v>0</v>
      </c>
      <c r="O22" s="37">
        <v>789.62</v>
      </c>
      <c r="P22" s="37">
        <v>53.249684987347599</v>
      </c>
    </row>
    <row r="23" spans="1:16" ht="11.25" customHeight="1" x14ac:dyDescent="0.3">
      <c r="A23" s="37">
        <v>22</v>
      </c>
      <c r="B23" s="37" t="s">
        <v>487</v>
      </c>
      <c r="C23" s="37" t="s">
        <v>34</v>
      </c>
      <c r="D23" s="37" t="s">
        <v>35</v>
      </c>
      <c r="E23" s="37" t="s">
        <v>25</v>
      </c>
      <c r="F23" s="37" t="s">
        <v>25</v>
      </c>
      <c r="G23" s="37" t="s">
        <v>25</v>
      </c>
      <c r="H23" s="37" t="s">
        <v>25</v>
      </c>
      <c r="I23" s="37" t="s">
        <v>37</v>
      </c>
      <c r="J23" s="37" t="s">
        <v>633</v>
      </c>
      <c r="K23" s="37" t="s">
        <v>632</v>
      </c>
      <c r="L23" s="37" t="s">
        <v>78</v>
      </c>
      <c r="M23" s="37">
        <v>2021</v>
      </c>
      <c r="N23" s="37">
        <v>0</v>
      </c>
      <c r="O23" s="37">
        <v>73.28</v>
      </c>
      <c r="P23" s="37">
        <v>53.249684987347599</v>
      </c>
    </row>
    <row r="24" spans="1:16" ht="11.25" customHeight="1" x14ac:dyDescent="0.3">
      <c r="A24" s="37">
        <v>23</v>
      </c>
      <c r="B24" s="37" t="s">
        <v>515</v>
      </c>
      <c r="C24" s="37" t="s">
        <v>41</v>
      </c>
      <c r="D24" s="37" t="s">
        <v>90</v>
      </c>
      <c r="E24" s="37" t="s">
        <v>42</v>
      </c>
      <c r="F24" s="37" t="s">
        <v>25</v>
      </c>
      <c r="G24" s="37" t="s">
        <v>25</v>
      </c>
      <c r="H24" s="37" t="s">
        <v>25</v>
      </c>
      <c r="I24" s="37" t="s">
        <v>25</v>
      </c>
      <c r="J24" s="37" t="s">
        <v>633</v>
      </c>
      <c r="K24" s="37" t="s">
        <v>632</v>
      </c>
      <c r="L24" s="37" t="s">
        <v>78</v>
      </c>
      <c r="M24" s="37">
        <v>2021</v>
      </c>
      <c r="N24" s="37">
        <v>0</v>
      </c>
      <c r="O24" s="37">
        <v>267.11</v>
      </c>
      <c r="P24" s="37"/>
    </row>
    <row r="25" spans="1:16" ht="11.25" customHeight="1" x14ac:dyDescent="0.3">
      <c r="A25" s="37">
        <v>24</v>
      </c>
      <c r="B25" s="37" t="s">
        <v>515</v>
      </c>
      <c r="C25" s="37" t="s">
        <v>41</v>
      </c>
      <c r="D25" s="37" t="s">
        <v>77</v>
      </c>
      <c r="E25" s="37" t="s">
        <v>42</v>
      </c>
      <c r="F25" s="37" t="s">
        <v>93</v>
      </c>
      <c r="G25" s="37" t="s">
        <v>25</v>
      </c>
      <c r="H25" s="37" t="s">
        <v>25</v>
      </c>
      <c r="I25" s="37" t="s">
        <v>36</v>
      </c>
      <c r="J25" s="37" t="s">
        <v>633</v>
      </c>
      <c r="K25" s="37" t="s">
        <v>632</v>
      </c>
      <c r="L25" s="37" t="s">
        <v>78</v>
      </c>
      <c r="M25" s="37">
        <v>2021</v>
      </c>
      <c r="N25" s="37">
        <v>0</v>
      </c>
      <c r="O25" s="37">
        <v>429.57</v>
      </c>
      <c r="P25" s="37"/>
    </row>
    <row r="26" spans="1:16" ht="11.25" customHeight="1" x14ac:dyDescent="0.3">
      <c r="A26" s="37">
        <v>25</v>
      </c>
      <c r="B26" s="37" t="s">
        <v>487</v>
      </c>
      <c r="C26" s="37" t="s">
        <v>34</v>
      </c>
      <c r="D26" s="37" t="s">
        <v>35</v>
      </c>
      <c r="E26" s="37" t="s">
        <v>25</v>
      </c>
      <c r="F26" s="37" t="s">
        <v>25</v>
      </c>
      <c r="G26" s="37" t="s">
        <v>85</v>
      </c>
      <c r="H26" s="37" t="s">
        <v>25</v>
      </c>
      <c r="I26" s="37" t="s">
        <v>36</v>
      </c>
      <c r="J26" s="37" t="s">
        <v>633</v>
      </c>
      <c r="K26" s="37" t="s">
        <v>632</v>
      </c>
      <c r="L26" s="37" t="s">
        <v>78</v>
      </c>
      <c r="M26" s="37">
        <v>2021</v>
      </c>
      <c r="N26" s="37">
        <v>0</v>
      </c>
      <c r="O26" s="37">
        <v>725.88</v>
      </c>
      <c r="P26" s="37">
        <v>0</v>
      </c>
    </row>
    <row r="27" spans="1:16" ht="11.25" customHeight="1" x14ac:dyDescent="0.3">
      <c r="A27" s="37">
        <v>26</v>
      </c>
      <c r="B27" s="37" t="s">
        <v>515</v>
      </c>
      <c r="C27" s="37" t="s">
        <v>41</v>
      </c>
      <c r="D27" s="37" t="s">
        <v>77</v>
      </c>
      <c r="E27" s="37" t="s">
        <v>42</v>
      </c>
      <c r="F27" s="37" t="s">
        <v>93</v>
      </c>
      <c r="G27" s="37" t="s">
        <v>25</v>
      </c>
      <c r="H27" s="37" t="s">
        <v>25</v>
      </c>
      <c r="I27" s="37" t="s">
        <v>39</v>
      </c>
      <c r="J27" s="37" t="s">
        <v>633</v>
      </c>
      <c r="K27" s="37" t="s">
        <v>632</v>
      </c>
      <c r="L27" s="37" t="s">
        <v>78</v>
      </c>
      <c r="M27" s="37">
        <v>2021</v>
      </c>
      <c r="N27" s="37">
        <v>0</v>
      </c>
      <c r="O27" s="37">
        <v>252.35</v>
      </c>
      <c r="P27" s="37"/>
    </row>
    <row r="28" spans="1:16" ht="11.25" customHeight="1" x14ac:dyDescent="0.3">
      <c r="A28" s="37">
        <v>27</v>
      </c>
      <c r="B28" s="37" t="s">
        <v>487</v>
      </c>
      <c r="C28" s="37" t="s">
        <v>34</v>
      </c>
      <c r="D28" s="37" t="s">
        <v>35</v>
      </c>
      <c r="E28" s="37" t="s">
        <v>25</v>
      </c>
      <c r="F28" s="37" t="s">
        <v>25</v>
      </c>
      <c r="G28" s="37" t="s">
        <v>85</v>
      </c>
      <c r="H28" s="37" t="s">
        <v>25</v>
      </c>
      <c r="I28" s="37" t="s">
        <v>37</v>
      </c>
      <c r="J28" s="37" t="s">
        <v>633</v>
      </c>
      <c r="K28" s="37" t="s">
        <v>632</v>
      </c>
      <c r="L28" s="37" t="s">
        <v>78</v>
      </c>
      <c r="M28" s="37">
        <v>2021</v>
      </c>
      <c r="N28" s="37">
        <v>0</v>
      </c>
      <c r="O28" s="37">
        <v>9.5299999999999994</v>
      </c>
      <c r="P28" s="37">
        <v>0</v>
      </c>
    </row>
    <row r="29" spans="1:16" ht="11.25" customHeight="1" x14ac:dyDescent="0.3">
      <c r="A29" s="37">
        <v>28</v>
      </c>
      <c r="B29" s="37" t="s">
        <v>515</v>
      </c>
      <c r="C29" s="37" t="s">
        <v>41</v>
      </c>
      <c r="D29" s="37" t="s">
        <v>77</v>
      </c>
      <c r="E29" s="37" t="s">
        <v>42</v>
      </c>
      <c r="F29" s="37" t="s">
        <v>93</v>
      </c>
      <c r="G29" s="37" t="s">
        <v>25</v>
      </c>
      <c r="H29" s="37" t="s">
        <v>25</v>
      </c>
      <c r="I29" s="37" t="s">
        <v>37</v>
      </c>
      <c r="J29" s="37" t="s">
        <v>633</v>
      </c>
      <c r="K29" s="37" t="s">
        <v>632</v>
      </c>
      <c r="L29" s="37" t="s">
        <v>78</v>
      </c>
      <c r="M29" s="37">
        <v>2021</v>
      </c>
      <c r="N29" s="37">
        <v>0</v>
      </c>
      <c r="O29" s="37">
        <v>252.35</v>
      </c>
      <c r="P29" s="37"/>
    </row>
    <row r="30" spans="1:16" ht="11.25" customHeight="1" x14ac:dyDescent="0.3">
      <c r="A30" s="37">
        <v>29</v>
      </c>
      <c r="B30" s="37" t="s">
        <v>487</v>
      </c>
      <c r="C30" s="37" t="s">
        <v>34</v>
      </c>
      <c r="D30" s="37" t="s">
        <v>23</v>
      </c>
      <c r="E30" s="37" t="s">
        <v>25</v>
      </c>
      <c r="F30" s="37" t="s">
        <v>25</v>
      </c>
      <c r="G30" s="37" t="s">
        <v>25</v>
      </c>
      <c r="H30" s="37" t="s">
        <v>25</v>
      </c>
      <c r="I30" s="37" t="s">
        <v>25</v>
      </c>
      <c r="J30" s="37" t="s">
        <v>631</v>
      </c>
      <c r="K30" s="37" t="s">
        <v>632</v>
      </c>
      <c r="L30" s="37" t="s">
        <v>81</v>
      </c>
      <c r="M30" s="37">
        <v>2021</v>
      </c>
      <c r="N30" s="37">
        <v>0</v>
      </c>
      <c r="O30" s="37">
        <v>39.65</v>
      </c>
      <c r="P30" s="37">
        <v>0</v>
      </c>
    </row>
    <row r="31" spans="1:16" ht="11.25" customHeight="1" x14ac:dyDescent="0.3">
      <c r="A31" s="37">
        <v>30</v>
      </c>
      <c r="B31" s="37" t="s">
        <v>487</v>
      </c>
      <c r="C31" s="37" t="s">
        <v>34</v>
      </c>
      <c r="D31" s="37" t="s">
        <v>23</v>
      </c>
      <c r="E31" s="37" t="s">
        <v>25</v>
      </c>
      <c r="F31" s="37" t="s">
        <v>25</v>
      </c>
      <c r="G31" s="37" t="s">
        <v>25</v>
      </c>
      <c r="H31" s="37" t="s">
        <v>25</v>
      </c>
      <c r="I31" s="37" t="s">
        <v>25</v>
      </c>
      <c r="J31" s="37" t="s">
        <v>633</v>
      </c>
      <c r="K31" s="37" t="s">
        <v>632</v>
      </c>
      <c r="L31" s="37" t="s">
        <v>78</v>
      </c>
      <c r="M31" s="37">
        <v>2021</v>
      </c>
      <c r="N31" s="37">
        <v>0</v>
      </c>
      <c r="O31" s="37">
        <v>73.28</v>
      </c>
      <c r="P31" s="37">
        <v>53.249684987347599</v>
      </c>
    </row>
    <row r="32" spans="1:16" ht="11.25" customHeight="1" x14ac:dyDescent="0.3">
      <c r="A32" s="37">
        <v>31</v>
      </c>
      <c r="B32" s="37" t="s">
        <v>515</v>
      </c>
      <c r="C32" s="37" t="s">
        <v>41</v>
      </c>
      <c r="D32" s="37" t="s">
        <v>90</v>
      </c>
      <c r="E32" s="37" t="s">
        <v>42</v>
      </c>
      <c r="F32" s="37" t="s">
        <v>93</v>
      </c>
      <c r="G32" s="37" t="s">
        <v>25</v>
      </c>
      <c r="H32" s="37" t="s">
        <v>25</v>
      </c>
      <c r="I32" s="37" t="s">
        <v>25</v>
      </c>
      <c r="J32" s="37" t="s">
        <v>633</v>
      </c>
      <c r="K32" s="37" t="s">
        <v>632</v>
      </c>
      <c r="L32" s="37" t="s">
        <v>78</v>
      </c>
      <c r="M32" s="37">
        <v>2021</v>
      </c>
      <c r="N32" s="37">
        <v>0</v>
      </c>
      <c r="O32" s="37">
        <v>267.11</v>
      </c>
      <c r="P32" s="37"/>
    </row>
    <row r="33" spans="1:16" ht="11.25" customHeight="1" x14ac:dyDescent="0.3">
      <c r="A33" s="37">
        <v>32</v>
      </c>
      <c r="B33" s="37" t="s">
        <v>515</v>
      </c>
      <c r="C33" s="37" t="s">
        <v>41</v>
      </c>
      <c r="D33" s="37" t="s">
        <v>77</v>
      </c>
      <c r="E33" s="37" t="s">
        <v>42</v>
      </c>
      <c r="F33" s="37" t="s">
        <v>94</v>
      </c>
      <c r="G33" s="37" t="s">
        <v>25</v>
      </c>
      <c r="H33" s="37" t="s">
        <v>25</v>
      </c>
      <c r="I33" s="37" t="s">
        <v>36</v>
      </c>
      <c r="J33" s="37" t="s">
        <v>633</v>
      </c>
      <c r="K33" s="37" t="s">
        <v>632</v>
      </c>
      <c r="L33" s="37" t="s">
        <v>78</v>
      </c>
      <c r="M33" s="37">
        <v>2021</v>
      </c>
      <c r="N33" s="37">
        <v>0</v>
      </c>
      <c r="O33" s="37">
        <v>410.04</v>
      </c>
      <c r="P33" s="37"/>
    </row>
    <row r="34" spans="1:16" ht="11.25" customHeight="1" x14ac:dyDescent="0.3">
      <c r="A34" s="37">
        <v>33</v>
      </c>
      <c r="B34" s="37" t="s">
        <v>487</v>
      </c>
      <c r="C34" s="37" t="s">
        <v>22</v>
      </c>
      <c r="D34" s="37" t="s">
        <v>38</v>
      </c>
      <c r="E34" s="37" t="s">
        <v>24</v>
      </c>
      <c r="F34" s="37" t="s">
        <v>24</v>
      </c>
      <c r="G34" s="37" t="s">
        <v>25</v>
      </c>
      <c r="H34" s="37" t="s">
        <v>25</v>
      </c>
      <c r="I34" s="37" t="s">
        <v>36</v>
      </c>
      <c r="J34" s="37" t="s">
        <v>633</v>
      </c>
      <c r="K34" s="37" t="s">
        <v>632</v>
      </c>
      <c r="L34" s="37" t="s">
        <v>78</v>
      </c>
      <c r="M34" s="37">
        <v>2021</v>
      </c>
      <c r="N34" s="37">
        <v>0</v>
      </c>
      <c r="O34" s="37">
        <v>1430.51</v>
      </c>
      <c r="P34" s="37">
        <v>61.206534468215601</v>
      </c>
    </row>
    <row r="35" spans="1:16" ht="11.25" customHeight="1" x14ac:dyDescent="0.3">
      <c r="A35" s="37">
        <v>34</v>
      </c>
      <c r="B35" s="37" t="s">
        <v>515</v>
      </c>
      <c r="C35" s="37" t="s">
        <v>41</v>
      </c>
      <c r="D35" s="37" t="s">
        <v>77</v>
      </c>
      <c r="E35" s="37" t="s">
        <v>42</v>
      </c>
      <c r="F35" s="37" t="s">
        <v>94</v>
      </c>
      <c r="G35" s="37" t="s">
        <v>25</v>
      </c>
      <c r="H35" s="37" t="s">
        <v>25</v>
      </c>
      <c r="I35" s="37" t="s">
        <v>39</v>
      </c>
      <c r="J35" s="37" t="s">
        <v>633</v>
      </c>
      <c r="K35" s="37" t="s">
        <v>632</v>
      </c>
      <c r="L35" s="37" t="s">
        <v>78</v>
      </c>
      <c r="M35" s="37">
        <v>2021</v>
      </c>
      <c r="N35" s="37">
        <v>0</v>
      </c>
      <c r="O35" s="37">
        <v>240.88</v>
      </c>
      <c r="P35" s="37"/>
    </row>
    <row r="36" spans="1:16" ht="11.25" customHeight="1" x14ac:dyDescent="0.3">
      <c r="A36" s="37">
        <v>35</v>
      </c>
      <c r="B36" s="37" t="s">
        <v>487</v>
      </c>
      <c r="C36" s="37" t="s">
        <v>22</v>
      </c>
      <c r="D36" s="37" t="s">
        <v>38</v>
      </c>
      <c r="E36" s="37" t="s">
        <v>24</v>
      </c>
      <c r="F36" s="37" t="s">
        <v>24</v>
      </c>
      <c r="G36" s="37" t="s">
        <v>25</v>
      </c>
      <c r="H36" s="37" t="s">
        <v>25</v>
      </c>
      <c r="I36" s="37" t="s">
        <v>39</v>
      </c>
      <c r="J36" s="37" t="s">
        <v>633</v>
      </c>
      <c r="K36" s="37" t="s">
        <v>632</v>
      </c>
      <c r="L36" s="37" t="s">
        <v>78</v>
      </c>
      <c r="M36" s="37">
        <v>2021</v>
      </c>
      <c r="N36" s="37">
        <v>0</v>
      </c>
      <c r="O36" s="37">
        <v>253.99</v>
      </c>
      <c r="P36" s="37">
        <v>61.206534468215601</v>
      </c>
    </row>
    <row r="37" spans="1:16" ht="11.25" customHeight="1" x14ac:dyDescent="0.3">
      <c r="A37" s="37">
        <v>36</v>
      </c>
      <c r="B37" s="37" t="s">
        <v>515</v>
      </c>
      <c r="C37" s="37" t="s">
        <v>41</v>
      </c>
      <c r="D37" s="37" t="s">
        <v>77</v>
      </c>
      <c r="E37" s="37" t="s">
        <v>42</v>
      </c>
      <c r="F37" s="37" t="s">
        <v>94</v>
      </c>
      <c r="G37" s="37" t="s">
        <v>25</v>
      </c>
      <c r="H37" s="37" t="s">
        <v>25</v>
      </c>
      <c r="I37" s="37" t="s">
        <v>37</v>
      </c>
      <c r="J37" s="37" t="s">
        <v>633</v>
      </c>
      <c r="K37" s="37" t="s">
        <v>632</v>
      </c>
      <c r="L37" s="37" t="s">
        <v>78</v>
      </c>
      <c r="M37" s="37">
        <v>2021</v>
      </c>
      <c r="N37" s="37">
        <v>0</v>
      </c>
      <c r="O37" s="37">
        <v>240.88</v>
      </c>
      <c r="P37" s="37"/>
    </row>
    <row r="38" spans="1:16" ht="11.25" customHeight="1" x14ac:dyDescent="0.3">
      <c r="A38" s="37">
        <v>37</v>
      </c>
      <c r="B38" s="37" t="s">
        <v>487</v>
      </c>
      <c r="C38" s="37" t="s">
        <v>22</v>
      </c>
      <c r="D38" s="37" t="s">
        <v>38</v>
      </c>
      <c r="E38" s="37" t="s">
        <v>24</v>
      </c>
      <c r="F38" s="37" t="s">
        <v>24</v>
      </c>
      <c r="G38" s="37" t="s">
        <v>25</v>
      </c>
      <c r="H38" s="37" t="s">
        <v>25</v>
      </c>
      <c r="I38" s="37" t="s">
        <v>37</v>
      </c>
      <c r="J38" s="37" t="s">
        <v>633</v>
      </c>
      <c r="K38" s="37" t="s">
        <v>632</v>
      </c>
      <c r="L38" s="37" t="s">
        <v>78</v>
      </c>
      <c r="M38" s="37">
        <v>2021</v>
      </c>
      <c r="N38" s="37">
        <v>0</v>
      </c>
      <c r="O38" s="37">
        <v>144.44999999999999</v>
      </c>
      <c r="P38" s="37">
        <v>61.206534468215601</v>
      </c>
    </row>
    <row r="39" spans="1:16" ht="11.25" customHeight="1" x14ac:dyDescent="0.3">
      <c r="A39" s="37">
        <v>38</v>
      </c>
      <c r="B39" s="37" t="s">
        <v>487</v>
      </c>
      <c r="C39" s="37" t="s">
        <v>22</v>
      </c>
      <c r="D39" s="37" t="s">
        <v>23</v>
      </c>
      <c r="E39" s="37" t="s">
        <v>24</v>
      </c>
      <c r="F39" s="37" t="s">
        <v>24</v>
      </c>
      <c r="G39" s="37" t="s">
        <v>25</v>
      </c>
      <c r="H39" s="37" t="s">
        <v>25</v>
      </c>
      <c r="I39" s="37" t="s">
        <v>25</v>
      </c>
      <c r="J39" s="37" t="s">
        <v>633</v>
      </c>
      <c r="K39" s="37" t="s">
        <v>632</v>
      </c>
      <c r="L39" s="37" t="s">
        <v>78</v>
      </c>
      <c r="M39" s="37">
        <v>2021</v>
      </c>
      <c r="N39" s="37">
        <v>0</v>
      </c>
      <c r="O39" s="37">
        <v>343.17</v>
      </c>
      <c r="P39" s="37">
        <v>61.206534468215601</v>
      </c>
    </row>
    <row r="40" spans="1:16" ht="11.25" customHeight="1" x14ac:dyDescent="0.3">
      <c r="A40" s="37">
        <v>39</v>
      </c>
      <c r="B40" s="37" t="s">
        <v>515</v>
      </c>
      <c r="C40" s="37" t="s">
        <v>41</v>
      </c>
      <c r="D40" s="37" t="s">
        <v>90</v>
      </c>
      <c r="E40" s="37" t="s">
        <v>42</v>
      </c>
      <c r="F40" s="37" t="s">
        <v>94</v>
      </c>
      <c r="G40" s="37" t="s">
        <v>25</v>
      </c>
      <c r="H40" s="37" t="s">
        <v>25</v>
      </c>
      <c r="I40" s="37" t="s">
        <v>25</v>
      </c>
      <c r="J40" s="37" t="s">
        <v>633</v>
      </c>
      <c r="K40" s="37" t="s">
        <v>632</v>
      </c>
      <c r="L40" s="37" t="s">
        <v>78</v>
      </c>
      <c r="M40" s="37">
        <v>2021</v>
      </c>
      <c r="N40" s="37">
        <v>0</v>
      </c>
      <c r="O40" s="37">
        <v>254.97</v>
      </c>
      <c r="P40" s="37"/>
    </row>
    <row r="41" spans="1:16" ht="11.25" customHeight="1" x14ac:dyDescent="0.3">
      <c r="A41" s="37">
        <v>40</v>
      </c>
      <c r="B41" s="37" t="s">
        <v>515</v>
      </c>
      <c r="C41" s="37" t="s">
        <v>41</v>
      </c>
      <c r="D41" s="37" t="s">
        <v>91</v>
      </c>
      <c r="E41" s="37" t="s">
        <v>42</v>
      </c>
      <c r="F41" s="37" t="s">
        <v>25</v>
      </c>
      <c r="G41" s="37" t="s">
        <v>25</v>
      </c>
      <c r="H41" s="37" t="s">
        <v>25</v>
      </c>
      <c r="I41" s="37" t="s">
        <v>25</v>
      </c>
      <c r="J41" s="37" t="s">
        <v>633</v>
      </c>
      <c r="K41" s="37" t="s">
        <v>632</v>
      </c>
      <c r="L41" s="37" t="s">
        <v>78</v>
      </c>
      <c r="M41" s="37">
        <v>2021</v>
      </c>
      <c r="N41" s="37">
        <v>0</v>
      </c>
      <c r="O41" s="37">
        <v>267.11</v>
      </c>
      <c r="P41" s="37"/>
    </row>
    <row r="42" spans="1:16" ht="11.25" customHeight="1" x14ac:dyDescent="0.3">
      <c r="A42" s="37">
        <v>41</v>
      </c>
      <c r="B42" s="37" t="s">
        <v>487</v>
      </c>
      <c r="C42" s="37" t="s">
        <v>22</v>
      </c>
      <c r="D42" s="37" t="s">
        <v>23</v>
      </c>
      <c r="E42" s="37" t="s">
        <v>24</v>
      </c>
      <c r="F42" s="37" t="s">
        <v>28</v>
      </c>
      <c r="G42" s="37" t="s">
        <v>25</v>
      </c>
      <c r="H42" s="37" t="s">
        <v>25</v>
      </c>
      <c r="I42" s="37" t="s">
        <v>25</v>
      </c>
      <c r="J42" s="37" t="s">
        <v>633</v>
      </c>
      <c r="K42" s="37" t="s">
        <v>632</v>
      </c>
      <c r="L42" s="37" t="s">
        <v>78</v>
      </c>
      <c r="M42" s="37">
        <v>2021</v>
      </c>
      <c r="N42" s="37">
        <v>0</v>
      </c>
      <c r="O42" s="37">
        <v>94.95</v>
      </c>
      <c r="P42" s="37">
        <v>0</v>
      </c>
    </row>
    <row r="43" spans="1:16" ht="11.25" customHeight="1" x14ac:dyDescent="0.3">
      <c r="A43" s="37">
        <v>42</v>
      </c>
      <c r="B43" s="37" t="s">
        <v>487</v>
      </c>
      <c r="C43" s="37" t="s">
        <v>22</v>
      </c>
      <c r="D43" s="37" t="s">
        <v>23</v>
      </c>
      <c r="E43" s="37" t="s">
        <v>24</v>
      </c>
      <c r="F43" s="37" t="s">
        <v>29</v>
      </c>
      <c r="G43" s="37" t="s">
        <v>25</v>
      </c>
      <c r="H43" s="37" t="s">
        <v>25</v>
      </c>
      <c r="I43" s="37" t="s">
        <v>25</v>
      </c>
      <c r="J43" s="37" t="s">
        <v>633</v>
      </c>
      <c r="K43" s="37" t="s">
        <v>632</v>
      </c>
      <c r="L43" s="37" t="s">
        <v>78</v>
      </c>
      <c r="M43" s="37">
        <v>2021</v>
      </c>
      <c r="N43" s="37">
        <v>0</v>
      </c>
      <c r="O43" s="37">
        <v>162.77000000000001</v>
      </c>
      <c r="P43" s="37">
        <v>0</v>
      </c>
    </row>
    <row r="44" spans="1:16" ht="11.25" customHeight="1" x14ac:dyDescent="0.3">
      <c r="A44" s="37">
        <v>43</v>
      </c>
      <c r="B44" s="37" t="s">
        <v>515</v>
      </c>
      <c r="C44" s="37" t="s">
        <v>41</v>
      </c>
      <c r="D44" s="37" t="s">
        <v>91</v>
      </c>
      <c r="E44" s="37" t="s">
        <v>42</v>
      </c>
      <c r="F44" s="37" t="s">
        <v>93</v>
      </c>
      <c r="G44" s="37" t="s">
        <v>25</v>
      </c>
      <c r="H44" s="37" t="s">
        <v>25</v>
      </c>
      <c r="I44" s="37" t="s">
        <v>25</v>
      </c>
      <c r="J44" s="37" t="s">
        <v>633</v>
      </c>
      <c r="K44" s="37" t="s">
        <v>632</v>
      </c>
      <c r="L44" s="37" t="s">
        <v>78</v>
      </c>
      <c r="M44" s="37">
        <v>2021</v>
      </c>
      <c r="N44" s="37">
        <v>0</v>
      </c>
      <c r="O44" s="37">
        <v>267.11</v>
      </c>
      <c r="P44" s="37"/>
    </row>
    <row r="45" spans="1:16" ht="11.25" customHeight="1" x14ac:dyDescent="0.3">
      <c r="A45" s="37">
        <v>44</v>
      </c>
      <c r="B45" s="37" t="s">
        <v>515</v>
      </c>
      <c r="C45" s="37" t="s">
        <v>41</v>
      </c>
      <c r="D45" s="37" t="s">
        <v>91</v>
      </c>
      <c r="E45" s="37" t="s">
        <v>42</v>
      </c>
      <c r="F45" s="37" t="s">
        <v>94</v>
      </c>
      <c r="G45" s="37" t="s">
        <v>25</v>
      </c>
      <c r="H45" s="37" t="s">
        <v>25</v>
      </c>
      <c r="I45" s="37" t="s">
        <v>25</v>
      </c>
      <c r="J45" s="37" t="s">
        <v>633</v>
      </c>
      <c r="K45" s="37" t="s">
        <v>632</v>
      </c>
      <c r="L45" s="37" t="s">
        <v>78</v>
      </c>
      <c r="M45" s="37">
        <v>2021</v>
      </c>
      <c r="N45" s="37">
        <v>0</v>
      </c>
      <c r="O45" s="37">
        <v>254.97</v>
      </c>
      <c r="P45" s="37"/>
    </row>
    <row r="46" spans="1:16" ht="11.25" customHeight="1" x14ac:dyDescent="0.3">
      <c r="A46" s="37">
        <v>45</v>
      </c>
      <c r="B46" s="37" t="s">
        <v>487</v>
      </c>
      <c r="C46" s="37" t="s">
        <v>22</v>
      </c>
      <c r="D46" s="37" t="s">
        <v>23</v>
      </c>
      <c r="E46" s="37" t="s">
        <v>24</v>
      </c>
      <c r="F46" s="37" t="s">
        <v>30</v>
      </c>
      <c r="G46" s="37" t="s">
        <v>25</v>
      </c>
      <c r="H46" s="37" t="s">
        <v>25</v>
      </c>
      <c r="I46" s="37" t="s">
        <v>25</v>
      </c>
      <c r="J46" s="37" t="s">
        <v>633</v>
      </c>
      <c r="K46" s="37" t="s">
        <v>632</v>
      </c>
      <c r="L46" s="37" t="s">
        <v>78</v>
      </c>
      <c r="M46" s="37">
        <v>2021</v>
      </c>
      <c r="N46" s="37">
        <v>0</v>
      </c>
      <c r="O46" s="37">
        <v>244.15</v>
      </c>
      <c r="P46" s="37">
        <v>0</v>
      </c>
    </row>
    <row r="47" spans="1:16" ht="11.25" customHeight="1" x14ac:dyDescent="0.3">
      <c r="A47" s="37">
        <v>46</v>
      </c>
      <c r="B47" s="37" t="s">
        <v>487</v>
      </c>
      <c r="C47" s="37" t="s">
        <v>22</v>
      </c>
      <c r="D47" s="37" t="s">
        <v>23</v>
      </c>
      <c r="E47" s="37" t="s">
        <v>24</v>
      </c>
      <c r="F47" s="37" t="s">
        <v>31</v>
      </c>
      <c r="G47" s="37" t="s">
        <v>25</v>
      </c>
      <c r="H47" s="37" t="s">
        <v>25</v>
      </c>
      <c r="I47" s="37" t="s">
        <v>25</v>
      </c>
      <c r="J47" s="37" t="s">
        <v>633</v>
      </c>
      <c r="K47" s="37" t="s">
        <v>632</v>
      </c>
      <c r="L47" s="37" t="s">
        <v>78</v>
      </c>
      <c r="M47" s="37">
        <v>2021</v>
      </c>
      <c r="N47" s="37">
        <v>0</v>
      </c>
      <c r="O47" s="37">
        <v>271.27999999999997</v>
      </c>
      <c r="P47" s="37">
        <v>0</v>
      </c>
    </row>
    <row r="48" spans="1:16" ht="11.25" customHeight="1" x14ac:dyDescent="0.3">
      <c r="A48" s="37">
        <v>47</v>
      </c>
      <c r="B48" s="37" t="s">
        <v>515</v>
      </c>
      <c r="C48" s="37" t="s">
        <v>32</v>
      </c>
      <c r="D48" s="37" t="s">
        <v>77</v>
      </c>
      <c r="E48" s="37" t="s">
        <v>25</v>
      </c>
      <c r="F48" s="37" t="s">
        <v>25</v>
      </c>
      <c r="G48" s="37" t="s">
        <v>25</v>
      </c>
      <c r="H48" s="37" t="s">
        <v>25</v>
      </c>
      <c r="I48" s="37" t="s">
        <v>36</v>
      </c>
      <c r="J48" s="37" t="s">
        <v>633</v>
      </c>
      <c r="K48" s="37" t="s">
        <v>632</v>
      </c>
      <c r="L48" s="37" t="s">
        <v>78</v>
      </c>
      <c r="M48" s="37">
        <v>2021</v>
      </c>
      <c r="N48" s="37">
        <v>0</v>
      </c>
      <c r="O48" s="37">
        <v>488.15</v>
      </c>
      <c r="P48" s="37"/>
    </row>
    <row r="49" spans="1:16" ht="11.25" customHeight="1" x14ac:dyDescent="0.3">
      <c r="A49" s="37">
        <v>48</v>
      </c>
      <c r="B49" s="37" t="s">
        <v>515</v>
      </c>
      <c r="C49" s="37" t="s">
        <v>32</v>
      </c>
      <c r="D49" s="37" t="s">
        <v>77</v>
      </c>
      <c r="E49" s="37" t="s">
        <v>25</v>
      </c>
      <c r="F49" s="37" t="s">
        <v>25</v>
      </c>
      <c r="G49" s="37" t="s">
        <v>25</v>
      </c>
      <c r="H49" s="37" t="s">
        <v>25</v>
      </c>
      <c r="I49" s="37" t="s">
        <v>39</v>
      </c>
      <c r="J49" s="37" t="s">
        <v>633</v>
      </c>
      <c r="K49" s="37" t="s">
        <v>632</v>
      </c>
      <c r="L49" s="37" t="s">
        <v>78</v>
      </c>
      <c r="M49" s="37">
        <v>2021</v>
      </c>
      <c r="N49" s="37">
        <v>0</v>
      </c>
      <c r="O49" s="37">
        <v>286.76</v>
      </c>
      <c r="P49" s="37"/>
    </row>
    <row r="50" spans="1:16" ht="11.25" customHeight="1" x14ac:dyDescent="0.3">
      <c r="A50" s="37">
        <v>49</v>
      </c>
      <c r="B50" s="37" t="s">
        <v>487</v>
      </c>
      <c r="C50" s="37" t="s">
        <v>22</v>
      </c>
      <c r="D50" s="37" t="s">
        <v>92</v>
      </c>
      <c r="E50" s="37" t="s">
        <v>24</v>
      </c>
      <c r="F50" s="37" t="s">
        <v>24</v>
      </c>
      <c r="G50" s="37" t="s">
        <v>25</v>
      </c>
      <c r="H50" s="37" t="s">
        <v>25</v>
      </c>
      <c r="I50" s="37" t="s">
        <v>25</v>
      </c>
      <c r="J50" s="37" t="s">
        <v>633</v>
      </c>
      <c r="K50" s="37" t="s">
        <v>632</v>
      </c>
      <c r="L50" s="37" t="s">
        <v>78</v>
      </c>
      <c r="M50" s="37">
        <v>2021</v>
      </c>
      <c r="N50" s="37">
        <v>0</v>
      </c>
      <c r="O50" s="37">
        <v>343.17</v>
      </c>
      <c r="P50" s="37">
        <v>61.206534468215601</v>
      </c>
    </row>
    <row r="51" spans="1:16" ht="11.25" customHeight="1" x14ac:dyDescent="0.3">
      <c r="A51" s="37">
        <v>50</v>
      </c>
      <c r="B51" s="37" t="s">
        <v>487</v>
      </c>
      <c r="C51" s="37" t="s">
        <v>22</v>
      </c>
      <c r="D51" s="37" t="s">
        <v>92</v>
      </c>
      <c r="E51" s="37" t="s">
        <v>24</v>
      </c>
      <c r="F51" s="37" t="s">
        <v>28</v>
      </c>
      <c r="G51" s="37" t="s">
        <v>25</v>
      </c>
      <c r="H51" s="37" t="s">
        <v>25</v>
      </c>
      <c r="I51" s="37" t="s">
        <v>25</v>
      </c>
      <c r="J51" s="37" t="s">
        <v>633</v>
      </c>
      <c r="K51" s="37" t="s">
        <v>632</v>
      </c>
      <c r="L51" s="37" t="s">
        <v>78</v>
      </c>
      <c r="M51" s="37">
        <v>2021</v>
      </c>
      <c r="N51" s="37">
        <v>0</v>
      </c>
      <c r="O51" s="37">
        <v>94.95</v>
      </c>
      <c r="P51" s="37">
        <v>0</v>
      </c>
    </row>
    <row r="52" spans="1:16" ht="11.25" customHeight="1" x14ac:dyDescent="0.3">
      <c r="A52" s="37">
        <v>51</v>
      </c>
      <c r="B52" s="37" t="s">
        <v>515</v>
      </c>
      <c r="C52" s="37" t="s">
        <v>32</v>
      </c>
      <c r="D52" s="37" t="s">
        <v>77</v>
      </c>
      <c r="E52" s="37" t="s">
        <v>25</v>
      </c>
      <c r="F52" s="37" t="s">
        <v>25</v>
      </c>
      <c r="G52" s="37" t="s">
        <v>25</v>
      </c>
      <c r="H52" s="37" t="s">
        <v>25</v>
      </c>
      <c r="I52" s="37" t="s">
        <v>37</v>
      </c>
      <c r="J52" s="37" t="s">
        <v>633</v>
      </c>
      <c r="K52" s="37" t="s">
        <v>632</v>
      </c>
      <c r="L52" s="37" t="s">
        <v>78</v>
      </c>
      <c r="M52" s="37">
        <v>2021</v>
      </c>
      <c r="N52" s="37">
        <v>0</v>
      </c>
      <c r="O52" s="37">
        <v>286.76</v>
      </c>
      <c r="P52" s="37"/>
    </row>
    <row r="53" spans="1:16" ht="11.25" customHeight="1" x14ac:dyDescent="0.3">
      <c r="A53" s="37">
        <v>52</v>
      </c>
      <c r="B53" s="37" t="s">
        <v>515</v>
      </c>
      <c r="C53" s="37" t="s">
        <v>32</v>
      </c>
      <c r="D53" s="37" t="s">
        <v>90</v>
      </c>
      <c r="E53" s="37" t="s">
        <v>25</v>
      </c>
      <c r="F53" s="37" t="s">
        <v>25</v>
      </c>
      <c r="G53" s="37" t="s">
        <v>25</v>
      </c>
      <c r="H53" s="37" t="s">
        <v>25</v>
      </c>
      <c r="I53" s="37" t="s">
        <v>25</v>
      </c>
      <c r="J53" s="37" t="s">
        <v>633</v>
      </c>
      <c r="K53" s="37" t="s">
        <v>632</v>
      </c>
      <c r="L53" s="37" t="s">
        <v>78</v>
      </c>
      <c r="M53" s="37">
        <v>2021</v>
      </c>
      <c r="N53" s="37">
        <v>0</v>
      </c>
      <c r="O53" s="37">
        <v>303.54000000000002</v>
      </c>
      <c r="P53" s="37"/>
    </row>
    <row r="54" spans="1:16" ht="11.25" customHeight="1" x14ac:dyDescent="0.3">
      <c r="A54" s="37">
        <v>53</v>
      </c>
      <c r="B54" s="37" t="s">
        <v>487</v>
      </c>
      <c r="C54" s="37" t="s">
        <v>22</v>
      </c>
      <c r="D54" s="37" t="s">
        <v>92</v>
      </c>
      <c r="E54" s="37" t="s">
        <v>24</v>
      </c>
      <c r="F54" s="37" t="s">
        <v>29</v>
      </c>
      <c r="G54" s="37" t="s">
        <v>25</v>
      </c>
      <c r="H54" s="37" t="s">
        <v>25</v>
      </c>
      <c r="I54" s="37" t="s">
        <v>25</v>
      </c>
      <c r="J54" s="37" t="s">
        <v>633</v>
      </c>
      <c r="K54" s="37" t="s">
        <v>632</v>
      </c>
      <c r="L54" s="37" t="s">
        <v>78</v>
      </c>
      <c r="M54" s="37">
        <v>2021</v>
      </c>
      <c r="N54" s="37">
        <v>0</v>
      </c>
      <c r="O54" s="37">
        <v>162.77000000000001</v>
      </c>
      <c r="P54" s="37">
        <v>0</v>
      </c>
    </row>
    <row r="55" spans="1:16" ht="11.25" customHeight="1" x14ac:dyDescent="0.3">
      <c r="A55" s="37">
        <v>54</v>
      </c>
      <c r="B55" s="37" t="s">
        <v>487</v>
      </c>
      <c r="C55" s="37" t="s">
        <v>22</v>
      </c>
      <c r="D55" s="37" t="s">
        <v>92</v>
      </c>
      <c r="E55" s="37" t="s">
        <v>24</v>
      </c>
      <c r="F55" s="37" t="s">
        <v>30</v>
      </c>
      <c r="G55" s="37" t="s">
        <v>25</v>
      </c>
      <c r="H55" s="37" t="s">
        <v>25</v>
      </c>
      <c r="I55" s="37" t="s">
        <v>25</v>
      </c>
      <c r="J55" s="37" t="s">
        <v>633</v>
      </c>
      <c r="K55" s="37" t="s">
        <v>632</v>
      </c>
      <c r="L55" s="37" t="s">
        <v>78</v>
      </c>
      <c r="M55" s="37">
        <v>2021</v>
      </c>
      <c r="N55" s="37">
        <v>0</v>
      </c>
      <c r="O55" s="37">
        <v>244.15</v>
      </c>
      <c r="P55" s="37">
        <v>0</v>
      </c>
    </row>
    <row r="56" spans="1:16" ht="11.25" customHeight="1" x14ac:dyDescent="0.3">
      <c r="A56" s="37">
        <v>55</v>
      </c>
      <c r="B56" s="37" t="s">
        <v>515</v>
      </c>
      <c r="C56" s="37" t="s">
        <v>32</v>
      </c>
      <c r="D56" s="37" t="s">
        <v>91</v>
      </c>
      <c r="E56" s="37" t="s">
        <v>25</v>
      </c>
      <c r="F56" s="37" t="s">
        <v>25</v>
      </c>
      <c r="G56" s="37" t="s">
        <v>25</v>
      </c>
      <c r="H56" s="37" t="s">
        <v>25</v>
      </c>
      <c r="I56" s="37" t="s">
        <v>25</v>
      </c>
      <c r="J56" s="37" t="s">
        <v>633</v>
      </c>
      <c r="K56" s="37" t="s">
        <v>632</v>
      </c>
      <c r="L56" s="37" t="s">
        <v>78</v>
      </c>
      <c r="M56" s="37">
        <v>2021</v>
      </c>
      <c r="N56" s="37">
        <v>0</v>
      </c>
      <c r="O56" s="37">
        <v>303.54000000000002</v>
      </c>
      <c r="P56" s="37"/>
    </row>
    <row r="57" spans="1:16" ht="11.25" customHeight="1" x14ac:dyDescent="0.3">
      <c r="A57" s="37">
        <v>56</v>
      </c>
      <c r="B57" s="37" t="s">
        <v>515</v>
      </c>
      <c r="C57" s="37" t="s">
        <v>44</v>
      </c>
      <c r="D57" s="37" t="s">
        <v>90</v>
      </c>
      <c r="E57" s="37" t="s">
        <v>45</v>
      </c>
      <c r="F57" s="37" t="s">
        <v>46</v>
      </c>
      <c r="G57" s="37" t="s">
        <v>25</v>
      </c>
      <c r="H57" s="37" t="s">
        <v>25</v>
      </c>
      <c r="I57" s="37" t="s">
        <v>25</v>
      </c>
      <c r="J57" s="37" t="s">
        <v>633</v>
      </c>
      <c r="K57" s="37" t="s">
        <v>632</v>
      </c>
      <c r="L57" s="37" t="s">
        <v>78</v>
      </c>
      <c r="M57" s="37">
        <v>2021</v>
      </c>
      <c r="N57" s="37">
        <v>0</v>
      </c>
      <c r="O57" s="37">
        <v>166.95</v>
      </c>
      <c r="P57" s="37"/>
    </row>
    <row r="58" spans="1:16" ht="11.25" customHeight="1" x14ac:dyDescent="0.3">
      <c r="A58" s="37">
        <v>57</v>
      </c>
      <c r="B58" s="37" t="s">
        <v>487</v>
      </c>
      <c r="C58" s="37" t="s">
        <v>22</v>
      </c>
      <c r="D58" s="37" t="s">
        <v>92</v>
      </c>
      <c r="E58" s="37" t="s">
        <v>24</v>
      </c>
      <c r="F58" s="37" t="s">
        <v>31</v>
      </c>
      <c r="G58" s="37" t="s">
        <v>25</v>
      </c>
      <c r="H58" s="37" t="s">
        <v>25</v>
      </c>
      <c r="I58" s="37" t="s">
        <v>25</v>
      </c>
      <c r="J58" s="37" t="s">
        <v>633</v>
      </c>
      <c r="K58" s="37" t="s">
        <v>632</v>
      </c>
      <c r="L58" s="37" t="s">
        <v>78</v>
      </c>
      <c r="M58" s="37">
        <v>2021</v>
      </c>
      <c r="N58" s="37">
        <v>0</v>
      </c>
      <c r="O58" s="37">
        <v>271.27999999999997</v>
      </c>
      <c r="P58" s="37">
        <v>0</v>
      </c>
    </row>
    <row r="59" spans="1:16" ht="11.25" customHeight="1" x14ac:dyDescent="0.3">
      <c r="A59" s="37">
        <v>58</v>
      </c>
      <c r="B59" s="37" t="s">
        <v>487</v>
      </c>
      <c r="C59" s="37" t="s">
        <v>41</v>
      </c>
      <c r="D59" s="37" t="s">
        <v>38</v>
      </c>
      <c r="E59" s="37" t="s">
        <v>42</v>
      </c>
      <c r="F59" s="37" t="s">
        <v>25</v>
      </c>
      <c r="G59" s="37" t="s">
        <v>25</v>
      </c>
      <c r="H59" s="37" t="s">
        <v>25</v>
      </c>
      <c r="I59" s="37" t="s">
        <v>36</v>
      </c>
      <c r="J59" s="37" t="s">
        <v>633</v>
      </c>
      <c r="K59" s="37" t="s">
        <v>632</v>
      </c>
      <c r="L59" s="37" t="s">
        <v>78</v>
      </c>
      <c r="M59" s="37">
        <v>2021</v>
      </c>
      <c r="N59" s="37">
        <v>0</v>
      </c>
      <c r="O59" s="37">
        <v>1405.12</v>
      </c>
      <c r="P59" s="37">
        <v>53.8617503320297</v>
      </c>
    </row>
    <row r="60" spans="1:16" ht="11.25" customHeight="1" x14ac:dyDescent="0.3">
      <c r="A60" s="37">
        <v>59</v>
      </c>
      <c r="B60" s="37" t="s">
        <v>515</v>
      </c>
      <c r="C60" s="37" t="s">
        <v>44</v>
      </c>
      <c r="D60" s="37" t="s">
        <v>90</v>
      </c>
      <c r="E60" s="37" t="s">
        <v>45</v>
      </c>
      <c r="F60" s="37" t="s">
        <v>95</v>
      </c>
      <c r="G60" s="37" t="s">
        <v>25</v>
      </c>
      <c r="H60" s="37" t="s">
        <v>25</v>
      </c>
      <c r="I60" s="37" t="s">
        <v>25</v>
      </c>
      <c r="J60" s="37" t="s">
        <v>633</v>
      </c>
      <c r="K60" s="37" t="s">
        <v>632</v>
      </c>
      <c r="L60" s="37" t="s">
        <v>78</v>
      </c>
      <c r="M60" s="37">
        <v>2021</v>
      </c>
      <c r="N60" s="37">
        <v>0</v>
      </c>
      <c r="O60" s="37">
        <v>182.12</v>
      </c>
      <c r="P60" s="37"/>
    </row>
    <row r="61" spans="1:16" ht="11.25" customHeight="1" x14ac:dyDescent="0.3">
      <c r="A61" s="37">
        <v>60</v>
      </c>
      <c r="B61" s="37" t="s">
        <v>487</v>
      </c>
      <c r="C61" s="37" t="s">
        <v>41</v>
      </c>
      <c r="D61" s="37" t="s">
        <v>38</v>
      </c>
      <c r="E61" s="37" t="s">
        <v>42</v>
      </c>
      <c r="F61" s="37" t="s">
        <v>25</v>
      </c>
      <c r="G61" s="37" t="s">
        <v>25</v>
      </c>
      <c r="H61" s="37" t="s">
        <v>25</v>
      </c>
      <c r="I61" s="37" t="s">
        <v>39</v>
      </c>
      <c r="J61" s="37" t="s">
        <v>633</v>
      </c>
      <c r="K61" s="37" t="s">
        <v>632</v>
      </c>
      <c r="L61" s="37" t="s">
        <v>78</v>
      </c>
      <c r="M61" s="37">
        <v>2021</v>
      </c>
      <c r="N61" s="37">
        <v>0</v>
      </c>
      <c r="O61" s="37">
        <v>453.03</v>
      </c>
      <c r="P61" s="37">
        <v>53.8617503320297</v>
      </c>
    </row>
    <row r="62" spans="1:16" ht="11.25" customHeight="1" x14ac:dyDescent="0.3">
      <c r="A62" s="37">
        <v>61</v>
      </c>
      <c r="B62" s="37" t="s">
        <v>487</v>
      </c>
      <c r="C62" s="37" t="s">
        <v>41</v>
      </c>
      <c r="D62" s="37" t="s">
        <v>38</v>
      </c>
      <c r="E62" s="37" t="s">
        <v>42</v>
      </c>
      <c r="F62" s="37" t="s">
        <v>25</v>
      </c>
      <c r="G62" s="37" t="s">
        <v>25</v>
      </c>
      <c r="H62" s="37" t="s">
        <v>25</v>
      </c>
      <c r="I62" s="37" t="s">
        <v>37</v>
      </c>
      <c r="J62" s="37" t="s">
        <v>633</v>
      </c>
      <c r="K62" s="37" t="s">
        <v>632</v>
      </c>
      <c r="L62" s="37" t="s">
        <v>78</v>
      </c>
      <c r="M62" s="37">
        <v>2021</v>
      </c>
      <c r="N62" s="37">
        <v>0</v>
      </c>
      <c r="O62" s="37">
        <v>146.55000000000001</v>
      </c>
      <c r="P62" s="37">
        <v>53.8617503320297</v>
      </c>
    </row>
    <row r="63" spans="1:16" ht="11.25" customHeight="1" x14ac:dyDescent="0.3">
      <c r="A63" s="37">
        <v>62</v>
      </c>
      <c r="B63" s="37" t="s">
        <v>487</v>
      </c>
      <c r="C63" s="37" t="s">
        <v>41</v>
      </c>
      <c r="D63" s="37" t="s">
        <v>23</v>
      </c>
      <c r="E63" s="37" t="s">
        <v>42</v>
      </c>
      <c r="F63" s="37" t="s">
        <v>25</v>
      </c>
      <c r="G63" s="37" t="s">
        <v>25</v>
      </c>
      <c r="H63" s="37" t="s">
        <v>25</v>
      </c>
      <c r="I63" s="37" t="s">
        <v>25</v>
      </c>
      <c r="J63" s="37" t="s">
        <v>633</v>
      </c>
      <c r="K63" s="37" t="s">
        <v>632</v>
      </c>
      <c r="L63" s="37" t="s">
        <v>78</v>
      </c>
      <c r="M63" s="37">
        <v>2021</v>
      </c>
      <c r="N63" s="37">
        <v>0</v>
      </c>
      <c r="O63" s="37">
        <v>301.99</v>
      </c>
      <c r="P63" s="37">
        <v>53.8617503320297</v>
      </c>
    </row>
    <row r="64" spans="1:16" ht="11.25" customHeight="1" x14ac:dyDescent="0.3">
      <c r="A64" s="37">
        <v>63</v>
      </c>
      <c r="B64" s="37" t="s">
        <v>487</v>
      </c>
      <c r="C64" s="37" t="s">
        <v>41</v>
      </c>
      <c r="D64" s="37" t="s">
        <v>38</v>
      </c>
      <c r="E64" s="37" t="s">
        <v>42</v>
      </c>
      <c r="F64" s="37" t="s">
        <v>93</v>
      </c>
      <c r="G64" s="37" t="s">
        <v>25</v>
      </c>
      <c r="H64" s="37" t="s">
        <v>25</v>
      </c>
      <c r="I64" s="37" t="s">
        <v>36</v>
      </c>
      <c r="J64" s="37" t="s">
        <v>633</v>
      </c>
      <c r="K64" s="37" t="s">
        <v>632</v>
      </c>
      <c r="L64" s="37" t="s">
        <v>78</v>
      </c>
      <c r="M64" s="37">
        <v>2021</v>
      </c>
      <c r="N64" s="37">
        <v>0</v>
      </c>
      <c r="O64" s="37">
        <v>1405.12</v>
      </c>
      <c r="P64" s="37">
        <v>53.8617503320297</v>
      </c>
    </row>
    <row r="65" spans="1:16" ht="11.25" customHeight="1" x14ac:dyDescent="0.3">
      <c r="A65" s="37">
        <v>64</v>
      </c>
      <c r="B65" s="37" t="s">
        <v>487</v>
      </c>
      <c r="C65" s="37" t="s">
        <v>41</v>
      </c>
      <c r="D65" s="37" t="s">
        <v>38</v>
      </c>
      <c r="E65" s="37" t="s">
        <v>42</v>
      </c>
      <c r="F65" s="37" t="s">
        <v>93</v>
      </c>
      <c r="G65" s="37" t="s">
        <v>25</v>
      </c>
      <c r="H65" s="37" t="s">
        <v>25</v>
      </c>
      <c r="I65" s="37" t="s">
        <v>39</v>
      </c>
      <c r="J65" s="37" t="s">
        <v>633</v>
      </c>
      <c r="K65" s="37" t="s">
        <v>632</v>
      </c>
      <c r="L65" s="37" t="s">
        <v>78</v>
      </c>
      <c r="M65" s="37">
        <v>2021</v>
      </c>
      <c r="N65" s="37">
        <v>0</v>
      </c>
      <c r="O65" s="37">
        <v>453.03</v>
      </c>
      <c r="P65" s="37">
        <v>53.8617503320297</v>
      </c>
    </row>
    <row r="66" spans="1:16" ht="11.25" customHeight="1" x14ac:dyDescent="0.3">
      <c r="A66" s="37">
        <v>65</v>
      </c>
      <c r="B66" s="37" t="s">
        <v>487</v>
      </c>
      <c r="C66" s="37" t="s">
        <v>41</v>
      </c>
      <c r="D66" s="37" t="s">
        <v>38</v>
      </c>
      <c r="E66" s="37" t="s">
        <v>42</v>
      </c>
      <c r="F66" s="37" t="s">
        <v>93</v>
      </c>
      <c r="G66" s="37" t="s">
        <v>25</v>
      </c>
      <c r="H66" s="37" t="s">
        <v>25</v>
      </c>
      <c r="I66" s="37" t="s">
        <v>37</v>
      </c>
      <c r="J66" s="37" t="s">
        <v>633</v>
      </c>
      <c r="K66" s="37" t="s">
        <v>632</v>
      </c>
      <c r="L66" s="37" t="s">
        <v>78</v>
      </c>
      <c r="M66" s="37">
        <v>2021</v>
      </c>
      <c r="N66" s="37">
        <v>0</v>
      </c>
      <c r="O66" s="37">
        <v>146.55000000000001</v>
      </c>
      <c r="P66" s="37">
        <v>53.8617503320297</v>
      </c>
    </row>
    <row r="67" spans="1:16" ht="11.25" customHeight="1" x14ac:dyDescent="0.3">
      <c r="A67" s="37">
        <v>66</v>
      </c>
      <c r="B67" s="37" t="s">
        <v>487</v>
      </c>
      <c r="C67" s="37" t="s">
        <v>41</v>
      </c>
      <c r="D67" s="37" t="s">
        <v>23</v>
      </c>
      <c r="E67" s="37" t="s">
        <v>42</v>
      </c>
      <c r="F67" s="37" t="s">
        <v>93</v>
      </c>
      <c r="G67" s="37" t="s">
        <v>25</v>
      </c>
      <c r="H67" s="37" t="s">
        <v>25</v>
      </c>
      <c r="I67" s="37" t="s">
        <v>25</v>
      </c>
      <c r="J67" s="37" t="s">
        <v>633</v>
      </c>
      <c r="K67" s="37" t="s">
        <v>632</v>
      </c>
      <c r="L67" s="37" t="s">
        <v>78</v>
      </c>
      <c r="M67" s="37">
        <v>2021</v>
      </c>
      <c r="N67" s="37">
        <v>0</v>
      </c>
      <c r="O67" s="37">
        <v>301.99</v>
      </c>
      <c r="P67" s="37">
        <v>53.8617503320297</v>
      </c>
    </row>
    <row r="68" spans="1:16" ht="11.25" customHeight="1" x14ac:dyDescent="0.3">
      <c r="A68" s="37">
        <v>67</v>
      </c>
      <c r="B68" s="37" t="s">
        <v>487</v>
      </c>
      <c r="C68" s="37" t="s">
        <v>41</v>
      </c>
      <c r="D68" s="37" t="s">
        <v>38</v>
      </c>
      <c r="E68" s="37" t="s">
        <v>42</v>
      </c>
      <c r="F68" s="37" t="s">
        <v>94</v>
      </c>
      <c r="G68" s="37" t="s">
        <v>25</v>
      </c>
      <c r="H68" s="37" t="s">
        <v>25</v>
      </c>
      <c r="I68" s="37" t="s">
        <v>36</v>
      </c>
      <c r="J68" s="37" t="s">
        <v>633</v>
      </c>
      <c r="K68" s="37" t="s">
        <v>632</v>
      </c>
      <c r="L68" s="37" t="s">
        <v>78</v>
      </c>
      <c r="M68" s="37">
        <v>2021</v>
      </c>
      <c r="N68" s="37">
        <v>0</v>
      </c>
      <c r="O68" s="37">
        <v>1341.25</v>
      </c>
      <c r="P68" s="37">
        <v>51.413488953301098</v>
      </c>
    </row>
    <row r="69" spans="1:16" ht="11.25" customHeight="1" x14ac:dyDescent="0.3">
      <c r="A69" s="37">
        <v>68</v>
      </c>
      <c r="B69" s="37" t="s">
        <v>487</v>
      </c>
      <c r="C69" s="37" t="s">
        <v>41</v>
      </c>
      <c r="D69" s="37" t="s">
        <v>38</v>
      </c>
      <c r="E69" s="37" t="s">
        <v>42</v>
      </c>
      <c r="F69" s="37" t="s">
        <v>94</v>
      </c>
      <c r="G69" s="37" t="s">
        <v>25</v>
      </c>
      <c r="H69" s="37" t="s">
        <v>25</v>
      </c>
      <c r="I69" s="37" t="s">
        <v>39</v>
      </c>
      <c r="J69" s="37" t="s">
        <v>633</v>
      </c>
      <c r="K69" s="37" t="s">
        <v>632</v>
      </c>
      <c r="L69" s="37" t="s">
        <v>78</v>
      </c>
      <c r="M69" s="37">
        <v>2021</v>
      </c>
      <c r="N69" s="37">
        <v>0</v>
      </c>
      <c r="O69" s="37">
        <v>432.44</v>
      </c>
      <c r="P69" s="37">
        <v>51.413488953301098</v>
      </c>
    </row>
    <row r="70" spans="1:16" ht="11.25" customHeight="1" x14ac:dyDescent="0.3">
      <c r="A70" s="37">
        <v>69</v>
      </c>
      <c r="B70" s="37" t="s">
        <v>487</v>
      </c>
      <c r="C70" s="37" t="s">
        <v>41</v>
      </c>
      <c r="D70" s="37" t="s">
        <v>38</v>
      </c>
      <c r="E70" s="37" t="s">
        <v>42</v>
      </c>
      <c r="F70" s="37" t="s">
        <v>94</v>
      </c>
      <c r="G70" s="37" t="s">
        <v>25</v>
      </c>
      <c r="H70" s="37" t="s">
        <v>25</v>
      </c>
      <c r="I70" s="37" t="s">
        <v>37</v>
      </c>
      <c r="J70" s="37" t="s">
        <v>633</v>
      </c>
      <c r="K70" s="37" t="s">
        <v>632</v>
      </c>
      <c r="L70" s="37" t="s">
        <v>78</v>
      </c>
      <c r="M70" s="37">
        <v>2021</v>
      </c>
      <c r="N70" s="37">
        <v>0</v>
      </c>
      <c r="O70" s="37">
        <v>139.88</v>
      </c>
      <c r="P70" s="37">
        <v>51.413488953301098</v>
      </c>
    </row>
    <row r="71" spans="1:16" ht="11.25" customHeight="1" x14ac:dyDescent="0.3">
      <c r="A71" s="37">
        <v>70</v>
      </c>
      <c r="B71" s="37" t="s">
        <v>487</v>
      </c>
      <c r="C71" s="37" t="s">
        <v>41</v>
      </c>
      <c r="D71" s="37" t="s">
        <v>23</v>
      </c>
      <c r="E71" s="37" t="s">
        <v>42</v>
      </c>
      <c r="F71" s="37" t="s">
        <v>94</v>
      </c>
      <c r="G71" s="37" t="s">
        <v>25</v>
      </c>
      <c r="H71" s="37" t="s">
        <v>25</v>
      </c>
      <c r="I71" s="37" t="s">
        <v>25</v>
      </c>
      <c r="J71" s="37" t="s">
        <v>633</v>
      </c>
      <c r="K71" s="37" t="s">
        <v>632</v>
      </c>
      <c r="L71" s="37" t="s">
        <v>78</v>
      </c>
      <c r="M71" s="37">
        <v>2021</v>
      </c>
      <c r="N71" s="37">
        <v>0</v>
      </c>
      <c r="O71" s="37">
        <v>288.26</v>
      </c>
      <c r="P71" s="37">
        <v>51.413488953301098</v>
      </c>
    </row>
    <row r="72" spans="1:16" ht="11.25" customHeight="1" x14ac:dyDescent="0.3">
      <c r="A72" s="37">
        <v>71</v>
      </c>
      <c r="B72" s="37" t="s">
        <v>487</v>
      </c>
      <c r="C72" s="37" t="s">
        <v>41</v>
      </c>
      <c r="D72" s="37" t="s">
        <v>92</v>
      </c>
      <c r="E72" s="37" t="s">
        <v>42</v>
      </c>
      <c r="F72" s="37" t="s">
        <v>25</v>
      </c>
      <c r="G72" s="37" t="s">
        <v>25</v>
      </c>
      <c r="H72" s="37" t="s">
        <v>25</v>
      </c>
      <c r="I72" s="37" t="s">
        <v>25</v>
      </c>
      <c r="J72" s="37" t="s">
        <v>633</v>
      </c>
      <c r="K72" s="37" t="s">
        <v>632</v>
      </c>
      <c r="L72" s="37" t="s">
        <v>78</v>
      </c>
      <c r="M72" s="37">
        <v>2021</v>
      </c>
      <c r="N72" s="37">
        <v>0</v>
      </c>
      <c r="O72" s="37">
        <v>301.99</v>
      </c>
      <c r="P72" s="37">
        <v>53.8617503320297</v>
      </c>
    </row>
    <row r="73" spans="1:16" ht="11.25" customHeight="1" x14ac:dyDescent="0.3">
      <c r="A73" s="37">
        <v>72</v>
      </c>
      <c r="B73" s="37" t="s">
        <v>487</v>
      </c>
      <c r="C73" s="37" t="s">
        <v>41</v>
      </c>
      <c r="D73" s="37" t="s">
        <v>92</v>
      </c>
      <c r="E73" s="37" t="s">
        <v>42</v>
      </c>
      <c r="F73" s="37" t="s">
        <v>93</v>
      </c>
      <c r="G73" s="37" t="s">
        <v>25</v>
      </c>
      <c r="H73" s="37" t="s">
        <v>25</v>
      </c>
      <c r="I73" s="37" t="s">
        <v>25</v>
      </c>
      <c r="J73" s="37" t="s">
        <v>633</v>
      </c>
      <c r="K73" s="37" t="s">
        <v>632</v>
      </c>
      <c r="L73" s="37" t="s">
        <v>78</v>
      </c>
      <c r="M73" s="37">
        <v>2021</v>
      </c>
      <c r="N73" s="37">
        <v>0</v>
      </c>
      <c r="O73" s="37">
        <v>301.99</v>
      </c>
      <c r="P73" s="37">
        <v>53.8617503320297</v>
      </c>
    </row>
    <row r="74" spans="1:16" ht="11.25" customHeight="1" x14ac:dyDescent="0.3">
      <c r="A74" s="37">
        <v>73</v>
      </c>
      <c r="B74" s="37" t="s">
        <v>487</v>
      </c>
      <c r="C74" s="37" t="s">
        <v>41</v>
      </c>
      <c r="D74" s="37" t="s">
        <v>92</v>
      </c>
      <c r="E74" s="37" t="s">
        <v>42</v>
      </c>
      <c r="F74" s="37" t="s">
        <v>94</v>
      </c>
      <c r="G74" s="37" t="s">
        <v>25</v>
      </c>
      <c r="H74" s="37" t="s">
        <v>25</v>
      </c>
      <c r="I74" s="37" t="s">
        <v>25</v>
      </c>
      <c r="J74" s="37" t="s">
        <v>633</v>
      </c>
      <c r="K74" s="37" t="s">
        <v>632</v>
      </c>
      <c r="L74" s="37" t="s">
        <v>78</v>
      </c>
      <c r="M74" s="37">
        <v>2021</v>
      </c>
      <c r="N74" s="37">
        <v>0</v>
      </c>
      <c r="O74" s="37">
        <v>288.26</v>
      </c>
      <c r="P74" s="37">
        <v>51.413488953301098</v>
      </c>
    </row>
    <row r="75" spans="1:16" ht="11.25" customHeight="1" x14ac:dyDescent="0.3">
      <c r="A75" s="37">
        <v>74</v>
      </c>
      <c r="B75" s="37" t="s">
        <v>487</v>
      </c>
      <c r="C75" s="37" t="s">
        <v>32</v>
      </c>
      <c r="D75" s="37" t="s">
        <v>38</v>
      </c>
      <c r="E75" s="37" t="s">
        <v>25</v>
      </c>
      <c r="F75" s="37" t="s">
        <v>25</v>
      </c>
      <c r="G75" s="37" t="s">
        <v>25</v>
      </c>
      <c r="H75" s="37" t="s">
        <v>25</v>
      </c>
      <c r="I75" s="37" t="s">
        <v>36</v>
      </c>
      <c r="J75" s="37" t="s">
        <v>633</v>
      </c>
      <c r="K75" s="37" t="s">
        <v>632</v>
      </c>
      <c r="L75" s="37" t="s">
        <v>78</v>
      </c>
      <c r="M75" s="37">
        <v>2021</v>
      </c>
      <c r="N75" s="37">
        <v>0</v>
      </c>
      <c r="O75" s="37">
        <v>1905.55</v>
      </c>
      <c r="P75" s="37">
        <v>61.206534468215601</v>
      </c>
    </row>
    <row r="76" spans="1:16" ht="11.25" customHeight="1" x14ac:dyDescent="0.3">
      <c r="A76" s="37">
        <v>75</v>
      </c>
      <c r="B76" s="37" t="s">
        <v>487</v>
      </c>
      <c r="C76" s="37" t="s">
        <v>32</v>
      </c>
      <c r="D76" s="37" t="s">
        <v>38</v>
      </c>
      <c r="E76" s="37" t="s">
        <v>25</v>
      </c>
      <c r="F76" s="37" t="s">
        <v>25</v>
      </c>
      <c r="G76" s="37" t="s">
        <v>25</v>
      </c>
      <c r="H76" s="37" t="s">
        <v>25</v>
      </c>
      <c r="I76" s="37" t="s">
        <v>39</v>
      </c>
      <c r="J76" s="37" t="s">
        <v>633</v>
      </c>
      <c r="K76" s="37" t="s">
        <v>632</v>
      </c>
      <c r="L76" s="37" t="s">
        <v>78</v>
      </c>
      <c r="M76" s="37">
        <v>2021</v>
      </c>
      <c r="N76" s="37">
        <v>0</v>
      </c>
      <c r="O76" s="37">
        <v>543.07000000000005</v>
      </c>
      <c r="P76" s="37">
        <v>61.206534468215601</v>
      </c>
    </row>
    <row r="77" spans="1:16" ht="11.25" customHeight="1" x14ac:dyDescent="0.3">
      <c r="A77" s="37">
        <v>76</v>
      </c>
      <c r="B77" s="37" t="s">
        <v>487</v>
      </c>
      <c r="C77" s="37" t="s">
        <v>32</v>
      </c>
      <c r="D77" s="37" t="s">
        <v>38</v>
      </c>
      <c r="E77" s="37" t="s">
        <v>25</v>
      </c>
      <c r="F77" s="37" t="s">
        <v>25</v>
      </c>
      <c r="G77" s="37" t="s">
        <v>25</v>
      </c>
      <c r="H77" s="37" t="s">
        <v>25</v>
      </c>
      <c r="I77" s="37" t="s">
        <v>37</v>
      </c>
      <c r="J77" s="37" t="s">
        <v>633</v>
      </c>
      <c r="K77" s="37" t="s">
        <v>632</v>
      </c>
      <c r="L77" s="37" t="s">
        <v>78</v>
      </c>
      <c r="M77" s="37">
        <v>2021</v>
      </c>
      <c r="N77" s="37">
        <v>0</v>
      </c>
      <c r="O77" s="37">
        <v>225.41</v>
      </c>
      <c r="P77" s="37">
        <v>61.206534468215601</v>
      </c>
    </row>
    <row r="78" spans="1:16" ht="11.25" customHeight="1" x14ac:dyDescent="0.3">
      <c r="A78" s="37">
        <v>77</v>
      </c>
      <c r="B78" s="37" t="s">
        <v>487</v>
      </c>
      <c r="C78" s="37" t="s">
        <v>32</v>
      </c>
      <c r="D78" s="37" t="s">
        <v>23</v>
      </c>
      <c r="E78" s="37" t="s">
        <v>25</v>
      </c>
      <c r="F78" s="37" t="s">
        <v>25</v>
      </c>
      <c r="G78" s="37" t="s">
        <v>25</v>
      </c>
      <c r="H78" s="37" t="s">
        <v>25</v>
      </c>
      <c r="I78" s="37" t="s">
        <v>25</v>
      </c>
      <c r="J78" s="37" t="s">
        <v>633</v>
      </c>
      <c r="K78" s="37" t="s">
        <v>632</v>
      </c>
      <c r="L78" s="37" t="s">
        <v>78</v>
      </c>
      <c r="M78" s="37">
        <v>2021</v>
      </c>
      <c r="N78" s="37">
        <v>0</v>
      </c>
      <c r="O78" s="37">
        <v>343.17</v>
      </c>
      <c r="P78" s="37">
        <v>61.206534468215601</v>
      </c>
    </row>
    <row r="79" spans="1:16" ht="11.25" customHeight="1" x14ac:dyDescent="0.3">
      <c r="A79" s="37">
        <v>78</v>
      </c>
      <c r="B79" s="37" t="s">
        <v>487</v>
      </c>
      <c r="C79" s="37" t="s">
        <v>32</v>
      </c>
      <c r="D79" s="37" t="s">
        <v>92</v>
      </c>
      <c r="E79" s="37" t="s">
        <v>25</v>
      </c>
      <c r="F79" s="37" t="s">
        <v>25</v>
      </c>
      <c r="G79" s="37" t="s">
        <v>25</v>
      </c>
      <c r="H79" s="37" t="s">
        <v>25</v>
      </c>
      <c r="I79" s="37" t="s">
        <v>25</v>
      </c>
      <c r="J79" s="37" t="s">
        <v>633</v>
      </c>
      <c r="K79" s="37" t="s">
        <v>632</v>
      </c>
      <c r="L79" s="37" t="s">
        <v>78</v>
      </c>
      <c r="M79" s="37">
        <v>2021</v>
      </c>
      <c r="N79" s="37">
        <v>0</v>
      </c>
      <c r="O79" s="37">
        <v>343.17</v>
      </c>
      <c r="P79" s="37">
        <v>61.206534468215601</v>
      </c>
    </row>
    <row r="80" spans="1:16" ht="11.25" customHeight="1" x14ac:dyDescent="0.3">
      <c r="A80" s="37">
        <v>79</v>
      </c>
      <c r="B80" s="37" t="s">
        <v>487</v>
      </c>
      <c r="C80" s="37" t="s">
        <v>44</v>
      </c>
      <c r="D80" s="37" t="s">
        <v>23</v>
      </c>
      <c r="E80" s="37" t="s">
        <v>45</v>
      </c>
      <c r="F80" s="37" t="s">
        <v>46</v>
      </c>
      <c r="G80" s="37" t="s">
        <v>25</v>
      </c>
      <c r="H80" s="37" t="s">
        <v>25</v>
      </c>
      <c r="I80" s="37" t="s">
        <v>25</v>
      </c>
      <c r="J80" s="37" t="s">
        <v>633</v>
      </c>
      <c r="K80" s="37" t="s">
        <v>632</v>
      </c>
      <c r="L80" s="37" t="s">
        <v>78</v>
      </c>
      <c r="M80" s="37">
        <v>2021</v>
      </c>
      <c r="N80" s="37">
        <v>0</v>
      </c>
      <c r="O80" s="37">
        <v>188.74</v>
      </c>
      <c r="P80" s="37">
        <v>33.6635939575186</v>
      </c>
    </row>
    <row r="81" spans="1:16" ht="11.25" customHeight="1" x14ac:dyDescent="0.3">
      <c r="A81" s="37">
        <v>80</v>
      </c>
      <c r="B81" s="37" t="s">
        <v>487</v>
      </c>
      <c r="C81" s="37" t="s">
        <v>44</v>
      </c>
      <c r="D81" s="37" t="s">
        <v>23</v>
      </c>
      <c r="E81" s="37" t="s">
        <v>45</v>
      </c>
      <c r="F81" s="37" t="s">
        <v>95</v>
      </c>
      <c r="G81" s="37" t="s">
        <v>25</v>
      </c>
      <c r="H81" s="37" t="s">
        <v>25</v>
      </c>
      <c r="I81" s="37" t="s">
        <v>25</v>
      </c>
      <c r="J81" s="37" t="s">
        <v>633</v>
      </c>
      <c r="K81" s="37" t="s">
        <v>632</v>
      </c>
      <c r="L81" s="37" t="s">
        <v>78</v>
      </c>
      <c r="M81" s="37">
        <v>2021</v>
      </c>
      <c r="N81" s="37">
        <v>0</v>
      </c>
      <c r="O81" s="37">
        <v>205.9</v>
      </c>
      <c r="P81" s="37">
        <v>36.723920680929297</v>
      </c>
    </row>
    <row r="82" spans="1:16" ht="11.25" customHeight="1" x14ac:dyDescent="0.3">
      <c r="A82" s="37">
        <v>81</v>
      </c>
      <c r="B82" s="37" t="s">
        <v>515</v>
      </c>
      <c r="C82" s="37" t="s">
        <v>61</v>
      </c>
      <c r="D82" s="37" t="s">
        <v>77</v>
      </c>
      <c r="E82" s="37" t="s">
        <v>25</v>
      </c>
      <c r="F82" s="37" t="s">
        <v>25</v>
      </c>
      <c r="G82" s="37" t="s">
        <v>25</v>
      </c>
      <c r="H82" s="37" t="s">
        <v>25</v>
      </c>
      <c r="I82" s="37" t="s">
        <v>36</v>
      </c>
      <c r="J82" s="37" t="s">
        <v>633</v>
      </c>
      <c r="K82" s="37" t="s">
        <v>632</v>
      </c>
      <c r="L82" s="37" t="s">
        <v>78</v>
      </c>
      <c r="M82" s="37">
        <v>2021</v>
      </c>
      <c r="N82" s="37">
        <v>0</v>
      </c>
      <c r="O82" s="37">
        <v>488.15</v>
      </c>
      <c r="P82" s="37"/>
    </row>
    <row r="83" spans="1:16" ht="11.25" customHeight="1" x14ac:dyDescent="0.3">
      <c r="A83" s="37">
        <v>82</v>
      </c>
      <c r="B83" s="37" t="s">
        <v>515</v>
      </c>
      <c r="C83" s="37" t="s">
        <v>61</v>
      </c>
      <c r="D83" s="37" t="s">
        <v>77</v>
      </c>
      <c r="E83" s="37" t="s">
        <v>25</v>
      </c>
      <c r="F83" s="37" t="s">
        <v>25</v>
      </c>
      <c r="G83" s="37" t="s">
        <v>25</v>
      </c>
      <c r="H83" s="37" t="s">
        <v>25</v>
      </c>
      <c r="I83" s="37" t="s">
        <v>37</v>
      </c>
      <c r="J83" s="37" t="s">
        <v>633</v>
      </c>
      <c r="K83" s="37" t="s">
        <v>632</v>
      </c>
      <c r="L83" s="37" t="s">
        <v>78</v>
      </c>
      <c r="M83" s="37">
        <v>2021</v>
      </c>
      <c r="N83" s="37">
        <v>0</v>
      </c>
      <c r="O83" s="37">
        <v>286.76</v>
      </c>
      <c r="P83" s="37"/>
    </row>
    <row r="84" spans="1:16" ht="11.25" customHeight="1" x14ac:dyDescent="0.3">
      <c r="A84" s="37">
        <v>83</v>
      </c>
      <c r="B84" s="37" t="s">
        <v>515</v>
      </c>
      <c r="C84" s="37" t="s">
        <v>34</v>
      </c>
      <c r="D84" s="37" t="s">
        <v>77</v>
      </c>
      <c r="E84" s="37" t="s">
        <v>25</v>
      </c>
      <c r="F84" s="37" t="s">
        <v>25</v>
      </c>
      <c r="G84" s="37" t="s">
        <v>25</v>
      </c>
      <c r="H84" s="37" t="s">
        <v>25</v>
      </c>
      <c r="I84" s="37" t="s">
        <v>36</v>
      </c>
      <c r="J84" s="37" t="s">
        <v>633</v>
      </c>
      <c r="K84" s="37" t="s">
        <v>632</v>
      </c>
      <c r="L84" s="37" t="s">
        <v>78</v>
      </c>
      <c r="M84" s="37">
        <v>2021</v>
      </c>
      <c r="N84" s="37">
        <v>0</v>
      </c>
      <c r="O84" s="37">
        <v>488.15</v>
      </c>
      <c r="P84" s="37"/>
    </row>
    <row r="85" spans="1:16" ht="11.25" customHeight="1" x14ac:dyDescent="0.3">
      <c r="A85" s="37">
        <v>84</v>
      </c>
      <c r="B85" s="37" t="s">
        <v>515</v>
      </c>
      <c r="C85" s="37" t="s">
        <v>34</v>
      </c>
      <c r="D85" s="37" t="s">
        <v>77</v>
      </c>
      <c r="E85" s="37" t="s">
        <v>25</v>
      </c>
      <c r="F85" s="37" t="s">
        <v>25</v>
      </c>
      <c r="G85" s="37" t="s">
        <v>25</v>
      </c>
      <c r="H85" s="37" t="s">
        <v>25</v>
      </c>
      <c r="I85" s="37" t="s">
        <v>37</v>
      </c>
      <c r="J85" s="37" t="s">
        <v>633</v>
      </c>
      <c r="K85" s="37" t="s">
        <v>632</v>
      </c>
      <c r="L85" s="37" t="s">
        <v>78</v>
      </c>
      <c r="M85" s="37">
        <v>2021</v>
      </c>
      <c r="N85" s="37">
        <v>0</v>
      </c>
      <c r="O85" s="37">
        <v>286.76</v>
      </c>
      <c r="P85" s="37"/>
    </row>
    <row r="86" spans="1:16" ht="11.25" customHeight="1" x14ac:dyDescent="0.3">
      <c r="A86" s="37">
        <v>85</v>
      </c>
      <c r="B86" s="37" t="s">
        <v>515</v>
      </c>
      <c r="C86" s="37" t="s">
        <v>34</v>
      </c>
      <c r="D86" s="37" t="s">
        <v>90</v>
      </c>
      <c r="E86" s="37" t="s">
        <v>25</v>
      </c>
      <c r="F86" s="37" t="s">
        <v>25</v>
      </c>
      <c r="G86" s="37" t="s">
        <v>25</v>
      </c>
      <c r="H86" s="37" t="s">
        <v>25</v>
      </c>
      <c r="I86" s="37" t="s">
        <v>25</v>
      </c>
      <c r="J86" s="37" t="s">
        <v>633</v>
      </c>
      <c r="K86" s="37" t="s">
        <v>632</v>
      </c>
      <c r="L86" s="37" t="s">
        <v>78</v>
      </c>
      <c r="M86" s="37">
        <v>2021</v>
      </c>
      <c r="N86" s="37">
        <v>0</v>
      </c>
      <c r="O86" s="37">
        <v>303.54000000000002</v>
      </c>
      <c r="P86" s="37"/>
    </row>
    <row r="87" spans="1:16" ht="11.25" customHeight="1" x14ac:dyDescent="0.3">
      <c r="A87" s="37">
        <v>86</v>
      </c>
      <c r="B87" s="37" t="s">
        <v>515</v>
      </c>
      <c r="C87" s="37" t="s">
        <v>22</v>
      </c>
      <c r="D87" s="37" t="s">
        <v>77</v>
      </c>
      <c r="E87" s="37" t="s">
        <v>24</v>
      </c>
      <c r="F87" s="37" t="s">
        <v>24</v>
      </c>
      <c r="G87" s="37" t="s">
        <v>25</v>
      </c>
      <c r="H87" s="37" t="s">
        <v>25</v>
      </c>
      <c r="I87" s="37" t="s">
        <v>36</v>
      </c>
      <c r="J87" s="37" t="s">
        <v>633</v>
      </c>
      <c r="K87" s="37" t="s">
        <v>632</v>
      </c>
      <c r="L87" s="37" t="s">
        <v>78</v>
      </c>
      <c r="M87" s="37">
        <v>2021</v>
      </c>
      <c r="N87" s="37">
        <v>0</v>
      </c>
      <c r="O87" s="37">
        <v>488.15</v>
      </c>
      <c r="P87" s="37"/>
    </row>
    <row r="88" spans="1:16" ht="11.25" customHeight="1" x14ac:dyDescent="0.3">
      <c r="A88" s="37">
        <v>87</v>
      </c>
      <c r="B88" s="37" t="s">
        <v>515</v>
      </c>
      <c r="C88" s="37" t="s">
        <v>22</v>
      </c>
      <c r="D88" s="37" t="s">
        <v>77</v>
      </c>
      <c r="E88" s="37" t="s">
        <v>24</v>
      </c>
      <c r="F88" s="37" t="s">
        <v>24</v>
      </c>
      <c r="G88" s="37" t="s">
        <v>25</v>
      </c>
      <c r="H88" s="37" t="s">
        <v>25</v>
      </c>
      <c r="I88" s="37" t="s">
        <v>39</v>
      </c>
      <c r="J88" s="37" t="s">
        <v>633</v>
      </c>
      <c r="K88" s="37" t="s">
        <v>632</v>
      </c>
      <c r="L88" s="37" t="s">
        <v>78</v>
      </c>
      <c r="M88" s="37">
        <v>2021</v>
      </c>
      <c r="N88" s="37">
        <v>0</v>
      </c>
      <c r="O88" s="37">
        <v>286.76</v>
      </c>
      <c r="P88" s="37"/>
    </row>
    <row r="89" spans="1:16" ht="11.25" customHeight="1" x14ac:dyDescent="0.3">
      <c r="A89" s="37">
        <v>88</v>
      </c>
      <c r="B89" s="37" t="s">
        <v>515</v>
      </c>
      <c r="C89" s="37" t="s">
        <v>22</v>
      </c>
      <c r="D89" s="37" t="s">
        <v>77</v>
      </c>
      <c r="E89" s="37" t="s">
        <v>24</v>
      </c>
      <c r="F89" s="37" t="s">
        <v>24</v>
      </c>
      <c r="G89" s="37" t="s">
        <v>25</v>
      </c>
      <c r="H89" s="37" t="s">
        <v>25</v>
      </c>
      <c r="I89" s="37" t="s">
        <v>37</v>
      </c>
      <c r="J89" s="37" t="s">
        <v>633</v>
      </c>
      <c r="K89" s="37" t="s">
        <v>632</v>
      </c>
      <c r="L89" s="37" t="s">
        <v>78</v>
      </c>
      <c r="M89" s="37">
        <v>2021</v>
      </c>
      <c r="N89" s="37">
        <v>0</v>
      </c>
      <c r="O89" s="37">
        <v>286.76</v>
      </c>
      <c r="P89" s="37"/>
    </row>
    <row r="90" spans="1:16" ht="11.25" customHeight="1" x14ac:dyDescent="0.3">
      <c r="A90" s="37">
        <v>89</v>
      </c>
      <c r="B90" s="37" t="s">
        <v>515</v>
      </c>
      <c r="C90" s="37" t="s">
        <v>22</v>
      </c>
      <c r="D90" s="37" t="s">
        <v>90</v>
      </c>
      <c r="E90" s="37" t="s">
        <v>24</v>
      </c>
      <c r="F90" s="37" t="s">
        <v>24</v>
      </c>
      <c r="G90" s="37" t="s">
        <v>25</v>
      </c>
      <c r="H90" s="37" t="s">
        <v>25</v>
      </c>
      <c r="I90" s="37" t="s">
        <v>25</v>
      </c>
      <c r="J90" s="37" t="s">
        <v>633</v>
      </c>
      <c r="K90" s="37" t="s">
        <v>632</v>
      </c>
      <c r="L90" s="37" t="s">
        <v>78</v>
      </c>
      <c r="M90" s="37">
        <v>2021</v>
      </c>
      <c r="N90" s="37">
        <v>0</v>
      </c>
      <c r="O90" s="37">
        <v>303.54000000000002</v>
      </c>
      <c r="P90" s="37"/>
    </row>
    <row r="91" spans="1:16" ht="11.25" customHeight="1" x14ac:dyDescent="0.3">
      <c r="A91" s="37">
        <v>90</v>
      </c>
      <c r="B91" s="37" t="s">
        <v>515</v>
      </c>
      <c r="C91" s="37" t="s">
        <v>22</v>
      </c>
      <c r="D91" s="37" t="s">
        <v>90</v>
      </c>
      <c r="E91" s="37" t="s">
        <v>24</v>
      </c>
      <c r="F91" s="37" t="s">
        <v>28</v>
      </c>
      <c r="G91" s="37" t="s">
        <v>25</v>
      </c>
      <c r="H91" s="37" t="s">
        <v>25</v>
      </c>
      <c r="I91" s="37" t="s">
        <v>25</v>
      </c>
      <c r="J91" s="37" t="s">
        <v>633</v>
      </c>
      <c r="K91" s="37" t="s">
        <v>632</v>
      </c>
      <c r="L91" s="37" t="s">
        <v>78</v>
      </c>
      <c r="M91" s="37">
        <v>2021</v>
      </c>
      <c r="N91" s="37">
        <v>0</v>
      </c>
      <c r="O91" s="37">
        <v>106.24</v>
      </c>
      <c r="P91" s="37"/>
    </row>
    <row r="92" spans="1:16" ht="11.25" customHeight="1" x14ac:dyDescent="0.3">
      <c r="A92" s="37">
        <v>91</v>
      </c>
      <c r="B92" s="37" t="s">
        <v>515</v>
      </c>
      <c r="C92" s="37" t="s">
        <v>22</v>
      </c>
      <c r="D92" s="37" t="s">
        <v>90</v>
      </c>
      <c r="E92" s="37" t="s">
        <v>24</v>
      </c>
      <c r="F92" s="37" t="s">
        <v>29</v>
      </c>
      <c r="G92" s="37" t="s">
        <v>25</v>
      </c>
      <c r="H92" s="37" t="s">
        <v>25</v>
      </c>
      <c r="I92" s="37" t="s">
        <v>25</v>
      </c>
      <c r="J92" s="37" t="s">
        <v>633</v>
      </c>
      <c r="K92" s="37" t="s">
        <v>632</v>
      </c>
      <c r="L92" s="37" t="s">
        <v>78</v>
      </c>
      <c r="M92" s="37">
        <v>2021</v>
      </c>
      <c r="N92" s="37">
        <v>0</v>
      </c>
      <c r="O92" s="37">
        <v>182.12</v>
      </c>
      <c r="P92" s="37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2F470-F413-434B-B684-0CB4076E7A51}">
  <dimension ref="A1:AD53"/>
  <sheetViews>
    <sheetView showGridLines="0" workbookViewId="0">
      <selection sqref="A1:W53"/>
    </sheetView>
  </sheetViews>
  <sheetFormatPr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20" width="7.109375" style="9" bestFit="1" customWidth="1"/>
    <col min="21" max="21" width="13" style="9" bestFit="1" customWidth="1"/>
    <col min="22" max="16384" width="8.88671875" style="9"/>
  </cols>
  <sheetData>
    <row r="1" spans="1:30" ht="11.25" customHeight="1" x14ac:dyDescent="0.3">
      <c r="A1" s="10" t="s">
        <v>68</v>
      </c>
      <c r="B1" s="10" t="s">
        <v>69</v>
      </c>
      <c r="C1" s="10" t="s">
        <v>70</v>
      </c>
      <c r="D1" s="10" t="s">
        <v>71</v>
      </c>
      <c r="E1" s="10" t="s">
        <v>72</v>
      </c>
      <c r="F1" s="10" t="s">
        <v>73</v>
      </c>
      <c r="G1" s="10" t="s">
        <v>74</v>
      </c>
      <c r="H1" s="10" t="s">
        <v>75</v>
      </c>
      <c r="I1" s="11">
        <v>44409</v>
      </c>
      <c r="J1" s="11">
        <v>44440</v>
      </c>
      <c r="K1" s="11">
        <v>44470</v>
      </c>
      <c r="L1" s="11">
        <v>44501</v>
      </c>
      <c r="M1" s="11">
        <v>44531</v>
      </c>
      <c r="N1" s="11">
        <v>44562</v>
      </c>
      <c r="O1" s="11">
        <v>44593</v>
      </c>
      <c r="P1" s="11">
        <v>44621</v>
      </c>
      <c r="Q1" s="11">
        <v>44652</v>
      </c>
      <c r="R1" s="11">
        <v>44682</v>
      </c>
      <c r="S1" s="11">
        <v>44713</v>
      </c>
      <c r="T1" s="11">
        <v>44743</v>
      </c>
      <c r="U1" s="10" t="s">
        <v>76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3">
      <c r="A2" s="128" t="s">
        <v>61</v>
      </c>
      <c r="B2" s="128" t="s">
        <v>54</v>
      </c>
      <c r="C2" s="128" t="s">
        <v>25</v>
      </c>
      <c r="D2" s="128" t="s">
        <v>25</v>
      </c>
      <c r="E2" s="128" t="s">
        <v>25</v>
      </c>
      <c r="F2" s="128" t="s">
        <v>25</v>
      </c>
      <c r="G2" s="13" t="s">
        <v>82</v>
      </c>
      <c r="H2" s="13" t="s">
        <v>81</v>
      </c>
      <c r="I2" s="13">
        <f>SUMIF(Mercado_Receita!$S$2:$S$604,"44409A3AzulNão se aplicaNão se aplicaNão se aplicaNão se aplicaPonta",Mercado_Receita!$J$2:$J$604)+SUMIF(Mercado_Receita!$S$2:$S$604,"44409A3AzulNão se aplicaNão se aplicaAPENão se aplicaPonta",Mercado_Receita!$J$2:$J$604)+SUMIF(Mercado_Receita!$S$2:$S$604,"44409A3ConvencionalNão se aplicaNão se aplicaNão se aplicaNão se aplicaNão se aplica",Mercado_Receita!$J$2:$J$604)*0.72</f>
        <v>0</v>
      </c>
      <c r="J2" s="13">
        <f>SUMIF(Mercado_Receita!$S$2:$S$604,"44440A3AzulNão se aplicaNão se aplicaNão se aplicaNão se aplicaPonta",Mercado_Receita!$J$2:$J$604)+SUMIF(Mercado_Receita!$S$2:$S$604,"44440A3AzulNão se aplicaNão se aplicaAPENão se aplicaPonta",Mercado_Receita!$J$2:$J$604)+SUMIF(Mercado_Receita!$S$2:$S$604,"44440A3ConvencionalNão se aplicaNão se aplicaNão se aplicaNão se aplicaNão se aplica",Mercado_Receita!$J$2:$J$604)*0.72</f>
        <v>0</v>
      </c>
      <c r="K2" s="13">
        <f>SUMIF(Mercado_Receita!$S$2:$S$604,"44470A3AzulNão se aplicaNão se aplicaNão se aplicaNão se aplicaPonta",Mercado_Receita!$J$2:$J$604)+SUMIF(Mercado_Receita!$S$2:$S$604,"44470A3AzulNão se aplicaNão se aplicaAPENão se aplicaPonta",Mercado_Receita!$J$2:$J$604)+SUMIF(Mercado_Receita!$S$2:$S$604,"44470A3ConvencionalNão se aplicaNão se aplicaNão se aplicaNão se aplicaNão se aplica",Mercado_Receita!$J$2:$J$604)*0.72</f>
        <v>0</v>
      </c>
      <c r="L2" s="13">
        <f>SUMIF(Mercado_Receita!$S$2:$S$604,"44501A3AzulNão se aplicaNão se aplicaNão se aplicaNão se aplicaPonta",Mercado_Receita!$J$2:$J$604)+SUMIF(Mercado_Receita!$S$2:$S$604,"44501A3AzulNão se aplicaNão se aplicaAPENão se aplicaPonta",Mercado_Receita!$J$2:$J$604)+SUMIF(Mercado_Receita!$S$2:$S$604,"44501A3ConvencionalNão se aplicaNão se aplicaNão se aplicaNão se aplicaNão se aplica",Mercado_Receita!$J$2:$J$604)*0.72</f>
        <v>0</v>
      </c>
      <c r="M2" s="13">
        <f>SUMIF(Mercado_Receita!$S$2:$S$604,"44531A3AzulNão se aplicaNão se aplicaNão se aplicaNão se aplicaPonta",Mercado_Receita!$J$2:$J$604)+SUMIF(Mercado_Receita!$S$2:$S$604,"44531A3AzulNão se aplicaNão se aplicaAPENão se aplicaPonta",Mercado_Receita!$J$2:$J$604)+SUMIF(Mercado_Receita!$S$2:$S$604,"44531A3ConvencionalNão se aplicaNão se aplicaNão se aplicaNão se aplicaNão se aplica",Mercado_Receita!$J$2:$J$604)*0.72</f>
        <v>0</v>
      </c>
      <c r="N2" s="13">
        <f>SUMIF(Mercado_Receita!$S$2:$S$604,"44562A3AzulNão se aplicaNão se aplicaNão se aplicaNão se aplicaPonta",Mercado_Receita!$J$2:$J$604)+SUMIF(Mercado_Receita!$S$2:$S$604,"44562A3AzulNão se aplicaNão se aplicaAPENão se aplicaPonta",Mercado_Receita!$J$2:$J$604)+SUMIF(Mercado_Receita!$S$2:$S$604,"44562A3ConvencionalNão se aplicaNão se aplicaNão se aplicaNão se aplicaNão se aplica",Mercado_Receita!$J$2:$J$604)*0.72</f>
        <v>0</v>
      </c>
      <c r="O2" s="13">
        <f>SUMIF(Mercado_Receita!$S$2:$S$604,"44593A3AzulNão se aplicaNão se aplicaNão se aplicaNão se aplicaPonta",Mercado_Receita!$J$2:$J$604)+SUMIF(Mercado_Receita!$S$2:$S$604,"44593A3AzulNão se aplicaNão se aplicaAPENão se aplicaPonta",Mercado_Receita!$J$2:$J$604)+SUMIF(Mercado_Receita!$S$2:$S$604,"44593A3ConvencionalNão se aplicaNão se aplicaNão se aplicaNão se aplicaNão se aplica",Mercado_Receita!$J$2:$J$604)*0.72</f>
        <v>0</v>
      </c>
      <c r="P2" s="13">
        <f>SUMIF(Mercado_Receita!$S$2:$S$604,"44621A3AzulNão se aplicaNão se aplicaNão se aplicaNão se aplicaPonta",Mercado_Receita!$J$2:$J$604)+SUMIF(Mercado_Receita!$S$2:$S$604,"44621A3AzulNão se aplicaNão se aplicaAPENão se aplicaPonta",Mercado_Receita!$J$2:$J$604)+SUMIF(Mercado_Receita!$S$2:$S$604,"44621A3ConvencionalNão se aplicaNão se aplicaNão se aplicaNão se aplicaNão se aplica",Mercado_Receita!$J$2:$J$604)*0.72</f>
        <v>0</v>
      </c>
      <c r="Q2" s="13">
        <f>SUMIF(Mercado_Receita!$S$2:$S$604,"44652A3AzulNão se aplicaNão se aplicaNão se aplicaNão se aplicaPonta",Mercado_Receita!$J$2:$J$604)+SUMIF(Mercado_Receita!$S$2:$S$604,"44652A3AzulNão se aplicaNão se aplicaAPENão se aplicaPonta",Mercado_Receita!$J$2:$J$604)+SUMIF(Mercado_Receita!$S$2:$S$604,"44652A3ConvencionalNão se aplicaNão se aplicaNão se aplicaNão se aplicaNão se aplica",Mercado_Receita!$J$2:$J$604)*0.72</f>
        <v>3427.2</v>
      </c>
      <c r="R2" s="13">
        <f>SUMIF(Mercado_Receita!$S$2:$S$604,"44682A3AzulNão se aplicaNão se aplicaNão se aplicaNão se aplicaPonta",Mercado_Receita!$J$2:$J$604)+SUMIF(Mercado_Receita!$S$2:$S$604,"44682A3AzulNão se aplicaNão se aplicaAPENão se aplicaPonta",Mercado_Receita!$J$2:$J$604)+SUMIF(Mercado_Receita!$S$2:$S$604,"44682A3ConvencionalNão se aplicaNão se aplicaNão se aplicaNão se aplicaNão se aplica",Mercado_Receita!$J$2:$J$604)*0.72</f>
        <v>3679.2</v>
      </c>
      <c r="S2" s="13">
        <f>SUMIF(Mercado_Receita!$S$2:$S$604,"44713A3AzulNão se aplicaNão se aplicaNão se aplicaNão se aplicaPonta",Mercado_Receita!$J$2:$J$604)+SUMIF(Mercado_Receita!$S$2:$S$604,"44713A3AzulNão se aplicaNão se aplicaAPENão se aplicaPonta",Mercado_Receita!$J$2:$J$604)+SUMIF(Mercado_Receita!$S$2:$S$604,"44713A3ConvencionalNão se aplicaNão se aplicaNão se aplicaNão se aplicaNão se aplica",Mercado_Receita!$J$2:$J$604)*0.72</f>
        <v>3670.8</v>
      </c>
      <c r="T2" s="13">
        <f>SUMIF(Mercado_Receita!$S$2:$S$604,"44743A3AzulNão se aplicaNão se aplicaNão se aplicaNão se aplicaPonta",Mercado_Receita!$J$2:$J$604)+SUMIF(Mercado_Receita!$S$2:$S$604,"44743A3AzulNão se aplicaNão se aplicaAPENão se aplicaPonta",Mercado_Receita!$J$2:$J$604)+SUMIF(Mercado_Receita!$S$2:$S$604,"44743A3ConvencionalNão se aplicaNão se aplicaNão se aplicaNão se aplicaNão se aplica",Mercado_Receita!$J$2:$J$604)*0.72</f>
        <v>4100</v>
      </c>
      <c r="U2" s="13">
        <f t="shared" ref="U2:U33" si="0">SUM(I2:T2)</f>
        <v>14877.2</v>
      </c>
      <c r="V2" s="13"/>
      <c r="W2" s="13"/>
    </row>
    <row r="3" spans="1:30" ht="11.25" customHeight="1" x14ac:dyDescent="0.3">
      <c r="A3" s="129"/>
      <c r="B3" s="129"/>
      <c r="C3" s="129"/>
      <c r="D3" s="129"/>
      <c r="E3" s="129"/>
      <c r="F3" s="129"/>
      <c r="G3" s="13" t="s">
        <v>83</v>
      </c>
      <c r="H3" s="13" t="s">
        <v>81</v>
      </c>
      <c r="I3" s="13">
        <f>SUMIF(Mercado_Receita!$S$2:$S$604,"44409A3AzulNão se aplicaNão se aplicaNão se aplicaNão se aplicaFora ponta",Mercado_Receita!$J$2:$J$604)+SUMIF(Mercado_Receita!$S$2:$S$604,"44409A3AzulNão se aplicaNão se aplicaAPENão se aplicaFora ponta",Mercado_Receita!$J$2:$J$604)+SUMIF(Mercado_Receita!$S$2:$S$604,"44409A3ConvencionalNão se aplicaNão se aplicaNão se aplicaNão se aplicaNão se aplica",Mercado_Receita!$J$2:$J$604)*1</f>
        <v>0</v>
      </c>
      <c r="J3" s="13">
        <f>SUMIF(Mercado_Receita!$S$2:$S$604,"44440A3AzulNão se aplicaNão se aplicaNão se aplicaNão se aplicaFora ponta",Mercado_Receita!$J$2:$J$604)+SUMIF(Mercado_Receita!$S$2:$S$604,"44440A3AzulNão se aplicaNão se aplicaAPENão se aplicaFora ponta",Mercado_Receita!$J$2:$J$604)+SUMIF(Mercado_Receita!$S$2:$S$604,"44440A3ConvencionalNão se aplicaNão se aplicaNão se aplicaNão se aplicaNão se aplica",Mercado_Receita!$J$2:$J$604)*1</f>
        <v>0</v>
      </c>
      <c r="K3" s="13">
        <f>SUMIF(Mercado_Receita!$S$2:$S$604,"44470A3AzulNão se aplicaNão se aplicaNão se aplicaNão se aplicaFora ponta",Mercado_Receita!$J$2:$J$604)+SUMIF(Mercado_Receita!$S$2:$S$604,"44470A3AzulNão se aplicaNão se aplicaAPENão se aplicaFora ponta",Mercado_Receita!$J$2:$J$604)+SUMIF(Mercado_Receita!$S$2:$S$604,"44470A3ConvencionalNão se aplicaNão se aplicaNão se aplicaNão se aplicaNão se aplica",Mercado_Receita!$J$2:$J$604)*1</f>
        <v>0</v>
      </c>
      <c r="L3" s="13">
        <f>SUMIF(Mercado_Receita!$S$2:$S$604,"44501A3AzulNão se aplicaNão se aplicaNão se aplicaNão se aplicaFora ponta",Mercado_Receita!$J$2:$J$604)+SUMIF(Mercado_Receita!$S$2:$S$604,"44501A3AzulNão se aplicaNão se aplicaAPENão se aplicaFora ponta",Mercado_Receita!$J$2:$J$604)+SUMIF(Mercado_Receita!$S$2:$S$604,"44501A3ConvencionalNão se aplicaNão se aplicaNão se aplicaNão se aplicaNão se aplica",Mercado_Receita!$J$2:$J$604)*1</f>
        <v>0</v>
      </c>
      <c r="M3" s="13">
        <f>SUMIF(Mercado_Receita!$S$2:$S$604,"44531A3AzulNão se aplicaNão se aplicaNão se aplicaNão se aplicaFora ponta",Mercado_Receita!$J$2:$J$604)+SUMIF(Mercado_Receita!$S$2:$S$604,"44531A3AzulNão se aplicaNão se aplicaAPENão se aplicaFora ponta",Mercado_Receita!$J$2:$J$604)+SUMIF(Mercado_Receita!$S$2:$S$604,"44531A3ConvencionalNão se aplicaNão se aplicaNão se aplicaNão se aplicaNão se aplica",Mercado_Receita!$J$2:$J$604)*1</f>
        <v>0</v>
      </c>
      <c r="N3" s="13">
        <f>SUMIF(Mercado_Receita!$S$2:$S$604,"44562A3AzulNão se aplicaNão se aplicaNão se aplicaNão se aplicaFora ponta",Mercado_Receita!$J$2:$J$604)+SUMIF(Mercado_Receita!$S$2:$S$604,"44562A3AzulNão se aplicaNão se aplicaAPENão se aplicaFora ponta",Mercado_Receita!$J$2:$J$604)+SUMIF(Mercado_Receita!$S$2:$S$604,"44562A3ConvencionalNão se aplicaNão se aplicaNão se aplicaNão se aplicaNão se aplica",Mercado_Receita!$J$2:$J$604)*1</f>
        <v>0</v>
      </c>
      <c r="O3" s="13">
        <f>SUMIF(Mercado_Receita!$S$2:$S$604,"44593A3AzulNão se aplicaNão se aplicaNão se aplicaNão se aplicaFora ponta",Mercado_Receita!$J$2:$J$604)+SUMIF(Mercado_Receita!$S$2:$S$604,"44593A3AzulNão se aplicaNão se aplicaAPENão se aplicaFora ponta",Mercado_Receita!$J$2:$J$604)+SUMIF(Mercado_Receita!$S$2:$S$604,"44593A3ConvencionalNão se aplicaNão se aplicaNão se aplicaNão se aplicaNão se aplica",Mercado_Receita!$J$2:$J$604)*1</f>
        <v>0</v>
      </c>
      <c r="P3" s="13">
        <f>SUMIF(Mercado_Receita!$S$2:$S$604,"44621A3AzulNão se aplicaNão se aplicaNão se aplicaNão se aplicaFora ponta",Mercado_Receita!$J$2:$J$604)+SUMIF(Mercado_Receita!$S$2:$S$604,"44621A3AzulNão se aplicaNão se aplicaAPENão se aplicaFora ponta",Mercado_Receita!$J$2:$J$604)+SUMIF(Mercado_Receita!$S$2:$S$604,"44621A3ConvencionalNão se aplicaNão se aplicaNão se aplicaNão se aplicaNão se aplica",Mercado_Receita!$J$2:$J$604)*1</f>
        <v>0</v>
      </c>
      <c r="Q3" s="13">
        <f>SUMIF(Mercado_Receita!$S$2:$S$604,"44652A3AzulNão se aplicaNão se aplicaNão se aplicaNão se aplicaFora ponta",Mercado_Receita!$J$2:$J$604)+SUMIF(Mercado_Receita!$S$2:$S$604,"44652A3AzulNão se aplicaNão se aplicaAPENão se aplicaFora ponta",Mercado_Receita!$J$2:$J$604)+SUMIF(Mercado_Receita!$S$2:$S$604,"44652A3ConvencionalNão se aplicaNão se aplicaNão se aplicaNão se aplicaNão se aplica",Mercado_Receita!$J$2:$J$604)*1</f>
        <v>3469.2</v>
      </c>
      <c r="R3" s="13">
        <f>SUMIF(Mercado_Receita!$S$2:$S$604,"44682A3AzulNão se aplicaNão se aplicaNão se aplicaNão se aplicaFora ponta",Mercado_Receita!$J$2:$J$604)+SUMIF(Mercado_Receita!$S$2:$S$604,"44682A3AzulNão se aplicaNão se aplicaAPENão se aplicaFora ponta",Mercado_Receita!$J$2:$J$604)+SUMIF(Mercado_Receita!$S$2:$S$604,"44682A3ConvencionalNão se aplicaNão se aplicaNão se aplicaNão se aplicaNão se aplica",Mercado_Receita!$J$2:$J$604)*1</f>
        <v>3738</v>
      </c>
      <c r="S3" s="13">
        <f>SUMIF(Mercado_Receita!$S$2:$S$604,"44713A3AzulNão se aplicaNão se aplicaNão se aplicaNão se aplicaFora ponta",Mercado_Receita!$J$2:$J$604)+SUMIF(Mercado_Receita!$S$2:$S$604,"44713A3AzulNão se aplicaNão se aplicaAPENão se aplicaFora ponta",Mercado_Receita!$J$2:$J$604)+SUMIF(Mercado_Receita!$S$2:$S$604,"44713A3ConvencionalNão se aplicaNão se aplicaNão se aplicaNão se aplicaNão se aplica",Mercado_Receita!$J$2:$J$604)*1</f>
        <v>3763.2</v>
      </c>
      <c r="T3" s="13">
        <f>SUMIF(Mercado_Receita!$S$2:$S$604,"44743A3AzulNão se aplicaNão se aplicaNão se aplicaNão se aplicaFora ponta",Mercado_Receita!$J$2:$J$604)+SUMIF(Mercado_Receita!$S$2:$S$604,"44743A3AzulNão se aplicaNão se aplicaAPENão se aplicaFora ponta",Mercado_Receita!$J$2:$J$604)+SUMIF(Mercado_Receita!$S$2:$S$604,"44743A3ConvencionalNão se aplicaNão se aplicaNão se aplicaNão se aplicaNão se aplica",Mercado_Receita!$J$2:$J$604)*1</f>
        <v>4100</v>
      </c>
      <c r="U3" s="13">
        <f t="shared" si="0"/>
        <v>15070.4</v>
      </c>
      <c r="V3" s="13"/>
      <c r="W3" s="13"/>
    </row>
    <row r="4" spans="1:30" ht="11.25" customHeight="1" x14ac:dyDescent="0.3">
      <c r="A4" s="129"/>
      <c r="B4" s="129"/>
      <c r="C4" s="129"/>
      <c r="D4" s="129"/>
      <c r="E4" s="129"/>
      <c r="F4" s="129"/>
      <c r="G4" s="13" t="s">
        <v>84</v>
      </c>
      <c r="H4" s="13" t="s">
        <v>78</v>
      </c>
      <c r="I4" s="13">
        <f>SUMIF(Mercado_Receita!$S$2:$S$604,"44409A3AzulNão se aplicaNão se aplicaNão se aplicaNão se aplicaPonta",Mercado_Receita!$L$2:$L$604)+SUMIF(Mercado_Receita!$S$2:$S$604,"44409A3AzulNão se aplicaNão se aplicaNão se aplicaNão se aplicaFora ponta",Mercado_Receita!$L$2:$L$604)+SUMIF(Mercado_Receita!$S$2:$S$604,"44409A3AzulNão se aplicaNão se aplicaNão se aplicaNão se aplicaIntermediário",Mercado_Receita!$L$2:$L$604)+SUMIF(Mercado_Receita!$S$2:$S$604,"44409A3AzulNão se aplicaNão se aplicaNão se aplicaNão se aplicaNão se aplica",Mercado_Receita!$L$2:$L$604)+SUMIF(Mercado_Receita!$S$2:$S$604,"44409A3ConvencionalNão se aplicaNão se aplicaNão se aplicaNão se aplicaNão se aplica",Mercado_Receita!$L$2:$L$604)</f>
        <v>0</v>
      </c>
      <c r="J4" s="13">
        <f>SUMIF(Mercado_Receita!$S$2:$S$604,"44440A3AzulNão se aplicaNão se aplicaNão se aplicaNão se aplicaPonta",Mercado_Receita!$L$2:$L$604)+SUMIF(Mercado_Receita!$S$2:$S$604,"44440A3AzulNão se aplicaNão se aplicaNão se aplicaNão se aplicaFora ponta",Mercado_Receita!$L$2:$L$604)+SUMIF(Mercado_Receita!$S$2:$S$604,"44440A3AzulNão se aplicaNão se aplicaNão se aplicaNão se aplicaIntermediário",Mercado_Receita!$L$2:$L$604)+SUMIF(Mercado_Receita!$S$2:$S$604,"44440A3AzulNão se aplicaNão se aplicaNão se aplicaNão se aplicaNão se aplica",Mercado_Receita!$L$2:$L$604)+SUMIF(Mercado_Receita!$S$2:$S$604,"44440A3ConvencionalNão se aplicaNão se aplicaNão se aplicaNão se aplicaNão se aplica",Mercado_Receita!$L$2:$L$604)</f>
        <v>0</v>
      </c>
      <c r="K4" s="13">
        <f>SUMIF(Mercado_Receita!$S$2:$S$604,"44470A3AzulNão se aplicaNão se aplicaNão se aplicaNão se aplicaPonta",Mercado_Receita!$L$2:$L$604)+SUMIF(Mercado_Receita!$S$2:$S$604,"44470A3AzulNão se aplicaNão se aplicaNão se aplicaNão se aplicaFora ponta",Mercado_Receita!$L$2:$L$604)+SUMIF(Mercado_Receita!$S$2:$S$604,"44470A3AzulNão se aplicaNão se aplicaNão se aplicaNão se aplicaIntermediário",Mercado_Receita!$L$2:$L$604)+SUMIF(Mercado_Receita!$S$2:$S$604,"44470A3AzulNão se aplicaNão se aplicaNão se aplicaNão se aplicaNão se aplica",Mercado_Receita!$L$2:$L$604)+SUMIF(Mercado_Receita!$S$2:$S$604,"44470A3ConvencionalNão se aplicaNão se aplicaNão se aplicaNão se aplicaNão se aplica",Mercado_Receita!$L$2:$L$604)</f>
        <v>0</v>
      </c>
      <c r="L4" s="13">
        <f>SUMIF(Mercado_Receita!$S$2:$S$604,"44501A3AzulNão se aplicaNão se aplicaNão se aplicaNão se aplicaPonta",Mercado_Receita!$L$2:$L$604)+SUMIF(Mercado_Receita!$S$2:$S$604,"44501A3AzulNão se aplicaNão se aplicaNão se aplicaNão se aplicaFora ponta",Mercado_Receita!$L$2:$L$604)+SUMIF(Mercado_Receita!$S$2:$S$604,"44501A3AzulNão se aplicaNão se aplicaNão se aplicaNão se aplicaIntermediário",Mercado_Receita!$L$2:$L$604)+SUMIF(Mercado_Receita!$S$2:$S$604,"44501A3AzulNão se aplicaNão se aplicaNão se aplicaNão se aplicaNão se aplica",Mercado_Receita!$L$2:$L$604)+SUMIF(Mercado_Receita!$S$2:$S$604,"44501A3ConvencionalNão se aplicaNão se aplicaNão se aplicaNão se aplicaNão se aplica",Mercado_Receita!$L$2:$L$604)</f>
        <v>0</v>
      </c>
      <c r="M4" s="13">
        <f>SUMIF(Mercado_Receita!$S$2:$S$604,"44531A3AzulNão se aplicaNão se aplicaNão se aplicaNão se aplicaPonta",Mercado_Receita!$L$2:$L$604)+SUMIF(Mercado_Receita!$S$2:$S$604,"44531A3AzulNão se aplicaNão se aplicaNão se aplicaNão se aplicaFora ponta",Mercado_Receita!$L$2:$L$604)+SUMIF(Mercado_Receita!$S$2:$S$604,"44531A3AzulNão se aplicaNão se aplicaNão se aplicaNão se aplicaIntermediário",Mercado_Receita!$L$2:$L$604)+SUMIF(Mercado_Receita!$S$2:$S$604,"44531A3AzulNão se aplicaNão se aplicaNão se aplicaNão se aplicaNão se aplica",Mercado_Receita!$L$2:$L$604)+SUMIF(Mercado_Receita!$S$2:$S$604,"44531A3ConvencionalNão se aplicaNão se aplicaNão se aplicaNão se aplicaNão se aplica",Mercado_Receita!$L$2:$L$604)</f>
        <v>0</v>
      </c>
      <c r="N4" s="13">
        <f>SUMIF(Mercado_Receita!$S$2:$S$604,"44562A3AzulNão se aplicaNão se aplicaNão se aplicaNão se aplicaPonta",Mercado_Receita!$L$2:$L$604)+SUMIF(Mercado_Receita!$S$2:$S$604,"44562A3AzulNão se aplicaNão se aplicaNão se aplicaNão se aplicaFora ponta",Mercado_Receita!$L$2:$L$604)+SUMIF(Mercado_Receita!$S$2:$S$604,"44562A3AzulNão se aplicaNão se aplicaNão se aplicaNão se aplicaIntermediário",Mercado_Receita!$L$2:$L$604)+SUMIF(Mercado_Receita!$S$2:$S$604,"44562A3AzulNão se aplicaNão se aplicaNão se aplicaNão se aplicaNão se aplica",Mercado_Receita!$L$2:$L$604)+SUMIF(Mercado_Receita!$S$2:$S$604,"44562A3ConvencionalNão se aplicaNão se aplicaNão se aplicaNão se aplicaNão se aplica",Mercado_Receita!$L$2:$L$604)</f>
        <v>0</v>
      </c>
      <c r="O4" s="13">
        <f>SUMIF(Mercado_Receita!$S$2:$S$604,"44593A3AzulNão se aplicaNão se aplicaNão se aplicaNão se aplicaPonta",Mercado_Receita!$L$2:$L$604)+SUMIF(Mercado_Receita!$S$2:$S$604,"44593A3AzulNão se aplicaNão se aplicaNão se aplicaNão se aplicaFora ponta",Mercado_Receita!$L$2:$L$604)+SUMIF(Mercado_Receita!$S$2:$S$604,"44593A3AzulNão se aplicaNão se aplicaNão se aplicaNão se aplicaIntermediário",Mercado_Receita!$L$2:$L$604)+SUMIF(Mercado_Receita!$S$2:$S$604,"44593A3AzulNão se aplicaNão se aplicaNão se aplicaNão se aplicaNão se aplica",Mercado_Receita!$L$2:$L$604)+SUMIF(Mercado_Receita!$S$2:$S$604,"44593A3ConvencionalNão se aplicaNão se aplicaNão se aplicaNão se aplicaNão se aplica",Mercado_Receita!$L$2:$L$604)</f>
        <v>0</v>
      </c>
      <c r="P4" s="13">
        <f>SUMIF(Mercado_Receita!$S$2:$S$604,"44621A3AzulNão se aplicaNão se aplicaNão se aplicaNão se aplicaPonta",Mercado_Receita!$L$2:$L$604)+SUMIF(Mercado_Receita!$S$2:$S$604,"44621A3AzulNão se aplicaNão se aplicaNão se aplicaNão se aplicaFora ponta",Mercado_Receita!$L$2:$L$604)+SUMIF(Mercado_Receita!$S$2:$S$604,"44621A3AzulNão se aplicaNão se aplicaNão se aplicaNão se aplicaIntermediário",Mercado_Receita!$L$2:$L$604)+SUMIF(Mercado_Receita!$S$2:$S$604,"44621A3AzulNão se aplicaNão se aplicaNão se aplicaNão se aplicaNão se aplica",Mercado_Receita!$L$2:$L$604)+SUMIF(Mercado_Receita!$S$2:$S$604,"44621A3ConvencionalNão se aplicaNão se aplicaNão se aplicaNão se aplicaNão se aplica",Mercado_Receita!$L$2:$L$604)</f>
        <v>0</v>
      </c>
      <c r="Q4" s="13">
        <f>SUMIF(Mercado_Receita!$S$2:$S$604,"44652A3AzulNão se aplicaNão se aplicaNão se aplicaNão se aplicaPonta",Mercado_Receita!$L$2:$L$604)+SUMIF(Mercado_Receita!$S$2:$S$604,"44652A3AzulNão se aplicaNão se aplicaNão se aplicaNão se aplicaFora ponta",Mercado_Receita!$L$2:$L$604)+SUMIF(Mercado_Receita!$S$2:$S$604,"44652A3AzulNão se aplicaNão se aplicaNão se aplicaNão se aplicaIntermediário",Mercado_Receita!$L$2:$L$604)+SUMIF(Mercado_Receita!$S$2:$S$604,"44652A3AzulNão se aplicaNão se aplicaNão se aplicaNão se aplicaNão se aplica",Mercado_Receita!$L$2:$L$604)+SUMIF(Mercado_Receita!$S$2:$S$604,"44652A3ConvencionalNão se aplicaNão se aplicaNão se aplicaNão se aplicaNão se aplica",Mercado_Receita!$L$2:$L$604)</f>
        <v>1349.6216999999999</v>
      </c>
      <c r="R4" s="13">
        <f>SUMIF(Mercado_Receita!$S$2:$S$604,"44682A3AzulNão se aplicaNão se aplicaNão se aplicaNão se aplicaPonta",Mercado_Receita!$L$2:$L$604)+SUMIF(Mercado_Receita!$S$2:$S$604,"44682A3AzulNão se aplicaNão se aplicaNão se aplicaNão se aplicaFora ponta",Mercado_Receita!$L$2:$L$604)+SUMIF(Mercado_Receita!$S$2:$S$604,"44682A3AzulNão se aplicaNão se aplicaNão se aplicaNão se aplicaIntermediário",Mercado_Receita!$L$2:$L$604)+SUMIF(Mercado_Receita!$S$2:$S$604,"44682A3AzulNão se aplicaNão se aplicaNão se aplicaNão se aplicaNão se aplica",Mercado_Receita!$L$2:$L$604)+SUMIF(Mercado_Receita!$S$2:$S$604,"44682A3ConvencionalNão se aplicaNão se aplicaNão se aplicaNão se aplicaNão se aplica",Mercado_Receita!$L$2:$L$604)</f>
        <v>2026.143</v>
      </c>
      <c r="S4" s="13">
        <f>SUMIF(Mercado_Receita!$S$2:$S$604,"44713A3AzulNão se aplicaNão se aplicaNão se aplicaNão se aplicaPonta",Mercado_Receita!$L$2:$L$604)+SUMIF(Mercado_Receita!$S$2:$S$604,"44713A3AzulNão se aplicaNão se aplicaNão se aplicaNão se aplicaFora ponta",Mercado_Receita!$L$2:$L$604)+SUMIF(Mercado_Receita!$S$2:$S$604,"44713A3AzulNão se aplicaNão se aplicaNão se aplicaNão se aplicaIntermediário",Mercado_Receita!$L$2:$L$604)+SUMIF(Mercado_Receita!$S$2:$S$604,"44713A3AzulNão se aplicaNão se aplicaNão se aplicaNão se aplicaNão se aplica",Mercado_Receita!$L$2:$L$604)+SUMIF(Mercado_Receita!$S$2:$S$604,"44713A3ConvencionalNão se aplicaNão se aplicaNão se aplicaNão se aplicaNão se aplica",Mercado_Receita!$L$2:$L$604)</f>
        <v>2090.6046000000001</v>
      </c>
      <c r="T4" s="13">
        <f>SUMIF(Mercado_Receita!$S$2:$S$604,"44743A3AzulNão se aplicaNão se aplicaNão se aplicaNão se aplicaPonta",Mercado_Receita!$L$2:$L$604)+SUMIF(Mercado_Receita!$S$2:$S$604,"44743A3AzulNão se aplicaNão se aplicaNão se aplicaNão se aplicaFora ponta",Mercado_Receita!$L$2:$L$604)+SUMIF(Mercado_Receita!$S$2:$S$604,"44743A3AzulNão se aplicaNão se aplicaNão se aplicaNão se aplicaIntermediário",Mercado_Receita!$L$2:$L$604)+SUMIF(Mercado_Receita!$S$2:$S$604,"44743A3AzulNão se aplicaNão se aplicaNão se aplicaNão se aplicaNão se aplica",Mercado_Receita!$L$2:$L$604)+SUMIF(Mercado_Receita!$S$2:$S$604,"44743A3ConvencionalNão se aplicaNão se aplicaNão se aplicaNão se aplicaNão se aplica",Mercado_Receita!$L$2:$L$604)</f>
        <v>2175.5034000000001</v>
      </c>
      <c r="U4" s="13">
        <f t="shared" si="0"/>
        <v>7641.8726999999999</v>
      </c>
      <c r="V4" s="13"/>
      <c r="W4" s="13"/>
    </row>
    <row r="5" spans="1:30" ht="11.25" customHeight="1" x14ac:dyDescent="0.3">
      <c r="A5" s="129"/>
      <c r="B5" s="129"/>
      <c r="C5" s="129"/>
      <c r="D5" s="129"/>
      <c r="E5" s="12" t="s">
        <v>85</v>
      </c>
      <c r="F5" s="12" t="s">
        <v>25</v>
      </c>
      <c r="G5" s="13" t="s">
        <v>84</v>
      </c>
      <c r="H5" s="13" t="s">
        <v>78</v>
      </c>
      <c r="I5" s="13">
        <f>SUMIF(Mercado_Receita!$S$2:$S$604,"44409A3AzulNão se aplicaNão se aplicaAPENão se aplicaPonta",Mercado_Receita!$L$2:$L$604)+SUMIF(Mercado_Receita!$S$2:$S$604,"44409A3AzulNão se aplicaNão se aplicaAPENão se aplicaFora ponta",Mercado_Receita!$L$2:$L$604)+SUMIF(Mercado_Receita!$S$2:$S$604,"44409A3AzulNão se aplicaNão se aplicaAPENão se aplicaIntermediário",Mercado_Receita!$L$2:$L$604)+SUMIF(Mercado_Receita!$S$2:$S$604,"44409A3AzulNão se aplicaNão se aplicaAPENão se aplicaNão se aplica",Mercado_Receita!$L$2:$L$604)+SUMIF(Mercado_Receita!$S$2:$S$604,"44409A3ConvencionalNão se aplicaNão se aplicaAPENão se aplicaNão se aplica",Mercado_Receita!$L$2:$L$604)</f>
        <v>0</v>
      </c>
      <c r="J5" s="13">
        <f>SUMIF(Mercado_Receita!$S$2:$S$604,"44440A3AzulNão se aplicaNão se aplicaAPENão se aplicaPonta",Mercado_Receita!$L$2:$L$604)+SUMIF(Mercado_Receita!$S$2:$S$604,"44440A3AzulNão se aplicaNão se aplicaAPENão se aplicaFora ponta",Mercado_Receita!$L$2:$L$604)+SUMIF(Mercado_Receita!$S$2:$S$604,"44440A3AzulNão se aplicaNão se aplicaAPENão se aplicaIntermediário",Mercado_Receita!$L$2:$L$604)+SUMIF(Mercado_Receita!$S$2:$S$604,"44440A3AzulNão se aplicaNão se aplicaAPENão se aplicaNão se aplica",Mercado_Receita!$L$2:$L$604)+SUMIF(Mercado_Receita!$S$2:$S$604,"44440A3ConvencionalNão se aplicaNão se aplicaAPENão se aplicaNão se aplica",Mercado_Receita!$L$2:$L$604)</f>
        <v>0</v>
      </c>
      <c r="K5" s="13">
        <f>SUMIF(Mercado_Receita!$S$2:$S$604,"44470A3AzulNão se aplicaNão se aplicaAPENão se aplicaPonta",Mercado_Receita!$L$2:$L$604)+SUMIF(Mercado_Receita!$S$2:$S$604,"44470A3AzulNão se aplicaNão se aplicaAPENão se aplicaFora ponta",Mercado_Receita!$L$2:$L$604)+SUMIF(Mercado_Receita!$S$2:$S$604,"44470A3AzulNão se aplicaNão se aplicaAPENão se aplicaIntermediário",Mercado_Receita!$L$2:$L$604)+SUMIF(Mercado_Receita!$S$2:$S$604,"44470A3AzulNão se aplicaNão se aplicaAPENão se aplicaNão se aplica",Mercado_Receita!$L$2:$L$604)+SUMIF(Mercado_Receita!$S$2:$S$604,"44470A3ConvencionalNão se aplicaNão se aplicaAPENão se aplicaNão se aplica",Mercado_Receita!$L$2:$L$604)</f>
        <v>0</v>
      </c>
      <c r="L5" s="13">
        <f>SUMIF(Mercado_Receita!$S$2:$S$604,"44501A3AzulNão se aplicaNão se aplicaAPENão se aplicaPonta",Mercado_Receita!$L$2:$L$604)+SUMIF(Mercado_Receita!$S$2:$S$604,"44501A3AzulNão se aplicaNão se aplicaAPENão se aplicaFora ponta",Mercado_Receita!$L$2:$L$604)+SUMIF(Mercado_Receita!$S$2:$S$604,"44501A3AzulNão se aplicaNão se aplicaAPENão se aplicaIntermediário",Mercado_Receita!$L$2:$L$604)+SUMIF(Mercado_Receita!$S$2:$S$604,"44501A3AzulNão se aplicaNão se aplicaAPENão se aplicaNão se aplica",Mercado_Receita!$L$2:$L$604)+SUMIF(Mercado_Receita!$S$2:$S$604,"44501A3ConvencionalNão se aplicaNão se aplicaAPENão se aplicaNão se aplica",Mercado_Receita!$L$2:$L$604)</f>
        <v>0</v>
      </c>
      <c r="M5" s="13">
        <f>SUMIF(Mercado_Receita!$S$2:$S$604,"44531A3AzulNão se aplicaNão se aplicaAPENão se aplicaPonta",Mercado_Receita!$L$2:$L$604)+SUMIF(Mercado_Receita!$S$2:$S$604,"44531A3AzulNão se aplicaNão se aplicaAPENão se aplicaFora ponta",Mercado_Receita!$L$2:$L$604)+SUMIF(Mercado_Receita!$S$2:$S$604,"44531A3AzulNão se aplicaNão se aplicaAPENão se aplicaIntermediário",Mercado_Receita!$L$2:$L$604)+SUMIF(Mercado_Receita!$S$2:$S$604,"44531A3AzulNão se aplicaNão se aplicaAPENão se aplicaNão se aplica",Mercado_Receita!$L$2:$L$604)+SUMIF(Mercado_Receita!$S$2:$S$604,"44531A3ConvencionalNão se aplicaNão se aplicaAPENão se aplicaNão se aplica",Mercado_Receita!$L$2:$L$604)</f>
        <v>0</v>
      </c>
      <c r="N5" s="13">
        <f>SUMIF(Mercado_Receita!$S$2:$S$604,"44562A3AzulNão se aplicaNão se aplicaAPENão se aplicaPonta",Mercado_Receita!$L$2:$L$604)+SUMIF(Mercado_Receita!$S$2:$S$604,"44562A3AzulNão se aplicaNão se aplicaAPENão se aplicaFora ponta",Mercado_Receita!$L$2:$L$604)+SUMIF(Mercado_Receita!$S$2:$S$604,"44562A3AzulNão se aplicaNão se aplicaAPENão se aplicaIntermediário",Mercado_Receita!$L$2:$L$604)+SUMIF(Mercado_Receita!$S$2:$S$604,"44562A3AzulNão se aplicaNão se aplicaAPENão se aplicaNão se aplica",Mercado_Receita!$L$2:$L$604)+SUMIF(Mercado_Receita!$S$2:$S$604,"44562A3ConvencionalNão se aplicaNão se aplicaAPENão se aplicaNão se aplica",Mercado_Receita!$L$2:$L$604)</f>
        <v>0</v>
      </c>
      <c r="O5" s="13">
        <f>SUMIF(Mercado_Receita!$S$2:$S$604,"44593A3AzulNão se aplicaNão se aplicaAPENão se aplicaPonta",Mercado_Receita!$L$2:$L$604)+SUMIF(Mercado_Receita!$S$2:$S$604,"44593A3AzulNão se aplicaNão se aplicaAPENão se aplicaFora ponta",Mercado_Receita!$L$2:$L$604)+SUMIF(Mercado_Receita!$S$2:$S$604,"44593A3AzulNão se aplicaNão se aplicaAPENão se aplicaIntermediário",Mercado_Receita!$L$2:$L$604)+SUMIF(Mercado_Receita!$S$2:$S$604,"44593A3AzulNão se aplicaNão se aplicaAPENão se aplicaNão se aplica",Mercado_Receita!$L$2:$L$604)+SUMIF(Mercado_Receita!$S$2:$S$604,"44593A3ConvencionalNão se aplicaNão se aplicaAPENão se aplicaNão se aplica",Mercado_Receita!$L$2:$L$604)</f>
        <v>0</v>
      </c>
      <c r="P5" s="13">
        <f>SUMIF(Mercado_Receita!$S$2:$S$604,"44621A3AzulNão se aplicaNão se aplicaAPENão se aplicaPonta",Mercado_Receita!$L$2:$L$604)+SUMIF(Mercado_Receita!$S$2:$S$604,"44621A3AzulNão se aplicaNão se aplicaAPENão se aplicaFora ponta",Mercado_Receita!$L$2:$L$604)+SUMIF(Mercado_Receita!$S$2:$S$604,"44621A3AzulNão se aplicaNão se aplicaAPENão se aplicaIntermediário",Mercado_Receita!$L$2:$L$604)+SUMIF(Mercado_Receita!$S$2:$S$604,"44621A3AzulNão se aplicaNão se aplicaAPENão se aplicaNão se aplica",Mercado_Receita!$L$2:$L$604)+SUMIF(Mercado_Receita!$S$2:$S$604,"44621A3ConvencionalNão se aplicaNão se aplicaAPENão se aplicaNão se aplica",Mercado_Receita!$L$2:$L$604)</f>
        <v>0</v>
      </c>
      <c r="Q5" s="13">
        <f>SUMIF(Mercado_Receita!$S$2:$S$604,"44652A3AzulNão se aplicaNão se aplicaAPENão se aplicaPonta",Mercado_Receita!$L$2:$L$604)+SUMIF(Mercado_Receita!$S$2:$S$604,"44652A3AzulNão se aplicaNão se aplicaAPENão se aplicaFora ponta",Mercado_Receita!$L$2:$L$604)+SUMIF(Mercado_Receita!$S$2:$S$604,"44652A3AzulNão se aplicaNão se aplicaAPENão se aplicaIntermediário",Mercado_Receita!$L$2:$L$604)+SUMIF(Mercado_Receita!$S$2:$S$604,"44652A3AzulNão se aplicaNão se aplicaAPENão se aplicaNão se aplica",Mercado_Receita!$L$2:$L$604)+SUMIF(Mercado_Receita!$S$2:$S$604,"44652A3ConvencionalNão se aplicaNão se aplicaAPENão se aplicaNão se aplica",Mercado_Receita!$L$2:$L$604)</f>
        <v>0</v>
      </c>
      <c r="R5" s="13">
        <f>SUMIF(Mercado_Receita!$S$2:$S$604,"44682A3AzulNão se aplicaNão se aplicaAPENão se aplicaPonta",Mercado_Receita!$L$2:$L$604)+SUMIF(Mercado_Receita!$S$2:$S$604,"44682A3AzulNão se aplicaNão se aplicaAPENão se aplicaFora ponta",Mercado_Receita!$L$2:$L$604)+SUMIF(Mercado_Receita!$S$2:$S$604,"44682A3AzulNão se aplicaNão se aplicaAPENão se aplicaIntermediário",Mercado_Receita!$L$2:$L$604)+SUMIF(Mercado_Receita!$S$2:$S$604,"44682A3AzulNão se aplicaNão se aplicaAPENão se aplicaNão se aplica",Mercado_Receita!$L$2:$L$604)+SUMIF(Mercado_Receita!$S$2:$S$604,"44682A3ConvencionalNão se aplicaNão se aplicaAPENão se aplicaNão se aplica",Mercado_Receita!$L$2:$L$604)</f>
        <v>0</v>
      </c>
      <c r="S5" s="13">
        <f>SUMIF(Mercado_Receita!$S$2:$S$604,"44713A3AzulNão se aplicaNão se aplicaAPENão se aplicaPonta",Mercado_Receita!$L$2:$L$604)+SUMIF(Mercado_Receita!$S$2:$S$604,"44713A3AzulNão se aplicaNão se aplicaAPENão se aplicaFora ponta",Mercado_Receita!$L$2:$L$604)+SUMIF(Mercado_Receita!$S$2:$S$604,"44713A3AzulNão se aplicaNão se aplicaAPENão se aplicaIntermediário",Mercado_Receita!$L$2:$L$604)+SUMIF(Mercado_Receita!$S$2:$S$604,"44713A3AzulNão se aplicaNão se aplicaAPENão se aplicaNão se aplica",Mercado_Receita!$L$2:$L$604)+SUMIF(Mercado_Receita!$S$2:$S$604,"44713A3ConvencionalNão se aplicaNão se aplicaAPENão se aplicaNão se aplica",Mercado_Receita!$L$2:$L$604)</f>
        <v>0</v>
      </c>
      <c r="T5" s="13">
        <f>SUMIF(Mercado_Receita!$S$2:$S$604,"44743A3AzulNão se aplicaNão se aplicaAPENão se aplicaPonta",Mercado_Receita!$L$2:$L$604)+SUMIF(Mercado_Receita!$S$2:$S$604,"44743A3AzulNão se aplicaNão se aplicaAPENão se aplicaFora ponta",Mercado_Receita!$L$2:$L$604)+SUMIF(Mercado_Receita!$S$2:$S$604,"44743A3AzulNão se aplicaNão se aplicaAPENão se aplicaIntermediário",Mercado_Receita!$L$2:$L$604)+SUMIF(Mercado_Receita!$S$2:$S$604,"44743A3AzulNão se aplicaNão se aplicaAPENão se aplicaNão se aplica",Mercado_Receita!$L$2:$L$604)+SUMIF(Mercado_Receita!$S$2:$S$604,"44743A3ConvencionalNão se aplicaNão se aplicaAPENão se aplicaNão se aplica",Mercado_Receita!$L$2:$L$604)</f>
        <v>0</v>
      </c>
      <c r="U5" s="13">
        <f t="shared" si="0"/>
        <v>0</v>
      </c>
      <c r="V5" s="13"/>
      <c r="W5" s="13"/>
    </row>
    <row r="6" spans="1:30" ht="11.25" customHeight="1" x14ac:dyDescent="0.3">
      <c r="A6" s="128" t="s">
        <v>34</v>
      </c>
      <c r="B6" s="128" t="s">
        <v>54</v>
      </c>
      <c r="C6" s="128" t="s">
        <v>25</v>
      </c>
      <c r="D6" s="128" t="s">
        <v>25</v>
      </c>
      <c r="E6" s="128" t="s">
        <v>25</v>
      </c>
      <c r="F6" s="128" t="s">
        <v>25</v>
      </c>
      <c r="G6" s="13" t="s">
        <v>82</v>
      </c>
      <c r="H6" s="13" t="s">
        <v>81</v>
      </c>
      <c r="I6" s="13">
        <f>SUMIF(Mercado_Receita!$S$2:$S$604,"44409A4AzulNão se aplicaNão se aplicaNão se aplicaNão se aplicaPonta",Mercado_Receita!$J$2:$J$604)+SUMIF(Mercado_Receita!$S$2:$S$604,"44409A4AzulNão se aplicaNão se aplicaAPENão se aplicaPonta",Mercado_Receita!$J$2:$J$604)</f>
        <v>7150</v>
      </c>
      <c r="J6" s="13">
        <f>SUMIF(Mercado_Receita!$S$2:$S$604,"44440A4AzulNão se aplicaNão se aplicaNão se aplicaNão se aplicaPonta",Mercado_Receita!$J$2:$J$604)+SUMIF(Mercado_Receita!$S$2:$S$604,"44440A4AzulNão se aplicaNão se aplicaAPENão se aplicaPonta",Mercado_Receita!$J$2:$J$604)</f>
        <v>7158</v>
      </c>
      <c r="K6" s="13">
        <f>SUMIF(Mercado_Receita!$S$2:$S$604,"44470A4AzulNão se aplicaNão se aplicaNão se aplicaNão se aplicaPonta",Mercado_Receita!$J$2:$J$604)+SUMIF(Mercado_Receita!$S$2:$S$604,"44470A4AzulNão se aplicaNão se aplicaAPENão se aplicaPonta",Mercado_Receita!$J$2:$J$604)</f>
        <v>7192</v>
      </c>
      <c r="L6" s="13">
        <f>SUMIF(Mercado_Receita!$S$2:$S$604,"44501A4AzulNão se aplicaNão se aplicaNão se aplicaNão se aplicaPonta",Mercado_Receita!$J$2:$J$604)+SUMIF(Mercado_Receita!$S$2:$S$604,"44501A4AzulNão se aplicaNão se aplicaAPENão se aplicaPonta",Mercado_Receita!$J$2:$J$604)</f>
        <v>7149</v>
      </c>
      <c r="M6" s="13">
        <f>SUMIF(Mercado_Receita!$S$2:$S$604,"44531A4AzulNão se aplicaNão se aplicaNão se aplicaNão se aplicaPonta",Mercado_Receita!$J$2:$J$604)+SUMIF(Mercado_Receita!$S$2:$S$604,"44531A4AzulNão se aplicaNão se aplicaAPENão se aplicaPonta",Mercado_Receita!$J$2:$J$604)</f>
        <v>7149</v>
      </c>
      <c r="N6" s="13">
        <f>SUMIF(Mercado_Receita!$S$2:$S$604,"44562A4AzulNão se aplicaNão se aplicaNão se aplicaNão se aplicaPonta",Mercado_Receita!$J$2:$J$604)+SUMIF(Mercado_Receita!$S$2:$S$604,"44562A4AzulNão se aplicaNão se aplicaAPENão se aplicaPonta",Mercado_Receita!$J$2:$J$604)</f>
        <v>7150</v>
      </c>
      <c r="O6" s="13">
        <f>SUMIF(Mercado_Receita!$S$2:$S$604,"44593A4AzulNão se aplicaNão se aplicaNão se aplicaNão se aplicaPonta",Mercado_Receita!$J$2:$J$604)+SUMIF(Mercado_Receita!$S$2:$S$604,"44593A4AzulNão se aplicaNão se aplicaAPENão se aplicaPonta",Mercado_Receita!$J$2:$J$604)</f>
        <v>7149</v>
      </c>
      <c r="P6" s="13">
        <f>SUMIF(Mercado_Receita!$S$2:$S$604,"44621A4AzulNão se aplicaNão se aplicaNão se aplicaNão se aplicaPonta",Mercado_Receita!$J$2:$J$604)+SUMIF(Mercado_Receita!$S$2:$S$604,"44621A4AzulNão se aplicaNão se aplicaAPENão se aplicaPonta",Mercado_Receita!$J$2:$J$604)</f>
        <v>6550</v>
      </c>
      <c r="Q6" s="13">
        <f>SUMIF(Mercado_Receita!$S$2:$S$604,"44652A4AzulNão se aplicaNão se aplicaNão se aplicaNão se aplicaPonta",Mercado_Receita!$J$2:$J$604)+SUMIF(Mercado_Receita!$S$2:$S$604,"44652A4AzulNão se aplicaNão se aplicaAPENão se aplicaPonta",Mercado_Receita!$J$2:$J$604)</f>
        <v>6550</v>
      </c>
      <c r="R6" s="13">
        <f>SUMIF(Mercado_Receita!$S$2:$S$604,"44682A4AzulNão se aplicaNão se aplicaNão se aplicaNão se aplicaPonta",Mercado_Receita!$J$2:$J$604)+SUMIF(Mercado_Receita!$S$2:$S$604,"44682A4AzulNão se aplicaNão se aplicaAPENão se aplicaPonta",Mercado_Receita!$J$2:$J$604)</f>
        <v>3750</v>
      </c>
      <c r="S6" s="13">
        <f>SUMIF(Mercado_Receita!$S$2:$S$604,"44713A4AzulNão se aplicaNão se aplicaNão se aplicaNão se aplicaPonta",Mercado_Receita!$J$2:$J$604)+SUMIF(Mercado_Receita!$S$2:$S$604,"44713A4AzulNão se aplicaNão se aplicaAPENão se aplicaPonta",Mercado_Receita!$J$2:$J$604)</f>
        <v>3750</v>
      </c>
      <c r="T6" s="13">
        <f>SUMIF(Mercado_Receita!$S$2:$S$604,"44743A4AzulNão se aplicaNão se aplicaNão se aplicaNão se aplicaPonta",Mercado_Receita!$J$2:$J$604)+SUMIF(Mercado_Receita!$S$2:$S$604,"44743A4AzulNão se aplicaNão se aplicaAPENão se aplicaPonta",Mercado_Receita!$J$2:$J$604)</f>
        <v>3750</v>
      </c>
      <c r="U6" s="13">
        <f t="shared" si="0"/>
        <v>74447</v>
      </c>
      <c r="V6" s="13"/>
      <c r="W6" s="13"/>
    </row>
    <row r="7" spans="1:30" ht="11.25" customHeight="1" x14ac:dyDescent="0.3">
      <c r="A7" s="129"/>
      <c r="B7" s="129"/>
      <c r="C7" s="129"/>
      <c r="D7" s="129"/>
      <c r="E7" s="129"/>
      <c r="F7" s="129"/>
      <c r="G7" s="13" t="s">
        <v>83</v>
      </c>
      <c r="H7" s="13" t="s">
        <v>81</v>
      </c>
      <c r="I7" s="13">
        <f>SUMIF(Mercado_Receita!$S$2:$S$604,"44409A4AzulNão se aplicaNão se aplicaNão se aplicaNão se aplicaFora ponta",Mercado_Receita!$J$2:$J$604)+SUMIF(Mercado_Receita!$S$2:$S$604,"44409A4AzulNão se aplicaNão se aplicaAPENão se aplicaFora ponta",Mercado_Receita!$J$2:$J$604)</f>
        <v>7449</v>
      </c>
      <c r="J7" s="13">
        <f>SUMIF(Mercado_Receita!$S$2:$S$604,"44440A4AzulNão se aplicaNão se aplicaNão se aplicaNão se aplicaFora ponta",Mercado_Receita!$J$2:$J$604)+SUMIF(Mercado_Receita!$S$2:$S$604,"44440A4AzulNão se aplicaNão se aplicaAPENão se aplicaFora ponta",Mercado_Receita!$J$2:$J$604)</f>
        <v>7484</v>
      </c>
      <c r="K7" s="13">
        <f>SUMIF(Mercado_Receita!$S$2:$S$604,"44470A4AzulNão se aplicaNão se aplicaNão se aplicaNão se aplicaFora ponta",Mercado_Receita!$J$2:$J$604)+SUMIF(Mercado_Receita!$S$2:$S$604,"44470A4AzulNão se aplicaNão se aplicaAPENão se aplicaFora ponta",Mercado_Receita!$J$2:$J$604)</f>
        <v>7491</v>
      </c>
      <c r="L7" s="13">
        <f>SUMIF(Mercado_Receita!$S$2:$S$604,"44501A4AzulNão se aplicaNão se aplicaNão se aplicaNão se aplicaFora ponta",Mercado_Receita!$J$2:$J$604)+SUMIF(Mercado_Receita!$S$2:$S$604,"44501A4AzulNão se aplicaNão se aplicaAPENão se aplicaFora ponta",Mercado_Receita!$J$2:$J$604)</f>
        <v>7478</v>
      </c>
      <c r="M7" s="13">
        <f>SUMIF(Mercado_Receita!$S$2:$S$604,"44531A4AzulNão se aplicaNão se aplicaNão se aplicaNão se aplicaFora ponta",Mercado_Receita!$J$2:$J$604)+SUMIF(Mercado_Receita!$S$2:$S$604,"44531A4AzulNão se aplicaNão se aplicaAPENão se aplicaFora ponta",Mercado_Receita!$J$2:$J$604)</f>
        <v>7501</v>
      </c>
      <c r="N7" s="13">
        <f>SUMIF(Mercado_Receita!$S$2:$S$604,"44562A4AzulNão se aplicaNão se aplicaNão se aplicaNão se aplicaFora ponta",Mercado_Receita!$J$2:$J$604)+SUMIF(Mercado_Receita!$S$2:$S$604,"44562A4AzulNão se aplicaNão se aplicaAPENão se aplicaFora ponta",Mercado_Receita!$J$2:$J$604)</f>
        <v>7458</v>
      </c>
      <c r="O7" s="13">
        <f>SUMIF(Mercado_Receita!$S$2:$S$604,"44593A4AzulNão se aplicaNão se aplicaNão se aplicaNão se aplicaFora ponta",Mercado_Receita!$J$2:$J$604)+SUMIF(Mercado_Receita!$S$2:$S$604,"44593A4AzulNão se aplicaNão se aplicaAPENão se aplicaFora ponta",Mercado_Receita!$J$2:$J$604)</f>
        <v>7471</v>
      </c>
      <c r="P7" s="13">
        <f>SUMIF(Mercado_Receita!$S$2:$S$604,"44621A4AzulNão se aplicaNão se aplicaNão se aplicaNão se aplicaFora ponta",Mercado_Receita!$J$2:$J$604)+SUMIF(Mercado_Receita!$S$2:$S$604,"44621A4AzulNão se aplicaNão se aplicaAPENão se aplicaFora ponta",Mercado_Receita!$J$2:$J$604)</f>
        <v>7050</v>
      </c>
      <c r="Q7" s="13">
        <f>SUMIF(Mercado_Receita!$S$2:$S$604,"44652A4AzulNão se aplicaNão se aplicaNão se aplicaNão se aplicaFora ponta",Mercado_Receita!$J$2:$J$604)+SUMIF(Mercado_Receita!$S$2:$S$604,"44652A4AzulNão se aplicaNão se aplicaAPENão se aplicaFora ponta",Mercado_Receita!$J$2:$J$604)</f>
        <v>7050</v>
      </c>
      <c r="R7" s="13">
        <f>SUMIF(Mercado_Receita!$S$2:$S$604,"44682A4AzulNão se aplicaNão se aplicaNão se aplicaNão se aplicaFora ponta",Mercado_Receita!$J$2:$J$604)+SUMIF(Mercado_Receita!$S$2:$S$604,"44682A4AzulNão se aplicaNão se aplicaAPENão se aplicaFora ponta",Mercado_Receita!$J$2:$J$604)</f>
        <v>4250</v>
      </c>
      <c r="S7" s="13">
        <f>SUMIF(Mercado_Receita!$S$2:$S$604,"44713A4AzulNão se aplicaNão se aplicaNão se aplicaNão se aplicaFora ponta",Mercado_Receita!$J$2:$J$604)+SUMIF(Mercado_Receita!$S$2:$S$604,"44713A4AzulNão se aplicaNão se aplicaAPENão se aplicaFora ponta",Mercado_Receita!$J$2:$J$604)</f>
        <v>4250</v>
      </c>
      <c r="T7" s="13">
        <f>SUMIF(Mercado_Receita!$S$2:$S$604,"44743A4AzulNão se aplicaNão se aplicaNão se aplicaNão se aplicaFora ponta",Mercado_Receita!$J$2:$J$604)+SUMIF(Mercado_Receita!$S$2:$S$604,"44743A4AzulNão se aplicaNão se aplicaAPENão se aplicaFora ponta",Mercado_Receita!$J$2:$J$604)</f>
        <v>4250</v>
      </c>
      <c r="U7" s="13">
        <f t="shared" si="0"/>
        <v>79182</v>
      </c>
      <c r="V7" s="13"/>
      <c r="W7" s="13"/>
    </row>
    <row r="8" spans="1:30" ht="11.25" customHeight="1" x14ac:dyDescent="0.3">
      <c r="A8" s="129"/>
      <c r="B8" s="129"/>
      <c r="C8" s="129"/>
      <c r="D8" s="129"/>
      <c r="E8" s="129"/>
      <c r="F8" s="129"/>
      <c r="G8" s="13" t="s">
        <v>84</v>
      </c>
      <c r="H8" s="13" t="s">
        <v>78</v>
      </c>
      <c r="I8" s="13">
        <f>SUMIF(Mercado_Receita!$S$2:$S$604,"44409A4AzulNão se aplicaNão se aplicaNão se aplicaNão se aplicaPonta",Mercado_Receita!$L$2:$L$604)+SUMIF(Mercado_Receita!$S$2:$S$604,"44409A4AzulNão se aplicaNão se aplicaNão se aplicaNão se aplicaFora ponta",Mercado_Receita!$L$2:$L$604)+SUMIF(Mercado_Receita!$S$2:$S$604,"44409A4AzulNão se aplicaNão se aplicaNão se aplicaNão se aplicaIntermediário",Mercado_Receita!$L$2:$L$604)+SUMIF(Mercado_Receita!$S$2:$S$604,"44409A4AzulNão se aplicaNão se aplicaNão se aplicaNão se aplicaNão se aplica",Mercado_Receita!$L$2:$L$604)</f>
        <v>3512.64</v>
      </c>
      <c r="J8" s="13">
        <f>SUMIF(Mercado_Receita!$S$2:$S$604,"44440A4AzulNão se aplicaNão se aplicaNão se aplicaNão se aplicaPonta",Mercado_Receita!$L$2:$L$604)+SUMIF(Mercado_Receita!$S$2:$S$604,"44440A4AzulNão se aplicaNão se aplicaNão se aplicaNão se aplicaFora ponta",Mercado_Receita!$L$2:$L$604)+SUMIF(Mercado_Receita!$S$2:$S$604,"44440A4AzulNão se aplicaNão se aplicaNão se aplicaNão se aplicaIntermediário",Mercado_Receita!$L$2:$L$604)+SUMIF(Mercado_Receita!$S$2:$S$604,"44440A4AzulNão se aplicaNão se aplicaNão se aplicaNão se aplicaNão se aplica",Mercado_Receita!$L$2:$L$604)</f>
        <v>3376.123</v>
      </c>
      <c r="K8" s="13">
        <f>SUMIF(Mercado_Receita!$S$2:$S$604,"44470A4AzulNão se aplicaNão se aplicaNão se aplicaNão se aplicaPonta",Mercado_Receita!$L$2:$L$604)+SUMIF(Mercado_Receita!$S$2:$S$604,"44470A4AzulNão se aplicaNão se aplicaNão se aplicaNão se aplicaFora ponta",Mercado_Receita!$L$2:$L$604)+SUMIF(Mercado_Receita!$S$2:$S$604,"44470A4AzulNão se aplicaNão se aplicaNão se aplicaNão se aplicaIntermediário",Mercado_Receita!$L$2:$L$604)+SUMIF(Mercado_Receita!$S$2:$S$604,"44470A4AzulNão se aplicaNão se aplicaNão se aplicaNão se aplicaNão se aplica",Mercado_Receita!$L$2:$L$604)</f>
        <v>3601.8670000000002</v>
      </c>
      <c r="L8" s="13">
        <f>SUMIF(Mercado_Receita!$S$2:$S$604,"44501A4AzulNão se aplicaNão se aplicaNão se aplicaNão se aplicaPonta",Mercado_Receita!$L$2:$L$604)+SUMIF(Mercado_Receita!$S$2:$S$604,"44501A4AzulNão se aplicaNão se aplicaNão se aplicaNão se aplicaFora ponta",Mercado_Receita!$L$2:$L$604)+SUMIF(Mercado_Receita!$S$2:$S$604,"44501A4AzulNão se aplicaNão se aplicaNão se aplicaNão se aplicaIntermediário",Mercado_Receita!$L$2:$L$604)+SUMIF(Mercado_Receita!$S$2:$S$604,"44501A4AzulNão se aplicaNão se aplicaNão se aplicaNão se aplicaNão se aplica",Mercado_Receita!$L$2:$L$604)</f>
        <v>3387.4169999999999</v>
      </c>
      <c r="M8" s="13">
        <f>SUMIF(Mercado_Receita!$S$2:$S$604,"44531A4AzulNão se aplicaNão se aplicaNão se aplicaNão se aplicaPonta",Mercado_Receita!$L$2:$L$604)+SUMIF(Mercado_Receita!$S$2:$S$604,"44531A4AzulNão se aplicaNão se aplicaNão se aplicaNão se aplicaFora ponta",Mercado_Receita!$L$2:$L$604)+SUMIF(Mercado_Receita!$S$2:$S$604,"44531A4AzulNão se aplicaNão se aplicaNão se aplicaNão se aplicaIntermediário",Mercado_Receita!$L$2:$L$604)+SUMIF(Mercado_Receita!$S$2:$S$604,"44531A4AzulNão se aplicaNão se aplicaNão se aplicaNão se aplicaNão se aplica",Mercado_Receita!$L$2:$L$604)</f>
        <v>3401.2669999999998</v>
      </c>
      <c r="N8" s="13">
        <f>SUMIF(Mercado_Receita!$S$2:$S$604,"44562A4AzulNão se aplicaNão se aplicaNão se aplicaNão se aplicaPonta",Mercado_Receita!$L$2:$L$604)+SUMIF(Mercado_Receita!$S$2:$S$604,"44562A4AzulNão se aplicaNão se aplicaNão se aplicaNão se aplicaFora ponta",Mercado_Receita!$L$2:$L$604)+SUMIF(Mercado_Receita!$S$2:$S$604,"44562A4AzulNão se aplicaNão se aplicaNão se aplicaNão se aplicaIntermediário",Mercado_Receita!$L$2:$L$604)+SUMIF(Mercado_Receita!$S$2:$S$604,"44562A4AzulNão se aplicaNão se aplicaNão se aplicaNão se aplicaNão se aplica",Mercado_Receita!$L$2:$L$604)</f>
        <v>3342.7750000000001</v>
      </c>
      <c r="O8" s="13">
        <f>SUMIF(Mercado_Receita!$S$2:$S$604,"44593A4AzulNão se aplicaNão se aplicaNão se aplicaNão se aplicaPonta",Mercado_Receita!$L$2:$L$604)+SUMIF(Mercado_Receita!$S$2:$S$604,"44593A4AzulNão se aplicaNão se aplicaNão se aplicaNão se aplicaFora ponta",Mercado_Receita!$L$2:$L$604)+SUMIF(Mercado_Receita!$S$2:$S$604,"44593A4AzulNão se aplicaNão se aplicaNão se aplicaNão se aplicaIntermediário",Mercado_Receita!$L$2:$L$604)+SUMIF(Mercado_Receita!$S$2:$S$604,"44593A4AzulNão se aplicaNão se aplicaNão se aplicaNão se aplicaNão se aplica",Mercado_Receita!$L$2:$L$604)</f>
        <v>3270.0790000000002</v>
      </c>
      <c r="P8" s="13">
        <f>SUMIF(Mercado_Receita!$S$2:$S$604,"44621A4AzulNão se aplicaNão se aplicaNão se aplicaNão se aplicaPonta",Mercado_Receita!$L$2:$L$604)+SUMIF(Mercado_Receita!$S$2:$S$604,"44621A4AzulNão se aplicaNão se aplicaNão se aplicaNão se aplicaFora ponta",Mercado_Receita!$L$2:$L$604)+SUMIF(Mercado_Receita!$S$2:$S$604,"44621A4AzulNão se aplicaNão se aplicaNão se aplicaNão se aplicaIntermediário",Mercado_Receita!$L$2:$L$604)+SUMIF(Mercado_Receita!$S$2:$S$604,"44621A4AzulNão se aplicaNão se aplicaNão se aplicaNão se aplicaNão se aplica",Mercado_Receita!$L$2:$L$604)</f>
        <v>3338.7429999999999</v>
      </c>
      <c r="Q8" s="13">
        <f>SUMIF(Mercado_Receita!$S$2:$S$604,"44652A4AzulNão se aplicaNão se aplicaNão se aplicaNão se aplicaPonta",Mercado_Receita!$L$2:$L$604)+SUMIF(Mercado_Receita!$S$2:$S$604,"44652A4AzulNão se aplicaNão se aplicaNão se aplicaNão se aplicaFora ponta",Mercado_Receita!$L$2:$L$604)+SUMIF(Mercado_Receita!$S$2:$S$604,"44652A4AzulNão se aplicaNão se aplicaNão se aplicaNão se aplicaIntermediário",Mercado_Receita!$L$2:$L$604)+SUMIF(Mercado_Receita!$S$2:$S$604,"44652A4AzulNão se aplicaNão se aplicaNão se aplicaNão se aplicaNão se aplica",Mercado_Receita!$L$2:$L$604)</f>
        <v>1875.12024</v>
      </c>
      <c r="R8" s="13">
        <f>SUMIF(Mercado_Receita!$S$2:$S$604,"44682A4AzulNão se aplicaNão se aplicaNão se aplicaNão se aplicaPonta",Mercado_Receita!$L$2:$L$604)+SUMIF(Mercado_Receita!$S$2:$S$604,"44682A4AzulNão se aplicaNão se aplicaNão se aplicaNão se aplicaFora ponta",Mercado_Receita!$L$2:$L$604)+SUMIF(Mercado_Receita!$S$2:$S$604,"44682A4AzulNão se aplicaNão se aplicaNão se aplicaNão se aplicaIntermediário",Mercado_Receita!$L$2:$L$604)+SUMIF(Mercado_Receita!$S$2:$S$604,"44682A4AzulNão se aplicaNão se aplicaNão se aplicaNão se aplicaNão se aplica",Mercado_Receita!$L$2:$L$604)</f>
        <v>1588.5139200000001</v>
      </c>
      <c r="S8" s="13">
        <f>SUMIF(Mercado_Receita!$S$2:$S$604,"44713A4AzulNão se aplicaNão se aplicaNão se aplicaNão se aplicaPonta",Mercado_Receita!$L$2:$L$604)+SUMIF(Mercado_Receita!$S$2:$S$604,"44713A4AzulNão se aplicaNão se aplicaNão se aplicaNão se aplicaFora ponta",Mercado_Receita!$L$2:$L$604)+SUMIF(Mercado_Receita!$S$2:$S$604,"44713A4AzulNão se aplicaNão se aplicaNão se aplicaNão se aplicaIntermediário",Mercado_Receita!$L$2:$L$604)+SUMIF(Mercado_Receita!$S$2:$S$604,"44713A4AzulNão se aplicaNão se aplicaNão se aplicaNão se aplicaNão se aplica",Mercado_Receita!$L$2:$L$604)</f>
        <v>1451.1084000000001</v>
      </c>
      <c r="T8" s="13">
        <f>SUMIF(Mercado_Receita!$S$2:$S$604,"44743A4AzulNão se aplicaNão se aplicaNão se aplicaNão se aplicaPonta",Mercado_Receita!$L$2:$L$604)+SUMIF(Mercado_Receita!$S$2:$S$604,"44743A4AzulNão se aplicaNão se aplicaNão se aplicaNão se aplicaFora ponta",Mercado_Receita!$L$2:$L$604)+SUMIF(Mercado_Receita!$S$2:$S$604,"44743A4AzulNão se aplicaNão se aplicaNão se aplicaNão se aplicaIntermediário",Mercado_Receita!$L$2:$L$604)+SUMIF(Mercado_Receita!$S$2:$S$604,"44743A4AzulNão se aplicaNão se aplicaNão se aplicaNão se aplicaNão se aplica",Mercado_Receita!$L$2:$L$604)</f>
        <v>954.17448000000002</v>
      </c>
      <c r="U8" s="13">
        <f t="shared" si="0"/>
        <v>33099.82804</v>
      </c>
      <c r="V8" s="13"/>
      <c r="W8" s="13"/>
    </row>
    <row r="9" spans="1:30" ht="11.25" customHeight="1" x14ac:dyDescent="0.3">
      <c r="A9" s="129"/>
      <c r="B9" s="129"/>
      <c r="C9" s="129"/>
      <c r="D9" s="129"/>
      <c r="E9" s="12" t="s">
        <v>85</v>
      </c>
      <c r="F9" s="12" t="s">
        <v>25</v>
      </c>
      <c r="G9" s="13" t="s">
        <v>84</v>
      </c>
      <c r="H9" s="13" t="s">
        <v>78</v>
      </c>
      <c r="I9" s="13">
        <f>SUMIF(Mercado_Receita!$S$2:$S$604,"44409A4AzulNão se aplicaNão se aplicaAPENão se aplicaPonta",Mercado_Receita!$L$2:$L$604)+SUMIF(Mercado_Receita!$S$2:$S$604,"44409A4AzulNão se aplicaNão se aplicaAPENão se aplicaFora ponta",Mercado_Receita!$L$2:$L$604)+SUMIF(Mercado_Receita!$S$2:$S$604,"44409A4AzulNão se aplicaNão se aplicaAPENão se aplicaIntermediário",Mercado_Receita!$L$2:$L$604)+SUMIF(Mercado_Receita!$S$2:$S$604,"44409A4AzulNão se aplicaNão se aplicaAPENão se aplicaNão se aplica",Mercado_Receita!$L$2:$L$604)</f>
        <v>0</v>
      </c>
      <c r="J9" s="13">
        <f>SUMIF(Mercado_Receita!$S$2:$S$604,"44440A4AzulNão se aplicaNão se aplicaAPENão se aplicaPonta",Mercado_Receita!$L$2:$L$604)+SUMIF(Mercado_Receita!$S$2:$S$604,"44440A4AzulNão se aplicaNão se aplicaAPENão se aplicaFora ponta",Mercado_Receita!$L$2:$L$604)+SUMIF(Mercado_Receita!$S$2:$S$604,"44440A4AzulNão se aplicaNão se aplicaAPENão se aplicaIntermediário",Mercado_Receita!$L$2:$L$604)+SUMIF(Mercado_Receita!$S$2:$S$604,"44440A4AzulNão se aplicaNão se aplicaAPENão se aplicaNão se aplica",Mercado_Receita!$L$2:$L$604)</f>
        <v>0</v>
      </c>
      <c r="K9" s="13">
        <f>SUMIF(Mercado_Receita!$S$2:$S$604,"44470A4AzulNão se aplicaNão se aplicaAPENão se aplicaPonta",Mercado_Receita!$L$2:$L$604)+SUMIF(Mercado_Receita!$S$2:$S$604,"44470A4AzulNão se aplicaNão se aplicaAPENão se aplicaFora ponta",Mercado_Receita!$L$2:$L$604)+SUMIF(Mercado_Receita!$S$2:$S$604,"44470A4AzulNão se aplicaNão se aplicaAPENão se aplicaIntermediário",Mercado_Receita!$L$2:$L$604)+SUMIF(Mercado_Receita!$S$2:$S$604,"44470A4AzulNão se aplicaNão se aplicaAPENão se aplicaNão se aplica",Mercado_Receita!$L$2:$L$604)</f>
        <v>0</v>
      </c>
      <c r="L9" s="13">
        <f>SUMIF(Mercado_Receita!$S$2:$S$604,"44501A4AzulNão se aplicaNão se aplicaAPENão se aplicaPonta",Mercado_Receita!$L$2:$L$604)+SUMIF(Mercado_Receita!$S$2:$S$604,"44501A4AzulNão se aplicaNão se aplicaAPENão se aplicaFora ponta",Mercado_Receita!$L$2:$L$604)+SUMIF(Mercado_Receita!$S$2:$S$604,"44501A4AzulNão se aplicaNão se aplicaAPENão se aplicaIntermediário",Mercado_Receita!$L$2:$L$604)+SUMIF(Mercado_Receita!$S$2:$S$604,"44501A4AzulNão se aplicaNão se aplicaAPENão se aplicaNão se aplica",Mercado_Receita!$L$2:$L$604)</f>
        <v>0</v>
      </c>
      <c r="M9" s="13">
        <f>SUMIF(Mercado_Receita!$S$2:$S$604,"44531A4AzulNão se aplicaNão se aplicaAPENão se aplicaPonta",Mercado_Receita!$L$2:$L$604)+SUMIF(Mercado_Receita!$S$2:$S$604,"44531A4AzulNão se aplicaNão se aplicaAPENão se aplicaFora ponta",Mercado_Receita!$L$2:$L$604)+SUMIF(Mercado_Receita!$S$2:$S$604,"44531A4AzulNão se aplicaNão se aplicaAPENão se aplicaIntermediário",Mercado_Receita!$L$2:$L$604)+SUMIF(Mercado_Receita!$S$2:$S$604,"44531A4AzulNão se aplicaNão se aplicaAPENão se aplicaNão se aplica",Mercado_Receita!$L$2:$L$604)</f>
        <v>0</v>
      </c>
      <c r="N9" s="13">
        <f>SUMIF(Mercado_Receita!$S$2:$S$604,"44562A4AzulNão se aplicaNão se aplicaAPENão se aplicaPonta",Mercado_Receita!$L$2:$L$604)+SUMIF(Mercado_Receita!$S$2:$S$604,"44562A4AzulNão se aplicaNão se aplicaAPENão se aplicaFora ponta",Mercado_Receita!$L$2:$L$604)+SUMIF(Mercado_Receita!$S$2:$S$604,"44562A4AzulNão se aplicaNão se aplicaAPENão se aplicaIntermediário",Mercado_Receita!$L$2:$L$604)+SUMIF(Mercado_Receita!$S$2:$S$604,"44562A4AzulNão se aplicaNão se aplicaAPENão se aplicaNão se aplica",Mercado_Receita!$L$2:$L$604)</f>
        <v>0</v>
      </c>
      <c r="O9" s="13">
        <f>SUMIF(Mercado_Receita!$S$2:$S$604,"44593A4AzulNão se aplicaNão se aplicaAPENão se aplicaPonta",Mercado_Receita!$L$2:$L$604)+SUMIF(Mercado_Receita!$S$2:$S$604,"44593A4AzulNão se aplicaNão se aplicaAPENão se aplicaFora ponta",Mercado_Receita!$L$2:$L$604)+SUMIF(Mercado_Receita!$S$2:$S$604,"44593A4AzulNão se aplicaNão se aplicaAPENão se aplicaIntermediário",Mercado_Receita!$L$2:$L$604)+SUMIF(Mercado_Receita!$S$2:$S$604,"44593A4AzulNão se aplicaNão se aplicaAPENão se aplicaNão se aplica",Mercado_Receita!$L$2:$L$604)</f>
        <v>0</v>
      </c>
      <c r="P9" s="13">
        <f>SUMIF(Mercado_Receita!$S$2:$S$604,"44621A4AzulNão se aplicaNão se aplicaAPENão se aplicaPonta",Mercado_Receita!$L$2:$L$604)+SUMIF(Mercado_Receita!$S$2:$S$604,"44621A4AzulNão se aplicaNão se aplicaAPENão se aplicaFora ponta",Mercado_Receita!$L$2:$L$604)+SUMIF(Mercado_Receita!$S$2:$S$604,"44621A4AzulNão se aplicaNão se aplicaAPENão se aplicaIntermediário",Mercado_Receita!$L$2:$L$604)+SUMIF(Mercado_Receita!$S$2:$S$604,"44621A4AzulNão se aplicaNão se aplicaAPENão se aplicaNão se aplica",Mercado_Receita!$L$2:$L$604)</f>
        <v>0</v>
      </c>
      <c r="Q9" s="13">
        <f>SUMIF(Mercado_Receita!$S$2:$S$604,"44652A4AzulNão se aplicaNão se aplicaAPENão se aplicaPonta",Mercado_Receita!$L$2:$L$604)+SUMIF(Mercado_Receita!$S$2:$S$604,"44652A4AzulNão se aplicaNão se aplicaAPENão se aplicaFora ponta",Mercado_Receita!$L$2:$L$604)+SUMIF(Mercado_Receita!$S$2:$S$604,"44652A4AzulNão se aplicaNão se aplicaAPENão se aplicaIntermediário",Mercado_Receita!$L$2:$L$604)+SUMIF(Mercado_Receita!$S$2:$S$604,"44652A4AzulNão se aplicaNão se aplicaAPENão se aplicaNão se aplica",Mercado_Receita!$L$2:$L$604)</f>
        <v>0</v>
      </c>
      <c r="R9" s="13">
        <f>SUMIF(Mercado_Receita!$S$2:$S$604,"44682A4AzulNão se aplicaNão se aplicaAPENão se aplicaPonta",Mercado_Receita!$L$2:$L$604)+SUMIF(Mercado_Receita!$S$2:$S$604,"44682A4AzulNão se aplicaNão se aplicaAPENão se aplicaFora ponta",Mercado_Receita!$L$2:$L$604)+SUMIF(Mercado_Receita!$S$2:$S$604,"44682A4AzulNão se aplicaNão se aplicaAPENão se aplicaIntermediário",Mercado_Receita!$L$2:$L$604)+SUMIF(Mercado_Receita!$S$2:$S$604,"44682A4AzulNão se aplicaNão se aplicaAPENão se aplicaNão se aplica",Mercado_Receita!$L$2:$L$604)</f>
        <v>0</v>
      </c>
      <c r="S9" s="13">
        <f>SUMIF(Mercado_Receita!$S$2:$S$604,"44713A4AzulNão se aplicaNão se aplicaAPENão se aplicaPonta",Mercado_Receita!$L$2:$L$604)+SUMIF(Mercado_Receita!$S$2:$S$604,"44713A4AzulNão se aplicaNão se aplicaAPENão se aplicaFora ponta",Mercado_Receita!$L$2:$L$604)+SUMIF(Mercado_Receita!$S$2:$S$604,"44713A4AzulNão se aplicaNão se aplicaAPENão se aplicaIntermediário",Mercado_Receita!$L$2:$L$604)+SUMIF(Mercado_Receita!$S$2:$S$604,"44713A4AzulNão se aplicaNão se aplicaAPENão se aplicaNão se aplica",Mercado_Receita!$L$2:$L$604)</f>
        <v>0</v>
      </c>
      <c r="T9" s="13">
        <f>SUMIF(Mercado_Receita!$S$2:$S$604,"44743A4AzulNão se aplicaNão se aplicaAPENão se aplicaPonta",Mercado_Receita!$L$2:$L$604)+SUMIF(Mercado_Receita!$S$2:$S$604,"44743A4AzulNão se aplicaNão se aplicaAPENão se aplicaFora ponta",Mercado_Receita!$L$2:$L$604)+SUMIF(Mercado_Receita!$S$2:$S$604,"44743A4AzulNão se aplicaNão se aplicaAPENão se aplicaIntermediário",Mercado_Receita!$L$2:$L$604)+SUMIF(Mercado_Receita!$S$2:$S$604,"44743A4AzulNão se aplicaNão se aplicaAPENão se aplicaNão se aplica",Mercado_Receita!$L$2:$L$604)</f>
        <v>0</v>
      </c>
      <c r="U9" s="13">
        <f t="shared" si="0"/>
        <v>0</v>
      </c>
      <c r="V9" s="13"/>
      <c r="W9" s="13"/>
    </row>
    <row r="10" spans="1:30" ht="11.25" customHeight="1" x14ac:dyDescent="0.3">
      <c r="A10" s="129"/>
      <c r="B10" s="12" t="s">
        <v>57</v>
      </c>
      <c r="C10" s="12" t="s">
        <v>25</v>
      </c>
      <c r="D10" s="12" t="s">
        <v>25</v>
      </c>
      <c r="E10" s="12" t="s">
        <v>25</v>
      </c>
      <c r="F10" s="12" t="s">
        <v>25</v>
      </c>
      <c r="G10" s="13" t="s">
        <v>9</v>
      </c>
      <c r="H10" s="13" t="s">
        <v>81</v>
      </c>
      <c r="I10" s="13">
        <f>SUMIF(Mercado_Receita!$S$2:$S$604,"44409A4GeraçãoNão se aplicaNão se aplicaNão se aplicaNão se aplicaNão se aplica",Mercado_Receita!$J$2:$J$604)+SUMIF(Mercado_Receita!$S$2:$S$604,"44409A4GeraçãoNão se aplicaNão se aplicaAPENão se aplicaNão se aplica",Mercado_Receita!$J$2:$J$604)</f>
        <v>2750</v>
      </c>
      <c r="J10" s="13">
        <f>SUMIF(Mercado_Receita!$S$2:$S$604,"44440A4GeraçãoNão se aplicaNão se aplicaNão se aplicaNão se aplicaNão se aplica",Mercado_Receita!$J$2:$J$604)+SUMIF(Mercado_Receita!$S$2:$S$604,"44440A4GeraçãoNão se aplicaNão se aplicaAPENão se aplicaNão se aplica",Mercado_Receita!$J$2:$J$604)</f>
        <v>2750</v>
      </c>
      <c r="K10" s="13">
        <f>SUMIF(Mercado_Receita!$S$2:$S$604,"44470A4GeraçãoNão se aplicaNão se aplicaNão se aplicaNão se aplicaNão se aplica",Mercado_Receita!$J$2:$J$604)+SUMIF(Mercado_Receita!$S$2:$S$604,"44470A4GeraçãoNão se aplicaNão se aplicaAPENão se aplicaNão se aplica",Mercado_Receita!$J$2:$J$604)</f>
        <v>2750</v>
      </c>
      <c r="L10" s="13">
        <f>SUMIF(Mercado_Receita!$S$2:$S$604,"44501A4GeraçãoNão se aplicaNão se aplicaNão se aplicaNão se aplicaNão se aplica",Mercado_Receita!$J$2:$J$604)+SUMIF(Mercado_Receita!$S$2:$S$604,"44501A4GeraçãoNão se aplicaNão se aplicaAPENão se aplicaNão se aplica",Mercado_Receita!$J$2:$J$604)</f>
        <v>2750</v>
      </c>
      <c r="M10" s="13">
        <f>SUMIF(Mercado_Receita!$S$2:$S$604,"44531A4GeraçãoNão se aplicaNão se aplicaNão se aplicaNão se aplicaNão se aplica",Mercado_Receita!$J$2:$J$604)+SUMIF(Mercado_Receita!$S$2:$S$604,"44531A4GeraçãoNão se aplicaNão se aplicaAPENão se aplicaNão se aplica",Mercado_Receita!$J$2:$J$604)</f>
        <v>2750</v>
      </c>
      <c r="N10" s="13">
        <f>SUMIF(Mercado_Receita!$S$2:$S$604,"44562A4GeraçãoNão se aplicaNão se aplicaNão se aplicaNão se aplicaNão se aplica",Mercado_Receita!$J$2:$J$604)+SUMIF(Mercado_Receita!$S$2:$S$604,"44562A4GeraçãoNão se aplicaNão se aplicaAPENão se aplicaNão se aplica",Mercado_Receita!$J$2:$J$604)</f>
        <v>2750</v>
      </c>
      <c r="O10" s="13">
        <f>SUMIF(Mercado_Receita!$S$2:$S$604,"44593A4GeraçãoNão se aplicaNão se aplicaNão se aplicaNão se aplicaNão se aplica",Mercado_Receita!$J$2:$J$604)+SUMIF(Mercado_Receita!$S$2:$S$604,"44593A4GeraçãoNão se aplicaNão se aplicaAPENão se aplicaNão se aplica",Mercado_Receita!$J$2:$J$604)</f>
        <v>2750</v>
      </c>
      <c r="P10" s="13">
        <f>SUMIF(Mercado_Receita!$S$2:$S$604,"44621A4GeraçãoNão se aplicaNão se aplicaNão se aplicaNão se aplicaNão se aplica",Mercado_Receita!$J$2:$J$604)+SUMIF(Mercado_Receita!$S$2:$S$604,"44621A4GeraçãoNão se aplicaNão se aplicaAPENão se aplicaNão se aplica",Mercado_Receita!$J$2:$J$604)</f>
        <v>2750</v>
      </c>
      <c r="Q10" s="13">
        <f>SUMIF(Mercado_Receita!$S$2:$S$604,"44652A4GeraçãoNão se aplicaNão se aplicaNão se aplicaNão se aplicaNão se aplica",Mercado_Receita!$J$2:$J$604)+SUMIF(Mercado_Receita!$S$2:$S$604,"44652A4GeraçãoNão se aplicaNão se aplicaAPENão se aplicaNão se aplica",Mercado_Receita!$J$2:$J$604)</f>
        <v>2750</v>
      </c>
      <c r="R10" s="13">
        <f>SUMIF(Mercado_Receita!$S$2:$S$604,"44682A4GeraçãoNão se aplicaNão se aplicaNão se aplicaNão se aplicaNão se aplica",Mercado_Receita!$J$2:$J$604)+SUMIF(Mercado_Receita!$S$2:$S$604,"44682A4GeraçãoNão se aplicaNão se aplicaAPENão se aplicaNão se aplica",Mercado_Receita!$J$2:$J$604)</f>
        <v>2750</v>
      </c>
      <c r="S10" s="13">
        <f>SUMIF(Mercado_Receita!$S$2:$S$604,"44713A4GeraçãoNão se aplicaNão se aplicaNão se aplicaNão se aplicaNão se aplica",Mercado_Receita!$J$2:$J$604)+SUMIF(Mercado_Receita!$S$2:$S$604,"44713A4GeraçãoNão se aplicaNão se aplicaAPENão se aplicaNão se aplica",Mercado_Receita!$J$2:$J$604)</f>
        <v>2750</v>
      </c>
      <c r="T10" s="13">
        <f>SUMIF(Mercado_Receita!$S$2:$S$604,"44743A4GeraçãoNão se aplicaNão se aplicaNão se aplicaNão se aplicaNão se aplica",Mercado_Receita!$J$2:$J$604)+SUMIF(Mercado_Receita!$S$2:$S$604,"44743A4GeraçãoNão se aplicaNão se aplicaAPENão se aplicaNão se aplica",Mercado_Receita!$J$2:$J$604)</f>
        <v>2750</v>
      </c>
      <c r="U10" s="13">
        <f t="shared" si="0"/>
        <v>33000</v>
      </c>
      <c r="V10" s="13"/>
      <c r="W10" s="13"/>
    </row>
    <row r="11" spans="1:30" ht="11.25" customHeight="1" x14ac:dyDescent="0.3">
      <c r="A11" s="129"/>
      <c r="B11" s="128" t="s">
        <v>35</v>
      </c>
      <c r="C11" s="128" t="s">
        <v>25</v>
      </c>
      <c r="D11" s="128" t="s">
        <v>25</v>
      </c>
      <c r="E11" s="128" t="s">
        <v>25</v>
      </c>
      <c r="F11" s="128" t="s">
        <v>25</v>
      </c>
      <c r="G11" s="13" t="s">
        <v>9</v>
      </c>
      <c r="H11" s="13" t="s">
        <v>81</v>
      </c>
      <c r="I11" s="13">
        <f>SUMIF(Mercado_Receita!$S$2:$S$604,"44409A4VerdeNão se aplicaNão se aplicaNão se aplicaNão se aplicaNão se aplica",Mercado_Receita!$J$2:$J$604)+SUMIF(Mercado_Receita!$S$2:$S$604,"44409A4VerdeNão se aplicaNão se aplicaAPENão se aplicaNão se aplica",Mercado_Receita!$J$2:$J$604)</f>
        <v>13156.11</v>
      </c>
      <c r="J11" s="13">
        <f>SUMIF(Mercado_Receita!$S$2:$S$604,"44440A4VerdeNão se aplicaNão se aplicaNão se aplicaNão se aplicaNão se aplica",Mercado_Receita!$J$2:$J$604)+SUMIF(Mercado_Receita!$S$2:$S$604,"44440A4VerdeNão se aplicaNão se aplicaAPENão se aplicaNão se aplica",Mercado_Receita!$J$2:$J$604)</f>
        <v>13126.06</v>
      </c>
      <c r="K11" s="13">
        <f>SUMIF(Mercado_Receita!$S$2:$S$604,"44470A4VerdeNão se aplicaNão se aplicaNão se aplicaNão se aplicaNão se aplica",Mercado_Receita!$J$2:$J$604)+SUMIF(Mercado_Receita!$S$2:$S$604,"44470A4VerdeNão se aplicaNão se aplicaAPENão se aplicaNão se aplica",Mercado_Receita!$J$2:$J$604)</f>
        <v>13555.63</v>
      </c>
      <c r="L11" s="13">
        <f>SUMIF(Mercado_Receita!$S$2:$S$604,"44501A4VerdeNão se aplicaNão se aplicaNão se aplicaNão se aplicaNão se aplica",Mercado_Receita!$J$2:$J$604)+SUMIF(Mercado_Receita!$S$2:$S$604,"44501A4VerdeNão se aplicaNão se aplicaAPENão se aplicaNão se aplica",Mercado_Receita!$J$2:$J$604)</f>
        <v>13789.01</v>
      </c>
      <c r="M11" s="13">
        <f>SUMIF(Mercado_Receita!$S$2:$S$604,"44531A4VerdeNão se aplicaNão se aplicaNão se aplicaNão se aplicaNão se aplica",Mercado_Receita!$J$2:$J$604)+SUMIF(Mercado_Receita!$S$2:$S$604,"44531A4VerdeNão se aplicaNão se aplicaAPENão se aplicaNão se aplica",Mercado_Receita!$J$2:$J$604)</f>
        <v>13717.11</v>
      </c>
      <c r="N11" s="13">
        <f>SUMIF(Mercado_Receita!$S$2:$S$604,"44562A4VerdeNão se aplicaNão se aplicaNão se aplicaNão se aplicaNão se aplica",Mercado_Receita!$J$2:$J$604)+SUMIF(Mercado_Receita!$S$2:$S$604,"44562A4VerdeNão se aplicaNão se aplicaAPENão se aplicaNão se aplica",Mercado_Receita!$J$2:$J$604)</f>
        <v>13608</v>
      </c>
      <c r="O11" s="13">
        <f>SUMIF(Mercado_Receita!$S$2:$S$604,"44593A4VerdeNão se aplicaNão se aplicaNão se aplicaNão se aplicaNão se aplica",Mercado_Receita!$J$2:$J$604)+SUMIF(Mercado_Receita!$S$2:$S$604,"44593A4VerdeNão se aplicaNão se aplicaAPENão se aplicaNão se aplica",Mercado_Receita!$J$2:$J$604)</f>
        <v>13507</v>
      </c>
      <c r="P11" s="13">
        <f>SUMIF(Mercado_Receita!$S$2:$S$604,"44621A4VerdeNão se aplicaNão se aplicaNão se aplicaNão se aplicaNão se aplica",Mercado_Receita!$J$2:$J$604)+SUMIF(Mercado_Receita!$S$2:$S$604,"44621A4VerdeNão se aplicaNão se aplicaAPENão se aplicaNão se aplica",Mercado_Receita!$J$2:$J$604)</f>
        <v>13312.34</v>
      </c>
      <c r="Q11" s="13">
        <f>SUMIF(Mercado_Receita!$S$2:$S$604,"44652A4VerdeNão se aplicaNão se aplicaNão se aplicaNão se aplicaNão se aplica",Mercado_Receita!$J$2:$J$604)+SUMIF(Mercado_Receita!$S$2:$S$604,"44652A4VerdeNão se aplicaNão se aplicaAPENão se aplicaNão se aplica",Mercado_Receita!$J$2:$J$604)</f>
        <v>13521.67</v>
      </c>
      <c r="R11" s="13">
        <f>SUMIF(Mercado_Receita!$S$2:$S$604,"44682A4VerdeNão se aplicaNão se aplicaNão se aplicaNão se aplicaNão se aplica",Mercado_Receita!$J$2:$J$604)+SUMIF(Mercado_Receita!$S$2:$S$604,"44682A4VerdeNão se aplicaNão se aplicaAPENão se aplicaNão se aplica",Mercado_Receita!$J$2:$J$604)</f>
        <v>13442</v>
      </c>
      <c r="S11" s="13">
        <f>SUMIF(Mercado_Receita!$S$2:$S$604,"44713A4VerdeNão se aplicaNão se aplicaNão se aplicaNão se aplicaNão se aplica",Mercado_Receita!$J$2:$J$604)+SUMIF(Mercado_Receita!$S$2:$S$604,"44713A4VerdeNão se aplicaNão se aplicaAPENão se aplicaNão se aplica",Mercado_Receita!$J$2:$J$604)</f>
        <v>13374.07</v>
      </c>
      <c r="T11" s="13">
        <f>SUMIF(Mercado_Receita!$S$2:$S$604,"44743A4VerdeNão se aplicaNão se aplicaNão se aplicaNão se aplicaNão se aplica",Mercado_Receita!$J$2:$J$604)+SUMIF(Mercado_Receita!$S$2:$S$604,"44743A4VerdeNão se aplicaNão se aplicaAPENão se aplicaNão se aplica",Mercado_Receita!$J$2:$J$604)</f>
        <v>13408.14</v>
      </c>
      <c r="U11" s="13">
        <f t="shared" si="0"/>
        <v>161517.14000000001</v>
      </c>
      <c r="V11" s="13"/>
      <c r="W11" s="13"/>
    </row>
    <row r="12" spans="1:30" ht="11.25" customHeight="1" x14ac:dyDescent="0.3">
      <c r="A12" s="129"/>
      <c r="B12" s="129"/>
      <c r="C12" s="129"/>
      <c r="D12" s="129"/>
      <c r="E12" s="129"/>
      <c r="F12" s="129"/>
      <c r="G12" s="13" t="s">
        <v>79</v>
      </c>
      <c r="H12" s="13" t="s">
        <v>78</v>
      </c>
      <c r="I12" s="13">
        <f>SUMIF(Mercado_Receita!$S$2:$S$604,"44409A4VerdeNão se aplicaNão se aplicaNão se aplicaNão se aplicaPonta",Mercado_Receita!$L$2:$L$604)</f>
        <v>345.13547</v>
      </c>
      <c r="J12" s="13">
        <f>SUMIF(Mercado_Receita!$S$2:$S$604,"44440A4VerdeNão se aplicaNão se aplicaNão se aplicaNão se aplicaPonta",Mercado_Receita!$L$2:$L$604)</f>
        <v>306.26383999999996</v>
      </c>
      <c r="K12" s="13">
        <f>SUMIF(Mercado_Receita!$S$2:$S$604,"44470A4VerdeNão se aplicaNão se aplicaNão se aplicaNão se aplicaPonta",Mercado_Receita!$L$2:$L$604)</f>
        <v>325.90557000000001</v>
      </c>
      <c r="L12" s="13">
        <f>SUMIF(Mercado_Receita!$S$2:$S$604,"44501A4VerdeNão se aplicaNão se aplicaNão se aplicaNão se aplicaPonta",Mercado_Receita!$L$2:$L$604)</f>
        <v>308.29226</v>
      </c>
      <c r="M12" s="13">
        <f>SUMIF(Mercado_Receita!$S$2:$S$604,"44531A4VerdeNão se aplicaNão se aplicaNão se aplicaNão se aplicaPonta",Mercado_Receita!$L$2:$L$604)</f>
        <v>270.76167000000004</v>
      </c>
      <c r="N12" s="13">
        <f>SUMIF(Mercado_Receita!$S$2:$S$604,"44562A4VerdeNão se aplicaNão se aplicaNão se aplicaNão se aplicaPonta",Mercado_Receita!$L$2:$L$604)</f>
        <v>253.61216000000002</v>
      </c>
      <c r="O12" s="13">
        <f>SUMIF(Mercado_Receita!$S$2:$S$604,"44593A4VerdeNão se aplicaNão se aplicaNão se aplicaNão se aplicaPonta",Mercado_Receita!$L$2:$L$604)</f>
        <v>249.95749999999998</v>
      </c>
      <c r="P12" s="13">
        <f>SUMIF(Mercado_Receita!$S$2:$S$604,"44621A4VerdeNão se aplicaNão se aplicaNão se aplicaNão se aplicaPonta",Mercado_Receita!$L$2:$L$604)</f>
        <v>271.50761</v>
      </c>
      <c r="Q12" s="13">
        <f>SUMIF(Mercado_Receita!$S$2:$S$604,"44652A4VerdeNão se aplicaNão se aplicaNão se aplicaNão se aplicaPonta",Mercado_Receita!$L$2:$L$604)</f>
        <v>230.67438999999999</v>
      </c>
      <c r="R12" s="13">
        <f>SUMIF(Mercado_Receita!$S$2:$S$604,"44682A4VerdeNão se aplicaNão se aplicaNão se aplicaNão se aplicaPonta",Mercado_Receita!$L$2:$L$604)</f>
        <v>278.62614999999994</v>
      </c>
      <c r="S12" s="13">
        <f>SUMIF(Mercado_Receita!$S$2:$S$604,"44713A4VerdeNão se aplicaNão se aplicaNão se aplicaNão se aplicaPonta",Mercado_Receita!$L$2:$L$604)</f>
        <v>271.63900999999998</v>
      </c>
      <c r="T12" s="13">
        <f>SUMIF(Mercado_Receita!$S$2:$S$604,"44743A4VerdeNão se aplicaNão se aplicaNão se aplicaNão se aplicaPonta",Mercado_Receita!$L$2:$L$604)</f>
        <v>266.19318000000004</v>
      </c>
      <c r="U12" s="13">
        <f t="shared" si="0"/>
        <v>3378.5688100000007</v>
      </c>
      <c r="V12" s="13"/>
      <c r="W12" s="13"/>
    </row>
    <row r="13" spans="1:30" ht="11.25" customHeight="1" x14ac:dyDescent="0.3">
      <c r="A13" s="129"/>
      <c r="B13" s="129"/>
      <c r="C13" s="129"/>
      <c r="D13" s="129"/>
      <c r="E13" s="129"/>
      <c r="F13" s="129"/>
      <c r="G13" s="13" t="s">
        <v>80</v>
      </c>
      <c r="H13" s="13" t="s">
        <v>78</v>
      </c>
      <c r="I13" s="13">
        <f>SUMIF(Mercado_Receita!$S$2:$S$604,"44409A4VerdeNão se aplicaNão se aplicaNão se aplicaNão se aplicaFora ponta",Mercado_Receita!$L$2:$L$604)</f>
        <v>3248.81745</v>
      </c>
      <c r="J13" s="13">
        <f>SUMIF(Mercado_Receita!$S$2:$S$604,"44440A4VerdeNão se aplicaNão se aplicaNão se aplicaNão se aplicaFora ponta",Mercado_Receita!$L$2:$L$604)</f>
        <v>3044.9771900000001</v>
      </c>
      <c r="K13" s="13">
        <f>SUMIF(Mercado_Receita!$S$2:$S$604,"44470A4VerdeNão se aplicaNão se aplicaNão se aplicaNão se aplicaFora ponta",Mercado_Receita!$L$2:$L$604)</f>
        <v>3335.1789599999997</v>
      </c>
      <c r="L13" s="13">
        <f>SUMIF(Mercado_Receita!$S$2:$S$604,"44501A4VerdeNão se aplicaNão se aplicaNão se aplicaNão se aplicaFora ponta",Mercado_Receita!$L$2:$L$604)</f>
        <v>3473.8452299999999</v>
      </c>
      <c r="M13" s="13">
        <f>SUMIF(Mercado_Receita!$S$2:$S$604,"44531A4VerdeNão se aplicaNão se aplicaNão se aplicaNão se aplicaFora ponta",Mercado_Receita!$L$2:$L$604)</f>
        <v>2725.7315799999997</v>
      </c>
      <c r="N13" s="13">
        <f>SUMIF(Mercado_Receita!$S$2:$S$604,"44562A4VerdeNão se aplicaNão se aplicaNão se aplicaNão se aplicaFora ponta",Mercado_Receita!$L$2:$L$604)</f>
        <v>2882.9187000000006</v>
      </c>
      <c r="O13" s="13">
        <f>SUMIF(Mercado_Receita!$S$2:$S$604,"44593A4VerdeNão se aplicaNão se aplicaNão se aplicaNão se aplicaFora ponta",Mercado_Receita!$L$2:$L$604)</f>
        <v>2947.1793400000001</v>
      </c>
      <c r="P13" s="13">
        <f>SUMIF(Mercado_Receita!$S$2:$S$604,"44621A4VerdeNão se aplicaNão se aplicaNão se aplicaNão se aplicaFora ponta",Mercado_Receita!$L$2:$L$604)</f>
        <v>3320.4974900000002</v>
      </c>
      <c r="Q13" s="13">
        <f>SUMIF(Mercado_Receita!$S$2:$S$604,"44652A4VerdeNão se aplicaNão se aplicaNão se aplicaNão se aplicaFora ponta",Mercado_Receita!$L$2:$L$604)</f>
        <v>3088.4204100000006</v>
      </c>
      <c r="R13" s="13">
        <f>SUMIF(Mercado_Receita!$S$2:$S$604,"44682A4VerdeNão se aplicaNão se aplicaNão se aplicaNão se aplicaFora ponta",Mercado_Receita!$L$2:$L$604)</f>
        <v>3166.8074799999999</v>
      </c>
      <c r="S13" s="13">
        <f>SUMIF(Mercado_Receita!$S$2:$S$604,"44713A4VerdeNão se aplicaNão se aplicaNão se aplicaNão se aplicaFora ponta",Mercado_Receita!$L$2:$L$604)</f>
        <v>3199.1072799999997</v>
      </c>
      <c r="T13" s="13">
        <f>SUMIF(Mercado_Receita!$S$2:$S$604,"44743A4VerdeNão se aplicaNão se aplicaNão se aplicaNão se aplicaFora ponta",Mercado_Receita!$L$2:$L$604)</f>
        <v>3250.5573600000002</v>
      </c>
      <c r="U13" s="13">
        <f t="shared" si="0"/>
        <v>37684.03847</v>
      </c>
      <c r="V13" s="13"/>
      <c r="W13" s="13"/>
    </row>
    <row r="14" spans="1:30" ht="11.25" customHeight="1" x14ac:dyDescent="0.3">
      <c r="A14" s="129"/>
      <c r="B14" s="129"/>
      <c r="C14" s="129"/>
      <c r="D14" s="129"/>
      <c r="E14" s="128" t="s">
        <v>85</v>
      </c>
      <c r="F14" s="128" t="s">
        <v>25</v>
      </c>
      <c r="G14" s="13" t="s">
        <v>79</v>
      </c>
      <c r="H14" s="13" t="s">
        <v>78</v>
      </c>
      <c r="I14" s="13">
        <f>SUMIF(Mercado_Receita!$S$2:$S$604,"44409A4VerdeNão se aplicaNão se aplicaAPENão se aplicaPonta",Mercado_Receita!$L$2:$L$604)</f>
        <v>0</v>
      </c>
      <c r="J14" s="13">
        <f>SUMIF(Mercado_Receita!$S$2:$S$604,"44440A4VerdeNão se aplicaNão se aplicaAPENão se aplicaPonta",Mercado_Receita!$L$2:$L$604)</f>
        <v>0</v>
      </c>
      <c r="K14" s="13">
        <f>SUMIF(Mercado_Receita!$S$2:$S$604,"44470A4VerdeNão se aplicaNão se aplicaAPENão se aplicaPonta",Mercado_Receita!$L$2:$L$604)</f>
        <v>0</v>
      </c>
      <c r="L14" s="13">
        <f>SUMIF(Mercado_Receita!$S$2:$S$604,"44501A4VerdeNão se aplicaNão se aplicaAPENão se aplicaPonta",Mercado_Receita!$L$2:$L$604)</f>
        <v>0</v>
      </c>
      <c r="M14" s="13">
        <f>SUMIF(Mercado_Receita!$S$2:$S$604,"44531A4VerdeNão se aplicaNão se aplicaAPENão se aplicaPonta",Mercado_Receita!$L$2:$L$604)</f>
        <v>0</v>
      </c>
      <c r="N14" s="13">
        <f>SUMIF(Mercado_Receita!$S$2:$S$604,"44562A4VerdeNão se aplicaNão se aplicaAPENão se aplicaPonta",Mercado_Receita!$L$2:$L$604)</f>
        <v>0</v>
      </c>
      <c r="O14" s="13">
        <f>SUMIF(Mercado_Receita!$S$2:$S$604,"44593A4VerdeNão se aplicaNão se aplicaAPENão se aplicaPonta",Mercado_Receita!$L$2:$L$604)</f>
        <v>0</v>
      </c>
      <c r="P14" s="13">
        <f>SUMIF(Mercado_Receita!$S$2:$S$604,"44621A4VerdeNão se aplicaNão se aplicaAPENão se aplicaPonta",Mercado_Receita!$L$2:$L$604)</f>
        <v>0</v>
      </c>
      <c r="Q14" s="13">
        <f>SUMIF(Mercado_Receita!$S$2:$S$604,"44652A4VerdeNão se aplicaNão se aplicaAPENão se aplicaPonta",Mercado_Receita!$L$2:$L$604)</f>
        <v>0</v>
      </c>
      <c r="R14" s="13">
        <f>SUMIF(Mercado_Receita!$S$2:$S$604,"44682A4VerdeNão se aplicaNão se aplicaAPENão se aplicaPonta",Mercado_Receita!$L$2:$L$604)</f>
        <v>0</v>
      </c>
      <c r="S14" s="13">
        <f>SUMIF(Mercado_Receita!$S$2:$S$604,"44713A4VerdeNão se aplicaNão se aplicaAPENão se aplicaPonta",Mercado_Receita!$L$2:$L$604)</f>
        <v>0</v>
      </c>
      <c r="T14" s="13">
        <f>SUMIF(Mercado_Receita!$S$2:$S$604,"44743A4VerdeNão se aplicaNão se aplicaAPENão se aplicaPonta",Mercado_Receita!$L$2:$L$604)</f>
        <v>0</v>
      </c>
      <c r="U14" s="13">
        <f t="shared" si="0"/>
        <v>0</v>
      </c>
      <c r="V14" s="13"/>
      <c r="W14" s="13"/>
    </row>
    <row r="15" spans="1:30" ht="11.25" customHeight="1" x14ac:dyDescent="0.3">
      <c r="A15" s="129"/>
      <c r="B15" s="129"/>
      <c r="C15" s="129"/>
      <c r="D15" s="129"/>
      <c r="E15" s="129"/>
      <c r="F15" s="129"/>
      <c r="G15" s="13" t="s">
        <v>80</v>
      </c>
      <c r="H15" s="13" t="s">
        <v>78</v>
      </c>
      <c r="I15" s="13">
        <f>SUMIF(Mercado_Receita!$S$2:$S$604,"44409A4VerdeNão se aplicaNão se aplicaAPENão se aplicaFora ponta",Mercado_Receita!$L$2:$L$604)</f>
        <v>0</v>
      </c>
      <c r="J15" s="13">
        <f>SUMIF(Mercado_Receita!$S$2:$S$604,"44440A4VerdeNão se aplicaNão se aplicaAPENão se aplicaFora ponta",Mercado_Receita!$L$2:$L$604)</f>
        <v>0</v>
      </c>
      <c r="K15" s="13">
        <f>SUMIF(Mercado_Receita!$S$2:$S$604,"44470A4VerdeNão se aplicaNão se aplicaAPENão se aplicaFora ponta",Mercado_Receita!$L$2:$L$604)</f>
        <v>0</v>
      </c>
      <c r="L15" s="13">
        <f>SUMIF(Mercado_Receita!$S$2:$S$604,"44501A4VerdeNão se aplicaNão se aplicaAPENão se aplicaFora ponta",Mercado_Receita!$L$2:$L$604)</f>
        <v>0</v>
      </c>
      <c r="M15" s="13">
        <f>SUMIF(Mercado_Receita!$S$2:$S$604,"44531A4VerdeNão se aplicaNão se aplicaAPENão se aplicaFora ponta",Mercado_Receita!$L$2:$L$604)</f>
        <v>0</v>
      </c>
      <c r="N15" s="13">
        <f>SUMIF(Mercado_Receita!$S$2:$S$604,"44562A4VerdeNão se aplicaNão se aplicaAPENão se aplicaFora ponta",Mercado_Receita!$L$2:$L$604)</f>
        <v>0</v>
      </c>
      <c r="O15" s="13">
        <f>SUMIF(Mercado_Receita!$S$2:$S$604,"44593A4VerdeNão se aplicaNão se aplicaAPENão se aplicaFora ponta",Mercado_Receita!$L$2:$L$604)</f>
        <v>0</v>
      </c>
      <c r="P15" s="13">
        <f>SUMIF(Mercado_Receita!$S$2:$S$604,"44621A4VerdeNão se aplicaNão se aplicaAPENão se aplicaFora ponta",Mercado_Receita!$L$2:$L$604)</f>
        <v>0</v>
      </c>
      <c r="Q15" s="13">
        <f>SUMIF(Mercado_Receita!$S$2:$S$604,"44652A4VerdeNão se aplicaNão se aplicaAPENão se aplicaFora ponta",Mercado_Receita!$L$2:$L$604)</f>
        <v>0</v>
      </c>
      <c r="R15" s="13">
        <f>SUMIF(Mercado_Receita!$S$2:$S$604,"44682A4VerdeNão se aplicaNão se aplicaAPENão se aplicaFora ponta",Mercado_Receita!$L$2:$L$604)</f>
        <v>0</v>
      </c>
      <c r="S15" s="13">
        <f>SUMIF(Mercado_Receita!$S$2:$S$604,"44713A4VerdeNão se aplicaNão se aplicaAPENão se aplicaFora ponta",Mercado_Receita!$L$2:$L$604)</f>
        <v>0</v>
      </c>
      <c r="T15" s="13">
        <f>SUMIF(Mercado_Receita!$S$2:$S$604,"44743A4VerdeNão se aplicaNão se aplicaAPENão se aplicaFora ponta",Mercado_Receita!$L$2:$L$604)</f>
        <v>0</v>
      </c>
      <c r="U15" s="13">
        <f t="shared" si="0"/>
        <v>0</v>
      </c>
      <c r="V15" s="13"/>
      <c r="W15" s="13"/>
    </row>
    <row r="16" spans="1:30" ht="11.25" customHeight="1" x14ac:dyDescent="0.3">
      <c r="A16" s="128" t="s">
        <v>86</v>
      </c>
      <c r="B16" s="128" t="s">
        <v>57</v>
      </c>
      <c r="C16" s="128" t="s">
        <v>25</v>
      </c>
      <c r="D16" s="128" t="s">
        <v>25</v>
      </c>
      <c r="E16" s="12" t="s">
        <v>87</v>
      </c>
      <c r="F16" s="12" t="s">
        <v>25</v>
      </c>
      <c r="G16" s="13" t="s">
        <v>9</v>
      </c>
      <c r="H16" s="13" t="s">
        <v>81</v>
      </c>
      <c r="I16" s="13">
        <f>SUMIF(Mercado_Receita!$S$2:$S$604,"44409BGeraçãoNão se aplicaNão se aplicaTIPO 01Não se aplicaNão se aplica",Mercado_Receita!$J$2:$J$604)+SUMIF(Mercado_Receita!$S$2:$S$604,"44409BGeraçãoNão se aplicaNão se aplicaAPENão se aplicaNão se aplica",Mercado_Receita!$J$2:$J$604)</f>
        <v>0</v>
      </c>
      <c r="J16" s="13">
        <f>SUMIF(Mercado_Receita!$S$2:$S$604,"44440BGeraçãoNão se aplicaNão se aplicaTIPO 01Não se aplicaNão se aplica",Mercado_Receita!$J$2:$J$604)+SUMIF(Mercado_Receita!$S$2:$S$604,"44440BGeraçãoNão se aplicaNão se aplicaAPENão se aplicaNão se aplica",Mercado_Receita!$J$2:$J$604)</f>
        <v>0</v>
      </c>
      <c r="K16" s="13">
        <f>SUMIF(Mercado_Receita!$S$2:$S$604,"44470BGeraçãoNão se aplicaNão se aplicaTIPO 01Não se aplicaNão se aplica",Mercado_Receita!$J$2:$J$604)+SUMIF(Mercado_Receita!$S$2:$S$604,"44470BGeraçãoNão se aplicaNão se aplicaAPENão se aplicaNão se aplica",Mercado_Receita!$J$2:$J$604)</f>
        <v>0</v>
      </c>
      <c r="L16" s="13">
        <f>SUMIF(Mercado_Receita!$S$2:$S$604,"44501BGeraçãoNão se aplicaNão se aplicaTIPO 01Não se aplicaNão se aplica",Mercado_Receita!$J$2:$J$604)+SUMIF(Mercado_Receita!$S$2:$S$604,"44501BGeraçãoNão se aplicaNão se aplicaAPENão se aplicaNão se aplica",Mercado_Receita!$J$2:$J$604)</f>
        <v>0</v>
      </c>
      <c r="M16" s="13">
        <f>SUMIF(Mercado_Receita!$S$2:$S$604,"44531BGeraçãoNão se aplicaNão se aplicaTIPO 01Não se aplicaNão se aplica",Mercado_Receita!$J$2:$J$604)+SUMIF(Mercado_Receita!$S$2:$S$604,"44531BGeraçãoNão se aplicaNão se aplicaAPENão se aplicaNão se aplica",Mercado_Receita!$J$2:$J$604)</f>
        <v>0</v>
      </c>
      <c r="N16" s="13">
        <f>SUMIF(Mercado_Receita!$S$2:$S$604,"44562BGeraçãoNão se aplicaNão se aplicaTIPO 01Não se aplicaNão se aplica",Mercado_Receita!$J$2:$J$604)+SUMIF(Mercado_Receita!$S$2:$S$604,"44562BGeraçãoNão se aplicaNão se aplicaAPENão se aplicaNão se aplica",Mercado_Receita!$J$2:$J$604)</f>
        <v>0</v>
      </c>
      <c r="O16" s="13">
        <f>SUMIF(Mercado_Receita!$S$2:$S$604,"44593BGeraçãoNão se aplicaNão se aplicaTIPO 01Não se aplicaNão se aplica",Mercado_Receita!$J$2:$J$604)+SUMIF(Mercado_Receita!$S$2:$S$604,"44593BGeraçãoNão se aplicaNão se aplicaAPENão se aplicaNão se aplica",Mercado_Receita!$J$2:$J$604)</f>
        <v>0</v>
      </c>
      <c r="P16" s="13">
        <f>SUMIF(Mercado_Receita!$S$2:$S$604,"44621BGeraçãoNão se aplicaNão se aplicaTIPO 01Não se aplicaNão se aplica",Mercado_Receita!$J$2:$J$604)+SUMIF(Mercado_Receita!$S$2:$S$604,"44621BGeraçãoNão se aplicaNão se aplicaAPENão se aplicaNão se aplica",Mercado_Receita!$J$2:$J$604)</f>
        <v>0</v>
      </c>
      <c r="Q16" s="13">
        <f>SUMIF(Mercado_Receita!$S$2:$S$604,"44652BGeraçãoNão se aplicaNão se aplicaTIPO 01Não se aplicaNão se aplica",Mercado_Receita!$J$2:$J$604)+SUMIF(Mercado_Receita!$S$2:$S$604,"44652BGeraçãoNão se aplicaNão se aplicaAPENão se aplicaNão se aplica",Mercado_Receita!$J$2:$J$604)</f>
        <v>0</v>
      </c>
      <c r="R16" s="13">
        <f>SUMIF(Mercado_Receita!$S$2:$S$604,"44682BGeraçãoNão se aplicaNão se aplicaTIPO 01Não se aplicaNão se aplica",Mercado_Receita!$J$2:$J$604)+SUMIF(Mercado_Receita!$S$2:$S$604,"44682BGeraçãoNão se aplicaNão se aplicaAPENão se aplicaNão se aplica",Mercado_Receita!$J$2:$J$604)</f>
        <v>0</v>
      </c>
      <c r="S16" s="13">
        <f>SUMIF(Mercado_Receita!$S$2:$S$604,"44713BGeraçãoNão se aplicaNão se aplicaTIPO 01Não se aplicaNão se aplica",Mercado_Receita!$J$2:$J$604)+SUMIF(Mercado_Receita!$S$2:$S$604,"44713BGeraçãoNão se aplicaNão se aplicaAPENão se aplicaNão se aplica",Mercado_Receita!$J$2:$J$604)</f>
        <v>0</v>
      </c>
      <c r="T16" s="13">
        <f>SUMIF(Mercado_Receita!$S$2:$S$604,"44743BGeraçãoNão se aplicaNão se aplicaTIPO 01Não se aplicaNão se aplica",Mercado_Receita!$J$2:$J$604)+SUMIF(Mercado_Receita!$S$2:$S$604,"44743BGeraçãoNão se aplicaNão se aplicaAPENão se aplicaNão se aplica",Mercado_Receita!$J$2:$J$604)</f>
        <v>0</v>
      </c>
      <c r="U16" s="13">
        <f t="shared" si="0"/>
        <v>0</v>
      </c>
      <c r="V16" s="13"/>
      <c r="W16" s="13"/>
    </row>
    <row r="17" spans="1:23" ht="11.25" customHeight="1" x14ac:dyDescent="0.3">
      <c r="A17" s="129"/>
      <c r="B17" s="129"/>
      <c r="C17" s="129"/>
      <c r="D17" s="129"/>
      <c r="E17" s="12" t="s">
        <v>88</v>
      </c>
      <c r="F17" s="12" t="s">
        <v>25</v>
      </c>
      <c r="G17" s="13" t="s">
        <v>9</v>
      </c>
      <c r="H17" s="13" t="s">
        <v>81</v>
      </c>
      <c r="I17" s="13">
        <f>SUMIF(Mercado_Receita!$S$2:$S$604,"44409BGeraçãoNão se aplicaNão se aplicaTIPO 02Não se aplicaNão se aplica",Mercado_Receita!$J$2:$J$604)+SUMIF(Mercado_Receita!$S$2:$S$604,"44409BGeraçãoNão se aplicaNão se aplicaAPENão se aplicaNão se aplica",Mercado_Receita!$J$2:$J$604)</f>
        <v>0</v>
      </c>
      <c r="J17" s="13">
        <f>SUMIF(Mercado_Receita!$S$2:$S$604,"44440BGeraçãoNão se aplicaNão se aplicaTIPO 02Não se aplicaNão se aplica",Mercado_Receita!$J$2:$J$604)+SUMIF(Mercado_Receita!$S$2:$S$604,"44440BGeraçãoNão se aplicaNão se aplicaAPENão se aplicaNão se aplica",Mercado_Receita!$J$2:$J$604)</f>
        <v>0</v>
      </c>
      <c r="K17" s="13">
        <f>SUMIF(Mercado_Receita!$S$2:$S$604,"44470BGeraçãoNão se aplicaNão se aplicaTIPO 02Não se aplicaNão se aplica",Mercado_Receita!$J$2:$J$604)+SUMIF(Mercado_Receita!$S$2:$S$604,"44470BGeraçãoNão se aplicaNão se aplicaAPENão se aplicaNão se aplica",Mercado_Receita!$J$2:$J$604)</f>
        <v>0</v>
      </c>
      <c r="L17" s="13">
        <f>SUMIF(Mercado_Receita!$S$2:$S$604,"44501BGeraçãoNão se aplicaNão se aplicaTIPO 02Não se aplicaNão se aplica",Mercado_Receita!$J$2:$J$604)+SUMIF(Mercado_Receita!$S$2:$S$604,"44501BGeraçãoNão se aplicaNão se aplicaAPENão se aplicaNão se aplica",Mercado_Receita!$J$2:$J$604)</f>
        <v>0</v>
      </c>
      <c r="M17" s="13">
        <f>SUMIF(Mercado_Receita!$S$2:$S$604,"44531BGeraçãoNão se aplicaNão se aplicaTIPO 02Não se aplicaNão se aplica",Mercado_Receita!$J$2:$J$604)+SUMIF(Mercado_Receita!$S$2:$S$604,"44531BGeraçãoNão se aplicaNão se aplicaAPENão se aplicaNão se aplica",Mercado_Receita!$J$2:$J$604)</f>
        <v>0</v>
      </c>
      <c r="N17" s="13">
        <f>SUMIF(Mercado_Receita!$S$2:$S$604,"44562BGeraçãoNão se aplicaNão se aplicaTIPO 02Não se aplicaNão se aplica",Mercado_Receita!$J$2:$J$604)+SUMIF(Mercado_Receita!$S$2:$S$604,"44562BGeraçãoNão se aplicaNão se aplicaAPENão se aplicaNão se aplica",Mercado_Receita!$J$2:$J$604)</f>
        <v>0</v>
      </c>
      <c r="O17" s="13">
        <f>SUMIF(Mercado_Receita!$S$2:$S$604,"44593BGeraçãoNão se aplicaNão se aplicaTIPO 02Não se aplicaNão se aplica",Mercado_Receita!$J$2:$J$604)+SUMIF(Mercado_Receita!$S$2:$S$604,"44593BGeraçãoNão se aplicaNão se aplicaAPENão se aplicaNão se aplica",Mercado_Receita!$J$2:$J$604)</f>
        <v>0</v>
      </c>
      <c r="P17" s="13">
        <f>SUMIF(Mercado_Receita!$S$2:$S$604,"44621BGeraçãoNão se aplicaNão se aplicaTIPO 02Não se aplicaNão se aplica",Mercado_Receita!$J$2:$J$604)+SUMIF(Mercado_Receita!$S$2:$S$604,"44621BGeraçãoNão se aplicaNão se aplicaAPENão se aplicaNão se aplica",Mercado_Receita!$J$2:$J$604)</f>
        <v>0</v>
      </c>
      <c r="Q17" s="13">
        <f>SUMIF(Mercado_Receita!$S$2:$S$604,"44652BGeraçãoNão se aplicaNão se aplicaTIPO 02Não se aplicaNão se aplica",Mercado_Receita!$J$2:$J$604)+SUMIF(Mercado_Receita!$S$2:$S$604,"44652BGeraçãoNão se aplicaNão se aplicaAPENão se aplicaNão se aplica",Mercado_Receita!$J$2:$J$604)</f>
        <v>0</v>
      </c>
      <c r="R17" s="13">
        <f>SUMIF(Mercado_Receita!$S$2:$S$604,"44682BGeraçãoNão se aplicaNão se aplicaTIPO 02Não se aplicaNão se aplica",Mercado_Receita!$J$2:$J$604)+SUMIF(Mercado_Receita!$S$2:$S$604,"44682BGeraçãoNão se aplicaNão se aplicaAPENão se aplicaNão se aplica",Mercado_Receita!$J$2:$J$604)</f>
        <v>0</v>
      </c>
      <c r="S17" s="13">
        <f>SUMIF(Mercado_Receita!$S$2:$S$604,"44713BGeraçãoNão se aplicaNão se aplicaTIPO 02Não se aplicaNão se aplica",Mercado_Receita!$J$2:$J$604)+SUMIF(Mercado_Receita!$S$2:$S$604,"44713BGeraçãoNão se aplicaNão se aplicaAPENão se aplicaNão se aplica",Mercado_Receita!$J$2:$J$604)</f>
        <v>0</v>
      </c>
      <c r="T17" s="13">
        <f>SUMIF(Mercado_Receita!$S$2:$S$604,"44743BGeraçãoNão se aplicaNão se aplicaTIPO 02Não se aplicaNão se aplica",Mercado_Receita!$J$2:$J$604)+SUMIF(Mercado_Receita!$S$2:$S$604,"44743BGeraçãoNão se aplicaNão se aplicaAPENão se aplicaNão se aplica",Mercado_Receita!$J$2:$J$604)</f>
        <v>0</v>
      </c>
      <c r="U17" s="13">
        <f t="shared" si="0"/>
        <v>0</v>
      </c>
      <c r="V17" s="13"/>
      <c r="W17" s="13"/>
    </row>
    <row r="18" spans="1:23" ht="11.25" customHeight="1" x14ac:dyDescent="0.3">
      <c r="A18" s="128" t="s">
        <v>22</v>
      </c>
      <c r="B18" s="128" t="s">
        <v>38</v>
      </c>
      <c r="C18" s="128" t="s">
        <v>24</v>
      </c>
      <c r="D18" s="128" t="s">
        <v>24</v>
      </c>
      <c r="E18" s="128" t="s">
        <v>25</v>
      </c>
      <c r="F18" s="128" t="s">
        <v>25</v>
      </c>
      <c r="G18" s="13" t="s">
        <v>79</v>
      </c>
      <c r="H18" s="13" t="s">
        <v>78</v>
      </c>
      <c r="I18" s="13">
        <f>SUMIF(Mercado_Receita!$S$2:$S$604,"44409B1BrancaResidencialResidencialNão se aplicaNão se aplicaPonta",Mercado_Receita!$L$2:$L$604)</f>
        <v>0</v>
      </c>
      <c r="J18" s="13">
        <f>SUMIF(Mercado_Receita!$S$2:$S$604,"44440B1BrancaResidencialResidencialNão se aplicaNão se aplicaPonta",Mercado_Receita!$L$2:$L$604)</f>
        <v>0</v>
      </c>
      <c r="K18" s="13">
        <f>SUMIF(Mercado_Receita!$S$2:$S$604,"44470B1BrancaResidencialResidencialNão se aplicaNão se aplicaPonta",Mercado_Receita!$L$2:$L$604)</f>
        <v>0</v>
      </c>
      <c r="L18" s="13">
        <f>SUMIF(Mercado_Receita!$S$2:$S$604,"44501B1BrancaResidencialResidencialNão se aplicaNão se aplicaPonta",Mercado_Receita!$L$2:$L$604)</f>
        <v>0</v>
      </c>
      <c r="M18" s="13">
        <f>SUMIF(Mercado_Receita!$S$2:$S$604,"44531B1BrancaResidencialResidencialNão se aplicaNão se aplicaPonta",Mercado_Receita!$L$2:$L$604)</f>
        <v>0</v>
      </c>
      <c r="N18" s="13">
        <f>SUMIF(Mercado_Receita!$S$2:$S$604,"44562B1BrancaResidencialResidencialNão se aplicaNão se aplicaPonta",Mercado_Receita!$L$2:$L$604)</f>
        <v>0</v>
      </c>
      <c r="O18" s="13">
        <f>SUMIF(Mercado_Receita!$S$2:$S$604,"44593B1BrancaResidencialResidencialNão se aplicaNão se aplicaPonta",Mercado_Receita!$L$2:$L$604)</f>
        <v>0</v>
      </c>
      <c r="P18" s="13">
        <f>SUMIF(Mercado_Receita!$S$2:$S$604,"44621B1BrancaResidencialResidencialNão se aplicaNão se aplicaPonta",Mercado_Receita!$L$2:$L$604)</f>
        <v>0</v>
      </c>
      <c r="Q18" s="13">
        <f>SUMIF(Mercado_Receita!$S$2:$S$604,"44652B1BrancaResidencialResidencialNão se aplicaNão se aplicaPonta",Mercado_Receita!$L$2:$L$604)</f>
        <v>0</v>
      </c>
      <c r="R18" s="13">
        <f>SUMIF(Mercado_Receita!$S$2:$S$604,"44682B1BrancaResidencialResidencialNão se aplicaNão se aplicaPonta",Mercado_Receita!$L$2:$L$604)</f>
        <v>0</v>
      </c>
      <c r="S18" s="13">
        <f>SUMIF(Mercado_Receita!$S$2:$S$604,"44713B1BrancaResidencialResidencialNão se aplicaNão se aplicaPonta",Mercado_Receita!$L$2:$L$604)</f>
        <v>0</v>
      </c>
      <c r="T18" s="13">
        <f>SUMIF(Mercado_Receita!$S$2:$S$604,"44743B1BrancaResidencialResidencialNão se aplicaNão se aplicaPonta",Mercado_Receita!$L$2:$L$604)</f>
        <v>0</v>
      </c>
      <c r="U18" s="13">
        <f t="shared" si="0"/>
        <v>0</v>
      </c>
      <c r="V18" s="13"/>
      <c r="W18" s="13"/>
    </row>
    <row r="19" spans="1:23" ht="11.25" customHeight="1" x14ac:dyDescent="0.3">
      <c r="A19" s="129"/>
      <c r="B19" s="129"/>
      <c r="C19" s="129"/>
      <c r="D19" s="129"/>
      <c r="E19" s="129"/>
      <c r="F19" s="129"/>
      <c r="G19" s="13" t="s">
        <v>89</v>
      </c>
      <c r="H19" s="13" t="s">
        <v>78</v>
      </c>
      <c r="I19" s="13">
        <f>SUMIF(Mercado_Receita!$S$2:$S$604,"44409B1BrancaResidencialResidencialNão se aplicaNão se aplicaIntermediário",Mercado_Receita!$L$2:$L$604)</f>
        <v>0</v>
      </c>
      <c r="J19" s="13">
        <f>SUMIF(Mercado_Receita!$S$2:$S$604,"44440B1BrancaResidencialResidencialNão se aplicaNão se aplicaIntermediário",Mercado_Receita!$L$2:$L$604)</f>
        <v>0</v>
      </c>
      <c r="K19" s="13">
        <f>SUMIF(Mercado_Receita!$S$2:$S$604,"44470B1BrancaResidencialResidencialNão se aplicaNão se aplicaIntermediário",Mercado_Receita!$L$2:$L$604)</f>
        <v>0</v>
      </c>
      <c r="L19" s="13">
        <f>SUMIF(Mercado_Receita!$S$2:$S$604,"44501B1BrancaResidencialResidencialNão se aplicaNão se aplicaIntermediário",Mercado_Receita!$L$2:$L$604)</f>
        <v>0</v>
      </c>
      <c r="M19" s="13">
        <f>SUMIF(Mercado_Receita!$S$2:$S$604,"44531B1BrancaResidencialResidencialNão se aplicaNão se aplicaIntermediário",Mercado_Receita!$L$2:$L$604)</f>
        <v>0</v>
      </c>
      <c r="N19" s="13">
        <f>SUMIF(Mercado_Receita!$S$2:$S$604,"44562B1BrancaResidencialResidencialNão se aplicaNão se aplicaIntermediário",Mercado_Receita!$L$2:$L$604)</f>
        <v>0</v>
      </c>
      <c r="O19" s="13">
        <f>SUMIF(Mercado_Receita!$S$2:$S$604,"44593B1BrancaResidencialResidencialNão se aplicaNão se aplicaIntermediário",Mercado_Receita!$L$2:$L$604)</f>
        <v>0</v>
      </c>
      <c r="P19" s="13">
        <f>SUMIF(Mercado_Receita!$S$2:$S$604,"44621B1BrancaResidencialResidencialNão se aplicaNão se aplicaIntermediário",Mercado_Receita!$L$2:$L$604)</f>
        <v>0</v>
      </c>
      <c r="Q19" s="13">
        <f>SUMIF(Mercado_Receita!$S$2:$S$604,"44652B1BrancaResidencialResidencialNão se aplicaNão se aplicaIntermediário",Mercado_Receita!$L$2:$L$604)</f>
        <v>0</v>
      </c>
      <c r="R19" s="13">
        <f>SUMIF(Mercado_Receita!$S$2:$S$604,"44682B1BrancaResidencialResidencialNão se aplicaNão se aplicaIntermediário",Mercado_Receita!$L$2:$L$604)</f>
        <v>0</v>
      </c>
      <c r="S19" s="13">
        <f>SUMIF(Mercado_Receita!$S$2:$S$604,"44713B1BrancaResidencialResidencialNão se aplicaNão se aplicaIntermediário",Mercado_Receita!$L$2:$L$604)</f>
        <v>0</v>
      </c>
      <c r="T19" s="13">
        <f>SUMIF(Mercado_Receita!$S$2:$S$604,"44743B1BrancaResidencialResidencialNão se aplicaNão se aplicaIntermediário",Mercado_Receita!$L$2:$L$604)</f>
        <v>0</v>
      </c>
      <c r="U19" s="13">
        <f t="shared" si="0"/>
        <v>0</v>
      </c>
      <c r="V19" s="13"/>
      <c r="W19" s="13"/>
    </row>
    <row r="20" spans="1:23" ht="11.25" customHeight="1" x14ac:dyDescent="0.3">
      <c r="A20" s="129"/>
      <c r="B20" s="129"/>
      <c r="C20" s="129"/>
      <c r="D20" s="129"/>
      <c r="E20" s="129"/>
      <c r="F20" s="129"/>
      <c r="G20" s="13" t="s">
        <v>80</v>
      </c>
      <c r="H20" s="13" t="s">
        <v>78</v>
      </c>
      <c r="I20" s="13">
        <f>SUMIF(Mercado_Receita!$S$2:$S$604,"44409B1BrancaResidencialResidencialNão se aplicaNão se aplicaFora ponta",Mercado_Receita!$L$2:$L$604)</f>
        <v>0</v>
      </c>
      <c r="J20" s="13">
        <f>SUMIF(Mercado_Receita!$S$2:$S$604,"44440B1BrancaResidencialResidencialNão se aplicaNão se aplicaFora ponta",Mercado_Receita!$L$2:$L$604)</f>
        <v>0</v>
      </c>
      <c r="K20" s="13">
        <f>SUMIF(Mercado_Receita!$S$2:$S$604,"44470B1BrancaResidencialResidencialNão se aplicaNão se aplicaFora ponta",Mercado_Receita!$L$2:$L$604)</f>
        <v>0</v>
      </c>
      <c r="L20" s="13">
        <f>SUMIF(Mercado_Receita!$S$2:$S$604,"44501B1BrancaResidencialResidencialNão se aplicaNão se aplicaFora ponta",Mercado_Receita!$L$2:$L$604)</f>
        <v>0</v>
      </c>
      <c r="M20" s="13">
        <f>SUMIF(Mercado_Receita!$S$2:$S$604,"44531B1BrancaResidencialResidencialNão se aplicaNão se aplicaFora ponta",Mercado_Receita!$L$2:$L$604)</f>
        <v>0</v>
      </c>
      <c r="N20" s="13">
        <f>SUMIF(Mercado_Receita!$S$2:$S$604,"44562B1BrancaResidencialResidencialNão se aplicaNão se aplicaFora ponta",Mercado_Receita!$L$2:$L$604)</f>
        <v>0</v>
      </c>
      <c r="O20" s="13">
        <f>SUMIF(Mercado_Receita!$S$2:$S$604,"44593B1BrancaResidencialResidencialNão se aplicaNão se aplicaFora ponta",Mercado_Receita!$L$2:$L$604)</f>
        <v>0</v>
      </c>
      <c r="P20" s="13">
        <f>SUMIF(Mercado_Receita!$S$2:$S$604,"44621B1BrancaResidencialResidencialNão se aplicaNão se aplicaFora ponta",Mercado_Receita!$L$2:$L$604)</f>
        <v>0</v>
      </c>
      <c r="Q20" s="13">
        <f>SUMIF(Mercado_Receita!$S$2:$S$604,"44652B1BrancaResidencialResidencialNão se aplicaNão se aplicaFora ponta",Mercado_Receita!$L$2:$L$604)</f>
        <v>0</v>
      </c>
      <c r="R20" s="13">
        <f>SUMIF(Mercado_Receita!$S$2:$S$604,"44682B1BrancaResidencialResidencialNão se aplicaNão se aplicaFora ponta",Mercado_Receita!$L$2:$L$604)</f>
        <v>0</v>
      </c>
      <c r="S20" s="13">
        <f>SUMIF(Mercado_Receita!$S$2:$S$604,"44713B1BrancaResidencialResidencialNão se aplicaNão se aplicaFora ponta",Mercado_Receita!$L$2:$L$604)</f>
        <v>0</v>
      </c>
      <c r="T20" s="13">
        <f>SUMIF(Mercado_Receita!$S$2:$S$604,"44743B1BrancaResidencialResidencialNão se aplicaNão se aplicaFora ponta",Mercado_Receita!$L$2:$L$604)</f>
        <v>0</v>
      </c>
      <c r="U20" s="13">
        <f t="shared" si="0"/>
        <v>0</v>
      </c>
      <c r="V20" s="13"/>
      <c r="W20" s="13"/>
    </row>
    <row r="21" spans="1:23" ht="11.25" customHeight="1" x14ac:dyDescent="0.3">
      <c r="A21" s="129"/>
      <c r="B21" s="128" t="s">
        <v>23</v>
      </c>
      <c r="C21" s="128" t="s">
        <v>24</v>
      </c>
      <c r="D21" s="12" t="s">
        <v>24</v>
      </c>
      <c r="E21" s="12" t="s">
        <v>25</v>
      </c>
      <c r="F21" s="12" t="s">
        <v>25</v>
      </c>
      <c r="G21" s="13" t="s">
        <v>84</v>
      </c>
      <c r="H21" s="13" t="s">
        <v>78</v>
      </c>
      <c r="I21" s="13">
        <f>SUMIF(Mercado_Receita!$S$2:$S$604,"44409B1ConvencionalResidencialResidencialNão se aplicaNão se aplicaPonta",Mercado_Receita!$L$2:$L$604)+SUMIF(Mercado_Receita!$S$2:$S$604,"44409B1ConvencionalResidencialResidencialNão se aplicaNão se aplicaFora ponta",Mercado_Receita!$L$2:$L$604)+SUMIF(Mercado_Receita!$S$2:$S$604,"44409B1ConvencionalResidencialResidencialNão se aplicaNão se aplicaIntermediário",Mercado_Receita!$L$2:$L$604)+SUMIF(Mercado_Receita!$S$2:$S$604,"44409B1ConvencionalResidencialResidencialNão se aplicaNão se aplicaNão se aplica",Mercado_Receita!$L$2:$L$604)</f>
        <v>914.22500000000002</v>
      </c>
      <c r="J21" s="13">
        <f>SUMIF(Mercado_Receita!$S$2:$S$604,"44440B1ConvencionalResidencialResidencialNão se aplicaNão se aplicaPonta",Mercado_Receita!$L$2:$L$604)+SUMIF(Mercado_Receita!$S$2:$S$604,"44440B1ConvencionalResidencialResidencialNão se aplicaNão se aplicaFora ponta",Mercado_Receita!$L$2:$L$604)+SUMIF(Mercado_Receita!$S$2:$S$604,"44440B1ConvencionalResidencialResidencialNão se aplicaNão se aplicaIntermediário",Mercado_Receita!$L$2:$L$604)+SUMIF(Mercado_Receita!$S$2:$S$604,"44440B1ConvencionalResidencialResidencialNão se aplicaNão se aplicaNão se aplica",Mercado_Receita!$L$2:$L$604)</f>
        <v>974.26599999999996</v>
      </c>
      <c r="K21" s="13">
        <f>SUMIF(Mercado_Receita!$S$2:$S$604,"44470B1ConvencionalResidencialResidencialNão se aplicaNão se aplicaPonta",Mercado_Receita!$L$2:$L$604)+SUMIF(Mercado_Receita!$S$2:$S$604,"44470B1ConvencionalResidencialResidencialNão se aplicaNão se aplicaFora ponta",Mercado_Receita!$L$2:$L$604)+SUMIF(Mercado_Receita!$S$2:$S$604,"44470B1ConvencionalResidencialResidencialNão se aplicaNão se aplicaIntermediário",Mercado_Receita!$L$2:$L$604)+SUMIF(Mercado_Receita!$S$2:$S$604,"44470B1ConvencionalResidencialResidencialNão se aplicaNão se aplicaNão se aplica",Mercado_Receita!$L$2:$L$604)</f>
        <v>865.55</v>
      </c>
      <c r="L21" s="13">
        <f>SUMIF(Mercado_Receita!$S$2:$S$604,"44501B1ConvencionalResidencialResidencialNão se aplicaNão se aplicaPonta",Mercado_Receita!$L$2:$L$604)+SUMIF(Mercado_Receita!$S$2:$S$604,"44501B1ConvencionalResidencialResidencialNão se aplicaNão se aplicaFora ponta",Mercado_Receita!$L$2:$L$604)+SUMIF(Mercado_Receita!$S$2:$S$604,"44501B1ConvencionalResidencialResidencialNão se aplicaNão se aplicaIntermediário",Mercado_Receita!$L$2:$L$604)+SUMIF(Mercado_Receita!$S$2:$S$604,"44501B1ConvencionalResidencialResidencialNão se aplicaNão se aplicaNão se aplica",Mercado_Receita!$L$2:$L$604)</f>
        <v>856.83500000000004</v>
      </c>
      <c r="M21" s="13">
        <f>SUMIF(Mercado_Receita!$S$2:$S$604,"44531B1ConvencionalResidencialResidencialNão se aplicaNão se aplicaPonta",Mercado_Receita!$L$2:$L$604)+SUMIF(Mercado_Receita!$S$2:$S$604,"44531B1ConvencionalResidencialResidencialNão se aplicaNão se aplicaFora ponta",Mercado_Receita!$L$2:$L$604)+SUMIF(Mercado_Receita!$S$2:$S$604,"44531B1ConvencionalResidencialResidencialNão se aplicaNão se aplicaIntermediário",Mercado_Receita!$L$2:$L$604)+SUMIF(Mercado_Receita!$S$2:$S$604,"44531B1ConvencionalResidencialResidencialNão se aplicaNão se aplicaNão se aplica",Mercado_Receita!$L$2:$L$604)</f>
        <v>968.50699999999995</v>
      </c>
      <c r="N21" s="13">
        <f>SUMIF(Mercado_Receita!$S$2:$S$604,"44562B1ConvencionalResidencialResidencialNão se aplicaNão se aplicaPonta",Mercado_Receita!$L$2:$L$604)+SUMIF(Mercado_Receita!$S$2:$S$604,"44562B1ConvencionalResidencialResidencialNão se aplicaNão se aplicaFora ponta",Mercado_Receita!$L$2:$L$604)+SUMIF(Mercado_Receita!$S$2:$S$604,"44562B1ConvencionalResidencialResidencialNão se aplicaNão se aplicaIntermediário",Mercado_Receita!$L$2:$L$604)+SUMIF(Mercado_Receita!$S$2:$S$604,"44562B1ConvencionalResidencialResidencialNão se aplicaNão se aplicaNão se aplica",Mercado_Receita!$L$2:$L$604)</f>
        <v>944.327</v>
      </c>
      <c r="O21" s="13">
        <f>SUMIF(Mercado_Receita!$S$2:$S$604,"44593B1ConvencionalResidencialResidencialNão se aplicaNão se aplicaPonta",Mercado_Receita!$L$2:$L$604)+SUMIF(Mercado_Receita!$S$2:$S$604,"44593B1ConvencionalResidencialResidencialNão se aplicaNão se aplicaFora ponta",Mercado_Receita!$L$2:$L$604)+SUMIF(Mercado_Receita!$S$2:$S$604,"44593B1ConvencionalResidencialResidencialNão se aplicaNão se aplicaIntermediário",Mercado_Receita!$L$2:$L$604)+SUMIF(Mercado_Receita!$S$2:$S$604,"44593B1ConvencionalResidencialResidencialNão se aplicaNão se aplicaNão se aplica",Mercado_Receita!$L$2:$L$604)</f>
        <v>1222.7150000000001</v>
      </c>
      <c r="P21" s="13">
        <f>SUMIF(Mercado_Receita!$S$2:$S$604,"44621B1ConvencionalResidencialResidencialNão se aplicaNão se aplicaPonta",Mercado_Receita!$L$2:$L$604)+SUMIF(Mercado_Receita!$S$2:$S$604,"44621B1ConvencionalResidencialResidencialNão se aplicaNão se aplicaFora ponta",Mercado_Receita!$L$2:$L$604)+SUMIF(Mercado_Receita!$S$2:$S$604,"44621B1ConvencionalResidencialResidencialNão se aplicaNão se aplicaIntermediário",Mercado_Receita!$L$2:$L$604)+SUMIF(Mercado_Receita!$S$2:$S$604,"44621B1ConvencionalResidencialResidencialNão se aplicaNão se aplicaNão se aplica",Mercado_Receita!$L$2:$L$604)</f>
        <v>1075.653</v>
      </c>
      <c r="Q21" s="13">
        <f>SUMIF(Mercado_Receita!$S$2:$S$604,"44652B1ConvencionalResidencialResidencialNão se aplicaNão se aplicaPonta",Mercado_Receita!$L$2:$L$604)+SUMIF(Mercado_Receita!$S$2:$S$604,"44652B1ConvencionalResidencialResidencialNão se aplicaNão se aplicaFora ponta",Mercado_Receita!$L$2:$L$604)+SUMIF(Mercado_Receita!$S$2:$S$604,"44652B1ConvencionalResidencialResidencialNão se aplicaNão se aplicaIntermediário",Mercado_Receita!$L$2:$L$604)+SUMIF(Mercado_Receita!$S$2:$S$604,"44652B1ConvencionalResidencialResidencialNão se aplicaNão se aplicaNão se aplica",Mercado_Receita!$L$2:$L$604)</f>
        <v>949.76799999999992</v>
      </c>
      <c r="R21" s="13">
        <f>SUMIF(Mercado_Receita!$S$2:$S$604,"44682B1ConvencionalResidencialResidencialNão se aplicaNão se aplicaPonta",Mercado_Receita!$L$2:$L$604)+SUMIF(Mercado_Receita!$S$2:$S$604,"44682B1ConvencionalResidencialResidencialNão se aplicaNão se aplicaFora ponta",Mercado_Receita!$L$2:$L$604)+SUMIF(Mercado_Receita!$S$2:$S$604,"44682B1ConvencionalResidencialResidencialNão se aplicaNão se aplicaIntermediário",Mercado_Receita!$L$2:$L$604)+SUMIF(Mercado_Receita!$S$2:$S$604,"44682B1ConvencionalResidencialResidencialNão se aplicaNão se aplicaNão se aplica",Mercado_Receita!$L$2:$L$604)</f>
        <v>833.74</v>
      </c>
      <c r="S21" s="13">
        <f>SUMIF(Mercado_Receita!$S$2:$S$604,"44713B1ConvencionalResidencialResidencialNão se aplicaNão se aplicaPonta",Mercado_Receita!$L$2:$L$604)+SUMIF(Mercado_Receita!$S$2:$S$604,"44713B1ConvencionalResidencialResidencialNão se aplicaNão se aplicaFora ponta",Mercado_Receita!$L$2:$L$604)+SUMIF(Mercado_Receita!$S$2:$S$604,"44713B1ConvencionalResidencialResidencialNão se aplicaNão se aplicaIntermediário",Mercado_Receita!$L$2:$L$604)+SUMIF(Mercado_Receita!$S$2:$S$604,"44713B1ConvencionalResidencialResidencialNão se aplicaNão se aplicaNão se aplica",Mercado_Receita!$L$2:$L$604)</f>
        <v>952.55</v>
      </c>
      <c r="T21" s="13">
        <f>SUMIF(Mercado_Receita!$S$2:$S$604,"44743B1ConvencionalResidencialResidencialNão se aplicaNão se aplicaPonta",Mercado_Receita!$L$2:$L$604)+SUMIF(Mercado_Receita!$S$2:$S$604,"44743B1ConvencionalResidencialResidencialNão se aplicaNão se aplicaFora ponta",Mercado_Receita!$L$2:$L$604)+SUMIF(Mercado_Receita!$S$2:$S$604,"44743B1ConvencionalResidencialResidencialNão se aplicaNão se aplicaIntermediário",Mercado_Receita!$L$2:$L$604)+SUMIF(Mercado_Receita!$S$2:$S$604,"44743B1ConvencionalResidencialResidencialNão se aplicaNão se aplicaNão se aplica",Mercado_Receita!$L$2:$L$604)</f>
        <v>972.3119999999999</v>
      </c>
      <c r="U21" s="13">
        <f t="shared" si="0"/>
        <v>11530.447999999999</v>
      </c>
      <c r="V21" s="13"/>
      <c r="W21" s="13"/>
    </row>
    <row r="22" spans="1:23" ht="11.25" customHeight="1" x14ac:dyDescent="0.3">
      <c r="A22" s="129"/>
      <c r="B22" s="129"/>
      <c r="C22" s="129"/>
      <c r="D22" s="12" t="s">
        <v>28</v>
      </c>
      <c r="E22" s="12" t="s">
        <v>25</v>
      </c>
      <c r="F22" s="12" t="s">
        <v>25</v>
      </c>
      <c r="G22" s="13" t="s">
        <v>84</v>
      </c>
      <c r="H22" s="13" t="s">
        <v>78</v>
      </c>
      <c r="I22" s="13">
        <f>SUMIF(Mercado_Receita!$S$2:$S$604,"44409B1ConvencionalResidencialResidencial baixa renda – faixa 01Não se aplicaNão se aplicaPonta",Mercado_Receita!$L$2:$L$604)+SUMIF(Mercado_Receita!$S$2:$S$604,"44409B1ConvencionalResidencialResidencial baixa renda – faixa 01Não se aplicaNão se aplicaFora ponta",Mercado_Receita!$L$2:$L$604)+SUMIF(Mercado_Receita!$S$2:$S$604,"44409B1ConvencionalResidencialResidencial baixa renda – faixa 01Não se aplicaNão se aplicaIntermediário",Mercado_Receita!$L$2:$L$604)+SUMIF(Mercado_Receita!$S$2:$S$604,"44409B1ConvencionalResidencialResidencial baixa renda – faixa 01Não se aplicaNão se aplicaNão se aplica",Mercado_Receita!$L$2:$L$604)</f>
        <v>8.9700000000000006</v>
      </c>
      <c r="J22" s="13">
        <f>SUMIF(Mercado_Receita!$S$2:$S$604,"44440B1ConvencionalResidencialResidencial baixa renda – faixa 01Não se aplicaNão se aplicaPonta",Mercado_Receita!$L$2:$L$604)+SUMIF(Mercado_Receita!$S$2:$S$604,"44440B1ConvencionalResidencialResidencial baixa renda – faixa 01Não se aplicaNão se aplicaFora ponta",Mercado_Receita!$L$2:$L$604)+SUMIF(Mercado_Receita!$S$2:$S$604,"44440B1ConvencionalResidencialResidencial baixa renda – faixa 01Não se aplicaNão se aplicaIntermediário",Mercado_Receita!$L$2:$L$604)+SUMIF(Mercado_Receita!$S$2:$S$604,"44440B1ConvencionalResidencialResidencial baixa renda – faixa 01Não se aplicaNão se aplicaNão se aplica",Mercado_Receita!$L$2:$L$604)</f>
        <v>9.2100000000000009</v>
      </c>
      <c r="K22" s="13">
        <f>SUMIF(Mercado_Receita!$S$2:$S$604,"44470B1ConvencionalResidencialResidencial baixa renda – faixa 01Não se aplicaNão se aplicaPonta",Mercado_Receita!$L$2:$L$604)+SUMIF(Mercado_Receita!$S$2:$S$604,"44470B1ConvencionalResidencialResidencial baixa renda – faixa 01Não se aplicaNão se aplicaFora ponta",Mercado_Receita!$L$2:$L$604)+SUMIF(Mercado_Receita!$S$2:$S$604,"44470B1ConvencionalResidencialResidencial baixa renda – faixa 01Não se aplicaNão se aplicaIntermediário",Mercado_Receita!$L$2:$L$604)+SUMIF(Mercado_Receita!$S$2:$S$604,"44470B1ConvencionalResidencialResidencial baixa renda – faixa 01Não se aplicaNão se aplicaNão se aplica",Mercado_Receita!$L$2:$L$604)</f>
        <v>9.09</v>
      </c>
      <c r="L22" s="13">
        <f>SUMIF(Mercado_Receita!$S$2:$S$604,"44501B1ConvencionalResidencialResidencial baixa renda – faixa 01Não se aplicaNão se aplicaPonta",Mercado_Receita!$L$2:$L$604)+SUMIF(Mercado_Receita!$S$2:$S$604,"44501B1ConvencionalResidencialResidencial baixa renda – faixa 01Não se aplicaNão se aplicaFora ponta",Mercado_Receita!$L$2:$L$604)+SUMIF(Mercado_Receita!$S$2:$S$604,"44501B1ConvencionalResidencialResidencial baixa renda – faixa 01Não se aplicaNão se aplicaIntermediário",Mercado_Receita!$L$2:$L$604)+SUMIF(Mercado_Receita!$S$2:$S$604,"44501B1ConvencionalResidencialResidencial baixa renda – faixa 01Não se aplicaNão se aplicaNão se aplica",Mercado_Receita!$L$2:$L$604)</f>
        <v>9.27</v>
      </c>
      <c r="M22" s="13">
        <f>SUMIF(Mercado_Receita!$S$2:$S$604,"44531B1ConvencionalResidencialResidencial baixa renda – faixa 01Não se aplicaNão se aplicaPonta",Mercado_Receita!$L$2:$L$604)+SUMIF(Mercado_Receita!$S$2:$S$604,"44531B1ConvencionalResidencialResidencial baixa renda – faixa 01Não se aplicaNão se aplicaFora ponta",Mercado_Receita!$L$2:$L$604)+SUMIF(Mercado_Receita!$S$2:$S$604,"44531B1ConvencionalResidencialResidencial baixa renda – faixa 01Não se aplicaNão se aplicaIntermediário",Mercado_Receita!$L$2:$L$604)+SUMIF(Mercado_Receita!$S$2:$S$604,"44531B1ConvencionalResidencialResidencial baixa renda – faixa 01Não se aplicaNão se aplicaNão se aplica",Mercado_Receita!$L$2:$L$604)</f>
        <v>9.48</v>
      </c>
      <c r="N22" s="13">
        <f>SUMIF(Mercado_Receita!$S$2:$S$604,"44562B1ConvencionalResidencialResidencial baixa renda – faixa 01Não se aplicaNão se aplicaPonta",Mercado_Receita!$L$2:$L$604)+SUMIF(Mercado_Receita!$S$2:$S$604,"44562B1ConvencionalResidencialResidencial baixa renda – faixa 01Não se aplicaNão se aplicaFora ponta",Mercado_Receita!$L$2:$L$604)+SUMIF(Mercado_Receita!$S$2:$S$604,"44562B1ConvencionalResidencialResidencial baixa renda – faixa 01Não se aplicaNão se aplicaIntermediário",Mercado_Receita!$L$2:$L$604)+SUMIF(Mercado_Receita!$S$2:$S$604,"44562B1ConvencionalResidencialResidencial baixa renda – faixa 01Não se aplicaNão se aplicaNão se aplica",Mercado_Receita!$L$2:$L$604)</f>
        <v>9.69</v>
      </c>
      <c r="O22" s="13">
        <f>SUMIF(Mercado_Receita!$S$2:$S$604,"44593B1ConvencionalResidencialResidencial baixa renda – faixa 01Não se aplicaNão se aplicaPonta",Mercado_Receita!$L$2:$L$604)+SUMIF(Mercado_Receita!$S$2:$S$604,"44593B1ConvencionalResidencialResidencial baixa renda – faixa 01Não se aplicaNão se aplicaFora ponta",Mercado_Receita!$L$2:$L$604)+SUMIF(Mercado_Receita!$S$2:$S$604,"44593B1ConvencionalResidencialResidencial baixa renda – faixa 01Não se aplicaNão se aplicaIntermediário",Mercado_Receita!$L$2:$L$604)+SUMIF(Mercado_Receita!$S$2:$S$604,"44593B1ConvencionalResidencialResidencial baixa renda – faixa 01Não se aplicaNão se aplicaNão se aplica",Mercado_Receita!$L$2:$L$604)</f>
        <v>10.56</v>
      </c>
      <c r="P22" s="13">
        <f>SUMIF(Mercado_Receita!$S$2:$S$604,"44621B1ConvencionalResidencialResidencial baixa renda – faixa 01Não se aplicaNão se aplicaPonta",Mercado_Receita!$L$2:$L$604)+SUMIF(Mercado_Receita!$S$2:$S$604,"44621B1ConvencionalResidencialResidencial baixa renda – faixa 01Não se aplicaNão se aplicaFora ponta",Mercado_Receita!$L$2:$L$604)+SUMIF(Mercado_Receita!$S$2:$S$604,"44621B1ConvencionalResidencialResidencial baixa renda – faixa 01Não se aplicaNão se aplicaIntermediário",Mercado_Receita!$L$2:$L$604)+SUMIF(Mercado_Receita!$S$2:$S$604,"44621B1ConvencionalResidencialResidencial baixa renda – faixa 01Não se aplicaNão se aplicaNão se aplica",Mercado_Receita!$L$2:$L$604)</f>
        <v>11.22</v>
      </c>
      <c r="Q22" s="13">
        <f>SUMIF(Mercado_Receita!$S$2:$S$604,"44652B1ConvencionalResidencialResidencial baixa renda – faixa 01Não se aplicaNão se aplicaPonta",Mercado_Receita!$L$2:$L$604)+SUMIF(Mercado_Receita!$S$2:$S$604,"44652B1ConvencionalResidencialResidencial baixa renda – faixa 01Não se aplicaNão se aplicaFora ponta",Mercado_Receita!$L$2:$L$604)+SUMIF(Mercado_Receita!$S$2:$S$604,"44652B1ConvencionalResidencialResidencial baixa renda – faixa 01Não se aplicaNão se aplicaIntermediário",Mercado_Receita!$L$2:$L$604)+SUMIF(Mercado_Receita!$S$2:$S$604,"44652B1ConvencionalResidencialResidencial baixa renda – faixa 01Não se aplicaNão se aplicaNão se aplica",Mercado_Receita!$L$2:$L$604)</f>
        <v>11.37</v>
      </c>
      <c r="R22" s="13">
        <f>SUMIF(Mercado_Receita!$S$2:$S$604,"44682B1ConvencionalResidencialResidencial baixa renda – faixa 01Não se aplicaNão se aplicaPonta",Mercado_Receita!$L$2:$L$604)+SUMIF(Mercado_Receita!$S$2:$S$604,"44682B1ConvencionalResidencialResidencial baixa renda – faixa 01Não se aplicaNão se aplicaFora ponta",Mercado_Receita!$L$2:$L$604)+SUMIF(Mercado_Receita!$S$2:$S$604,"44682B1ConvencionalResidencialResidencial baixa renda – faixa 01Não se aplicaNão se aplicaIntermediário",Mercado_Receita!$L$2:$L$604)+SUMIF(Mercado_Receita!$S$2:$S$604,"44682B1ConvencionalResidencialResidencial baixa renda – faixa 01Não se aplicaNão se aplicaNão se aplica",Mercado_Receita!$L$2:$L$604)</f>
        <v>11.82</v>
      </c>
      <c r="S22" s="13">
        <f>SUMIF(Mercado_Receita!$S$2:$S$604,"44713B1ConvencionalResidencialResidencial baixa renda – faixa 01Não se aplicaNão se aplicaPonta",Mercado_Receita!$L$2:$L$604)+SUMIF(Mercado_Receita!$S$2:$S$604,"44713B1ConvencionalResidencialResidencial baixa renda – faixa 01Não se aplicaNão se aplicaFora ponta",Mercado_Receita!$L$2:$L$604)+SUMIF(Mercado_Receita!$S$2:$S$604,"44713B1ConvencionalResidencialResidencial baixa renda – faixa 01Não se aplicaNão se aplicaIntermediário",Mercado_Receita!$L$2:$L$604)+SUMIF(Mercado_Receita!$S$2:$S$604,"44713B1ConvencionalResidencialResidencial baixa renda – faixa 01Não se aplicaNão se aplicaNão se aplica",Mercado_Receita!$L$2:$L$604)</f>
        <v>9.6300000000000008</v>
      </c>
      <c r="T22" s="13">
        <f>SUMIF(Mercado_Receita!$S$2:$S$604,"44743B1ConvencionalResidencialResidencial baixa renda – faixa 01Não se aplicaNão se aplicaPonta",Mercado_Receita!$L$2:$L$604)+SUMIF(Mercado_Receita!$S$2:$S$604,"44743B1ConvencionalResidencialResidencial baixa renda – faixa 01Não se aplicaNão se aplicaFora ponta",Mercado_Receita!$L$2:$L$604)+SUMIF(Mercado_Receita!$S$2:$S$604,"44743B1ConvencionalResidencialResidencial baixa renda – faixa 01Não se aplicaNão se aplicaIntermediário",Mercado_Receita!$L$2:$L$604)+SUMIF(Mercado_Receita!$S$2:$S$604,"44743B1ConvencionalResidencialResidencial baixa renda – faixa 01Não se aplicaNão se aplicaNão se aplica",Mercado_Receita!$L$2:$L$604)</f>
        <v>10.95</v>
      </c>
      <c r="U22" s="13">
        <f t="shared" si="0"/>
        <v>121.26</v>
      </c>
      <c r="V22" s="13"/>
      <c r="W22" s="13"/>
    </row>
    <row r="23" spans="1:23" ht="11.25" customHeight="1" x14ac:dyDescent="0.3">
      <c r="A23" s="129"/>
      <c r="B23" s="129"/>
      <c r="C23" s="129"/>
      <c r="D23" s="12" t="s">
        <v>29</v>
      </c>
      <c r="E23" s="12" t="s">
        <v>25</v>
      </c>
      <c r="F23" s="12" t="s">
        <v>25</v>
      </c>
      <c r="G23" s="13" t="s">
        <v>84</v>
      </c>
      <c r="H23" s="13" t="s">
        <v>78</v>
      </c>
      <c r="I23" s="13">
        <f>SUMIF(Mercado_Receita!$S$2:$S$604,"44409B1ConvencionalResidencialResidencial baixa renda – faixa 02Não se aplicaNão se aplicaPonta",Mercado_Receita!$L$2:$L$604)+SUMIF(Mercado_Receita!$S$2:$S$604,"44409B1ConvencionalResidencialResidencial baixa renda – faixa 02Não se aplicaNão se aplicaFora ponta",Mercado_Receita!$L$2:$L$604)+SUMIF(Mercado_Receita!$S$2:$S$604,"44409B1ConvencionalResidencialResidencial baixa renda – faixa 02Não se aplicaNão se aplicaIntermediário",Mercado_Receita!$L$2:$L$604)+SUMIF(Mercado_Receita!$S$2:$S$604,"44409B1ConvencionalResidencialResidencial baixa renda – faixa 02Não se aplicaNão se aplicaNão se aplica",Mercado_Receita!$L$2:$L$604)</f>
        <v>18.370999999999999</v>
      </c>
      <c r="J23" s="13">
        <f>SUMIF(Mercado_Receita!$S$2:$S$604,"44440B1ConvencionalResidencialResidencial baixa renda – faixa 02Não se aplicaNão se aplicaPonta",Mercado_Receita!$L$2:$L$604)+SUMIF(Mercado_Receita!$S$2:$S$604,"44440B1ConvencionalResidencialResidencial baixa renda – faixa 02Não se aplicaNão se aplicaFora ponta",Mercado_Receita!$L$2:$L$604)+SUMIF(Mercado_Receita!$S$2:$S$604,"44440B1ConvencionalResidencialResidencial baixa renda – faixa 02Não se aplicaNão se aplicaIntermediário",Mercado_Receita!$L$2:$L$604)+SUMIF(Mercado_Receita!$S$2:$S$604,"44440B1ConvencionalResidencialResidencial baixa renda – faixa 02Não se aplicaNão se aplicaNão se aplica",Mercado_Receita!$L$2:$L$604)</f>
        <v>19.5</v>
      </c>
      <c r="K23" s="13">
        <f>SUMIF(Mercado_Receita!$S$2:$S$604,"44470B1ConvencionalResidencialResidencial baixa renda – faixa 02Não se aplicaNão se aplicaPonta",Mercado_Receita!$L$2:$L$604)+SUMIF(Mercado_Receita!$S$2:$S$604,"44470B1ConvencionalResidencialResidencial baixa renda – faixa 02Não se aplicaNão se aplicaFora ponta",Mercado_Receita!$L$2:$L$604)+SUMIF(Mercado_Receita!$S$2:$S$604,"44470B1ConvencionalResidencialResidencial baixa renda – faixa 02Não se aplicaNão se aplicaIntermediário",Mercado_Receita!$L$2:$L$604)+SUMIF(Mercado_Receita!$S$2:$S$604,"44470B1ConvencionalResidencialResidencial baixa renda – faixa 02Não se aplicaNão se aplicaNão se aplica",Mercado_Receita!$L$2:$L$604)</f>
        <v>19.084</v>
      </c>
      <c r="L23" s="13">
        <f>SUMIF(Mercado_Receita!$S$2:$S$604,"44501B1ConvencionalResidencialResidencial baixa renda – faixa 02Não se aplicaNão se aplicaPonta",Mercado_Receita!$L$2:$L$604)+SUMIF(Mercado_Receita!$S$2:$S$604,"44501B1ConvencionalResidencialResidencial baixa renda – faixa 02Não se aplicaNão se aplicaFora ponta",Mercado_Receita!$L$2:$L$604)+SUMIF(Mercado_Receita!$S$2:$S$604,"44501B1ConvencionalResidencialResidencial baixa renda – faixa 02Não se aplicaNão se aplicaIntermediário",Mercado_Receita!$L$2:$L$604)+SUMIF(Mercado_Receita!$S$2:$S$604,"44501B1ConvencionalResidencialResidencial baixa renda – faixa 02Não se aplicaNão se aplicaNão se aplica",Mercado_Receita!$L$2:$L$604)</f>
        <v>18.992999999999999</v>
      </c>
      <c r="M23" s="13">
        <f>SUMIF(Mercado_Receita!$S$2:$S$604,"44531B1ConvencionalResidencialResidencial baixa renda – faixa 02Não se aplicaNão se aplicaPonta",Mercado_Receita!$L$2:$L$604)+SUMIF(Mercado_Receita!$S$2:$S$604,"44531B1ConvencionalResidencialResidencial baixa renda – faixa 02Não se aplicaNão se aplicaFora ponta",Mercado_Receita!$L$2:$L$604)+SUMIF(Mercado_Receita!$S$2:$S$604,"44531B1ConvencionalResidencialResidencial baixa renda – faixa 02Não se aplicaNão se aplicaIntermediário",Mercado_Receita!$L$2:$L$604)+SUMIF(Mercado_Receita!$S$2:$S$604,"44531B1ConvencionalResidencialResidencial baixa renda – faixa 02Não se aplicaNão se aplicaNão se aplica",Mercado_Receita!$L$2:$L$604)</f>
        <v>20.306999999999999</v>
      </c>
      <c r="N23" s="13">
        <f>SUMIF(Mercado_Receita!$S$2:$S$604,"44562B1ConvencionalResidencialResidencial baixa renda – faixa 02Não se aplicaNão se aplicaPonta",Mercado_Receita!$L$2:$L$604)+SUMIF(Mercado_Receita!$S$2:$S$604,"44562B1ConvencionalResidencialResidencial baixa renda – faixa 02Não se aplicaNão se aplicaFora ponta",Mercado_Receita!$L$2:$L$604)+SUMIF(Mercado_Receita!$S$2:$S$604,"44562B1ConvencionalResidencialResidencial baixa renda – faixa 02Não se aplicaNão se aplicaIntermediário",Mercado_Receita!$L$2:$L$604)+SUMIF(Mercado_Receita!$S$2:$S$604,"44562B1ConvencionalResidencialResidencial baixa renda – faixa 02Não se aplicaNão se aplicaNão se aplica",Mercado_Receita!$L$2:$L$604)</f>
        <v>20.56</v>
      </c>
      <c r="O23" s="13">
        <f>SUMIF(Mercado_Receita!$S$2:$S$604,"44593B1ConvencionalResidencialResidencial baixa renda – faixa 02Não se aplicaNão se aplicaPonta",Mercado_Receita!$L$2:$L$604)+SUMIF(Mercado_Receita!$S$2:$S$604,"44593B1ConvencionalResidencialResidencial baixa renda – faixa 02Não se aplicaNão se aplicaFora ponta",Mercado_Receita!$L$2:$L$604)+SUMIF(Mercado_Receita!$S$2:$S$604,"44593B1ConvencionalResidencialResidencial baixa renda – faixa 02Não se aplicaNão se aplicaIntermediário",Mercado_Receita!$L$2:$L$604)+SUMIF(Mercado_Receita!$S$2:$S$604,"44593B1ConvencionalResidencialResidencial baixa renda – faixa 02Não se aplicaNão se aplicaNão se aplica",Mercado_Receita!$L$2:$L$604)</f>
        <v>23.015999999999998</v>
      </c>
      <c r="P23" s="13">
        <f>SUMIF(Mercado_Receita!$S$2:$S$604,"44621B1ConvencionalResidencialResidencial baixa renda – faixa 02Não se aplicaNão se aplicaPonta",Mercado_Receita!$L$2:$L$604)+SUMIF(Mercado_Receita!$S$2:$S$604,"44621B1ConvencionalResidencialResidencial baixa renda – faixa 02Não se aplicaNão se aplicaFora ponta",Mercado_Receita!$L$2:$L$604)+SUMIF(Mercado_Receita!$S$2:$S$604,"44621B1ConvencionalResidencialResidencial baixa renda – faixa 02Não se aplicaNão se aplicaIntermediário",Mercado_Receita!$L$2:$L$604)+SUMIF(Mercado_Receita!$S$2:$S$604,"44621B1ConvencionalResidencialResidencial baixa renda – faixa 02Não se aplicaNão se aplicaNão se aplica",Mercado_Receita!$L$2:$L$604)</f>
        <v>24</v>
      </c>
      <c r="Q23" s="13">
        <f>SUMIF(Mercado_Receita!$S$2:$S$604,"44652B1ConvencionalResidencialResidencial baixa renda – faixa 02Não se aplicaNão se aplicaPonta",Mercado_Receita!$L$2:$L$604)+SUMIF(Mercado_Receita!$S$2:$S$604,"44652B1ConvencionalResidencialResidencial baixa renda – faixa 02Não se aplicaNão se aplicaFora ponta",Mercado_Receita!$L$2:$L$604)+SUMIF(Mercado_Receita!$S$2:$S$604,"44652B1ConvencionalResidencialResidencial baixa renda – faixa 02Não se aplicaNão se aplicaIntermediário",Mercado_Receita!$L$2:$L$604)+SUMIF(Mercado_Receita!$S$2:$S$604,"44652B1ConvencionalResidencialResidencial baixa renda – faixa 02Não se aplicaNão se aplicaNão se aplica",Mercado_Receita!$L$2:$L$604)</f>
        <v>23.969000000000001</v>
      </c>
      <c r="R23" s="13">
        <f>SUMIF(Mercado_Receita!$S$2:$S$604,"44682B1ConvencionalResidencialResidencial baixa renda – faixa 02Não se aplicaNão se aplicaPonta",Mercado_Receita!$L$2:$L$604)+SUMIF(Mercado_Receita!$S$2:$S$604,"44682B1ConvencionalResidencialResidencial baixa renda – faixa 02Não se aplicaNão se aplicaFora ponta",Mercado_Receita!$L$2:$L$604)+SUMIF(Mercado_Receita!$S$2:$S$604,"44682B1ConvencionalResidencialResidencial baixa renda – faixa 02Não se aplicaNão se aplicaIntermediário",Mercado_Receita!$L$2:$L$604)+SUMIF(Mercado_Receita!$S$2:$S$604,"44682B1ConvencionalResidencialResidencial baixa renda – faixa 02Não se aplicaNão se aplicaNão se aplica",Mercado_Receita!$L$2:$L$604)</f>
        <v>24.436</v>
      </c>
      <c r="S23" s="13">
        <f>SUMIF(Mercado_Receita!$S$2:$S$604,"44713B1ConvencionalResidencialResidencial baixa renda – faixa 02Não se aplicaNão se aplicaPonta",Mercado_Receita!$L$2:$L$604)+SUMIF(Mercado_Receita!$S$2:$S$604,"44713B1ConvencionalResidencialResidencial baixa renda – faixa 02Não se aplicaNão se aplicaFora ponta",Mercado_Receita!$L$2:$L$604)+SUMIF(Mercado_Receita!$S$2:$S$604,"44713B1ConvencionalResidencialResidencial baixa renda – faixa 02Não se aplicaNão se aplicaIntermediário",Mercado_Receita!$L$2:$L$604)+SUMIF(Mercado_Receita!$S$2:$S$604,"44713B1ConvencionalResidencialResidencial baixa renda – faixa 02Não se aplicaNão se aplicaNão se aplica",Mercado_Receita!$L$2:$L$604)</f>
        <v>19.992999999999999</v>
      </c>
      <c r="T23" s="13">
        <f>SUMIF(Mercado_Receita!$S$2:$S$604,"44743B1ConvencionalResidencialResidencial baixa renda – faixa 02Não se aplicaNão se aplicaPonta",Mercado_Receita!$L$2:$L$604)+SUMIF(Mercado_Receita!$S$2:$S$604,"44743B1ConvencionalResidencialResidencial baixa renda – faixa 02Não se aplicaNão se aplicaFora ponta",Mercado_Receita!$L$2:$L$604)+SUMIF(Mercado_Receita!$S$2:$S$604,"44743B1ConvencionalResidencialResidencial baixa renda – faixa 02Não se aplicaNão se aplicaIntermediário",Mercado_Receita!$L$2:$L$604)+SUMIF(Mercado_Receita!$S$2:$S$604,"44743B1ConvencionalResidencialResidencial baixa renda – faixa 02Não se aplicaNão se aplicaNão se aplica",Mercado_Receita!$L$2:$L$604)</f>
        <v>22.091000000000001</v>
      </c>
      <c r="U23" s="13">
        <f t="shared" si="0"/>
        <v>254.32</v>
      </c>
      <c r="V23" s="13"/>
      <c r="W23" s="13"/>
    </row>
    <row r="24" spans="1:23" ht="11.25" customHeight="1" x14ac:dyDescent="0.3">
      <c r="A24" s="129"/>
      <c r="B24" s="129"/>
      <c r="C24" s="129"/>
      <c r="D24" s="12" t="s">
        <v>30</v>
      </c>
      <c r="E24" s="12" t="s">
        <v>25</v>
      </c>
      <c r="F24" s="12" t="s">
        <v>25</v>
      </c>
      <c r="G24" s="13" t="s">
        <v>84</v>
      </c>
      <c r="H24" s="13" t="s">
        <v>78</v>
      </c>
      <c r="I24" s="13">
        <f>SUMIF(Mercado_Receita!$S$2:$S$604,"44409B1ConvencionalResidencialResidencial baixa renda – faixa 03Não se aplicaNão se aplicaPonta",Mercado_Receita!$L$2:$L$604)+SUMIF(Mercado_Receita!$S$2:$S$604,"44409B1ConvencionalResidencialResidencial baixa renda – faixa 03Não se aplicaNão se aplicaFora ponta",Mercado_Receita!$L$2:$L$604)+SUMIF(Mercado_Receita!$S$2:$S$604,"44409B1ConvencionalResidencialResidencial baixa renda – faixa 03Não se aplicaNão se aplicaIntermediário",Mercado_Receita!$L$2:$L$604)+SUMIF(Mercado_Receita!$S$2:$S$604,"44409B1ConvencionalResidencialResidencial baixa renda – faixa 03Não se aplicaNão se aplicaNão se aplica",Mercado_Receita!$L$2:$L$604)</f>
        <v>17.896999999999998</v>
      </c>
      <c r="J24" s="13">
        <f>SUMIF(Mercado_Receita!$S$2:$S$604,"44440B1ConvencionalResidencialResidencial baixa renda – faixa 03Não se aplicaNão se aplicaPonta",Mercado_Receita!$L$2:$L$604)+SUMIF(Mercado_Receita!$S$2:$S$604,"44440B1ConvencionalResidencialResidencial baixa renda – faixa 03Não se aplicaNão se aplicaFora ponta",Mercado_Receita!$L$2:$L$604)+SUMIF(Mercado_Receita!$S$2:$S$604,"44440B1ConvencionalResidencialResidencial baixa renda – faixa 03Não se aplicaNão se aplicaIntermediário",Mercado_Receita!$L$2:$L$604)+SUMIF(Mercado_Receita!$S$2:$S$604,"44440B1ConvencionalResidencialResidencial baixa renda – faixa 03Não se aplicaNão se aplicaNão se aplica",Mercado_Receita!$L$2:$L$604)</f>
        <v>20.79</v>
      </c>
      <c r="K24" s="13">
        <f>SUMIF(Mercado_Receita!$S$2:$S$604,"44470B1ConvencionalResidencialResidencial baixa renda – faixa 03Não se aplicaNão se aplicaPonta",Mercado_Receita!$L$2:$L$604)+SUMIF(Mercado_Receita!$S$2:$S$604,"44470B1ConvencionalResidencialResidencial baixa renda – faixa 03Não se aplicaNão se aplicaFora ponta",Mercado_Receita!$L$2:$L$604)+SUMIF(Mercado_Receita!$S$2:$S$604,"44470B1ConvencionalResidencialResidencial baixa renda – faixa 03Não se aplicaNão se aplicaIntermediário",Mercado_Receita!$L$2:$L$604)+SUMIF(Mercado_Receita!$S$2:$S$604,"44470B1ConvencionalResidencialResidencial baixa renda – faixa 03Não se aplicaNão se aplicaNão se aplica",Mercado_Receita!$L$2:$L$604)</f>
        <v>17.515999999999998</v>
      </c>
      <c r="L24" s="13">
        <f>SUMIF(Mercado_Receita!$S$2:$S$604,"44501B1ConvencionalResidencialResidencial baixa renda – faixa 03Não se aplicaNão se aplicaPonta",Mercado_Receita!$L$2:$L$604)+SUMIF(Mercado_Receita!$S$2:$S$604,"44501B1ConvencionalResidencialResidencial baixa renda – faixa 03Não se aplicaNão se aplicaFora ponta",Mercado_Receita!$L$2:$L$604)+SUMIF(Mercado_Receita!$S$2:$S$604,"44501B1ConvencionalResidencialResidencial baixa renda – faixa 03Não se aplicaNão se aplicaIntermediário",Mercado_Receita!$L$2:$L$604)+SUMIF(Mercado_Receita!$S$2:$S$604,"44501B1ConvencionalResidencialResidencial baixa renda – faixa 03Não se aplicaNão se aplicaNão se aplica",Mercado_Receita!$L$2:$L$604)</f>
        <v>16.582999999999998</v>
      </c>
      <c r="M24" s="13">
        <f>SUMIF(Mercado_Receita!$S$2:$S$604,"44531B1ConvencionalResidencialResidencial baixa renda – faixa 03Não se aplicaNão se aplicaPonta",Mercado_Receita!$L$2:$L$604)+SUMIF(Mercado_Receita!$S$2:$S$604,"44531B1ConvencionalResidencialResidencial baixa renda – faixa 03Não se aplicaNão se aplicaFora ponta",Mercado_Receita!$L$2:$L$604)+SUMIF(Mercado_Receita!$S$2:$S$604,"44531B1ConvencionalResidencialResidencial baixa renda – faixa 03Não se aplicaNão se aplicaIntermediário",Mercado_Receita!$L$2:$L$604)+SUMIF(Mercado_Receita!$S$2:$S$604,"44531B1ConvencionalResidencialResidencial baixa renda – faixa 03Não se aplicaNão se aplicaNão se aplica",Mercado_Receita!$L$2:$L$604)</f>
        <v>20.638999999999999</v>
      </c>
      <c r="N24" s="13">
        <f>SUMIF(Mercado_Receita!$S$2:$S$604,"44562B1ConvencionalResidencialResidencial baixa renda – faixa 03Não se aplicaNão se aplicaPonta",Mercado_Receita!$L$2:$L$604)+SUMIF(Mercado_Receita!$S$2:$S$604,"44562B1ConvencionalResidencialResidencial baixa renda – faixa 03Não se aplicaNão se aplicaFora ponta",Mercado_Receita!$L$2:$L$604)+SUMIF(Mercado_Receita!$S$2:$S$604,"44562B1ConvencionalResidencialResidencial baixa renda – faixa 03Não se aplicaNão se aplicaIntermediário",Mercado_Receita!$L$2:$L$604)+SUMIF(Mercado_Receita!$S$2:$S$604,"44562B1ConvencionalResidencialResidencial baixa renda – faixa 03Não se aplicaNão se aplicaNão se aplica",Mercado_Receita!$L$2:$L$604)</f>
        <v>19.594000000000001</v>
      </c>
      <c r="O24" s="13">
        <f>SUMIF(Mercado_Receita!$S$2:$S$604,"44593B1ConvencionalResidencialResidencial baixa renda – faixa 03Não se aplicaNão se aplicaPonta",Mercado_Receita!$L$2:$L$604)+SUMIF(Mercado_Receita!$S$2:$S$604,"44593B1ConvencionalResidencialResidencial baixa renda – faixa 03Não se aplicaNão se aplicaFora ponta",Mercado_Receita!$L$2:$L$604)+SUMIF(Mercado_Receita!$S$2:$S$604,"44593B1ConvencionalResidencialResidencial baixa renda – faixa 03Não se aplicaNão se aplicaIntermediário",Mercado_Receita!$L$2:$L$604)+SUMIF(Mercado_Receita!$S$2:$S$604,"44593B1ConvencionalResidencialResidencial baixa renda – faixa 03Não se aplicaNão se aplicaNão se aplica",Mercado_Receita!$L$2:$L$604)</f>
        <v>26.75</v>
      </c>
      <c r="P24" s="13">
        <f>SUMIF(Mercado_Receita!$S$2:$S$604,"44621B1ConvencionalResidencialResidencial baixa renda – faixa 03Não se aplicaNão se aplicaPonta",Mercado_Receita!$L$2:$L$604)+SUMIF(Mercado_Receita!$S$2:$S$604,"44621B1ConvencionalResidencialResidencial baixa renda – faixa 03Não se aplicaNão se aplicaFora ponta",Mercado_Receita!$L$2:$L$604)+SUMIF(Mercado_Receita!$S$2:$S$604,"44621B1ConvencionalResidencialResidencial baixa renda – faixa 03Não se aplicaNão se aplicaIntermediário",Mercado_Receita!$L$2:$L$604)+SUMIF(Mercado_Receita!$S$2:$S$604,"44621B1ConvencionalResidencialResidencial baixa renda – faixa 03Não se aplicaNão se aplicaNão se aplica",Mercado_Receita!$L$2:$L$604)</f>
        <v>25.718</v>
      </c>
      <c r="Q24" s="13">
        <f>SUMIF(Mercado_Receita!$S$2:$S$604,"44652B1ConvencionalResidencialResidencial baixa renda – faixa 03Não se aplicaNão se aplicaPonta",Mercado_Receita!$L$2:$L$604)+SUMIF(Mercado_Receita!$S$2:$S$604,"44652B1ConvencionalResidencialResidencial baixa renda – faixa 03Não se aplicaNão se aplicaFora ponta",Mercado_Receita!$L$2:$L$604)+SUMIF(Mercado_Receita!$S$2:$S$604,"44652B1ConvencionalResidencialResidencial baixa renda – faixa 03Não se aplicaNão se aplicaIntermediário",Mercado_Receita!$L$2:$L$604)+SUMIF(Mercado_Receita!$S$2:$S$604,"44652B1ConvencionalResidencialResidencial baixa renda – faixa 03Não se aplicaNão se aplicaNão se aplica",Mercado_Receita!$L$2:$L$604)</f>
        <v>22.731999999999999</v>
      </c>
      <c r="R24" s="13">
        <f>SUMIF(Mercado_Receita!$S$2:$S$604,"44682B1ConvencionalResidencialResidencial baixa renda – faixa 03Não se aplicaNão se aplicaPonta",Mercado_Receita!$L$2:$L$604)+SUMIF(Mercado_Receita!$S$2:$S$604,"44682B1ConvencionalResidencialResidencial baixa renda – faixa 03Não se aplicaNão se aplicaFora ponta",Mercado_Receita!$L$2:$L$604)+SUMIF(Mercado_Receita!$S$2:$S$604,"44682B1ConvencionalResidencialResidencial baixa renda – faixa 03Não se aplicaNão se aplicaIntermediário",Mercado_Receita!$L$2:$L$604)+SUMIF(Mercado_Receita!$S$2:$S$604,"44682B1ConvencionalResidencialResidencial baixa renda – faixa 03Não se aplicaNão se aplicaNão se aplica",Mercado_Receita!$L$2:$L$604)</f>
        <v>21.222999999999999</v>
      </c>
      <c r="S24" s="13">
        <f>SUMIF(Mercado_Receita!$S$2:$S$604,"44713B1ConvencionalResidencialResidencial baixa renda – faixa 03Não se aplicaNão se aplicaPonta",Mercado_Receita!$L$2:$L$604)+SUMIF(Mercado_Receita!$S$2:$S$604,"44713B1ConvencionalResidencialResidencial baixa renda – faixa 03Não se aplicaNão se aplicaFora ponta",Mercado_Receita!$L$2:$L$604)+SUMIF(Mercado_Receita!$S$2:$S$604,"44713B1ConvencionalResidencialResidencial baixa renda – faixa 03Não se aplicaNão se aplicaIntermediário",Mercado_Receita!$L$2:$L$604)+SUMIF(Mercado_Receita!$S$2:$S$604,"44713B1ConvencionalResidencialResidencial baixa renda – faixa 03Não se aplicaNão se aplicaNão se aplica",Mercado_Receita!$L$2:$L$604)</f>
        <v>18.413</v>
      </c>
      <c r="T24" s="13">
        <f>SUMIF(Mercado_Receita!$S$2:$S$604,"44743B1ConvencionalResidencialResidencial baixa renda – faixa 03Não se aplicaNão se aplicaPonta",Mercado_Receita!$L$2:$L$604)+SUMIF(Mercado_Receita!$S$2:$S$604,"44743B1ConvencionalResidencialResidencial baixa renda – faixa 03Não se aplicaNão se aplicaFora ponta",Mercado_Receita!$L$2:$L$604)+SUMIF(Mercado_Receita!$S$2:$S$604,"44743B1ConvencionalResidencialResidencial baixa renda – faixa 03Não se aplicaNão se aplicaIntermediário",Mercado_Receita!$L$2:$L$604)+SUMIF(Mercado_Receita!$S$2:$S$604,"44743B1ConvencionalResidencialResidencial baixa renda – faixa 03Não se aplicaNão se aplicaNão se aplica",Mercado_Receita!$L$2:$L$604)</f>
        <v>20.666</v>
      </c>
      <c r="U24" s="13">
        <f t="shared" si="0"/>
        <v>248.52100000000002</v>
      </c>
      <c r="V24" s="13"/>
      <c r="W24" s="13"/>
    </row>
    <row r="25" spans="1:23" ht="11.25" customHeight="1" x14ac:dyDescent="0.3">
      <c r="A25" s="129"/>
      <c r="B25" s="129"/>
      <c r="C25" s="129"/>
      <c r="D25" s="12" t="s">
        <v>31</v>
      </c>
      <c r="E25" s="12" t="s">
        <v>25</v>
      </c>
      <c r="F25" s="12" t="s">
        <v>25</v>
      </c>
      <c r="G25" s="13" t="s">
        <v>84</v>
      </c>
      <c r="H25" s="13" t="s">
        <v>78</v>
      </c>
      <c r="I25" s="13">
        <f>SUMIF(Mercado_Receita!$S$2:$S$604,"44409B1ConvencionalResidencialResidencial baixa renda – faixa 04Não se aplicaNão se aplicaPonta",Mercado_Receita!$L$2:$L$604)+SUMIF(Mercado_Receita!$S$2:$S$604,"44409B1ConvencionalResidencialResidencial baixa renda – faixa 04Não se aplicaNão se aplicaFora ponta",Mercado_Receita!$L$2:$L$604)+SUMIF(Mercado_Receita!$S$2:$S$604,"44409B1ConvencionalResidencialResidencial baixa renda – faixa 04Não se aplicaNão se aplicaIntermediário",Mercado_Receita!$L$2:$L$604)+SUMIF(Mercado_Receita!$S$2:$S$604,"44409B1ConvencionalResidencialResidencial baixa renda – faixa 04Não se aplicaNão se aplicaNão se aplica",Mercado_Receita!$L$2:$L$604)</f>
        <v>5.9829999999999997</v>
      </c>
      <c r="J25" s="13">
        <f>SUMIF(Mercado_Receita!$S$2:$S$604,"44440B1ConvencionalResidencialResidencial baixa renda – faixa 04Não se aplicaNão se aplicaPonta",Mercado_Receita!$L$2:$L$604)+SUMIF(Mercado_Receita!$S$2:$S$604,"44440B1ConvencionalResidencialResidencial baixa renda – faixa 04Não se aplicaNão se aplicaFora ponta",Mercado_Receita!$L$2:$L$604)+SUMIF(Mercado_Receita!$S$2:$S$604,"44440B1ConvencionalResidencialResidencial baixa renda – faixa 04Não se aplicaNão se aplicaIntermediário",Mercado_Receita!$L$2:$L$604)+SUMIF(Mercado_Receita!$S$2:$S$604,"44440B1ConvencionalResidencialResidencial baixa renda – faixa 04Não se aplicaNão se aplicaNão se aplica",Mercado_Receita!$L$2:$L$604)</f>
        <v>7.6020000000000003</v>
      </c>
      <c r="K25" s="13">
        <f>SUMIF(Mercado_Receita!$S$2:$S$604,"44470B1ConvencionalResidencialResidencial baixa renda – faixa 04Não se aplicaNão se aplicaPonta",Mercado_Receita!$L$2:$L$604)+SUMIF(Mercado_Receita!$S$2:$S$604,"44470B1ConvencionalResidencialResidencial baixa renda – faixa 04Não se aplicaNão se aplicaFora ponta",Mercado_Receita!$L$2:$L$604)+SUMIF(Mercado_Receita!$S$2:$S$604,"44470B1ConvencionalResidencialResidencial baixa renda – faixa 04Não se aplicaNão se aplicaIntermediário",Mercado_Receita!$L$2:$L$604)+SUMIF(Mercado_Receita!$S$2:$S$604,"44470B1ConvencionalResidencialResidencial baixa renda – faixa 04Não se aplicaNão se aplicaNão se aplica",Mercado_Receita!$L$2:$L$604)</f>
        <v>4.5890000000000004</v>
      </c>
      <c r="L25" s="13">
        <f>SUMIF(Mercado_Receita!$S$2:$S$604,"44501B1ConvencionalResidencialResidencial baixa renda – faixa 04Não se aplicaNão se aplicaPonta",Mercado_Receita!$L$2:$L$604)+SUMIF(Mercado_Receita!$S$2:$S$604,"44501B1ConvencionalResidencialResidencial baixa renda – faixa 04Não se aplicaNão se aplicaFora ponta",Mercado_Receita!$L$2:$L$604)+SUMIF(Mercado_Receita!$S$2:$S$604,"44501B1ConvencionalResidencialResidencial baixa renda – faixa 04Não se aplicaNão se aplicaIntermediário",Mercado_Receita!$L$2:$L$604)+SUMIF(Mercado_Receita!$S$2:$S$604,"44501B1ConvencionalResidencialResidencial baixa renda – faixa 04Não se aplicaNão se aplicaNão se aplica",Mercado_Receita!$L$2:$L$604)</f>
        <v>3.7509999999999999</v>
      </c>
      <c r="M25" s="13">
        <f>SUMIF(Mercado_Receita!$S$2:$S$604,"44531B1ConvencionalResidencialResidencial baixa renda – faixa 04Não se aplicaNão se aplicaPonta",Mercado_Receita!$L$2:$L$604)+SUMIF(Mercado_Receita!$S$2:$S$604,"44531B1ConvencionalResidencialResidencial baixa renda – faixa 04Não se aplicaNão se aplicaFora ponta",Mercado_Receita!$L$2:$L$604)+SUMIF(Mercado_Receita!$S$2:$S$604,"44531B1ConvencionalResidencialResidencial baixa renda – faixa 04Não se aplicaNão se aplicaIntermediário",Mercado_Receita!$L$2:$L$604)+SUMIF(Mercado_Receita!$S$2:$S$604,"44531B1ConvencionalResidencialResidencial baixa renda – faixa 04Não se aplicaNão se aplicaNão se aplica",Mercado_Receita!$L$2:$L$604)</f>
        <v>7.5640000000000001</v>
      </c>
      <c r="N25" s="13">
        <f>SUMIF(Mercado_Receita!$S$2:$S$604,"44562B1ConvencionalResidencialResidencial baixa renda – faixa 04Não se aplicaNão se aplicaPonta",Mercado_Receita!$L$2:$L$604)+SUMIF(Mercado_Receita!$S$2:$S$604,"44562B1ConvencionalResidencialResidencial baixa renda – faixa 04Não se aplicaNão se aplicaFora ponta",Mercado_Receita!$L$2:$L$604)+SUMIF(Mercado_Receita!$S$2:$S$604,"44562B1ConvencionalResidencialResidencial baixa renda – faixa 04Não se aplicaNão se aplicaIntermediário",Mercado_Receita!$L$2:$L$604)+SUMIF(Mercado_Receita!$S$2:$S$604,"44562B1ConvencionalResidencialResidencial baixa renda – faixa 04Não se aplicaNão se aplicaNão se aplica",Mercado_Receita!$L$2:$L$604)</f>
        <v>6.6920000000000002</v>
      </c>
      <c r="O25" s="13">
        <f>SUMIF(Mercado_Receita!$S$2:$S$604,"44593B1ConvencionalResidencialResidencial baixa renda – faixa 04Não se aplicaNão se aplicaPonta",Mercado_Receita!$L$2:$L$604)+SUMIF(Mercado_Receita!$S$2:$S$604,"44593B1ConvencionalResidencialResidencial baixa renda – faixa 04Não se aplicaNão se aplicaFora ponta",Mercado_Receita!$L$2:$L$604)+SUMIF(Mercado_Receita!$S$2:$S$604,"44593B1ConvencionalResidencialResidencial baixa renda – faixa 04Não se aplicaNão se aplicaIntermediário",Mercado_Receita!$L$2:$L$604)+SUMIF(Mercado_Receita!$S$2:$S$604,"44593B1ConvencionalResidencialResidencial baixa renda – faixa 04Não se aplicaNão se aplicaNão se aplica",Mercado_Receita!$L$2:$L$604)</f>
        <v>15.93</v>
      </c>
      <c r="P25" s="13">
        <f>SUMIF(Mercado_Receita!$S$2:$S$604,"44621B1ConvencionalResidencialResidencial baixa renda – faixa 04Não se aplicaNão se aplicaPonta",Mercado_Receita!$L$2:$L$604)+SUMIF(Mercado_Receita!$S$2:$S$604,"44621B1ConvencionalResidencialResidencial baixa renda – faixa 04Não se aplicaNão se aplicaFora ponta",Mercado_Receita!$L$2:$L$604)+SUMIF(Mercado_Receita!$S$2:$S$604,"44621B1ConvencionalResidencialResidencial baixa renda – faixa 04Não se aplicaNão se aplicaIntermediário",Mercado_Receita!$L$2:$L$604)+SUMIF(Mercado_Receita!$S$2:$S$604,"44621B1ConvencionalResidencialResidencial baixa renda – faixa 04Não se aplicaNão se aplicaNão se aplica",Mercado_Receita!$L$2:$L$604)</f>
        <v>12.44</v>
      </c>
      <c r="Q25" s="13">
        <f>SUMIF(Mercado_Receita!$S$2:$S$604,"44652B1ConvencionalResidencialResidencial baixa renda – faixa 04Não se aplicaNão se aplicaPonta",Mercado_Receita!$L$2:$L$604)+SUMIF(Mercado_Receita!$S$2:$S$604,"44652B1ConvencionalResidencialResidencial baixa renda – faixa 04Não se aplicaNão se aplicaFora ponta",Mercado_Receita!$L$2:$L$604)+SUMIF(Mercado_Receita!$S$2:$S$604,"44652B1ConvencionalResidencialResidencial baixa renda – faixa 04Não se aplicaNão se aplicaIntermediário",Mercado_Receita!$L$2:$L$604)+SUMIF(Mercado_Receita!$S$2:$S$604,"44652B1ConvencionalResidencialResidencial baixa renda – faixa 04Não se aplicaNão se aplicaNão se aplica",Mercado_Receita!$L$2:$L$604)</f>
        <v>7.141</v>
      </c>
      <c r="R25" s="13">
        <f>SUMIF(Mercado_Receita!$S$2:$S$604,"44682B1ConvencionalResidencialResidencial baixa renda – faixa 04Não se aplicaNão se aplicaPonta",Mercado_Receita!$L$2:$L$604)+SUMIF(Mercado_Receita!$S$2:$S$604,"44682B1ConvencionalResidencialResidencial baixa renda – faixa 04Não se aplicaNão se aplicaFora ponta",Mercado_Receita!$L$2:$L$604)+SUMIF(Mercado_Receita!$S$2:$S$604,"44682B1ConvencionalResidencialResidencial baixa renda – faixa 04Não se aplicaNão se aplicaIntermediário",Mercado_Receita!$L$2:$L$604)+SUMIF(Mercado_Receita!$S$2:$S$604,"44682B1ConvencionalResidencialResidencial baixa renda – faixa 04Não se aplicaNão se aplicaNão se aplica",Mercado_Receita!$L$2:$L$604)</f>
        <v>5.4130000000000003</v>
      </c>
      <c r="S25" s="13">
        <f>SUMIF(Mercado_Receita!$S$2:$S$604,"44713B1ConvencionalResidencialResidencial baixa renda – faixa 04Não se aplicaNão se aplicaPonta",Mercado_Receita!$L$2:$L$604)+SUMIF(Mercado_Receita!$S$2:$S$604,"44713B1ConvencionalResidencialResidencial baixa renda – faixa 04Não se aplicaNão se aplicaFora ponta",Mercado_Receita!$L$2:$L$604)+SUMIF(Mercado_Receita!$S$2:$S$604,"44713B1ConvencionalResidencialResidencial baixa renda – faixa 04Não se aplicaNão se aplicaIntermediário",Mercado_Receita!$L$2:$L$604)+SUMIF(Mercado_Receita!$S$2:$S$604,"44713B1ConvencionalResidencialResidencial baixa renda – faixa 04Não se aplicaNão se aplicaNão se aplica",Mercado_Receita!$L$2:$L$604)</f>
        <v>6.1180000000000003</v>
      </c>
      <c r="T25" s="13">
        <f>SUMIF(Mercado_Receita!$S$2:$S$604,"44743B1ConvencionalResidencialResidencial baixa renda – faixa 04Não se aplicaNão se aplicaPonta",Mercado_Receita!$L$2:$L$604)+SUMIF(Mercado_Receita!$S$2:$S$604,"44743B1ConvencionalResidencialResidencial baixa renda – faixa 04Não se aplicaNão se aplicaFora ponta",Mercado_Receita!$L$2:$L$604)+SUMIF(Mercado_Receita!$S$2:$S$604,"44743B1ConvencionalResidencialResidencial baixa renda – faixa 04Não se aplicaNão se aplicaIntermediário",Mercado_Receita!$L$2:$L$604)+SUMIF(Mercado_Receita!$S$2:$S$604,"44743B1ConvencionalResidencialResidencial baixa renda – faixa 04Não se aplicaNão se aplicaNão se aplica",Mercado_Receita!$L$2:$L$604)</f>
        <v>8.77</v>
      </c>
      <c r="U25" s="13">
        <f t="shared" si="0"/>
        <v>91.992999999999995</v>
      </c>
      <c r="V25" s="13"/>
      <c r="W25" s="13"/>
    </row>
    <row r="26" spans="1:23" ht="11.25" customHeight="1" x14ac:dyDescent="0.3">
      <c r="A26" s="129"/>
      <c r="B26" s="128" t="s">
        <v>92</v>
      </c>
      <c r="C26" s="128" t="s">
        <v>24</v>
      </c>
      <c r="D26" s="12" t="s">
        <v>24</v>
      </c>
      <c r="E26" s="12" t="s">
        <v>25</v>
      </c>
      <c r="F26" s="12" t="s">
        <v>25</v>
      </c>
      <c r="G26" s="13" t="s">
        <v>84</v>
      </c>
      <c r="H26" s="13" t="s">
        <v>78</v>
      </c>
      <c r="I26" s="13">
        <f>SUMIF(Mercado_Receita!$S$2:$S$604,"44409B1Convencional pré-pagamentoResidencialResidencialNão se aplicaNão se aplicaPonta",Mercado_Receita!$L$2:$L$604)+SUMIF(Mercado_Receita!$S$2:$S$604,"44409B1Convencional pré-pagamentoResidencialResidencialNão se aplicaNão se aplicaFora ponta",Mercado_Receita!$L$2:$L$604)+SUMIF(Mercado_Receita!$S$2:$S$604,"44409B1Convencional pré-pagamentoResidencialResidencialNão se aplicaNão se aplicaIntermediário",Mercado_Receita!$L$2:$L$604)+SUMIF(Mercado_Receita!$S$2:$S$604,"44409B1Convencional pré-pagamentoResidencialResidencialNão se aplicaNão se aplicaNão se aplica",Mercado_Receita!$L$2:$L$604)</f>
        <v>0</v>
      </c>
      <c r="J26" s="13">
        <f>SUMIF(Mercado_Receita!$S$2:$S$604,"44440B1Convencional pré-pagamentoResidencialResidencialNão se aplicaNão se aplicaPonta",Mercado_Receita!$L$2:$L$604)+SUMIF(Mercado_Receita!$S$2:$S$604,"44440B1Convencional pré-pagamentoResidencialResidencialNão se aplicaNão se aplicaFora ponta",Mercado_Receita!$L$2:$L$604)+SUMIF(Mercado_Receita!$S$2:$S$604,"44440B1Convencional pré-pagamentoResidencialResidencialNão se aplicaNão se aplicaIntermediário",Mercado_Receita!$L$2:$L$604)+SUMIF(Mercado_Receita!$S$2:$S$604,"44440B1Convencional pré-pagamentoResidencialResidencialNão se aplicaNão se aplicaNão se aplica",Mercado_Receita!$L$2:$L$604)</f>
        <v>0</v>
      </c>
      <c r="K26" s="13">
        <f>SUMIF(Mercado_Receita!$S$2:$S$604,"44470B1Convencional pré-pagamentoResidencialResidencialNão se aplicaNão se aplicaPonta",Mercado_Receita!$L$2:$L$604)+SUMIF(Mercado_Receita!$S$2:$S$604,"44470B1Convencional pré-pagamentoResidencialResidencialNão se aplicaNão se aplicaFora ponta",Mercado_Receita!$L$2:$L$604)+SUMIF(Mercado_Receita!$S$2:$S$604,"44470B1Convencional pré-pagamentoResidencialResidencialNão se aplicaNão se aplicaIntermediário",Mercado_Receita!$L$2:$L$604)+SUMIF(Mercado_Receita!$S$2:$S$604,"44470B1Convencional pré-pagamentoResidencialResidencialNão se aplicaNão se aplicaNão se aplica",Mercado_Receita!$L$2:$L$604)</f>
        <v>0</v>
      </c>
      <c r="L26" s="13">
        <f>SUMIF(Mercado_Receita!$S$2:$S$604,"44501B1Convencional pré-pagamentoResidencialResidencialNão se aplicaNão se aplicaPonta",Mercado_Receita!$L$2:$L$604)+SUMIF(Mercado_Receita!$S$2:$S$604,"44501B1Convencional pré-pagamentoResidencialResidencialNão se aplicaNão se aplicaFora ponta",Mercado_Receita!$L$2:$L$604)+SUMIF(Mercado_Receita!$S$2:$S$604,"44501B1Convencional pré-pagamentoResidencialResidencialNão se aplicaNão se aplicaIntermediário",Mercado_Receita!$L$2:$L$604)+SUMIF(Mercado_Receita!$S$2:$S$604,"44501B1Convencional pré-pagamentoResidencialResidencialNão se aplicaNão se aplicaNão se aplica",Mercado_Receita!$L$2:$L$604)</f>
        <v>0</v>
      </c>
      <c r="M26" s="13">
        <f>SUMIF(Mercado_Receita!$S$2:$S$604,"44531B1Convencional pré-pagamentoResidencialResidencialNão se aplicaNão se aplicaPonta",Mercado_Receita!$L$2:$L$604)+SUMIF(Mercado_Receita!$S$2:$S$604,"44531B1Convencional pré-pagamentoResidencialResidencialNão se aplicaNão se aplicaFora ponta",Mercado_Receita!$L$2:$L$604)+SUMIF(Mercado_Receita!$S$2:$S$604,"44531B1Convencional pré-pagamentoResidencialResidencialNão se aplicaNão se aplicaIntermediário",Mercado_Receita!$L$2:$L$604)+SUMIF(Mercado_Receita!$S$2:$S$604,"44531B1Convencional pré-pagamentoResidencialResidencialNão se aplicaNão se aplicaNão se aplica",Mercado_Receita!$L$2:$L$604)</f>
        <v>0</v>
      </c>
      <c r="N26" s="13">
        <f>SUMIF(Mercado_Receita!$S$2:$S$604,"44562B1Convencional pré-pagamentoResidencialResidencialNão se aplicaNão se aplicaPonta",Mercado_Receita!$L$2:$L$604)+SUMIF(Mercado_Receita!$S$2:$S$604,"44562B1Convencional pré-pagamentoResidencialResidencialNão se aplicaNão se aplicaFora ponta",Mercado_Receita!$L$2:$L$604)+SUMIF(Mercado_Receita!$S$2:$S$604,"44562B1Convencional pré-pagamentoResidencialResidencialNão se aplicaNão se aplicaIntermediário",Mercado_Receita!$L$2:$L$604)+SUMIF(Mercado_Receita!$S$2:$S$604,"44562B1Convencional pré-pagamentoResidencialResidencialNão se aplicaNão se aplicaNão se aplica",Mercado_Receita!$L$2:$L$604)</f>
        <v>0</v>
      </c>
      <c r="O26" s="13">
        <f>SUMIF(Mercado_Receita!$S$2:$S$604,"44593B1Convencional pré-pagamentoResidencialResidencialNão se aplicaNão se aplicaPonta",Mercado_Receita!$L$2:$L$604)+SUMIF(Mercado_Receita!$S$2:$S$604,"44593B1Convencional pré-pagamentoResidencialResidencialNão se aplicaNão se aplicaFora ponta",Mercado_Receita!$L$2:$L$604)+SUMIF(Mercado_Receita!$S$2:$S$604,"44593B1Convencional pré-pagamentoResidencialResidencialNão se aplicaNão se aplicaIntermediário",Mercado_Receita!$L$2:$L$604)+SUMIF(Mercado_Receita!$S$2:$S$604,"44593B1Convencional pré-pagamentoResidencialResidencialNão se aplicaNão se aplicaNão se aplica",Mercado_Receita!$L$2:$L$604)</f>
        <v>0</v>
      </c>
      <c r="P26" s="13">
        <f>SUMIF(Mercado_Receita!$S$2:$S$604,"44621B1Convencional pré-pagamentoResidencialResidencialNão se aplicaNão se aplicaPonta",Mercado_Receita!$L$2:$L$604)+SUMIF(Mercado_Receita!$S$2:$S$604,"44621B1Convencional pré-pagamentoResidencialResidencialNão se aplicaNão se aplicaFora ponta",Mercado_Receita!$L$2:$L$604)+SUMIF(Mercado_Receita!$S$2:$S$604,"44621B1Convencional pré-pagamentoResidencialResidencialNão se aplicaNão se aplicaIntermediário",Mercado_Receita!$L$2:$L$604)+SUMIF(Mercado_Receita!$S$2:$S$604,"44621B1Convencional pré-pagamentoResidencialResidencialNão se aplicaNão se aplicaNão se aplica",Mercado_Receita!$L$2:$L$604)</f>
        <v>0</v>
      </c>
      <c r="Q26" s="13">
        <f>SUMIF(Mercado_Receita!$S$2:$S$604,"44652B1Convencional pré-pagamentoResidencialResidencialNão se aplicaNão se aplicaPonta",Mercado_Receita!$L$2:$L$604)+SUMIF(Mercado_Receita!$S$2:$S$604,"44652B1Convencional pré-pagamentoResidencialResidencialNão se aplicaNão se aplicaFora ponta",Mercado_Receita!$L$2:$L$604)+SUMIF(Mercado_Receita!$S$2:$S$604,"44652B1Convencional pré-pagamentoResidencialResidencialNão se aplicaNão se aplicaIntermediário",Mercado_Receita!$L$2:$L$604)+SUMIF(Mercado_Receita!$S$2:$S$604,"44652B1Convencional pré-pagamentoResidencialResidencialNão se aplicaNão se aplicaNão se aplica",Mercado_Receita!$L$2:$L$604)</f>
        <v>0</v>
      </c>
      <c r="R26" s="13">
        <f>SUMIF(Mercado_Receita!$S$2:$S$604,"44682B1Convencional pré-pagamentoResidencialResidencialNão se aplicaNão se aplicaPonta",Mercado_Receita!$L$2:$L$604)+SUMIF(Mercado_Receita!$S$2:$S$604,"44682B1Convencional pré-pagamentoResidencialResidencialNão se aplicaNão se aplicaFora ponta",Mercado_Receita!$L$2:$L$604)+SUMIF(Mercado_Receita!$S$2:$S$604,"44682B1Convencional pré-pagamentoResidencialResidencialNão se aplicaNão se aplicaIntermediário",Mercado_Receita!$L$2:$L$604)+SUMIF(Mercado_Receita!$S$2:$S$604,"44682B1Convencional pré-pagamentoResidencialResidencialNão se aplicaNão se aplicaNão se aplica",Mercado_Receita!$L$2:$L$604)</f>
        <v>0</v>
      </c>
      <c r="S26" s="13">
        <f>SUMIF(Mercado_Receita!$S$2:$S$604,"44713B1Convencional pré-pagamentoResidencialResidencialNão se aplicaNão se aplicaPonta",Mercado_Receita!$L$2:$L$604)+SUMIF(Mercado_Receita!$S$2:$S$604,"44713B1Convencional pré-pagamentoResidencialResidencialNão se aplicaNão se aplicaFora ponta",Mercado_Receita!$L$2:$L$604)+SUMIF(Mercado_Receita!$S$2:$S$604,"44713B1Convencional pré-pagamentoResidencialResidencialNão se aplicaNão se aplicaIntermediário",Mercado_Receita!$L$2:$L$604)+SUMIF(Mercado_Receita!$S$2:$S$604,"44713B1Convencional pré-pagamentoResidencialResidencialNão se aplicaNão se aplicaNão se aplica",Mercado_Receita!$L$2:$L$604)</f>
        <v>0</v>
      </c>
      <c r="T26" s="13">
        <f>SUMIF(Mercado_Receita!$S$2:$S$604,"44743B1Convencional pré-pagamentoResidencialResidencialNão se aplicaNão se aplicaPonta",Mercado_Receita!$L$2:$L$604)+SUMIF(Mercado_Receita!$S$2:$S$604,"44743B1Convencional pré-pagamentoResidencialResidencialNão se aplicaNão se aplicaFora ponta",Mercado_Receita!$L$2:$L$604)+SUMIF(Mercado_Receita!$S$2:$S$604,"44743B1Convencional pré-pagamentoResidencialResidencialNão se aplicaNão se aplicaIntermediário",Mercado_Receita!$L$2:$L$604)+SUMIF(Mercado_Receita!$S$2:$S$604,"44743B1Convencional pré-pagamentoResidencialResidencialNão se aplicaNão se aplicaNão se aplica",Mercado_Receita!$L$2:$L$604)</f>
        <v>0</v>
      </c>
      <c r="U26" s="13">
        <f t="shared" si="0"/>
        <v>0</v>
      </c>
      <c r="V26" s="13"/>
      <c r="W26" s="13"/>
    </row>
    <row r="27" spans="1:23" ht="11.25" customHeight="1" x14ac:dyDescent="0.3">
      <c r="A27" s="129"/>
      <c r="B27" s="129"/>
      <c r="C27" s="129"/>
      <c r="D27" s="12" t="s">
        <v>28</v>
      </c>
      <c r="E27" s="12" t="s">
        <v>25</v>
      </c>
      <c r="F27" s="12" t="s">
        <v>25</v>
      </c>
      <c r="G27" s="13" t="s">
        <v>84</v>
      </c>
      <c r="H27" s="13" t="s">
        <v>78</v>
      </c>
      <c r="I27" s="13">
        <f>SUMIF(Mercado_Receita!$S$2:$S$604,"44409B1Convencional pré-pagamentoResidencialResidencial baixa renda – faixa 01Não se aplicaNão se aplicaPonta",Mercado_Receita!$L$2:$L$604)+SUMIF(Mercado_Receita!$S$2:$S$604,"44409B1Convencional pré-pagamentoResidencialResidencial baixa renda – faixa 01Não se aplicaNão se aplicaFora ponta",Mercado_Receita!$L$2:$L$604)+SUMIF(Mercado_Receita!$S$2:$S$604,"44409B1Convencional pré-pagamentoResidencialResidencial baixa renda – faixa 01Não se aplicaNão se aplicaIntermediário",Mercado_Receita!$L$2:$L$604)+SUMIF(Mercado_Receita!$S$2:$S$604,"44409B1Convencional pré-pagamentoResidencialResidencial baixa renda – faixa 01Não se aplicaNão se aplicaNão se aplica",Mercado_Receita!$L$2:$L$604)</f>
        <v>0</v>
      </c>
      <c r="J27" s="13">
        <f>SUMIF(Mercado_Receita!$S$2:$S$604,"44440B1Convencional pré-pagamentoResidencialResidencial baixa renda – faixa 01Não se aplicaNão se aplicaPonta",Mercado_Receita!$L$2:$L$604)+SUMIF(Mercado_Receita!$S$2:$S$604,"44440B1Convencional pré-pagamentoResidencialResidencial baixa renda – faixa 01Não se aplicaNão se aplicaFora ponta",Mercado_Receita!$L$2:$L$604)+SUMIF(Mercado_Receita!$S$2:$S$604,"44440B1Convencional pré-pagamentoResidencialResidencial baixa renda – faixa 01Não se aplicaNão se aplicaIntermediário",Mercado_Receita!$L$2:$L$604)+SUMIF(Mercado_Receita!$S$2:$S$604,"44440B1Convencional pré-pagamentoResidencialResidencial baixa renda – faixa 01Não se aplicaNão se aplicaNão se aplica",Mercado_Receita!$L$2:$L$604)</f>
        <v>0</v>
      </c>
      <c r="K27" s="13">
        <f>SUMIF(Mercado_Receita!$S$2:$S$604,"44470B1Convencional pré-pagamentoResidencialResidencial baixa renda – faixa 01Não se aplicaNão se aplicaPonta",Mercado_Receita!$L$2:$L$604)+SUMIF(Mercado_Receita!$S$2:$S$604,"44470B1Convencional pré-pagamentoResidencialResidencial baixa renda – faixa 01Não se aplicaNão se aplicaFora ponta",Mercado_Receita!$L$2:$L$604)+SUMIF(Mercado_Receita!$S$2:$S$604,"44470B1Convencional pré-pagamentoResidencialResidencial baixa renda – faixa 01Não se aplicaNão se aplicaIntermediário",Mercado_Receita!$L$2:$L$604)+SUMIF(Mercado_Receita!$S$2:$S$604,"44470B1Convencional pré-pagamentoResidencialResidencial baixa renda – faixa 01Não se aplicaNão se aplicaNão se aplica",Mercado_Receita!$L$2:$L$604)</f>
        <v>0</v>
      </c>
      <c r="L27" s="13">
        <f>SUMIF(Mercado_Receita!$S$2:$S$604,"44501B1Convencional pré-pagamentoResidencialResidencial baixa renda – faixa 01Não se aplicaNão se aplicaPonta",Mercado_Receita!$L$2:$L$604)+SUMIF(Mercado_Receita!$S$2:$S$604,"44501B1Convencional pré-pagamentoResidencialResidencial baixa renda – faixa 01Não se aplicaNão se aplicaFora ponta",Mercado_Receita!$L$2:$L$604)+SUMIF(Mercado_Receita!$S$2:$S$604,"44501B1Convencional pré-pagamentoResidencialResidencial baixa renda – faixa 01Não se aplicaNão se aplicaIntermediário",Mercado_Receita!$L$2:$L$604)+SUMIF(Mercado_Receita!$S$2:$S$604,"44501B1Convencional pré-pagamentoResidencialResidencial baixa renda – faixa 01Não se aplicaNão se aplicaNão se aplica",Mercado_Receita!$L$2:$L$604)</f>
        <v>0</v>
      </c>
      <c r="M27" s="13">
        <f>SUMIF(Mercado_Receita!$S$2:$S$604,"44531B1Convencional pré-pagamentoResidencialResidencial baixa renda – faixa 01Não se aplicaNão se aplicaPonta",Mercado_Receita!$L$2:$L$604)+SUMIF(Mercado_Receita!$S$2:$S$604,"44531B1Convencional pré-pagamentoResidencialResidencial baixa renda – faixa 01Não se aplicaNão se aplicaFora ponta",Mercado_Receita!$L$2:$L$604)+SUMIF(Mercado_Receita!$S$2:$S$604,"44531B1Convencional pré-pagamentoResidencialResidencial baixa renda – faixa 01Não se aplicaNão se aplicaIntermediário",Mercado_Receita!$L$2:$L$604)+SUMIF(Mercado_Receita!$S$2:$S$604,"44531B1Convencional pré-pagamentoResidencialResidencial baixa renda – faixa 01Não se aplicaNão se aplicaNão se aplica",Mercado_Receita!$L$2:$L$604)</f>
        <v>0</v>
      </c>
      <c r="N27" s="13">
        <f>SUMIF(Mercado_Receita!$S$2:$S$604,"44562B1Convencional pré-pagamentoResidencialResidencial baixa renda – faixa 01Não se aplicaNão se aplicaPonta",Mercado_Receita!$L$2:$L$604)+SUMIF(Mercado_Receita!$S$2:$S$604,"44562B1Convencional pré-pagamentoResidencialResidencial baixa renda – faixa 01Não se aplicaNão se aplicaFora ponta",Mercado_Receita!$L$2:$L$604)+SUMIF(Mercado_Receita!$S$2:$S$604,"44562B1Convencional pré-pagamentoResidencialResidencial baixa renda – faixa 01Não se aplicaNão se aplicaIntermediário",Mercado_Receita!$L$2:$L$604)+SUMIF(Mercado_Receita!$S$2:$S$604,"44562B1Convencional pré-pagamentoResidencialResidencial baixa renda – faixa 01Não se aplicaNão se aplicaNão se aplica",Mercado_Receita!$L$2:$L$604)</f>
        <v>0</v>
      </c>
      <c r="O27" s="13">
        <f>SUMIF(Mercado_Receita!$S$2:$S$604,"44593B1Convencional pré-pagamentoResidencialResidencial baixa renda – faixa 01Não se aplicaNão se aplicaPonta",Mercado_Receita!$L$2:$L$604)+SUMIF(Mercado_Receita!$S$2:$S$604,"44593B1Convencional pré-pagamentoResidencialResidencial baixa renda – faixa 01Não se aplicaNão se aplicaFora ponta",Mercado_Receita!$L$2:$L$604)+SUMIF(Mercado_Receita!$S$2:$S$604,"44593B1Convencional pré-pagamentoResidencialResidencial baixa renda – faixa 01Não se aplicaNão se aplicaIntermediário",Mercado_Receita!$L$2:$L$604)+SUMIF(Mercado_Receita!$S$2:$S$604,"44593B1Convencional pré-pagamentoResidencialResidencial baixa renda – faixa 01Não se aplicaNão se aplicaNão se aplica",Mercado_Receita!$L$2:$L$604)</f>
        <v>0</v>
      </c>
      <c r="P27" s="13">
        <f>SUMIF(Mercado_Receita!$S$2:$S$604,"44621B1Convencional pré-pagamentoResidencialResidencial baixa renda – faixa 01Não se aplicaNão se aplicaPonta",Mercado_Receita!$L$2:$L$604)+SUMIF(Mercado_Receita!$S$2:$S$604,"44621B1Convencional pré-pagamentoResidencialResidencial baixa renda – faixa 01Não se aplicaNão se aplicaFora ponta",Mercado_Receita!$L$2:$L$604)+SUMIF(Mercado_Receita!$S$2:$S$604,"44621B1Convencional pré-pagamentoResidencialResidencial baixa renda – faixa 01Não se aplicaNão se aplicaIntermediário",Mercado_Receita!$L$2:$L$604)+SUMIF(Mercado_Receita!$S$2:$S$604,"44621B1Convencional pré-pagamentoResidencialResidencial baixa renda – faixa 01Não se aplicaNão se aplicaNão se aplica",Mercado_Receita!$L$2:$L$604)</f>
        <v>0</v>
      </c>
      <c r="Q27" s="13">
        <f>SUMIF(Mercado_Receita!$S$2:$S$604,"44652B1Convencional pré-pagamentoResidencialResidencial baixa renda – faixa 01Não se aplicaNão se aplicaPonta",Mercado_Receita!$L$2:$L$604)+SUMIF(Mercado_Receita!$S$2:$S$604,"44652B1Convencional pré-pagamentoResidencialResidencial baixa renda – faixa 01Não se aplicaNão se aplicaFora ponta",Mercado_Receita!$L$2:$L$604)+SUMIF(Mercado_Receita!$S$2:$S$604,"44652B1Convencional pré-pagamentoResidencialResidencial baixa renda – faixa 01Não se aplicaNão se aplicaIntermediário",Mercado_Receita!$L$2:$L$604)+SUMIF(Mercado_Receita!$S$2:$S$604,"44652B1Convencional pré-pagamentoResidencialResidencial baixa renda – faixa 01Não se aplicaNão se aplicaNão se aplica",Mercado_Receita!$L$2:$L$604)</f>
        <v>0</v>
      </c>
      <c r="R27" s="13">
        <f>SUMIF(Mercado_Receita!$S$2:$S$604,"44682B1Convencional pré-pagamentoResidencialResidencial baixa renda – faixa 01Não se aplicaNão se aplicaPonta",Mercado_Receita!$L$2:$L$604)+SUMIF(Mercado_Receita!$S$2:$S$604,"44682B1Convencional pré-pagamentoResidencialResidencial baixa renda – faixa 01Não se aplicaNão se aplicaFora ponta",Mercado_Receita!$L$2:$L$604)+SUMIF(Mercado_Receita!$S$2:$S$604,"44682B1Convencional pré-pagamentoResidencialResidencial baixa renda – faixa 01Não se aplicaNão se aplicaIntermediário",Mercado_Receita!$L$2:$L$604)+SUMIF(Mercado_Receita!$S$2:$S$604,"44682B1Convencional pré-pagamentoResidencialResidencial baixa renda – faixa 01Não se aplicaNão se aplicaNão se aplica",Mercado_Receita!$L$2:$L$604)</f>
        <v>0</v>
      </c>
      <c r="S27" s="13">
        <f>SUMIF(Mercado_Receita!$S$2:$S$604,"44713B1Convencional pré-pagamentoResidencialResidencial baixa renda – faixa 01Não se aplicaNão se aplicaPonta",Mercado_Receita!$L$2:$L$604)+SUMIF(Mercado_Receita!$S$2:$S$604,"44713B1Convencional pré-pagamentoResidencialResidencial baixa renda – faixa 01Não se aplicaNão se aplicaFora ponta",Mercado_Receita!$L$2:$L$604)+SUMIF(Mercado_Receita!$S$2:$S$604,"44713B1Convencional pré-pagamentoResidencialResidencial baixa renda – faixa 01Não se aplicaNão se aplicaIntermediário",Mercado_Receita!$L$2:$L$604)+SUMIF(Mercado_Receita!$S$2:$S$604,"44713B1Convencional pré-pagamentoResidencialResidencial baixa renda – faixa 01Não se aplicaNão se aplicaNão se aplica",Mercado_Receita!$L$2:$L$604)</f>
        <v>0</v>
      </c>
      <c r="T27" s="13">
        <f>SUMIF(Mercado_Receita!$S$2:$S$604,"44743B1Convencional pré-pagamentoResidencialResidencial baixa renda – faixa 01Não se aplicaNão se aplicaPonta",Mercado_Receita!$L$2:$L$604)+SUMIF(Mercado_Receita!$S$2:$S$604,"44743B1Convencional pré-pagamentoResidencialResidencial baixa renda – faixa 01Não se aplicaNão se aplicaFora ponta",Mercado_Receita!$L$2:$L$604)+SUMIF(Mercado_Receita!$S$2:$S$604,"44743B1Convencional pré-pagamentoResidencialResidencial baixa renda – faixa 01Não se aplicaNão se aplicaIntermediário",Mercado_Receita!$L$2:$L$604)+SUMIF(Mercado_Receita!$S$2:$S$604,"44743B1Convencional pré-pagamentoResidencialResidencial baixa renda – faixa 01Não se aplicaNão se aplicaNão se aplica",Mercado_Receita!$L$2:$L$604)</f>
        <v>0</v>
      </c>
      <c r="U27" s="13">
        <f t="shared" si="0"/>
        <v>0</v>
      </c>
      <c r="V27" s="13"/>
      <c r="W27" s="13"/>
    </row>
    <row r="28" spans="1:23" ht="11.25" customHeight="1" x14ac:dyDescent="0.3">
      <c r="A28" s="129"/>
      <c r="B28" s="129"/>
      <c r="C28" s="129"/>
      <c r="D28" s="12" t="s">
        <v>29</v>
      </c>
      <c r="E28" s="12" t="s">
        <v>25</v>
      </c>
      <c r="F28" s="12" t="s">
        <v>25</v>
      </c>
      <c r="G28" s="13" t="s">
        <v>84</v>
      </c>
      <c r="H28" s="13" t="s">
        <v>78</v>
      </c>
      <c r="I28" s="13">
        <f>SUMIF(Mercado_Receita!$S$2:$S$604,"44409B1Convencional pré-pagamentoResidencialResidencial baixa renda – faixa 02Não se aplicaNão se aplicaPonta",Mercado_Receita!$L$2:$L$604)+SUMIF(Mercado_Receita!$S$2:$S$604,"44409B1Convencional pré-pagamentoResidencialResidencial baixa renda – faixa 02Não se aplicaNão se aplicaFora ponta",Mercado_Receita!$L$2:$L$604)+SUMIF(Mercado_Receita!$S$2:$S$604,"44409B1Convencional pré-pagamentoResidencialResidencial baixa renda – faixa 02Não se aplicaNão se aplicaIntermediário",Mercado_Receita!$L$2:$L$604)+SUMIF(Mercado_Receita!$S$2:$S$604,"44409B1Convencional pré-pagamentoResidencialResidencial baixa renda – faixa 02Não se aplicaNão se aplicaNão se aplica",Mercado_Receita!$L$2:$L$604)</f>
        <v>0</v>
      </c>
      <c r="J28" s="13">
        <f>SUMIF(Mercado_Receita!$S$2:$S$604,"44440B1Convencional pré-pagamentoResidencialResidencial baixa renda – faixa 02Não se aplicaNão se aplicaPonta",Mercado_Receita!$L$2:$L$604)+SUMIF(Mercado_Receita!$S$2:$S$604,"44440B1Convencional pré-pagamentoResidencialResidencial baixa renda – faixa 02Não se aplicaNão se aplicaFora ponta",Mercado_Receita!$L$2:$L$604)+SUMIF(Mercado_Receita!$S$2:$S$604,"44440B1Convencional pré-pagamentoResidencialResidencial baixa renda – faixa 02Não se aplicaNão se aplicaIntermediário",Mercado_Receita!$L$2:$L$604)+SUMIF(Mercado_Receita!$S$2:$S$604,"44440B1Convencional pré-pagamentoResidencialResidencial baixa renda – faixa 02Não se aplicaNão se aplicaNão se aplica",Mercado_Receita!$L$2:$L$604)</f>
        <v>0</v>
      </c>
      <c r="K28" s="13">
        <f>SUMIF(Mercado_Receita!$S$2:$S$604,"44470B1Convencional pré-pagamentoResidencialResidencial baixa renda – faixa 02Não se aplicaNão se aplicaPonta",Mercado_Receita!$L$2:$L$604)+SUMIF(Mercado_Receita!$S$2:$S$604,"44470B1Convencional pré-pagamentoResidencialResidencial baixa renda – faixa 02Não se aplicaNão se aplicaFora ponta",Mercado_Receita!$L$2:$L$604)+SUMIF(Mercado_Receita!$S$2:$S$604,"44470B1Convencional pré-pagamentoResidencialResidencial baixa renda – faixa 02Não se aplicaNão se aplicaIntermediário",Mercado_Receita!$L$2:$L$604)+SUMIF(Mercado_Receita!$S$2:$S$604,"44470B1Convencional pré-pagamentoResidencialResidencial baixa renda – faixa 02Não se aplicaNão se aplicaNão se aplica",Mercado_Receita!$L$2:$L$604)</f>
        <v>0</v>
      </c>
      <c r="L28" s="13">
        <f>SUMIF(Mercado_Receita!$S$2:$S$604,"44501B1Convencional pré-pagamentoResidencialResidencial baixa renda – faixa 02Não se aplicaNão se aplicaPonta",Mercado_Receita!$L$2:$L$604)+SUMIF(Mercado_Receita!$S$2:$S$604,"44501B1Convencional pré-pagamentoResidencialResidencial baixa renda – faixa 02Não se aplicaNão se aplicaFora ponta",Mercado_Receita!$L$2:$L$604)+SUMIF(Mercado_Receita!$S$2:$S$604,"44501B1Convencional pré-pagamentoResidencialResidencial baixa renda – faixa 02Não se aplicaNão se aplicaIntermediário",Mercado_Receita!$L$2:$L$604)+SUMIF(Mercado_Receita!$S$2:$S$604,"44501B1Convencional pré-pagamentoResidencialResidencial baixa renda – faixa 02Não se aplicaNão se aplicaNão se aplica",Mercado_Receita!$L$2:$L$604)</f>
        <v>0</v>
      </c>
      <c r="M28" s="13">
        <f>SUMIF(Mercado_Receita!$S$2:$S$604,"44531B1Convencional pré-pagamentoResidencialResidencial baixa renda – faixa 02Não se aplicaNão se aplicaPonta",Mercado_Receita!$L$2:$L$604)+SUMIF(Mercado_Receita!$S$2:$S$604,"44531B1Convencional pré-pagamentoResidencialResidencial baixa renda – faixa 02Não se aplicaNão se aplicaFora ponta",Mercado_Receita!$L$2:$L$604)+SUMIF(Mercado_Receita!$S$2:$S$604,"44531B1Convencional pré-pagamentoResidencialResidencial baixa renda – faixa 02Não se aplicaNão se aplicaIntermediário",Mercado_Receita!$L$2:$L$604)+SUMIF(Mercado_Receita!$S$2:$S$604,"44531B1Convencional pré-pagamentoResidencialResidencial baixa renda – faixa 02Não se aplicaNão se aplicaNão se aplica",Mercado_Receita!$L$2:$L$604)</f>
        <v>0</v>
      </c>
      <c r="N28" s="13">
        <f>SUMIF(Mercado_Receita!$S$2:$S$604,"44562B1Convencional pré-pagamentoResidencialResidencial baixa renda – faixa 02Não se aplicaNão se aplicaPonta",Mercado_Receita!$L$2:$L$604)+SUMIF(Mercado_Receita!$S$2:$S$604,"44562B1Convencional pré-pagamentoResidencialResidencial baixa renda – faixa 02Não se aplicaNão se aplicaFora ponta",Mercado_Receita!$L$2:$L$604)+SUMIF(Mercado_Receita!$S$2:$S$604,"44562B1Convencional pré-pagamentoResidencialResidencial baixa renda – faixa 02Não se aplicaNão se aplicaIntermediário",Mercado_Receita!$L$2:$L$604)+SUMIF(Mercado_Receita!$S$2:$S$604,"44562B1Convencional pré-pagamentoResidencialResidencial baixa renda – faixa 02Não se aplicaNão se aplicaNão se aplica",Mercado_Receita!$L$2:$L$604)</f>
        <v>0</v>
      </c>
      <c r="O28" s="13">
        <f>SUMIF(Mercado_Receita!$S$2:$S$604,"44593B1Convencional pré-pagamentoResidencialResidencial baixa renda – faixa 02Não se aplicaNão se aplicaPonta",Mercado_Receita!$L$2:$L$604)+SUMIF(Mercado_Receita!$S$2:$S$604,"44593B1Convencional pré-pagamentoResidencialResidencial baixa renda – faixa 02Não se aplicaNão se aplicaFora ponta",Mercado_Receita!$L$2:$L$604)+SUMIF(Mercado_Receita!$S$2:$S$604,"44593B1Convencional pré-pagamentoResidencialResidencial baixa renda – faixa 02Não se aplicaNão se aplicaIntermediário",Mercado_Receita!$L$2:$L$604)+SUMIF(Mercado_Receita!$S$2:$S$604,"44593B1Convencional pré-pagamentoResidencialResidencial baixa renda – faixa 02Não se aplicaNão se aplicaNão se aplica",Mercado_Receita!$L$2:$L$604)</f>
        <v>0</v>
      </c>
      <c r="P28" s="13">
        <f>SUMIF(Mercado_Receita!$S$2:$S$604,"44621B1Convencional pré-pagamentoResidencialResidencial baixa renda – faixa 02Não se aplicaNão se aplicaPonta",Mercado_Receita!$L$2:$L$604)+SUMIF(Mercado_Receita!$S$2:$S$604,"44621B1Convencional pré-pagamentoResidencialResidencial baixa renda – faixa 02Não se aplicaNão se aplicaFora ponta",Mercado_Receita!$L$2:$L$604)+SUMIF(Mercado_Receita!$S$2:$S$604,"44621B1Convencional pré-pagamentoResidencialResidencial baixa renda – faixa 02Não se aplicaNão se aplicaIntermediário",Mercado_Receita!$L$2:$L$604)+SUMIF(Mercado_Receita!$S$2:$S$604,"44621B1Convencional pré-pagamentoResidencialResidencial baixa renda – faixa 02Não se aplicaNão se aplicaNão se aplica",Mercado_Receita!$L$2:$L$604)</f>
        <v>0</v>
      </c>
      <c r="Q28" s="13">
        <f>SUMIF(Mercado_Receita!$S$2:$S$604,"44652B1Convencional pré-pagamentoResidencialResidencial baixa renda – faixa 02Não se aplicaNão se aplicaPonta",Mercado_Receita!$L$2:$L$604)+SUMIF(Mercado_Receita!$S$2:$S$604,"44652B1Convencional pré-pagamentoResidencialResidencial baixa renda – faixa 02Não se aplicaNão se aplicaFora ponta",Mercado_Receita!$L$2:$L$604)+SUMIF(Mercado_Receita!$S$2:$S$604,"44652B1Convencional pré-pagamentoResidencialResidencial baixa renda – faixa 02Não se aplicaNão se aplicaIntermediário",Mercado_Receita!$L$2:$L$604)+SUMIF(Mercado_Receita!$S$2:$S$604,"44652B1Convencional pré-pagamentoResidencialResidencial baixa renda – faixa 02Não se aplicaNão se aplicaNão se aplica",Mercado_Receita!$L$2:$L$604)</f>
        <v>0</v>
      </c>
      <c r="R28" s="13">
        <f>SUMIF(Mercado_Receita!$S$2:$S$604,"44682B1Convencional pré-pagamentoResidencialResidencial baixa renda – faixa 02Não se aplicaNão se aplicaPonta",Mercado_Receita!$L$2:$L$604)+SUMIF(Mercado_Receita!$S$2:$S$604,"44682B1Convencional pré-pagamentoResidencialResidencial baixa renda – faixa 02Não se aplicaNão se aplicaFora ponta",Mercado_Receita!$L$2:$L$604)+SUMIF(Mercado_Receita!$S$2:$S$604,"44682B1Convencional pré-pagamentoResidencialResidencial baixa renda – faixa 02Não se aplicaNão se aplicaIntermediário",Mercado_Receita!$L$2:$L$604)+SUMIF(Mercado_Receita!$S$2:$S$604,"44682B1Convencional pré-pagamentoResidencialResidencial baixa renda – faixa 02Não se aplicaNão se aplicaNão se aplica",Mercado_Receita!$L$2:$L$604)</f>
        <v>0</v>
      </c>
      <c r="S28" s="13">
        <f>SUMIF(Mercado_Receita!$S$2:$S$604,"44713B1Convencional pré-pagamentoResidencialResidencial baixa renda – faixa 02Não se aplicaNão se aplicaPonta",Mercado_Receita!$L$2:$L$604)+SUMIF(Mercado_Receita!$S$2:$S$604,"44713B1Convencional pré-pagamentoResidencialResidencial baixa renda – faixa 02Não se aplicaNão se aplicaFora ponta",Mercado_Receita!$L$2:$L$604)+SUMIF(Mercado_Receita!$S$2:$S$604,"44713B1Convencional pré-pagamentoResidencialResidencial baixa renda – faixa 02Não se aplicaNão se aplicaIntermediário",Mercado_Receita!$L$2:$L$604)+SUMIF(Mercado_Receita!$S$2:$S$604,"44713B1Convencional pré-pagamentoResidencialResidencial baixa renda – faixa 02Não se aplicaNão se aplicaNão se aplica",Mercado_Receita!$L$2:$L$604)</f>
        <v>0</v>
      </c>
      <c r="T28" s="13">
        <f>SUMIF(Mercado_Receita!$S$2:$S$604,"44743B1Convencional pré-pagamentoResidencialResidencial baixa renda – faixa 02Não se aplicaNão se aplicaPonta",Mercado_Receita!$L$2:$L$604)+SUMIF(Mercado_Receita!$S$2:$S$604,"44743B1Convencional pré-pagamentoResidencialResidencial baixa renda – faixa 02Não se aplicaNão se aplicaFora ponta",Mercado_Receita!$L$2:$L$604)+SUMIF(Mercado_Receita!$S$2:$S$604,"44743B1Convencional pré-pagamentoResidencialResidencial baixa renda – faixa 02Não se aplicaNão se aplicaIntermediário",Mercado_Receita!$L$2:$L$604)+SUMIF(Mercado_Receita!$S$2:$S$604,"44743B1Convencional pré-pagamentoResidencialResidencial baixa renda – faixa 02Não se aplicaNão se aplicaNão se aplica",Mercado_Receita!$L$2:$L$604)</f>
        <v>0</v>
      </c>
      <c r="U28" s="13">
        <f t="shared" si="0"/>
        <v>0</v>
      </c>
      <c r="V28" s="13"/>
      <c r="W28" s="13"/>
    </row>
    <row r="29" spans="1:23" ht="11.25" customHeight="1" x14ac:dyDescent="0.3">
      <c r="A29" s="129"/>
      <c r="B29" s="129"/>
      <c r="C29" s="129"/>
      <c r="D29" s="12" t="s">
        <v>30</v>
      </c>
      <c r="E29" s="12" t="s">
        <v>25</v>
      </c>
      <c r="F29" s="12" t="s">
        <v>25</v>
      </c>
      <c r="G29" s="13" t="s">
        <v>84</v>
      </c>
      <c r="H29" s="13" t="s">
        <v>78</v>
      </c>
      <c r="I29" s="13">
        <f>SUMIF(Mercado_Receita!$S$2:$S$604,"44409B1Convencional pré-pagamentoResidencialResidencial baixa renda – faixa 03Não se aplicaNão se aplicaPonta",Mercado_Receita!$L$2:$L$604)+SUMIF(Mercado_Receita!$S$2:$S$604,"44409B1Convencional pré-pagamentoResidencialResidencial baixa renda – faixa 03Não se aplicaNão se aplicaFora ponta",Mercado_Receita!$L$2:$L$604)+SUMIF(Mercado_Receita!$S$2:$S$604,"44409B1Convencional pré-pagamentoResidencialResidencial baixa renda – faixa 03Não se aplicaNão se aplicaIntermediário",Mercado_Receita!$L$2:$L$604)+SUMIF(Mercado_Receita!$S$2:$S$604,"44409B1Convencional pré-pagamentoResidencialResidencial baixa renda – faixa 03Não se aplicaNão se aplicaNão se aplica",Mercado_Receita!$L$2:$L$604)</f>
        <v>0</v>
      </c>
      <c r="J29" s="13">
        <f>SUMIF(Mercado_Receita!$S$2:$S$604,"44440B1Convencional pré-pagamentoResidencialResidencial baixa renda – faixa 03Não se aplicaNão se aplicaPonta",Mercado_Receita!$L$2:$L$604)+SUMIF(Mercado_Receita!$S$2:$S$604,"44440B1Convencional pré-pagamentoResidencialResidencial baixa renda – faixa 03Não se aplicaNão se aplicaFora ponta",Mercado_Receita!$L$2:$L$604)+SUMIF(Mercado_Receita!$S$2:$S$604,"44440B1Convencional pré-pagamentoResidencialResidencial baixa renda – faixa 03Não se aplicaNão se aplicaIntermediário",Mercado_Receita!$L$2:$L$604)+SUMIF(Mercado_Receita!$S$2:$S$604,"44440B1Convencional pré-pagamentoResidencialResidencial baixa renda – faixa 03Não se aplicaNão se aplicaNão se aplica",Mercado_Receita!$L$2:$L$604)</f>
        <v>0</v>
      </c>
      <c r="K29" s="13">
        <f>SUMIF(Mercado_Receita!$S$2:$S$604,"44470B1Convencional pré-pagamentoResidencialResidencial baixa renda – faixa 03Não se aplicaNão se aplicaPonta",Mercado_Receita!$L$2:$L$604)+SUMIF(Mercado_Receita!$S$2:$S$604,"44470B1Convencional pré-pagamentoResidencialResidencial baixa renda – faixa 03Não se aplicaNão se aplicaFora ponta",Mercado_Receita!$L$2:$L$604)+SUMIF(Mercado_Receita!$S$2:$S$604,"44470B1Convencional pré-pagamentoResidencialResidencial baixa renda – faixa 03Não se aplicaNão se aplicaIntermediário",Mercado_Receita!$L$2:$L$604)+SUMIF(Mercado_Receita!$S$2:$S$604,"44470B1Convencional pré-pagamentoResidencialResidencial baixa renda – faixa 03Não se aplicaNão se aplicaNão se aplica",Mercado_Receita!$L$2:$L$604)</f>
        <v>0</v>
      </c>
      <c r="L29" s="13">
        <f>SUMIF(Mercado_Receita!$S$2:$S$604,"44501B1Convencional pré-pagamentoResidencialResidencial baixa renda – faixa 03Não se aplicaNão se aplicaPonta",Mercado_Receita!$L$2:$L$604)+SUMIF(Mercado_Receita!$S$2:$S$604,"44501B1Convencional pré-pagamentoResidencialResidencial baixa renda – faixa 03Não se aplicaNão se aplicaFora ponta",Mercado_Receita!$L$2:$L$604)+SUMIF(Mercado_Receita!$S$2:$S$604,"44501B1Convencional pré-pagamentoResidencialResidencial baixa renda – faixa 03Não se aplicaNão se aplicaIntermediário",Mercado_Receita!$L$2:$L$604)+SUMIF(Mercado_Receita!$S$2:$S$604,"44501B1Convencional pré-pagamentoResidencialResidencial baixa renda – faixa 03Não se aplicaNão se aplicaNão se aplica",Mercado_Receita!$L$2:$L$604)</f>
        <v>0</v>
      </c>
      <c r="M29" s="13">
        <f>SUMIF(Mercado_Receita!$S$2:$S$604,"44531B1Convencional pré-pagamentoResidencialResidencial baixa renda – faixa 03Não se aplicaNão se aplicaPonta",Mercado_Receita!$L$2:$L$604)+SUMIF(Mercado_Receita!$S$2:$S$604,"44531B1Convencional pré-pagamentoResidencialResidencial baixa renda – faixa 03Não se aplicaNão se aplicaFora ponta",Mercado_Receita!$L$2:$L$604)+SUMIF(Mercado_Receita!$S$2:$S$604,"44531B1Convencional pré-pagamentoResidencialResidencial baixa renda – faixa 03Não se aplicaNão se aplicaIntermediário",Mercado_Receita!$L$2:$L$604)+SUMIF(Mercado_Receita!$S$2:$S$604,"44531B1Convencional pré-pagamentoResidencialResidencial baixa renda – faixa 03Não se aplicaNão se aplicaNão se aplica",Mercado_Receita!$L$2:$L$604)</f>
        <v>0</v>
      </c>
      <c r="N29" s="13">
        <f>SUMIF(Mercado_Receita!$S$2:$S$604,"44562B1Convencional pré-pagamentoResidencialResidencial baixa renda – faixa 03Não se aplicaNão se aplicaPonta",Mercado_Receita!$L$2:$L$604)+SUMIF(Mercado_Receita!$S$2:$S$604,"44562B1Convencional pré-pagamentoResidencialResidencial baixa renda – faixa 03Não se aplicaNão se aplicaFora ponta",Mercado_Receita!$L$2:$L$604)+SUMIF(Mercado_Receita!$S$2:$S$604,"44562B1Convencional pré-pagamentoResidencialResidencial baixa renda – faixa 03Não se aplicaNão se aplicaIntermediário",Mercado_Receita!$L$2:$L$604)+SUMIF(Mercado_Receita!$S$2:$S$604,"44562B1Convencional pré-pagamentoResidencialResidencial baixa renda – faixa 03Não se aplicaNão se aplicaNão se aplica",Mercado_Receita!$L$2:$L$604)</f>
        <v>0</v>
      </c>
      <c r="O29" s="13">
        <f>SUMIF(Mercado_Receita!$S$2:$S$604,"44593B1Convencional pré-pagamentoResidencialResidencial baixa renda – faixa 03Não se aplicaNão se aplicaPonta",Mercado_Receita!$L$2:$L$604)+SUMIF(Mercado_Receita!$S$2:$S$604,"44593B1Convencional pré-pagamentoResidencialResidencial baixa renda – faixa 03Não se aplicaNão se aplicaFora ponta",Mercado_Receita!$L$2:$L$604)+SUMIF(Mercado_Receita!$S$2:$S$604,"44593B1Convencional pré-pagamentoResidencialResidencial baixa renda – faixa 03Não se aplicaNão se aplicaIntermediário",Mercado_Receita!$L$2:$L$604)+SUMIF(Mercado_Receita!$S$2:$S$604,"44593B1Convencional pré-pagamentoResidencialResidencial baixa renda – faixa 03Não se aplicaNão se aplicaNão se aplica",Mercado_Receita!$L$2:$L$604)</f>
        <v>0</v>
      </c>
      <c r="P29" s="13">
        <f>SUMIF(Mercado_Receita!$S$2:$S$604,"44621B1Convencional pré-pagamentoResidencialResidencial baixa renda – faixa 03Não se aplicaNão se aplicaPonta",Mercado_Receita!$L$2:$L$604)+SUMIF(Mercado_Receita!$S$2:$S$604,"44621B1Convencional pré-pagamentoResidencialResidencial baixa renda – faixa 03Não se aplicaNão se aplicaFora ponta",Mercado_Receita!$L$2:$L$604)+SUMIF(Mercado_Receita!$S$2:$S$604,"44621B1Convencional pré-pagamentoResidencialResidencial baixa renda – faixa 03Não se aplicaNão se aplicaIntermediário",Mercado_Receita!$L$2:$L$604)+SUMIF(Mercado_Receita!$S$2:$S$604,"44621B1Convencional pré-pagamentoResidencialResidencial baixa renda – faixa 03Não se aplicaNão se aplicaNão se aplica",Mercado_Receita!$L$2:$L$604)</f>
        <v>0</v>
      </c>
      <c r="Q29" s="13">
        <f>SUMIF(Mercado_Receita!$S$2:$S$604,"44652B1Convencional pré-pagamentoResidencialResidencial baixa renda – faixa 03Não se aplicaNão se aplicaPonta",Mercado_Receita!$L$2:$L$604)+SUMIF(Mercado_Receita!$S$2:$S$604,"44652B1Convencional pré-pagamentoResidencialResidencial baixa renda – faixa 03Não se aplicaNão se aplicaFora ponta",Mercado_Receita!$L$2:$L$604)+SUMIF(Mercado_Receita!$S$2:$S$604,"44652B1Convencional pré-pagamentoResidencialResidencial baixa renda – faixa 03Não se aplicaNão se aplicaIntermediário",Mercado_Receita!$L$2:$L$604)+SUMIF(Mercado_Receita!$S$2:$S$604,"44652B1Convencional pré-pagamentoResidencialResidencial baixa renda – faixa 03Não se aplicaNão se aplicaNão se aplica",Mercado_Receita!$L$2:$L$604)</f>
        <v>0</v>
      </c>
      <c r="R29" s="13">
        <f>SUMIF(Mercado_Receita!$S$2:$S$604,"44682B1Convencional pré-pagamentoResidencialResidencial baixa renda – faixa 03Não se aplicaNão se aplicaPonta",Mercado_Receita!$L$2:$L$604)+SUMIF(Mercado_Receita!$S$2:$S$604,"44682B1Convencional pré-pagamentoResidencialResidencial baixa renda – faixa 03Não se aplicaNão se aplicaFora ponta",Mercado_Receita!$L$2:$L$604)+SUMIF(Mercado_Receita!$S$2:$S$604,"44682B1Convencional pré-pagamentoResidencialResidencial baixa renda – faixa 03Não se aplicaNão se aplicaIntermediário",Mercado_Receita!$L$2:$L$604)+SUMIF(Mercado_Receita!$S$2:$S$604,"44682B1Convencional pré-pagamentoResidencialResidencial baixa renda – faixa 03Não se aplicaNão se aplicaNão se aplica",Mercado_Receita!$L$2:$L$604)</f>
        <v>0</v>
      </c>
      <c r="S29" s="13">
        <f>SUMIF(Mercado_Receita!$S$2:$S$604,"44713B1Convencional pré-pagamentoResidencialResidencial baixa renda – faixa 03Não se aplicaNão se aplicaPonta",Mercado_Receita!$L$2:$L$604)+SUMIF(Mercado_Receita!$S$2:$S$604,"44713B1Convencional pré-pagamentoResidencialResidencial baixa renda – faixa 03Não se aplicaNão se aplicaFora ponta",Mercado_Receita!$L$2:$L$604)+SUMIF(Mercado_Receita!$S$2:$S$604,"44713B1Convencional pré-pagamentoResidencialResidencial baixa renda – faixa 03Não se aplicaNão se aplicaIntermediário",Mercado_Receita!$L$2:$L$604)+SUMIF(Mercado_Receita!$S$2:$S$604,"44713B1Convencional pré-pagamentoResidencialResidencial baixa renda – faixa 03Não se aplicaNão se aplicaNão se aplica",Mercado_Receita!$L$2:$L$604)</f>
        <v>0</v>
      </c>
      <c r="T29" s="13">
        <f>SUMIF(Mercado_Receita!$S$2:$S$604,"44743B1Convencional pré-pagamentoResidencialResidencial baixa renda – faixa 03Não se aplicaNão se aplicaPonta",Mercado_Receita!$L$2:$L$604)+SUMIF(Mercado_Receita!$S$2:$S$604,"44743B1Convencional pré-pagamentoResidencialResidencial baixa renda – faixa 03Não se aplicaNão se aplicaFora ponta",Mercado_Receita!$L$2:$L$604)+SUMIF(Mercado_Receita!$S$2:$S$604,"44743B1Convencional pré-pagamentoResidencialResidencial baixa renda – faixa 03Não se aplicaNão se aplicaIntermediário",Mercado_Receita!$L$2:$L$604)+SUMIF(Mercado_Receita!$S$2:$S$604,"44743B1Convencional pré-pagamentoResidencialResidencial baixa renda – faixa 03Não se aplicaNão se aplicaNão se aplica",Mercado_Receita!$L$2:$L$604)</f>
        <v>0</v>
      </c>
      <c r="U29" s="13">
        <f t="shared" si="0"/>
        <v>0</v>
      </c>
      <c r="V29" s="13"/>
      <c r="W29" s="13"/>
    </row>
    <row r="30" spans="1:23" ht="11.25" customHeight="1" x14ac:dyDescent="0.3">
      <c r="A30" s="129"/>
      <c r="B30" s="129"/>
      <c r="C30" s="129"/>
      <c r="D30" s="12" t="s">
        <v>31</v>
      </c>
      <c r="E30" s="12" t="s">
        <v>25</v>
      </c>
      <c r="F30" s="12" t="s">
        <v>25</v>
      </c>
      <c r="G30" s="13" t="s">
        <v>84</v>
      </c>
      <c r="H30" s="13" t="s">
        <v>78</v>
      </c>
      <c r="I30" s="13">
        <f>SUMIF(Mercado_Receita!$S$2:$S$604,"44409B1Convencional pré-pagamentoResidencialResidencial baixa renda – faixa 04Não se aplicaNão se aplicaPonta",Mercado_Receita!$L$2:$L$604)+SUMIF(Mercado_Receita!$S$2:$S$604,"44409B1Convencional pré-pagamentoResidencialResidencial baixa renda – faixa 04Não se aplicaNão se aplicaFora ponta",Mercado_Receita!$L$2:$L$604)+SUMIF(Mercado_Receita!$S$2:$S$604,"44409B1Convencional pré-pagamentoResidencialResidencial baixa renda – faixa 04Não se aplicaNão se aplicaIntermediário",Mercado_Receita!$L$2:$L$604)+SUMIF(Mercado_Receita!$S$2:$S$604,"44409B1Convencional pré-pagamentoResidencialResidencial baixa renda – faixa 04Não se aplicaNão se aplicaNão se aplica",Mercado_Receita!$L$2:$L$604)</f>
        <v>0</v>
      </c>
      <c r="J30" s="13">
        <f>SUMIF(Mercado_Receita!$S$2:$S$604,"44440B1Convencional pré-pagamentoResidencialResidencial baixa renda – faixa 04Não se aplicaNão se aplicaPonta",Mercado_Receita!$L$2:$L$604)+SUMIF(Mercado_Receita!$S$2:$S$604,"44440B1Convencional pré-pagamentoResidencialResidencial baixa renda – faixa 04Não se aplicaNão se aplicaFora ponta",Mercado_Receita!$L$2:$L$604)+SUMIF(Mercado_Receita!$S$2:$S$604,"44440B1Convencional pré-pagamentoResidencialResidencial baixa renda – faixa 04Não se aplicaNão se aplicaIntermediário",Mercado_Receita!$L$2:$L$604)+SUMIF(Mercado_Receita!$S$2:$S$604,"44440B1Convencional pré-pagamentoResidencialResidencial baixa renda – faixa 04Não se aplicaNão se aplicaNão se aplica",Mercado_Receita!$L$2:$L$604)</f>
        <v>0</v>
      </c>
      <c r="K30" s="13">
        <f>SUMIF(Mercado_Receita!$S$2:$S$604,"44470B1Convencional pré-pagamentoResidencialResidencial baixa renda – faixa 04Não se aplicaNão se aplicaPonta",Mercado_Receita!$L$2:$L$604)+SUMIF(Mercado_Receita!$S$2:$S$604,"44470B1Convencional pré-pagamentoResidencialResidencial baixa renda – faixa 04Não se aplicaNão se aplicaFora ponta",Mercado_Receita!$L$2:$L$604)+SUMIF(Mercado_Receita!$S$2:$S$604,"44470B1Convencional pré-pagamentoResidencialResidencial baixa renda – faixa 04Não se aplicaNão se aplicaIntermediário",Mercado_Receita!$L$2:$L$604)+SUMIF(Mercado_Receita!$S$2:$S$604,"44470B1Convencional pré-pagamentoResidencialResidencial baixa renda – faixa 04Não se aplicaNão se aplicaNão se aplica",Mercado_Receita!$L$2:$L$604)</f>
        <v>0</v>
      </c>
      <c r="L30" s="13">
        <f>SUMIF(Mercado_Receita!$S$2:$S$604,"44501B1Convencional pré-pagamentoResidencialResidencial baixa renda – faixa 04Não se aplicaNão se aplicaPonta",Mercado_Receita!$L$2:$L$604)+SUMIF(Mercado_Receita!$S$2:$S$604,"44501B1Convencional pré-pagamentoResidencialResidencial baixa renda – faixa 04Não se aplicaNão se aplicaFora ponta",Mercado_Receita!$L$2:$L$604)+SUMIF(Mercado_Receita!$S$2:$S$604,"44501B1Convencional pré-pagamentoResidencialResidencial baixa renda – faixa 04Não se aplicaNão se aplicaIntermediário",Mercado_Receita!$L$2:$L$604)+SUMIF(Mercado_Receita!$S$2:$S$604,"44501B1Convencional pré-pagamentoResidencialResidencial baixa renda – faixa 04Não se aplicaNão se aplicaNão se aplica",Mercado_Receita!$L$2:$L$604)</f>
        <v>0</v>
      </c>
      <c r="M30" s="13">
        <f>SUMIF(Mercado_Receita!$S$2:$S$604,"44531B1Convencional pré-pagamentoResidencialResidencial baixa renda – faixa 04Não se aplicaNão se aplicaPonta",Mercado_Receita!$L$2:$L$604)+SUMIF(Mercado_Receita!$S$2:$S$604,"44531B1Convencional pré-pagamentoResidencialResidencial baixa renda – faixa 04Não se aplicaNão se aplicaFora ponta",Mercado_Receita!$L$2:$L$604)+SUMIF(Mercado_Receita!$S$2:$S$604,"44531B1Convencional pré-pagamentoResidencialResidencial baixa renda – faixa 04Não se aplicaNão se aplicaIntermediário",Mercado_Receita!$L$2:$L$604)+SUMIF(Mercado_Receita!$S$2:$S$604,"44531B1Convencional pré-pagamentoResidencialResidencial baixa renda – faixa 04Não se aplicaNão se aplicaNão se aplica",Mercado_Receita!$L$2:$L$604)</f>
        <v>0</v>
      </c>
      <c r="N30" s="13">
        <f>SUMIF(Mercado_Receita!$S$2:$S$604,"44562B1Convencional pré-pagamentoResidencialResidencial baixa renda – faixa 04Não se aplicaNão se aplicaPonta",Mercado_Receita!$L$2:$L$604)+SUMIF(Mercado_Receita!$S$2:$S$604,"44562B1Convencional pré-pagamentoResidencialResidencial baixa renda – faixa 04Não se aplicaNão se aplicaFora ponta",Mercado_Receita!$L$2:$L$604)+SUMIF(Mercado_Receita!$S$2:$S$604,"44562B1Convencional pré-pagamentoResidencialResidencial baixa renda – faixa 04Não se aplicaNão se aplicaIntermediário",Mercado_Receita!$L$2:$L$604)+SUMIF(Mercado_Receita!$S$2:$S$604,"44562B1Convencional pré-pagamentoResidencialResidencial baixa renda – faixa 04Não se aplicaNão se aplicaNão se aplica",Mercado_Receita!$L$2:$L$604)</f>
        <v>0</v>
      </c>
      <c r="O30" s="13">
        <f>SUMIF(Mercado_Receita!$S$2:$S$604,"44593B1Convencional pré-pagamentoResidencialResidencial baixa renda – faixa 04Não se aplicaNão se aplicaPonta",Mercado_Receita!$L$2:$L$604)+SUMIF(Mercado_Receita!$S$2:$S$604,"44593B1Convencional pré-pagamentoResidencialResidencial baixa renda – faixa 04Não se aplicaNão se aplicaFora ponta",Mercado_Receita!$L$2:$L$604)+SUMIF(Mercado_Receita!$S$2:$S$604,"44593B1Convencional pré-pagamentoResidencialResidencial baixa renda – faixa 04Não se aplicaNão se aplicaIntermediário",Mercado_Receita!$L$2:$L$604)+SUMIF(Mercado_Receita!$S$2:$S$604,"44593B1Convencional pré-pagamentoResidencialResidencial baixa renda – faixa 04Não se aplicaNão se aplicaNão se aplica",Mercado_Receita!$L$2:$L$604)</f>
        <v>0</v>
      </c>
      <c r="P30" s="13">
        <f>SUMIF(Mercado_Receita!$S$2:$S$604,"44621B1Convencional pré-pagamentoResidencialResidencial baixa renda – faixa 04Não se aplicaNão se aplicaPonta",Mercado_Receita!$L$2:$L$604)+SUMIF(Mercado_Receita!$S$2:$S$604,"44621B1Convencional pré-pagamentoResidencialResidencial baixa renda – faixa 04Não se aplicaNão se aplicaFora ponta",Mercado_Receita!$L$2:$L$604)+SUMIF(Mercado_Receita!$S$2:$S$604,"44621B1Convencional pré-pagamentoResidencialResidencial baixa renda – faixa 04Não se aplicaNão se aplicaIntermediário",Mercado_Receita!$L$2:$L$604)+SUMIF(Mercado_Receita!$S$2:$S$604,"44621B1Convencional pré-pagamentoResidencialResidencial baixa renda – faixa 04Não se aplicaNão se aplicaNão se aplica",Mercado_Receita!$L$2:$L$604)</f>
        <v>0</v>
      </c>
      <c r="Q30" s="13">
        <f>SUMIF(Mercado_Receita!$S$2:$S$604,"44652B1Convencional pré-pagamentoResidencialResidencial baixa renda – faixa 04Não se aplicaNão se aplicaPonta",Mercado_Receita!$L$2:$L$604)+SUMIF(Mercado_Receita!$S$2:$S$604,"44652B1Convencional pré-pagamentoResidencialResidencial baixa renda – faixa 04Não se aplicaNão se aplicaFora ponta",Mercado_Receita!$L$2:$L$604)+SUMIF(Mercado_Receita!$S$2:$S$604,"44652B1Convencional pré-pagamentoResidencialResidencial baixa renda – faixa 04Não se aplicaNão se aplicaIntermediário",Mercado_Receita!$L$2:$L$604)+SUMIF(Mercado_Receita!$S$2:$S$604,"44652B1Convencional pré-pagamentoResidencialResidencial baixa renda – faixa 04Não se aplicaNão se aplicaNão se aplica",Mercado_Receita!$L$2:$L$604)</f>
        <v>0</v>
      </c>
      <c r="R30" s="13">
        <f>SUMIF(Mercado_Receita!$S$2:$S$604,"44682B1Convencional pré-pagamentoResidencialResidencial baixa renda – faixa 04Não se aplicaNão se aplicaPonta",Mercado_Receita!$L$2:$L$604)+SUMIF(Mercado_Receita!$S$2:$S$604,"44682B1Convencional pré-pagamentoResidencialResidencial baixa renda – faixa 04Não se aplicaNão se aplicaFora ponta",Mercado_Receita!$L$2:$L$604)+SUMIF(Mercado_Receita!$S$2:$S$604,"44682B1Convencional pré-pagamentoResidencialResidencial baixa renda – faixa 04Não se aplicaNão se aplicaIntermediário",Mercado_Receita!$L$2:$L$604)+SUMIF(Mercado_Receita!$S$2:$S$604,"44682B1Convencional pré-pagamentoResidencialResidencial baixa renda – faixa 04Não se aplicaNão se aplicaNão se aplica",Mercado_Receita!$L$2:$L$604)</f>
        <v>0</v>
      </c>
      <c r="S30" s="13">
        <f>SUMIF(Mercado_Receita!$S$2:$S$604,"44713B1Convencional pré-pagamentoResidencialResidencial baixa renda – faixa 04Não se aplicaNão se aplicaPonta",Mercado_Receita!$L$2:$L$604)+SUMIF(Mercado_Receita!$S$2:$S$604,"44713B1Convencional pré-pagamentoResidencialResidencial baixa renda – faixa 04Não se aplicaNão se aplicaFora ponta",Mercado_Receita!$L$2:$L$604)+SUMIF(Mercado_Receita!$S$2:$S$604,"44713B1Convencional pré-pagamentoResidencialResidencial baixa renda – faixa 04Não se aplicaNão se aplicaIntermediário",Mercado_Receita!$L$2:$L$604)+SUMIF(Mercado_Receita!$S$2:$S$604,"44713B1Convencional pré-pagamentoResidencialResidencial baixa renda – faixa 04Não se aplicaNão se aplicaNão se aplica",Mercado_Receita!$L$2:$L$604)</f>
        <v>0</v>
      </c>
      <c r="T30" s="13">
        <f>SUMIF(Mercado_Receita!$S$2:$S$604,"44743B1Convencional pré-pagamentoResidencialResidencial baixa renda – faixa 04Não se aplicaNão se aplicaPonta",Mercado_Receita!$L$2:$L$604)+SUMIF(Mercado_Receita!$S$2:$S$604,"44743B1Convencional pré-pagamentoResidencialResidencial baixa renda – faixa 04Não se aplicaNão se aplicaFora ponta",Mercado_Receita!$L$2:$L$604)+SUMIF(Mercado_Receita!$S$2:$S$604,"44743B1Convencional pré-pagamentoResidencialResidencial baixa renda – faixa 04Não se aplicaNão se aplicaIntermediário",Mercado_Receita!$L$2:$L$604)+SUMIF(Mercado_Receita!$S$2:$S$604,"44743B1Convencional pré-pagamentoResidencialResidencial baixa renda – faixa 04Não se aplicaNão se aplicaNão se aplica",Mercado_Receita!$L$2:$L$604)</f>
        <v>0</v>
      </c>
      <c r="U30" s="13">
        <f t="shared" si="0"/>
        <v>0</v>
      </c>
      <c r="V30" s="13"/>
      <c r="W30" s="13"/>
    </row>
    <row r="31" spans="1:23" ht="11.25" customHeight="1" x14ac:dyDescent="0.3">
      <c r="A31" s="128" t="s">
        <v>41</v>
      </c>
      <c r="B31" s="128" t="s">
        <v>38</v>
      </c>
      <c r="C31" s="128" t="s">
        <v>42</v>
      </c>
      <c r="D31" s="128" t="s">
        <v>25</v>
      </c>
      <c r="E31" s="128" t="s">
        <v>25</v>
      </c>
      <c r="F31" s="128" t="s">
        <v>25</v>
      </c>
      <c r="G31" s="13" t="s">
        <v>79</v>
      </c>
      <c r="H31" s="13" t="s">
        <v>78</v>
      </c>
      <c r="I31" s="13">
        <f>SUMIF(Mercado_Receita!$S$2:$S$604,"44409B2BrancaRuralNão se aplicaNão se aplicaNão se aplicaPonta",Mercado_Receita!$L$2:$L$604)</f>
        <v>0</v>
      </c>
      <c r="J31" s="13">
        <f>SUMIF(Mercado_Receita!$S$2:$S$604,"44440B2BrancaRuralNão se aplicaNão se aplicaNão se aplicaPonta",Mercado_Receita!$L$2:$L$604)</f>
        <v>0</v>
      </c>
      <c r="K31" s="13">
        <f>SUMIF(Mercado_Receita!$S$2:$S$604,"44470B2BrancaRuralNão se aplicaNão se aplicaNão se aplicaPonta",Mercado_Receita!$L$2:$L$604)</f>
        <v>0</v>
      </c>
      <c r="L31" s="13">
        <f>SUMIF(Mercado_Receita!$S$2:$S$604,"44501B2BrancaRuralNão se aplicaNão se aplicaNão se aplicaPonta",Mercado_Receita!$L$2:$L$604)</f>
        <v>0</v>
      </c>
      <c r="M31" s="13">
        <f>SUMIF(Mercado_Receita!$S$2:$S$604,"44531B2BrancaRuralNão se aplicaNão se aplicaNão se aplicaPonta",Mercado_Receita!$L$2:$L$604)</f>
        <v>0</v>
      </c>
      <c r="N31" s="13">
        <f>SUMIF(Mercado_Receita!$S$2:$S$604,"44562B2BrancaRuralNão se aplicaNão se aplicaNão se aplicaPonta",Mercado_Receita!$L$2:$L$604)</f>
        <v>0</v>
      </c>
      <c r="O31" s="13">
        <f>SUMIF(Mercado_Receita!$S$2:$S$604,"44593B2BrancaRuralNão se aplicaNão se aplicaNão se aplicaPonta",Mercado_Receita!$L$2:$L$604)</f>
        <v>0</v>
      </c>
      <c r="P31" s="13">
        <f>SUMIF(Mercado_Receita!$S$2:$S$604,"44621B2BrancaRuralNão se aplicaNão se aplicaNão se aplicaPonta",Mercado_Receita!$L$2:$L$604)</f>
        <v>0</v>
      </c>
      <c r="Q31" s="13">
        <f>SUMIF(Mercado_Receita!$S$2:$S$604,"44652B2BrancaRuralNão se aplicaNão se aplicaNão se aplicaPonta",Mercado_Receita!$L$2:$L$604)</f>
        <v>0</v>
      </c>
      <c r="R31" s="13">
        <f>SUMIF(Mercado_Receita!$S$2:$S$604,"44682B2BrancaRuralNão se aplicaNão se aplicaNão se aplicaPonta",Mercado_Receita!$L$2:$L$604)</f>
        <v>0</v>
      </c>
      <c r="S31" s="13">
        <f>SUMIF(Mercado_Receita!$S$2:$S$604,"44713B2BrancaRuralNão se aplicaNão se aplicaNão se aplicaPonta",Mercado_Receita!$L$2:$L$604)</f>
        <v>0</v>
      </c>
      <c r="T31" s="13">
        <f>SUMIF(Mercado_Receita!$S$2:$S$604,"44743B2BrancaRuralNão se aplicaNão se aplicaNão se aplicaPonta",Mercado_Receita!$L$2:$L$604)</f>
        <v>0</v>
      </c>
      <c r="U31" s="13">
        <f t="shared" si="0"/>
        <v>0</v>
      </c>
      <c r="V31" s="13"/>
      <c r="W31" s="13"/>
    </row>
    <row r="32" spans="1:23" ht="11.25" customHeight="1" x14ac:dyDescent="0.3">
      <c r="A32" s="129"/>
      <c r="B32" s="129"/>
      <c r="C32" s="129"/>
      <c r="D32" s="129"/>
      <c r="E32" s="129"/>
      <c r="F32" s="129"/>
      <c r="G32" s="13" t="s">
        <v>89</v>
      </c>
      <c r="H32" s="13" t="s">
        <v>78</v>
      </c>
      <c r="I32" s="13">
        <f>SUMIF(Mercado_Receita!$S$2:$S$604,"44409B2BrancaRuralNão se aplicaNão se aplicaNão se aplicaIntermediário",Mercado_Receita!$L$2:$L$604)</f>
        <v>0</v>
      </c>
      <c r="J32" s="13">
        <f>SUMIF(Mercado_Receita!$S$2:$S$604,"44440B2BrancaRuralNão se aplicaNão se aplicaNão se aplicaIntermediário",Mercado_Receita!$L$2:$L$604)</f>
        <v>0</v>
      </c>
      <c r="K32" s="13">
        <f>SUMIF(Mercado_Receita!$S$2:$S$604,"44470B2BrancaRuralNão se aplicaNão se aplicaNão se aplicaIntermediário",Mercado_Receita!$L$2:$L$604)</f>
        <v>0</v>
      </c>
      <c r="L32" s="13">
        <f>SUMIF(Mercado_Receita!$S$2:$S$604,"44501B2BrancaRuralNão se aplicaNão se aplicaNão se aplicaIntermediário",Mercado_Receita!$L$2:$L$604)</f>
        <v>0</v>
      </c>
      <c r="M32" s="13">
        <f>SUMIF(Mercado_Receita!$S$2:$S$604,"44531B2BrancaRuralNão se aplicaNão se aplicaNão se aplicaIntermediário",Mercado_Receita!$L$2:$L$604)</f>
        <v>0</v>
      </c>
      <c r="N32" s="13">
        <f>SUMIF(Mercado_Receita!$S$2:$S$604,"44562B2BrancaRuralNão se aplicaNão se aplicaNão se aplicaIntermediário",Mercado_Receita!$L$2:$L$604)</f>
        <v>0</v>
      </c>
      <c r="O32" s="13">
        <f>SUMIF(Mercado_Receita!$S$2:$S$604,"44593B2BrancaRuralNão se aplicaNão se aplicaNão se aplicaIntermediário",Mercado_Receita!$L$2:$L$604)</f>
        <v>0</v>
      </c>
      <c r="P32" s="13">
        <f>SUMIF(Mercado_Receita!$S$2:$S$604,"44621B2BrancaRuralNão se aplicaNão se aplicaNão se aplicaIntermediário",Mercado_Receita!$L$2:$L$604)</f>
        <v>0</v>
      </c>
      <c r="Q32" s="13">
        <f>SUMIF(Mercado_Receita!$S$2:$S$604,"44652B2BrancaRuralNão se aplicaNão se aplicaNão se aplicaIntermediário",Mercado_Receita!$L$2:$L$604)</f>
        <v>0</v>
      </c>
      <c r="R32" s="13">
        <f>SUMIF(Mercado_Receita!$S$2:$S$604,"44682B2BrancaRuralNão se aplicaNão se aplicaNão se aplicaIntermediário",Mercado_Receita!$L$2:$L$604)</f>
        <v>0</v>
      </c>
      <c r="S32" s="13">
        <f>SUMIF(Mercado_Receita!$S$2:$S$604,"44713B2BrancaRuralNão se aplicaNão se aplicaNão se aplicaIntermediário",Mercado_Receita!$L$2:$L$604)</f>
        <v>0</v>
      </c>
      <c r="T32" s="13">
        <f>SUMIF(Mercado_Receita!$S$2:$S$604,"44743B2BrancaRuralNão se aplicaNão se aplicaNão se aplicaIntermediário",Mercado_Receita!$L$2:$L$604)</f>
        <v>0</v>
      </c>
      <c r="U32" s="13">
        <f t="shared" si="0"/>
        <v>0</v>
      </c>
      <c r="V32" s="13"/>
      <c r="W32" s="13"/>
    </row>
    <row r="33" spans="1:23" ht="11.25" customHeight="1" x14ac:dyDescent="0.3">
      <c r="A33" s="129"/>
      <c r="B33" s="129"/>
      <c r="C33" s="129"/>
      <c r="D33" s="129"/>
      <c r="E33" s="129"/>
      <c r="F33" s="129"/>
      <c r="G33" s="13" t="s">
        <v>80</v>
      </c>
      <c r="H33" s="13" t="s">
        <v>78</v>
      </c>
      <c r="I33" s="13">
        <f>SUMIF(Mercado_Receita!$S$2:$S$604,"44409B2BrancaRuralNão se aplicaNão se aplicaNão se aplicaFora ponta",Mercado_Receita!$L$2:$L$604)</f>
        <v>0</v>
      </c>
      <c r="J33" s="13">
        <f>SUMIF(Mercado_Receita!$S$2:$S$604,"44440B2BrancaRuralNão se aplicaNão se aplicaNão se aplicaFora ponta",Mercado_Receita!$L$2:$L$604)</f>
        <v>0</v>
      </c>
      <c r="K33" s="13">
        <f>SUMIF(Mercado_Receita!$S$2:$S$604,"44470B2BrancaRuralNão se aplicaNão se aplicaNão se aplicaFora ponta",Mercado_Receita!$L$2:$L$604)</f>
        <v>0</v>
      </c>
      <c r="L33" s="13">
        <f>SUMIF(Mercado_Receita!$S$2:$S$604,"44501B2BrancaRuralNão se aplicaNão se aplicaNão se aplicaFora ponta",Mercado_Receita!$L$2:$L$604)</f>
        <v>0</v>
      </c>
      <c r="M33" s="13">
        <f>SUMIF(Mercado_Receita!$S$2:$S$604,"44531B2BrancaRuralNão se aplicaNão se aplicaNão se aplicaFora ponta",Mercado_Receita!$L$2:$L$604)</f>
        <v>0</v>
      </c>
      <c r="N33" s="13">
        <f>SUMIF(Mercado_Receita!$S$2:$S$604,"44562B2BrancaRuralNão se aplicaNão se aplicaNão se aplicaFora ponta",Mercado_Receita!$L$2:$L$604)</f>
        <v>0</v>
      </c>
      <c r="O33" s="13">
        <f>SUMIF(Mercado_Receita!$S$2:$S$604,"44593B2BrancaRuralNão se aplicaNão se aplicaNão se aplicaFora ponta",Mercado_Receita!$L$2:$L$604)</f>
        <v>0</v>
      </c>
      <c r="P33" s="13">
        <f>SUMIF(Mercado_Receita!$S$2:$S$604,"44621B2BrancaRuralNão se aplicaNão se aplicaNão se aplicaFora ponta",Mercado_Receita!$L$2:$L$604)</f>
        <v>0</v>
      </c>
      <c r="Q33" s="13">
        <f>SUMIF(Mercado_Receita!$S$2:$S$604,"44652B2BrancaRuralNão se aplicaNão se aplicaNão se aplicaFora ponta",Mercado_Receita!$L$2:$L$604)</f>
        <v>0</v>
      </c>
      <c r="R33" s="13">
        <f>SUMIF(Mercado_Receita!$S$2:$S$604,"44682B2BrancaRuralNão se aplicaNão se aplicaNão se aplicaFora ponta",Mercado_Receita!$L$2:$L$604)</f>
        <v>0</v>
      </c>
      <c r="S33" s="13">
        <f>SUMIF(Mercado_Receita!$S$2:$S$604,"44713B2BrancaRuralNão se aplicaNão se aplicaNão se aplicaFora ponta",Mercado_Receita!$L$2:$L$604)</f>
        <v>0</v>
      </c>
      <c r="T33" s="13">
        <f>SUMIF(Mercado_Receita!$S$2:$S$604,"44743B2BrancaRuralNão se aplicaNão se aplicaNão se aplicaFora ponta",Mercado_Receita!$L$2:$L$604)</f>
        <v>0</v>
      </c>
      <c r="U33" s="13">
        <f t="shared" si="0"/>
        <v>0</v>
      </c>
      <c r="V33" s="13"/>
      <c r="W33" s="13"/>
    </row>
    <row r="34" spans="1:23" ht="11.25" customHeight="1" x14ac:dyDescent="0.3">
      <c r="A34" s="129"/>
      <c r="B34" s="12" t="s">
        <v>23</v>
      </c>
      <c r="C34" s="12" t="s">
        <v>42</v>
      </c>
      <c r="D34" s="12" t="s">
        <v>25</v>
      </c>
      <c r="E34" s="12" t="s">
        <v>25</v>
      </c>
      <c r="F34" s="12" t="s">
        <v>25</v>
      </c>
      <c r="G34" s="13" t="s">
        <v>84</v>
      </c>
      <c r="H34" s="13" t="s">
        <v>78</v>
      </c>
      <c r="I34" s="13">
        <f>SUMIF(Mercado_Receita!$S$2:$S$604,"44409B2ConvencionalRuralNão se aplicaNão se aplicaNão se aplicaPonta",Mercado_Receita!$L$2:$L$604)+SUMIF(Mercado_Receita!$S$2:$S$604,"44409B2ConvencionalRuralNão se aplicaNão se aplicaNão se aplicaFora ponta",Mercado_Receita!$L$2:$L$604)+SUMIF(Mercado_Receita!$S$2:$S$604,"44409B2ConvencionalRuralNão se aplicaNão se aplicaNão se aplicaIntermediário",Mercado_Receita!$L$2:$L$604)+SUMIF(Mercado_Receita!$S$2:$S$604,"44409B2ConvencionalRuralNão se aplicaNão se aplicaNão se aplicaNão se aplica",Mercado_Receita!$L$2:$L$604)</f>
        <v>208.81</v>
      </c>
      <c r="J34" s="13">
        <f>SUMIF(Mercado_Receita!$S$2:$S$604,"44440B2ConvencionalRuralNão se aplicaNão se aplicaNão se aplicaPonta",Mercado_Receita!$L$2:$L$604)+SUMIF(Mercado_Receita!$S$2:$S$604,"44440B2ConvencionalRuralNão se aplicaNão se aplicaNão se aplicaFora ponta",Mercado_Receita!$L$2:$L$604)+SUMIF(Mercado_Receita!$S$2:$S$604,"44440B2ConvencionalRuralNão se aplicaNão se aplicaNão se aplicaIntermediário",Mercado_Receita!$L$2:$L$604)+SUMIF(Mercado_Receita!$S$2:$S$604,"44440B2ConvencionalRuralNão se aplicaNão se aplicaNão se aplicaNão se aplica",Mercado_Receita!$L$2:$L$604)</f>
        <v>238.33499999999998</v>
      </c>
      <c r="K34" s="13">
        <f>SUMIF(Mercado_Receita!$S$2:$S$604,"44470B2ConvencionalRuralNão se aplicaNão se aplicaNão se aplicaPonta",Mercado_Receita!$L$2:$L$604)+SUMIF(Mercado_Receita!$S$2:$S$604,"44470B2ConvencionalRuralNão se aplicaNão se aplicaNão se aplicaFora ponta",Mercado_Receita!$L$2:$L$604)+SUMIF(Mercado_Receita!$S$2:$S$604,"44470B2ConvencionalRuralNão se aplicaNão se aplicaNão se aplicaIntermediário",Mercado_Receita!$L$2:$L$604)+SUMIF(Mercado_Receita!$S$2:$S$604,"44470B2ConvencionalRuralNão se aplicaNão se aplicaNão se aplicaNão se aplica",Mercado_Receita!$L$2:$L$604)</f>
        <v>237.22400000000002</v>
      </c>
      <c r="L34" s="13">
        <f>SUMIF(Mercado_Receita!$S$2:$S$604,"44501B2ConvencionalRuralNão se aplicaNão se aplicaNão se aplicaPonta",Mercado_Receita!$L$2:$L$604)+SUMIF(Mercado_Receita!$S$2:$S$604,"44501B2ConvencionalRuralNão se aplicaNão se aplicaNão se aplicaFora ponta",Mercado_Receita!$L$2:$L$604)+SUMIF(Mercado_Receita!$S$2:$S$604,"44501B2ConvencionalRuralNão se aplicaNão se aplicaNão se aplicaIntermediário",Mercado_Receita!$L$2:$L$604)+SUMIF(Mercado_Receita!$S$2:$S$604,"44501B2ConvencionalRuralNão se aplicaNão se aplicaNão se aplicaNão se aplica",Mercado_Receita!$L$2:$L$604)</f>
        <v>303.029</v>
      </c>
      <c r="M34" s="13">
        <f>SUMIF(Mercado_Receita!$S$2:$S$604,"44531B2ConvencionalRuralNão se aplicaNão se aplicaNão se aplicaPonta",Mercado_Receita!$L$2:$L$604)+SUMIF(Mercado_Receita!$S$2:$S$604,"44531B2ConvencionalRuralNão se aplicaNão se aplicaNão se aplicaFora ponta",Mercado_Receita!$L$2:$L$604)+SUMIF(Mercado_Receita!$S$2:$S$604,"44531B2ConvencionalRuralNão se aplicaNão se aplicaNão se aplicaIntermediário",Mercado_Receita!$L$2:$L$604)+SUMIF(Mercado_Receita!$S$2:$S$604,"44531B2ConvencionalRuralNão se aplicaNão se aplicaNão se aplicaNão se aplica",Mercado_Receita!$L$2:$L$604)</f>
        <v>385.55799999999999</v>
      </c>
      <c r="N34" s="13">
        <f>SUMIF(Mercado_Receita!$S$2:$S$604,"44562B2ConvencionalRuralNão se aplicaNão se aplicaNão se aplicaPonta",Mercado_Receita!$L$2:$L$604)+SUMIF(Mercado_Receita!$S$2:$S$604,"44562B2ConvencionalRuralNão se aplicaNão se aplicaNão se aplicaFora ponta",Mercado_Receita!$L$2:$L$604)+SUMIF(Mercado_Receita!$S$2:$S$604,"44562B2ConvencionalRuralNão se aplicaNão se aplicaNão se aplicaIntermediário",Mercado_Receita!$L$2:$L$604)+SUMIF(Mercado_Receita!$S$2:$S$604,"44562B2ConvencionalRuralNão se aplicaNão se aplicaNão se aplicaNão se aplica",Mercado_Receita!$L$2:$L$604)</f>
        <v>331.70399999999995</v>
      </c>
      <c r="O34" s="13">
        <f>SUMIF(Mercado_Receita!$S$2:$S$604,"44593B2ConvencionalRuralNão se aplicaNão se aplicaNão se aplicaPonta",Mercado_Receita!$L$2:$L$604)+SUMIF(Mercado_Receita!$S$2:$S$604,"44593B2ConvencionalRuralNão se aplicaNão se aplicaNão se aplicaFora ponta",Mercado_Receita!$L$2:$L$604)+SUMIF(Mercado_Receita!$S$2:$S$604,"44593B2ConvencionalRuralNão se aplicaNão se aplicaNão se aplicaIntermediário",Mercado_Receita!$L$2:$L$604)+SUMIF(Mercado_Receita!$S$2:$S$604,"44593B2ConvencionalRuralNão se aplicaNão se aplicaNão se aplicaNão se aplica",Mercado_Receita!$L$2:$L$604)</f>
        <v>317.92200000000003</v>
      </c>
      <c r="P34" s="13">
        <f>SUMIF(Mercado_Receita!$S$2:$S$604,"44621B2ConvencionalRuralNão se aplicaNão se aplicaNão se aplicaPonta",Mercado_Receita!$L$2:$L$604)+SUMIF(Mercado_Receita!$S$2:$S$604,"44621B2ConvencionalRuralNão se aplicaNão se aplicaNão se aplicaFora ponta",Mercado_Receita!$L$2:$L$604)+SUMIF(Mercado_Receita!$S$2:$S$604,"44621B2ConvencionalRuralNão se aplicaNão se aplicaNão se aplicaIntermediário",Mercado_Receita!$L$2:$L$604)+SUMIF(Mercado_Receita!$S$2:$S$604,"44621B2ConvencionalRuralNão se aplicaNão se aplicaNão se aplicaNão se aplica",Mercado_Receita!$L$2:$L$604)</f>
        <v>240.255</v>
      </c>
      <c r="Q34" s="13">
        <f>SUMIF(Mercado_Receita!$S$2:$S$604,"44652B2ConvencionalRuralNão se aplicaNão se aplicaNão se aplicaPonta",Mercado_Receita!$L$2:$L$604)+SUMIF(Mercado_Receita!$S$2:$S$604,"44652B2ConvencionalRuralNão se aplicaNão se aplicaNão se aplicaFora ponta",Mercado_Receita!$L$2:$L$604)+SUMIF(Mercado_Receita!$S$2:$S$604,"44652B2ConvencionalRuralNão se aplicaNão se aplicaNão se aplicaIntermediário",Mercado_Receita!$L$2:$L$604)+SUMIF(Mercado_Receita!$S$2:$S$604,"44652B2ConvencionalRuralNão se aplicaNão se aplicaNão se aplicaNão se aplica",Mercado_Receita!$L$2:$L$604)</f>
        <v>213.54400000000001</v>
      </c>
      <c r="R34" s="13">
        <f>SUMIF(Mercado_Receita!$S$2:$S$604,"44682B2ConvencionalRuralNão se aplicaNão se aplicaNão se aplicaPonta",Mercado_Receita!$L$2:$L$604)+SUMIF(Mercado_Receita!$S$2:$S$604,"44682B2ConvencionalRuralNão se aplicaNão se aplicaNão se aplicaFora ponta",Mercado_Receita!$L$2:$L$604)+SUMIF(Mercado_Receita!$S$2:$S$604,"44682B2ConvencionalRuralNão se aplicaNão se aplicaNão se aplicaIntermediário",Mercado_Receita!$L$2:$L$604)+SUMIF(Mercado_Receita!$S$2:$S$604,"44682B2ConvencionalRuralNão se aplicaNão se aplicaNão se aplicaNão se aplica",Mercado_Receita!$L$2:$L$604)</f>
        <v>197.99</v>
      </c>
      <c r="S34" s="13">
        <f>SUMIF(Mercado_Receita!$S$2:$S$604,"44713B2ConvencionalRuralNão se aplicaNão se aplicaNão se aplicaPonta",Mercado_Receita!$L$2:$L$604)+SUMIF(Mercado_Receita!$S$2:$S$604,"44713B2ConvencionalRuralNão se aplicaNão se aplicaNão se aplicaFora ponta",Mercado_Receita!$L$2:$L$604)+SUMIF(Mercado_Receita!$S$2:$S$604,"44713B2ConvencionalRuralNão se aplicaNão se aplicaNão se aplicaIntermediário",Mercado_Receita!$L$2:$L$604)+SUMIF(Mercado_Receita!$S$2:$S$604,"44713B2ConvencionalRuralNão se aplicaNão se aplicaNão se aplicaNão se aplica",Mercado_Receita!$L$2:$L$604)</f>
        <v>217.16900000000001</v>
      </c>
      <c r="T34" s="13">
        <f>SUMIF(Mercado_Receita!$S$2:$S$604,"44743B2ConvencionalRuralNão se aplicaNão se aplicaNão se aplicaPonta",Mercado_Receita!$L$2:$L$604)+SUMIF(Mercado_Receita!$S$2:$S$604,"44743B2ConvencionalRuralNão se aplicaNão se aplicaNão se aplicaFora ponta",Mercado_Receita!$L$2:$L$604)+SUMIF(Mercado_Receita!$S$2:$S$604,"44743B2ConvencionalRuralNão se aplicaNão se aplicaNão se aplicaIntermediário",Mercado_Receita!$L$2:$L$604)+SUMIF(Mercado_Receita!$S$2:$S$604,"44743B2ConvencionalRuralNão se aplicaNão se aplicaNão se aplicaNão se aplica",Mercado_Receita!$L$2:$L$604)</f>
        <v>221.321</v>
      </c>
      <c r="U34" s="13">
        <f t="shared" ref="U34:U52" si="1">SUM(I34:T34)</f>
        <v>3112.8609999999999</v>
      </c>
      <c r="V34" s="13"/>
      <c r="W34" s="13"/>
    </row>
    <row r="35" spans="1:23" ht="11.25" customHeight="1" x14ac:dyDescent="0.3">
      <c r="A35" s="129"/>
      <c r="B35" s="128" t="s">
        <v>38</v>
      </c>
      <c r="C35" s="128" t="s">
        <v>42</v>
      </c>
      <c r="D35" s="128" t="s">
        <v>93</v>
      </c>
      <c r="E35" s="128" t="s">
        <v>25</v>
      </c>
      <c r="F35" s="128" t="s">
        <v>25</v>
      </c>
      <c r="G35" s="13" t="s">
        <v>79</v>
      </c>
      <c r="H35" s="13" t="s">
        <v>78</v>
      </c>
      <c r="I35" s="13">
        <f>SUMIF(Mercado_Receita!$S$2:$S$604,"44409B2BrancaRuralCooperativa de eletrificação ruralNão se aplicaNão se aplicaPonta",Mercado_Receita!$L$2:$L$604)</f>
        <v>0</v>
      </c>
      <c r="J35" s="13">
        <f>SUMIF(Mercado_Receita!$S$2:$S$604,"44440B2BrancaRuralCooperativa de eletrificação ruralNão se aplicaNão se aplicaPonta",Mercado_Receita!$L$2:$L$604)</f>
        <v>0</v>
      </c>
      <c r="K35" s="13">
        <f>SUMIF(Mercado_Receita!$S$2:$S$604,"44470B2BrancaRuralCooperativa de eletrificação ruralNão se aplicaNão se aplicaPonta",Mercado_Receita!$L$2:$L$604)</f>
        <v>0</v>
      </c>
      <c r="L35" s="13">
        <f>SUMIF(Mercado_Receita!$S$2:$S$604,"44501B2BrancaRuralCooperativa de eletrificação ruralNão se aplicaNão se aplicaPonta",Mercado_Receita!$L$2:$L$604)</f>
        <v>0</v>
      </c>
      <c r="M35" s="13">
        <f>SUMIF(Mercado_Receita!$S$2:$S$604,"44531B2BrancaRuralCooperativa de eletrificação ruralNão se aplicaNão se aplicaPonta",Mercado_Receita!$L$2:$L$604)</f>
        <v>0</v>
      </c>
      <c r="N35" s="13">
        <f>SUMIF(Mercado_Receita!$S$2:$S$604,"44562B2BrancaRuralCooperativa de eletrificação ruralNão se aplicaNão se aplicaPonta",Mercado_Receita!$L$2:$L$604)</f>
        <v>0</v>
      </c>
      <c r="O35" s="13">
        <f>SUMIF(Mercado_Receita!$S$2:$S$604,"44593B2BrancaRuralCooperativa de eletrificação ruralNão se aplicaNão se aplicaPonta",Mercado_Receita!$L$2:$L$604)</f>
        <v>0</v>
      </c>
      <c r="P35" s="13">
        <f>SUMIF(Mercado_Receita!$S$2:$S$604,"44621B2BrancaRuralCooperativa de eletrificação ruralNão se aplicaNão se aplicaPonta",Mercado_Receita!$L$2:$L$604)</f>
        <v>0</v>
      </c>
      <c r="Q35" s="13">
        <f>SUMIF(Mercado_Receita!$S$2:$S$604,"44652B2BrancaRuralCooperativa de eletrificação ruralNão se aplicaNão se aplicaPonta",Mercado_Receita!$L$2:$L$604)</f>
        <v>0</v>
      </c>
      <c r="R35" s="13">
        <f>SUMIF(Mercado_Receita!$S$2:$S$604,"44682B2BrancaRuralCooperativa de eletrificação ruralNão se aplicaNão se aplicaPonta",Mercado_Receita!$L$2:$L$604)</f>
        <v>0</v>
      </c>
      <c r="S35" s="13">
        <f>SUMIF(Mercado_Receita!$S$2:$S$604,"44713B2BrancaRuralCooperativa de eletrificação ruralNão se aplicaNão se aplicaPonta",Mercado_Receita!$L$2:$L$604)</f>
        <v>0</v>
      </c>
      <c r="T35" s="13">
        <f>SUMIF(Mercado_Receita!$S$2:$S$604,"44743B2BrancaRuralCooperativa de eletrificação ruralNão se aplicaNão se aplicaPonta",Mercado_Receita!$L$2:$L$604)</f>
        <v>0</v>
      </c>
      <c r="U35" s="13">
        <f t="shared" si="1"/>
        <v>0</v>
      </c>
      <c r="V35" s="13"/>
      <c r="W35" s="13"/>
    </row>
    <row r="36" spans="1:23" ht="11.25" customHeight="1" x14ac:dyDescent="0.3">
      <c r="A36" s="129"/>
      <c r="B36" s="129"/>
      <c r="C36" s="129"/>
      <c r="D36" s="129"/>
      <c r="E36" s="129"/>
      <c r="F36" s="129"/>
      <c r="G36" s="13" t="s">
        <v>89</v>
      </c>
      <c r="H36" s="13" t="s">
        <v>78</v>
      </c>
      <c r="I36" s="13">
        <f>SUMIF(Mercado_Receita!$S$2:$S$604,"44409B2BrancaRuralCooperativa de eletrificação ruralNão se aplicaNão se aplicaIntermediário",Mercado_Receita!$L$2:$L$604)</f>
        <v>0</v>
      </c>
      <c r="J36" s="13">
        <f>SUMIF(Mercado_Receita!$S$2:$S$604,"44440B2BrancaRuralCooperativa de eletrificação ruralNão se aplicaNão se aplicaIntermediário",Mercado_Receita!$L$2:$L$604)</f>
        <v>0</v>
      </c>
      <c r="K36" s="13">
        <f>SUMIF(Mercado_Receita!$S$2:$S$604,"44470B2BrancaRuralCooperativa de eletrificação ruralNão se aplicaNão se aplicaIntermediário",Mercado_Receita!$L$2:$L$604)</f>
        <v>0</v>
      </c>
      <c r="L36" s="13">
        <f>SUMIF(Mercado_Receita!$S$2:$S$604,"44501B2BrancaRuralCooperativa de eletrificação ruralNão se aplicaNão se aplicaIntermediário",Mercado_Receita!$L$2:$L$604)</f>
        <v>0</v>
      </c>
      <c r="M36" s="13">
        <f>SUMIF(Mercado_Receita!$S$2:$S$604,"44531B2BrancaRuralCooperativa de eletrificação ruralNão se aplicaNão se aplicaIntermediário",Mercado_Receita!$L$2:$L$604)</f>
        <v>0</v>
      </c>
      <c r="N36" s="13">
        <f>SUMIF(Mercado_Receita!$S$2:$S$604,"44562B2BrancaRuralCooperativa de eletrificação ruralNão se aplicaNão se aplicaIntermediário",Mercado_Receita!$L$2:$L$604)</f>
        <v>0</v>
      </c>
      <c r="O36" s="13">
        <f>SUMIF(Mercado_Receita!$S$2:$S$604,"44593B2BrancaRuralCooperativa de eletrificação ruralNão se aplicaNão se aplicaIntermediário",Mercado_Receita!$L$2:$L$604)</f>
        <v>0</v>
      </c>
      <c r="P36" s="13">
        <f>SUMIF(Mercado_Receita!$S$2:$S$604,"44621B2BrancaRuralCooperativa de eletrificação ruralNão se aplicaNão se aplicaIntermediário",Mercado_Receita!$L$2:$L$604)</f>
        <v>0</v>
      </c>
      <c r="Q36" s="13">
        <f>SUMIF(Mercado_Receita!$S$2:$S$604,"44652B2BrancaRuralCooperativa de eletrificação ruralNão se aplicaNão se aplicaIntermediário",Mercado_Receita!$L$2:$L$604)</f>
        <v>0</v>
      </c>
      <c r="R36" s="13">
        <f>SUMIF(Mercado_Receita!$S$2:$S$604,"44682B2BrancaRuralCooperativa de eletrificação ruralNão se aplicaNão se aplicaIntermediário",Mercado_Receita!$L$2:$L$604)</f>
        <v>0</v>
      </c>
      <c r="S36" s="13">
        <f>SUMIF(Mercado_Receita!$S$2:$S$604,"44713B2BrancaRuralCooperativa de eletrificação ruralNão se aplicaNão se aplicaIntermediário",Mercado_Receita!$L$2:$L$604)</f>
        <v>0</v>
      </c>
      <c r="T36" s="13">
        <f>SUMIF(Mercado_Receita!$S$2:$S$604,"44743B2BrancaRuralCooperativa de eletrificação ruralNão se aplicaNão se aplicaIntermediário",Mercado_Receita!$L$2:$L$604)</f>
        <v>0</v>
      </c>
      <c r="U36" s="13">
        <f t="shared" si="1"/>
        <v>0</v>
      </c>
      <c r="V36" s="13"/>
      <c r="W36" s="13"/>
    </row>
    <row r="37" spans="1:23" ht="11.25" customHeight="1" x14ac:dyDescent="0.3">
      <c r="A37" s="129"/>
      <c r="B37" s="129"/>
      <c r="C37" s="129"/>
      <c r="D37" s="129"/>
      <c r="E37" s="129"/>
      <c r="F37" s="129"/>
      <c r="G37" s="13" t="s">
        <v>80</v>
      </c>
      <c r="H37" s="13" t="s">
        <v>78</v>
      </c>
      <c r="I37" s="13">
        <f>SUMIF(Mercado_Receita!$S$2:$S$604,"44409B2BrancaRuralCooperativa de eletrificação ruralNão se aplicaNão se aplicaFora ponta",Mercado_Receita!$L$2:$L$604)</f>
        <v>0</v>
      </c>
      <c r="J37" s="13">
        <f>SUMIF(Mercado_Receita!$S$2:$S$604,"44440B2BrancaRuralCooperativa de eletrificação ruralNão se aplicaNão se aplicaFora ponta",Mercado_Receita!$L$2:$L$604)</f>
        <v>0</v>
      </c>
      <c r="K37" s="13">
        <f>SUMIF(Mercado_Receita!$S$2:$S$604,"44470B2BrancaRuralCooperativa de eletrificação ruralNão se aplicaNão se aplicaFora ponta",Mercado_Receita!$L$2:$L$604)</f>
        <v>0</v>
      </c>
      <c r="L37" s="13">
        <f>SUMIF(Mercado_Receita!$S$2:$S$604,"44501B2BrancaRuralCooperativa de eletrificação ruralNão se aplicaNão se aplicaFora ponta",Mercado_Receita!$L$2:$L$604)</f>
        <v>0</v>
      </c>
      <c r="M37" s="13">
        <f>SUMIF(Mercado_Receita!$S$2:$S$604,"44531B2BrancaRuralCooperativa de eletrificação ruralNão se aplicaNão se aplicaFora ponta",Mercado_Receita!$L$2:$L$604)</f>
        <v>0</v>
      </c>
      <c r="N37" s="13">
        <f>SUMIF(Mercado_Receita!$S$2:$S$604,"44562B2BrancaRuralCooperativa de eletrificação ruralNão se aplicaNão se aplicaFora ponta",Mercado_Receita!$L$2:$L$604)</f>
        <v>0</v>
      </c>
      <c r="O37" s="13">
        <f>SUMIF(Mercado_Receita!$S$2:$S$604,"44593B2BrancaRuralCooperativa de eletrificação ruralNão se aplicaNão se aplicaFora ponta",Mercado_Receita!$L$2:$L$604)</f>
        <v>0</v>
      </c>
      <c r="P37" s="13">
        <f>SUMIF(Mercado_Receita!$S$2:$S$604,"44621B2BrancaRuralCooperativa de eletrificação ruralNão se aplicaNão se aplicaFora ponta",Mercado_Receita!$L$2:$L$604)</f>
        <v>0</v>
      </c>
      <c r="Q37" s="13">
        <f>SUMIF(Mercado_Receita!$S$2:$S$604,"44652B2BrancaRuralCooperativa de eletrificação ruralNão se aplicaNão se aplicaFora ponta",Mercado_Receita!$L$2:$L$604)</f>
        <v>0</v>
      </c>
      <c r="R37" s="13">
        <f>SUMIF(Mercado_Receita!$S$2:$S$604,"44682B2BrancaRuralCooperativa de eletrificação ruralNão se aplicaNão se aplicaFora ponta",Mercado_Receita!$L$2:$L$604)</f>
        <v>0</v>
      </c>
      <c r="S37" s="13">
        <f>SUMIF(Mercado_Receita!$S$2:$S$604,"44713B2BrancaRuralCooperativa de eletrificação ruralNão se aplicaNão se aplicaFora ponta",Mercado_Receita!$L$2:$L$604)</f>
        <v>0</v>
      </c>
      <c r="T37" s="13">
        <f>SUMIF(Mercado_Receita!$S$2:$S$604,"44743B2BrancaRuralCooperativa de eletrificação ruralNão se aplicaNão se aplicaFora ponta",Mercado_Receita!$L$2:$L$604)</f>
        <v>0</v>
      </c>
      <c r="U37" s="13">
        <f t="shared" si="1"/>
        <v>0</v>
      </c>
      <c r="V37" s="13"/>
      <c r="W37" s="13"/>
    </row>
    <row r="38" spans="1:23" ht="11.25" customHeight="1" x14ac:dyDescent="0.3">
      <c r="A38" s="129"/>
      <c r="B38" s="12" t="s">
        <v>23</v>
      </c>
      <c r="C38" s="12" t="s">
        <v>42</v>
      </c>
      <c r="D38" s="12" t="s">
        <v>93</v>
      </c>
      <c r="E38" s="12" t="s">
        <v>25</v>
      </c>
      <c r="F38" s="12" t="s">
        <v>25</v>
      </c>
      <c r="G38" s="13" t="s">
        <v>84</v>
      </c>
      <c r="H38" s="13" t="s">
        <v>78</v>
      </c>
      <c r="I38" s="13">
        <f>SUMIF(Mercado_Receita!$S$2:$S$604,"44409B2ConvencionalRuralCooperativa de eletrificação ruralNão se aplicaNão se aplicaPonta",Mercado_Receita!$L$2:$L$604)+SUMIF(Mercado_Receita!$S$2:$S$604,"44409B2ConvencionalRuralCooperativa de eletrificação ruralNão se aplicaNão se aplicaFora ponta",Mercado_Receita!$L$2:$L$604)+SUMIF(Mercado_Receita!$S$2:$S$604,"44409B2ConvencionalRuralCooperativa de eletrificação ruralNão se aplicaNão se aplicaIntermediário",Mercado_Receita!$L$2:$L$604)+SUMIF(Mercado_Receita!$S$2:$S$604,"44409B2ConvencionalRuralCooperativa de eletrificação ruralNão se aplicaNão se aplicaNão se aplica",Mercado_Receita!$L$2:$L$604)</f>
        <v>0</v>
      </c>
      <c r="J38" s="13">
        <f>SUMIF(Mercado_Receita!$S$2:$S$604,"44440B2ConvencionalRuralCooperativa de eletrificação ruralNão se aplicaNão se aplicaPonta",Mercado_Receita!$L$2:$L$604)+SUMIF(Mercado_Receita!$S$2:$S$604,"44440B2ConvencionalRuralCooperativa de eletrificação ruralNão se aplicaNão se aplicaFora ponta",Mercado_Receita!$L$2:$L$604)+SUMIF(Mercado_Receita!$S$2:$S$604,"44440B2ConvencionalRuralCooperativa de eletrificação ruralNão se aplicaNão se aplicaIntermediário",Mercado_Receita!$L$2:$L$604)+SUMIF(Mercado_Receita!$S$2:$S$604,"44440B2ConvencionalRuralCooperativa de eletrificação ruralNão se aplicaNão se aplicaNão se aplica",Mercado_Receita!$L$2:$L$604)</f>
        <v>0</v>
      </c>
      <c r="K38" s="13">
        <f>SUMIF(Mercado_Receita!$S$2:$S$604,"44470B2ConvencionalRuralCooperativa de eletrificação ruralNão se aplicaNão se aplicaPonta",Mercado_Receita!$L$2:$L$604)+SUMIF(Mercado_Receita!$S$2:$S$604,"44470B2ConvencionalRuralCooperativa de eletrificação ruralNão se aplicaNão se aplicaFora ponta",Mercado_Receita!$L$2:$L$604)+SUMIF(Mercado_Receita!$S$2:$S$604,"44470B2ConvencionalRuralCooperativa de eletrificação ruralNão se aplicaNão se aplicaIntermediário",Mercado_Receita!$L$2:$L$604)+SUMIF(Mercado_Receita!$S$2:$S$604,"44470B2ConvencionalRuralCooperativa de eletrificação ruralNão se aplicaNão se aplicaNão se aplica",Mercado_Receita!$L$2:$L$604)</f>
        <v>0</v>
      </c>
      <c r="L38" s="13">
        <f>SUMIF(Mercado_Receita!$S$2:$S$604,"44501B2ConvencionalRuralCooperativa de eletrificação ruralNão se aplicaNão se aplicaPonta",Mercado_Receita!$L$2:$L$604)+SUMIF(Mercado_Receita!$S$2:$S$604,"44501B2ConvencionalRuralCooperativa de eletrificação ruralNão se aplicaNão se aplicaFora ponta",Mercado_Receita!$L$2:$L$604)+SUMIF(Mercado_Receita!$S$2:$S$604,"44501B2ConvencionalRuralCooperativa de eletrificação ruralNão se aplicaNão se aplicaIntermediário",Mercado_Receita!$L$2:$L$604)+SUMIF(Mercado_Receita!$S$2:$S$604,"44501B2ConvencionalRuralCooperativa de eletrificação ruralNão se aplicaNão se aplicaNão se aplica",Mercado_Receita!$L$2:$L$604)</f>
        <v>0</v>
      </c>
      <c r="M38" s="13">
        <f>SUMIF(Mercado_Receita!$S$2:$S$604,"44531B2ConvencionalRuralCooperativa de eletrificação ruralNão se aplicaNão se aplicaPonta",Mercado_Receita!$L$2:$L$604)+SUMIF(Mercado_Receita!$S$2:$S$604,"44531B2ConvencionalRuralCooperativa de eletrificação ruralNão se aplicaNão se aplicaFora ponta",Mercado_Receita!$L$2:$L$604)+SUMIF(Mercado_Receita!$S$2:$S$604,"44531B2ConvencionalRuralCooperativa de eletrificação ruralNão se aplicaNão se aplicaIntermediário",Mercado_Receita!$L$2:$L$604)+SUMIF(Mercado_Receita!$S$2:$S$604,"44531B2ConvencionalRuralCooperativa de eletrificação ruralNão se aplicaNão se aplicaNão se aplica",Mercado_Receita!$L$2:$L$604)</f>
        <v>0</v>
      </c>
      <c r="N38" s="13">
        <f>SUMIF(Mercado_Receita!$S$2:$S$604,"44562B2ConvencionalRuralCooperativa de eletrificação ruralNão se aplicaNão se aplicaPonta",Mercado_Receita!$L$2:$L$604)+SUMIF(Mercado_Receita!$S$2:$S$604,"44562B2ConvencionalRuralCooperativa de eletrificação ruralNão se aplicaNão se aplicaFora ponta",Mercado_Receita!$L$2:$L$604)+SUMIF(Mercado_Receita!$S$2:$S$604,"44562B2ConvencionalRuralCooperativa de eletrificação ruralNão se aplicaNão se aplicaIntermediário",Mercado_Receita!$L$2:$L$604)+SUMIF(Mercado_Receita!$S$2:$S$604,"44562B2ConvencionalRuralCooperativa de eletrificação ruralNão se aplicaNão se aplicaNão se aplica",Mercado_Receita!$L$2:$L$604)</f>
        <v>0</v>
      </c>
      <c r="O38" s="13">
        <f>SUMIF(Mercado_Receita!$S$2:$S$604,"44593B2ConvencionalRuralCooperativa de eletrificação ruralNão se aplicaNão se aplicaPonta",Mercado_Receita!$L$2:$L$604)+SUMIF(Mercado_Receita!$S$2:$S$604,"44593B2ConvencionalRuralCooperativa de eletrificação ruralNão se aplicaNão se aplicaFora ponta",Mercado_Receita!$L$2:$L$604)+SUMIF(Mercado_Receita!$S$2:$S$604,"44593B2ConvencionalRuralCooperativa de eletrificação ruralNão se aplicaNão se aplicaIntermediário",Mercado_Receita!$L$2:$L$604)+SUMIF(Mercado_Receita!$S$2:$S$604,"44593B2ConvencionalRuralCooperativa de eletrificação ruralNão se aplicaNão se aplicaNão se aplica",Mercado_Receita!$L$2:$L$604)</f>
        <v>0</v>
      </c>
      <c r="P38" s="13">
        <f>SUMIF(Mercado_Receita!$S$2:$S$604,"44621B2ConvencionalRuralCooperativa de eletrificação ruralNão se aplicaNão se aplicaPonta",Mercado_Receita!$L$2:$L$604)+SUMIF(Mercado_Receita!$S$2:$S$604,"44621B2ConvencionalRuralCooperativa de eletrificação ruralNão se aplicaNão se aplicaFora ponta",Mercado_Receita!$L$2:$L$604)+SUMIF(Mercado_Receita!$S$2:$S$604,"44621B2ConvencionalRuralCooperativa de eletrificação ruralNão se aplicaNão se aplicaIntermediário",Mercado_Receita!$L$2:$L$604)+SUMIF(Mercado_Receita!$S$2:$S$604,"44621B2ConvencionalRuralCooperativa de eletrificação ruralNão se aplicaNão se aplicaNão se aplica",Mercado_Receita!$L$2:$L$604)</f>
        <v>0</v>
      </c>
      <c r="Q38" s="13">
        <f>SUMIF(Mercado_Receita!$S$2:$S$604,"44652B2ConvencionalRuralCooperativa de eletrificação ruralNão se aplicaNão se aplicaPonta",Mercado_Receita!$L$2:$L$604)+SUMIF(Mercado_Receita!$S$2:$S$604,"44652B2ConvencionalRuralCooperativa de eletrificação ruralNão se aplicaNão se aplicaFora ponta",Mercado_Receita!$L$2:$L$604)+SUMIF(Mercado_Receita!$S$2:$S$604,"44652B2ConvencionalRuralCooperativa de eletrificação ruralNão se aplicaNão se aplicaIntermediário",Mercado_Receita!$L$2:$L$604)+SUMIF(Mercado_Receita!$S$2:$S$604,"44652B2ConvencionalRuralCooperativa de eletrificação ruralNão se aplicaNão se aplicaNão se aplica",Mercado_Receita!$L$2:$L$604)</f>
        <v>0</v>
      </c>
      <c r="R38" s="13">
        <f>SUMIF(Mercado_Receita!$S$2:$S$604,"44682B2ConvencionalRuralCooperativa de eletrificação ruralNão se aplicaNão se aplicaPonta",Mercado_Receita!$L$2:$L$604)+SUMIF(Mercado_Receita!$S$2:$S$604,"44682B2ConvencionalRuralCooperativa de eletrificação ruralNão se aplicaNão se aplicaFora ponta",Mercado_Receita!$L$2:$L$604)+SUMIF(Mercado_Receita!$S$2:$S$604,"44682B2ConvencionalRuralCooperativa de eletrificação ruralNão se aplicaNão se aplicaIntermediário",Mercado_Receita!$L$2:$L$604)+SUMIF(Mercado_Receita!$S$2:$S$604,"44682B2ConvencionalRuralCooperativa de eletrificação ruralNão se aplicaNão se aplicaNão se aplica",Mercado_Receita!$L$2:$L$604)</f>
        <v>0</v>
      </c>
      <c r="S38" s="13">
        <f>SUMIF(Mercado_Receita!$S$2:$S$604,"44713B2ConvencionalRuralCooperativa de eletrificação ruralNão se aplicaNão se aplicaPonta",Mercado_Receita!$L$2:$L$604)+SUMIF(Mercado_Receita!$S$2:$S$604,"44713B2ConvencionalRuralCooperativa de eletrificação ruralNão se aplicaNão se aplicaFora ponta",Mercado_Receita!$L$2:$L$604)+SUMIF(Mercado_Receita!$S$2:$S$604,"44713B2ConvencionalRuralCooperativa de eletrificação ruralNão se aplicaNão se aplicaIntermediário",Mercado_Receita!$L$2:$L$604)+SUMIF(Mercado_Receita!$S$2:$S$604,"44713B2ConvencionalRuralCooperativa de eletrificação ruralNão se aplicaNão se aplicaNão se aplica",Mercado_Receita!$L$2:$L$604)</f>
        <v>0</v>
      </c>
      <c r="T38" s="13">
        <f>SUMIF(Mercado_Receita!$S$2:$S$604,"44743B2ConvencionalRuralCooperativa de eletrificação ruralNão se aplicaNão se aplicaPonta",Mercado_Receita!$L$2:$L$604)+SUMIF(Mercado_Receita!$S$2:$S$604,"44743B2ConvencionalRuralCooperativa de eletrificação ruralNão se aplicaNão se aplicaFora ponta",Mercado_Receita!$L$2:$L$604)+SUMIF(Mercado_Receita!$S$2:$S$604,"44743B2ConvencionalRuralCooperativa de eletrificação ruralNão se aplicaNão se aplicaIntermediário",Mercado_Receita!$L$2:$L$604)+SUMIF(Mercado_Receita!$S$2:$S$604,"44743B2ConvencionalRuralCooperativa de eletrificação ruralNão se aplicaNão se aplicaNão se aplica",Mercado_Receita!$L$2:$L$604)</f>
        <v>0</v>
      </c>
      <c r="U38" s="13">
        <f t="shared" si="1"/>
        <v>0</v>
      </c>
      <c r="V38" s="13"/>
      <c r="W38" s="13"/>
    </row>
    <row r="39" spans="1:23" ht="11.25" customHeight="1" x14ac:dyDescent="0.3">
      <c r="A39" s="129"/>
      <c r="B39" s="128" t="s">
        <v>38</v>
      </c>
      <c r="C39" s="128" t="s">
        <v>42</v>
      </c>
      <c r="D39" s="128" t="s">
        <v>94</v>
      </c>
      <c r="E39" s="128" t="s">
        <v>25</v>
      </c>
      <c r="F39" s="128" t="s">
        <v>25</v>
      </c>
      <c r="G39" s="13" t="s">
        <v>79</v>
      </c>
      <c r="H39" s="13" t="s">
        <v>78</v>
      </c>
      <c r="I39" s="13">
        <f>SUMIF(Mercado_Receita!$S$2:$S$604,"44409B2BrancaRuralServiço público de irrigação ruralNão se aplicaNão se aplicaPonta",Mercado_Receita!$L$2:$L$604)</f>
        <v>0</v>
      </c>
      <c r="J39" s="13">
        <f>SUMIF(Mercado_Receita!$S$2:$S$604,"44440B2BrancaRuralServiço público de irrigação ruralNão se aplicaNão se aplicaPonta",Mercado_Receita!$L$2:$L$604)</f>
        <v>0</v>
      </c>
      <c r="K39" s="13">
        <f>SUMIF(Mercado_Receita!$S$2:$S$604,"44470B2BrancaRuralServiço público de irrigação ruralNão se aplicaNão se aplicaPonta",Mercado_Receita!$L$2:$L$604)</f>
        <v>0</v>
      </c>
      <c r="L39" s="13">
        <f>SUMIF(Mercado_Receita!$S$2:$S$604,"44501B2BrancaRuralServiço público de irrigação ruralNão se aplicaNão se aplicaPonta",Mercado_Receita!$L$2:$L$604)</f>
        <v>0</v>
      </c>
      <c r="M39" s="13">
        <f>SUMIF(Mercado_Receita!$S$2:$S$604,"44531B2BrancaRuralServiço público de irrigação ruralNão se aplicaNão se aplicaPonta",Mercado_Receita!$L$2:$L$604)</f>
        <v>0</v>
      </c>
      <c r="N39" s="13">
        <f>SUMIF(Mercado_Receita!$S$2:$S$604,"44562B2BrancaRuralServiço público de irrigação ruralNão se aplicaNão se aplicaPonta",Mercado_Receita!$L$2:$L$604)</f>
        <v>0</v>
      </c>
      <c r="O39" s="13">
        <f>SUMIF(Mercado_Receita!$S$2:$S$604,"44593B2BrancaRuralServiço público de irrigação ruralNão se aplicaNão se aplicaPonta",Mercado_Receita!$L$2:$L$604)</f>
        <v>0</v>
      </c>
      <c r="P39" s="13">
        <f>SUMIF(Mercado_Receita!$S$2:$S$604,"44621B2BrancaRuralServiço público de irrigação ruralNão se aplicaNão se aplicaPonta",Mercado_Receita!$L$2:$L$604)</f>
        <v>0</v>
      </c>
      <c r="Q39" s="13">
        <f>SUMIF(Mercado_Receita!$S$2:$S$604,"44652B2BrancaRuralServiço público de irrigação ruralNão se aplicaNão se aplicaPonta",Mercado_Receita!$L$2:$L$604)</f>
        <v>0</v>
      </c>
      <c r="R39" s="13">
        <f>SUMIF(Mercado_Receita!$S$2:$S$604,"44682B2BrancaRuralServiço público de irrigação ruralNão se aplicaNão se aplicaPonta",Mercado_Receita!$L$2:$L$604)</f>
        <v>0</v>
      </c>
      <c r="S39" s="13">
        <f>SUMIF(Mercado_Receita!$S$2:$S$604,"44713B2BrancaRuralServiço público de irrigação ruralNão se aplicaNão se aplicaPonta",Mercado_Receita!$L$2:$L$604)</f>
        <v>0</v>
      </c>
      <c r="T39" s="13">
        <f>SUMIF(Mercado_Receita!$S$2:$S$604,"44743B2BrancaRuralServiço público de irrigação ruralNão se aplicaNão se aplicaPonta",Mercado_Receita!$L$2:$L$604)</f>
        <v>0</v>
      </c>
      <c r="U39" s="13">
        <f t="shared" si="1"/>
        <v>0</v>
      </c>
      <c r="V39" s="13"/>
      <c r="W39" s="13"/>
    </row>
    <row r="40" spans="1:23" ht="11.25" customHeight="1" x14ac:dyDescent="0.3">
      <c r="A40" s="129"/>
      <c r="B40" s="129"/>
      <c r="C40" s="129"/>
      <c r="D40" s="129"/>
      <c r="E40" s="129"/>
      <c r="F40" s="129"/>
      <c r="G40" s="13" t="s">
        <v>89</v>
      </c>
      <c r="H40" s="13" t="s">
        <v>78</v>
      </c>
      <c r="I40" s="13">
        <f>SUMIF(Mercado_Receita!$S$2:$S$604,"44409B2BrancaRuralServiço público de irrigação ruralNão se aplicaNão se aplicaIntermediário",Mercado_Receita!$L$2:$L$604)</f>
        <v>0</v>
      </c>
      <c r="J40" s="13">
        <f>SUMIF(Mercado_Receita!$S$2:$S$604,"44440B2BrancaRuralServiço público de irrigação ruralNão se aplicaNão se aplicaIntermediário",Mercado_Receita!$L$2:$L$604)</f>
        <v>0</v>
      </c>
      <c r="K40" s="13">
        <f>SUMIF(Mercado_Receita!$S$2:$S$604,"44470B2BrancaRuralServiço público de irrigação ruralNão se aplicaNão se aplicaIntermediário",Mercado_Receita!$L$2:$L$604)</f>
        <v>0</v>
      </c>
      <c r="L40" s="13">
        <f>SUMIF(Mercado_Receita!$S$2:$S$604,"44501B2BrancaRuralServiço público de irrigação ruralNão se aplicaNão se aplicaIntermediário",Mercado_Receita!$L$2:$L$604)</f>
        <v>0</v>
      </c>
      <c r="M40" s="13">
        <f>SUMIF(Mercado_Receita!$S$2:$S$604,"44531B2BrancaRuralServiço público de irrigação ruralNão se aplicaNão se aplicaIntermediário",Mercado_Receita!$L$2:$L$604)</f>
        <v>0</v>
      </c>
      <c r="N40" s="13">
        <f>SUMIF(Mercado_Receita!$S$2:$S$604,"44562B2BrancaRuralServiço público de irrigação ruralNão se aplicaNão se aplicaIntermediário",Mercado_Receita!$L$2:$L$604)</f>
        <v>0</v>
      </c>
      <c r="O40" s="13">
        <f>SUMIF(Mercado_Receita!$S$2:$S$604,"44593B2BrancaRuralServiço público de irrigação ruralNão se aplicaNão se aplicaIntermediário",Mercado_Receita!$L$2:$L$604)</f>
        <v>0</v>
      </c>
      <c r="P40" s="13">
        <f>SUMIF(Mercado_Receita!$S$2:$S$604,"44621B2BrancaRuralServiço público de irrigação ruralNão se aplicaNão se aplicaIntermediário",Mercado_Receita!$L$2:$L$604)</f>
        <v>0</v>
      </c>
      <c r="Q40" s="13">
        <f>SUMIF(Mercado_Receita!$S$2:$S$604,"44652B2BrancaRuralServiço público de irrigação ruralNão se aplicaNão se aplicaIntermediário",Mercado_Receita!$L$2:$L$604)</f>
        <v>0</v>
      </c>
      <c r="R40" s="13">
        <f>SUMIF(Mercado_Receita!$S$2:$S$604,"44682B2BrancaRuralServiço público de irrigação ruralNão se aplicaNão se aplicaIntermediário",Mercado_Receita!$L$2:$L$604)</f>
        <v>0</v>
      </c>
      <c r="S40" s="13">
        <f>SUMIF(Mercado_Receita!$S$2:$S$604,"44713B2BrancaRuralServiço público de irrigação ruralNão se aplicaNão se aplicaIntermediário",Mercado_Receita!$L$2:$L$604)</f>
        <v>0</v>
      </c>
      <c r="T40" s="13">
        <f>SUMIF(Mercado_Receita!$S$2:$S$604,"44743B2BrancaRuralServiço público de irrigação ruralNão se aplicaNão se aplicaIntermediário",Mercado_Receita!$L$2:$L$604)</f>
        <v>0</v>
      </c>
      <c r="U40" s="13">
        <f t="shared" si="1"/>
        <v>0</v>
      </c>
      <c r="V40" s="13"/>
      <c r="W40" s="13"/>
    </row>
    <row r="41" spans="1:23" ht="11.25" customHeight="1" x14ac:dyDescent="0.3">
      <c r="A41" s="129"/>
      <c r="B41" s="129"/>
      <c r="C41" s="129"/>
      <c r="D41" s="129"/>
      <c r="E41" s="129"/>
      <c r="F41" s="129"/>
      <c r="G41" s="13" t="s">
        <v>80</v>
      </c>
      <c r="H41" s="13" t="s">
        <v>78</v>
      </c>
      <c r="I41" s="13">
        <f>SUMIF(Mercado_Receita!$S$2:$S$604,"44409B2BrancaRuralServiço público de irrigação ruralNão se aplicaNão se aplicaFora ponta",Mercado_Receita!$L$2:$L$604)</f>
        <v>0</v>
      </c>
      <c r="J41" s="13">
        <f>SUMIF(Mercado_Receita!$S$2:$S$604,"44440B2BrancaRuralServiço público de irrigação ruralNão se aplicaNão se aplicaFora ponta",Mercado_Receita!$L$2:$L$604)</f>
        <v>0</v>
      </c>
      <c r="K41" s="13">
        <f>SUMIF(Mercado_Receita!$S$2:$S$604,"44470B2BrancaRuralServiço público de irrigação ruralNão se aplicaNão se aplicaFora ponta",Mercado_Receita!$L$2:$L$604)</f>
        <v>0</v>
      </c>
      <c r="L41" s="13">
        <f>SUMIF(Mercado_Receita!$S$2:$S$604,"44501B2BrancaRuralServiço público de irrigação ruralNão se aplicaNão se aplicaFora ponta",Mercado_Receita!$L$2:$L$604)</f>
        <v>0</v>
      </c>
      <c r="M41" s="13">
        <f>SUMIF(Mercado_Receita!$S$2:$S$604,"44531B2BrancaRuralServiço público de irrigação ruralNão se aplicaNão se aplicaFora ponta",Mercado_Receita!$L$2:$L$604)</f>
        <v>0</v>
      </c>
      <c r="N41" s="13">
        <f>SUMIF(Mercado_Receita!$S$2:$S$604,"44562B2BrancaRuralServiço público de irrigação ruralNão se aplicaNão se aplicaFora ponta",Mercado_Receita!$L$2:$L$604)</f>
        <v>0</v>
      </c>
      <c r="O41" s="13">
        <f>SUMIF(Mercado_Receita!$S$2:$S$604,"44593B2BrancaRuralServiço público de irrigação ruralNão se aplicaNão se aplicaFora ponta",Mercado_Receita!$L$2:$L$604)</f>
        <v>0</v>
      </c>
      <c r="P41" s="13">
        <f>SUMIF(Mercado_Receita!$S$2:$S$604,"44621B2BrancaRuralServiço público de irrigação ruralNão se aplicaNão se aplicaFora ponta",Mercado_Receita!$L$2:$L$604)</f>
        <v>0</v>
      </c>
      <c r="Q41" s="13">
        <f>SUMIF(Mercado_Receita!$S$2:$S$604,"44652B2BrancaRuralServiço público de irrigação ruralNão se aplicaNão se aplicaFora ponta",Mercado_Receita!$L$2:$L$604)</f>
        <v>0</v>
      </c>
      <c r="R41" s="13">
        <f>SUMIF(Mercado_Receita!$S$2:$S$604,"44682B2BrancaRuralServiço público de irrigação ruralNão se aplicaNão se aplicaFora ponta",Mercado_Receita!$L$2:$L$604)</f>
        <v>0</v>
      </c>
      <c r="S41" s="13">
        <f>SUMIF(Mercado_Receita!$S$2:$S$604,"44713B2BrancaRuralServiço público de irrigação ruralNão se aplicaNão se aplicaFora ponta",Mercado_Receita!$L$2:$L$604)</f>
        <v>0</v>
      </c>
      <c r="T41" s="13">
        <f>SUMIF(Mercado_Receita!$S$2:$S$604,"44743B2BrancaRuralServiço público de irrigação ruralNão se aplicaNão se aplicaFora ponta",Mercado_Receita!$L$2:$L$604)</f>
        <v>0</v>
      </c>
      <c r="U41" s="13">
        <f t="shared" si="1"/>
        <v>0</v>
      </c>
      <c r="V41" s="13"/>
      <c r="W41" s="13"/>
    </row>
    <row r="42" spans="1:23" ht="11.25" customHeight="1" x14ac:dyDescent="0.3">
      <c r="A42" s="129"/>
      <c r="B42" s="12" t="s">
        <v>23</v>
      </c>
      <c r="C42" s="12" t="s">
        <v>42</v>
      </c>
      <c r="D42" s="12" t="s">
        <v>94</v>
      </c>
      <c r="E42" s="12" t="s">
        <v>25</v>
      </c>
      <c r="F42" s="12" t="s">
        <v>25</v>
      </c>
      <c r="G42" s="13" t="s">
        <v>84</v>
      </c>
      <c r="H42" s="13" t="s">
        <v>78</v>
      </c>
      <c r="I42" s="13">
        <f>SUMIF(Mercado_Receita!$S$2:$S$604,"44409B2ConvencionalRuralServiço público de irrigação ruralNão se aplicaNão se aplicaPonta",Mercado_Receita!$L$2:$L$604)+SUMIF(Mercado_Receita!$S$2:$S$604,"44409B2ConvencionalRuralServiço público de irrigação ruralNão se aplicaNão se aplicaFora ponta",Mercado_Receita!$L$2:$L$604)+SUMIF(Mercado_Receita!$S$2:$S$604,"44409B2ConvencionalRuralServiço público de irrigação ruralNão se aplicaNão se aplicaIntermediário",Mercado_Receita!$L$2:$L$604)+SUMIF(Mercado_Receita!$S$2:$S$604,"44409B2ConvencionalRuralServiço público de irrigação ruralNão se aplicaNão se aplicaNão se aplica",Mercado_Receita!$L$2:$L$604)</f>
        <v>0</v>
      </c>
      <c r="J42" s="13">
        <f>SUMIF(Mercado_Receita!$S$2:$S$604,"44440B2ConvencionalRuralServiço público de irrigação ruralNão se aplicaNão se aplicaPonta",Mercado_Receita!$L$2:$L$604)+SUMIF(Mercado_Receita!$S$2:$S$604,"44440B2ConvencionalRuralServiço público de irrigação ruralNão se aplicaNão se aplicaFora ponta",Mercado_Receita!$L$2:$L$604)+SUMIF(Mercado_Receita!$S$2:$S$604,"44440B2ConvencionalRuralServiço público de irrigação ruralNão se aplicaNão se aplicaIntermediário",Mercado_Receita!$L$2:$L$604)+SUMIF(Mercado_Receita!$S$2:$S$604,"44440B2ConvencionalRuralServiço público de irrigação ruralNão se aplicaNão se aplicaNão se aplica",Mercado_Receita!$L$2:$L$604)</f>
        <v>0</v>
      </c>
      <c r="K42" s="13">
        <f>SUMIF(Mercado_Receita!$S$2:$S$604,"44470B2ConvencionalRuralServiço público de irrigação ruralNão se aplicaNão se aplicaPonta",Mercado_Receita!$L$2:$L$604)+SUMIF(Mercado_Receita!$S$2:$S$604,"44470B2ConvencionalRuralServiço público de irrigação ruralNão se aplicaNão se aplicaFora ponta",Mercado_Receita!$L$2:$L$604)+SUMIF(Mercado_Receita!$S$2:$S$604,"44470B2ConvencionalRuralServiço público de irrigação ruralNão se aplicaNão se aplicaIntermediário",Mercado_Receita!$L$2:$L$604)+SUMIF(Mercado_Receita!$S$2:$S$604,"44470B2ConvencionalRuralServiço público de irrigação ruralNão se aplicaNão se aplicaNão se aplica",Mercado_Receita!$L$2:$L$604)</f>
        <v>0</v>
      </c>
      <c r="L42" s="13">
        <f>SUMIF(Mercado_Receita!$S$2:$S$604,"44501B2ConvencionalRuralServiço público de irrigação ruralNão se aplicaNão se aplicaPonta",Mercado_Receita!$L$2:$L$604)+SUMIF(Mercado_Receita!$S$2:$S$604,"44501B2ConvencionalRuralServiço público de irrigação ruralNão se aplicaNão se aplicaFora ponta",Mercado_Receita!$L$2:$L$604)+SUMIF(Mercado_Receita!$S$2:$S$604,"44501B2ConvencionalRuralServiço público de irrigação ruralNão se aplicaNão se aplicaIntermediário",Mercado_Receita!$L$2:$L$604)+SUMIF(Mercado_Receita!$S$2:$S$604,"44501B2ConvencionalRuralServiço público de irrigação ruralNão se aplicaNão se aplicaNão se aplica",Mercado_Receita!$L$2:$L$604)</f>
        <v>0</v>
      </c>
      <c r="M42" s="13">
        <f>SUMIF(Mercado_Receita!$S$2:$S$604,"44531B2ConvencionalRuralServiço público de irrigação ruralNão se aplicaNão se aplicaPonta",Mercado_Receita!$L$2:$L$604)+SUMIF(Mercado_Receita!$S$2:$S$604,"44531B2ConvencionalRuralServiço público de irrigação ruralNão se aplicaNão se aplicaFora ponta",Mercado_Receita!$L$2:$L$604)+SUMIF(Mercado_Receita!$S$2:$S$604,"44531B2ConvencionalRuralServiço público de irrigação ruralNão se aplicaNão se aplicaIntermediário",Mercado_Receita!$L$2:$L$604)+SUMIF(Mercado_Receita!$S$2:$S$604,"44531B2ConvencionalRuralServiço público de irrigação ruralNão se aplicaNão se aplicaNão se aplica",Mercado_Receita!$L$2:$L$604)</f>
        <v>0</v>
      </c>
      <c r="N42" s="13">
        <f>SUMIF(Mercado_Receita!$S$2:$S$604,"44562B2ConvencionalRuralServiço público de irrigação ruralNão se aplicaNão se aplicaPonta",Mercado_Receita!$L$2:$L$604)+SUMIF(Mercado_Receita!$S$2:$S$604,"44562B2ConvencionalRuralServiço público de irrigação ruralNão se aplicaNão se aplicaFora ponta",Mercado_Receita!$L$2:$L$604)+SUMIF(Mercado_Receita!$S$2:$S$604,"44562B2ConvencionalRuralServiço público de irrigação ruralNão se aplicaNão se aplicaIntermediário",Mercado_Receita!$L$2:$L$604)+SUMIF(Mercado_Receita!$S$2:$S$604,"44562B2ConvencionalRuralServiço público de irrigação ruralNão se aplicaNão se aplicaNão se aplica",Mercado_Receita!$L$2:$L$604)</f>
        <v>0</v>
      </c>
      <c r="O42" s="13">
        <f>SUMIF(Mercado_Receita!$S$2:$S$604,"44593B2ConvencionalRuralServiço público de irrigação ruralNão se aplicaNão se aplicaPonta",Mercado_Receita!$L$2:$L$604)+SUMIF(Mercado_Receita!$S$2:$S$604,"44593B2ConvencionalRuralServiço público de irrigação ruralNão se aplicaNão se aplicaFora ponta",Mercado_Receita!$L$2:$L$604)+SUMIF(Mercado_Receita!$S$2:$S$604,"44593B2ConvencionalRuralServiço público de irrigação ruralNão se aplicaNão se aplicaIntermediário",Mercado_Receita!$L$2:$L$604)+SUMIF(Mercado_Receita!$S$2:$S$604,"44593B2ConvencionalRuralServiço público de irrigação ruralNão se aplicaNão se aplicaNão se aplica",Mercado_Receita!$L$2:$L$604)</f>
        <v>0</v>
      </c>
      <c r="P42" s="13">
        <f>SUMIF(Mercado_Receita!$S$2:$S$604,"44621B2ConvencionalRuralServiço público de irrigação ruralNão se aplicaNão se aplicaPonta",Mercado_Receita!$L$2:$L$604)+SUMIF(Mercado_Receita!$S$2:$S$604,"44621B2ConvencionalRuralServiço público de irrigação ruralNão se aplicaNão se aplicaFora ponta",Mercado_Receita!$L$2:$L$604)+SUMIF(Mercado_Receita!$S$2:$S$604,"44621B2ConvencionalRuralServiço público de irrigação ruralNão se aplicaNão se aplicaIntermediário",Mercado_Receita!$L$2:$L$604)+SUMIF(Mercado_Receita!$S$2:$S$604,"44621B2ConvencionalRuralServiço público de irrigação ruralNão se aplicaNão se aplicaNão se aplica",Mercado_Receita!$L$2:$L$604)</f>
        <v>0</v>
      </c>
      <c r="Q42" s="13">
        <f>SUMIF(Mercado_Receita!$S$2:$S$604,"44652B2ConvencionalRuralServiço público de irrigação ruralNão se aplicaNão se aplicaPonta",Mercado_Receita!$L$2:$L$604)+SUMIF(Mercado_Receita!$S$2:$S$604,"44652B2ConvencionalRuralServiço público de irrigação ruralNão se aplicaNão se aplicaFora ponta",Mercado_Receita!$L$2:$L$604)+SUMIF(Mercado_Receita!$S$2:$S$604,"44652B2ConvencionalRuralServiço público de irrigação ruralNão se aplicaNão se aplicaIntermediário",Mercado_Receita!$L$2:$L$604)+SUMIF(Mercado_Receita!$S$2:$S$604,"44652B2ConvencionalRuralServiço público de irrigação ruralNão se aplicaNão se aplicaNão se aplica",Mercado_Receita!$L$2:$L$604)</f>
        <v>0</v>
      </c>
      <c r="R42" s="13">
        <f>SUMIF(Mercado_Receita!$S$2:$S$604,"44682B2ConvencionalRuralServiço público de irrigação ruralNão se aplicaNão se aplicaPonta",Mercado_Receita!$L$2:$L$604)+SUMIF(Mercado_Receita!$S$2:$S$604,"44682B2ConvencionalRuralServiço público de irrigação ruralNão se aplicaNão se aplicaFora ponta",Mercado_Receita!$L$2:$L$604)+SUMIF(Mercado_Receita!$S$2:$S$604,"44682B2ConvencionalRuralServiço público de irrigação ruralNão se aplicaNão se aplicaIntermediário",Mercado_Receita!$L$2:$L$604)+SUMIF(Mercado_Receita!$S$2:$S$604,"44682B2ConvencionalRuralServiço público de irrigação ruralNão se aplicaNão se aplicaNão se aplica",Mercado_Receita!$L$2:$L$604)</f>
        <v>0</v>
      </c>
      <c r="S42" s="13">
        <f>SUMIF(Mercado_Receita!$S$2:$S$604,"44713B2ConvencionalRuralServiço público de irrigação ruralNão se aplicaNão se aplicaPonta",Mercado_Receita!$L$2:$L$604)+SUMIF(Mercado_Receita!$S$2:$S$604,"44713B2ConvencionalRuralServiço público de irrigação ruralNão se aplicaNão se aplicaFora ponta",Mercado_Receita!$L$2:$L$604)+SUMIF(Mercado_Receita!$S$2:$S$604,"44713B2ConvencionalRuralServiço público de irrigação ruralNão se aplicaNão se aplicaIntermediário",Mercado_Receita!$L$2:$L$604)+SUMIF(Mercado_Receita!$S$2:$S$604,"44713B2ConvencionalRuralServiço público de irrigação ruralNão se aplicaNão se aplicaNão se aplica",Mercado_Receita!$L$2:$L$604)</f>
        <v>0</v>
      </c>
      <c r="T42" s="13">
        <f>SUMIF(Mercado_Receita!$S$2:$S$604,"44743B2ConvencionalRuralServiço público de irrigação ruralNão se aplicaNão se aplicaPonta",Mercado_Receita!$L$2:$L$604)+SUMIF(Mercado_Receita!$S$2:$S$604,"44743B2ConvencionalRuralServiço público de irrigação ruralNão se aplicaNão se aplicaFora ponta",Mercado_Receita!$L$2:$L$604)+SUMIF(Mercado_Receita!$S$2:$S$604,"44743B2ConvencionalRuralServiço público de irrigação ruralNão se aplicaNão se aplicaIntermediário",Mercado_Receita!$L$2:$L$604)+SUMIF(Mercado_Receita!$S$2:$S$604,"44743B2ConvencionalRuralServiço público de irrigação ruralNão se aplicaNão se aplicaNão se aplica",Mercado_Receita!$L$2:$L$604)</f>
        <v>0</v>
      </c>
      <c r="U42" s="13">
        <f t="shared" si="1"/>
        <v>0</v>
      </c>
      <c r="V42" s="13"/>
      <c r="W42" s="13"/>
    </row>
    <row r="43" spans="1:23" ht="11.25" customHeight="1" x14ac:dyDescent="0.3">
      <c r="A43" s="129"/>
      <c r="B43" s="128" t="s">
        <v>92</v>
      </c>
      <c r="C43" s="128" t="s">
        <v>42</v>
      </c>
      <c r="D43" s="12" t="s">
        <v>25</v>
      </c>
      <c r="E43" s="12" t="s">
        <v>25</v>
      </c>
      <c r="F43" s="12" t="s">
        <v>25</v>
      </c>
      <c r="G43" s="13" t="s">
        <v>84</v>
      </c>
      <c r="H43" s="13" t="s">
        <v>78</v>
      </c>
      <c r="I43" s="13">
        <f>SUMIF(Mercado_Receita!$S$2:$S$604,"44409B2Convencional pré-pagamentoRuralNão se aplicaNão se aplicaNão se aplicaPonta",Mercado_Receita!$L$2:$L$604)+SUMIF(Mercado_Receita!$S$2:$S$604,"44409B2Convencional pré-pagamentoRuralNão se aplicaNão se aplicaNão se aplicaFora ponta",Mercado_Receita!$L$2:$L$604)+SUMIF(Mercado_Receita!$S$2:$S$604,"44409B2Convencional pré-pagamentoRuralNão se aplicaNão se aplicaNão se aplicaIntermediário",Mercado_Receita!$L$2:$L$604)+SUMIF(Mercado_Receita!$S$2:$S$604,"44409B2Convencional pré-pagamentoRuralNão se aplicaNão se aplicaNão se aplicaNão se aplica",Mercado_Receita!$L$2:$L$604)</f>
        <v>0</v>
      </c>
      <c r="J43" s="13">
        <f>SUMIF(Mercado_Receita!$S$2:$S$604,"44440B2Convencional pré-pagamentoRuralNão se aplicaNão se aplicaNão se aplicaPonta",Mercado_Receita!$L$2:$L$604)+SUMIF(Mercado_Receita!$S$2:$S$604,"44440B2Convencional pré-pagamentoRuralNão se aplicaNão se aplicaNão se aplicaFora ponta",Mercado_Receita!$L$2:$L$604)+SUMIF(Mercado_Receita!$S$2:$S$604,"44440B2Convencional pré-pagamentoRuralNão se aplicaNão se aplicaNão se aplicaIntermediário",Mercado_Receita!$L$2:$L$604)+SUMIF(Mercado_Receita!$S$2:$S$604,"44440B2Convencional pré-pagamentoRuralNão se aplicaNão se aplicaNão se aplicaNão se aplica",Mercado_Receita!$L$2:$L$604)</f>
        <v>0</v>
      </c>
      <c r="K43" s="13">
        <f>SUMIF(Mercado_Receita!$S$2:$S$604,"44470B2Convencional pré-pagamentoRuralNão se aplicaNão se aplicaNão se aplicaPonta",Mercado_Receita!$L$2:$L$604)+SUMIF(Mercado_Receita!$S$2:$S$604,"44470B2Convencional pré-pagamentoRuralNão se aplicaNão se aplicaNão se aplicaFora ponta",Mercado_Receita!$L$2:$L$604)+SUMIF(Mercado_Receita!$S$2:$S$604,"44470B2Convencional pré-pagamentoRuralNão se aplicaNão se aplicaNão se aplicaIntermediário",Mercado_Receita!$L$2:$L$604)+SUMIF(Mercado_Receita!$S$2:$S$604,"44470B2Convencional pré-pagamentoRuralNão se aplicaNão se aplicaNão se aplicaNão se aplica",Mercado_Receita!$L$2:$L$604)</f>
        <v>0</v>
      </c>
      <c r="L43" s="13">
        <f>SUMIF(Mercado_Receita!$S$2:$S$604,"44501B2Convencional pré-pagamentoRuralNão se aplicaNão se aplicaNão se aplicaPonta",Mercado_Receita!$L$2:$L$604)+SUMIF(Mercado_Receita!$S$2:$S$604,"44501B2Convencional pré-pagamentoRuralNão se aplicaNão se aplicaNão se aplicaFora ponta",Mercado_Receita!$L$2:$L$604)+SUMIF(Mercado_Receita!$S$2:$S$604,"44501B2Convencional pré-pagamentoRuralNão se aplicaNão se aplicaNão se aplicaIntermediário",Mercado_Receita!$L$2:$L$604)+SUMIF(Mercado_Receita!$S$2:$S$604,"44501B2Convencional pré-pagamentoRuralNão se aplicaNão se aplicaNão se aplicaNão se aplica",Mercado_Receita!$L$2:$L$604)</f>
        <v>0</v>
      </c>
      <c r="M43" s="13">
        <f>SUMIF(Mercado_Receita!$S$2:$S$604,"44531B2Convencional pré-pagamentoRuralNão se aplicaNão se aplicaNão se aplicaPonta",Mercado_Receita!$L$2:$L$604)+SUMIF(Mercado_Receita!$S$2:$S$604,"44531B2Convencional pré-pagamentoRuralNão se aplicaNão se aplicaNão se aplicaFora ponta",Mercado_Receita!$L$2:$L$604)+SUMIF(Mercado_Receita!$S$2:$S$604,"44531B2Convencional pré-pagamentoRuralNão se aplicaNão se aplicaNão se aplicaIntermediário",Mercado_Receita!$L$2:$L$604)+SUMIF(Mercado_Receita!$S$2:$S$604,"44531B2Convencional pré-pagamentoRuralNão se aplicaNão se aplicaNão se aplicaNão se aplica",Mercado_Receita!$L$2:$L$604)</f>
        <v>0</v>
      </c>
      <c r="N43" s="13">
        <f>SUMIF(Mercado_Receita!$S$2:$S$604,"44562B2Convencional pré-pagamentoRuralNão se aplicaNão se aplicaNão se aplicaPonta",Mercado_Receita!$L$2:$L$604)+SUMIF(Mercado_Receita!$S$2:$S$604,"44562B2Convencional pré-pagamentoRuralNão se aplicaNão se aplicaNão se aplicaFora ponta",Mercado_Receita!$L$2:$L$604)+SUMIF(Mercado_Receita!$S$2:$S$604,"44562B2Convencional pré-pagamentoRuralNão se aplicaNão se aplicaNão se aplicaIntermediário",Mercado_Receita!$L$2:$L$604)+SUMIF(Mercado_Receita!$S$2:$S$604,"44562B2Convencional pré-pagamentoRuralNão se aplicaNão se aplicaNão se aplicaNão se aplica",Mercado_Receita!$L$2:$L$604)</f>
        <v>0</v>
      </c>
      <c r="O43" s="13">
        <f>SUMIF(Mercado_Receita!$S$2:$S$604,"44593B2Convencional pré-pagamentoRuralNão se aplicaNão se aplicaNão se aplicaPonta",Mercado_Receita!$L$2:$L$604)+SUMIF(Mercado_Receita!$S$2:$S$604,"44593B2Convencional pré-pagamentoRuralNão se aplicaNão se aplicaNão se aplicaFora ponta",Mercado_Receita!$L$2:$L$604)+SUMIF(Mercado_Receita!$S$2:$S$604,"44593B2Convencional pré-pagamentoRuralNão se aplicaNão se aplicaNão se aplicaIntermediário",Mercado_Receita!$L$2:$L$604)+SUMIF(Mercado_Receita!$S$2:$S$604,"44593B2Convencional pré-pagamentoRuralNão se aplicaNão se aplicaNão se aplicaNão se aplica",Mercado_Receita!$L$2:$L$604)</f>
        <v>0</v>
      </c>
      <c r="P43" s="13">
        <f>SUMIF(Mercado_Receita!$S$2:$S$604,"44621B2Convencional pré-pagamentoRuralNão se aplicaNão se aplicaNão se aplicaPonta",Mercado_Receita!$L$2:$L$604)+SUMIF(Mercado_Receita!$S$2:$S$604,"44621B2Convencional pré-pagamentoRuralNão se aplicaNão se aplicaNão se aplicaFora ponta",Mercado_Receita!$L$2:$L$604)+SUMIF(Mercado_Receita!$S$2:$S$604,"44621B2Convencional pré-pagamentoRuralNão se aplicaNão se aplicaNão se aplicaIntermediário",Mercado_Receita!$L$2:$L$604)+SUMIF(Mercado_Receita!$S$2:$S$604,"44621B2Convencional pré-pagamentoRuralNão se aplicaNão se aplicaNão se aplicaNão se aplica",Mercado_Receita!$L$2:$L$604)</f>
        <v>0</v>
      </c>
      <c r="Q43" s="13">
        <f>SUMIF(Mercado_Receita!$S$2:$S$604,"44652B2Convencional pré-pagamentoRuralNão se aplicaNão se aplicaNão se aplicaPonta",Mercado_Receita!$L$2:$L$604)+SUMIF(Mercado_Receita!$S$2:$S$604,"44652B2Convencional pré-pagamentoRuralNão se aplicaNão se aplicaNão se aplicaFora ponta",Mercado_Receita!$L$2:$L$604)+SUMIF(Mercado_Receita!$S$2:$S$604,"44652B2Convencional pré-pagamentoRuralNão se aplicaNão se aplicaNão se aplicaIntermediário",Mercado_Receita!$L$2:$L$604)+SUMIF(Mercado_Receita!$S$2:$S$604,"44652B2Convencional pré-pagamentoRuralNão se aplicaNão se aplicaNão se aplicaNão se aplica",Mercado_Receita!$L$2:$L$604)</f>
        <v>0</v>
      </c>
      <c r="R43" s="13">
        <f>SUMIF(Mercado_Receita!$S$2:$S$604,"44682B2Convencional pré-pagamentoRuralNão se aplicaNão se aplicaNão se aplicaPonta",Mercado_Receita!$L$2:$L$604)+SUMIF(Mercado_Receita!$S$2:$S$604,"44682B2Convencional pré-pagamentoRuralNão se aplicaNão se aplicaNão se aplicaFora ponta",Mercado_Receita!$L$2:$L$604)+SUMIF(Mercado_Receita!$S$2:$S$604,"44682B2Convencional pré-pagamentoRuralNão se aplicaNão se aplicaNão se aplicaIntermediário",Mercado_Receita!$L$2:$L$604)+SUMIF(Mercado_Receita!$S$2:$S$604,"44682B2Convencional pré-pagamentoRuralNão se aplicaNão se aplicaNão se aplicaNão se aplica",Mercado_Receita!$L$2:$L$604)</f>
        <v>0</v>
      </c>
      <c r="S43" s="13">
        <f>SUMIF(Mercado_Receita!$S$2:$S$604,"44713B2Convencional pré-pagamentoRuralNão se aplicaNão se aplicaNão se aplicaPonta",Mercado_Receita!$L$2:$L$604)+SUMIF(Mercado_Receita!$S$2:$S$604,"44713B2Convencional pré-pagamentoRuralNão se aplicaNão se aplicaNão se aplicaFora ponta",Mercado_Receita!$L$2:$L$604)+SUMIF(Mercado_Receita!$S$2:$S$604,"44713B2Convencional pré-pagamentoRuralNão se aplicaNão se aplicaNão se aplicaIntermediário",Mercado_Receita!$L$2:$L$604)+SUMIF(Mercado_Receita!$S$2:$S$604,"44713B2Convencional pré-pagamentoRuralNão se aplicaNão se aplicaNão se aplicaNão se aplica",Mercado_Receita!$L$2:$L$604)</f>
        <v>0</v>
      </c>
      <c r="T43" s="13">
        <f>SUMIF(Mercado_Receita!$S$2:$S$604,"44743B2Convencional pré-pagamentoRuralNão se aplicaNão se aplicaNão se aplicaPonta",Mercado_Receita!$L$2:$L$604)+SUMIF(Mercado_Receita!$S$2:$S$604,"44743B2Convencional pré-pagamentoRuralNão se aplicaNão se aplicaNão se aplicaFora ponta",Mercado_Receita!$L$2:$L$604)+SUMIF(Mercado_Receita!$S$2:$S$604,"44743B2Convencional pré-pagamentoRuralNão se aplicaNão se aplicaNão se aplicaIntermediário",Mercado_Receita!$L$2:$L$604)+SUMIF(Mercado_Receita!$S$2:$S$604,"44743B2Convencional pré-pagamentoRuralNão se aplicaNão se aplicaNão se aplicaNão se aplica",Mercado_Receita!$L$2:$L$604)</f>
        <v>0</v>
      </c>
      <c r="U43" s="13">
        <f t="shared" si="1"/>
        <v>0</v>
      </c>
      <c r="V43" s="13"/>
      <c r="W43" s="13"/>
    </row>
    <row r="44" spans="1:23" ht="11.25" customHeight="1" x14ac:dyDescent="0.3">
      <c r="A44" s="129"/>
      <c r="B44" s="129"/>
      <c r="C44" s="129"/>
      <c r="D44" s="12" t="s">
        <v>93</v>
      </c>
      <c r="E44" s="12" t="s">
        <v>25</v>
      </c>
      <c r="F44" s="12" t="s">
        <v>25</v>
      </c>
      <c r="G44" s="13" t="s">
        <v>84</v>
      </c>
      <c r="H44" s="13" t="s">
        <v>78</v>
      </c>
      <c r="I44" s="13">
        <f>SUMIF(Mercado_Receita!$S$2:$S$604,"44409B2Convencional pré-pagamentoRuralCooperativa de eletrificação ruralNão se aplicaNão se aplicaPonta",Mercado_Receita!$L$2:$L$604)+SUMIF(Mercado_Receita!$S$2:$S$604,"44409B2Convencional pré-pagamentoRuralCooperativa de eletrificação ruralNão se aplicaNão se aplicaFora ponta",Mercado_Receita!$L$2:$L$604)+SUMIF(Mercado_Receita!$S$2:$S$604,"44409B2Convencional pré-pagamentoRuralCooperativa de eletrificação ruralNão se aplicaNão se aplicaIntermediário",Mercado_Receita!$L$2:$L$604)+SUMIF(Mercado_Receita!$S$2:$S$604,"44409B2Convencional pré-pagamentoRuralCooperativa de eletrificação ruralNão se aplicaNão se aplicaNão se aplica",Mercado_Receita!$L$2:$L$604)</f>
        <v>0</v>
      </c>
      <c r="J44" s="13">
        <f>SUMIF(Mercado_Receita!$S$2:$S$604,"44440B2Convencional pré-pagamentoRuralCooperativa de eletrificação ruralNão se aplicaNão se aplicaPonta",Mercado_Receita!$L$2:$L$604)+SUMIF(Mercado_Receita!$S$2:$S$604,"44440B2Convencional pré-pagamentoRuralCooperativa de eletrificação ruralNão se aplicaNão se aplicaFora ponta",Mercado_Receita!$L$2:$L$604)+SUMIF(Mercado_Receita!$S$2:$S$604,"44440B2Convencional pré-pagamentoRuralCooperativa de eletrificação ruralNão se aplicaNão se aplicaIntermediário",Mercado_Receita!$L$2:$L$604)+SUMIF(Mercado_Receita!$S$2:$S$604,"44440B2Convencional pré-pagamentoRuralCooperativa de eletrificação ruralNão se aplicaNão se aplicaNão se aplica",Mercado_Receita!$L$2:$L$604)</f>
        <v>0</v>
      </c>
      <c r="K44" s="13">
        <f>SUMIF(Mercado_Receita!$S$2:$S$604,"44470B2Convencional pré-pagamentoRuralCooperativa de eletrificação ruralNão se aplicaNão se aplicaPonta",Mercado_Receita!$L$2:$L$604)+SUMIF(Mercado_Receita!$S$2:$S$604,"44470B2Convencional pré-pagamentoRuralCooperativa de eletrificação ruralNão se aplicaNão se aplicaFora ponta",Mercado_Receita!$L$2:$L$604)+SUMIF(Mercado_Receita!$S$2:$S$604,"44470B2Convencional pré-pagamentoRuralCooperativa de eletrificação ruralNão se aplicaNão se aplicaIntermediário",Mercado_Receita!$L$2:$L$604)+SUMIF(Mercado_Receita!$S$2:$S$604,"44470B2Convencional pré-pagamentoRuralCooperativa de eletrificação ruralNão se aplicaNão se aplicaNão se aplica",Mercado_Receita!$L$2:$L$604)</f>
        <v>0</v>
      </c>
      <c r="L44" s="13">
        <f>SUMIF(Mercado_Receita!$S$2:$S$604,"44501B2Convencional pré-pagamentoRuralCooperativa de eletrificação ruralNão se aplicaNão se aplicaPonta",Mercado_Receita!$L$2:$L$604)+SUMIF(Mercado_Receita!$S$2:$S$604,"44501B2Convencional pré-pagamentoRuralCooperativa de eletrificação ruralNão se aplicaNão se aplicaFora ponta",Mercado_Receita!$L$2:$L$604)+SUMIF(Mercado_Receita!$S$2:$S$604,"44501B2Convencional pré-pagamentoRuralCooperativa de eletrificação ruralNão se aplicaNão se aplicaIntermediário",Mercado_Receita!$L$2:$L$604)+SUMIF(Mercado_Receita!$S$2:$S$604,"44501B2Convencional pré-pagamentoRuralCooperativa de eletrificação ruralNão se aplicaNão se aplicaNão se aplica",Mercado_Receita!$L$2:$L$604)</f>
        <v>0</v>
      </c>
      <c r="M44" s="13">
        <f>SUMIF(Mercado_Receita!$S$2:$S$604,"44531B2Convencional pré-pagamentoRuralCooperativa de eletrificação ruralNão se aplicaNão se aplicaPonta",Mercado_Receita!$L$2:$L$604)+SUMIF(Mercado_Receita!$S$2:$S$604,"44531B2Convencional pré-pagamentoRuralCooperativa de eletrificação ruralNão se aplicaNão se aplicaFora ponta",Mercado_Receita!$L$2:$L$604)+SUMIF(Mercado_Receita!$S$2:$S$604,"44531B2Convencional pré-pagamentoRuralCooperativa de eletrificação ruralNão se aplicaNão se aplicaIntermediário",Mercado_Receita!$L$2:$L$604)+SUMIF(Mercado_Receita!$S$2:$S$604,"44531B2Convencional pré-pagamentoRuralCooperativa de eletrificação ruralNão se aplicaNão se aplicaNão se aplica",Mercado_Receita!$L$2:$L$604)</f>
        <v>0</v>
      </c>
      <c r="N44" s="13">
        <f>SUMIF(Mercado_Receita!$S$2:$S$604,"44562B2Convencional pré-pagamentoRuralCooperativa de eletrificação ruralNão se aplicaNão se aplicaPonta",Mercado_Receita!$L$2:$L$604)+SUMIF(Mercado_Receita!$S$2:$S$604,"44562B2Convencional pré-pagamentoRuralCooperativa de eletrificação ruralNão se aplicaNão se aplicaFora ponta",Mercado_Receita!$L$2:$L$604)+SUMIF(Mercado_Receita!$S$2:$S$604,"44562B2Convencional pré-pagamentoRuralCooperativa de eletrificação ruralNão se aplicaNão se aplicaIntermediário",Mercado_Receita!$L$2:$L$604)+SUMIF(Mercado_Receita!$S$2:$S$604,"44562B2Convencional pré-pagamentoRuralCooperativa de eletrificação ruralNão se aplicaNão se aplicaNão se aplica",Mercado_Receita!$L$2:$L$604)</f>
        <v>0</v>
      </c>
      <c r="O44" s="13">
        <f>SUMIF(Mercado_Receita!$S$2:$S$604,"44593B2Convencional pré-pagamentoRuralCooperativa de eletrificação ruralNão se aplicaNão se aplicaPonta",Mercado_Receita!$L$2:$L$604)+SUMIF(Mercado_Receita!$S$2:$S$604,"44593B2Convencional pré-pagamentoRuralCooperativa de eletrificação ruralNão se aplicaNão se aplicaFora ponta",Mercado_Receita!$L$2:$L$604)+SUMIF(Mercado_Receita!$S$2:$S$604,"44593B2Convencional pré-pagamentoRuralCooperativa de eletrificação ruralNão se aplicaNão se aplicaIntermediário",Mercado_Receita!$L$2:$L$604)+SUMIF(Mercado_Receita!$S$2:$S$604,"44593B2Convencional pré-pagamentoRuralCooperativa de eletrificação ruralNão se aplicaNão se aplicaNão se aplica",Mercado_Receita!$L$2:$L$604)</f>
        <v>0</v>
      </c>
      <c r="P44" s="13">
        <f>SUMIF(Mercado_Receita!$S$2:$S$604,"44621B2Convencional pré-pagamentoRuralCooperativa de eletrificação ruralNão se aplicaNão se aplicaPonta",Mercado_Receita!$L$2:$L$604)+SUMIF(Mercado_Receita!$S$2:$S$604,"44621B2Convencional pré-pagamentoRuralCooperativa de eletrificação ruralNão se aplicaNão se aplicaFora ponta",Mercado_Receita!$L$2:$L$604)+SUMIF(Mercado_Receita!$S$2:$S$604,"44621B2Convencional pré-pagamentoRuralCooperativa de eletrificação ruralNão se aplicaNão se aplicaIntermediário",Mercado_Receita!$L$2:$L$604)+SUMIF(Mercado_Receita!$S$2:$S$604,"44621B2Convencional pré-pagamentoRuralCooperativa de eletrificação ruralNão se aplicaNão se aplicaNão se aplica",Mercado_Receita!$L$2:$L$604)</f>
        <v>0</v>
      </c>
      <c r="Q44" s="13">
        <f>SUMIF(Mercado_Receita!$S$2:$S$604,"44652B2Convencional pré-pagamentoRuralCooperativa de eletrificação ruralNão se aplicaNão se aplicaPonta",Mercado_Receita!$L$2:$L$604)+SUMIF(Mercado_Receita!$S$2:$S$604,"44652B2Convencional pré-pagamentoRuralCooperativa de eletrificação ruralNão se aplicaNão se aplicaFora ponta",Mercado_Receita!$L$2:$L$604)+SUMIF(Mercado_Receita!$S$2:$S$604,"44652B2Convencional pré-pagamentoRuralCooperativa de eletrificação ruralNão se aplicaNão se aplicaIntermediário",Mercado_Receita!$L$2:$L$604)+SUMIF(Mercado_Receita!$S$2:$S$604,"44652B2Convencional pré-pagamentoRuralCooperativa de eletrificação ruralNão se aplicaNão se aplicaNão se aplica",Mercado_Receita!$L$2:$L$604)</f>
        <v>0</v>
      </c>
      <c r="R44" s="13">
        <f>SUMIF(Mercado_Receita!$S$2:$S$604,"44682B2Convencional pré-pagamentoRuralCooperativa de eletrificação ruralNão se aplicaNão se aplicaPonta",Mercado_Receita!$L$2:$L$604)+SUMIF(Mercado_Receita!$S$2:$S$604,"44682B2Convencional pré-pagamentoRuralCooperativa de eletrificação ruralNão se aplicaNão se aplicaFora ponta",Mercado_Receita!$L$2:$L$604)+SUMIF(Mercado_Receita!$S$2:$S$604,"44682B2Convencional pré-pagamentoRuralCooperativa de eletrificação ruralNão se aplicaNão se aplicaIntermediário",Mercado_Receita!$L$2:$L$604)+SUMIF(Mercado_Receita!$S$2:$S$604,"44682B2Convencional pré-pagamentoRuralCooperativa de eletrificação ruralNão se aplicaNão se aplicaNão se aplica",Mercado_Receita!$L$2:$L$604)</f>
        <v>0</v>
      </c>
      <c r="S44" s="13">
        <f>SUMIF(Mercado_Receita!$S$2:$S$604,"44713B2Convencional pré-pagamentoRuralCooperativa de eletrificação ruralNão se aplicaNão se aplicaPonta",Mercado_Receita!$L$2:$L$604)+SUMIF(Mercado_Receita!$S$2:$S$604,"44713B2Convencional pré-pagamentoRuralCooperativa de eletrificação ruralNão se aplicaNão se aplicaFora ponta",Mercado_Receita!$L$2:$L$604)+SUMIF(Mercado_Receita!$S$2:$S$604,"44713B2Convencional pré-pagamentoRuralCooperativa de eletrificação ruralNão se aplicaNão se aplicaIntermediário",Mercado_Receita!$L$2:$L$604)+SUMIF(Mercado_Receita!$S$2:$S$604,"44713B2Convencional pré-pagamentoRuralCooperativa de eletrificação ruralNão se aplicaNão se aplicaNão se aplica",Mercado_Receita!$L$2:$L$604)</f>
        <v>0</v>
      </c>
      <c r="T44" s="13">
        <f>SUMIF(Mercado_Receita!$S$2:$S$604,"44743B2Convencional pré-pagamentoRuralCooperativa de eletrificação ruralNão se aplicaNão se aplicaPonta",Mercado_Receita!$L$2:$L$604)+SUMIF(Mercado_Receita!$S$2:$S$604,"44743B2Convencional pré-pagamentoRuralCooperativa de eletrificação ruralNão se aplicaNão se aplicaFora ponta",Mercado_Receita!$L$2:$L$604)+SUMIF(Mercado_Receita!$S$2:$S$604,"44743B2Convencional pré-pagamentoRuralCooperativa de eletrificação ruralNão se aplicaNão se aplicaIntermediário",Mercado_Receita!$L$2:$L$604)+SUMIF(Mercado_Receita!$S$2:$S$604,"44743B2Convencional pré-pagamentoRuralCooperativa de eletrificação ruralNão se aplicaNão se aplicaNão se aplica",Mercado_Receita!$L$2:$L$604)</f>
        <v>0</v>
      </c>
      <c r="U44" s="13">
        <f t="shared" si="1"/>
        <v>0</v>
      </c>
      <c r="V44" s="13"/>
      <c r="W44" s="13"/>
    </row>
    <row r="45" spans="1:23" ht="11.25" customHeight="1" x14ac:dyDescent="0.3">
      <c r="A45" s="129"/>
      <c r="B45" s="129"/>
      <c r="C45" s="129"/>
      <c r="D45" s="12" t="s">
        <v>94</v>
      </c>
      <c r="E45" s="12" t="s">
        <v>25</v>
      </c>
      <c r="F45" s="12" t="s">
        <v>25</v>
      </c>
      <c r="G45" s="13" t="s">
        <v>84</v>
      </c>
      <c r="H45" s="13" t="s">
        <v>78</v>
      </c>
      <c r="I45" s="13">
        <f>SUMIF(Mercado_Receita!$S$2:$S$604,"44409B2Convencional pré-pagamentoRuralServiço público de irrigação ruralNão se aplicaNão se aplicaPonta",Mercado_Receita!$L$2:$L$604)+SUMIF(Mercado_Receita!$S$2:$S$604,"44409B2Convencional pré-pagamentoRuralServiço público de irrigação ruralNão se aplicaNão se aplicaFora ponta",Mercado_Receita!$L$2:$L$604)+SUMIF(Mercado_Receita!$S$2:$S$604,"44409B2Convencional pré-pagamentoRuralServiço público de irrigação ruralNão se aplicaNão se aplicaIntermediário",Mercado_Receita!$L$2:$L$604)+SUMIF(Mercado_Receita!$S$2:$S$604,"44409B2Convencional pré-pagamentoRuralServiço público de irrigação ruralNão se aplicaNão se aplicaNão se aplica",Mercado_Receita!$L$2:$L$604)</f>
        <v>0</v>
      </c>
      <c r="J45" s="13">
        <f>SUMIF(Mercado_Receita!$S$2:$S$604,"44440B2Convencional pré-pagamentoRuralServiço público de irrigação ruralNão se aplicaNão se aplicaPonta",Mercado_Receita!$L$2:$L$604)+SUMIF(Mercado_Receita!$S$2:$S$604,"44440B2Convencional pré-pagamentoRuralServiço público de irrigação ruralNão se aplicaNão se aplicaFora ponta",Mercado_Receita!$L$2:$L$604)+SUMIF(Mercado_Receita!$S$2:$S$604,"44440B2Convencional pré-pagamentoRuralServiço público de irrigação ruralNão se aplicaNão se aplicaIntermediário",Mercado_Receita!$L$2:$L$604)+SUMIF(Mercado_Receita!$S$2:$S$604,"44440B2Convencional pré-pagamentoRuralServiço público de irrigação ruralNão se aplicaNão se aplicaNão se aplica",Mercado_Receita!$L$2:$L$604)</f>
        <v>0</v>
      </c>
      <c r="K45" s="13">
        <f>SUMIF(Mercado_Receita!$S$2:$S$604,"44470B2Convencional pré-pagamentoRuralServiço público de irrigação ruralNão se aplicaNão se aplicaPonta",Mercado_Receita!$L$2:$L$604)+SUMIF(Mercado_Receita!$S$2:$S$604,"44470B2Convencional pré-pagamentoRuralServiço público de irrigação ruralNão se aplicaNão se aplicaFora ponta",Mercado_Receita!$L$2:$L$604)+SUMIF(Mercado_Receita!$S$2:$S$604,"44470B2Convencional pré-pagamentoRuralServiço público de irrigação ruralNão se aplicaNão se aplicaIntermediário",Mercado_Receita!$L$2:$L$604)+SUMIF(Mercado_Receita!$S$2:$S$604,"44470B2Convencional pré-pagamentoRuralServiço público de irrigação ruralNão se aplicaNão se aplicaNão se aplica",Mercado_Receita!$L$2:$L$604)</f>
        <v>0</v>
      </c>
      <c r="L45" s="13">
        <f>SUMIF(Mercado_Receita!$S$2:$S$604,"44501B2Convencional pré-pagamentoRuralServiço público de irrigação ruralNão se aplicaNão se aplicaPonta",Mercado_Receita!$L$2:$L$604)+SUMIF(Mercado_Receita!$S$2:$S$604,"44501B2Convencional pré-pagamentoRuralServiço público de irrigação ruralNão se aplicaNão se aplicaFora ponta",Mercado_Receita!$L$2:$L$604)+SUMIF(Mercado_Receita!$S$2:$S$604,"44501B2Convencional pré-pagamentoRuralServiço público de irrigação ruralNão se aplicaNão se aplicaIntermediário",Mercado_Receita!$L$2:$L$604)+SUMIF(Mercado_Receita!$S$2:$S$604,"44501B2Convencional pré-pagamentoRuralServiço público de irrigação ruralNão se aplicaNão se aplicaNão se aplica",Mercado_Receita!$L$2:$L$604)</f>
        <v>0</v>
      </c>
      <c r="M45" s="13">
        <f>SUMIF(Mercado_Receita!$S$2:$S$604,"44531B2Convencional pré-pagamentoRuralServiço público de irrigação ruralNão se aplicaNão se aplicaPonta",Mercado_Receita!$L$2:$L$604)+SUMIF(Mercado_Receita!$S$2:$S$604,"44531B2Convencional pré-pagamentoRuralServiço público de irrigação ruralNão se aplicaNão se aplicaFora ponta",Mercado_Receita!$L$2:$L$604)+SUMIF(Mercado_Receita!$S$2:$S$604,"44531B2Convencional pré-pagamentoRuralServiço público de irrigação ruralNão se aplicaNão se aplicaIntermediário",Mercado_Receita!$L$2:$L$604)+SUMIF(Mercado_Receita!$S$2:$S$604,"44531B2Convencional pré-pagamentoRuralServiço público de irrigação ruralNão se aplicaNão se aplicaNão se aplica",Mercado_Receita!$L$2:$L$604)</f>
        <v>0</v>
      </c>
      <c r="N45" s="13">
        <f>SUMIF(Mercado_Receita!$S$2:$S$604,"44562B2Convencional pré-pagamentoRuralServiço público de irrigação ruralNão se aplicaNão se aplicaPonta",Mercado_Receita!$L$2:$L$604)+SUMIF(Mercado_Receita!$S$2:$S$604,"44562B2Convencional pré-pagamentoRuralServiço público de irrigação ruralNão se aplicaNão se aplicaFora ponta",Mercado_Receita!$L$2:$L$604)+SUMIF(Mercado_Receita!$S$2:$S$604,"44562B2Convencional pré-pagamentoRuralServiço público de irrigação ruralNão se aplicaNão se aplicaIntermediário",Mercado_Receita!$L$2:$L$604)+SUMIF(Mercado_Receita!$S$2:$S$604,"44562B2Convencional pré-pagamentoRuralServiço público de irrigação ruralNão se aplicaNão se aplicaNão se aplica",Mercado_Receita!$L$2:$L$604)</f>
        <v>0</v>
      </c>
      <c r="O45" s="13">
        <f>SUMIF(Mercado_Receita!$S$2:$S$604,"44593B2Convencional pré-pagamentoRuralServiço público de irrigação ruralNão se aplicaNão se aplicaPonta",Mercado_Receita!$L$2:$L$604)+SUMIF(Mercado_Receita!$S$2:$S$604,"44593B2Convencional pré-pagamentoRuralServiço público de irrigação ruralNão se aplicaNão se aplicaFora ponta",Mercado_Receita!$L$2:$L$604)+SUMIF(Mercado_Receita!$S$2:$S$604,"44593B2Convencional pré-pagamentoRuralServiço público de irrigação ruralNão se aplicaNão se aplicaIntermediário",Mercado_Receita!$L$2:$L$604)+SUMIF(Mercado_Receita!$S$2:$S$604,"44593B2Convencional pré-pagamentoRuralServiço público de irrigação ruralNão se aplicaNão se aplicaNão se aplica",Mercado_Receita!$L$2:$L$604)</f>
        <v>0</v>
      </c>
      <c r="P45" s="13">
        <f>SUMIF(Mercado_Receita!$S$2:$S$604,"44621B2Convencional pré-pagamentoRuralServiço público de irrigação ruralNão se aplicaNão se aplicaPonta",Mercado_Receita!$L$2:$L$604)+SUMIF(Mercado_Receita!$S$2:$S$604,"44621B2Convencional pré-pagamentoRuralServiço público de irrigação ruralNão se aplicaNão se aplicaFora ponta",Mercado_Receita!$L$2:$L$604)+SUMIF(Mercado_Receita!$S$2:$S$604,"44621B2Convencional pré-pagamentoRuralServiço público de irrigação ruralNão se aplicaNão se aplicaIntermediário",Mercado_Receita!$L$2:$L$604)+SUMIF(Mercado_Receita!$S$2:$S$604,"44621B2Convencional pré-pagamentoRuralServiço público de irrigação ruralNão se aplicaNão se aplicaNão se aplica",Mercado_Receita!$L$2:$L$604)</f>
        <v>0</v>
      </c>
      <c r="Q45" s="13">
        <f>SUMIF(Mercado_Receita!$S$2:$S$604,"44652B2Convencional pré-pagamentoRuralServiço público de irrigação ruralNão se aplicaNão se aplicaPonta",Mercado_Receita!$L$2:$L$604)+SUMIF(Mercado_Receita!$S$2:$S$604,"44652B2Convencional pré-pagamentoRuralServiço público de irrigação ruralNão se aplicaNão se aplicaFora ponta",Mercado_Receita!$L$2:$L$604)+SUMIF(Mercado_Receita!$S$2:$S$604,"44652B2Convencional pré-pagamentoRuralServiço público de irrigação ruralNão se aplicaNão se aplicaIntermediário",Mercado_Receita!$L$2:$L$604)+SUMIF(Mercado_Receita!$S$2:$S$604,"44652B2Convencional pré-pagamentoRuralServiço público de irrigação ruralNão se aplicaNão se aplicaNão se aplica",Mercado_Receita!$L$2:$L$604)</f>
        <v>0</v>
      </c>
      <c r="R45" s="13">
        <f>SUMIF(Mercado_Receita!$S$2:$S$604,"44682B2Convencional pré-pagamentoRuralServiço público de irrigação ruralNão se aplicaNão se aplicaPonta",Mercado_Receita!$L$2:$L$604)+SUMIF(Mercado_Receita!$S$2:$S$604,"44682B2Convencional pré-pagamentoRuralServiço público de irrigação ruralNão se aplicaNão se aplicaFora ponta",Mercado_Receita!$L$2:$L$604)+SUMIF(Mercado_Receita!$S$2:$S$604,"44682B2Convencional pré-pagamentoRuralServiço público de irrigação ruralNão se aplicaNão se aplicaIntermediário",Mercado_Receita!$L$2:$L$604)+SUMIF(Mercado_Receita!$S$2:$S$604,"44682B2Convencional pré-pagamentoRuralServiço público de irrigação ruralNão se aplicaNão se aplicaNão se aplica",Mercado_Receita!$L$2:$L$604)</f>
        <v>0</v>
      </c>
      <c r="S45" s="13">
        <f>SUMIF(Mercado_Receita!$S$2:$S$604,"44713B2Convencional pré-pagamentoRuralServiço público de irrigação ruralNão se aplicaNão se aplicaPonta",Mercado_Receita!$L$2:$L$604)+SUMIF(Mercado_Receita!$S$2:$S$604,"44713B2Convencional pré-pagamentoRuralServiço público de irrigação ruralNão se aplicaNão se aplicaFora ponta",Mercado_Receita!$L$2:$L$604)+SUMIF(Mercado_Receita!$S$2:$S$604,"44713B2Convencional pré-pagamentoRuralServiço público de irrigação ruralNão se aplicaNão se aplicaIntermediário",Mercado_Receita!$L$2:$L$604)+SUMIF(Mercado_Receita!$S$2:$S$604,"44713B2Convencional pré-pagamentoRuralServiço público de irrigação ruralNão se aplicaNão se aplicaNão se aplica",Mercado_Receita!$L$2:$L$604)</f>
        <v>0</v>
      </c>
      <c r="T45" s="13">
        <f>SUMIF(Mercado_Receita!$S$2:$S$604,"44743B2Convencional pré-pagamentoRuralServiço público de irrigação ruralNão se aplicaNão se aplicaPonta",Mercado_Receita!$L$2:$L$604)+SUMIF(Mercado_Receita!$S$2:$S$604,"44743B2Convencional pré-pagamentoRuralServiço público de irrigação ruralNão se aplicaNão se aplicaFora ponta",Mercado_Receita!$L$2:$L$604)+SUMIF(Mercado_Receita!$S$2:$S$604,"44743B2Convencional pré-pagamentoRuralServiço público de irrigação ruralNão se aplicaNão se aplicaIntermediário",Mercado_Receita!$L$2:$L$604)+SUMIF(Mercado_Receita!$S$2:$S$604,"44743B2Convencional pré-pagamentoRuralServiço público de irrigação ruralNão se aplicaNão se aplicaNão se aplica",Mercado_Receita!$L$2:$L$604)</f>
        <v>0</v>
      </c>
      <c r="U45" s="13">
        <f t="shared" si="1"/>
        <v>0</v>
      </c>
      <c r="V45" s="13"/>
      <c r="W45" s="13"/>
    </row>
    <row r="46" spans="1:23" ht="11.25" customHeight="1" x14ac:dyDescent="0.3">
      <c r="A46" s="128" t="s">
        <v>32</v>
      </c>
      <c r="B46" s="128" t="s">
        <v>38</v>
      </c>
      <c r="C46" s="128" t="s">
        <v>25</v>
      </c>
      <c r="D46" s="128" t="s">
        <v>25</v>
      </c>
      <c r="E46" s="128" t="s">
        <v>25</v>
      </c>
      <c r="F46" s="128" t="s">
        <v>25</v>
      </c>
      <c r="G46" s="13" t="s">
        <v>79</v>
      </c>
      <c r="H46" s="13" t="s">
        <v>78</v>
      </c>
      <c r="I46" s="13">
        <f>SUMIF(Mercado_Receita!$S$2:$S$604,"44409B3BrancaNão se aplicaNão se aplicaNão se aplicaNão se aplicaPonta",Mercado_Receita!$L$2:$L$604)</f>
        <v>0.34</v>
      </c>
      <c r="J46" s="13">
        <f>SUMIF(Mercado_Receita!$S$2:$S$604,"44440B3BrancaNão se aplicaNão se aplicaNão se aplicaNão se aplicaPonta",Mercado_Receita!$L$2:$L$604)</f>
        <v>0.33600000000000002</v>
      </c>
      <c r="K46" s="13">
        <f>SUMIF(Mercado_Receita!$S$2:$S$604,"44470B3BrancaNão se aplicaNão se aplicaNão se aplicaNão se aplicaPonta",Mercado_Receita!$L$2:$L$604)</f>
        <v>0.34099999999999997</v>
      </c>
      <c r="L46" s="13">
        <f>SUMIF(Mercado_Receita!$S$2:$S$604,"44501B3BrancaNão se aplicaNão se aplicaNão se aplicaNão se aplicaPonta",Mercado_Receita!$L$2:$L$604)</f>
        <v>0.32300000000000001</v>
      </c>
      <c r="M46" s="13">
        <f>SUMIF(Mercado_Receita!$S$2:$S$604,"44531B3BrancaNão se aplicaNão se aplicaNão se aplicaNão se aplicaPonta",Mercado_Receita!$L$2:$L$604)</f>
        <v>0.30900000000000005</v>
      </c>
      <c r="N46" s="13">
        <f>SUMIF(Mercado_Receita!$S$2:$S$604,"44562B3BrancaNão se aplicaNão se aplicaNão se aplicaNão se aplicaPonta",Mercado_Receita!$L$2:$L$604)</f>
        <v>0.44700000000000001</v>
      </c>
      <c r="O46" s="13">
        <f>SUMIF(Mercado_Receita!$S$2:$S$604,"44593B3BrancaNão se aplicaNão se aplicaNão se aplicaNão se aplicaPonta",Mercado_Receita!$L$2:$L$604)</f>
        <v>0.40499999999999997</v>
      </c>
      <c r="P46" s="13">
        <f>SUMIF(Mercado_Receita!$S$2:$S$604,"44621B3BrancaNão se aplicaNão se aplicaNão se aplicaNão se aplicaPonta",Mercado_Receita!$L$2:$L$604)</f>
        <v>0.34099999999999997</v>
      </c>
      <c r="Q46" s="13">
        <f>SUMIF(Mercado_Receita!$S$2:$S$604,"44652B3BrancaNão se aplicaNão se aplicaNão se aplicaNão se aplicaPonta",Mercado_Receita!$L$2:$L$604)</f>
        <v>0.374</v>
      </c>
      <c r="R46" s="13">
        <f>SUMIF(Mercado_Receita!$S$2:$S$604,"44682B3BrancaNão se aplicaNão se aplicaNão se aplicaNão se aplicaPonta",Mercado_Receita!$L$2:$L$604)</f>
        <v>0.39299999999999996</v>
      </c>
      <c r="S46" s="13">
        <f>SUMIF(Mercado_Receita!$S$2:$S$604,"44713B3BrancaNão se aplicaNão se aplicaNão se aplicaNão se aplicaPonta",Mercado_Receita!$L$2:$L$604)</f>
        <v>0.45599999999999996</v>
      </c>
      <c r="T46" s="13">
        <f>SUMIF(Mercado_Receita!$S$2:$S$604,"44743B3BrancaNão se aplicaNão se aplicaNão se aplicaNão se aplicaPonta",Mercado_Receita!$L$2:$L$604)</f>
        <v>0.40299999999999997</v>
      </c>
      <c r="U46" s="13">
        <f t="shared" si="1"/>
        <v>4.4679999999999991</v>
      </c>
      <c r="V46" s="13"/>
      <c r="W46" s="13"/>
    </row>
    <row r="47" spans="1:23" ht="11.25" customHeight="1" x14ac:dyDescent="0.3">
      <c r="A47" s="129"/>
      <c r="B47" s="129"/>
      <c r="C47" s="129"/>
      <c r="D47" s="129"/>
      <c r="E47" s="129"/>
      <c r="F47" s="129"/>
      <c r="G47" s="13" t="s">
        <v>89</v>
      </c>
      <c r="H47" s="13" t="s">
        <v>78</v>
      </c>
      <c r="I47" s="13">
        <f>SUMIF(Mercado_Receita!$S$2:$S$604,"44409B3BrancaNão se aplicaNão se aplicaNão se aplicaNão se aplicaIntermediário",Mercado_Receita!$L$2:$L$604)</f>
        <v>0.438</v>
      </c>
      <c r="J47" s="13">
        <f>SUMIF(Mercado_Receita!$S$2:$S$604,"44440B3BrancaNão se aplicaNão se aplicaNão se aplicaNão se aplicaIntermediário",Mercado_Receita!$L$2:$L$604)</f>
        <v>0.378</v>
      </c>
      <c r="K47" s="13">
        <f>SUMIF(Mercado_Receita!$S$2:$S$604,"44470B3BrancaNão se aplicaNão se aplicaNão se aplicaNão se aplicaIntermediário",Mercado_Receita!$L$2:$L$604)</f>
        <v>0.38800000000000001</v>
      </c>
      <c r="L47" s="13">
        <f>SUMIF(Mercado_Receita!$S$2:$S$604,"44501B3BrancaNão se aplicaNão se aplicaNão se aplicaNão se aplicaIntermediário",Mercado_Receita!$L$2:$L$604)</f>
        <v>0.34100000000000003</v>
      </c>
      <c r="M47" s="13">
        <f>SUMIF(Mercado_Receita!$S$2:$S$604,"44531B3BrancaNão se aplicaNão se aplicaNão se aplicaNão se aplicaIntermediário",Mercado_Receita!$L$2:$L$604)</f>
        <v>0.36300000000000004</v>
      </c>
      <c r="N47" s="13">
        <f>SUMIF(Mercado_Receita!$S$2:$S$604,"44562B3BrancaNão se aplicaNão se aplicaNão se aplicaNão se aplicaIntermediário",Mercado_Receita!$L$2:$L$604)</f>
        <v>0.38800000000000001</v>
      </c>
      <c r="O47" s="13">
        <f>SUMIF(Mercado_Receita!$S$2:$S$604,"44593B3BrancaNão se aplicaNão se aplicaNão se aplicaNão se aplicaIntermediário",Mercado_Receita!$L$2:$L$604)</f>
        <v>0.47499999999999998</v>
      </c>
      <c r="P47" s="13">
        <f>SUMIF(Mercado_Receita!$S$2:$S$604,"44621B3BrancaNão se aplicaNão se aplicaNão se aplicaNão se aplicaIntermediário",Mercado_Receita!$L$2:$L$604)</f>
        <v>0.35199999999999998</v>
      </c>
      <c r="Q47" s="13">
        <f>SUMIF(Mercado_Receita!$S$2:$S$604,"44652B3BrancaNão se aplicaNão se aplicaNão se aplicaNão se aplicaIntermediário",Mercado_Receita!$L$2:$L$604)</f>
        <v>0.40800000000000003</v>
      </c>
      <c r="R47" s="13">
        <f>SUMIF(Mercado_Receita!$S$2:$S$604,"44682B3BrancaNão se aplicaNão se aplicaNão se aplicaNão se aplicaIntermediário",Mercado_Receita!$L$2:$L$604)</f>
        <v>0.375</v>
      </c>
      <c r="S47" s="13">
        <f>SUMIF(Mercado_Receita!$S$2:$S$604,"44713B3BrancaNão se aplicaNão se aplicaNão se aplicaNão se aplicaIntermediário",Mercado_Receita!$L$2:$L$604)</f>
        <v>0.43799999999999994</v>
      </c>
      <c r="T47" s="13">
        <f>SUMIF(Mercado_Receita!$S$2:$S$604,"44743B3BrancaNão se aplicaNão se aplicaNão se aplicaNão se aplicaIntermediário",Mercado_Receita!$L$2:$L$604)</f>
        <v>0.442</v>
      </c>
      <c r="U47" s="13">
        <f t="shared" si="1"/>
        <v>4.7860000000000005</v>
      </c>
      <c r="V47" s="13"/>
      <c r="W47" s="13"/>
    </row>
    <row r="48" spans="1:23" ht="11.25" customHeight="1" x14ac:dyDescent="0.3">
      <c r="A48" s="129"/>
      <c r="B48" s="129"/>
      <c r="C48" s="129"/>
      <c r="D48" s="129"/>
      <c r="E48" s="129"/>
      <c r="F48" s="129"/>
      <c r="G48" s="13" t="s">
        <v>80</v>
      </c>
      <c r="H48" s="13" t="s">
        <v>78</v>
      </c>
      <c r="I48" s="13">
        <f>SUMIF(Mercado_Receita!$S$2:$S$604,"44409B3BrancaNão se aplicaNão se aplicaNão se aplicaNão se aplicaFora ponta",Mercado_Receita!$L$2:$L$604)</f>
        <v>11.536999999999999</v>
      </c>
      <c r="J48" s="13">
        <f>SUMIF(Mercado_Receita!$S$2:$S$604,"44440B3BrancaNão se aplicaNão se aplicaNão se aplicaNão se aplicaFora ponta",Mercado_Receita!$L$2:$L$604)</f>
        <v>11.838000000000001</v>
      </c>
      <c r="K48" s="13">
        <f>SUMIF(Mercado_Receita!$S$2:$S$604,"44470B3BrancaNão se aplicaNão se aplicaNão se aplicaNão se aplicaFora ponta",Mercado_Receita!$L$2:$L$604)</f>
        <v>12.567</v>
      </c>
      <c r="L48" s="13">
        <f>SUMIF(Mercado_Receita!$S$2:$S$604,"44501B3BrancaNão se aplicaNão se aplicaNão se aplicaNão se aplicaFora ponta",Mercado_Receita!$L$2:$L$604)</f>
        <v>11.339</v>
      </c>
      <c r="M48" s="13">
        <f>SUMIF(Mercado_Receita!$S$2:$S$604,"44531B3BrancaNão se aplicaNão se aplicaNão se aplicaNão se aplicaFora ponta",Mercado_Receita!$L$2:$L$604)</f>
        <v>11.585000000000001</v>
      </c>
      <c r="N48" s="13">
        <f>SUMIF(Mercado_Receita!$S$2:$S$604,"44562B3BrancaNão se aplicaNão se aplicaNão se aplicaNão se aplicaFora ponta",Mercado_Receita!$L$2:$L$604)</f>
        <v>13.624000000000001</v>
      </c>
      <c r="O48" s="13">
        <f>SUMIF(Mercado_Receita!$S$2:$S$604,"44593B3BrancaNão se aplicaNão se aplicaNão se aplicaNão se aplicaFora ponta",Mercado_Receita!$L$2:$L$604)</f>
        <v>15.64</v>
      </c>
      <c r="P48" s="13">
        <f>SUMIF(Mercado_Receita!$S$2:$S$604,"44621B3BrancaNão se aplicaNão se aplicaNão se aplicaNão se aplicaFora ponta",Mercado_Receita!$L$2:$L$604)</f>
        <v>12.99</v>
      </c>
      <c r="Q48" s="13">
        <f>SUMIF(Mercado_Receita!$S$2:$S$604,"44652B3BrancaNão se aplicaNão se aplicaNão se aplicaNão se aplicaFora ponta",Mercado_Receita!$L$2:$L$604)</f>
        <v>12.323</v>
      </c>
      <c r="R48" s="13">
        <f>SUMIF(Mercado_Receita!$S$2:$S$604,"44682B3BrancaNão se aplicaNão se aplicaNão se aplicaNão se aplicaFora ponta",Mercado_Receita!$L$2:$L$604)</f>
        <v>12.501999999999999</v>
      </c>
      <c r="S48" s="13">
        <f>SUMIF(Mercado_Receita!$S$2:$S$604,"44713B3BrancaNão se aplicaNão se aplicaNão se aplicaNão se aplicaFora ponta",Mercado_Receita!$L$2:$L$604)</f>
        <v>13.851000000000001</v>
      </c>
      <c r="T48" s="13">
        <f>SUMIF(Mercado_Receita!$S$2:$S$604,"44743B3BrancaNão se aplicaNão se aplicaNão se aplicaNão se aplicaFora ponta",Mercado_Receita!$L$2:$L$604)</f>
        <v>13.837999999999999</v>
      </c>
      <c r="U48" s="13">
        <f t="shared" si="1"/>
        <v>153.63399999999999</v>
      </c>
      <c r="V48" s="13"/>
      <c r="W48" s="13"/>
    </row>
    <row r="49" spans="1:23" ht="11.25" customHeight="1" x14ac:dyDescent="0.3">
      <c r="A49" s="129"/>
      <c r="B49" s="12" t="s">
        <v>23</v>
      </c>
      <c r="C49" s="12" t="s">
        <v>25</v>
      </c>
      <c r="D49" s="12" t="s">
        <v>25</v>
      </c>
      <c r="E49" s="12" t="s">
        <v>25</v>
      </c>
      <c r="F49" s="12" t="s">
        <v>25</v>
      </c>
      <c r="G49" s="13" t="s">
        <v>84</v>
      </c>
      <c r="H49" s="13" t="s">
        <v>78</v>
      </c>
      <c r="I49" s="13">
        <f>SUMIF(Mercado_Receita!$S$2:$S$604,"44409B3ConvencionalNão se aplicaNão se aplicaNão se aplicaNão se aplicaPonta",Mercado_Receita!$L$2:$L$604)+SUMIF(Mercado_Receita!$S$2:$S$604,"44409B3ConvencionalNão se aplicaNão se aplicaNão se aplicaNão se aplicaFora ponta",Mercado_Receita!$L$2:$L$604)+SUMIF(Mercado_Receita!$S$2:$S$604,"44409B3ConvencionalNão se aplicaNão se aplicaNão se aplicaNão se aplicaIntermediário",Mercado_Receita!$L$2:$L$604)+SUMIF(Mercado_Receita!$S$2:$S$604,"44409B3ConvencionalNão se aplicaNão se aplicaNão se aplicaNão se aplicaNão se aplica",Mercado_Receita!$L$2:$L$604)</f>
        <v>467.09899999999999</v>
      </c>
      <c r="J49" s="13">
        <f>SUMIF(Mercado_Receita!$S$2:$S$604,"44440B3ConvencionalNão se aplicaNão se aplicaNão se aplicaNão se aplicaPonta",Mercado_Receita!$L$2:$L$604)+SUMIF(Mercado_Receita!$S$2:$S$604,"44440B3ConvencionalNão se aplicaNão se aplicaNão se aplicaNão se aplicaFora ponta",Mercado_Receita!$L$2:$L$604)+SUMIF(Mercado_Receita!$S$2:$S$604,"44440B3ConvencionalNão se aplicaNão se aplicaNão se aplicaNão se aplicaIntermediário",Mercado_Receita!$L$2:$L$604)+SUMIF(Mercado_Receita!$S$2:$S$604,"44440B3ConvencionalNão se aplicaNão se aplicaNão se aplicaNão se aplicaNão se aplica",Mercado_Receita!$L$2:$L$604)</f>
        <v>508.84699999999998</v>
      </c>
      <c r="K49" s="13">
        <f>SUMIF(Mercado_Receita!$S$2:$S$604,"44470B3ConvencionalNão se aplicaNão se aplicaNão se aplicaNão se aplicaPonta",Mercado_Receita!$L$2:$L$604)+SUMIF(Mercado_Receita!$S$2:$S$604,"44470B3ConvencionalNão se aplicaNão se aplicaNão se aplicaNão se aplicaFora ponta",Mercado_Receita!$L$2:$L$604)+SUMIF(Mercado_Receita!$S$2:$S$604,"44470B3ConvencionalNão se aplicaNão se aplicaNão se aplicaNão se aplicaIntermediário",Mercado_Receita!$L$2:$L$604)+SUMIF(Mercado_Receita!$S$2:$S$604,"44470B3ConvencionalNão se aplicaNão se aplicaNão se aplicaNão se aplicaNão se aplica",Mercado_Receita!$L$2:$L$604)</f>
        <v>481.61</v>
      </c>
      <c r="L49" s="13">
        <f>SUMIF(Mercado_Receita!$S$2:$S$604,"44501B3ConvencionalNão se aplicaNão se aplicaNão se aplicaNão se aplicaPonta",Mercado_Receita!$L$2:$L$604)+SUMIF(Mercado_Receita!$S$2:$S$604,"44501B3ConvencionalNão se aplicaNão se aplicaNão se aplicaNão se aplicaFora ponta",Mercado_Receita!$L$2:$L$604)+SUMIF(Mercado_Receita!$S$2:$S$604,"44501B3ConvencionalNão se aplicaNão se aplicaNão se aplicaNão se aplicaIntermediário",Mercado_Receita!$L$2:$L$604)+SUMIF(Mercado_Receita!$S$2:$S$604,"44501B3ConvencionalNão se aplicaNão se aplicaNão se aplicaNão se aplicaNão se aplica",Mercado_Receita!$L$2:$L$604)</f>
        <v>480.44899999999996</v>
      </c>
      <c r="M49" s="13">
        <f>SUMIF(Mercado_Receita!$S$2:$S$604,"44531B3ConvencionalNão se aplicaNão se aplicaNão se aplicaNão se aplicaPonta",Mercado_Receita!$L$2:$L$604)+SUMIF(Mercado_Receita!$S$2:$S$604,"44531B3ConvencionalNão se aplicaNão se aplicaNão se aplicaNão se aplicaFora ponta",Mercado_Receita!$L$2:$L$604)+SUMIF(Mercado_Receita!$S$2:$S$604,"44531B3ConvencionalNão se aplicaNão se aplicaNão se aplicaNão se aplicaIntermediário",Mercado_Receita!$L$2:$L$604)+SUMIF(Mercado_Receita!$S$2:$S$604,"44531B3ConvencionalNão se aplicaNão se aplicaNão se aplicaNão se aplicaNão se aplica",Mercado_Receita!$L$2:$L$604)</f>
        <v>566.53</v>
      </c>
      <c r="N49" s="13">
        <f>SUMIF(Mercado_Receita!$S$2:$S$604,"44562B3ConvencionalNão se aplicaNão se aplicaNão se aplicaNão se aplicaPonta",Mercado_Receita!$L$2:$L$604)+SUMIF(Mercado_Receita!$S$2:$S$604,"44562B3ConvencionalNão se aplicaNão se aplicaNão se aplicaNão se aplicaFora ponta",Mercado_Receita!$L$2:$L$604)+SUMIF(Mercado_Receita!$S$2:$S$604,"44562B3ConvencionalNão se aplicaNão se aplicaNão se aplicaNão se aplicaIntermediário",Mercado_Receita!$L$2:$L$604)+SUMIF(Mercado_Receita!$S$2:$S$604,"44562B3ConvencionalNão se aplicaNão se aplicaNão se aplicaNão se aplicaNão se aplica",Mercado_Receita!$L$2:$L$604)</f>
        <v>572.07599999999991</v>
      </c>
      <c r="O49" s="13">
        <f>SUMIF(Mercado_Receita!$S$2:$S$604,"44593B3ConvencionalNão se aplicaNão se aplicaNão se aplicaNão se aplicaPonta",Mercado_Receita!$L$2:$L$604)+SUMIF(Mercado_Receita!$S$2:$S$604,"44593B3ConvencionalNão se aplicaNão se aplicaNão se aplicaNão se aplicaFora ponta",Mercado_Receita!$L$2:$L$604)+SUMIF(Mercado_Receita!$S$2:$S$604,"44593B3ConvencionalNão se aplicaNão se aplicaNão se aplicaNão se aplicaIntermediário",Mercado_Receita!$L$2:$L$604)+SUMIF(Mercado_Receita!$S$2:$S$604,"44593B3ConvencionalNão se aplicaNão se aplicaNão se aplicaNão se aplicaNão se aplica",Mercado_Receita!$L$2:$L$604)</f>
        <v>661.69799999999998</v>
      </c>
      <c r="P49" s="13">
        <f>SUMIF(Mercado_Receita!$S$2:$S$604,"44621B3ConvencionalNão se aplicaNão se aplicaNão se aplicaNão se aplicaPonta",Mercado_Receita!$L$2:$L$604)+SUMIF(Mercado_Receita!$S$2:$S$604,"44621B3ConvencionalNão se aplicaNão se aplicaNão se aplicaNão se aplicaFora ponta",Mercado_Receita!$L$2:$L$604)+SUMIF(Mercado_Receita!$S$2:$S$604,"44621B3ConvencionalNão se aplicaNão se aplicaNão se aplicaNão se aplicaIntermediário",Mercado_Receita!$L$2:$L$604)+SUMIF(Mercado_Receita!$S$2:$S$604,"44621B3ConvencionalNão se aplicaNão se aplicaNão se aplicaNão se aplicaNão se aplica",Mercado_Receita!$L$2:$L$604)</f>
        <v>651.50099999999986</v>
      </c>
      <c r="Q49" s="13">
        <f>SUMIF(Mercado_Receita!$S$2:$S$604,"44652B3ConvencionalNão se aplicaNão se aplicaNão se aplicaNão se aplicaPonta",Mercado_Receita!$L$2:$L$604)+SUMIF(Mercado_Receita!$S$2:$S$604,"44652B3ConvencionalNão se aplicaNão se aplicaNão se aplicaNão se aplicaFora ponta",Mercado_Receita!$L$2:$L$604)+SUMIF(Mercado_Receita!$S$2:$S$604,"44652B3ConvencionalNão se aplicaNão se aplicaNão se aplicaNão se aplicaIntermediário",Mercado_Receita!$L$2:$L$604)+SUMIF(Mercado_Receita!$S$2:$S$604,"44652B3ConvencionalNão se aplicaNão se aplicaNão se aplicaNão se aplicaNão se aplica",Mercado_Receita!$L$2:$L$604)</f>
        <v>602.35299999999995</v>
      </c>
      <c r="R49" s="13">
        <f>SUMIF(Mercado_Receita!$S$2:$S$604,"44682B3ConvencionalNão se aplicaNão se aplicaNão se aplicaNão se aplicaPonta",Mercado_Receita!$L$2:$L$604)+SUMIF(Mercado_Receita!$S$2:$S$604,"44682B3ConvencionalNão se aplicaNão se aplicaNão se aplicaNão se aplicaFora ponta",Mercado_Receita!$L$2:$L$604)+SUMIF(Mercado_Receita!$S$2:$S$604,"44682B3ConvencionalNão se aplicaNão se aplicaNão se aplicaNão se aplicaIntermediário",Mercado_Receita!$L$2:$L$604)+SUMIF(Mercado_Receita!$S$2:$S$604,"44682B3ConvencionalNão se aplicaNão se aplicaNão se aplicaNão se aplicaNão se aplica",Mercado_Receita!$L$2:$L$604)</f>
        <v>472.18700000000001</v>
      </c>
      <c r="S49" s="13">
        <f>SUMIF(Mercado_Receita!$S$2:$S$604,"44713B3ConvencionalNão se aplicaNão se aplicaNão se aplicaNão se aplicaPonta",Mercado_Receita!$L$2:$L$604)+SUMIF(Mercado_Receita!$S$2:$S$604,"44713B3ConvencionalNão se aplicaNão se aplicaNão se aplicaNão se aplicaFora ponta",Mercado_Receita!$L$2:$L$604)+SUMIF(Mercado_Receita!$S$2:$S$604,"44713B3ConvencionalNão se aplicaNão se aplicaNão se aplicaNão se aplicaIntermediário",Mercado_Receita!$L$2:$L$604)+SUMIF(Mercado_Receita!$S$2:$S$604,"44713B3ConvencionalNão se aplicaNão se aplicaNão se aplicaNão se aplicaNão se aplica",Mercado_Receita!$L$2:$L$604)</f>
        <v>486.85900000000004</v>
      </c>
      <c r="T49" s="13">
        <f>SUMIF(Mercado_Receita!$S$2:$S$604,"44743B3ConvencionalNão se aplicaNão se aplicaNão se aplicaNão se aplicaPonta",Mercado_Receita!$L$2:$L$604)+SUMIF(Mercado_Receita!$S$2:$S$604,"44743B3ConvencionalNão se aplicaNão se aplicaNão se aplicaNão se aplicaFora ponta",Mercado_Receita!$L$2:$L$604)+SUMIF(Mercado_Receita!$S$2:$S$604,"44743B3ConvencionalNão se aplicaNão se aplicaNão se aplicaNão se aplicaIntermediário",Mercado_Receita!$L$2:$L$604)+SUMIF(Mercado_Receita!$S$2:$S$604,"44743B3ConvencionalNão se aplicaNão se aplicaNão se aplicaNão se aplicaNão se aplica",Mercado_Receita!$L$2:$L$604)</f>
        <v>483.60700000000008</v>
      </c>
      <c r="U49" s="13">
        <f t="shared" si="1"/>
        <v>6434.8159999999998</v>
      </c>
      <c r="V49" s="13"/>
      <c r="W49" s="13"/>
    </row>
    <row r="50" spans="1:23" ht="11.25" customHeight="1" x14ac:dyDescent="0.3">
      <c r="A50" s="129"/>
      <c r="B50" s="12" t="s">
        <v>92</v>
      </c>
      <c r="C50" s="12" t="s">
        <v>25</v>
      </c>
      <c r="D50" s="12" t="s">
        <v>25</v>
      </c>
      <c r="E50" s="12" t="s">
        <v>25</v>
      </c>
      <c r="F50" s="12" t="s">
        <v>25</v>
      </c>
      <c r="G50" s="13" t="s">
        <v>84</v>
      </c>
      <c r="H50" s="13" t="s">
        <v>78</v>
      </c>
      <c r="I50" s="13">
        <f>SUMIF(Mercado_Receita!$S$2:$S$604,"44409B3Convencional pré-pagamentoNão se aplicaNão se aplicaNão se aplicaNão se aplicaPonta",Mercado_Receita!$L$2:$L$604)+SUMIF(Mercado_Receita!$S$2:$S$604,"44409B3Convencional pré-pagamentoNão se aplicaNão se aplicaNão se aplicaNão se aplicaFora ponta",Mercado_Receita!$L$2:$L$604)+SUMIF(Mercado_Receita!$S$2:$S$604,"44409B3Convencional pré-pagamentoNão se aplicaNão se aplicaNão se aplicaNão se aplicaIntermediário",Mercado_Receita!$L$2:$L$604)+SUMIF(Mercado_Receita!$S$2:$S$604,"44409B3Convencional pré-pagamentoNão se aplicaNão se aplicaNão se aplicaNão se aplicaNão se aplica",Mercado_Receita!$L$2:$L$604)</f>
        <v>0</v>
      </c>
      <c r="J50" s="13">
        <f>SUMIF(Mercado_Receita!$S$2:$S$604,"44440B3Convencional pré-pagamentoNão se aplicaNão se aplicaNão se aplicaNão se aplicaPonta",Mercado_Receita!$L$2:$L$604)+SUMIF(Mercado_Receita!$S$2:$S$604,"44440B3Convencional pré-pagamentoNão se aplicaNão se aplicaNão se aplicaNão se aplicaFora ponta",Mercado_Receita!$L$2:$L$604)+SUMIF(Mercado_Receita!$S$2:$S$604,"44440B3Convencional pré-pagamentoNão se aplicaNão se aplicaNão se aplicaNão se aplicaIntermediário",Mercado_Receita!$L$2:$L$604)+SUMIF(Mercado_Receita!$S$2:$S$604,"44440B3Convencional pré-pagamentoNão se aplicaNão se aplicaNão se aplicaNão se aplicaNão se aplica",Mercado_Receita!$L$2:$L$604)</f>
        <v>0</v>
      </c>
      <c r="K50" s="13">
        <f>SUMIF(Mercado_Receita!$S$2:$S$604,"44470B3Convencional pré-pagamentoNão se aplicaNão se aplicaNão se aplicaNão se aplicaPonta",Mercado_Receita!$L$2:$L$604)+SUMIF(Mercado_Receita!$S$2:$S$604,"44470B3Convencional pré-pagamentoNão se aplicaNão se aplicaNão se aplicaNão se aplicaFora ponta",Mercado_Receita!$L$2:$L$604)+SUMIF(Mercado_Receita!$S$2:$S$604,"44470B3Convencional pré-pagamentoNão se aplicaNão se aplicaNão se aplicaNão se aplicaIntermediário",Mercado_Receita!$L$2:$L$604)+SUMIF(Mercado_Receita!$S$2:$S$604,"44470B3Convencional pré-pagamentoNão se aplicaNão se aplicaNão se aplicaNão se aplicaNão se aplica",Mercado_Receita!$L$2:$L$604)</f>
        <v>0</v>
      </c>
      <c r="L50" s="13">
        <f>SUMIF(Mercado_Receita!$S$2:$S$604,"44501B3Convencional pré-pagamentoNão se aplicaNão se aplicaNão se aplicaNão se aplicaPonta",Mercado_Receita!$L$2:$L$604)+SUMIF(Mercado_Receita!$S$2:$S$604,"44501B3Convencional pré-pagamentoNão se aplicaNão se aplicaNão se aplicaNão se aplicaFora ponta",Mercado_Receita!$L$2:$L$604)+SUMIF(Mercado_Receita!$S$2:$S$604,"44501B3Convencional pré-pagamentoNão se aplicaNão se aplicaNão se aplicaNão se aplicaIntermediário",Mercado_Receita!$L$2:$L$604)+SUMIF(Mercado_Receita!$S$2:$S$604,"44501B3Convencional pré-pagamentoNão se aplicaNão se aplicaNão se aplicaNão se aplicaNão se aplica",Mercado_Receita!$L$2:$L$604)</f>
        <v>0</v>
      </c>
      <c r="M50" s="13">
        <f>SUMIF(Mercado_Receita!$S$2:$S$604,"44531B3Convencional pré-pagamentoNão se aplicaNão se aplicaNão se aplicaNão se aplicaPonta",Mercado_Receita!$L$2:$L$604)+SUMIF(Mercado_Receita!$S$2:$S$604,"44531B3Convencional pré-pagamentoNão se aplicaNão se aplicaNão se aplicaNão se aplicaFora ponta",Mercado_Receita!$L$2:$L$604)+SUMIF(Mercado_Receita!$S$2:$S$604,"44531B3Convencional pré-pagamentoNão se aplicaNão se aplicaNão se aplicaNão se aplicaIntermediário",Mercado_Receita!$L$2:$L$604)+SUMIF(Mercado_Receita!$S$2:$S$604,"44531B3Convencional pré-pagamentoNão se aplicaNão se aplicaNão se aplicaNão se aplicaNão se aplica",Mercado_Receita!$L$2:$L$604)</f>
        <v>0</v>
      </c>
      <c r="N50" s="13">
        <f>SUMIF(Mercado_Receita!$S$2:$S$604,"44562B3Convencional pré-pagamentoNão se aplicaNão se aplicaNão se aplicaNão se aplicaPonta",Mercado_Receita!$L$2:$L$604)+SUMIF(Mercado_Receita!$S$2:$S$604,"44562B3Convencional pré-pagamentoNão se aplicaNão se aplicaNão se aplicaNão se aplicaFora ponta",Mercado_Receita!$L$2:$L$604)+SUMIF(Mercado_Receita!$S$2:$S$604,"44562B3Convencional pré-pagamentoNão se aplicaNão se aplicaNão se aplicaNão se aplicaIntermediário",Mercado_Receita!$L$2:$L$604)+SUMIF(Mercado_Receita!$S$2:$S$604,"44562B3Convencional pré-pagamentoNão se aplicaNão se aplicaNão se aplicaNão se aplicaNão se aplica",Mercado_Receita!$L$2:$L$604)</f>
        <v>0</v>
      </c>
      <c r="O50" s="13">
        <f>SUMIF(Mercado_Receita!$S$2:$S$604,"44593B3Convencional pré-pagamentoNão se aplicaNão se aplicaNão se aplicaNão se aplicaPonta",Mercado_Receita!$L$2:$L$604)+SUMIF(Mercado_Receita!$S$2:$S$604,"44593B3Convencional pré-pagamentoNão se aplicaNão se aplicaNão se aplicaNão se aplicaFora ponta",Mercado_Receita!$L$2:$L$604)+SUMIF(Mercado_Receita!$S$2:$S$604,"44593B3Convencional pré-pagamentoNão se aplicaNão se aplicaNão se aplicaNão se aplicaIntermediário",Mercado_Receita!$L$2:$L$604)+SUMIF(Mercado_Receita!$S$2:$S$604,"44593B3Convencional pré-pagamentoNão se aplicaNão se aplicaNão se aplicaNão se aplicaNão se aplica",Mercado_Receita!$L$2:$L$604)</f>
        <v>0</v>
      </c>
      <c r="P50" s="13">
        <f>SUMIF(Mercado_Receita!$S$2:$S$604,"44621B3Convencional pré-pagamentoNão se aplicaNão se aplicaNão se aplicaNão se aplicaPonta",Mercado_Receita!$L$2:$L$604)+SUMIF(Mercado_Receita!$S$2:$S$604,"44621B3Convencional pré-pagamentoNão se aplicaNão se aplicaNão se aplicaNão se aplicaFora ponta",Mercado_Receita!$L$2:$L$604)+SUMIF(Mercado_Receita!$S$2:$S$604,"44621B3Convencional pré-pagamentoNão se aplicaNão se aplicaNão se aplicaNão se aplicaIntermediário",Mercado_Receita!$L$2:$L$604)+SUMIF(Mercado_Receita!$S$2:$S$604,"44621B3Convencional pré-pagamentoNão se aplicaNão se aplicaNão se aplicaNão se aplicaNão se aplica",Mercado_Receita!$L$2:$L$604)</f>
        <v>0</v>
      </c>
      <c r="Q50" s="13">
        <f>SUMIF(Mercado_Receita!$S$2:$S$604,"44652B3Convencional pré-pagamentoNão se aplicaNão se aplicaNão se aplicaNão se aplicaPonta",Mercado_Receita!$L$2:$L$604)+SUMIF(Mercado_Receita!$S$2:$S$604,"44652B3Convencional pré-pagamentoNão se aplicaNão se aplicaNão se aplicaNão se aplicaFora ponta",Mercado_Receita!$L$2:$L$604)+SUMIF(Mercado_Receita!$S$2:$S$604,"44652B3Convencional pré-pagamentoNão se aplicaNão se aplicaNão se aplicaNão se aplicaIntermediário",Mercado_Receita!$L$2:$L$604)+SUMIF(Mercado_Receita!$S$2:$S$604,"44652B3Convencional pré-pagamentoNão se aplicaNão se aplicaNão se aplicaNão se aplicaNão se aplica",Mercado_Receita!$L$2:$L$604)</f>
        <v>0</v>
      </c>
      <c r="R50" s="13">
        <f>SUMIF(Mercado_Receita!$S$2:$S$604,"44682B3Convencional pré-pagamentoNão se aplicaNão se aplicaNão se aplicaNão se aplicaPonta",Mercado_Receita!$L$2:$L$604)+SUMIF(Mercado_Receita!$S$2:$S$604,"44682B3Convencional pré-pagamentoNão se aplicaNão se aplicaNão se aplicaNão se aplicaFora ponta",Mercado_Receita!$L$2:$L$604)+SUMIF(Mercado_Receita!$S$2:$S$604,"44682B3Convencional pré-pagamentoNão se aplicaNão se aplicaNão se aplicaNão se aplicaIntermediário",Mercado_Receita!$L$2:$L$604)+SUMIF(Mercado_Receita!$S$2:$S$604,"44682B3Convencional pré-pagamentoNão se aplicaNão se aplicaNão se aplicaNão se aplicaNão se aplica",Mercado_Receita!$L$2:$L$604)</f>
        <v>0</v>
      </c>
      <c r="S50" s="13">
        <f>SUMIF(Mercado_Receita!$S$2:$S$604,"44713B3Convencional pré-pagamentoNão se aplicaNão se aplicaNão se aplicaNão se aplicaPonta",Mercado_Receita!$L$2:$L$604)+SUMIF(Mercado_Receita!$S$2:$S$604,"44713B3Convencional pré-pagamentoNão se aplicaNão se aplicaNão se aplicaNão se aplicaFora ponta",Mercado_Receita!$L$2:$L$604)+SUMIF(Mercado_Receita!$S$2:$S$604,"44713B3Convencional pré-pagamentoNão se aplicaNão se aplicaNão se aplicaNão se aplicaIntermediário",Mercado_Receita!$L$2:$L$604)+SUMIF(Mercado_Receita!$S$2:$S$604,"44713B3Convencional pré-pagamentoNão se aplicaNão se aplicaNão se aplicaNão se aplicaNão se aplica",Mercado_Receita!$L$2:$L$604)</f>
        <v>0</v>
      </c>
      <c r="T50" s="13">
        <f>SUMIF(Mercado_Receita!$S$2:$S$604,"44743B3Convencional pré-pagamentoNão se aplicaNão se aplicaNão se aplicaNão se aplicaPonta",Mercado_Receita!$L$2:$L$604)+SUMIF(Mercado_Receita!$S$2:$S$604,"44743B3Convencional pré-pagamentoNão se aplicaNão se aplicaNão se aplicaNão se aplicaFora ponta",Mercado_Receita!$L$2:$L$604)+SUMIF(Mercado_Receita!$S$2:$S$604,"44743B3Convencional pré-pagamentoNão se aplicaNão se aplicaNão se aplicaNão se aplicaIntermediário",Mercado_Receita!$L$2:$L$604)+SUMIF(Mercado_Receita!$S$2:$S$604,"44743B3Convencional pré-pagamentoNão se aplicaNão se aplicaNão se aplicaNão se aplicaNão se aplica",Mercado_Receita!$L$2:$L$604)</f>
        <v>0</v>
      </c>
      <c r="U50" s="13">
        <f t="shared" si="1"/>
        <v>0</v>
      </c>
      <c r="V50" s="13"/>
      <c r="W50" s="13"/>
    </row>
    <row r="51" spans="1:23" ht="11.25" customHeight="1" x14ac:dyDescent="0.3">
      <c r="A51" s="128" t="s">
        <v>44</v>
      </c>
      <c r="B51" s="128" t="s">
        <v>23</v>
      </c>
      <c r="C51" s="128" t="s">
        <v>45</v>
      </c>
      <c r="D51" s="12" t="s">
        <v>46</v>
      </c>
      <c r="E51" s="12" t="s">
        <v>25</v>
      </c>
      <c r="F51" s="12" t="s">
        <v>25</v>
      </c>
      <c r="G51" s="13" t="s">
        <v>84</v>
      </c>
      <c r="H51" s="13" t="s">
        <v>78</v>
      </c>
      <c r="I51" s="13">
        <f>SUMIF(Mercado_Receita!$S$2:$S$604,"44409B4ConvencionalIluminação públicaIluminação pública – B4aNão se aplicaNão se aplicaPonta",Mercado_Receita!$L$2:$L$604)+SUMIF(Mercado_Receita!$S$2:$S$604,"44409B4ConvencionalIluminação públicaIluminação pública – B4aNão se aplicaNão se aplicaFora ponta",Mercado_Receita!$L$2:$L$604)+SUMIF(Mercado_Receita!$S$2:$S$604,"44409B4ConvencionalIluminação públicaIluminação pública – B4aNão se aplicaNão se aplicaIntermediário",Mercado_Receita!$L$2:$L$604)+SUMIF(Mercado_Receita!$S$2:$S$604,"44409B4ConvencionalIluminação públicaIluminação pública – B4aNão se aplicaNão se aplicaNão se aplica",Mercado_Receita!$L$2:$L$604)</f>
        <v>214.02199999999999</v>
      </c>
      <c r="J51" s="13">
        <f>SUMIF(Mercado_Receita!$S$2:$S$604,"44440B4ConvencionalIluminação públicaIluminação pública – B4aNão se aplicaNão se aplicaPonta",Mercado_Receita!$L$2:$L$604)+SUMIF(Mercado_Receita!$S$2:$S$604,"44440B4ConvencionalIluminação públicaIluminação pública – B4aNão se aplicaNão se aplicaFora ponta",Mercado_Receita!$L$2:$L$604)+SUMIF(Mercado_Receita!$S$2:$S$604,"44440B4ConvencionalIluminação públicaIluminação pública – B4aNão se aplicaNão se aplicaIntermediário",Mercado_Receita!$L$2:$L$604)+SUMIF(Mercado_Receita!$S$2:$S$604,"44440B4ConvencionalIluminação públicaIluminação pública – B4aNão se aplicaNão se aplicaNão se aplica",Mercado_Receita!$L$2:$L$604)</f>
        <v>192.84399999999999</v>
      </c>
      <c r="K51" s="13">
        <f>SUMIF(Mercado_Receita!$S$2:$S$604,"44470B4ConvencionalIluminação públicaIluminação pública – B4aNão se aplicaNão se aplicaPonta",Mercado_Receita!$L$2:$L$604)+SUMIF(Mercado_Receita!$S$2:$S$604,"44470B4ConvencionalIluminação públicaIluminação pública – B4aNão se aplicaNão se aplicaFora ponta",Mercado_Receita!$L$2:$L$604)+SUMIF(Mercado_Receita!$S$2:$S$604,"44470B4ConvencionalIluminação públicaIluminação pública – B4aNão se aplicaNão se aplicaIntermediário",Mercado_Receita!$L$2:$L$604)+SUMIF(Mercado_Receita!$S$2:$S$604,"44470B4ConvencionalIluminação públicaIluminação pública – B4aNão se aplicaNão se aplicaNão se aplica",Mercado_Receita!$L$2:$L$604)</f>
        <v>191.751</v>
      </c>
      <c r="L51" s="13">
        <f>SUMIF(Mercado_Receita!$S$2:$S$604,"44501B4ConvencionalIluminação públicaIluminação pública – B4aNão se aplicaNão se aplicaPonta",Mercado_Receita!$L$2:$L$604)+SUMIF(Mercado_Receita!$S$2:$S$604,"44501B4ConvencionalIluminação públicaIluminação pública – B4aNão se aplicaNão se aplicaFora ponta",Mercado_Receita!$L$2:$L$604)+SUMIF(Mercado_Receita!$S$2:$S$604,"44501B4ConvencionalIluminação públicaIluminação pública – B4aNão se aplicaNão se aplicaIntermediário",Mercado_Receita!$L$2:$L$604)+SUMIF(Mercado_Receita!$S$2:$S$604,"44501B4ConvencionalIluminação públicaIluminação pública – B4aNão se aplicaNão se aplicaNão se aplica",Mercado_Receita!$L$2:$L$604)</f>
        <v>170.47399999999999</v>
      </c>
      <c r="M51" s="13">
        <f>SUMIF(Mercado_Receita!$S$2:$S$604,"44531B4ConvencionalIluminação públicaIluminação pública – B4aNão se aplicaNão se aplicaPonta",Mercado_Receita!$L$2:$L$604)+SUMIF(Mercado_Receita!$S$2:$S$604,"44531B4ConvencionalIluminação públicaIluminação pública – B4aNão se aplicaNão se aplicaFora ponta",Mercado_Receita!$L$2:$L$604)+SUMIF(Mercado_Receita!$S$2:$S$604,"44531B4ConvencionalIluminação públicaIluminação pública – B4aNão se aplicaNão se aplicaIntermediário",Mercado_Receita!$L$2:$L$604)+SUMIF(Mercado_Receita!$S$2:$S$604,"44531B4ConvencionalIluminação públicaIluminação pública – B4aNão se aplicaNão se aplicaNão se aplica",Mercado_Receita!$L$2:$L$604)</f>
        <v>175.501</v>
      </c>
      <c r="N51" s="13">
        <f>SUMIF(Mercado_Receita!$S$2:$S$604,"44562B4ConvencionalIluminação públicaIluminação pública – B4aNão se aplicaNão se aplicaPonta",Mercado_Receita!$L$2:$L$604)+SUMIF(Mercado_Receita!$S$2:$S$604,"44562B4ConvencionalIluminação públicaIluminação pública – B4aNão se aplicaNão se aplicaFora ponta",Mercado_Receita!$L$2:$L$604)+SUMIF(Mercado_Receita!$S$2:$S$604,"44562B4ConvencionalIluminação públicaIluminação pública – B4aNão se aplicaNão se aplicaIntermediário",Mercado_Receita!$L$2:$L$604)+SUMIF(Mercado_Receita!$S$2:$S$604,"44562B4ConvencionalIluminação públicaIluminação pública – B4aNão se aplicaNão se aplicaNão se aplica",Mercado_Receita!$L$2:$L$604)</f>
        <v>177.334</v>
      </c>
      <c r="O51" s="13">
        <f>SUMIF(Mercado_Receita!$S$2:$S$604,"44593B4ConvencionalIluminação públicaIluminação pública – B4aNão se aplicaNão se aplicaPonta",Mercado_Receita!$L$2:$L$604)+SUMIF(Mercado_Receita!$S$2:$S$604,"44593B4ConvencionalIluminação públicaIluminação pública – B4aNão se aplicaNão se aplicaFora ponta",Mercado_Receita!$L$2:$L$604)+SUMIF(Mercado_Receita!$S$2:$S$604,"44593B4ConvencionalIluminação públicaIluminação pública – B4aNão se aplicaNão se aplicaIntermediário",Mercado_Receita!$L$2:$L$604)+SUMIF(Mercado_Receita!$S$2:$S$604,"44593B4ConvencionalIluminação públicaIluminação pública – B4aNão se aplicaNão se aplicaNão se aplica",Mercado_Receita!$L$2:$L$604)</f>
        <v>171.881</v>
      </c>
      <c r="P51" s="13">
        <f>SUMIF(Mercado_Receita!$S$2:$S$604,"44621B4ConvencionalIluminação públicaIluminação pública – B4aNão se aplicaNão se aplicaPonta",Mercado_Receita!$L$2:$L$604)+SUMIF(Mercado_Receita!$S$2:$S$604,"44621B4ConvencionalIluminação públicaIluminação pública – B4aNão se aplicaNão se aplicaFora ponta",Mercado_Receita!$L$2:$L$604)+SUMIF(Mercado_Receita!$S$2:$S$604,"44621B4ConvencionalIluminação públicaIluminação pública – B4aNão se aplicaNão se aplicaIntermediário",Mercado_Receita!$L$2:$L$604)+SUMIF(Mercado_Receita!$S$2:$S$604,"44621B4ConvencionalIluminação públicaIluminação pública – B4aNão se aplicaNão se aplicaNão se aplica",Mercado_Receita!$L$2:$L$604)</f>
        <v>205.21799999999999</v>
      </c>
      <c r="Q51" s="13">
        <f>SUMIF(Mercado_Receita!$S$2:$S$604,"44652B4ConvencionalIluminação públicaIluminação pública – B4aNão se aplicaNão se aplicaPonta",Mercado_Receita!$L$2:$L$604)+SUMIF(Mercado_Receita!$S$2:$S$604,"44652B4ConvencionalIluminação públicaIluminação pública – B4aNão se aplicaNão se aplicaFora ponta",Mercado_Receita!$L$2:$L$604)+SUMIF(Mercado_Receita!$S$2:$S$604,"44652B4ConvencionalIluminação públicaIluminação pública – B4aNão se aplicaNão se aplicaIntermediário",Mercado_Receita!$L$2:$L$604)+SUMIF(Mercado_Receita!$S$2:$S$604,"44652B4ConvencionalIluminação públicaIluminação pública – B4aNão se aplicaNão se aplicaNão se aplica",Mercado_Receita!$L$2:$L$604)</f>
        <v>215.04300000000001</v>
      </c>
      <c r="R51" s="13">
        <f>SUMIF(Mercado_Receita!$S$2:$S$604,"44682B4ConvencionalIluminação públicaIluminação pública – B4aNão se aplicaNão se aplicaPonta",Mercado_Receita!$L$2:$L$604)+SUMIF(Mercado_Receita!$S$2:$S$604,"44682B4ConvencionalIluminação públicaIluminação pública – B4aNão se aplicaNão se aplicaFora ponta",Mercado_Receita!$L$2:$L$604)+SUMIF(Mercado_Receita!$S$2:$S$604,"44682B4ConvencionalIluminação públicaIluminação pública – B4aNão se aplicaNão se aplicaIntermediário",Mercado_Receita!$L$2:$L$604)+SUMIF(Mercado_Receita!$S$2:$S$604,"44682B4ConvencionalIluminação públicaIluminação pública – B4aNão se aplicaNão se aplicaNão se aplica",Mercado_Receita!$L$2:$L$604)</f>
        <v>229.447</v>
      </c>
      <c r="S51" s="13">
        <f>SUMIF(Mercado_Receita!$S$2:$S$604,"44713B4ConvencionalIluminação públicaIluminação pública – B4aNão se aplicaNão se aplicaPonta",Mercado_Receita!$L$2:$L$604)+SUMIF(Mercado_Receita!$S$2:$S$604,"44713B4ConvencionalIluminação públicaIluminação pública – B4aNão se aplicaNão se aplicaFora ponta",Mercado_Receita!$L$2:$L$604)+SUMIF(Mercado_Receita!$S$2:$S$604,"44713B4ConvencionalIluminação públicaIluminação pública – B4aNão se aplicaNão se aplicaIntermediário",Mercado_Receita!$L$2:$L$604)+SUMIF(Mercado_Receita!$S$2:$S$604,"44713B4ConvencionalIluminação públicaIluminação pública – B4aNão se aplicaNão se aplicaNão se aplica",Mercado_Receita!$L$2:$L$604)</f>
        <v>240.41900000000001</v>
      </c>
      <c r="T51" s="13">
        <f>SUMIF(Mercado_Receita!$S$2:$S$604,"44743B4ConvencionalIluminação públicaIluminação pública – B4aNão se aplicaNão se aplicaPonta",Mercado_Receita!$L$2:$L$604)+SUMIF(Mercado_Receita!$S$2:$S$604,"44743B4ConvencionalIluminação públicaIluminação pública – B4aNão se aplicaNão se aplicaFora ponta",Mercado_Receita!$L$2:$L$604)+SUMIF(Mercado_Receita!$S$2:$S$604,"44743B4ConvencionalIluminação públicaIluminação pública – B4aNão se aplicaNão se aplicaIntermediário",Mercado_Receita!$L$2:$L$604)+SUMIF(Mercado_Receita!$S$2:$S$604,"44743B4ConvencionalIluminação públicaIluminação pública – B4aNão se aplicaNão se aplicaNão se aplica",Mercado_Receita!$L$2:$L$604)</f>
        <v>231.773</v>
      </c>
      <c r="U51" s="13">
        <f t="shared" si="1"/>
        <v>2415.7070000000003</v>
      </c>
      <c r="V51" s="13"/>
      <c r="W51" s="13"/>
    </row>
    <row r="52" spans="1:23" ht="11.25" customHeight="1" x14ac:dyDescent="0.3">
      <c r="A52" s="129"/>
      <c r="B52" s="129"/>
      <c r="C52" s="129"/>
      <c r="D52" s="13" t="s">
        <v>95</v>
      </c>
      <c r="E52" s="13" t="s">
        <v>25</v>
      </c>
      <c r="F52" s="13" t="s">
        <v>25</v>
      </c>
      <c r="G52" s="13" t="s">
        <v>84</v>
      </c>
      <c r="H52" s="13" t="s">
        <v>78</v>
      </c>
      <c r="I52" s="13">
        <f>SUMIF(Mercado_Receita!$S$2:$S$604,"44409B4ConvencionalIluminação públicaIluminação pública – B4bNão se aplicaNão se aplicaPonta",Mercado_Receita!$L$2:$L$604)+SUMIF(Mercado_Receita!$S$2:$S$604,"44409B4ConvencionalIluminação públicaIluminação pública – B4bNão se aplicaNão se aplicaFora ponta",Mercado_Receita!$L$2:$L$604)+SUMIF(Mercado_Receita!$S$2:$S$604,"44409B4ConvencionalIluminação públicaIluminação pública – B4bNão se aplicaNão se aplicaIntermediário",Mercado_Receita!$L$2:$L$604)+SUMIF(Mercado_Receita!$S$2:$S$604,"44409B4ConvencionalIluminação públicaIluminação pública – B4bNão se aplicaNão se aplicaNão se aplica",Mercado_Receita!$L$2:$L$604)</f>
        <v>0</v>
      </c>
      <c r="J52" s="13">
        <f>SUMIF(Mercado_Receita!$S$2:$S$604,"44440B4ConvencionalIluminação públicaIluminação pública – B4bNão se aplicaNão se aplicaPonta",Mercado_Receita!$L$2:$L$604)+SUMIF(Mercado_Receita!$S$2:$S$604,"44440B4ConvencionalIluminação públicaIluminação pública – B4bNão se aplicaNão se aplicaFora ponta",Mercado_Receita!$L$2:$L$604)+SUMIF(Mercado_Receita!$S$2:$S$604,"44440B4ConvencionalIluminação públicaIluminação pública – B4bNão se aplicaNão se aplicaIntermediário",Mercado_Receita!$L$2:$L$604)+SUMIF(Mercado_Receita!$S$2:$S$604,"44440B4ConvencionalIluminação públicaIluminação pública – B4bNão se aplicaNão se aplicaNão se aplica",Mercado_Receita!$L$2:$L$604)</f>
        <v>0</v>
      </c>
      <c r="K52" s="13">
        <f>SUMIF(Mercado_Receita!$S$2:$S$604,"44470B4ConvencionalIluminação públicaIluminação pública – B4bNão se aplicaNão se aplicaPonta",Mercado_Receita!$L$2:$L$604)+SUMIF(Mercado_Receita!$S$2:$S$604,"44470B4ConvencionalIluminação públicaIluminação pública – B4bNão se aplicaNão se aplicaFora ponta",Mercado_Receita!$L$2:$L$604)+SUMIF(Mercado_Receita!$S$2:$S$604,"44470B4ConvencionalIluminação públicaIluminação pública – B4bNão se aplicaNão se aplicaIntermediário",Mercado_Receita!$L$2:$L$604)+SUMIF(Mercado_Receita!$S$2:$S$604,"44470B4ConvencionalIluminação públicaIluminação pública – B4bNão se aplicaNão se aplicaNão se aplica",Mercado_Receita!$L$2:$L$604)</f>
        <v>0</v>
      </c>
      <c r="L52" s="13">
        <f>SUMIF(Mercado_Receita!$S$2:$S$604,"44501B4ConvencionalIluminação públicaIluminação pública – B4bNão se aplicaNão se aplicaPonta",Mercado_Receita!$L$2:$L$604)+SUMIF(Mercado_Receita!$S$2:$S$604,"44501B4ConvencionalIluminação públicaIluminação pública – B4bNão se aplicaNão se aplicaFora ponta",Mercado_Receita!$L$2:$L$604)+SUMIF(Mercado_Receita!$S$2:$S$604,"44501B4ConvencionalIluminação públicaIluminação pública – B4bNão se aplicaNão se aplicaIntermediário",Mercado_Receita!$L$2:$L$604)+SUMIF(Mercado_Receita!$S$2:$S$604,"44501B4ConvencionalIluminação públicaIluminação pública – B4bNão se aplicaNão se aplicaNão se aplica",Mercado_Receita!$L$2:$L$604)</f>
        <v>0</v>
      </c>
      <c r="M52" s="13">
        <f>SUMIF(Mercado_Receita!$S$2:$S$604,"44531B4ConvencionalIluminação públicaIluminação pública – B4bNão se aplicaNão se aplicaPonta",Mercado_Receita!$L$2:$L$604)+SUMIF(Mercado_Receita!$S$2:$S$604,"44531B4ConvencionalIluminação públicaIluminação pública – B4bNão se aplicaNão se aplicaFora ponta",Mercado_Receita!$L$2:$L$604)+SUMIF(Mercado_Receita!$S$2:$S$604,"44531B4ConvencionalIluminação públicaIluminação pública – B4bNão se aplicaNão se aplicaIntermediário",Mercado_Receita!$L$2:$L$604)+SUMIF(Mercado_Receita!$S$2:$S$604,"44531B4ConvencionalIluminação públicaIluminação pública – B4bNão se aplicaNão se aplicaNão se aplica",Mercado_Receita!$L$2:$L$604)</f>
        <v>0</v>
      </c>
      <c r="N52" s="13">
        <f>SUMIF(Mercado_Receita!$S$2:$S$604,"44562B4ConvencionalIluminação públicaIluminação pública – B4bNão se aplicaNão se aplicaPonta",Mercado_Receita!$L$2:$L$604)+SUMIF(Mercado_Receita!$S$2:$S$604,"44562B4ConvencionalIluminação públicaIluminação pública – B4bNão se aplicaNão se aplicaFora ponta",Mercado_Receita!$L$2:$L$604)+SUMIF(Mercado_Receita!$S$2:$S$604,"44562B4ConvencionalIluminação públicaIluminação pública – B4bNão se aplicaNão se aplicaIntermediário",Mercado_Receita!$L$2:$L$604)+SUMIF(Mercado_Receita!$S$2:$S$604,"44562B4ConvencionalIluminação públicaIluminação pública – B4bNão se aplicaNão se aplicaNão se aplica",Mercado_Receita!$L$2:$L$604)</f>
        <v>0</v>
      </c>
      <c r="O52" s="13">
        <f>SUMIF(Mercado_Receita!$S$2:$S$604,"44593B4ConvencionalIluminação públicaIluminação pública – B4bNão se aplicaNão se aplicaPonta",Mercado_Receita!$L$2:$L$604)+SUMIF(Mercado_Receita!$S$2:$S$604,"44593B4ConvencionalIluminação públicaIluminação pública – B4bNão se aplicaNão se aplicaFora ponta",Mercado_Receita!$L$2:$L$604)+SUMIF(Mercado_Receita!$S$2:$S$604,"44593B4ConvencionalIluminação públicaIluminação pública – B4bNão se aplicaNão se aplicaIntermediário",Mercado_Receita!$L$2:$L$604)+SUMIF(Mercado_Receita!$S$2:$S$604,"44593B4ConvencionalIluminação públicaIluminação pública – B4bNão se aplicaNão se aplicaNão se aplica",Mercado_Receita!$L$2:$L$604)</f>
        <v>0</v>
      </c>
      <c r="P52" s="13">
        <f>SUMIF(Mercado_Receita!$S$2:$S$604,"44621B4ConvencionalIluminação públicaIluminação pública – B4bNão se aplicaNão se aplicaPonta",Mercado_Receita!$L$2:$L$604)+SUMIF(Mercado_Receita!$S$2:$S$604,"44621B4ConvencionalIluminação públicaIluminação pública – B4bNão se aplicaNão se aplicaFora ponta",Mercado_Receita!$L$2:$L$604)+SUMIF(Mercado_Receita!$S$2:$S$604,"44621B4ConvencionalIluminação públicaIluminação pública – B4bNão se aplicaNão se aplicaIntermediário",Mercado_Receita!$L$2:$L$604)+SUMIF(Mercado_Receita!$S$2:$S$604,"44621B4ConvencionalIluminação públicaIluminação pública – B4bNão se aplicaNão se aplicaNão se aplica",Mercado_Receita!$L$2:$L$604)</f>
        <v>0</v>
      </c>
      <c r="Q52" s="13">
        <f>SUMIF(Mercado_Receita!$S$2:$S$604,"44652B4ConvencionalIluminação públicaIluminação pública – B4bNão se aplicaNão se aplicaPonta",Mercado_Receita!$L$2:$L$604)+SUMIF(Mercado_Receita!$S$2:$S$604,"44652B4ConvencionalIluminação públicaIluminação pública – B4bNão se aplicaNão se aplicaFora ponta",Mercado_Receita!$L$2:$L$604)+SUMIF(Mercado_Receita!$S$2:$S$604,"44652B4ConvencionalIluminação públicaIluminação pública – B4bNão se aplicaNão se aplicaIntermediário",Mercado_Receita!$L$2:$L$604)+SUMIF(Mercado_Receita!$S$2:$S$604,"44652B4ConvencionalIluminação públicaIluminação pública – B4bNão se aplicaNão se aplicaNão se aplica",Mercado_Receita!$L$2:$L$604)</f>
        <v>0</v>
      </c>
      <c r="R52" s="13">
        <f>SUMIF(Mercado_Receita!$S$2:$S$604,"44682B4ConvencionalIluminação públicaIluminação pública – B4bNão se aplicaNão se aplicaPonta",Mercado_Receita!$L$2:$L$604)+SUMIF(Mercado_Receita!$S$2:$S$604,"44682B4ConvencionalIluminação públicaIluminação pública – B4bNão se aplicaNão se aplicaFora ponta",Mercado_Receita!$L$2:$L$604)+SUMIF(Mercado_Receita!$S$2:$S$604,"44682B4ConvencionalIluminação públicaIluminação pública – B4bNão se aplicaNão se aplicaIntermediário",Mercado_Receita!$L$2:$L$604)+SUMIF(Mercado_Receita!$S$2:$S$604,"44682B4ConvencionalIluminação públicaIluminação pública – B4bNão se aplicaNão se aplicaNão se aplica",Mercado_Receita!$L$2:$L$604)</f>
        <v>0</v>
      </c>
      <c r="S52" s="13">
        <f>SUMIF(Mercado_Receita!$S$2:$S$604,"44713B4ConvencionalIluminação públicaIluminação pública – B4bNão se aplicaNão se aplicaPonta",Mercado_Receita!$L$2:$L$604)+SUMIF(Mercado_Receita!$S$2:$S$604,"44713B4ConvencionalIluminação públicaIluminação pública – B4bNão se aplicaNão se aplicaFora ponta",Mercado_Receita!$L$2:$L$604)+SUMIF(Mercado_Receita!$S$2:$S$604,"44713B4ConvencionalIluminação públicaIluminação pública – B4bNão se aplicaNão se aplicaIntermediário",Mercado_Receita!$L$2:$L$604)+SUMIF(Mercado_Receita!$S$2:$S$604,"44713B4ConvencionalIluminação públicaIluminação pública – B4bNão se aplicaNão se aplicaNão se aplica",Mercado_Receita!$L$2:$L$604)</f>
        <v>0</v>
      </c>
      <c r="T52" s="13">
        <f>SUMIF(Mercado_Receita!$S$2:$S$604,"44743B4ConvencionalIluminação públicaIluminação pública – B4bNão se aplicaNão se aplicaPonta",Mercado_Receita!$L$2:$L$604)+SUMIF(Mercado_Receita!$S$2:$S$604,"44743B4ConvencionalIluminação públicaIluminação pública – B4bNão se aplicaNão se aplicaFora ponta",Mercado_Receita!$L$2:$L$604)+SUMIF(Mercado_Receita!$S$2:$S$604,"44743B4ConvencionalIluminação públicaIluminação pública – B4bNão se aplicaNão se aplicaIntermediário",Mercado_Receita!$L$2:$L$604)+SUMIF(Mercado_Receita!$S$2:$S$604,"44743B4ConvencionalIluminação públicaIluminação pública – B4bNão se aplicaNão se aplicaNão se aplica",Mercado_Receita!$L$2:$L$604)</f>
        <v>0</v>
      </c>
      <c r="U52" s="13">
        <f t="shared" si="1"/>
        <v>0</v>
      </c>
      <c r="V52" s="13"/>
      <c r="W52" s="13"/>
    </row>
    <row r="53" spans="1:23" ht="11.25" customHeight="1" x14ac:dyDescent="0.3">
      <c r="A53" s="130" t="s">
        <v>486</v>
      </c>
      <c r="B53" s="131"/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"/>
      <c r="W53" s="13"/>
    </row>
  </sheetData>
  <mergeCells count="61">
    <mergeCell ref="A2:A5"/>
    <mergeCell ref="F2:F4"/>
    <mergeCell ref="E2:E4"/>
    <mergeCell ref="D2:D5"/>
    <mergeCell ref="C2:C5"/>
    <mergeCell ref="B2:B5"/>
    <mergeCell ref="A6:A15"/>
    <mergeCell ref="F6:F8"/>
    <mergeCell ref="E6:E8"/>
    <mergeCell ref="D6:D9"/>
    <mergeCell ref="C6:C9"/>
    <mergeCell ref="B6:B9"/>
    <mergeCell ref="F11:F13"/>
    <mergeCell ref="E11:E13"/>
    <mergeCell ref="F14:F15"/>
    <mergeCell ref="E14:E15"/>
    <mergeCell ref="D11:D15"/>
    <mergeCell ref="C11:C15"/>
    <mergeCell ref="B11:B15"/>
    <mergeCell ref="D16:D17"/>
    <mergeCell ref="C16:C17"/>
    <mergeCell ref="B16:B17"/>
    <mergeCell ref="A16:A17"/>
    <mergeCell ref="F18:F20"/>
    <mergeCell ref="E18:E20"/>
    <mergeCell ref="D18:D20"/>
    <mergeCell ref="C18:C20"/>
    <mergeCell ref="B18:B20"/>
    <mergeCell ref="F31:F33"/>
    <mergeCell ref="E31:E33"/>
    <mergeCell ref="D31:D33"/>
    <mergeCell ref="C31:C33"/>
    <mergeCell ref="B31:B33"/>
    <mergeCell ref="C21:C25"/>
    <mergeCell ref="B21:B25"/>
    <mergeCell ref="C26:C30"/>
    <mergeCell ref="B26:B30"/>
    <mergeCell ref="A18:A30"/>
    <mergeCell ref="C35:C37"/>
    <mergeCell ref="B35:B37"/>
    <mergeCell ref="F39:F41"/>
    <mergeCell ref="E39:E41"/>
    <mergeCell ref="D39:D41"/>
    <mergeCell ref="C39:C41"/>
    <mergeCell ref="B39:B41"/>
    <mergeCell ref="A51:A52"/>
    <mergeCell ref="B51:B52"/>
    <mergeCell ref="C51:C52"/>
    <mergeCell ref="A53:U53"/>
    <mergeCell ref="C43:C45"/>
    <mergeCell ref="B43:B45"/>
    <mergeCell ref="A31:A45"/>
    <mergeCell ref="F46:F48"/>
    <mergeCell ref="E46:E48"/>
    <mergeCell ref="D46:D48"/>
    <mergeCell ref="C46:C48"/>
    <mergeCell ref="B46:B48"/>
    <mergeCell ref="A46:A50"/>
    <mergeCell ref="F35:F37"/>
    <mergeCell ref="E35:E37"/>
    <mergeCell ref="D35:D37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15BF5-23AB-4163-9AAE-0498CE9E292E}">
  <dimension ref="A1:AD41"/>
  <sheetViews>
    <sheetView showGridLines="0" workbookViewId="0">
      <selection sqref="A1:W41"/>
    </sheetView>
  </sheetViews>
  <sheetFormatPr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5.5546875" style="9" bestFit="1" customWidth="1"/>
    <col min="10" max="11" width="5.109375" style="9" bestFit="1" customWidth="1"/>
    <col min="12" max="13" width="5.44140625" style="9" bestFit="1" customWidth="1"/>
    <col min="14" max="14" width="5.109375" style="9" bestFit="1" customWidth="1"/>
    <col min="15" max="16" width="6.33203125" style="9" bestFit="1" customWidth="1"/>
    <col min="17" max="17" width="5.21875" style="9" bestFit="1" customWidth="1"/>
    <col min="18" max="18" width="5.5546875" style="9" bestFit="1" customWidth="1"/>
    <col min="19" max="20" width="5.109375" style="9" bestFit="1" customWidth="1"/>
    <col min="21" max="21" width="13" style="9" bestFit="1" customWidth="1"/>
    <col min="22" max="16384" width="8.88671875" style="9"/>
  </cols>
  <sheetData>
    <row r="1" spans="1:30" ht="11.25" customHeight="1" x14ac:dyDescent="0.3">
      <c r="A1" s="10" t="s">
        <v>68</v>
      </c>
      <c r="B1" s="10" t="s">
        <v>69</v>
      </c>
      <c r="C1" s="10" t="s">
        <v>70</v>
      </c>
      <c r="D1" s="10" t="s">
        <v>71</v>
      </c>
      <c r="E1" s="10" t="s">
        <v>72</v>
      </c>
      <c r="F1" s="10" t="s">
        <v>73</v>
      </c>
      <c r="G1" s="10" t="s">
        <v>74</v>
      </c>
      <c r="H1" s="10" t="s">
        <v>75</v>
      </c>
      <c r="I1" s="11">
        <v>44409</v>
      </c>
      <c r="J1" s="11">
        <v>44440</v>
      </c>
      <c r="K1" s="11">
        <v>44470</v>
      </c>
      <c r="L1" s="11">
        <v>44501</v>
      </c>
      <c r="M1" s="11">
        <v>44531</v>
      </c>
      <c r="N1" s="11">
        <v>44562</v>
      </c>
      <c r="O1" s="11">
        <v>44593</v>
      </c>
      <c r="P1" s="11">
        <v>44621</v>
      </c>
      <c r="Q1" s="11">
        <v>44652</v>
      </c>
      <c r="R1" s="11">
        <v>44682</v>
      </c>
      <c r="S1" s="11">
        <v>44713</v>
      </c>
      <c r="T1" s="11">
        <v>44743</v>
      </c>
      <c r="U1" s="10" t="s">
        <v>76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3">
      <c r="A2" s="128" t="s">
        <v>61</v>
      </c>
      <c r="B2" s="128" t="s">
        <v>77</v>
      </c>
      <c r="C2" s="128" t="s">
        <v>25</v>
      </c>
      <c r="D2" s="128" t="s">
        <v>25</v>
      </c>
      <c r="E2" s="128" t="s">
        <v>25</v>
      </c>
      <c r="F2" s="128" t="s">
        <v>25</v>
      </c>
      <c r="G2" s="13" t="s">
        <v>79</v>
      </c>
      <c r="H2" s="13" t="s">
        <v>78</v>
      </c>
      <c r="I2" s="13">
        <f>SUMIF(Mercado_Receita!$T$2:$T$604,"44409A3Energia horáriaNão se aplicaNão se aplicaNão se aplicaNão se aplicaPonta",Mercado_Receita!$N$2:$N$604)</f>
        <v>0</v>
      </c>
      <c r="J2" s="13">
        <f>SUMIF(Mercado_Receita!$T$2:$T$604,"44440A3Energia horáriaNão se aplicaNão se aplicaNão se aplicaNão se aplicaPonta",Mercado_Receita!$N$2:$N$604)</f>
        <v>0</v>
      </c>
      <c r="K2" s="13">
        <f>SUMIF(Mercado_Receita!$T$2:$T$604,"44470A3Energia horáriaNão se aplicaNão se aplicaNão se aplicaNão se aplicaPonta",Mercado_Receita!$N$2:$N$604)</f>
        <v>0</v>
      </c>
      <c r="L2" s="13">
        <f>SUMIF(Mercado_Receita!$T$2:$T$604,"44501A3Energia horáriaNão se aplicaNão se aplicaNão se aplicaNão se aplicaPonta",Mercado_Receita!$N$2:$N$604)</f>
        <v>0</v>
      </c>
      <c r="M2" s="13">
        <f>SUMIF(Mercado_Receita!$T$2:$T$604,"44531A3Energia horáriaNão se aplicaNão se aplicaNão se aplicaNão se aplicaPonta",Mercado_Receita!$N$2:$N$604)</f>
        <v>0</v>
      </c>
      <c r="N2" s="13">
        <f>SUMIF(Mercado_Receita!$T$2:$T$604,"44562A3Energia horáriaNão se aplicaNão se aplicaNão se aplicaNão se aplicaPonta",Mercado_Receita!$N$2:$N$604)</f>
        <v>0</v>
      </c>
      <c r="O2" s="13">
        <f>SUMIF(Mercado_Receita!$T$2:$T$604,"44593A3Energia horáriaNão se aplicaNão se aplicaNão se aplicaNão se aplicaPonta",Mercado_Receita!$N$2:$N$604)</f>
        <v>0</v>
      </c>
      <c r="P2" s="13">
        <f>SUMIF(Mercado_Receita!$T$2:$T$604,"44621A3Energia horáriaNão se aplicaNão se aplicaNão se aplicaNão se aplicaPonta",Mercado_Receita!$N$2:$N$604)</f>
        <v>0</v>
      </c>
      <c r="Q2" s="13">
        <f>SUMIF(Mercado_Receita!$T$2:$T$604,"44652A3Energia horáriaNão se aplicaNão se aplicaNão se aplicaNão se aplicaPonta",Mercado_Receita!$N$2:$N$604)</f>
        <v>0</v>
      </c>
      <c r="R2" s="13">
        <f>SUMIF(Mercado_Receita!$T$2:$T$604,"44682A3Energia horáriaNão se aplicaNão se aplicaNão se aplicaNão se aplicaPonta",Mercado_Receita!$N$2:$N$604)</f>
        <v>0</v>
      </c>
      <c r="S2" s="13">
        <f>SUMIF(Mercado_Receita!$T$2:$T$604,"44713A3Energia horáriaNão se aplicaNão se aplicaNão se aplicaNão se aplicaPonta",Mercado_Receita!$N$2:$N$604)</f>
        <v>0</v>
      </c>
      <c r="T2" s="13">
        <f>SUMIF(Mercado_Receita!$T$2:$T$604,"44743A3Energia horáriaNão se aplicaNão se aplicaNão se aplicaNão se aplicaPonta",Mercado_Receita!$N$2:$N$604)</f>
        <v>0</v>
      </c>
      <c r="U2" s="13">
        <f t="shared" ref="U2:U40" si="0">SUM(I2:T2)</f>
        <v>0</v>
      </c>
      <c r="V2" s="13"/>
      <c r="W2" s="13"/>
    </row>
    <row r="3" spans="1:30" ht="11.25" customHeight="1" x14ac:dyDescent="0.3">
      <c r="A3" s="129"/>
      <c r="B3" s="129"/>
      <c r="C3" s="129"/>
      <c r="D3" s="129"/>
      <c r="E3" s="129"/>
      <c r="F3" s="129"/>
      <c r="G3" s="13" t="s">
        <v>80</v>
      </c>
      <c r="H3" s="13" t="s">
        <v>78</v>
      </c>
      <c r="I3" s="13">
        <f>SUMIF(Mercado_Receita!$T$2:$T$604,"44409A3Energia horáriaNão se aplicaNão se aplicaNão se aplicaNão se aplicaFora ponta",Mercado_Receita!$N$2:$N$604)</f>
        <v>0</v>
      </c>
      <c r="J3" s="13">
        <f>SUMIF(Mercado_Receita!$T$2:$T$604,"44440A3Energia horáriaNão se aplicaNão se aplicaNão se aplicaNão se aplicaFora ponta",Mercado_Receita!$N$2:$N$604)</f>
        <v>0</v>
      </c>
      <c r="K3" s="13">
        <f>SUMIF(Mercado_Receita!$T$2:$T$604,"44470A3Energia horáriaNão se aplicaNão se aplicaNão se aplicaNão se aplicaFora ponta",Mercado_Receita!$N$2:$N$604)</f>
        <v>0</v>
      </c>
      <c r="L3" s="13">
        <f>SUMIF(Mercado_Receita!$T$2:$T$604,"44501A3Energia horáriaNão se aplicaNão se aplicaNão se aplicaNão se aplicaFora ponta",Mercado_Receita!$N$2:$N$604)</f>
        <v>0</v>
      </c>
      <c r="M3" s="13">
        <f>SUMIF(Mercado_Receita!$T$2:$T$604,"44531A3Energia horáriaNão se aplicaNão se aplicaNão se aplicaNão se aplicaFora ponta",Mercado_Receita!$N$2:$N$604)</f>
        <v>0</v>
      </c>
      <c r="N3" s="13">
        <f>SUMIF(Mercado_Receita!$T$2:$T$604,"44562A3Energia horáriaNão se aplicaNão se aplicaNão se aplicaNão se aplicaFora ponta",Mercado_Receita!$N$2:$N$604)</f>
        <v>0</v>
      </c>
      <c r="O3" s="13">
        <f>SUMIF(Mercado_Receita!$T$2:$T$604,"44593A3Energia horáriaNão se aplicaNão se aplicaNão se aplicaNão se aplicaFora ponta",Mercado_Receita!$N$2:$N$604)</f>
        <v>0</v>
      </c>
      <c r="P3" s="13">
        <f>SUMIF(Mercado_Receita!$T$2:$T$604,"44621A3Energia horáriaNão se aplicaNão se aplicaNão se aplicaNão se aplicaFora ponta",Mercado_Receita!$N$2:$N$604)</f>
        <v>0</v>
      </c>
      <c r="Q3" s="13">
        <f>SUMIF(Mercado_Receita!$T$2:$T$604,"44652A3Energia horáriaNão se aplicaNão se aplicaNão se aplicaNão se aplicaFora ponta",Mercado_Receita!$N$2:$N$604)</f>
        <v>0</v>
      </c>
      <c r="R3" s="13">
        <f>SUMIF(Mercado_Receita!$T$2:$T$604,"44682A3Energia horáriaNão se aplicaNão se aplicaNão se aplicaNão se aplicaFora ponta",Mercado_Receita!$N$2:$N$604)</f>
        <v>0</v>
      </c>
      <c r="S3" s="13">
        <f>SUMIF(Mercado_Receita!$T$2:$T$604,"44713A3Energia horáriaNão se aplicaNão se aplicaNão se aplicaNão se aplicaFora ponta",Mercado_Receita!$N$2:$N$604)</f>
        <v>0</v>
      </c>
      <c r="T3" s="13">
        <f>SUMIF(Mercado_Receita!$T$2:$T$604,"44743A3Energia horáriaNão se aplicaNão se aplicaNão se aplicaNão se aplicaFora ponta",Mercado_Receita!$N$2:$N$604)</f>
        <v>0</v>
      </c>
      <c r="U3" s="13">
        <f t="shared" si="0"/>
        <v>0</v>
      </c>
      <c r="V3" s="13"/>
      <c r="W3" s="13"/>
    </row>
    <row r="4" spans="1:30" ht="11.25" customHeight="1" x14ac:dyDescent="0.3">
      <c r="A4" s="128" t="s">
        <v>34</v>
      </c>
      <c r="B4" s="128" t="s">
        <v>77</v>
      </c>
      <c r="C4" s="128" t="s">
        <v>25</v>
      </c>
      <c r="D4" s="128" t="s">
        <v>25</v>
      </c>
      <c r="E4" s="128" t="s">
        <v>25</v>
      </c>
      <c r="F4" s="128" t="s">
        <v>25</v>
      </c>
      <c r="G4" s="13" t="s">
        <v>79</v>
      </c>
      <c r="H4" s="13" t="s">
        <v>78</v>
      </c>
      <c r="I4" s="13">
        <f>SUMIF(Mercado_Receita!$T$2:$T$604,"44409A4Energia horáriaNão se aplicaNão se aplicaNão se aplicaNão se aplicaPonta",Mercado_Receita!$N$2:$N$604)</f>
        <v>23.784329999999997</v>
      </c>
      <c r="J4" s="13">
        <f>SUMIF(Mercado_Receita!$T$2:$T$604,"44440A4Energia horáriaNão se aplicaNão se aplicaNão se aplicaNão se aplicaPonta",Mercado_Receita!$N$2:$N$604)</f>
        <v>23.004840000000002</v>
      </c>
      <c r="K4" s="13">
        <f>SUMIF(Mercado_Receita!$T$2:$T$604,"44470A4Energia horáriaNão se aplicaNão se aplicaNão se aplicaNão se aplicaPonta",Mercado_Receita!$N$2:$N$604)</f>
        <v>21.348269999999999</v>
      </c>
      <c r="L4" s="13">
        <f>SUMIF(Mercado_Receita!$T$2:$T$604,"44501A4Energia horáriaNão se aplicaNão se aplicaNão se aplicaNão se aplicaPonta",Mercado_Receita!$N$2:$N$604)</f>
        <v>21.550259999999998</v>
      </c>
      <c r="M4" s="13">
        <f>SUMIF(Mercado_Receita!$T$2:$T$604,"44531A4Energia horáriaNão se aplicaNão se aplicaNão se aplicaNão se aplicaPonta",Mercado_Receita!$N$2:$N$604)</f>
        <v>22.50967</v>
      </c>
      <c r="N4" s="13">
        <f>SUMIF(Mercado_Receita!$T$2:$T$604,"44562A4Energia horáriaNão se aplicaNão se aplicaNão se aplicaNão se aplicaPonta",Mercado_Receita!$N$2:$N$604)</f>
        <v>23.143159999999998</v>
      </c>
      <c r="O4" s="13">
        <f>SUMIF(Mercado_Receita!$T$2:$T$604,"44593A4Energia horáriaNão se aplicaNão se aplicaNão se aplicaNão se aplicaPonta",Mercado_Receita!$N$2:$N$604)</f>
        <v>21.944500000000001</v>
      </c>
      <c r="P4" s="13">
        <f>SUMIF(Mercado_Receita!$T$2:$T$604,"44621A4Energia horáriaNão se aplicaNão se aplicaNão se aplicaNão se aplicaPonta",Mercado_Receita!$N$2:$N$604)</f>
        <v>22.061610000000002</v>
      </c>
      <c r="Q4" s="13">
        <f>SUMIF(Mercado_Receita!$T$2:$T$604,"44652A4Energia horáriaNão se aplicaNão se aplicaNão se aplicaNão se aplicaPonta",Mercado_Receita!$N$2:$N$604)</f>
        <v>16.44839</v>
      </c>
      <c r="R4" s="13">
        <f>SUMIF(Mercado_Receita!$T$2:$T$604,"44682A4Energia horáriaNão se aplicaNão se aplicaNão se aplicaNão se aplicaPonta",Mercado_Receita!$N$2:$N$604)</f>
        <v>21.25515</v>
      </c>
      <c r="S4" s="13">
        <f>SUMIF(Mercado_Receita!$T$2:$T$604,"44713A4Energia horáriaNão se aplicaNão se aplicaNão se aplicaNão se aplicaPonta",Mercado_Receita!$N$2:$N$604)</f>
        <v>19.684239999999999</v>
      </c>
      <c r="T4" s="13">
        <f>SUMIF(Mercado_Receita!$T$2:$T$604,"44743A4Energia horáriaNão se aplicaNão se aplicaNão se aplicaNão se aplicaPonta",Mercado_Receita!$N$2:$N$604)</f>
        <v>19.962019999999999</v>
      </c>
      <c r="U4" s="13">
        <f t="shared" si="0"/>
        <v>256.69644</v>
      </c>
      <c r="V4" s="13"/>
      <c r="W4" s="13"/>
    </row>
    <row r="5" spans="1:30" ht="11.25" customHeight="1" x14ac:dyDescent="0.3">
      <c r="A5" s="129"/>
      <c r="B5" s="129"/>
      <c r="C5" s="129"/>
      <c r="D5" s="129"/>
      <c r="E5" s="129"/>
      <c r="F5" s="129"/>
      <c r="G5" s="13" t="s">
        <v>80</v>
      </c>
      <c r="H5" s="13" t="s">
        <v>78</v>
      </c>
      <c r="I5" s="13">
        <f>SUMIF(Mercado_Receita!$T$2:$T$604,"44409A4Energia horáriaNão se aplicaNão se aplicaNão se aplicaNão se aplicaFora ponta",Mercado_Receita!$N$2:$N$604)</f>
        <v>278.01273999999995</v>
      </c>
      <c r="J5" s="13">
        <f>SUMIF(Mercado_Receita!$T$2:$T$604,"44440A4Energia horáriaNão se aplicaNão se aplicaNão se aplicaNão se aplicaFora ponta",Mercado_Receita!$N$2:$N$604)</f>
        <v>268.48618999999997</v>
      </c>
      <c r="K5" s="13">
        <f>SUMIF(Mercado_Receita!$T$2:$T$604,"44470A4Energia horáriaNão se aplicaNão se aplicaNão se aplicaNão se aplicaFora ponta",Mercado_Receita!$N$2:$N$604)</f>
        <v>254.64776999999998</v>
      </c>
      <c r="L5" s="13">
        <f>SUMIF(Mercado_Receita!$T$2:$T$604,"44501A4Energia horáriaNão se aplicaNão se aplicaNão se aplicaNão se aplicaFora ponta",Mercado_Receita!$N$2:$N$604)</f>
        <v>254.84123000000002</v>
      </c>
      <c r="M5" s="13">
        <f>SUMIF(Mercado_Receita!$T$2:$T$604,"44531A4Energia horáriaNão se aplicaNão se aplicaNão se aplicaNão se aplicaFora ponta",Mercado_Receita!$N$2:$N$604)</f>
        <v>249.67858000000001</v>
      </c>
      <c r="N5" s="13">
        <f>SUMIF(Mercado_Receita!$T$2:$T$604,"44562A4Energia horáriaNão se aplicaNão se aplicaNão se aplicaNão se aplicaFora ponta",Mercado_Receita!$N$2:$N$604)</f>
        <v>268.28370000000001</v>
      </c>
      <c r="O5" s="13">
        <f>SUMIF(Mercado_Receita!$T$2:$T$604,"44593A4Energia horáriaNão se aplicaNão se aplicaNão se aplicaNão se aplicaFora ponta",Mercado_Receita!$N$2:$N$604)</f>
        <v>254.31033999999997</v>
      </c>
      <c r="P5" s="13">
        <f>SUMIF(Mercado_Receita!$T$2:$T$604,"44621A4Energia horáriaNão se aplicaNão se aplicaNão se aplicaNão se aplicaFora ponta",Mercado_Receita!$N$2:$N$604)</f>
        <v>287.07349000000005</v>
      </c>
      <c r="Q5" s="13">
        <f>SUMIF(Mercado_Receita!$T$2:$T$604,"44652A4Energia horáriaNão se aplicaNão se aplicaNão se aplicaNão se aplicaFora ponta",Mercado_Receita!$N$2:$N$604)</f>
        <v>234.27941000000001</v>
      </c>
      <c r="R5" s="13">
        <f>SUMIF(Mercado_Receita!$T$2:$T$604,"44682A4Energia horáriaNão se aplicaNão se aplicaNão se aplicaNão se aplicaFora ponta",Mercado_Receita!$N$2:$N$604)</f>
        <v>252.57748000000001</v>
      </c>
      <c r="S5" s="13">
        <f>SUMIF(Mercado_Receita!$T$2:$T$604,"44713A4Energia horáriaNão se aplicaNão se aplicaNão se aplicaNão se aplicaFora ponta",Mercado_Receita!$N$2:$N$604)</f>
        <v>233.66475</v>
      </c>
      <c r="T5" s="13">
        <f>SUMIF(Mercado_Receita!$T$2:$T$604,"44743A4Energia horáriaNão se aplicaNão se aplicaNão se aplicaNão se aplicaFora ponta",Mercado_Receita!$N$2:$N$604)</f>
        <v>242.07567</v>
      </c>
      <c r="U5" s="13">
        <f t="shared" si="0"/>
        <v>3077.9313500000003</v>
      </c>
      <c r="V5" s="13"/>
      <c r="W5" s="13"/>
    </row>
    <row r="6" spans="1:30" ht="11.25" customHeight="1" x14ac:dyDescent="0.3">
      <c r="A6" s="128" t="s">
        <v>22</v>
      </c>
      <c r="B6" s="128" t="s">
        <v>77</v>
      </c>
      <c r="C6" s="128" t="s">
        <v>24</v>
      </c>
      <c r="D6" s="128" t="s">
        <v>24</v>
      </c>
      <c r="E6" s="128" t="s">
        <v>25</v>
      </c>
      <c r="F6" s="128" t="s">
        <v>25</v>
      </c>
      <c r="G6" s="13" t="s">
        <v>79</v>
      </c>
      <c r="H6" s="13" t="s">
        <v>78</v>
      </c>
      <c r="I6" s="13">
        <f>SUMIF(Mercado_Receita!$T$2:$T$604,"44409B1Energia horáriaResidencialResidencialNão se aplicaNão se aplicaPonta",Mercado_Receita!$N$2:$N$604)</f>
        <v>0</v>
      </c>
      <c r="J6" s="13">
        <f>SUMIF(Mercado_Receita!$T$2:$T$604,"44440B1Energia horáriaResidencialResidencialNão se aplicaNão se aplicaPonta",Mercado_Receita!$N$2:$N$604)</f>
        <v>0</v>
      </c>
      <c r="K6" s="13">
        <f>SUMIF(Mercado_Receita!$T$2:$T$604,"44470B1Energia horáriaResidencialResidencialNão se aplicaNão se aplicaPonta",Mercado_Receita!$N$2:$N$604)</f>
        <v>0</v>
      </c>
      <c r="L6" s="13">
        <f>SUMIF(Mercado_Receita!$T$2:$T$604,"44501B1Energia horáriaResidencialResidencialNão se aplicaNão se aplicaPonta",Mercado_Receita!$N$2:$N$604)</f>
        <v>0</v>
      </c>
      <c r="M6" s="13">
        <f>SUMIF(Mercado_Receita!$T$2:$T$604,"44531B1Energia horáriaResidencialResidencialNão se aplicaNão se aplicaPonta",Mercado_Receita!$N$2:$N$604)</f>
        <v>0</v>
      </c>
      <c r="N6" s="13">
        <f>SUMIF(Mercado_Receita!$T$2:$T$604,"44562B1Energia horáriaResidencialResidencialNão se aplicaNão se aplicaPonta",Mercado_Receita!$N$2:$N$604)</f>
        <v>0</v>
      </c>
      <c r="O6" s="13">
        <f>SUMIF(Mercado_Receita!$T$2:$T$604,"44593B1Energia horáriaResidencialResidencialNão se aplicaNão se aplicaPonta",Mercado_Receita!$N$2:$N$604)</f>
        <v>0</v>
      </c>
      <c r="P6" s="13">
        <f>SUMIF(Mercado_Receita!$T$2:$T$604,"44621B1Energia horáriaResidencialResidencialNão se aplicaNão se aplicaPonta",Mercado_Receita!$N$2:$N$604)</f>
        <v>0</v>
      </c>
      <c r="Q6" s="13">
        <f>SUMIF(Mercado_Receita!$T$2:$T$604,"44652B1Energia horáriaResidencialResidencialNão se aplicaNão se aplicaPonta",Mercado_Receita!$N$2:$N$604)</f>
        <v>0</v>
      </c>
      <c r="R6" s="13">
        <f>SUMIF(Mercado_Receita!$T$2:$T$604,"44682B1Energia horáriaResidencialResidencialNão se aplicaNão se aplicaPonta",Mercado_Receita!$N$2:$N$604)</f>
        <v>0</v>
      </c>
      <c r="S6" s="13">
        <f>SUMIF(Mercado_Receita!$T$2:$T$604,"44713B1Energia horáriaResidencialResidencialNão se aplicaNão se aplicaPonta",Mercado_Receita!$N$2:$N$604)</f>
        <v>0</v>
      </c>
      <c r="T6" s="13">
        <f>SUMIF(Mercado_Receita!$T$2:$T$604,"44743B1Energia horáriaResidencialResidencialNão se aplicaNão se aplicaPonta",Mercado_Receita!$N$2:$N$604)</f>
        <v>0</v>
      </c>
      <c r="U6" s="13">
        <f t="shared" si="0"/>
        <v>0</v>
      </c>
      <c r="V6" s="13"/>
      <c r="W6" s="13"/>
    </row>
    <row r="7" spans="1:30" ht="11.25" customHeight="1" x14ac:dyDescent="0.3">
      <c r="A7" s="129"/>
      <c r="B7" s="129"/>
      <c r="C7" s="129"/>
      <c r="D7" s="129"/>
      <c r="E7" s="129"/>
      <c r="F7" s="129"/>
      <c r="G7" s="13" t="s">
        <v>89</v>
      </c>
      <c r="H7" s="13" t="s">
        <v>78</v>
      </c>
      <c r="I7" s="13">
        <f>SUMIF(Mercado_Receita!$T$2:$T$604,"44409B1Energia horáriaResidencialResidencialNão se aplicaNão se aplicaIntermediário",Mercado_Receita!$N$2:$N$604)</f>
        <v>0</v>
      </c>
      <c r="J7" s="13">
        <f>SUMIF(Mercado_Receita!$T$2:$T$604,"44440B1Energia horáriaResidencialResidencialNão se aplicaNão se aplicaIntermediário",Mercado_Receita!$N$2:$N$604)</f>
        <v>0</v>
      </c>
      <c r="K7" s="13">
        <f>SUMIF(Mercado_Receita!$T$2:$T$604,"44470B1Energia horáriaResidencialResidencialNão se aplicaNão se aplicaIntermediário",Mercado_Receita!$N$2:$N$604)</f>
        <v>0</v>
      </c>
      <c r="L7" s="13">
        <f>SUMIF(Mercado_Receita!$T$2:$T$604,"44501B1Energia horáriaResidencialResidencialNão se aplicaNão se aplicaIntermediário",Mercado_Receita!$N$2:$N$604)</f>
        <v>0</v>
      </c>
      <c r="M7" s="13">
        <f>SUMIF(Mercado_Receita!$T$2:$T$604,"44531B1Energia horáriaResidencialResidencialNão se aplicaNão se aplicaIntermediário",Mercado_Receita!$N$2:$N$604)</f>
        <v>0</v>
      </c>
      <c r="N7" s="13">
        <f>SUMIF(Mercado_Receita!$T$2:$T$604,"44562B1Energia horáriaResidencialResidencialNão se aplicaNão se aplicaIntermediário",Mercado_Receita!$N$2:$N$604)</f>
        <v>0</v>
      </c>
      <c r="O7" s="13">
        <f>SUMIF(Mercado_Receita!$T$2:$T$604,"44593B1Energia horáriaResidencialResidencialNão se aplicaNão se aplicaIntermediário",Mercado_Receita!$N$2:$N$604)</f>
        <v>0</v>
      </c>
      <c r="P7" s="13">
        <f>SUMIF(Mercado_Receita!$T$2:$T$604,"44621B1Energia horáriaResidencialResidencialNão se aplicaNão se aplicaIntermediário",Mercado_Receita!$N$2:$N$604)</f>
        <v>0</v>
      </c>
      <c r="Q7" s="13">
        <f>SUMIF(Mercado_Receita!$T$2:$T$604,"44652B1Energia horáriaResidencialResidencialNão se aplicaNão se aplicaIntermediário",Mercado_Receita!$N$2:$N$604)</f>
        <v>0</v>
      </c>
      <c r="R7" s="13">
        <f>SUMIF(Mercado_Receita!$T$2:$T$604,"44682B1Energia horáriaResidencialResidencialNão se aplicaNão se aplicaIntermediário",Mercado_Receita!$N$2:$N$604)</f>
        <v>0</v>
      </c>
      <c r="S7" s="13">
        <f>SUMIF(Mercado_Receita!$T$2:$T$604,"44713B1Energia horáriaResidencialResidencialNão se aplicaNão se aplicaIntermediário",Mercado_Receita!$N$2:$N$604)</f>
        <v>0</v>
      </c>
      <c r="T7" s="13">
        <f>SUMIF(Mercado_Receita!$T$2:$T$604,"44743B1Energia horáriaResidencialResidencialNão se aplicaNão se aplicaIntermediário",Mercado_Receita!$N$2:$N$604)</f>
        <v>0</v>
      </c>
      <c r="U7" s="13">
        <f t="shared" si="0"/>
        <v>0</v>
      </c>
      <c r="V7" s="13"/>
      <c r="W7" s="13"/>
    </row>
    <row r="8" spans="1:30" ht="11.25" customHeight="1" x14ac:dyDescent="0.3">
      <c r="A8" s="129"/>
      <c r="B8" s="129"/>
      <c r="C8" s="129"/>
      <c r="D8" s="129"/>
      <c r="E8" s="129"/>
      <c r="F8" s="129"/>
      <c r="G8" s="13" t="s">
        <v>80</v>
      </c>
      <c r="H8" s="13" t="s">
        <v>78</v>
      </c>
      <c r="I8" s="13">
        <f>SUMIF(Mercado_Receita!$T$2:$T$604,"44409B1Energia horáriaResidencialResidencialNão se aplicaNão se aplicaFora ponta",Mercado_Receita!$N$2:$N$604)</f>
        <v>0</v>
      </c>
      <c r="J8" s="13">
        <f>SUMIF(Mercado_Receita!$T$2:$T$604,"44440B1Energia horáriaResidencialResidencialNão se aplicaNão se aplicaFora ponta",Mercado_Receita!$N$2:$N$604)</f>
        <v>0</v>
      </c>
      <c r="K8" s="13">
        <f>SUMIF(Mercado_Receita!$T$2:$T$604,"44470B1Energia horáriaResidencialResidencialNão se aplicaNão se aplicaFora ponta",Mercado_Receita!$N$2:$N$604)</f>
        <v>0</v>
      </c>
      <c r="L8" s="13">
        <f>SUMIF(Mercado_Receita!$T$2:$T$604,"44501B1Energia horáriaResidencialResidencialNão se aplicaNão se aplicaFora ponta",Mercado_Receita!$N$2:$N$604)</f>
        <v>0</v>
      </c>
      <c r="M8" s="13">
        <f>SUMIF(Mercado_Receita!$T$2:$T$604,"44531B1Energia horáriaResidencialResidencialNão se aplicaNão se aplicaFora ponta",Mercado_Receita!$N$2:$N$604)</f>
        <v>0</v>
      </c>
      <c r="N8" s="13">
        <f>SUMIF(Mercado_Receita!$T$2:$T$604,"44562B1Energia horáriaResidencialResidencialNão se aplicaNão se aplicaFora ponta",Mercado_Receita!$N$2:$N$604)</f>
        <v>0</v>
      </c>
      <c r="O8" s="13">
        <f>SUMIF(Mercado_Receita!$T$2:$T$604,"44593B1Energia horáriaResidencialResidencialNão se aplicaNão se aplicaFora ponta",Mercado_Receita!$N$2:$N$604)</f>
        <v>0</v>
      </c>
      <c r="P8" s="13">
        <f>SUMIF(Mercado_Receita!$T$2:$T$604,"44621B1Energia horáriaResidencialResidencialNão se aplicaNão se aplicaFora ponta",Mercado_Receita!$N$2:$N$604)</f>
        <v>0</v>
      </c>
      <c r="Q8" s="13">
        <f>SUMIF(Mercado_Receita!$T$2:$T$604,"44652B1Energia horáriaResidencialResidencialNão se aplicaNão se aplicaFora ponta",Mercado_Receita!$N$2:$N$604)</f>
        <v>0</v>
      </c>
      <c r="R8" s="13">
        <f>SUMIF(Mercado_Receita!$T$2:$T$604,"44682B1Energia horáriaResidencialResidencialNão se aplicaNão se aplicaFora ponta",Mercado_Receita!$N$2:$N$604)</f>
        <v>0</v>
      </c>
      <c r="S8" s="13">
        <f>SUMIF(Mercado_Receita!$T$2:$T$604,"44713B1Energia horáriaResidencialResidencialNão se aplicaNão se aplicaFora ponta",Mercado_Receita!$N$2:$N$604)</f>
        <v>0</v>
      </c>
      <c r="T8" s="13">
        <f>SUMIF(Mercado_Receita!$T$2:$T$604,"44743B1Energia horáriaResidencialResidencialNão se aplicaNão se aplicaFora ponta",Mercado_Receita!$N$2:$N$604)</f>
        <v>0</v>
      </c>
      <c r="U8" s="13">
        <f t="shared" si="0"/>
        <v>0</v>
      </c>
      <c r="V8" s="13"/>
      <c r="W8" s="13"/>
    </row>
    <row r="9" spans="1:30" ht="11.25" customHeight="1" x14ac:dyDescent="0.3">
      <c r="A9" s="129"/>
      <c r="B9" s="128" t="s">
        <v>90</v>
      </c>
      <c r="C9" s="128" t="s">
        <v>24</v>
      </c>
      <c r="D9" s="12" t="s">
        <v>24</v>
      </c>
      <c r="E9" s="12" t="s">
        <v>25</v>
      </c>
      <c r="F9" s="12" t="s">
        <v>25</v>
      </c>
      <c r="G9" s="13" t="s">
        <v>84</v>
      </c>
      <c r="H9" s="13" t="s">
        <v>78</v>
      </c>
      <c r="I9" s="13">
        <f>SUMIF(Mercado_Receita!$T$2:$T$604,"44409B1Energia convencionalResidencialResidencialNão se aplicaNão se aplicaNão se aplica",Mercado_Receita!$N$2:$N$604)</f>
        <v>914.22500000000002</v>
      </c>
      <c r="J9" s="13">
        <f>SUMIF(Mercado_Receita!$T$2:$T$604,"44440B1Energia convencionalResidencialResidencialNão se aplicaNão se aplicaNão se aplica",Mercado_Receita!$N$2:$N$604)</f>
        <v>974.26599999999996</v>
      </c>
      <c r="K9" s="13">
        <f>SUMIF(Mercado_Receita!$T$2:$T$604,"44470B1Energia convencionalResidencialResidencialNão se aplicaNão se aplicaNão se aplica",Mercado_Receita!$N$2:$N$604)</f>
        <v>865.55</v>
      </c>
      <c r="L9" s="13">
        <f>SUMIF(Mercado_Receita!$T$2:$T$604,"44501B1Energia convencionalResidencialResidencialNão se aplicaNão se aplicaNão se aplica",Mercado_Receita!$N$2:$N$604)</f>
        <v>856.83500000000004</v>
      </c>
      <c r="M9" s="13">
        <f>SUMIF(Mercado_Receita!$T$2:$T$604,"44531B1Energia convencionalResidencialResidencialNão se aplicaNão se aplicaNão se aplica",Mercado_Receita!$N$2:$N$604)</f>
        <v>968.50699999999995</v>
      </c>
      <c r="N9" s="13">
        <f>SUMIF(Mercado_Receita!$T$2:$T$604,"44562B1Energia convencionalResidencialResidencialNão se aplicaNão se aplicaNão se aplica",Mercado_Receita!$N$2:$N$604)</f>
        <v>944.327</v>
      </c>
      <c r="O9" s="13">
        <f>SUMIF(Mercado_Receita!$T$2:$T$604,"44593B1Energia convencionalResidencialResidencialNão se aplicaNão se aplicaNão se aplica",Mercado_Receita!$N$2:$N$604)</f>
        <v>1222.7150000000001</v>
      </c>
      <c r="P9" s="13">
        <f>SUMIF(Mercado_Receita!$T$2:$T$604,"44621B1Energia convencionalResidencialResidencialNão se aplicaNão se aplicaNão se aplica",Mercado_Receita!$N$2:$N$604)</f>
        <v>1075.653</v>
      </c>
      <c r="Q9" s="13">
        <f>SUMIF(Mercado_Receita!$T$2:$T$604,"44652B1Energia convencionalResidencialResidencialNão se aplicaNão se aplicaNão se aplica",Mercado_Receita!$N$2:$N$604)</f>
        <v>949.76799999999992</v>
      </c>
      <c r="R9" s="13">
        <f>SUMIF(Mercado_Receita!$T$2:$T$604,"44682B1Energia convencionalResidencialResidencialNão se aplicaNão se aplicaNão se aplica",Mercado_Receita!$N$2:$N$604)</f>
        <v>833.74</v>
      </c>
      <c r="S9" s="13">
        <f>SUMIF(Mercado_Receita!$T$2:$T$604,"44713B1Energia convencionalResidencialResidencialNão se aplicaNão se aplicaNão se aplica",Mercado_Receita!$N$2:$N$604)</f>
        <v>952.55</v>
      </c>
      <c r="T9" s="13">
        <f>SUMIF(Mercado_Receita!$T$2:$T$604,"44743B1Energia convencionalResidencialResidencialNão se aplicaNão se aplicaNão se aplica",Mercado_Receita!$N$2:$N$604)</f>
        <v>972.3119999999999</v>
      </c>
      <c r="U9" s="13">
        <f t="shared" si="0"/>
        <v>11530.447999999999</v>
      </c>
      <c r="V9" s="13"/>
      <c r="W9" s="13"/>
    </row>
    <row r="10" spans="1:30" ht="11.25" customHeight="1" x14ac:dyDescent="0.3">
      <c r="A10" s="129"/>
      <c r="B10" s="129"/>
      <c r="C10" s="129"/>
      <c r="D10" s="12" t="s">
        <v>28</v>
      </c>
      <c r="E10" s="12" t="s">
        <v>25</v>
      </c>
      <c r="F10" s="12" t="s">
        <v>25</v>
      </c>
      <c r="G10" s="13" t="s">
        <v>84</v>
      </c>
      <c r="H10" s="13" t="s">
        <v>78</v>
      </c>
      <c r="I10" s="13">
        <f>SUMIF(Mercado_Receita!$T$2:$T$604,"44409B1Energia convencionalResidencialResidencial baixa renda – faixa 01Não se aplicaNão se aplicaNão se aplica",Mercado_Receita!$N$2:$N$604)</f>
        <v>8.9700000000000006</v>
      </c>
      <c r="J10" s="13">
        <f>SUMIF(Mercado_Receita!$T$2:$T$604,"44440B1Energia convencionalResidencialResidencial baixa renda – faixa 01Não se aplicaNão se aplicaNão se aplica",Mercado_Receita!$N$2:$N$604)</f>
        <v>9.2100000000000009</v>
      </c>
      <c r="K10" s="13">
        <f>SUMIF(Mercado_Receita!$T$2:$T$604,"44470B1Energia convencionalResidencialResidencial baixa renda – faixa 01Não se aplicaNão se aplicaNão se aplica",Mercado_Receita!$N$2:$N$604)</f>
        <v>9.09</v>
      </c>
      <c r="L10" s="13">
        <f>SUMIF(Mercado_Receita!$T$2:$T$604,"44501B1Energia convencionalResidencialResidencial baixa renda – faixa 01Não se aplicaNão se aplicaNão se aplica",Mercado_Receita!$N$2:$N$604)</f>
        <v>9.27</v>
      </c>
      <c r="M10" s="13">
        <f>SUMIF(Mercado_Receita!$T$2:$T$604,"44531B1Energia convencionalResidencialResidencial baixa renda – faixa 01Não se aplicaNão se aplicaNão se aplica",Mercado_Receita!$N$2:$N$604)</f>
        <v>9.48</v>
      </c>
      <c r="N10" s="13">
        <f>SUMIF(Mercado_Receita!$T$2:$T$604,"44562B1Energia convencionalResidencialResidencial baixa renda – faixa 01Não se aplicaNão se aplicaNão se aplica",Mercado_Receita!$N$2:$N$604)</f>
        <v>9.69</v>
      </c>
      <c r="O10" s="13">
        <f>SUMIF(Mercado_Receita!$T$2:$T$604,"44593B1Energia convencionalResidencialResidencial baixa renda – faixa 01Não se aplicaNão se aplicaNão se aplica",Mercado_Receita!$N$2:$N$604)</f>
        <v>10.56</v>
      </c>
      <c r="P10" s="13">
        <f>SUMIF(Mercado_Receita!$T$2:$T$604,"44621B1Energia convencionalResidencialResidencial baixa renda – faixa 01Não se aplicaNão se aplicaNão se aplica",Mercado_Receita!$N$2:$N$604)</f>
        <v>11.22</v>
      </c>
      <c r="Q10" s="13">
        <f>SUMIF(Mercado_Receita!$T$2:$T$604,"44652B1Energia convencionalResidencialResidencial baixa renda – faixa 01Não se aplicaNão se aplicaNão se aplica",Mercado_Receita!$N$2:$N$604)</f>
        <v>11.37</v>
      </c>
      <c r="R10" s="13">
        <f>SUMIF(Mercado_Receita!$T$2:$T$604,"44682B1Energia convencionalResidencialResidencial baixa renda – faixa 01Não se aplicaNão se aplicaNão se aplica",Mercado_Receita!$N$2:$N$604)</f>
        <v>11.82</v>
      </c>
      <c r="S10" s="13">
        <f>SUMIF(Mercado_Receita!$T$2:$T$604,"44713B1Energia convencionalResidencialResidencial baixa renda – faixa 01Não se aplicaNão se aplicaNão se aplica",Mercado_Receita!$N$2:$N$604)</f>
        <v>9.6300000000000008</v>
      </c>
      <c r="T10" s="13">
        <f>SUMIF(Mercado_Receita!$T$2:$T$604,"44743B1Energia convencionalResidencialResidencial baixa renda – faixa 01Não se aplicaNão se aplicaNão se aplica",Mercado_Receita!$N$2:$N$604)</f>
        <v>10.95</v>
      </c>
      <c r="U10" s="13">
        <f t="shared" si="0"/>
        <v>121.26</v>
      </c>
      <c r="V10" s="13"/>
      <c r="W10" s="13"/>
    </row>
    <row r="11" spans="1:30" ht="11.25" customHeight="1" x14ac:dyDescent="0.3">
      <c r="A11" s="129"/>
      <c r="B11" s="129"/>
      <c r="C11" s="129"/>
      <c r="D11" s="12" t="s">
        <v>29</v>
      </c>
      <c r="E11" s="12" t="s">
        <v>25</v>
      </c>
      <c r="F11" s="12" t="s">
        <v>25</v>
      </c>
      <c r="G11" s="13" t="s">
        <v>84</v>
      </c>
      <c r="H11" s="13" t="s">
        <v>78</v>
      </c>
      <c r="I11" s="13">
        <f>SUMIF(Mercado_Receita!$T$2:$T$604,"44409B1Energia convencionalResidencialResidencial baixa renda – faixa 02Não se aplicaNão se aplicaNão se aplica",Mercado_Receita!$N$2:$N$604)</f>
        <v>18.370999999999999</v>
      </c>
      <c r="J11" s="13">
        <f>SUMIF(Mercado_Receita!$T$2:$T$604,"44440B1Energia convencionalResidencialResidencial baixa renda – faixa 02Não se aplicaNão se aplicaNão se aplica",Mercado_Receita!$N$2:$N$604)</f>
        <v>19.5</v>
      </c>
      <c r="K11" s="13">
        <f>SUMIF(Mercado_Receita!$T$2:$T$604,"44470B1Energia convencionalResidencialResidencial baixa renda – faixa 02Não se aplicaNão se aplicaNão se aplica",Mercado_Receita!$N$2:$N$604)</f>
        <v>19.084</v>
      </c>
      <c r="L11" s="13">
        <f>SUMIF(Mercado_Receita!$T$2:$T$604,"44501B1Energia convencionalResidencialResidencial baixa renda – faixa 02Não se aplicaNão se aplicaNão se aplica",Mercado_Receita!$N$2:$N$604)</f>
        <v>18.992999999999999</v>
      </c>
      <c r="M11" s="13">
        <f>SUMIF(Mercado_Receita!$T$2:$T$604,"44531B1Energia convencionalResidencialResidencial baixa renda – faixa 02Não se aplicaNão se aplicaNão se aplica",Mercado_Receita!$N$2:$N$604)</f>
        <v>20.306999999999999</v>
      </c>
      <c r="N11" s="13">
        <f>SUMIF(Mercado_Receita!$T$2:$T$604,"44562B1Energia convencionalResidencialResidencial baixa renda – faixa 02Não se aplicaNão se aplicaNão se aplica",Mercado_Receita!$N$2:$N$604)</f>
        <v>20.56</v>
      </c>
      <c r="O11" s="13">
        <f>SUMIF(Mercado_Receita!$T$2:$T$604,"44593B1Energia convencionalResidencialResidencial baixa renda – faixa 02Não se aplicaNão se aplicaNão se aplica",Mercado_Receita!$N$2:$N$604)</f>
        <v>23.015999999999998</v>
      </c>
      <c r="P11" s="13">
        <f>SUMIF(Mercado_Receita!$T$2:$T$604,"44621B1Energia convencionalResidencialResidencial baixa renda – faixa 02Não se aplicaNão se aplicaNão se aplica",Mercado_Receita!$N$2:$N$604)</f>
        <v>24</v>
      </c>
      <c r="Q11" s="13">
        <f>SUMIF(Mercado_Receita!$T$2:$T$604,"44652B1Energia convencionalResidencialResidencial baixa renda – faixa 02Não se aplicaNão se aplicaNão se aplica",Mercado_Receita!$N$2:$N$604)</f>
        <v>23.969000000000001</v>
      </c>
      <c r="R11" s="13">
        <f>SUMIF(Mercado_Receita!$T$2:$T$604,"44682B1Energia convencionalResidencialResidencial baixa renda – faixa 02Não se aplicaNão se aplicaNão se aplica",Mercado_Receita!$N$2:$N$604)</f>
        <v>24.436</v>
      </c>
      <c r="S11" s="13">
        <f>SUMIF(Mercado_Receita!$T$2:$T$604,"44713B1Energia convencionalResidencialResidencial baixa renda – faixa 02Não se aplicaNão se aplicaNão se aplica",Mercado_Receita!$N$2:$N$604)</f>
        <v>19.992999999999999</v>
      </c>
      <c r="T11" s="13">
        <f>SUMIF(Mercado_Receita!$T$2:$T$604,"44743B1Energia convencionalResidencialResidencial baixa renda – faixa 02Não se aplicaNão se aplicaNão se aplica",Mercado_Receita!$N$2:$N$604)</f>
        <v>22.091000000000001</v>
      </c>
      <c r="U11" s="13">
        <f t="shared" si="0"/>
        <v>254.32</v>
      </c>
      <c r="V11" s="13"/>
      <c r="W11" s="13"/>
    </row>
    <row r="12" spans="1:30" ht="11.25" customHeight="1" x14ac:dyDescent="0.3">
      <c r="A12" s="129"/>
      <c r="B12" s="129"/>
      <c r="C12" s="129"/>
      <c r="D12" s="12" t="s">
        <v>30</v>
      </c>
      <c r="E12" s="12" t="s">
        <v>25</v>
      </c>
      <c r="F12" s="12" t="s">
        <v>25</v>
      </c>
      <c r="G12" s="13" t="s">
        <v>84</v>
      </c>
      <c r="H12" s="13" t="s">
        <v>78</v>
      </c>
      <c r="I12" s="13">
        <f>SUMIF(Mercado_Receita!$T$2:$T$604,"44409B1Energia convencionalResidencialResidencial baixa renda – faixa 03Não se aplicaNão se aplicaNão se aplica",Mercado_Receita!$N$2:$N$604)</f>
        <v>17.896999999999998</v>
      </c>
      <c r="J12" s="13">
        <f>SUMIF(Mercado_Receita!$T$2:$T$604,"44440B1Energia convencionalResidencialResidencial baixa renda – faixa 03Não se aplicaNão se aplicaNão se aplica",Mercado_Receita!$N$2:$N$604)</f>
        <v>20.79</v>
      </c>
      <c r="K12" s="13">
        <f>SUMIF(Mercado_Receita!$T$2:$T$604,"44470B1Energia convencionalResidencialResidencial baixa renda – faixa 03Não se aplicaNão se aplicaNão se aplica",Mercado_Receita!$N$2:$N$604)</f>
        <v>17.515999999999998</v>
      </c>
      <c r="L12" s="13">
        <f>SUMIF(Mercado_Receita!$T$2:$T$604,"44501B1Energia convencionalResidencialResidencial baixa renda – faixa 03Não se aplicaNão se aplicaNão se aplica",Mercado_Receita!$N$2:$N$604)</f>
        <v>16.582999999999998</v>
      </c>
      <c r="M12" s="13">
        <f>SUMIF(Mercado_Receita!$T$2:$T$604,"44531B1Energia convencionalResidencialResidencial baixa renda – faixa 03Não se aplicaNão se aplicaNão se aplica",Mercado_Receita!$N$2:$N$604)</f>
        <v>20.638999999999999</v>
      </c>
      <c r="N12" s="13">
        <f>SUMIF(Mercado_Receita!$T$2:$T$604,"44562B1Energia convencionalResidencialResidencial baixa renda – faixa 03Não se aplicaNão se aplicaNão se aplica",Mercado_Receita!$N$2:$N$604)</f>
        <v>19.594000000000001</v>
      </c>
      <c r="O12" s="13">
        <f>SUMIF(Mercado_Receita!$T$2:$T$604,"44593B1Energia convencionalResidencialResidencial baixa renda – faixa 03Não se aplicaNão se aplicaNão se aplica",Mercado_Receita!$N$2:$N$604)</f>
        <v>26.75</v>
      </c>
      <c r="P12" s="13">
        <f>SUMIF(Mercado_Receita!$T$2:$T$604,"44621B1Energia convencionalResidencialResidencial baixa renda – faixa 03Não se aplicaNão se aplicaNão se aplica",Mercado_Receita!$N$2:$N$604)</f>
        <v>25.718</v>
      </c>
      <c r="Q12" s="13">
        <f>SUMIF(Mercado_Receita!$T$2:$T$604,"44652B1Energia convencionalResidencialResidencial baixa renda – faixa 03Não se aplicaNão se aplicaNão se aplica",Mercado_Receita!$N$2:$N$604)</f>
        <v>22.731999999999999</v>
      </c>
      <c r="R12" s="13">
        <f>SUMIF(Mercado_Receita!$T$2:$T$604,"44682B1Energia convencionalResidencialResidencial baixa renda – faixa 03Não se aplicaNão se aplicaNão se aplica",Mercado_Receita!$N$2:$N$604)</f>
        <v>21.222999999999999</v>
      </c>
      <c r="S12" s="13">
        <f>SUMIF(Mercado_Receita!$T$2:$T$604,"44713B1Energia convencionalResidencialResidencial baixa renda – faixa 03Não se aplicaNão se aplicaNão se aplica",Mercado_Receita!$N$2:$N$604)</f>
        <v>18.413</v>
      </c>
      <c r="T12" s="13">
        <f>SUMIF(Mercado_Receita!$T$2:$T$604,"44743B1Energia convencionalResidencialResidencial baixa renda – faixa 03Não se aplicaNão se aplicaNão se aplica",Mercado_Receita!$N$2:$N$604)</f>
        <v>20.666</v>
      </c>
      <c r="U12" s="13">
        <f t="shared" si="0"/>
        <v>248.52100000000002</v>
      </c>
      <c r="V12" s="13"/>
      <c r="W12" s="13"/>
    </row>
    <row r="13" spans="1:30" ht="11.25" customHeight="1" x14ac:dyDescent="0.3">
      <c r="A13" s="129"/>
      <c r="B13" s="129"/>
      <c r="C13" s="129"/>
      <c r="D13" s="12" t="s">
        <v>31</v>
      </c>
      <c r="E13" s="12" t="s">
        <v>25</v>
      </c>
      <c r="F13" s="12" t="s">
        <v>25</v>
      </c>
      <c r="G13" s="13" t="s">
        <v>84</v>
      </c>
      <c r="H13" s="13" t="s">
        <v>78</v>
      </c>
      <c r="I13" s="13">
        <f>SUMIF(Mercado_Receita!$T$2:$T$604,"44409B1Energia convencionalResidencialResidencial baixa renda – faixa 04Não se aplicaNão se aplicaNão se aplica",Mercado_Receita!$N$2:$N$604)</f>
        <v>5.9829999999999997</v>
      </c>
      <c r="J13" s="13">
        <f>SUMIF(Mercado_Receita!$T$2:$T$604,"44440B1Energia convencionalResidencialResidencial baixa renda – faixa 04Não se aplicaNão se aplicaNão se aplica",Mercado_Receita!$N$2:$N$604)</f>
        <v>7.6020000000000003</v>
      </c>
      <c r="K13" s="13">
        <f>SUMIF(Mercado_Receita!$T$2:$T$604,"44470B1Energia convencionalResidencialResidencial baixa renda – faixa 04Não se aplicaNão se aplicaNão se aplica",Mercado_Receita!$N$2:$N$604)</f>
        <v>4.5890000000000004</v>
      </c>
      <c r="L13" s="13">
        <f>SUMIF(Mercado_Receita!$T$2:$T$604,"44501B1Energia convencionalResidencialResidencial baixa renda – faixa 04Não se aplicaNão se aplicaNão se aplica",Mercado_Receita!$N$2:$N$604)</f>
        <v>3.7509999999999999</v>
      </c>
      <c r="M13" s="13">
        <f>SUMIF(Mercado_Receita!$T$2:$T$604,"44531B1Energia convencionalResidencialResidencial baixa renda – faixa 04Não se aplicaNão se aplicaNão se aplica",Mercado_Receita!$N$2:$N$604)</f>
        <v>7.5640000000000001</v>
      </c>
      <c r="N13" s="13">
        <f>SUMIF(Mercado_Receita!$T$2:$T$604,"44562B1Energia convencionalResidencialResidencial baixa renda – faixa 04Não se aplicaNão se aplicaNão se aplica",Mercado_Receita!$N$2:$N$604)</f>
        <v>6.6920000000000002</v>
      </c>
      <c r="O13" s="13">
        <f>SUMIF(Mercado_Receita!$T$2:$T$604,"44593B1Energia convencionalResidencialResidencial baixa renda – faixa 04Não se aplicaNão se aplicaNão se aplica",Mercado_Receita!$N$2:$N$604)</f>
        <v>15.93</v>
      </c>
      <c r="P13" s="13">
        <f>SUMIF(Mercado_Receita!$T$2:$T$604,"44621B1Energia convencionalResidencialResidencial baixa renda – faixa 04Não se aplicaNão se aplicaNão se aplica",Mercado_Receita!$N$2:$N$604)</f>
        <v>12.44</v>
      </c>
      <c r="Q13" s="13">
        <f>SUMIF(Mercado_Receita!$T$2:$T$604,"44652B1Energia convencionalResidencialResidencial baixa renda – faixa 04Não se aplicaNão se aplicaNão se aplica",Mercado_Receita!$N$2:$N$604)</f>
        <v>7.141</v>
      </c>
      <c r="R13" s="13">
        <f>SUMIF(Mercado_Receita!$T$2:$T$604,"44682B1Energia convencionalResidencialResidencial baixa renda – faixa 04Não se aplicaNão se aplicaNão se aplica",Mercado_Receita!$N$2:$N$604)</f>
        <v>5.4130000000000003</v>
      </c>
      <c r="S13" s="13">
        <f>SUMIF(Mercado_Receita!$T$2:$T$604,"44713B1Energia convencionalResidencialResidencial baixa renda – faixa 04Não se aplicaNão se aplicaNão se aplica",Mercado_Receita!$N$2:$N$604)</f>
        <v>6.1180000000000003</v>
      </c>
      <c r="T13" s="13">
        <f>SUMIF(Mercado_Receita!$T$2:$T$604,"44743B1Energia convencionalResidencialResidencial baixa renda – faixa 04Não se aplicaNão se aplicaNão se aplica",Mercado_Receita!$N$2:$N$604)</f>
        <v>8.77</v>
      </c>
      <c r="U13" s="13">
        <f t="shared" si="0"/>
        <v>91.992999999999995</v>
      </c>
      <c r="V13" s="13"/>
      <c r="W13" s="13"/>
    </row>
    <row r="14" spans="1:30" ht="11.25" customHeight="1" x14ac:dyDescent="0.3">
      <c r="A14" s="129"/>
      <c r="B14" s="128" t="s">
        <v>91</v>
      </c>
      <c r="C14" s="128" t="s">
        <v>24</v>
      </c>
      <c r="D14" s="12" t="s">
        <v>24</v>
      </c>
      <c r="E14" s="12" t="s">
        <v>25</v>
      </c>
      <c r="F14" s="12" t="s">
        <v>25</v>
      </c>
      <c r="G14" s="13" t="s">
        <v>84</v>
      </c>
      <c r="H14" s="13" t="s">
        <v>78</v>
      </c>
      <c r="I14" s="13">
        <f>SUMIF(Mercado_Receita!$T$2:$T$604,"44409B1Energia convencional pré-pagamentoResidencialResidencialNão se aplicaNão se aplicaNão se aplica",Mercado_Receita!$N$2:$N$604)</f>
        <v>0</v>
      </c>
      <c r="J14" s="13">
        <f>SUMIF(Mercado_Receita!$T$2:$T$604,"44440B1Energia convencional pré-pagamentoResidencialResidencialNão se aplicaNão se aplicaNão se aplica",Mercado_Receita!$N$2:$N$604)</f>
        <v>0</v>
      </c>
      <c r="K14" s="13">
        <f>SUMIF(Mercado_Receita!$T$2:$T$604,"44470B1Energia convencional pré-pagamentoResidencialResidencialNão se aplicaNão se aplicaNão se aplica",Mercado_Receita!$N$2:$N$604)</f>
        <v>0</v>
      </c>
      <c r="L14" s="13">
        <f>SUMIF(Mercado_Receita!$T$2:$T$604,"44501B1Energia convencional pré-pagamentoResidencialResidencialNão se aplicaNão se aplicaNão se aplica",Mercado_Receita!$N$2:$N$604)</f>
        <v>0</v>
      </c>
      <c r="M14" s="13">
        <f>SUMIF(Mercado_Receita!$T$2:$T$604,"44531B1Energia convencional pré-pagamentoResidencialResidencialNão se aplicaNão se aplicaNão se aplica",Mercado_Receita!$N$2:$N$604)</f>
        <v>0</v>
      </c>
      <c r="N14" s="13">
        <f>SUMIF(Mercado_Receita!$T$2:$T$604,"44562B1Energia convencional pré-pagamentoResidencialResidencialNão se aplicaNão se aplicaNão se aplica",Mercado_Receita!$N$2:$N$604)</f>
        <v>0</v>
      </c>
      <c r="O14" s="13">
        <f>SUMIF(Mercado_Receita!$T$2:$T$604,"44593B1Energia convencional pré-pagamentoResidencialResidencialNão se aplicaNão se aplicaNão se aplica",Mercado_Receita!$N$2:$N$604)</f>
        <v>0</v>
      </c>
      <c r="P14" s="13">
        <f>SUMIF(Mercado_Receita!$T$2:$T$604,"44621B1Energia convencional pré-pagamentoResidencialResidencialNão se aplicaNão se aplicaNão se aplica",Mercado_Receita!$N$2:$N$604)</f>
        <v>0</v>
      </c>
      <c r="Q14" s="13">
        <f>SUMIF(Mercado_Receita!$T$2:$T$604,"44652B1Energia convencional pré-pagamentoResidencialResidencialNão se aplicaNão se aplicaNão se aplica",Mercado_Receita!$N$2:$N$604)</f>
        <v>0</v>
      </c>
      <c r="R14" s="13">
        <f>SUMIF(Mercado_Receita!$T$2:$T$604,"44682B1Energia convencional pré-pagamentoResidencialResidencialNão se aplicaNão se aplicaNão se aplica",Mercado_Receita!$N$2:$N$604)</f>
        <v>0</v>
      </c>
      <c r="S14" s="13">
        <f>SUMIF(Mercado_Receita!$T$2:$T$604,"44713B1Energia convencional pré-pagamentoResidencialResidencialNão se aplicaNão se aplicaNão se aplica",Mercado_Receita!$N$2:$N$604)</f>
        <v>0</v>
      </c>
      <c r="T14" s="13">
        <f>SUMIF(Mercado_Receita!$T$2:$T$604,"44743B1Energia convencional pré-pagamentoResidencialResidencialNão se aplicaNão se aplicaNão se aplica",Mercado_Receita!$N$2:$N$604)</f>
        <v>0</v>
      </c>
      <c r="U14" s="13">
        <f t="shared" si="0"/>
        <v>0</v>
      </c>
      <c r="V14" s="13"/>
      <c r="W14" s="13"/>
    </row>
    <row r="15" spans="1:30" ht="11.25" customHeight="1" x14ac:dyDescent="0.3">
      <c r="A15" s="129"/>
      <c r="B15" s="129"/>
      <c r="C15" s="129"/>
      <c r="D15" s="12" t="s">
        <v>28</v>
      </c>
      <c r="E15" s="12" t="s">
        <v>25</v>
      </c>
      <c r="F15" s="12" t="s">
        <v>25</v>
      </c>
      <c r="G15" s="13" t="s">
        <v>84</v>
      </c>
      <c r="H15" s="13" t="s">
        <v>78</v>
      </c>
      <c r="I15" s="13">
        <f>SUMIF(Mercado_Receita!$T$2:$T$604,"44409B1Energia convencional pré-pagamentoResidencialResidencial baixa renda – faixa 01Não se aplicaNão se aplicaNão se aplica",Mercado_Receita!$N$2:$N$604)</f>
        <v>0</v>
      </c>
      <c r="J15" s="13">
        <f>SUMIF(Mercado_Receita!$T$2:$T$604,"44440B1Energia convencional pré-pagamentoResidencialResidencial baixa renda – faixa 01Não se aplicaNão se aplicaNão se aplica",Mercado_Receita!$N$2:$N$604)</f>
        <v>0</v>
      </c>
      <c r="K15" s="13">
        <f>SUMIF(Mercado_Receita!$T$2:$T$604,"44470B1Energia convencional pré-pagamentoResidencialResidencial baixa renda – faixa 01Não se aplicaNão se aplicaNão se aplica",Mercado_Receita!$N$2:$N$604)</f>
        <v>0</v>
      </c>
      <c r="L15" s="13">
        <f>SUMIF(Mercado_Receita!$T$2:$T$604,"44501B1Energia convencional pré-pagamentoResidencialResidencial baixa renda – faixa 01Não se aplicaNão se aplicaNão se aplica",Mercado_Receita!$N$2:$N$604)</f>
        <v>0</v>
      </c>
      <c r="M15" s="13">
        <f>SUMIF(Mercado_Receita!$T$2:$T$604,"44531B1Energia convencional pré-pagamentoResidencialResidencial baixa renda – faixa 01Não se aplicaNão se aplicaNão se aplica",Mercado_Receita!$N$2:$N$604)</f>
        <v>0</v>
      </c>
      <c r="N15" s="13">
        <f>SUMIF(Mercado_Receita!$T$2:$T$604,"44562B1Energia convencional pré-pagamentoResidencialResidencial baixa renda – faixa 01Não se aplicaNão se aplicaNão se aplica",Mercado_Receita!$N$2:$N$604)</f>
        <v>0</v>
      </c>
      <c r="O15" s="13">
        <f>SUMIF(Mercado_Receita!$T$2:$T$604,"44593B1Energia convencional pré-pagamentoResidencialResidencial baixa renda – faixa 01Não se aplicaNão se aplicaNão se aplica",Mercado_Receita!$N$2:$N$604)</f>
        <v>0</v>
      </c>
      <c r="P15" s="13">
        <f>SUMIF(Mercado_Receita!$T$2:$T$604,"44621B1Energia convencional pré-pagamentoResidencialResidencial baixa renda – faixa 01Não se aplicaNão se aplicaNão se aplica",Mercado_Receita!$N$2:$N$604)</f>
        <v>0</v>
      </c>
      <c r="Q15" s="13">
        <f>SUMIF(Mercado_Receita!$T$2:$T$604,"44652B1Energia convencional pré-pagamentoResidencialResidencial baixa renda – faixa 01Não se aplicaNão se aplicaNão se aplica",Mercado_Receita!$N$2:$N$604)</f>
        <v>0</v>
      </c>
      <c r="R15" s="13">
        <f>SUMIF(Mercado_Receita!$T$2:$T$604,"44682B1Energia convencional pré-pagamentoResidencialResidencial baixa renda – faixa 01Não se aplicaNão se aplicaNão se aplica",Mercado_Receita!$N$2:$N$604)</f>
        <v>0</v>
      </c>
      <c r="S15" s="13">
        <f>SUMIF(Mercado_Receita!$T$2:$T$604,"44713B1Energia convencional pré-pagamentoResidencialResidencial baixa renda – faixa 01Não se aplicaNão se aplicaNão se aplica",Mercado_Receita!$N$2:$N$604)</f>
        <v>0</v>
      </c>
      <c r="T15" s="13">
        <f>SUMIF(Mercado_Receita!$T$2:$T$604,"44743B1Energia convencional pré-pagamentoResidencialResidencial baixa renda – faixa 01Não se aplicaNão se aplicaNão se aplica",Mercado_Receita!$N$2:$N$604)</f>
        <v>0</v>
      </c>
      <c r="U15" s="13">
        <f t="shared" si="0"/>
        <v>0</v>
      </c>
      <c r="V15" s="13"/>
      <c r="W15" s="13"/>
    </row>
    <row r="16" spans="1:30" ht="11.25" customHeight="1" x14ac:dyDescent="0.3">
      <c r="A16" s="129"/>
      <c r="B16" s="129"/>
      <c r="C16" s="129"/>
      <c r="D16" s="12" t="s">
        <v>29</v>
      </c>
      <c r="E16" s="12" t="s">
        <v>25</v>
      </c>
      <c r="F16" s="12" t="s">
        <v>25</v>
      </c>
      <c r="G16" s="13" t="s">
        <v>84</v>
      </c>
      <c r="H16" s="13" t="s">
        <v>78</v>
      </c>
      <c r="I16" s="13">
        <f>SUMIF(Mercado_Receita!$T$2:$T$604,"44409B1Energia convencional pré-pagamentoResidencialResidencial baixa renda – faixa 02Não se aplicaNão se aplicaNão se aplica",Mercado_Receita!$N$2:$N$604)</f>
        <v>0</v>
      </c>
      <c r="J16" s="13">
        <f>SUMIF(Mercado_Receita!$T$2:$T$604,"44440B1Energia convencional pré-pagamentoResidencialResidencial baixa renda – faixa 02Não se aplicaNão se aplicaNão se aplica",Mercado_Receita!$N$2:$N$604)</f>
        <v>0</v>
      </c>
      <c r="K16" s="13">
        <f>SUMIF(Mercado_Receita!$T$2:$T$604,"44470B1Energia convencional pré-pagamentoResidencialResidencial baixa renda – faixa 02Não se aplicaNão se aplicaNão se aplica",Mercado_Receita!$N$2:$N$604)</f>
        <v>0</v>
      </c>
      <c r="L16" s="13">
        <f>SUMIF(Mercado_Receita!$T$2:$T$604,"44501B1Energia convencional pré-pagamentoResidencialResidencial baixa renda – faixa 02Não se aplicaNão se aplicaNão se aplica",Mercado_Receita!$N$2:$N$604)</f>
        <v>0</v>
      </c>
      <c r="M16" s="13">
        <f>SUMIF(Mercado_Receita!$T$2:$T$604,"44531B1Energia convencional pré-pagamentoResidencialResidencial baixa renda – faixa 02Não se aplicaNão se aplicaNão se aplica",Mercado_Receita!$N$2:$N$604)</f>
        <v>0</v>
      </c>
      <c r="N16" s="13">
        <f>SUMIF(Mercado_Receita!$T$2:$T$604,"44562B1Energia convencional pré-pagamentoResidencialResidencial baixa renda – faixa 02Não se aplicaNão se aplicaNão se aplica",Mercado_Receita!$N$2:$N$604)</f>
        <v>0</v>
      </c>
      <c r="O16" s="13">
        <f>SUMIF(Mercado_Receita!$T$2:$T$604,"44593B1Energia convencional pré-pagamentoResidencialResidencial baixa renda – faixa 02Não se aplicaNão se aplicaNão se aplica",Mercado_Receita!$N$2:$N$604)</f>
        <v>0</v>
      </c>
      <c r="P16" s="13">
        <f>SUMIF(Mercado_Receita!$T$2:$T$604,"44621B1Energia convencional pré-pagamentoResidencialResidencial baixa renda – faixa 02Não se aplicaNão se aplicaNão se aplica",Mercado_Receita!$N$2:$N$604)</f>
        <v>0</v>
      </c>
      <c r="Q16" s="13">
        <f>SUMIF(Mercado_Receita!$T$2:$T$604,"44652B1Energia convencional pré-pagamentoResidencialResidencial baixa renda – faixa 02Não se aplicaNão se aplicaNão se aplica",Mercado_Receita!$N$2:$N$604)</f>
        <v>0</v>
      </c>
      <c r="R16" s="13">
        <f>SUMIF(Mercado_Receita!$T$2:$T$604,"44682B1Energia convencional pré-pagamentoResidencialResidencial baixa renda – faixa 02Não se aplicaNão se aplicaNão se aplica",Mercado_Receita!$N$2:$N$604)</f>
        <v>0</v>
      </c>
      <c r="S16" s="13">
        <f>SUMIF(Mercado_Receita!$T$2:$T$604,"44713B1Energia convencional pré-pagamentoResidencialResidencial baixa renda – faixa 02Não se aplicaNão se aplicaNão se aplica",Mercado_Receita!$N$2:$N$604)</f>
        <v>0</v>
      </c>
      <c r="T16" s="13">
        <f>SUMIF(Mercado_Receita!$T$2:$T$604,"44743B1Energia convencional pré-pagamentoResidencialResidencial baixa renda – faixa 02Não se aplicaNão se aplicaNão se aplica",Mercado_Receita!$N$2:$N$604)</f>
        <v>0</v>
      </c>
      <c r="U16" s="13">
        <f t="shared" si="0"/>
        <v>0</v>
      </c>
      <c r="V16" s="13"/>
      <c r="W16" s="13"/>
    </row>
    <row r="17" spans="1:23" ht="11.25" customHeight="1" x14ac:dyDescent="0.3">
      <c r="A17" s="129"/>
      <c r="B17" s="129"/>
      <c r="C17" s="129"/>
      <c r="D17" s="12" t="s">
        <v>30</v>
      </c>
      <c r="E17" s="12" t="s">
        <v>25</v>
      </c>
      <c r="F17" s="12" t="s">
        <v>25</v>
      </c>
      <c r="G17" s="13" t="s">
        <v>84</v>
      </c>
      <c r="H17" s="13" t="s">
        <v>78</v>
      </c>
      <c r="I17" s="13">
        <f>SUMIF(Mercado_Receita!$T$2:$T$604,"44409B1Energia convencional pré-pagamentoResidencialResidencial baixa renda – faixa 03Não se aplicaNão se aplicaNão se aplica",Mercado_Receita!$N$2:$N$604)</f>
        <v>0</v>
      </c>
      <c r="J17" s="13">
        <f>SUMIF(Mercado_Receita!$T$2:$T$604,"44440B1Energia convencional pré-pagamentoResidencialResidencial baixa renda – faixa 03Não se aplicaNão se aplicaNão se aplica",Mercado_Receita!$N$2:$N$604)</f>
        <v>0</v>
      </c>
      <c r="K17" s="13">
        <f>SUMIF(Mercado_Receita!$T$2:$T$604,"44470B1Energia convencional pré-pagamentoResidencialResidencial baixa renda – faixa 03Não se aplicaNão se aplicaNão se aplica",Mercado_Receita!$N$2:$N$604)</f>
        <v>0</v>
      </c>
      <c r="L17" s="13">
        <f>SUMIF(Mercado_Receita!$T$2:$T$604,"44501B1Energia convencional pré-pagamentoResidencialResidencial baixa renda – faixa 03Não se aplicaNão se aplicaNão se aplica",Mercado_Receita!$N$2:$N$604)</f>
        <v>0</v>
      </c>
      <c r="M17" s="13">
        <f>SUMIF(Mercado_Receita!$T$2:$T$604,"44531B1Energia convencional pré-pagamentoResidencialResidencial baixa renda – faixa 03Não se aplicaNão se aplicaNão se aplica",Mercado_Receita!$N$2:$N$604)</f>
        <v>0</v>
      </c>
      <c r="N17" s="13">
        <f>SUMIF(Mercado_Receita!$T$2:$T$604,"44562B1Energia convencional pré-pagamentoResidencialResidencial baixa renda – faixa 03Não se aplicaNão se aplicaNão se aplica",Mercado_Receita!$N$2:$N$604)</f>
        <v>0</v>
      </c>
      <c r="O17" s="13">
        <f>SUMIF(Mercado_Receita!$T$2:$T$604,"44593B1Energia convencional pré-pagamentoResidencialResidencial baixa renda – faixa 03Não se aplicaNão se aplicaNão se aplica",Mercado_Receita!$N$2:$N$604)</f>
        <v>0</v>
      </c>
      <c r="P17" s="13">
        <f>SUMIF(Mercado_Receita!$T$2:$T$604,"44621B1Energia convencional pré-pagamentoResidencialResidencial baixa renda – faixa 03Não se aplicaNão se aplicaNão se aplica",Mercado_Receita!$N$2:$N$604)</f>
        <v>0</v>
      </c>
      <c r="Q17" s="13">
        <f>SUMIF(Mercado_Receita!$T$2:$T$604,"44652B1Energia convencional pré-pagamentoResidencialResidencial baixa renda – faixa 03Não se aplicaNão se aplicaNão se aplica",Mercado_Receita!$N$2:$N$604)</f>
        <v>0</v>
      </c>
      <c r="R17" s="13">
        <f>SUMIF(Mercado_Receita!$T$2:$T$604,"44682B1Energia convencional pré-pagamentoResidencialResidencial baixa renda – faixa 03Não se aplicaNão se aplicaNão se aplica",Mercado_Receita!$N$2:$N$604)</f>
        <v>0</v>
      </c>
      <c r="S17" s="13">
        <f>SUMIF(Mercado_Receita!$T$2:$T$604,"44713B1Energia convencional pré-pagamentoResidencialResidencial baixa renda – faixa 03Não se aplicaNão se aplicaNão se aplica",Mercado_Receita!$N$2:$N$604)</f>
        <v>0</v>
      </c>
      <c r="T17" s="13">
        <f>SUMIF(Mercado_Receita!$T$2:$T$604,"44743B1Energia convencional pré-pagamentoResidencialResidencial baixa renda – faixa 03Não se aplicaNão se aplicaNão se aplica",Mercado_Receita!$N$2:$N$604)</f>
        <v>0</v>
      </c>
      <c r="U17" s="13">
        <f t="shared" si="0"/>
        <v>0</v>
      </c>
      <c r="V17" s="13"/>
      <c r="W17" s="13"/>
    </row>
    <row r="18" spans="1:23" ht="11.25" customHeight="1" x14ac:dyDescent="0.3">
      <c r="A18" s="129"/>
      <c r="B18" s="129"/>
      <c r="C18" s="129"/>
      <c r="D18" s="12" t="s">
        <v>31</v>
      </c>
      <c r="E18" s="12" t="s">
        <v>25</v>
      </c>
      <c r="F18" s="12" t="s">
        <v>25</v>
      </c>
      <c r="G18" s="13" t="s">
        <v>84</v>
      </c>
      <c r="H18" s="13" t="s">
        <v>78</v>
      </c>
      <c r="I18" s="13">
        <f>SUMIF(Mercado_Receita!$T$2:$T$604,"44409B1Energia convencional pré-pagamentoResidencialResidencial baixa renda – faixa 04Não se aplicaNão se aplicaNão se aplica",Mercado_Receita!$N$2:$N$604)</f>
        <v>0</v>
      </c>
      <c r="J18" s="13">
        <f>SUMIF(Mercado_Receita!$T$2:$T$604,"44440B1Energia convencional pré-pagamentoResidencialResidencial baixa renda – faixa 04Não se aplicaNão se aplicaNão se aplica",Mercado_Receita!$N$2:$N$604)</f>
        <v>0</v>
      </c>
      <c r="K18" s="13">
        <f>SUMIF(Mercado_Receita!$T$2:$T$604,"44470B1Energia convencional pré-pagamentoResidencialResidencial baixa renda – faixa 04Não se aplicaNão se aplicaNão se aplica",Mercado_Receita!$N$2:$N$604)</f>
        <v>0</v>
      </c>
      <c r="L18" s="13">
        <f>SUMIF(Mercado_Receita!$T$2:$T$604,"44501B1Energia convencional pré-pagamentoResidencialResidencial baixa renda – faixa 04Não se aplicaNão se aplicaNão se aplica",Mercado_Receita!$N$2:$N$604)</f>
        <v>0</v>
      </c>
      <c r="M18" s="13">
        <f>SUMIF(Mercado_Receita!$T$2:$T$604,"44531B1Energia convencional pré-pagamentoResidencialResidencial baixa renda – faixa 04Não se aplicaNão se aplicaNão se aplica",Mercado_Receita!$N$2:$N$604)</f>
        <v>0</v>
      </c>
      <c r="N18" s="13">
        <f>SUMIF(Mercado_Receita!$T$2:$T$604,"44562B1Energia convencional pré-pagamentoResidencialResidencial baixa renda – faixa 04Não se aplicaNão se aplicaNão se aplica",Mercado_Receita!$N$2:$N$604)</f>
        <v>0</v>
      </c>
      <c r="O18" s="13">
        <f>SUMIF(Mercado_Receita!$T$2:$T$604,"44593B1Energia convencional pré-pagamentoResidencialResidencial baixa renda – faixa 04Não se aplicaNão se aplicaNão se aplica",Mercado_Receita!$N$2:$N$604)</f>
        <v>0</v>
      </c>
      <c r="P18" s="13">
        <f>SUMIF(Mercado_Receita!$T$2:$T$604,"44621B1Energia convencional pré-pagamentoResidencialResidencial baixa renda – faixa 04Não se aplicaNão se aplicaNão se aplica",Mercado_Receita!$N$2:$N$604)</f>
        <v>0</v>
      </c>
      <c r="Q18" s="13">
        <f>SUMIF(Mercado_Receita!$T$2:$T$604,"44652B1Energia convencional pré-pagamentoResidencialResidencial baixa renda – faixa 04Não se aplicaNão se aplicaNão se aplica",Mercado_Receita!$N$2:$N$604)</f>
        <v>0</v>
      </c>
      <c r="R18" s="13">
        <f>SUMIF(Mercado_Receita!$T$2:$T$604,"44682B1Energia convencional pré-pagamentoResidencialResidencial baixa renda – faixa 04Não se aplicaNão se aplicaNão se aplica",Mercado_Receita!$N$2:$N$604)</f>
        <v>0</v>
      </c>
      <c r="S18" s="13">
        <f>SUMIF(Mercado_Receita!$T$2:$T$604,"44713B1Energia convencional pré-pagamentoResidencialResidencial baixa renda – faixa 04Não se aplicaNão se aplicaNão se aplica",Mercado_Receita!$N$2:$N$604)</f>
        <v>0</v>
      </c>
      <c r="T18" s="13">
        <f>SUMIF(Mercado_Receita!$T$2:$T$604,"44743B1Energia convencional pré-pagamentoResidencialResidencial baixa renda – faixa 04Não se aplicaNão se aplicaNão se aplica",Mercado_Receita!$N$2:$N$604)</f>
        <v>0</v>
      </c>
      <c r="U18" s="13">
        <f t="shared" si="0"/>
        <v>0</v>
      </c>
      <c r="V18" s="13"/>
      <c r="W18" s="13"/>
    </row>
    <row r="19" spans="1:23" ht="11.25" customHeight="1" x14ac:dyDescent="0.3">
      <c r="A19" s="128" t="s">
        <v>41</v>
      </c>
      <c r="B19" s="128" t="s">
        <v>77</v>
      </c>
      <c r="C19" s="128" t="s">
        <v>42</v>
      </c>
      <c r="D19" s="128" t="s">
        <v>25</v>
      </c>
      <c r="E19" s="128" t="s">
        <v>25</v>
      </c>
      <c r="F19" s="128" t="s">
        <v>25</v>
      </c>
      <c r="G19" s="13" t="s">
        <v>79</v>
      </c>
      <c r="H19" s="13" t="s">
        <v>78</v>
      </c>
      <c r="I19" s="13">
        <f>SUMIF(Mercado_Receita!$T$2:$T$604,"44409B2Energia horáriaRuralNão se aplicaNão se aplicaNão se aplicaPonta",Mercado_Receita!$N$2:$N$604)</f>
        <v>0</v>
      </c>
      <c r="J19" s="13">
        <f>SUMIF(Mercado_Receita!$T$2:$T$604,"44440B2Energia horáriaRuralNão se aplicaNão se aplicaNão se aplicaPonta",Mercado_Receita!$N$2:$N$604)</f>
        <v>0</v>
      </c>
      <c r="K19" s="13">
        <f>SUMIF(Mercado_Receita!$T$2:$T$604,"44470B2Energia horáriaRuralNão se aplicaNão se aplicaNão se aplicaPonta",Mercado_Receita!$N$2:$N$604)</f>
        <v>0</v>
      </c>
      <c r="L19" s="13">
        <f>SUMIF(Mercado_Receita!$T$2:$T$604,"44501B2Energia horáriaRuralNão se aplicaNão se aplicaNão se aplicaPonta",Mercado_Receita!$N$2:$N$604)</f>
        <v>0</v>
      </c>
      <c r="M19" s="13">
        <f>SUMIF(Mercado_Receita!$T$2:$T$604,"44531B2Energia horáriaRuralNão se aplicaNão se aplicaNão se aplicaPonta",Mercado_Receita!$N$2:$N$604)</f>
        <v>0</v>
      </c>
      <c r="N19" s="13">
        <f>SUMIF(Mercado_Receita!$T$2:$T$604,"44562B2Energia horáriaRuralNão se aplicaNão se aplicaNão se aplicaPonta",Mercado_Receita!$N$2:$N$604)</f>
        <v>0</v>
      </c>
      <c r="O19" s="13">
        <f>SUMIF(Mercado_Receita!$T$2:$T$604,"44593B2Energia horáriaRuralNão se aplicaNão se aplicaNão se aplicaPonta",Mercado_Receita!$N$2:$N$604)</f>
        <v>0</v>
      </c>
      <c r="P19" s="13">
        <f>SUMIF(Mercado_Receita!$T$2:$T$604,"44621B2Energia horáriaRuralNão se aplicaNão se aplicaNão se aplicaPonta",Mercado_Receita!$N$2:$N$604)</f>
        <v>0</v>
      </c>
      <c r="Q19" s="13">
        <f>SUMIF(Mercado_Receita!$T$2:$T$604,"44652B2Energia horáriaRuralNão se aplicaNão se aplicaNão se aplicaPonta",Mercado_Receita!$N$2:$N$604)</f>
        <v>0</v>
      </c>
      <c r="R19" s="13">
        <f>SUMIF(Mercado_Receita!$T$2:$T$604,"44682B2Energia horáriaRuralNão se aplicaNão se aplicaNão se aplicaPonta",Mercado_Receita!$N$2:$N$604)</f>
        <v>0</v>
      </c>
      <c r="S19" s="13">
        <f>SUMIF(Mercado_Receita!$T$2:$T$604,"44713B2Energia horáriaRuralNão se aplicaNão se aplicaNão se aplicaPonta",Mercado_Receita!$N$2:$N$604)</f>
        <v>0</v>
      </c>
      <c r="T19" s="13">
        <f>SUMIF(Mercado_Receita!$T$2:$T$604,"44743B2Energia horáriaRuralNão se aplicaNão se aplicaNão se aplicaPonta",Mercado_Receita!$N$2:$N$604)</f>
        <v>0</v>
      </c>
      <c r="U19" s="13">
        <f t="shared" si="0"/>
        <v>0</v>
      </c>
      <c r="V19" s="13"/>
      <c r="W19" s="13"/>
    </row>
    <row r="20" spans="1:23" ht="11.25" customHeight="1" x14ac:dyDescent="0.3">
      <c r="A20" s="129"/>
      <c r="B20" s="129"/>
      <c r="C20" s="129"/>
      <c r="D20" s="129"/>
      <c r="E20" s="129"/>
      <c r="F20" s="129"/>
      <c r="G20" s="13" t="s">
        <v>89</v>
      </c>
      <c r="H20" s="13" t="s">
        <v>78</v>
      </c>
      <c r="I20" s="13">
        <f>SUMIF(Mercado_Receita!$T$2:$T$604,"44409B2Energia horáriaRuralNão se aplicaNão se aplicaNão se aplicaIntermediário",Mercado_Receita!$N$2:$N$604)</f>
        <v>0</v>
      </c>
      <c r="J20" s="13">
        <f>SUMIF(Mercado_Receita!$T$2:$T$604,"44440B2Energia horáriaRuralNão se aplicaNão se aplicaNão se aplicaIntermediário",Mercado_Receita!$N$2:$N$604)</f>
        <v>0</v>
      </c>
      <c r="K20" s="13">
        <f>SUMIF(Mercado_Receita!$T$2:$T$604,"44470B2Energia horáriaRuralNão se aplicaNão se aplicaNão se aplicaIntermediário",Mercado_Receita!$N$2:$N$604)</f>
        <v>0</v>
      </c>
      <c r="L20" s="13">
        <f>SUMIF(Mercado_Receita!$T$2:$T$604,"44501B2Energia horáriaRuralNão se aplicaNão se aplicaNão se aplicaIntermediário",Mercado_Receita!$N$2:$N$604)</f>
        <v>0</v>
      </c>
      <c r="M20" s="13">
        <f>SUMIF(Mercado_Receita!$T$2:$T$604,"44531B2Energia horáriaRuralNão se aplicaNão se aplicaNão se aplicaIntermediário",Mercado_Receita!$N$2:$N$604)</f>
        <v>0</v>
      </c>
      <c r="N20" s="13">
        <f>SUMIF(Mercado_Receita!$T$2:$T$604,"44562B2Energia horáriaRuralNão se aplicaNão se aplicaNão se aplicaIntermediário",Mercado_Receita!$N$2:$N$604)</f>
        <v>0</v>
      </c>
      <c r="O20" s="13">
        <f>SUMIF(Mercado_Receita!$T$2:$T$604,"44593B2Energia horáriaRuralNão se aplicaNão se aplicaNão se aplicaIntermediário",Mercado_Receita!$N$2:$N$604)</f>
        <v>0</v>
      </c>
      <c r="P20" s="13">
        <f>SUMIF(Mercado_Receita!$T$2:$T$604,"44621B2Energia horáriaRuralNão se aplicaNão se aplicaNão se aplicaIntermediário",Mercado_Receita!$N$2:$N$604)</f>
        <v>0</v>
      </c>
      <c r="Q20" s="13">
        <f>SUMIF(Mercado_Receita!$T$2:$T$604,"44652B2Energia horáriaRuralNão se aplicaNão se aplicaNão se aplicaIntermediário",Mercado_Receita!$N$2:$N$604)</f>
        <v>0</v>
      </c>
      <c r="R20" s="13">
        <f>SUMIF(Mercado_Receita!$T$2:$T$604,"44682B2Energia horáriaRuralNão se aplicaNão se aplicaNão se aplicaIntermediário",Mercado_Receita!$N$2:$N$604)</f>
        <v>0</v>
      </c>
      <c r="S20" s="13">
        <f>SUMIF(Mercado_Receita!$T$2:$T$604,"44713B2Energia horáriaRuralNão se aplicaNão se aplicaNão se aplicaIntermediário",Mercado_Receita!$N$2:$N$604)</f>
        <v>0</v>
      </c>
      <c r="T20" s="13">
        <f>SUMIF(Mercado_Receita!$T$2:$T$604,"44743B2Energia horáriaRuralNão se aplicaNão se aplicaNão se aplicaIntermediário",Mercado_Receita!$N$2:$N$604)</f>
        <v>0</v>
      </c>
      <c r="U20" s="13">
        <f t="shared" si="0"/>
        <v>0</v>
      </c>
      <c r="V20" s="13"/>
      <c r="W20" s="13"/>
    </row>
    <row r="21" spans="1:23" ht="11.25" customHeight="1" x14ac:dyDescent="0.3">
      <c r="A21" s="129"/>
      <c r="B21" s="129"/>
      <c r="C21" s="129"/>
      <c r="D21" s="129"/>
      <c r="E21" s="129"/>
      <c r="F21" s="129"/>
      <c r="G21" s="13" t="s">
        <v>80</v>
      </c>
      <c r="H21" s="13" t="s">
        <v>78</v>
      </c>
      <c r="I21" s="13">
        <f>SUMIF(Mercado_Receita!$T$2:$T$604,"44409B2Energia horáriaRuralNão se aplicaNão se aplicaNão se aplicaFora ponta",Mercado_Receita!$N$2:$N$604)</f>
        <v>0</v>
      </c>
      <c r="J21" s="13">
        <f>SUMIF(Mercado_Receita!$T$2:$T$604,"44440B2Energia horáriaRuralNão se aplicaNão se aplicaNão se aplicaFora ponta",Mercado_Receita!$N$2:$N$604)</f>
        <v>0</v>
      </c>
      <c r="K21" s="13">
        <f>SUMIF(Mercado_Receita!$T$2:$T$604,"44470B2Energia horáriaRuralNão se aplicaNão se aplicaNão se aplicaFora ponta",Mercado_Receita!$N$2:$N$604)</f>
        <v>0</v>
      </c>
      <c r="L21" s="13">
        <f>SUMIF(Mercado_Receita!$T$2:$T$604,"44501B2Energia horáriaRuralNão se aplicaNão se aplicaNão se aplicaFora ponta",Mercado_Receita!$N$2:$N$604)</f>
        <v>0</v>
      </c>
      <c r="M21" s="13">
        <f>SUMIF(Mercado_Receita!$T$2:$T$604,"44531B2Energia horáriaRuralNão se aplicaNão se aplicaNão se aplicaFora ponta",Mercado_Receita!$N$2:$N$604)</f>
        <v>0</v>
      </c>
      <c r="N21" s="13">
        <f>SUMIF(Mercado_Receita!$T$2:$T$604,"44562B2Energia horáriaRuralNão se aplicaNão se aplicaNão se aplicaFora ponta",Mercado_Receita!$N$2:$N$604)</f>
        <v>0</v>
      </c>
      <c r="O21" s="13">
        <f>SUMIF(Mercado_Receita!$T$2:$T$604,"44593B2Energia horáriaRuralNão se aplicaNão se aplicaNão se aplicaFora ponta",Mercado_Receita!$N$2:$N$604)</f>
        <v>0</v>
      </c>
      <c r="P21" s="13">
        <f>SUMIF(Mercado_Receita!$T$2:$T$604,"44621B2Energia horáriaRuralNão se aplicaNão se aplicaNão se aplicaFora ponta",Mercado_Receita!$N$2:$N$604)</f>
        <v>0</v>
      </c>
      <c r="Q21" s="13">
        <f>SUMIF(Mercado_Receita!$T$2:$T$604,"44652B2Energia horáriaRuralNão se aplicaNão se aplicaNão se aplicaFora ponta",Mercado_Receita!$N$2:$N$604)</f>
        <v>0</v>
      </c>
      <c r="R21" s="13">
        <f>SUMIF(Mercado_Receita!$T$2:$T$604,"44682B2Energia horáriaRuralNão se aplicaNão se aplicaNão se aplicaFora ponta",Mercado_Receita!$N$2:$N$604)</f>
        <v>0</v>
      </c>
      <c r="S21" s="13">
        <f>SUMIF(Mercado_Receita!$T$2:$T$604,"44713B2Energia horáriaRuralNão se aplicaNão se aplicaNão se aplicaFora ponta",Mercado_Receita!$N$2:$N$604)</f>
        <v>0</v>
      </c>
      <c r="T21" s="13">
        <f>SUMIF(Mercado_Receita!$T$2:$T$604,"44743B2Energia horáriaRuralNão se aplicaNão se aplicaNão se aplicaFora ponta",Mercado_Receita!$N$2:$N$604)</f>
        <v>0</v>
      </c>
      <c r="U21" s="13">
        <f t="shared" si="0"/>
        <v>0</v>
      </c>
      <c r="V21" s="13"/>
      <c r="W21" s="13"/>
    </row>
    <row r="22" spans="1:23" ht="11.25" customHeight="1" x14ac:dyDescent="0.3">
      <c r="A22" s="129"/>
      <c r="B22" s="12" t="s">
        <v>90</v>
      </c>
      <c r="C22" s="12" t="s">
        <v>42</v>
      </c>
      <c r="D22" s="12" t="s">
        <v>25</v>
      </c>
      <c r="E22" s="12" t="s">
        <v>25</v>
      </c>
      <c r="F22" s="12" t="s">
        <v>25</v>
      </c>
      <c r="G22" s="13" t="s">
        <v>84</v>
      </c>
      <c r="H22" s="13" t="s">
        <v>78</v>
      </c>
      <c r="I22" s="13">
        <f>SUMIF(Mercado_Receita!$T$2:$T$604,"44409B2Energia convencionalRuralNão se aplicaNão se aplicaNão se aplicaNão se aplica",Mercado_Receita!$N$2:$N$604)</f>
        <v>208.81</v>
      </c>
      <c r="J22" s="13">
        <f>SUMIF(Mercado_Receita!$T$2:$T$604,"44440B2Energia convencionalRuralNão se aplicaNão se aplicaNão se aplicaNão se aplica",Mercado_Receita!$N$2:$N$604)</f>
        <v>238.33499999999998</v>
      </c>
      <c r="K22" s="13">
        <f>SUMIF(Mercado_Receita!$T$2:$T$604,"44470B2Energia convencionalRuralNão se aplicaNão se aplicaNão se aplicaNão se aplica",Mercado_Receita!$N$2:$N$604)</f>
        <v>237.22400000000002</v>
      </c>
      <c r="L22" s="13">
        <f>SUMIF(Mercado_Receita!$T$2:$T$604,"44501B2Energia convencionalRuralNão se aplicaNão se aplicaNão se aplicaNão se aplica",Mercado_Receita!$N$2:$N$604)</f>
        <v>303.029</v>
      </c>
      <c r="M22" s="13">
        <f>SUMIF(Mercado_Receita!$T$2:$T$604,"44531B2Energia convencionalRuralNão se aplicaNão se aplicaNão se aplicaNão se aplica",Mercado_Receita!$N$2:$N$604)</f>
        <v>385.55799999999999</v>
      </c>
      <c r="N22" s="13">
        <f>SUMIF(Mercado_Receita!$T$2:$T$604,"44562B2Energia convencionalRuralNão se aplicaNão se aplicaNão se aplicaNão se aplica",Mercado_Receita!$N$2:$N$604)</f>
        <v>331.70399999999995</v>
      </c>
      <c r="O22" s="13">
        <f>SUMIF(Mercado_Receita!$T$2:$T$604,"44593B2Energia convencionalRuralNão se aplicaNão se aplicaNão se aplicaNão se aplica",Mercado_Receita!$N$2:$N$604)</f>
        <v>317.92200000000003</v>
      </c>
      <c r="P22" s="13">
        <f>SUMIF(Mercado_Receita!$T$2:$T$604,"44621B2Energia convencionalRuralNão se aplicaNão se aplicaNão se aplicaNão se aplica",Mercado_Receita!$N$2:$N$604)</f>
        <v>240.255</v>
      </c>
      <c r="Q22" s="13">
        <f>SUMIF(Mercado_Receita!$T$2:$T$604,"44652B2Energia convencionalRuralNão se aplicaNão se aplicaNão se aplicaNão se aplica",Mercado_Receita!$N$2:$N$604)</f>
        <v>213.54400000000001</v>
      </c>
      <c r="R22" s="13">
        <f>SUMIF(Mercado_Receita!$T$2:$T$604,"44682B2Energia convencionalRuralNão se aplicaNão se aplicaNão se aplicaNão se aplica",Mercado_Receita!$N$2:$N$604)</f>
        <v>197.99</v>
      </c>
      <c r="S22" s="13">
        <f>SUMIF(Mercado_Receita!$T$2:$T$604,"44713B2Energia convencionalRuralNão se aplicaNão se aplicaNão se aplicaNão se aplica",Mercado_Receita!$N$2:$N$604)</f>
        <v>217.16900000000001</v>
      </c>
      <c r="T22" s="13">
        <f>SUMIF(Mercado_Receita!$T$2:$T$604,"44743B2Energia convencionalRuralNão se aplicaNão se aplicaNão se aplicaNão se aplica",Mercado_Receita!$N$2:$N$604)</f>
        <v>221.321</v>
      </c>
      <c r="U22" s="13">
        <f t="shared" si="0"/>
        <v>3112.8609999999999</v>
      </c>
      <c r="V22" s="13"/>
      <c r="W22" s="13"/>
    </row>
    <row r="23" spans="1:23" ht="11.25" customHeight="1" x14ac:dyDescent="0.3">
      <c r="A23" s="129"/>
      <c r="B23" s="128" t="s">
        <v>77</v>
      </c>
      <c r="C23" s="128" t="s">
        <v>42</v>
      </c>
      <c r="D23" s="128" t="s">
        <v>93</v>
      </c>
      <c r="E23" s="128" t="s">
        <v>25</v>
      </c>
      <c r="F23" s="128" t="s">
        <v>25</v>
      </c>
      <c r="G23" s="13" t="s">
        <v>79</v>
      </c>
      <c r="H23" s="13" t="s">
        <v>78</v>
      </c>
      <c r="I23" s="13">
        <f>SUMIF(Mercado_Receita!$T$2:$T$604,"44409B2Energia horáriaRuralCooperativa de eletrificação ruralNão se aplicaNão se aplicaPonta",Mercado_Receita!$N$2:$N$604)</f>
        <v>0</v>
      </c>
      <c r="J23" s="13">
        <f>SUMIF(Mercado_Receita!$T$2:$T$604,"44440B2Energia horáriaRuralCooperativa de eletrificação ruralNão se aplicaNão se aplicaPonta",Mercado_Receita!$N$2:$N$604)</f>
        <v>0</v>
      </c>
      <c r="K23" s="13">
        <f>SUMIF(Mercado_Receita!$T$2:$T$604,"44470B2Energia horáriaRuralCooperativa de eletrificação ruralNão se aplicaNão se aplicaPonta",Mercado_Receita!$N$2:$N$604)</f>
        <v>0</v>
      </c>
      <c r="L23" s="13">
        <f>SUMIF(Mercado_Receita!$T$2:$T$604,"44501B2Energia horáriaRuralCooperativa de eletrificação ruralNão se aplicaNão se aplicaPonta",Mercado_Receita!$N$2:$N$604)</f>
        <v>0</v>
      </c>
      <c r="M23" s="13">
        <f>SUMIF(Mercado_Receita!$T$2:$T$604,"44531B2Energia horáriaRuralCooperativa de eletrificação ruralNão se aplicaNão se aplicaPonta",Mercado_Receita!$N$2:$N$604)</f>
        <v>0</v>
      </c>
      <c r="N23" s="13">
        <f>SUMIF(Mercado_Receita!$T$2:$T$604,"44562B2Energia horáriaRuralCooperativa de eletrificação ruralNão se aplicaNão se aplicaPonta",Mercado_Receita!$N$2:$N$604)</f>
        <v>0</v>
      </c>
      <c r="O23" s="13">
        <f>SUMIF(Mercado_Receita!$T$2:$T$604,"44593B2Energia horáriaRuralCooperativa de eletrificação ruralNão se aplicaNão se aplicaPonta",Mercado_Receita!$N$2:$N$604)</f>
        <v>0</v>
      </c>
      <c r="P23" s="13">
        <f>SUMIF(Mercado_Receita!$T$2:$T$604,"44621B2Energia horáriaRuralCooperativa de eletrificação ruralNão se aplicaNão se aplicaPonta",Mercado_Receita!$N$2:$N$604)</f>
        <v>0</v>
      </c>
      <c r="Q23" s="13">
        <f>SUMIF(Mercado_Receita!$T$2:$T$604,"44652B2Energia horáriaRuralCooperativa de eletrificação ruralNão se aplicaNão se aplicaPonta",Mercado_Receita!$N$2:$N$604)</f>
        <v>0</v>
      </c>
      <c r="R23" s="13">
        <f>SUMIF(Mercado_Receita!$T$2:$T$604,"44682B2Energia horáriaRuralCooperativa de eletrificação ruralNão se aplicaNão se aplicaPonta",Mercado_Receita!$N$2:$N$604)</f>
        <v>0</v>
      </c>
      <c r="S23" s="13">
        <f>SUMIF(Mercado_Receita!$T$2:$T$604,"44713B2Energia horáriaRuralCooperativa de eletrificação ruralNão se aplicaNão se aplicaPonta",Mercado_Receita!$N$2:$N$604)</f>
        <v>0</v>
      </c>
      <c r="T23" s="13">
        <f>SUMIF(Mercado_Receita!$T$2:$T$604,"44743B2Energia horáriaRuralCooperativa de eletrificação ruralNão se aplicaNão se aplicaPonta",Mercado_Receita!$N$2:$N$604)</f>
        <v>0</v>
      </c>
      <c r="U23" s="13">
        <f t="shared" si="0"/>
        <v>0</v>
      </c>
      <c r="V23" s="13"/>
      <c r="W23" s="13"/>
    </row>
    <row r="24" spans="1:23" ht="11.25" customHeight="1" x14ac:dyDescent="0.3">
      <c r="A24" s="129"/>
      <c r="B24" s="129"/>
      <c r="C24" s="129"/>
      <c r="D24" s="129"/>
      <c r="E24" s="129"/>
      <c r="F24" s="129"/>
      <c r="G24" s="13" t="s">
        <v>89</v>
      </c>
      <c r="H24" s="13" t="s">
        <v>78</v>
      </c>
      <c r="I24" s="13">
        <f>SUMIF(Mercado_Receita!$T$2:$T$604,"44409B2Energia horáriaRuralCooperativa de eletrificação ruralNão se aplicaNão se aplicaIntermediário",Mercado_Receita!$N$2:$N$604)</f>
        <v>0</v>
      </c>
      <c r="J24" s="13">
        <f>SUMIF(Mercado_Receita!$T$2:$T$604,"44440B2Energia horáriaRuralCooperativa de eletrificação ruralNão se aplicaNão se aplicaIntermediário",Mercado_Receita!$N$2:$N$604)</f>
        <v>0</v>
      </c>
      <c r="K24" s="13">
        <f>SUMIF(Mercado_Receita!$T$2:$T$604,"44470B2Energia horáriaRuralCooperativa de eletrificação ruralNão se aplicaNão se aplicaIntermediário",Mercado_Receita!$N$2:$N$604)</f>
        <v>0</v>
      </c>
      <c r="L24" s="13">
        <f>SUMIF(Mercado_Receita!$T$2:$T$604,"44501B2Energia horáriaRuralCooperativa de eletrificação ruralNão se aplicaNão se aplicaIntermediário",Mercado_Receita!$N$2:$N$604)</f>
        <v>0</v>
      </c>
      <c r="M24" s="13">
        <f>SUMIF(Mercado_Receita!$T$2:$T$604,"44531B2Energia horáriaRuralCooperativa de eletrificação ruralNão se aplicaNão se aplicaIntermediário",Mercado_Receita!$N$2:$N$604)</f>
        <v>0</v>
      </c>
      <c r="N24" s="13">
        <f>SUMIF(Mercado_Receita!$T$2:$T$604,"44562B2Energia horáriaRuralCooperativa de eletrificação ruralNão se aplicaNão se aplicaIntermediário",Mercado_Receita!$N$2:$N$604)</f>
        <v>0</v>
      </c>
      <c r="O24" s="13">
        <f>SUMIF(Mercado_Receita!$T$2:$T$604,"44593B2Energia horáriaRuralCooperativa de eletrificação ruralNão se aplicaNão se aplicaIntermediário",Mercado_Receita!$N$2:$N$604)</f>
        <v>0</v>
      </c>
      <c r="P24" s="13">
        <f>SUMIF(Mercado_Receita!$T$2:$T$604,"44621B2Energia horáriaRuralCooperativa de eletrificação ruralNão se aplicaNão se aplicaIntermediário",Mercado_Receita!$N$2:$N$604)</f>
        <v>0</v>
      </c>
      <c r="Q24" s="13">
        <f>SUMIF(Mercado_Receita!$T$2:$T$604,"44652B2Energia horáriaRuralCooperativa de eletrificação ruralNão se aplicaNão se aplicaIntermediário",Mercado_Receita!$N$2:$N$604)</f>
        <v>0</v>
      </c>
      <c r="R24" s="13">
        <f>SUMIF(Mercado_Receita!$T$2:$T$604,"44682B2Energia horáriaRuralCooperativa de eletrificação ruralNão se aplicaNão se aplicaIntermediário",Mercado_Receita!$N$2:$N$604)</f>
        <v>0</v>
      </c>
      <c r="S24" s="13">
        <f>SUMIF(Mercado_Receita!$T$2:$T$604,"44713B2Energia horáriaRuralCooperativa de eletrificação ruralNão se aplicaNão se aplicaIntermediário",Mercado_Receita!$N$2:$N$604)</f>
        <v>0</v>
      </c>
      <c r="T24" s="13">
        <f>SUMIF(Mercado_Receita!$T$2:$T$604,"44743B2Energia horáriaRuralCooperativa de eletrificação ruralNão se aplicaNão se aplicaIntermediário",Mercado_Receita!$N$2:$N$604)</f>
        <v>0</v>
      </c>
      <c r="U24" s="13">
        <f t="shared" si="0"/>
        <v>0</v>
      </c>
      <c r="V24" s="13"/>
      <c r="W24" s="13"/>
    </row>
    <row r="25" spans="1:23" ht="11.25" customHeight="1" x14ac:dyDescent="0.3">
      <c r="A25" s="129"/>
      <c r="B25" s="129"/>
      <c r="C25" s="129"/>
      <c r="D25" s="129"/>
      <c r="E25" s="129"/>
      <c r="F25" s="129"/>
      <c r="G25" s="13" t="s">
        <v>80</v>
      </c>
      <c r="H25" s="13" t="s">
        <v>78</v>
      </c>
      <c r="I25" s="13">
        <f>SUMIF(Mercado_Receita!$T$2:$T$604,"44409B2Energia horáriaRuralCooperativa de eletrificação ruralNão se aplicaNão se aplicaFora ponta",Mercado_Receita!$N$2:$N$604)</f>
        <v>0</v>
      </c>
      <c r="J25" s="13">
        <f>SUMIF(Mercado_Receita!$T$2:$T$604,"44440B2Energia horáriaRuralCooperativa de eletrificação ruralNão se aplicaNão se aplicaFora ponta",Mercado_Receita!$N$2:$N$604)</f>
        <v>0</v>
      </c>
      <c r="K25" s="13">
        <f>SUMIF(Mercado_Receita!$T$2:$T$604,"44470B2Energia horáriaRuralCooperativa de eletrificação ruralNão se aplicaNão se aplicaFora ponta",Mercado_Receita!$N$2:$N$604)</f>
        <v>0</v>
      </c>
      <c r="L25" s="13">
        <f>SUMIF(Mercado_Receita!$T$2:$T$604,"44501B2Energia horáriaRuralCooperativa de eletrificação ruralNão se aplicaNão se aplicaFora ponta",Mercado_Receita!$N$2:$N$604)</f>
        <v>0</v>
      </c>
      <c r="M25" s="13">
        <f>SUMIF(Mercado_Receita!$T$2:$T$604,"44531B2Energia horáriaRuralCooperativa de eletrificação ruralNão se aplicaNão se aplicaFora ponta",Mercado_Receita!$N$2:$N$604)</f>
        <v>0</v>
      </c>
      <c r="N25" s="13">
        <f>SUMIF(Mercado_Receita!$T$2:$T$604,"44562B2Energia horáriaRuralCooperativa de eletrificação ruralNão se aplicaNão se aplicaFora ponta",Mercado_Receita!$N$2:$N$604)</f>
        <v>0</v>
      </c>
      <c r="O25" s="13">
        <f>SUMIF(Mercado_Receita!$T$2:$T$604,"44593B2Energia horáriaRuralCooperativa de eletrificação ruralNão se aplicaNão se aplicaFora ponta",Mercado_Receita!$N$2:$N$604)</f>
        <v>0</v>
      </c>
      <c r="P25" s="13">
        <f>SUMIF(Mercado_Receita!$T$2:$T$604,"44621B2Energia horáriaRuralCooperativa de eletrificação ruralNão se aplicaNão se aplicaFora ponta",Mercado_Receita!$N$2:$N$604)</f>
        <v>0</v>
      </c>
      <c r="Q25" s="13">
        <f>SUMIF(Mercado_Receita!$T$2:$T$604,"44652B2Energia horáriaRuralCooperativa de eletrificação ruralNão se aplicaNão se aplicaFora ponta",Mercado_Receita!$N$2:$N$604)</f>
        <v>0</v>
      </c>
      <c r="R25" s="13">
        <f>SUMIF(Mercado_Receita!$T$2:$T$604,"44682B2Energia horáriaRuralCooperativa de eletrificação ruralNão se aplicaNão se aplicaFora ponta",Mercado_Receita!$N$2:$N$604)</f>
        <v>0</v>
      </c>
      <c r="S25" s="13">
        <f>SUMIF(Mercado_Receita!$T$2:$T$604,"44713B2Energia horáriaRuralCooperativa de eletrificação ruralNão se aplicaNão se aplicaFora ponta",Mercado_Receita!$N$2:$N$604)</f>
        <v>0</v>
      </c>
      <c r="T25" s="13">
        <f>SUMIF(Mercado_Receita!$T$2:$T$604,"44743B2Energia horáriaRuralCooperativa de eletrificação ruralNão se aplicaNão se aplicaFora ponta",Mercado_Receita!$N$2:$N$604)</f>
        <v>0</v>
      </c>
      <c r="U25" s="13">
        <f t="shared" si="0"/>
        <v>0</v>
      </c>
      <c r="V25" s="13"/>
      <c r="W25" s="13"/>
    </row>
    <row r="26" spans="1:23" ht="11.25" customHeight="1" x14ac:dyDescent="0.3">
      <c r="A26" s="129"/>
      <c r="B26" s="12" t="s">
        <v>90</v>
      </c>
      <c r="C26" s="12" t="s">
        <v>42</v>
      </c>
      <c r="D26" s="12" t="s">
        <v>93</v>
      </c>
      <c r="E26" s="12" t="s">
        <v>25</v>
      </c>
      <c r="F26" s="12" t="s">
        <v>25</v>
      </c>
      <c r="G26" s="13" t="s">
        <v>84</v>
      </c>
      <c r="H26" s="13" t="s">
        <v>78</v>
      </c>
      <c r="I26" s="13">
        <f>SUMIF(Mercado_Receita!$T$2:$T$604,"44409B2Energia convencionalRuralCooperativa de eletrificação ruralNão se aplicaNão se aplicaNão se aplica",Mercado_Receita!$N$2:$N$604)</f>
        <v>0</v>
      </c>
      <c r="J26" s="13">
        <f>SUMIF(Mercado_Receita!$T$2:$T$604,"44440B2Energia convencionalRuralCooperativa de eletrificação ruralNão se aplicaNão se aplicaNão se aplica",Mercado_Receita!$N$2:$N$604)</f>
        <v>0</v>
      </c>
      <c r="K26" s="13">
        <f>SUMIF(Mercado_Receita!$T$2:$T$604,"44470B2Energia convencionalRuralCooperativa de eletrificação ruralNão se aplicaNão se aplicaNão se aplica",Mercado_Receita!$N$2:$N$604)</f>
        <v>0</v>
      </c>
      <c r="L26" s="13">
        <f>SUMIF(Mercado_Receita!$T$2:$T$604,"44501B2Energia convencionalRuralCooperativa de eletrificação ruralNão se aplicaNão se aplicaNão se aplica",Mercado_Receita!$N$2:$N$604)</f>
        <v>0</v>
      </c>
      <c r="M26" s="13">
        <f>SUMIF(Mercado_Receita!$T$2:$T$604,"44531B2Energia convencionalRuralCooperativa de eletrificação ruralNão se aplicaNão se aplicaNão se aplica",Mercado_Receita!$N$2:$N$604)</f>
        <v>0</v>
      </c>
      <c r="N26" s="13">
        <f>SUMIF(Mercado_Receita!$T$2:$T$604,"44562B2Energia convencionalRuralCooperativa de eletrificação ruralNão se aplicaNão se aplicaNão se aplica",Mercado_Receita!$N$2:$N$604)</f>
        <v>0</v>
      </c>
      <c r="O26" s="13">
        <f>SUMIF(Mercado_Receita!$T$2:$T$604,"44593B2Energia convencionalRuralCooperativa de eletrificação ruralNão se aplicaNão se aplicaNão se aplica",Mercado_Receita!$N$2:$N$604)</f>
        <v>0</v>
      </c>
      <c r="P26" s="13">
        <f>SUMIF(Mercado_Receita!$T$2:$T$604,"44621B2Energia convencionalRuralCooperativa de eletrificação ruralNão se aplicaNão se aplicaNão se aplica",Mercado_Receita!$N$2:$N$604)</f>
        <v>0</v>
      </c>
      <c r="Q26" s="13">
        <f>SUMIF(Mercado_Receita!$T$2:$T$604,"44652B2Energia convencionalRuralCooperativa de eletrificação ruralNão se aplicaNão se aplicaNão se aplica",Mercado_Receita!$N$2:$N$604)</f>
        <v>0</v>
      </c>
      <c r="R26" s="13">
        <f>SUMIF(Mercado_Receita!$T$2:$T$604,"44682B2Energia convencionalRuralCooperativa de eletrificação ruralNão se aplicaNão se aplicaNão se aplica",Mercado_Receita!$N$2:$N$604)</f>
        <v>0</v>
      </c>
      <c r="S26" s="13">
        <f>SUMIF(Mercado_Receita!$T$2:$T$604,"44713B2Energia convencionalRuralCooperativa de eletrificação ruralNão se aplicaNão se aplicaNão se aplica",Mercado_Receita!$N$2:$N$604)</f>
        <v>0</v>
      </c>
      <c r="T26" s="13">
        <f>SUMIF(Mercado_Receita!$T$2:$T$604,"44743B2Energia convencionalRuralCooperativa de eletrificação ruralNão se aplicaNão se aplicaNão se aplica",Mercado_Receita!$N$2:$N$604)</f>
        <v>0</v>
      </c>
      <c r="U26" s="13">
        <f t="shared" si="0"/>
        <v>0</v>
      </c>
      <c r="V26" s="13"/>
      <c r="W26" s="13"/>
    </row>
    <row r="27" spans="1:23" ht="11.25" customHeight="1" x14ac:dyDescent="0.3">
      <c r="A27" s="129"/>
      <c r="B27" s="128" t="s">
        <v>77</v>
      </c>
      <c r="C27" s="128" t="s">
        <v>42</v>
      </c>
      <c r="D27" s="128" t="s">
        <v>94</v>
      </c>
      <c r="E27" s="128" t="s">
        <v>25</v>
      </c>
      <c r="F27" s="128" t="s">
        <v>25</v>
      </c>
      <c r="G27" s="13" t="s">
        <v>79</v>
      </c>
      <c r="H27" s="13" t="s">
        <v>78</v>
      </c>
      <c r="I27" s="13">
        <f>SUMIF(Mercado_Receita!$T$2:$T$604,"44409B2Energia horáriaRuralServiço público de irrigação ruralNão se aplicaNão se aplicaPonta",Mercado_Receita!$N$2:$N$604)</f>
        <v>0</v>
      </c>
      <c r="J27" s="13">
        <f>SUMIF(Mercado_Receita!$T$2:$T$604,"44440B2Energia horáriaRuralServiço público de irrigação ruralNão se aplicaNão se aplicaPonta",Mercado_Receita!$N$2:$N$604)</f>
        <v>0</v>
      </c>
      <c r="K27" s="13">
        <f>SUMIF(Mercado_Receita!$T$2:$T$604,"44470B2Energia horáriaRuralServiço público de irrigação ruralNão se aplicaNão se aplicaPonta",Mercado_Receita!$N$2:$N$604)</f>
        <v>0</v>
      </c>
      <c r="L27" s="13">
        <f>SUMIF(Mercado_Receita!$T$2:$T$604,"44501B2Energia horáriaRuralServiço público de irrigação ruralNão se aplicaNão se aplicaPonta",Mercado_Receita!$N$2:$N$604)</f>
        <v>0</v>
      </c>
      <c r="M27" s="13">
        <f>SUMIF(Mercado_Receita!$T$2:$T$604,"44531B2Energia horáriaRuralServiço público de irrigação ruralNão se aplicaNão se aplicaPonta",Mercado_Receita!$N$2:$N$604)</f>
        <v>0</v>
      </c>
      <c r="N27" s="13">
        <f>SUMIF(Mercado_Receita!$T$2:$T$604,"44562B2Energia horáriaRuralServiço público de irrigação ruralNão se aplicaNão se aplicaPonta",Mercado_Receita!$N$2:$N$604)</f>
        <v>0</v>
      </c>
      <c r="O27" s="13">
        <f>SUMIF(Mercado_Receita!$T$2:$T$604,"44593B2Energia horáriaRuralServiço público de irrigação ruralNão se aplicaNão se aplicaPonta",Mercado_Receita!$N$2:$N$604)</f>
        <v>0</v>
      </c>
      <c r="P27" s="13">
        <f>SUMIF(Mercado_Receita!$T$2:$T$604,"44621B2Energia horáriaRuralServiço público de irrigação ruralNão se aplicaNão se aplicaPonta",Mercado_Receita!$N$2:$N$604)</f>
        <v>0</v>
      </c>
      <c r="Q27" s="13">
        <f>SUMIF(Mercado_Receita!$T$2:$T$604,"44652B2Energia horáriaRuralServiço público de irrigação ruralNão se aplicaNão se aplicaPonta",Mercado_Receita!$N$2:$N$604)</f>
        <v>0</v>
      </c>
      <c r="R27" s="13">
        <f>SUMIF(Mercado_Receita!$T$2:$T$604,"44682B2Energia horáriaRuralServiço público de irrigação ruralNão se aplicaNão se aplicaPonta",Mercado_Receita!$N$2:$N$604)</f>
        <v>0</v>
      </c>
      <c r="S27" s="13">
        <f>SUMIF(Mercado_Receita!$T$2:$T$604,"44713B2Energia horáriaRuralServiço público de irrigação ruralNão se aplicaNão se aplicaPonta",Mercado_Receita!$N$2:$N$604)</f>
        <v>0</v>
      </c>
      <c r="T27" s="13">
        <f>SUMIF(Mercado_Receita!$T$2:$T$604,"44743B2Energia horáriaRuralServiço público de irrigação ruralNão se aplicaNão se aplicaPonta",Mercado_Receita!$N$2:$N$604)</f>
        <v>0</v>
      </c>
      <c r="U27" s="13">
        <f t="shared" si="0"/>
        <v>0</v>
      </c>
      <c r="V27" s="13"/>
      <c r="W27" s="13"/>
    </row>
    <row r="28" spans="1:23" ht="11.25" customHeight="1" x14ac:dyDescent="0.3">
      <c r="A28" s="129"/>
      <c r="B28" s="129"/>
      <c r="C28" s="129"/>
      <c r="D28" s="129"/>
      <c r="E28" s="129"/>
      <c r="F28" s="129"/>
      <c r="G28" s="13" t="s">
        <v>89</v>
      </c>
      <c r="H28" s="13" t="s">
        <v>78</v>
      </c>
      <c r="I28" s="13">
        <f>SUMIF(Mercado_Receita!$T$2:$T$604,"44409B2Energia horáriaRuralServiço público de irrigação ruralNão se aplicaNão se aplicaIntermediário",Mercado_Receita!$N$2:$N$604)</f>
        <v>0</v>
      </c>
      <c r="J28" s="13">
        <f>SUMIF(Mercado_Receita!$T$2:$T$604,"44440B2Energia horáriaRuralServiço público de irrigação ruralNão se aplicaNão se aplicaIntermediário",Mercado_Receita!$N$2:$N$604)</f>
        <v>0</v>
      </c>
      <c r="K28" s="13">
        <f>SUMIF(Mercado_Receita!$T$2:$T$604,"44470B2Energia horáriaRuralServiço público de irrigação ruralNão se aplicaNão se aplicaIntermediário",Mercado_Receita!$N$2:$N$604)</f>
        <v>0</v>
      </c>
      <c r="L28" s="13">
        <f>SUMIF(Mercado_Receita!$T$2:$T$604,"44501B2Energia horáriaRuralServiço público de irrigação ruralNão se aplicaNão se aplicaIntermediário",Mercado_Receita!$N$2:$N$604)</f>
        <v>0</v>
      </c>
      <c r="M28" s="13">
        <f>SUMIF(Mercado_Receita!$T$2:$T$604,"44531B2Energia horáriaRuralServiço público de irrigação ruralNão se aplicaNão se aplicaIntermediário",Mercado_Receita!$N$2:$N$604)</f>
        <v>0</v>
      </c>
      <c r="N28" s="13">
        <f>SUMIF(Mercado_Receita!$T$2:$T$604,"44562B2Energia horáriaRuralServiço público de irrigação ruralNão se aplicaNão se aplicaIntermediário",Mercado_Receita!$N$2:$N$604)</f>
        <v>0</v>
      </c>
      <c r="O28" s="13">
        <f>SUMIF(Mercado_Receita!$T$2:$T$604,"44593B2Energia horáriaRuralServiço público de irrigação ruralNão se aplicaNão se aplicaIntermediário",Mercado_Receita!$N$2:$N$604)</f>
        <v>0</v>
      </c>
      <c r="P28" s="13">
        <f>SUMIF(Mercado_Receita!$T$2:$T$604,"44621B2Energia horáriaRuralServiço público de irrigação ruralNão se aplicaNão se aplicaIntermediário",Mercado_Receita!$N$2:$N$604)</f>
        <v>0</v>
      </c>
      <c r="Q28" s="13">
        <f>SUMIF(Mercado_Receita!$T$2:$T$604,"44652B2Energia horáriaRuralServiço público de irrigação ruralNão se aplicaNão se aplicaIntermediário",Mercado_Receita!$N$2:$N$604)</f>
        <v>0</v>
      </c>
      <c r="R28" s="13">
        <f>SUMIF(Mercado_Receita!$T$2:$T$604,"44682B2Energia horáriaRuralServiço público de irrigação ruralNão se aplicaNão se aplicaIntermediário",Mercado_Receita!$N$2:$N$604)</f>
        <v>0</v>
      </c>
      <c r="S28" s="13">
        <f>SUMIF(Mercado_Receita!$T$2:$T$604,"44713B2Energia horáriaRuralServiço público de irrigação ruralNão se aplicaNão se aplicaIntermediário",Mercado_Receita!$N$2:$N$604)</f>
        <v>0</v>
      </c>
      <c r="T28" s="13">
        <f>SUMIF(Mercado_Receita!$T$2:$T$604,"44743B2Energia horáriaRuralServiço público de irrigação ruralNão se aplicaNão se aplicaIntermediário",Mercado_Receita!$N$2:$N$604)</f>
        <v>0</v>
      </c>
      <c r="U28" s="13">
        <f t="shared" si="0"/>
        <v>0</v>
      </c>
      <c r="V28" s="13"/>
      <c r="W28" s="13"/>
    </row>
    <row r="29" spans="1:23" ht="11.25" customHeight="1" x14ac:dyDescent="0.3">
      <c r="A29" s="129"/>
      <c r="B29" s="129"/>
      <c r="C29" s="129"/>
      <c r="D29" s="129"/>
      <c r="E29" s="129"/>
      <c r="F29" s="129"/>
      <c r="G29" s="13" t="s">
        <v>80</v>
      </c>
      <c r="H29" s="13" t="s">
        <v>78</v>
      </c>
      <c r="I29" s="13">
        <f>SUMIF(Mercado_Receita!$T$2:$T$604,"44409B2Energia horáriaRuralServiço público de irrigação ruralNão se aplicaNão se aplicaFora ponta",Mercado_Receita!$N$2:$N$604)</f>
        <v>0</v>
      </c>
      <c r="J29" s="13">
        <f>SUMIF(Mercado_Receita!$T$2:$T$604,"44440B2Energia horáriaRuralServiço público de irrigação ruralNão se aplicaNão se aplicaFora ponta",Mercado_Receita!$N$2:$N$604)</f>
        <v>0</v>
      </c>
      <c r="K29" s="13">
        <f>SUMIF(Mercado_Receita!$T$2:$T$604,"44470B2Energia horáriaRuralServiço público de irrigação ruralNão se aplicaNão se aplicaFora ponta",Mercado_Receita!$N$2:$N$604)</f>
        <v>0</v>
      </c>
      <c r="L29" s="13">
        <f>SUMIF(Mercado_Receita!$T$2:$T$604,"44501B2Energia horáriaRuralServiço público de irrigação ruralNão se aplicaNão se aplicaFora ponta",Mercado_Receita!$N$2:$N$604)</f>
        <v>0</v>
      </c>
      <c r="M29" s="13">
        <f>SUMIF(Mercado_Receita!$T$2:$T$604,"44531B2Energia horáriaRuralServiço público de irrigação ruralNão se aplicaNão se aplicaFora ponta",Mercado_Receita!$N$2:$N$604)</f>
        <v>0</v>
      </c>
      <c r="N29" s="13">
        <f>SUMIF(Mercado_Receita!$T$2:$T$604,"44562B2Energia horáriaRuralServiço público de irrigação ruralNão se aplicaNão se aplicaFora ponta",Mercado_Receita!$N$2:$N$604)</f>
        <v>0</v>
      </c>
      <c r="O29" s="13">
        <f>SUMIF(Mercado_Receita!$T$2:$T$604,"44593B2Energia horáriaRuralServiço público de irrigação ruralNão se aplicaNão se aplicaFora ponta",Mercado_Receita!$N$2:$N$604)</f>
        <v>0</v>
      </c>
      <c r="P29" s="13">
        <f>SUMIF(Mercado_Receita!$T$2:$T$604,"44621B2Energia horáriaRuralServiço público de irrigação ruralNão se aplicaNão se aplicaFora ponta",Mercado_Receita!$N$2:$N$604)</f>
        <v>0</v>
      </c>
      <c r="Q29" s="13">
        <f>SUMIF(Mercado_Receita!$T$2:$T$604,"44652B2Energia horáriaRuralServiço público de irrigação ruralNão se aplicaNão se aplicaFora ponta",Mercado_Receita!$N$2:$N$604)</f>
        <v>0</v>
      </c>
      <c r="R29" s="13">
        <f>SUMIF(Mercado_Receita!$T$2:$T$604,"44682B2Energia horáriaRuralServiço público de irrigação ruralNão se aplicaNão se aplicaFora ponta",Mercado_Receita!$N$2:$N$604)</f>
        <v>0</v>
      </c>
      <c r="S29" s="13">
        <f>SUMIF(Mercado_Receita!$T$2:$T$604,"44713B2Energia horáriaRuralServiço público de irrigação ruralNão se aplicaNão se aplicaFora ponta",Mercado_Receita!$N$2:$N$604)</f>
        <v>0</v>
      </c>
      <c r="T29" s="13">
        <f>SUMIF(Mercado_Receita!$T$2:$T$604,"44743B2Energia horáriaRuralServiço público de irrigação ruralNão se aplicaNão se aplicaFora ponta",Mercado_Receita!$N$2:$N$604)</f>
        <v>0</v>
      </c>
      <c r="U29" s="13">
        <f t="shared" si="0"/>
        <v>0</v>
      </c>
      <c r="V29" s="13"/>
      <c r="W29" s="13"/>
    </row>
    <row r="30" spans="1:23" ht="11.25" customHeight="1" x14ac:dyDescent="0.3">
      <c r="A30" s="129"/>
      <c r="B30" s="12" t="s">
        <v>90</v>
      </c>
      <c r="C30" s="12" t="s">
        <v>42</v>
      </c>
      <c r="D30" s="12" t="s">
        <v>94</v>
      </c>
      <c r="E30" s="12" t="s">
        <v>25</v>
      </c>
      <c r="F30" s="12" t="s">
        <v>25</v>
      </c>
      <c r="G30" s="13" t="s">
        <v>84</v>
      </c>
      <c r="H30" s="13" t="s">
        <v>78</v>
      </c>
      <c r="I30" s="13">
        <f>SUMIF(Mercado_Receita!$T$2:$T$604,"44409B2Energia convencionalRuralServiço público de irrigação ruralNão se aplicaNão se aplicaNão se aplica",Mercado_Receita!$N$2:$N$604)</f>
        <v>0</v>
      </c>
      <c r="J30" s="13">
        <f>SUMIF(Mercado_Receita!$T$2:$T$604,"44440B2Energia convencionalRuralServiço público de irrigação ruralNão se aplicaNão se aplicaNão se aplica",Mercado_Receita!$N$2:$N$604)</f>
        <v>0</v>
      </c>
      <c r="K30" s="13">
        <f>SUMIF(Mercado_Receita!$T$2:$T$604,"44470B2Energia convencionalRuralServiço público de irrigação ruralNão se aplicaNão se aplicaNão se aplica",Mercado_Receita!$N$2:$N$604)</f>
        <v>0</v>
      </c>
      <c r="L30" s="13">
        <f>SUMIF(Mercado_Receita!$T$2:$T$604,"44501B2Energia convencionalRuralServiço público de irrigação ruralNão se aplicaNão se aplicaNão se aplica",Mercado_Receita!$N$2:$N$604)</f>
        <v>0</v>
      </c>
      <c r="M30" s="13">
        <f>SUMIF(Mercado_Receita!$T$2:$T$604,"44531B2Energia convencionalRuralServiço público de irrigação ruralNão se aplicaNão se aplicaNão se aplica",Mercado_Receita!$N$2:$N$604)</f>
        <v>0</v>
      </c>
      <c r="N30" s="13">
        <f>SUMIF(Mercado_Receita!$T$2:$T$604,"44562B2Energia convencionalRuralServiço público de irrigação ruralNão se aplicaNão se aplicaNão se aplica",Mercado_Receita!$N$2:$N$604)</f>
        <v>0</v>
      </c>
      <c r="O30" s="13">
        <f>SUMIF(Mercado_Receita!$T$2:$T$604,"44593B2Energia convencionalRuralServiço público de irrigação ruralNão se aplicaNão se aplicaNão se aplica",Mercado_Receita!$N$2:$N$604)</f>
        <v>0</v>
      </c>
      <c r="P30" s="13">
        <f>SUMIF(Mercado_Receita!$T$2:$T$604,"44621B2Energia convencionalRuralServiço público de irrigação ruralNão se aplicaNão se aplicaNão se aplica",Mercado_Receita!$N$2:$N$604)</f>
        <v>0</v>
      </c>
      <c r="Q30" s="13">
        <f>SUMIF(Mercado_Receita!$T$2:$T$604,"44652B2Energia convencionalRuralServiço público de irrigação ruralNão se aplicaNão se aplicaNão se aplica",Mercado_Receita!$N$2:$N$604)</f>
        <v>0</v>
      </c>
      <c r="R30" s="13">
        <f>SUMIF(Mercado_Receita!$T$2:$T$604,"44682B2Energia convencionalRuralServiço público de irrigação ruralNão se aplicaNão se aplicaNão se aplica",Mercado_Receita!$N$2:$N$604)</f>
        <v>0</v>
      </c>
      <c r="S30" s="13">
        <f>SUMIF(Mercado_Receita!$T$2:$T$604,"44713B2Energia convencionalRuralServiço público de irrigação ruralNão se aplicaNão se aplicaNão se aplica",Mercado_Receita!$N$2:$N$604)</f>
        <v>0</v>
      </c>
      <c r="T30" s="13">
        <f>SUMIF(Mercado_Receita!$T$2:$T$604,"44743B2Energia convencionalRuralServiço público de irrigação ruralNão se aplicaNão se aplicaNão se aplica",Mercado_Receita!$N$2:$N$604)</f>
        <v>0</v>
      </c>
      <c r="U30" s="13">
        <f t="shared" si="0"/>
        <v>0</v>
      </c>
      <c r="V30" s="13"/>
      <c r="W30" s="13"/>
    </row>
    <row r="31" spans="1:23" ht="11.25" customHeight="1" x14ac:dyDescent="0.3">
      <c r="A31" s="129"/>
      <c r="B31" s="128" t="s">
        <v>91</v>
      </c>
      <c r="C31" s="128" t="s">
        <v>42</v>
      </c>
      <c r="D31" s="12" t="s">
        <v>25</v>
      </c>
      <c r="E31" s="12" t="s">
        <v>25</v>
      </c>
      <c r="F31" s="12" t="s">
        <v>25</v>
      </c>
      <c r="G31" s="13" t="s">
        <v>84</v>
      </c>
      <c r="H31" s="13" t="s">
        <v>78</v>
      </c>
      <c r="I31" s="13">
        <f>SUMIF(Mercado_Receita!$T$2:$T$604,"44409B2Energia convencional pré-pagamentoRuralNão se aplicaNão se aplicaNão se aplicaNão se aplica",Mercado_Receita!$N$2:$N$604)</f>
        <v>0</v>
      </c>
      <c r="J31" s="13">
        <f>SUMIF(Mercado_Receita!$T$2:$T$604,"44440B2Energia convencional pré-pagamentoRuralNão se aplicaNão se aplicaNão se aplicaNão se aplica",Mercado_Receita!$N$2:$N$604)</f>
        <v>0</v>
      </c>
      <c r="K31" s="13">
        <f>SUMIF(Mercado_Receita!$T$2:$T$604,"44470B2Energia convencional pré-pagamentoRuralNão se aplicaNão se aplicaNão se aplicaNão se aplica",Mercado_Receita!$N$2:$N$604)</f>
        <v>0</v>
      </c>
      <c r="L31" s="13">
        <f>SUMIF(Mercado_Receita!$T$2:$T$604,"44501B2Energia convencional pré-pagamentoRuralNão se aplicaNão se aplicaNão se aplicaNão se aplica",Mercado_Receita!$N$2:$N$604)</f>
        <v>0</v>
      </c>
      <c r="M31" s="13">
        <f>SUMIF(Mercado_Receita!$T$2:$T$604,"44531B2Energia convencional pré-pagamentoRuralNão se aplicaNão se aplicaNão se aplicaNão se aplica",Mercado_Receita!$N$2:$N$604)</f>
        <v>0</v>
      </c>
      <c r="N31" s="13">
        <f>SUMIF(Mercado_Receita!$T$2:$T$604,"44562B2Energia convencional pré-pagamentoRuralNão se aplicaNão se aplicaNão se aplicaNão se aplica",Mercado_Receita!$N$2:$N$604)</f>
        <v>0</v>
      </c>
      <c r="O31" s="13">
        <f>SUMIF(Mercado_Receita!$T$2:$T$604,"44593B2Energia convencional pré-pagamentoRuralNão se aplicaNão se aplicaNão se aplicaNão se aplica",Mercado_Receita!$N$2:$N$604)</f>
        <v>0</v>
      </c>
      <c r="P31" s="13">
        <f>SUMIF(Mercado_Receita!$T$2:$T$604,"44621B2Energia convencional pré-pagamentoRuralNão se aplicaNão se aplicaNão se aplicaNão se aplica",Mercado_Receita!$N$2:$N$604)</f>
        <v>0</v>
      </c>
      <c r="Q31" s="13">
        <f>SUMIF(Mercado_Receita!$T$2:$T$604,"44652B2Energia convencional pré-pagamentoRuralNão se aplicaNão se aplicaNão se aplicaNão se aplica",Mercado_Receita!$N$2:$N$604)</f>
        <v>0</v>
      </c>
      <c r="R31" s="13">
        <f>SUMIF(Mercado_Receita!$T$2:$T$604,"44682B2Energia convencional pré-pagamentoRuralNão se aplicaNão se aplicaNão se aplicaNão se aplica",Mercado_Receita!$N$2:$N$604)</f>
        <v>0</v>
      </c>
      <c r="S31" s="13">
        <f>SUMIF(Mercado_Receita!$T$2:$T$604,"44713B2Energia convencional pré-pagamentoRuralNão se aplicaNão se aplicaNão se aplicaNão se aplica",Mercado_Receita!$N$2:$N$604)</f>
        <v>0</v>
      </c>
      <c r="T31" s="13">
        <f>SUMIF(Mercado_Receita!$T$2:$T$604,"44743B2Energia convencional pré-pagamentoRuralNão se aplicaNão se aplicaNão se aplicaNão se aplica",Mercado_Receita!$N$2:$N$604)</f>
        <v>0</v>
      </c>
      <c r="U31" s="13">
        <f t="shared" si="0"/>
        <v>0</v>
      </c>
      <c r="V31" s="13"/>
      <c r="W31" s="13"/>
    </row>
    <row r="32" spans="1:23" ht="11.25" customHeight="1" x14ac:dyDescent="0.3">
      <c r="A32" s="129"/>
      <c r="B32" s="129"/>
      <c r="C32" s="129"/>
      <c r="D32" s="12" t="s">
        <v>93</v>
      </c>
      <c r="E32" s="12" t="s">
        <v>25</v>
      </c>
      <c r="F32" s="12" t="s">
        <v>25</v>
      </c>
      <c r="G32" s="13" t="s">
        <v>84</v>
      </c>
      <c r="H32" s="13" t="s">
        <v>78</v>
      </c>
      <c r="I32" s="13">
        <f>SUMIF(Mercado_Receita!$T$2:$T$604,"44409B2Energia convencional pré-pagamentoRuralCooperativa de eletrificação ruralNão se aplicaNão se aplicaNão se aplica",Mercado_Receita!$N$2:$N$604)</f>
        <v>0</v>
      </c>
      <c r="J32" s="13">
        <f>SUMIF(Mercado_Receita!$T$2:$T$604,"44440B2Energia convencional pré-pagamentoRuralCooperativa de eletrificação ruralNão se aplicaNão se aplicaNão se aplica",Mercado_Receita!$N$2:$N$604)</f>
        <v>0</v>
      </c>
      <c r="K32" s="13">
        <f>SUMIF(Mercado_Receita!$T$2:$T$604,"44470B2Energia convencional pré-pagamentoRuralCooperativa de eletrificação ruralNão se aplicaNão se aplicaNão se aplica",Mercado_Receita!$N$2:$N$604)</f>
        <v>0</v>
      </c>
      <c r="L32" s="13">
        <f>SUMIF(Mercado_Receita!$T$2:$T$604,"44501B2Energia convencional pré-pagamentoRuralCooperativa de eletrificação ruralNão se aplicaNão se aplicaNão se aplica",Mercado_Receita!$N$2:$N$604)</f>
        <v>0</v>
      </c>
      <c r="M32" s="13">
        <f>SUMIF(Mercado_Receita!$T$2:$T$604,"44531B2Energia convencional pré-pagamentoRuralCooperativa de eletrificação ruralNão se aplicaNão se aplicaNão se aplica",Mercado_Receita!$N$2:$N$604)</f>
        <v>0</v>
      </c>
      <c r="N32" s="13">
        <f>SUMIF(Mercado_Receita!$T$2:$T$604,"44562B2Energia convencional pré-pagamentoRuralCooperativa de eletrificação ruralNão se aplicaNão se aplicaNão se aplica",Mercado_Receita!$N$2:$N$604)</f>
        <v>0</v>
      </c>
      <c r="O32" s="13">
        <f>SUMIF(Mercado_Receita!$T$2:$T$604,"44593B2Energia convencional pré-pagamentoRuralCooperativa de eletrificação ruralNão se aplicaNão se aplicaNão se aplica",Mercado_Receita!$N$2:$N$604)</f>
        <v>0</v>
      </c>
      <c r="P32" s="13">
        <f>SUMIF(Mercado_Receita!$T$2:$T$604,"44621B2Energia convencional pré-pagamentoRuralCooperativa de eletrificação ruralNão se aplicaNão se aplicaNão se aplica",Mercado_Receita!$N$2:$N$604)</f>
        <v>0</v>
      </c>
      <c r="Q32" s="13">
        <f>SUMIF(Mercado_Receita!$T$2:$T$604,"44652B2Energia convencional pré-pagamentoRuralCooperativa de eletrificação ruralNão se aplicaNão se aplicaNão se aplica",Mercado_Receita!$N$2:$N$604)</f>
        <v>0</v>
      </c>
      <c r="R32" s="13">
        <f>SUMIF(Mercado_Receita!$T$2:$T$604,"44682B2Energia convencional pré-pagamentoRuralCooperativa de eletrificação ruralNão se aplicaNão se aplicaNão se aplica",Mercado_Receita!$N$2:$N$604)</f>
        <v>0</v>
      </c>
      <c r="S32" s="13">
        <f>SUMIF(Mercado_Receita!$T$2:$T$604,"44713B2Energia convencional pré-pagamentoRuralCooperativa de eletrificação ruralNão se aplicaNão se aplicaNão se aplica",Mercado_Receita!$N$2:$N$604)</f>
        <v>0</v>
      </c>
      <c r="T32" s="13">
        <f>SUMIF(Mercado_Receita!$T$2:$T$604,"44743B2Energia convencional pré-pagamentoRuralCooperativa de eletrificação ruralNão se aplicaNão se aplicaNão se aplica",Mercado_Receita!$N$2:$N$604)</f>
        <v>0</v>
      </c>
      <c r="U32" s="13">
        <f t="shared" si="0"/>
        <v>0</v>
      </c>
      <c r="V32" s="13"/>
      <c r="W32" s="13"/>
    </row>
    <row r="33" spans="1:23" ht="11.25" customHeight="1" x14ac:dyDescent="0.3">
      <c r="A33" s="129"/>
      <c r="B33" s="129"/>
      <c r="C33" s="129"/>
      <c r="D33" s="12" t="s">
        <v>94</v>
      </c>
      <c r="E33" s="12" t="s">
        <v>25</v>
      </c>
      <c r="F33" s="12" t="s">
        <v>25</v>
      </c>
      <c r="G33" s="13" t="s">
        <v>84</v>
      </c>
      <c r="H33" s="13" t="s">
        <v>78</v>
      </c>
      <c r="I33" s="13">
        <f>SUMIF(Mercado_Receita!$T$2:$T$604,"44409B2Energia convencional pré-pagamentoRuralServiço público de irrigação ruralNão se aplicaNão se aplicaNão se aplica",Mercado_Receita!$N$2:$N$604)</f>
        <v>0</v>
      </c>
      <c r="J33" s="13">
        <f>SUMIF(Mercado_Receita!$T$2:$T$604,"44440B2Energia convencional pré-pagamentoRuralServiço público de irrigação ruralNão se aplicaNão se aplicaNão se aplica",Mercado_Receita!$N$2:$N$604)</f>
        <v>0</v>
      </c>
      <c r="K33" s="13">
        <f>SUMIF(Mercado_Receita!$T$2:$T$604,"44470B2Energia convencional pré-pagamentoRuralServiço público de irrigação ruralNão se aplicaNão se aplicaNão se aplica",Mercado_Receita!$N$2:$N$604)</f>
        <v>0</v>
      </c>
      <c r="L33" s="13">
        <f>SUMIF(Mercado_Receita!$T$2:$T$604,"44501B2Energia convencional pré-pagamentoRuralServiço público de irrigação ruralNão se aplicaNão se aplicaNão se aplica",Mercado_Receita!$N$2:$N$604)</f>
        <v>0</v>
      </c>
      <c r="M33" s="13">
        <f>SUMIF(Mercado_Receita!$T$2:$T$604,"44531B2Energia convencional pré-pagamentoRuralServiço público de irrigação ruralNão se aplicaNão se aplicaNão se aplica",Mercado_Receita!$N$2:$N$604)</f>
        <v>0</v>
      </c>
      <c r="N33" s="13">
        <f>SUMIF(Mercado_Receita!$T$2:$T$604,"44562B2Energia convencional pré-pagamentoRuralServiço público de irrigação ruralNão se aplicaNão se aplicaNão se aplica",Mercado_Receita!$N$2:$N$604)</f>
        <v>0</v>
      </c>
      <c r="O33" s="13">
        <f>SUMIF(Mercado_Receita!$T$2:$T$604,"44593B2Energia convencional pré-pagamentoRuralServiço público de irrigação ruralNão se aplicaNão se aplicaNão se aplica",Mercado_Receita!$N$2:$N$604)</f>
        <v>0</v>
      </c>
      <c r="P33" s="13">
        <f>SUMIF(Mercado_Receita!$T$2:$T$604,"44621B2Energia convencional pré-pagamentoRuralServiço público de irrigação ruralNão se aplicaNão se aplicaNão se aplica",Mercado_Receita!$N$2:$N$604)</f>
        <v>0</v>
      </c>
      <c r="Q33" s="13">
        <f>SUMIF(Mercado_Receita!$T$2:$T$604,"44652B2Energia convencional pré-pagamentoRuralServiço público de irrigação ruralNão se aplicaNão se aplicaNão se aplica",Mercado_Receita!$N$2:$N$604)</f>
        <v>0</v>
      </c>
      <c r="R33" s="13">
        <f>SUMIF(Mercado_Receita!$T$2:$T$604,"44682B2Energia convencional pré-pagamentoRuralServiço público de irrigação ruralNão se aplicaNão se aplicaNão se aplica",Mercado_Receita!$N$2:$N$604)</f>
        <v>0</v>
      </c>
      <c r="S33" s="13">
        <f>SUMIF(Mercado_Receita!$T$2:$T$604,"44713B2Energia convencional pré-pagamentoRuralServiço público de irrigação ruralNão se aplicaNão se aplicaNão se aplica",Mercado_Receita!$N$2:$N$604)</f>
        <v>0</v>
      </c>
      <c r="T33" s="13">
        <f>SUMIF(Mercado_Receita!$T$2:$T$604,"44743B2Energia convencional pré-pagamentoRuralServiço público de irrigação ruralNão se aplicaNão se aplicaNão se aplica",Mercado_Receita!$N$2:$N$604)</f>
        <v>0</v>
      </c>
      <c r="U33" s="13">
        <f t="shared" si="0"/>
        <v>0</v>
      </c>
      <c r="V33" s="13"/>
      <c r="W33" s="13"/>
    </row>
    <row r="34" spans="1:23" ht="11.25" customHeight="1" x14ac:dyDescent="0.3">
      <c r="A34" s="128" t="s">
        <v>32</v>
      </c>
      <c r="B34" s="128" t="s">
        <v>77</v>
      </c>
      <c r="C34" s="128" t="s">
        <v>25</v>
      </c>
      <c r="D34" s="128" t="s">
        <v>25</v>
      </c>
      <c r="E34" s="128" t="s">
        <v>25</v>
      </c>
      <c r="F34" s="128" t="s">
        <v>25</v>
      </c>
      <c r="G34" s="13" t="s">
        <v>79</v>
      </c>
      <c r="H34" s="13" t="s">
        <v>78</v>
      </c>
      <c r="I34" s="13">
        <f>SUMIF(Mercado_Receita!$T$2:$T$604,"44409B3Energia horáriaNão se aplicaNão se aplicaNão se aplicaNão se aplicaPonta",Mercado_Receita!$N$2:$N$604)</f>
        <v>0.34</v>
      </c>
      <c r="J34" s="13">
        <f>SUMIF(Mercado_Receita!$T$2:$T$604,"44440B3Energia horáriaNão se aplicaNão se aplicaNão se aplicaNão se aplicaPonta",Mercado_Receita!$N$2:$N$604)</f>
        <v>0.33600000000000002</v>
      </c>
      <c r="K34" s="13">
        <f>SUMIF(Mercado_Receita!$T$2:$T$604,"44470B3Energia horáriaNão se aplicaNão se aplicaNão se aplicaNão se aplicaPonta",Mercado_Receita!$N$2:$N$604)</f>
        <v>0.34099999999999997</v>
      </c>
      <c r="L34" s="13">
        <f>SUMIF(Mercado_Receita!$T$2:$T$604,"44501B3Energia horáriaNão se aplicaNão se aplicaNão se aplicaNão se aplicaPonta",Mercado_Receita!$N$2:$N$604)</f>
        <v>0.32300000000000001</v>
      </c>
      <c r="M34" s="13">
        <f>SUMIF(Mercado_Receita!$T$2:$T$604,"44531B3Energia horáriaNão se aplicaNão se aplicaNão se aplicaNão se aplicaPonta",Mercado_Receita!$N$2:$N$604)</f>
        <v>0.30900000000000005</v>
      </c>
      <c r="N34" s="13">
        <f>SUMIF(Mercado_Receita!$T$2:$T$604,"44562B3Energia horáriaNão se aplicaNão se aplicaNão se aplicaNão se aplicaPonta",Mercado_Receita!$N$2:$N$604)</f>
        <v>0.44700000000000001</v>
      </c>
      <c r="O34" s="13">
        <f>SUMIF(Mercado_Receita!$T$2:$T$604,"44593B3Energia horáriaNão se aplicaNão se aplicaNão se aplicaNão se aplicaPonta",Mercado_Receita!$N$2:$N$604)</f>
        <v>0.40499999999999997</v>
      </c>
      <c r="P34" s="13">
        <f>SUMIF(Mercado_Receita!$T$2:$T$604,"44621B3Energia horáriaNão se aplicaNão se aplicaNão se aplicaNão se aplicaPonta",Mercado_Receita!$N$2:$N$604)</f>
        <v>0.34099999999999997</v>
      </c>
      <c r="Q34" s="13">
        <f>SUMIF(Mercado_Receita!$T$2:$T$604,"44652B3Energia horáriaNão se aplicaNão se aplicaNão se aplicaNão se aplicaPonta",Mercado_Receita!$N$2:$N$604)</f>
        <v>0.374</v>
      </c>
      <c r="R34" s="13">
        <f>SUMIF(Mercado_Receita!$T$2:$T$604,"44682B3Energia horáriaNão se aplicaNão se aplicaNão se aplicaNão se aplicaPonta",Mercado_Receita!$N$2:$N$604)</f>
        <v>0.39299999999999996</v>
      </c>
      <c r="S34" s="13">
        <f>SUMIF(Mercado_Receita!$T$2:$T$604,"44713B3Energia horáriaNão se aplicaNão se aplicaNão se aplicaNão se aplicaPonta",Mercado_Receita!$N$2:$N$604)</f>
        <v>0.45599999999999996</v>
      </c>
      <c r="T34" s="13">
        <f>SUMIF(Mercado_Receita!$T$2:$T$604,"44743B3Energia horáriaNão se aplicaNão se aplicaNão se aplicaNão se aplicaPonta",Mercado_Receita!$N$2:$N$604)</f>
        <v>0.40299999999999997</v>
      </c>
      <c r="U34" s="13">
        <f t="shared" si="0"/>
        <v>4.4679999999999991</v>
      </c>
      <c r="V34" s="13"/>
      <c r="W34" s="13"/>
    </row>
    <row r="35" spans="1:23" ht="11.25" customHeight="1" x14ac:dyDescent="0.3">
      <c r="A35" s="129"/>
      <c r="B35" s="129"/>
      <c r="C35" s="129"/>
      <c r="D35" s="129"/>
      <c r="E35" s="129"/>
      <c r="F35" s="129"/>
      <c r="G35" s="13" t="s">
        <v>89</v>
      </c>
      <c r="H35" s="13" t="s">
        <v>78</v>
      </c>
      <c r="I35" s="13">
        <f>SUMIF(Mercado_Receita!$T$2:$T$604,"44409B3Energia horáriaNão se aplicaNão se aplicaNão se aplicaNão se aplicaIntermediário",Mercado_Receita!$N$2:$N$604)</f>
        <v>0.438</v>
      </c>
      <c r="J35" s="13">
        <f>SUMIF(Mercado_Receita!$T$2:$T$604,"44440B3Energia horáriaNão se aplicaNão se aplicaNão se aplicaNão se aplicaIntermediário",Mercado_Receita!$N$2:$N$604)</f>
        <v>0.378</v>
      </c>
      <c r="K35" s="13">
        <f>SUMIF(Mercado_Receita!$T$2:$T$604,"44470B3Energia horáriaNão se aplicaNão se aplicaNão se aplicaNão se aplicaIntermediário",Mercado_Receita!$N$2:$N$604)</f>
        <v>0.38800000000000001</v>
      </c>
      <c r="L35" s="13">
        <f>SUMIF(Mercado_Receita!$T$2:$T$604,"44501B3Energia horáriaNão se aplicaNão se aplicaNão se aplicaNão se aplicaIntermediário",Mercado_Receita!$N$2:$N$604)</f>
        <v>0.34100000000000003</v>
      </c>
      <c r="M35" s="13">
        <f>SUMIF(Mercado_Receita!$T$2:$T$604,"44531B3Energia horáriaNão se aplicaNão se aplicaNão se aplicaNão se aplicaIntermediário",Mercado_Receita!$N$2:$N$604)</f>
        <v>0.36300000000000004</v>
      </c>
      <c r="N35" s="13">
        <f>SUMIF(Mercado_Receita!$T$2:$T$604,"44562B3Energia horáriaNão se aplicaNão se aplicaNão se aplicaNão se aplicaIntermediário",Mercado_Receita!$N$2:$N$604)</f>
        <v>0.38800000000000001</v>
      </c>
      <c r="O35" s="13">
        <f>SUMIF(Mercado_Receita!$T$2:$T$604,"44593B3Energia horáriaNão se aplicaNão se aplicaNão se aplicaNão se aplicaIntermediário",Mercado_Receita!$N$2:$N$604)</f>
        <v>0.47499999999999998</v>
      </c>
      <c r="P35" s="13">
        <f>SUMIF(Mercado_Receita!$T$2:$T$604,"44621B3Energia horáriaNão se aplicaNão se aplicaNão se aplicaNão se aplicaIntermediário",Mercado_Receita!$N$2:$N$604)</f>
        <v>0.35199999999999998</v>
      </c>
      <c r="Q35" s="13">
        <f>SUMIF(Mercado_Receita!$T$2:$T$604,"44652B3Energia horáriaNão se aplicaNão se aplicaNão se aplicaNão se aplicaIntermediário",Mercado_Receita!$N$2:$N$604)</f>
        <v>0.40800000000000003</v>
      </c>
      <c r="R35" s="13">
        <f>SUMIF(Mercado_Receita!$T$2:$T$604,"44682B3Energia horáriaNão se aplicaNão se aplicaNão se aplicaNão se aplicaIntermediário",Mercado_Receita!$N$2:$N$604)</f>
        <v>0.375</v>
      </c>
      <c r="S35" s="13">
        <f>SUMIF(Mercado_Receita!$T$2:$T$604,"44713B3Energia horáriaNão se aplicaNão se aplicaNão se aplicaNão se aplicaIntermediário",Mercado_Receita!$N$2:$N$604)</f>
        <v>0.43799999999999994</v>
      </c>
      <c r="T35" s="13">
        <f>SUMIF(Mercado_Receita!$T$2:$T$604,"44743B3Energia horáriaNão se aplicaNão se aplicaNão se aplicaNão se aplicaIntermediário",Mercado_Receita!$N$2:$N$604)</f>
        <v>0.442</v>
      </c>
      <c r="U35" s="13">
        <f t="shared" si="0"/>
        <v>4.7860000000000005</v>
      </c>
      <c r="V35" s="13"/>
      <c r="W35" s="13"/>
    </row>
    <row r="36" spans="1:23" ht="11.25" customHeight="1" x14ac:dyDescent="0.3">
      <c r="A36" s="129"/>
      <c r="B36" s="129"/>
      <c r="C36" s="129"/>
      <c r="D36" s="129"/>
      <c r="E36" s="129"/>
      <c r="F36" s="129"/>
      <c r="G36" s="13" t="s">
        <v>80</v>
      </c>
      <c r="H36" s="13" t="s">
        <v>78</v>
      </c>
      <c r="I36" s="13">
        <f>SUMIF(Mercado_Receita!$T$2:$T$604,"44409B3Energia horáriaNão se aplicaNão se aplicaNão se aplicaNão se aplicaFora ponta",Mercado_Receita!$N$2:$N$604)</f>
        <v>11.536999999999999</v>
      </c>
      <c r="J36" s="13">
        <f>SUMIF(Mercado_Receita!$T$2:$T$604,"44440B3Energia horáriaNão se aplicaNão se aplicaNão se aplicaNão se aplicaFora ponta",Mercado_Receita!$N$2:$N$604)</f>
        <v>11.838000000000001</v>
      </c>
      <c r="K36" s="13">
        <f>SUMIF(Mercado_Receita!$T$2:$T$604,"44470B3Energia horáriaNão se aplicaNão se aplicaNão se aplicaNão se aplicaFora ponta",Mercado_Receita!$N$2:$N$604)</f>
        <v>12.567</v>
      </c>
      <c r="L36" s="13">
        <f>SUMIF(Mercado_Receita!$T$2:$T$604,"44501B3Energia horáriaNão se aplicaNão se aplicaNão se aplicaNão se aplicaFora ponta",Mercado_Receita!$N$2:$N$604)</f>
        <v>11.339</v>
      </c>
      <c r="M36" s="13">
        <f>SUMIF(Mercado_Receita!$T$2:$T$604,"44531B3Energia horáriaNão se aplicaNão se aplicaNão se aplicaNão se aplicaFora ponta",Mercado_Receita!$N$2:$N$604)</f>
        <v>11.585000000000001</v>
      </c>
      <c r="N36" s="13">
        <f>SUMIF(Mercado_Receita!$T$2:$T$604,"44562B3Energia horáriaNão se aplicaNão se aplicaNão se aplicaNão se aplicaFora ponta",Mercado_Receita!$N$2:$N$604)</f>
        <v>13.624000000000001</v>
      </c>
      <c r="O36" s="13">
        <f>SUMIF(Mercado_Receita!$T$2:$T$604,"44593B3Energia horáriaNão se aplicaNão se aplicaNão se aplicaNão se aplicaFora ponta",Mercado_Receita!$N$2:$N$604)</f>
        <v>15.64</v>
      </c>
      <c r="P36" s="13">
        <f>SUMIF(Mercado_Receita!$T$2:$T$604,"44621B3Energia horáriaNão se aplicaNão se aplicaNão se aplicaNão se aplicaFora ponta",Mercado_Receita!$N$2:$N$604)</f>
        <v>12.99</v>
      </c>
      <c r="Q36" s="13">
        <f>SUMIF(Mercado_Receita!$T$2:$T$604,"44652B3Energia horáriaNão se aplicaNão se aplicaNão se aplicaNão se aplicaFora ponta",Mercado_Receita!$N$2:$N$604)</f>
        <v>12.323</v>
      </c>
      <c r="R36" s="13">
        <f>SUMIF(Mercado_Receita!$T$2:$T$604,"44682B3Energia horáriaNão se aplicaNão se aplicaNão se aplicaNão se aplicaFora ponta",Mercado_Receita!$N$2:$N$604)</f>
        <v>12.501999999999999</v>
      </c>
      <c r="S36" s="13">
        <f>SUMIF(Mercado_Receita!$T$2:$T$604,"44713B3Energia horáriaNão se aplicaNão se aplicaNão se aplicaNão se aplicaFora ponta",Mercado_Receita!$N$2:$N$604)</f>
        <v>13.851000000000001</v>
      </c>
      <c r="T36" s="13">
        <f>SUMIF(Mercado_Receita!$T$2:$T$604,"44743B3Energia horáriaNão se aplicaNão se aplicaNão se aplicaNão se aplicaFora ponta",Mercado_Receita!$N$2:$N$604)</f>
        <v>13.837999999999999</v>
      </c>
      <c r="U36" s="13">
        <f t="shared" si="0"/>
        <v>153.63399999999999</v>
      </c>
      <c r="V36" s="13"/>
      <c r="W36" s="13"/>
    </row>
    <row r="37" spans="1:23" ht="11.25" customHeight="1" x14ac:dyDescent="0.3">
      <c r="A37" s="129"/>
      <c r="B37" s="12" t="s">
        <v>90</v>
      </c>
      <c r="C37" s="12" t="s">
        <v>25</v>
      </c>
      <c r="D37" s="12" t="s">
        <v>25</v>
      </c>
      <c r="E37" s="12" t="s">
        <v>25</v>
      </c>
      <c r="F37" s="12" t="s">
        <v>25</v>
      </c>
      <c r="G37" s="13" t="s">
        <v>84</v>
      </c>
      <c r="H37" s="13" t="s">
        <v>78</v>
      </c>
      <c r="I37" s="13">
        <f>SUMIF(Mercado_Receita!$T$2:$T$604,"44409B3Energia convencionalNão se aplicaNão se aplicaNão se aplicaNão se aplicaNão se aplica",Mercado_Receita!$N$2:$N$604)</f>
        <v>467.09899999999999</v>
      </c>
      <c r="J37" s="13">
        <f>SUMIF(Mercado_Receita!$T$2:$T$604,"44440B3Energia convencionalNão se aplicaNão se aplicaNão se aplicaNão se aplicaNão se aplica",Mercado_Receita!$N$2:$N$604)</f>
        <v>508.84699999999998</v>
      </c>
      <c r="K37" s="13">
        <f>SUMIF(Mercado_Receita!$T$2:$T$604,"44470B3Energia convencionalNão se aplicaNão se aplicaNão se aplicaNão se aplicaNão se aplica",Mercado_Receita!$N$2:$N$604)</f>
        <v>481.61</v>
      </c>
      <c r="L37" s="13">
        <f>SUMIF(Mercado_Receita!$T$2:$T$604,"44501B3Energia convencionalNão se aplicaNão se aplicaNão se aplicaNão se aplicaNão se aplica",Mercado_Receita!$N$2:$N$604)</f>
        <v>480.44899999999996</v>
      </c>
      <c r="M37" s="13">
        <f>SUMIF(Mercado_Receita!$T$2:$T$604,"44531B3Energia convencionalNão se aplicaNão se aplicaNão se aplicaNão se aplicaNão se aplica",Mercado_Receita!$N$2:$N$604)</f>
        <v>566.53</v>
      </c>
      <c r="N37" s="13">
        <f>SUMIF(Mercado_Receita!$T$2:$T$604,"44562B3Energia convencionalNão se aplicaNão se aplicaNão se aplicaNão se aplicaNão se aplica",Mercado_Receita!$N$2:$N$604)</f>
        <v>572.07599999999991</v>
      </c>
      <c r="O37" s="13">
        <f>SUMIF(Mercado_Receita!$T$2:$T$604,"44593B3Energia convencionalNão se aplicaNão se aplicaNão se aplicaNão se aplicaNão se aplica",Mercado_Receita!$N$2:$N$604)</f>
        <v>661.69799999999998</v>
      </c>
      <c r="P37" s="13">
        <f>SUMIF(Mercado_Receita!$T$2:$T$604,"44621B3Energia convencionalNão se aplicaNão se aplicaNão se aplicaNão se aplicaNão se aplica",Mercado_Receita!$N$2:$N$604)</f>
        <v>651.50099999999986</v>
      </c>
      <c r="Q37" s="13">
        <f>SUMIF(Mercado_Receita!$T$2:$T$604,"44652B3Energia convencionalNão se aplicaNão se aplicaNão se aplicaNão se aplicaNão se aplica",Mercado_Receita!$N$2:$N$604)</f>
        <v>602.35299999999995</v>
      </c>
      <c r="R37" s="13">
        <f>SUMIF(Mercado_Receita!$T$2:$T$604,"44682B3Energia convencionalNão se aplicaNão se aplicaNão se aplicaNão se aplicaNão se aplica",Mercado_Receita!$N$2:$N$604)</f>
        <v>472.18700000000001</v>
      </c>
      <c r="S37" s="13">
        <f>SUMIF(Mercado_Receita!$T$2:$T$604,"44713B3Energia convencionalNão se aplicaNão se aplicaNão se aplicaNão se aplicaNão se aplica",Mercado_Receita!$N$2:$N$604)</f>
        <v>486.85900000000004</v>
      </c>
      <c r="T37" s="13">
        <f>SUMIF(Mercado_Receita!$T$2:$T$604,"44743B3Energia convencionalNão se aplicaNão se aplicaNão se aplicaNão se aplicaNão se aplica",Mercado_Receita!$N$2:$N$604)</f>
        <v>483.60700000000008</v>
      </c>
      <c r="U37" s="13">
        <f t="shared" si="0"/>
        <v>6434.8159999999998</v>
      </c>
      <c r="V37" s="13"/>
      <c r="W37" s="13"/>
    </row>
    <row r="38" spans="1:23" ht="11.25" customHeight="1" x14ac:dyDescent="0.3">
      <c r="A38" s="129"/>
      <c r="B38" s="12" t="s">
        <v>91</v>
      </c>
      <c r="C38" s="12" t="s">
        <v>25</v>
      </c>
      <c r="D38" s="12" t="s">
        <v>25</v>
      </c>
      <c r="E38" s="12" t="s">
        <v>25</v>
      </c>
      <c r="F38" s="12" t="s">
        <v>25</v>
      </c>
      <c r="G38" s="13" t="s">
        <v>84</v>
      </c>
      <c r="H38" s="13" t="s">
        <v>78</v>
      </c>
      <c r="I38" s="13">
        <f>SUMIF(Mercado_Receita!$T$2:$T$604,"44409B3Energia convencional pré-pagamentoNão se aplicaNão se aplicaNão se aplicaNão se aplicaNão se aplica",Mercado_Receita!$N$2:$N$604)</f>
        <v>0</v>
      </c>
      <c r="J38" s="13">
        <f>SUMIF(Mercado_Receita!$T$2:$T$604,"44440B3Energia convencional pré-pagamentoNão se aplicaNão se aplicaNão se aplicaNão se aplicaNão se aplica",Mercado_Receita!$N$2:$N$604)</f>
        <v>0</v>
      </c>
      <c r="K38" s="13">
        <f>SUMIF(Mercado_Receita!$T$2:$T$604,"44470B3Energia convencional pré-pagamentoNão se aplicaNão se aplicaNão se aplicaNão se aplicaNão se aplica",Mercado_Receita!$N$2:$N$604)</f>
        <v>0</v>
      </c>
      <c r="L38" s="13">
        <f>SUMIF(Mercado_Receita!$T$2:$T$604,"44501B3Energia convencional pré-pagamentoNão se aplicaNão se aplicaNão se aplicaNão se aplicaNão se aplica",Mercado_Receita!$N$2:$N$604)</f>
        <v>0</v>
      </c>
      <c r="M38" s="13">
        <f>SUMIF(Mercado_Receita!$T$2:$T$604,"44531B3Energia convencional pré-pagamentoNão se aplicaNão se aplicaNão se aplicaNão se aplicaNão se aplica",Mercado_Receita!$N$2:$N$604)</f>
        <v>0</v>
      </c>
      <c r="N38" s="13">
        <f>SUMIF(Mercado_Receita!$T$2:$T$604,"44562B3Energia convencional pré-pagamentoNão se aplicaNão se aplicaNão se aplicaNão se aplicaNão se aplica",Mercado_Receita!$N$2:$N$604)</f>
        <v>0</v>
      </c>
      <c r="O38" s="13">
        <f>SUMIF(Mercado_Receita!$T$2:$T$604,"44593B3Energia convencional pré-pagamentoNão se aplicaNão se aplicaNão se aplicaNão se aplicaNão se aplica",Mercado_Receita!$N$2:$N$604)</f>
        <v>0</v>
      </c>
      <c r="P38" s="13">
        <f>SUMIF(Mercado_Receita!$T$2:$T$604,"44621B3Energia convencional pré-pagamentoNão se aplicaNão se aplicaNão se aplicaNão se aplicaNão se aplica",Mercado_Receita!$N$2:$N$604)</f>
        <v>0</v>
      </c>
      <c r="Q38" s="13">
        <f>SUMIF(Mercado_Receita!$T$2:$T$604,"44652B3Energia convencional pré-pagamentoNão se aplicaNão se aplicaNão se aplicaNão se aplicaNão se aplica",Mercado_Receita!$N$2:$N$604)</f>
        <v>0</v>
      </c>
      <c r="R38" s="13">
        <f>SUMIF(Mercado_Receita!$T$2:$T$604,"44682B3Energia convencional pré-pagamentoNão se aplicaNão se aplicaNão se aplicaNão se aplicaNão se aplica",Mercado_Receita!$N$2:$N$604)</f>
        <v>0</v>
      </c>
      <c r="S38" s="13">
        <f>SUMIF(Mercado_Receita!$T$2:$T$604,"44713B3Energia convencional pré-pagamentoNão se aplicaNão se aplicaNão se aplicaNão se aplicaNão se aplica",Mercado_Receita!$N$2:$N$604)</f>
        <v>0</v>
      </c>
      <c r="T38" s="13">
        <f>SUMIF(Mercado_Receita!$T$2:$T$604,"44743B3Energia convencional pré-pagamentoNão se aplicaNão se aplicaNão se aplicaNão se aplicaNão se aplica",Mercado_Receita!$N$2:$N$604)</f>
        <v>0</v>
      </c>
      <c r="U38" s="13">
        <f t="shared" si="0"/>
        <v>0</v>
      </c>
      <c r="V38" s="13"/>
      <c r="W38" s="13"/>
    </row>
    <row r="39" spans="1:23" ht="11.25" customHeight="1" x14ac:dyDescent="0.3">
      <c r="A39" s="128" t="s">
        <v>44</v>
      </c>
      <c r="B39" s="128" t="s">
        <v>90</v>
      </c>
      <c r="C39" s="128" t="s">
        <v>45</v>
      </c>
      <c r="D39" s="12" t="s">
        <v>46</v>
      </c>
      <c r="E39" s="12" t="s">
        <v>25</v>
      </c>
      <c r="F39" s="12" t="s">
        <v>25</v>
      </c>
      <c r="G39" s="13" t="s">
        <v>84</v>
      </c>
      <c r="H39" s="13" t="s">
        <v>78</v>
      </c>
      <c r="I39" s="13">
        <f>SUMIF(Mercado_Receita!$T$2:$T$604,"44409B4Energia convencionalIluminação públicaIluminação pública – B4aNão se aplicaNão se aplicaNão se aplica",Mercado_Receita!$N$2:$N$604)</f>
        <v>214.02199999999999</v>
      </c>
      <c r="J39" s="13">
        <f>SUMIF(Mercado_Receita!$T$2:$T$604,"44440B4Energia convencionalIluminação públicaIluminação pública – B4aNão se aplicaNão se aplicaNão se aplica",Mercado_Receita!$N$2:$N$604)</f>
        <v>192.84399999999999</v>
      </c>
      <c r="K39" s="13">
        <f>SUMIF(Mercado_Receita!$T$2:$T$604,"44470B4Energia convencionalIluminação públicaIluminação pública – B4aNão se aplicaNão se aplicaNão se aplica",Mercado_Receita!$N$2:$N$604)</f>
        <v>191.751</v>
      </c>
      <c r="L39" s="13">
        <f>SUMIF(Mercado_Receita!$T$2:$T$604,"44501B4Energia convencionalIluminação públicaIluminação pública – B4aNão se aplicaNão se aplicaNão se aplica",Mercado_Receita!$N$2:$N$604)</f>
        <v>170.47399999999999</v>
      </c>
      <c r="M39" s="13">
        <f>SUMIF(Mercado_Receita!$T$2:$T$604,"44531B4Energia convencionalIluminação públicaIluminação pública – B4aNão se aplicaNão se aplicaNão se aplica",Mercado_Receita!$N$2:$N$604)</f>
        <v>175.501</v>
      </c>
      <c r="N39" s="13">
        <f>SUMIF(Mercado_Receita!$T$2:$T$604,"44562B4Energia convencionalIluminação públicaIluminação pública – B4aNão se aplicaNão se aplicaNão se aplica",Mercado_Receita!$N$2:$N$604)</f>
        <v>177.334</v>
      </c>
      <c r="O39" s="13">
        <f>SUMIF(Mercado_Receita!$T$2:$T$604,"44593B4Energia convencionalIluminação públicaIluminação pública – B4aNão se aplicaNão se aplicaNão se aplica",Mercado_Receita!$N$2:$N$604)</f>
        <v>171.881</v>
      </c>
      <c r="P39" s="13">
        <f>SUMIF(Mercado_Receita!$T$2:$T$604,"44621B4Energia convencionalIluminação públicaIluminação pública – B4aNão se aplicaNão se aplicaNão se aplica",Mercado_Receita!$N$2:$N$604)</f>
        <v>205.21799999999999</v>
      </c>
      <c r="Q39" s="13">
        <f>SUMIF(Mercado_Receita!$T$2:$T$604,"44652B4Energia convencionalIluminação públicaIluminação pública – B4aNão se aplicaNão se aplicaNão se aplica",Mercado_Receita!$N$2:$N$604)</f>
        <v>215.04300000000001</v>
      </c>
      <c r="R39" s="13">
        <f>SUMIF(Mercado_Receita!$T$2:$T$604,"44682B4Energia convencionalIluminação públicaIluminação pública – B4aNão se aplicaNão se aplicaNão se aplica",Mercado_Receita!$N$2:$N$604)</f>
        <v>229.447</v>
      </c>
      <c r="S39" s="13">
        <f>SUMIF(Mercado_Receita!$T$2:$T$604,"44713B4Energia convencionalIluminação públicaIluminação pública – B4aNão se aplicaNão se aplicaNão se aplica",Mercado_Receita!$N$2:$N$604)</f>
        <v>240.41900000000001</v>
      </c>
      <c r="T39" s="13">
        <f>SUMIF(Mercado_Receita!$T$2:$T$604,"44743B4Energia convencionalIluminação públicaIluminação pública – B4aNão se aplicaNão se aplicaNão se aplica",Mercado_Receita!$N$2:$N$604)</f>
        <v>231.773</v>
      </c>
      <c r="U39" s="13">
        <f t="shared" si="0"/>
        <v>2415.7070000000003</v>
      </c>
      <c r="V39" s="13"/>
      <c r="W39" s="13"/>
    </row>
    <row r="40" spans="1:23" ht="11.25" customHeight="1" x14ac:dyDescent="0.3">
      <c r="A40" s="129"/>
      <c r="B40" s="129"/>
      <c r="C40" s="129"/>
      <c r="D40" s="13" t="s">
        <v>95</v>
      </c>
      <c r="E40" s="13" t="s">
        <v>25</v>
      </c>
      <c r="F40" s="13" t="s">
        <v>25</v>
      </c>
      <c r="G40" s="13" t="s">
        <v>84</v>
      </c>
      <c r="H40" s="13" t="s">
        <v>78</v>
      </c>
      <c r="I40" s="13">
        <f>SUMIF(Mercado_Receita!$T$2:$T$604,"44409B4Energia convencionalIluminação públicaIluminação pública – B4bNão se aplicaNão se aplicaNão se aplica",Mercado_Receita!$N$2:$N$604)</f>
        <v>0</v>
      </c>
      <c r="J40" s="13">
        <f>SUMIF(Mercado_Receita!$T$2:$T$604,"44440B4Energia convencionalIluminação públicaIluminação pública – B4bNão se aplicaNão se aplicaNão se aplica",Mercado_Receita!$N$2:$N$604)</f>
        <v>0</v>
      </c>
      <c r="K40" s="13">
        <f>SUMIF(Mercado_Receita!$T$2:$T$604,"44470B4Energia convencionalIluminação públicaIluminação pública – B4bNão se aplicaNão se aplicaNão se aplica",Mercado_Receita!$N$2:$N$604)</f>
        <v>0</v>
      </c>
      <c r="L40" s="13">
        <f>SUMIF(Mercado_Receita!$T$2:$T$604,"44501B4Energia convencionalIluminação públicaIluminação pública – B4bNão se aplicaNão se aplicaNão se aplica",Mercado_Receita!$N$2:$N$604)</f>
        <v>0</v>
      </c>
      <c r="M40" s="13">
        <f>SUMIF(Mercado_Receita!$T$2:$T$604,"44531B4Energia convencionalIluminação públicaIluminação pública – B4bNão se aplicaNão se aplicaNão se aplica",Mercado_Receita!$N$2:$N$604)</f>
        <v>0</v>
      </c>
      <c r="N40" s="13">
        <f>SUMIF(Mercado_Receita!$T$2:$T$604,"44562B4Energia convencionalIluminação públicaIluminação pública – B4bNão se aplicaNão se aplicaNão se aplica",Mercado_Receita!$N$2:$N$604)</f>
        <v>0</v>
      </c>
      <c r="O40" s="13">
        <f>SUMIF(Mercado_Receita!$T$2:$T$604,"44593B4Energia convencionalIluminação públicaIluminação pública – B4bNão se aplicaNão se aplicaNão se aplica",Mercado_Receita!$N$2:$N$604)</f>
        <v>0</v>
      </c>
      <c r="P40" s="13">
        <f>SUMIF(Mercado_Receita!$T$2:$T$604,"44621B4Energia convencionalIluminação públicaIluminação pública – B4bNão se aplicaNão se aplicaNão se aplica",Mercado_Receita!$N$2:$N$604)</f>
        <v>0</v>
      </c>
      <c r="Q40" s="13">
        <f>SUMIF(Mercado_Receita!$T$2:$T$604,"44652B4Energia convencionalIluminação públicaIluminação pública – B4bNão se aplicaNão se aplicaNão se aplica",Mercado_Receita!$N$2:$N$604)</f>
        <v>0</v>
      </c>
      <c r="R40" s="13">
        <f>SUMIF(Mercado_Receita!$T$2:$T$604,"44682B4Energia convencionalIluminação públicaIluminação pública – B4bNão se aplicaNão se aplicaNão se aplica",Mercado_Receita!$N$2:$N$604)</f>
        <v>0</v>
      </c>
      <c r="S40" s="13">
        <f>SUMIF(Mercado_Receita!$T$2:$T$604,"44713B4Energia convencionalIluminação públicaIluminação pública – B4bNão se aplicaNão se aplicaNão se aplica",Mercado_Receita!$N$2:$N$604)</f>
        <v>0</v>
      </c>
      <c r="T40" s="13">
        <f>SUMIF(Mercado_Receita!$T$2:$T$604,"44743B4Energia convencionalIluminação públicaIluminação pública – B4bNão se aplicaNão se aplicaNão se aplica",Mercado_Receita!$N$2:$N$604)</f>
        <v>0</v>
      </c>
      <c r="U40" s="13">
        <f t="shared" si="0"/>
        <v>0</v>
      </c>
      <c r="V40" s="13"/>
      <c r="W40" s="13"/>
    </row>
    <row r="41" spans="1:23" ht="11.25" customHeight="1" x14ac:dyDescent="0.3">
      <c r="A41" s="130" t="s">
        <v>486</v>
      </c>
      <c r="B41" s="131"/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"/>
      <c r="W41" s="13"/>
    </row>
  </sheetData>
  <mergeCells count="50">
    <mergeCell ref="A39:A40"/>
    <mergeCell ref="B39:B40"/>
    <mergeCell ref="C39:C40"/>
    <mergeCell ref="A41:U41"/>
    <mergeCell ref="C31:C33"/>
    <mergeCell ref="B31:B33"/>
    <mergeCell ref="A19:A33"/>
    <mergeCell ref="F34:F36"/>
    <mergeCell ref="E34:E36"/>
    <mergeCell ref="D34:D36"/>
    <mergeCell ref="C34:C36"/>
    <mergeCell ref="B34:B36"/>
    <mergeCell ref="A34:A38"/>
    <mergeCell ref="F23:F25"/>
    <mergeCell ref="E23:E25"/>
    <mergeCell ref="D23:D25"/>
    <mergeCell ref="C23:C25"/>
    <mergeCell ref="B23:B25"/>
    <mergeCell ref="F27:F29"/>
    <mergeCell ref="E27:E29"/>
    <mergeCell ref="D27:D29"/>
    <mergeCell ref="C27:C29"/>
    <mergeCell ref="B27:B29"/>
    <mergeCell ref="C14:C18"/>
    <mergeCell ref="B14:B18"/>
    <mergeCell ref="A6:A18"/>
    <mergeCell ref="F19:F21"/>
    <mergeCell ref="E19:E21"/>
    <mergeCell ref="D19:D21"/>
    <mergeCell ref="C19:C21"/>
    <mergeCell ref="B19:B21"/>
    <mergeCell ref="F6:F8"/>
    <mergeCell ref="E6:E8"/>
    <mergeCell ref="D6:D8"/>
    <mergeCell ref="C6:C8"/>
    <mergeCell ref="B6:B8"/>
    <mergeCell ref="C9:C13"/>
    <mergeCell ref="B9:B13"/>
    <mergeCell ref="A4:A5"/>
    <mergeCell ref="F2:F3"/>
    <mergeCell ref="E2:E3"/>
    <mergeCell ref="D2:D3"/>
    <mergeCell ref="C2:C3"/>
    <mergeCell ref="B2:B3"/>
    <mergeCell ref="A2:A3"/>
    <mergeCell ref="F4:F5"/>
    <mergeCell ref="E4:E5"/>
    <mergeCell ref="D4:D5"/>
    <mergeCell ref="C4:C5"/>
    <mergeCell ref="B4:B5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14663-C102-4F48-89F3-D4E1ABFBFD5F}">
  <dimension ref="A1:AD200"/>
  <sheetViews>
    <sheetView showGridLines="0" topLeftCell="E1" workbookViewId="0">
      <selection activeCell="G55" sqref="G55"/>
    </sheetView>
  </sheetViews>
  <sheetFormatPr defaultRowHeight="12" customHeight="1" x14ac:dyDescent="0.2"/>
  <cols>
    <col min="1" max="1" width="9.88671875" style="14" bestFit="1" customWidth="1"/>
    <col min="2" max="2" width="13.88671875" style="14" bestFit="1" customWidth="1"/>
    <col min="3" max="3" width="18.109375" style="14" bestFit="1" customWidth="1"/>
    <col min="4" max="4" width="14" style="14" bestFit="1" customWidth="1"/>
    <col min="5" max="5" width="13.88671875" style="14" bestFit="1" customWidth="1"/>
    <col min="6" max="6" width="9.109375" style="14" bestFit="1" customWidth="1"/>
    <col min="7" max="7" width="10.33203125" style="14" bestFit="1" customWidth="1"/>
    <col min="8" max="11" width="8.88671875" style="14"/>
    <col min="12" max="12" width="31.44140625" style="14" bestFit="1" customWidth="1"/>
    <col min="13" max="13" width="9.109375" style="14" bestFit="1" customWidth="1"/>
    <col min="14" max="14" width="8.88671875" style="14"/>
    <col min="15" max="15" width="30.77734375" style="14" customWidth="1"/>
    <col min="16" max="16" width="13.6640625" style="14" customWidth="1"/>
    <col min="17" max="16384" width="8.88671875" style="14"/>
  </cols>
  <sheetData>
    <row r="1" spans="1:30" ht="12" customHeight="1" x14ac:dyDescent="0.2">
      <c r="A1" s="10" t="s">
        <v>526</v>
      </c>
      <c r="B1" s="10" t="s">
        <v>527</v>
      </c>
      <c r="C1" s="10" t="s">
        <v>528</v>
      </c>
      <c r="D1" s="10" t="s">
        <v>529</v>
      </c>
      <c r="E1" s="10" t="s">
        <v>530</v>
      </c>
      <c r="F1" s="10" t="s">
        <v>531</v>
      </c>
      <c r="G1" s="7"/>
      <c r="H1" s="7"/>
      <c r="I1" s="7"/>
      <c r="J1" s="7"/>
      <c r="K1" s="7"/>
      <c r="L1" s="134" t="s">
        <v>532</v>
      </c>
      <c r="M1" s="139"/>
      <c r="N1" s="7"/>
      <c r="O1" s="134" t="s">
        <v>619</v>
      </c>
      <c r="P1" s="135"/>
      <c r="Q1" s="135"/>
      <c r="R1" s="135"/>
      <c r="S1" s="135"/>
      <c r="T1" s="135"/>
      <c r="U1" s="135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40" t="s">
        <v>487</v>
      </c>
      <c r="B2" s="140" t="s">
        <v>488</v>
      </c>
      <c r="C2" s="16" t="s">
        <v>573</v>
      </c>
      <c r="D2" s="13">
        <v>223863.69726668682</v>
      </c>
      <c r="E2" s="13">
        <v>10378.311592162874</v>
      </c>
      <c r="F2" s="13">
        <v>19749.453488121715</v>
      </c>
      <c r="G2" s="15"/>
      <c r="H2" s="15"/>
      <c r="I2" s="15"/>
      <c r="J2" s="15"/>
      <c r="K2" s="15"/>
      <c r="L2" s="13" t="s">
        <v>533</v>
      </c>
      <c r="M2" s="17">
        <v>0.23465224650267258</v>
      </c>
      <c r="N2" s="15"/>
      <c r="O2" s="34" t="s">
        <v>620</v>
      </c>
      <c r="P2" s="34" t="s">
        <v>61</v>
      </c>
      <c r="Q2" s="34" t="s">
        <v>621</v>
      </c>
      <c r="R2" s="34" t="s">
        <v>34</v>
      </c>
      <c r="S2" s="34" t="s">
        <v>622</v>
      </c>
      <c r="T2" s="34" t="s">
        <v>86</v>
      </c>
      <c r="U2" s="34"/>
      <c r="V2" s="15"/>
      <c r="W2" s="15"/>
      <c r="X2" s="13" t="s">
        <v>586</v>
      </c>
      <c r="Y2" s="15"/>
      <c r="Z2" s="15"/>
      <c r="AA2" s="15" t="s">
        <v>630</v>
      </c>
      <c r="AB2" s="15"/>
      <c r="AC2" s="15"/>
      <c r="AD2" s="15"/>
    </row>
    <row r="3" spans="1:30" ht="12" customHeight="1" x14ac:dyDescent="0.2">
      <c r="A3" s="141"/>
      <c r="B3" s="141"/>
      <c r="C3" s="16" t="s">
        <v>489</v>
      </c>
      <c r="D3" s="13">
        <v>37401.046408800925</v>
      </c>
      <c r="E3" s="13">
        <v>1324.1358760511275</v>
      </c>
      <c r="F3" s="13">
        <v>0</v>
      </c>
      <c r="G3" s="15"/>
      <c r="H3" s="15"/>
      <c r="I3" s="15"/>
      <c r="J3" s="15"/>
      <c r="K3" s="15"/>
      <c r="L3" s="13" t="s">
        <v>534</v>
      </c>
      <c r="M3" s="17"/>
      <c r="N3" s="15"/>
      <c r="O3" s="35">
        <v>1</v>
      </c>
      <c r="P3" s="35">
        <v>1</v>
      </c>
      <c r="Q3" s="35">
        <v>1</v>
      </c>
      <c r="R3" s="35">
        <v>1</v>
      </c>
      <c r="S3" s="35">
        <v>1</v>
      </c>
      <c r="T3" s="35">
        <v>1</v>
      </c>
      <c r="U3" s="35" t="s">
        <v>623</v>
      </c>
      <c r="V3" s="15"/>
      <c r="W3" s="15"/>
      <c r="X3" s="13" t="s">
        <v>587</v>
      </c>
      <c r="Y3" s="15"/>
      <c r="Z3" s="15"/>
      <c r="AA3" s="15">
        <v>0</v>
      </c>
      <c r="AB3" s="15"/>
      <c r="AC3" s="15"/>
      <c r="AD3" s="15"/>
    </row>
    <row r="4" spans="1:30" ht="12" customHeight="1" x14ac:dyDescent="0.2">
      <c r="A4" s="141"/>
      <c r="B4" s="141"/>
      <c r="C4" s="16" t="s">
        <v>490</v>
      </c>
      <c r="D4" s="13">
        <f>$M$22-D$30</f>
        <v>215481.70395079016</v>
      </c>
      <c r="E4" s="13">
        <f>IF((D4+D$30)&lt;&gt;0,$M$20*D4/(D4+D$30),0)</f>
        <v>9.2580247132896643E-2</v>
      </c>
      <c r="F4" s="13">
        <f>IF((D4+D$30)&lt;&gt;0,$M$21*D4/(D4+D$30),0)</f>
        <v>0</v>
      </c>
      <c r="G4" s="15"/>
      <c r="H4" s="15"/>
      <c r="I4" s="15"/>
      <c r="J4" s="15"/>
      <c r="K4" s="15"/>
      <c r="L4" s="13" t="s">
        <v>535</v>
      </c>
      <c r="M4" s="17">
        <v>0.10076792163048442</v>
      </c>
      <c r="N4" s="15"/>
      <c r="O4" s="35">
        <v>1</v>
      </c>
      <c r="P4" s="35">
        <v>1</v>
      </c>
      <c r="Q4" s="35">
        <v>1</v>
      </c>
      <c r="R4" s="64">
        <v>1</v>
      </c>
      <c r="S4" s="35">
        <v>1</v>
      </c>
      <c r="T4" s="35">
        <v>1</v>
      </c>
      <c r="U4" s="35" t="s">
        <v>57</v>
      </c>
      <c r="V4" s="15"/>
      <c r="W4" s="15"/>
      <c r="X4" s="15"/>
      <c r="Y4" s="15"/>
      <c r="Z4" s="15"/>
      <c r="AA4" s="15"/>
      <c r="AB4" s="15"/>
      <c r="AC4" s="15"/>
      <c r="AD4" s="15"/>
    </row>
    <row r="5" spans="1:30" ht="12" customHeight="1" x14ac:dyDescent="0.2">
      <c r="A5" s="141"/>
      <c r="B5" s="141"/>
      <c r="C5" s="16" t="s">
        <v>491</v>
      </c>
      <c r="D5" s="13">
        <v>0</v>
      </c>
      <c r="E5" s="13">
        <v>0</v>
      </c>
      <c r="F5" s="13">
        <v>0</v>
      </c>
      <c r="G5" s="15"/>
      <c r="H5" s="15"/>
      <c r="I5" s="15"/>
      <c r="J5" s="15"/>
      <c r="K5" s="15"/>
      <c r="L5" s="13" t="s">
        <v>536</v>
      </c>
      <c r="M5" s="17">
        <v>0.01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ht="12" customHeight="1" x14ac:dyDescent="0.2">
      <c r="A6" s="141"/>
      <c r="B6" s="141"/>
      <c r="C6" s="16" t="s">
        <v>492</v>
      </c>
      <c r="D6" s="13">
        <v>0</v>
      </c>
      <c r="E6" s="13">
        <v>0</v>
      </c>
      <c r="F6" s="13">
        <v>0</v>
      </c>
      <c r="G6" s="15"/>
      <c r="H6" s="15"/>
      <c r="I6" s="15"/>
      <c r="J6" s="15"/>
      <c r="K6" s="15"/>
      <c r="L6" s="13" t="s">
        <v>537</v>
      </c>
      <c r="M6" s="17">
        <v>0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ht="12" customHeight="1" x14ac:dyDescent="0.2">
      <c r="A7" s="141"/>
      <c r="B7" s="141"/>
      <c r="C7" s="16" t="s">
        <v>493</v>
      </c>
      <c r="D7" s="13">
        <v>9226276.0333921351</v>
      </c>
      <c r="E7" s="13">
        <v>357707.65707963798</v>
      </c>
      <c r="F7" s="13">
        <v>2382613.2393999998</v>
      </c>
      <c r="G7" s="15"/>
      <c r="H7" s="15"/>
      <c r="I7" s="15"/>
      <c r="J7" s="15"/>
      <c r="K7" s="15"/>
      <c r="L7" s="13" t="s">
        <v>538</v>
      </c>
      <c r="M7" s="13">
        <f>M8+M9+M10+M11</f>
        <v>4499.4558960868235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ht="12" customHeight="1" x14ac:dyDescent="0.2">
      <c r="A8" s="141"/>
      <c r="B8" s="141"/>
      <c r="C8" s="16" t="s">
        <v>494</v>
      </c>
      <c r="D8" s="13">
        <v>1583418.4495755318</v>
      </c>
      <c r="E8" s="13">
        <v>48154.83858257212</v>
      </c>
      <c r="F8" s="13">
        <v>485196.48460000003</v>
      </c>
      <c r="G8" s="15"/>
      <c r="H8" s="15"/>
      <c r="I8" s="15"/>
      <c r="J8" s="15"/>
      <c r="K8" s="15"/>
      <c r="L8" s="18" t="s">
        <v>539</v>
      </c>
      <c r="M8" s="13">
        <v>4153.5812926128228</v>
      </c>
      <c r="N8" s="15"/>
      <c r="O8" s="13" t="s">
        <v>572</v>
      </c>
      <c r="P8" s="22">
        <v>0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ht="12" customHeight="1" x14ac:dyDescent="0.2">
      <c r="A9" s="141"/>
      <c r="B9" s="141"/>
      <c r="C9" s="16" t="s">
        <v>495</v>
      </c>
      <c r="D9" s="13"/>
      <c r="E9" s="13"/>
      <c r="F9" s="13"/>
      <c r="G9" s="15"/>
      <c r="H9" s="15"/>
      <c r="I9" s="15"/>
      <c r="J9" s="15"/>
      <c r="K9" s="15"/>
      <c r="L9" s="19" t="s">
        <v>540</v>
      </c>
      <c r="M9" s="13">
        <v>345.87460347400042</v>
      </c>
      <c r="N9" s="15"/>
      <c r="O9" s="13" t="s">
        <v>577</v>
      </c>
      <c r="P9" s="22">
        <f>SUM(Mercado_Receita!$J$2:$J$604)</f>
        <v>378093.74</v>
      </c>
      <c r="Q9" s="22">
        <v>378093.74</v>
      </c>
      <c r="R9" s="22" t="str">
        <f>IF(ABS(P9-Q9)&gt;1,"ERRO BADNET","OK BADNET")</f>
        <v>OK BADNET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ht="12" customHeight="1" x14ac:dyDescent="0.2">
      <c r="A10" s="141"/>
      <c r="B10" s="142"/>
      <c r="C10" s="16" t="s">
        <v>496</v>
      </c>
      <c r="D10" s="13">
        <f>SUM(D$2:D9)</f>
        <v>11286440.930593945</v>
      </c>
      <c r="E10" s="13">
        <f>SUM(E$2:E9)</f>
        <v>417565.03571067122</v>
      </c>
      <c r="F10" s="13">
        <f>SUM(F$2:F9)</f>
        <v>2887559.1774881217</v>
      </c>
      <c r="G10" s="15"/>
      <c r="H10" s="15"/>
      <c r="I10" s="15"/>
      <c r="J10" s="15"/>
      <c r="K10" s="15"/>
      <c r="L10" s="18" t="s">
        <v>541</v>
      </c>
      <c r="M10" s="13">
        <v>0</v>
      </c>
      <c r="N10" s="15"/>
      <c r="O10" s="13" t="s">
        <v>578</v>
      </c>
      <c r="P10" s="22">
        <f>SUM(Mercado_Receita!$L$2:$L$604)</f>
        <v>106177.12201999994</v>
      </c>
      <c r="Q10" s="22">
        <v>106177.12202</v>
      </c>
      <c r="R10" s="22" t="str">
        <f>IF(ABS(P10-Q10)&gt;1,"ERRO BADNET","OK BADNET")</f>
        <v>OK BADNET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ht="12" customHeight="1" x14ac:dyDescent="0.2">
      <c r="A11" s="141"/>
      <c r="B11" s="140" t="s">
        <v>497</v>
      </c>
      <c r="C11" s="16" t="s">
        <v>498</v>
      </c>
      <c r="D11" s="13">
        <v>0</v>
      </c>
      <c r="E11" s="13">
        <v>0</v>
      </c>
      <c r="F11" s="13">
        <f>IF((+$D$11+$D$12+$D$16+$D$17+$D$39)&lt;&gt;0,$M$19*$D$11/(+$D$11+$D$12+$D$16+$D$17+$D$39),0)</f>
        <v>0</v>
      </c>
      <c r="G11" s="15"/>
      <c r="H11" s="15"/>
      <c r="I11" s="15"/>
      <c r="J11" s="15"/>
      <c r="K11" s="15"/>
      <c r="L11" s="18" t="s">
        <v>542</v>
      </c>
      <c r="M11" s="13">
        <v>0</v>
      </c>
      <c r="N11" s="15"/>
      <c r="O11" s="13" t="s">
        <v>579</v>
      </c>
      <c r="P11" s="22">
        <f>SUM(Mercado_Receita!$N$2:$N$604)</f>
        <v>27707.441790000019</v>
      </c>
      <c r="Q11" s="22">
        <v>27707.441790000001</v>
      </c>
      <c r="R11" s="22" t="str">
        <f>IF(ABS(P11-Q11)&gt;1,"ERRO BADNET","OK BADNET")</f>
        <v>OK BADNET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ht="12" customHeight="1" x14ac:dyDescent="0.2">
      <c r="A12" s="141"/>
      <c r="B12" s="141"/>
      <c r="C12" s="16" t="s">
        <v>499</v>
      </c>
      <c r="D12" s="13">
        <v>0</v>
      </c>
      <c r="E12" s="13">
        <v>0</v>
      </c>
      <c r="F12" s="13">
        <f>IF((+$D$11+$D$12+$D$16+$D$17+$D$39)&lt;&gt;0,$M$19*$D$12/(+$D$11+$D$12+$D$16+$D$17+$D$39),0)</f>
        <v>0</v>
      </c>
      <c r="G12" s="15"/>
      <c r="H12" s="15"/>
      <c r="I12" s="15"/>
      <c r="J12" s="15"/>
      <c r="K12" s="15"/>
      <c r="L12" s="13" t="s">
        <v>543</v>
      </c>
      <c r="M12" s="13">
        <v>32206.89768608685</v>
      </c>
      <c r="N12" s="15"/>
      <c r="O12" s="13" t="s">
        <v>580</v>
      </c>
      <c r="P12" s="22">
        <f>SUMIF('MERCADO TUSD'!$H$2:$H$52,"kW",'MERCADO TUSD'!$U$2:$U$52)</f>
        <v>378093.74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ht="12" customHeight="1" x14ac:dyDescent="0.2">
      <c r="A13" s="141"/>
      <c r="B13" s="141"/>
      <c r="C13" s="16" t="s">
        <v>500</v>
      </c>
      <c r="D13" s="13">
        <f>-$M$51+0</f>
        <v>0</v>
      </c>
      <c r="E13" s="13">
        <v>0</v>
      </c>
      <c r="F13" s="13">
        <v>0</v>
      </c>
      <c r="G13" s="15"/>
      <c r="H13" s="15"/>
      <c r="I13" s="15"/>
      <c r="J13" s="15"/>
      <c r="K13" s="15"/>
      <c r="L13" s="13" t="s">
        <v>544</v>
      </c>
      <c r="M13" s="13">
        <v>671.70154341207194</v>
      </c>
      <c r="N13" s="15"/>
      <c r="O13" s="13" t="s">
        <v>581</v>
      </c>
      <c r="P13" s="22">
        <f>SUMIF('MERCADO TUSD'!$H$2:$H$52,"MWh",'MERCADO TUSD'!$U$2:$U$52)</f>
        <v>106177.12202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ht="12" customHeight="1" x14ac:dyDescent="0.2">
      <c r="A14" s="141"/>
      <c r="B14" s="141"/>
      <c r="C14" s="16" t="s">
        <v>501</v>
      </c>
      <c r="D14" s="13">
        <v>0</v>
      </c>
      <c r="E14" s="13">
        <v>0</v>
      </c>
      <c r="F14" s="13">
        <v>0</v>
      </c>
      <c r="G14" s="15"/>
      <c r="H14" s="15"/>
      <c r="I14" s="15"/>
      <c r="J14" s="15"/>
      <c r="K14" s="15"/>
      <c r="L14" s="13" t="s">
        <v>545</v>
      </c>
      <c r="M14" s="13">
        <v>279.04629735832327</v>
      </c>
      <c r="N14" s="15"/>
      <c r="O14" s="13" t="s">
        <v>582</v>
      </c>
      <c r="P14" s="22">
        <f>SUMIF('MERCADO TE'!$H$2:$H$40,"MWh",'MERCADO TE'!$U$2:$U$40)</f>
        <v>27707.441789999997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ht="12" customHeight="1" x14ac:dyDescent="0.2">
      <c r="A15" s="141"/>
      <c r="B15" s="141"/>
      <c r="C15" s="16" t="s">
        <v>502</v>
      </c>
      <c r="D15" s="13">
        <v>10891768.12284</v>
      </c>
      <c r="E15" s="13">
        <v>819327.43694699625</v>
      </c>
      <c r="F15" s="13">
        <v>0</v>
      </c>
      <c r="G15" s="15"/>
      <c r="H15" s="15"/>
      <c r="I15" s="15"/>
      <c r="J15" s="15"/>
      <c r="K15" s="15"/>
      <c r="L15" s="13" t="s">
        <v>546</v>
      </c>
      <c r="M15" s="13">
        <f>M14*M12</f>
        <v>8987215.548700884</v>
      </c>
      <c r="N15" s="15"/>
      <c r="O15" s="13" t="s">
        <v>583</v>
      </c>
      <c r="P15" s="22" t="str">
        <f>IF(ABS(P9-P12)&gt;1,"ERRO","OK")</f>
        <v>OK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ht="12" customHeight="1" x14ac:dyDescent="0.2">
      <c r="A16" s="141"/>
      <c r="B16" s="141"/>
      <c r="C16" s="16" t="s">
        <v>503</v>
      </c>
      <c r="D16" s="13">
        <v>0</v>
      </c>
      <c r="E16" s="13">
        <v>0</v>
      </c>
      <c r="F16" s="13">
        <f>IF((+$D$11+$D$12+$D$16+$D$17+$D$39)&lt;&gt;0,$M$19*$D$16/(+$D$11+$D$12+$D$16+$D$17+$D$39),0)</f>
        <v>0</v>
      </c>
      <c r="G16" s="15"/>
      <c r="H16" s="15"/>
      <c r="I16" s="15"/>
      <c r="J16" s="15"/>
      <c r="K16" s="15"/>
      <c r="L16" s="13" t="s">
        <v>547</v>
      </c>
      <c r="M16" s="13">
        <v>39046.389126680559</v>
      </c>
      <c r="N16" s="15"/>
      <c r="O16" s="13" t="s">
        <v>584</v>
      </c>
      <c r="P16" s="22" t="str">
        <f>IF(ABS(P10-P13)&gt;1,"ERRO","OK")</f>
        <v>OK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30" ht="12" customHeight="1" x14ac:dyDescent="0.2">
      <c r="A17" s="141"/>
      <c r="B17" s="141"/>
      <c r="C17" s="16" t="s">
        <v>504</v>
      </c>
      <c r="D17" s="13">
        <v>0</v>
      </c>
      <c r="E17" s="13">
        <v>0</v>
      </c>
      <c r="F17" s="13">
        <f>IF((+$D$11+$D$12+$D$16+$D$17+$D$39)&lt;&gt;0,$M$19*$D$17/(+$D$11+$D$12+$D$16+$D$17+$D$39),0)</f>
        <v>0</v>
      </c>
      <c r="G17" s="15"/>
      <c r="H17" s="15"/>
      <c r="I17" s="15"/>
      <c r="J17" s="15"/>
      <c r="K17" s="15"/>
      <c r="L17" s="13" t="s">
        <v>548</v>
      </c>
      <c r="M17" s="13">
        <v>-37788.582399999999</v>
      </c>
      <c r="N17" s="15"/>
      <c r="O17" s="13" t="s">
        <v>585</v>
      </c>
      <c r="P17" s="22" t="str">
        <f>IF(ABS(P11-P14)&gt;1,"ERRO","OK")</f>
        <v>OK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2" customHeight="1" x14ac:dyDescent="0.2">
      <c r="A18" s="141"/>
      <c r="B18" s="142"/>
      <c r="C18" s="16" t="s">
        <v>496</v>
      </c>
      <c r="D18" s="13">
        <f>SUM(D$11:D17)</f>
        <v>10891768.12284</v>
      </c>
      <c r="E18" s="13">
        <f>SUM(E$11:E17)</f>
        <v>819327.43694699625</v>
      </c>
      <c r="F18" s="13">
        <f>SUM(F$11:F17)</f>
        <v>0</v>
      </c>
      <c r="G18" s="15"/>
      <c r="H18" s="15"/>
      <c r="I18" s="15"/>
      <c r="J18" s="15"/>
      <c r="K18" s="15"/>
      <c r="L18" s="13" t="s">
        <v>549</v>
      </c>
      <c r="M18" s="13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spans="1:30" ht="12" customHeight="1" x14ac:dyDescent="0.2">
      <c r="A19" s="141"/>
      <c r="B19" s="140" t="s">
        <v>505</v>
      </c>
      <c r="C19" s="16" t="s">
        <v>506</v>
      </c>
      <c r="D19" s="13">
        <v>8469705.5289164912</v>
      </c>
      <c r="E19" s="13">
        <v>342.52470297332911</v>
      </c>
      <c r="F19" s="13">
        <v>0</v>
      </c>
      <c r="G19" s="15"/>
      <c r="H19" s="15"/>
      <c r="I19" s="15"/>
      <c r="J19" s="15"/>
      <c r="K19" s="15"/>
      <c r="L19" s="13" t="s">
        <v>550</v>
      </c>
      <c r="M19" s="13">
        <v>0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spans="1:30" ht="12" customHeight="1" x14ac:dyDescent="0.2">
      <c r="A20" s="141"/>
      <c r="B20" s="142"/>
      <c r="C20" s="16" t="s">
        <v>496</v>
      </c>
      <c r="D20" s="13">
        <f>SUM(D$19:D19)</f>
        <v>8469705.5289164912</v>
      </c>
      <c r="E20" s="13">
        <f>SUM(E$19:E19)</f>
        <v>342.52470297332911</v>
      </c>
      <c r="F20" s="13">
        <f>SUM(F$19:F19)</f>
        <v>0</v>
      </c>
      <c r="G20" s="15"/>
      <c r="H20" s="15"/>
      <c r="I20" s="15"/>
      <c r="J20" s="15"/>
      <c r="K20" s="15"/>
      <c r="L20" s="13" t="s">
        <v>551</v>
      </c>
      <c r="M20" s="13">
        <v>0.12792164822215213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spans="1:30" ht="12" customHeight="1" x14ac:dyDescent="0.2">
      <c r="A21" s="141"/>
      <c r="B21" s="140" t="s">
        <v>507</v>
      </c>
      <c r="C21" s="16" t="s">
        <v>508</v>
      </c>
      <c r="D21" s="13"/>
      <c r="E21" s="13">
        <f>IF($D$47&lt;&gt;0,(1-$D$46/$D$47)*-1565741.21363879,0)+0</f>
        <v>-1253845.4490363225</v>
      </c>
      <c r="F21" s="13"/>
      <c r="G21" s="15"/>
      <c r="H21" s="15"/>
      <c r="I21" s="15"/>
      <c r="J21" s="15"/>
      <c r="K21" s="15"/>
      <c r="L21" s="13" t="s">
        <v>552</v>
      </c>
      <c r="M21" s="13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ht="12" customHeight="1" x14ac:dyDescent="0.2">
      <c r="A22" s="141"/>
      <c r="B22" s="141"/>
      <c r="C22" s="16" t="s">
        <v>509</v>
      </c>
      <c r="D22" s="13"/>
      <c r="E22" s="13"/>
      <c r="F22" s="13"/>
      <c r="G22" s="15"/>
      <c r="H22" s="15"/>
      <c r="I22" s="15"/>
      <c r="J22" s="15"/>
      <c r="K22" s="15"/>
      <c r="L22" s="13" t="s">
        <v>574</v>
      </c>
      <c r="M22" s="13">
        <v>297739.26495934237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ht="12" customHeight="1" x14ac:dyDescent="0.2">
      <c r="A23" s="141"/>
      <c r="B23" s="142"/>
      <c r="C23" s="16" t="s">
        <v>496</v>
      </c>
      <c r="D23" s="13">
        <f>SUM(D$21:D22)</f>
        <v>0</v>
      </c>
      <c r="E23" s="13">
        <f>SUM(E$21:E22)</f>
        <v>-1253845.4490363225</v>
      </c>
      <c r="F23" s="13">
        <f>SUM(F$21:F22)</f>
        <v>0</v>
      </c>
      <c r="G23" s="15"/>
      <c r="H23" s="15"/>
      <c r="I23" s="15"/>
      <c r="J23" s="15"/>
      <c r="K23" s="15"/>
      <c r="L23" s="13" t="s">
        <v>553</v>
      </c>
      <c r="M23" s="13">
        <v>11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ht="12" customHeight="1" x14ac:dyDescent="0.2">
      <c r="A24" s="141"/>
      <c r="B24" s="140" t="s">
        <v>510</v>
      </c>
      <c r="C24" s="16" t="s">
        <v>511</v>
      </c>
      <c r="D24" s="13">
        <f>$M$14*$M$8</f>
        <v>1159041.4804804064</v>
      </c>
      <c r="E24" s="13">
        <f>$M$16*$M$8/$M$12</f>
        <v>5035.6402843084979</v>
      </c>
      <c r="F24" s="13">
        <f>$M$17*$M$8/$M$12</f>
        <v>-4873.4265082228922</v>
      </c>
      <c r="G24" s="15"/>
      <c r="H24" s="15"/>
      <c r="I24" s="15"/>
      <c r="J24" s="15"/>
      <c r="K24" s="15"/>
      <c r="L24" s="13" t="s">
        <v>554</v>
      </c>
      <c r="M24" s="13">
        <v>0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ht="12" customHeight="1" x14ac:dyDescent="0.2">
      <c r="A25" s="141"/>
      <c r="B25" s="141"/>
      <c r="C25" s="16" t="s">
        <v>512</v>
      </c>
      <c r="D25" s="13">
        <f>$M$14*$M$10</f>
        <v>0</v>
      </c>
      <c r="E25" s="13">
        <f>$M$16*$M$10/$M$12</f>
        <v>0</v>
      </c>
      <c r="F25" s="13">
        <f>$M$17*$M$10/$M$12</f>
        <v>0</v>
      </c>
      <c r="G25" s="15"/>
      <c r="H25" s="15"/>
      <c r="I25" s="15"/>
      <c r="J25" s="15"/>
      <c r="K25" s="15"/>
      <c r="L25" s="13" t="s">
        <v>555</v>
      </c>
      <c r="M25" s="13">
        <v>0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ht="12" customHeight="1" x14ac:dyDescent="0.2">
      <c r="A26" s="141"/>
      <c r="B26" s="141"/>
      <c r="C26" s="16" t="s">
        <v>513</v>
      </c>
      <c r="D26" s="13">
        <f>$M$14*$M$9</f>
        <v>96515.027449698071</v>
      </c>
      <c r="E26" s="13">
        <f>$M$16*$M$9/$M$12</f>
        <v>419.32490635744438</v>
      </c>
      <c r="F26" s="13">
        <f>$M$17*$M$9/$M$12</f>
        <v>-405.8171352247561</v>
      </c>
      <c r="G26" s="15"/>
      <c r="H26" s="15"/>
      <c r="I26" s="15"/>
      <c r="J26" s="15"/>
      <c r="K26" s="15"/>
      <c r="L26" s="13" t="s">
        <v>556</v>
      </c>
      <c r="M26" s="13">
        <v>0</v>
      </c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ht="12" customHeight="1" x14ac:dyDescent="0.2">
      <c r="A27" s="141"/>
      <c r="B27" s="141"/>
      <c r="C27" s="16" t="s">
        <v>514</v>
      </c>
      <c r="D27" s="13">
        <v>13526.251158373994</v>
      </c>
      <c r="E27" s="13">
        <v>1029.5345376711853</v>
      </c>
      <c r="F27" s="13">
        <v>0</v>
      </c>
      <c r="G27" s="15"/>
      <c r="H27" s="15"/>
      <c r="I27" s="15"/>
      <c r="J27" s="15"/>
      <c r="K27" s="15"/>
      <c r="L27" s="13" t="s">
        <v>557</v>
      </c>
      <c r="M27" s="13">
        <v>0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ht="12" customHeight="1" x14ac:dyDescent="0.2">
      <c r="A28" s="141"/>
      <c r="B28" s="142"/>
      <c r="C28" s="16" t="s">
        <v>496</v>
      </c>
      <c r="D28" s="13">
        <f>SUM(D$24:D27)</f>
        <v>1269082.7590884785</v>
      </c>
      <c r="E28" s="13">
        <f>SUM(E$24:E27)</f>
        <v>6484.4997283371267</v>
      </c>
      <c r="F28" s="13">
        <f>SUM(F$24:F27)</f>
        <v>-5279.2436434476485</v>
      </c>
      <c r="G28" s="15"/>
      <c r="H28" s="15"/>
      <c r="I28" s="15"/>
      <c r="J28" s="15"/>
      <c r="K28" s="15"/>
      <c r="L28" s="13" t="s">
        <v>558</v>
      </c>
      <c r="M28" s="13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ht="12" customHeight="1" x14ac:dyDescent="0.2">
      <c r="A29" s="142"/>
      <c r="B29" s="132" t="s">
        <v>496</v>
      </c>
      <c r="C29" s="133"/>
      <c r="D29" s="13">
        <f>SUMIF(C$2:C28,"SUBTOTAL",D$2:D28)</f>
        <v>31916997.341438919</v>
      </c>
      <c r="E29" s="13">
        <f>SUMIF(C$2:C28,"SUBTOTAL",E$2:E28)</f>
        <v>-10125.951947344503</v>
      </c>
      <c r="F29" s="13">
        <f>SUMIF(C$2:C28,"SUBTOTAL",F$2:F28)</f>
        <v>2882279.9338446739</v>
      </c>
      <c r="G29" s="15"/>
      <c r="H29" s="15"/>
      <c r="I29" s="15"/>
      <c r="J29" s="15"/>
      <c r="K29" s="15"/>
      <c r="L29" s="13" t="s">
        <v>559</v>
      </c>
      <c r="M29" s="13"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ht="12" customHeight="1" x14ac:dyDescent="0.2">
      <c r="A30" s="140" t="s">
        <v>515</v>
      </c>
      <c r="B30" s="140" t="s">
        <v>488</v>
      </c>
      <c r="C30" s="16" t="s">
        <v>490</v>
      </c>
      <c r="D30" s="13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82257.56100855222</v>
      </c>
      <c r="E30" s="13">
        <f>IF((D30+D$4)&lt;&gt;0,$M$20*D30/(D30+D$4),0)</f>
        <v>3.53414010892555E-2</v>
      </c>
      <c r="F30" s="13">
        <f>IF((D30+D$4)&lt;&gt;0,$M$21*D30/(D30+D$4),0)</f>
        <v>0</v>
      </c>
      <c r="G30" s="15"/>
      <c r="H30" s="15"/>
      <c r="I30" s="15"/>
      <c r="J30" s="15"/>
      <c r="K30" s="15"/>
      <c r="L30" s="13" t="s">
        <v>560</v>
      </c>
      <c r="M30" s="13"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ht="12" customHeight="1" x14ac:dyDescent="0.2">
      <c r="A31" s="141"/>
      <c r="B31" s="141"/>
      <c r="C31" s="16" t="s">
        <v>516</v>
      </c>
      <c r="D31" s="13">
        <v>0</v>
      </c>
      <c r="E31" s="13">
        <v>0</v>
      </c>
      <c r="F31" s="13">
        <v>0</v>
      </c>
      <c r="G31" s="15"/>
      <c r="H31" s="15"/>
      <c r="I31" s="15"/>
      <c r="J31" s="15"/>
      <c r="K31" s="15"/>
      <c r="L31" s="13" t="s">
        <v>561</v>
      </c>
      <c r="M31" s="13">
        <v>0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ht="12" customHeight="1" x14ac:dyDescent="0.2">
      <c r="A32" s="141"/>
      <c r="B32" s="141"/>
      <c r="C32" s="16" t="s">
        <v>517</v>
      </c>
      <c r="D32" s="13">
        <v>0</v>
      </c>
      <c r="E32" s="13">
        <v>0</v>
      </c>
      <c r="F32" s="13">
        <v>0</v>
      </c>
      <c r="G32" s="15"/>
      <c r="H32" s="15"/>
      <c r="I32" s="15"/>
      <c r="J32" s="15"/>
      <c r="K32" s="15"/>
      <c r="L32" s="13" t="s">
        <v>562</v>
      </c>
      <c r="M32" s="13">
        <v>0.45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ht="12" customHeight="1" x14ac:dyDescent="0.2">
      <c r="A33" s="141"/>
      <c r="B33" s="141"/>
      <c r="C33" s="16" t="s">
        <v>576</v>
      </c>
      <c r="D33" s="13">
        <v>125479.99392871892</v>
      </c>
      <c r="E33" s="13">
        <v>-989.03942869072853</v>
      </c>
      <c r="F33" s="13">
        <v>11069.956111878282</v>
      </c>
      <c r="G33" s="15"/>
      <c r="H33" s="15"/>
      <c r="I33" s="15"/>
      <c r="J33" s="15"/>
      <c r="K33" s="15"/>
      <c r="L33" s="13" t="s">
        <v>563</v>
      </c>
      <c r="M33" s="13">
        <v>0.4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ht="12" customHeight="1" x14ac:dyDescent="0.2">
      <c r="A34" s="141"/>
      <c r="B34" s="141"/>
      <c r="C34" s="16" t="s">
        <v>518</v>
      </c>
      <c r="D34" s="13">
        <v>0</v>
      </c>
      <c r="E34" s="13">
        <v>0</v>
      </c>
      <c r="F34" s="13">
        <v>0</v>
      </c>
      <c r="G34" s="15"/>
      <c r="H34" s="15"/>
      <c r="I34" s="15"/>
      <c r="J34" s="15"/>
      <c r="K34" s="15"/>
      <c r="L34" s="13" t="s">
        <v>564</v>
      </c>
      <c r="M34" s="13">
        <v>0.65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ht="12" customHeight="1" x14ac:dyDescent="0.2">
      <c r="A35" s="141"/>
      <c r="B35" s="142"/>
      <c r="C35" s="16" t="s">
        <v>496</v>
      </c>
      <c r="D35" s="13">
        <f>SUM(D$30:D34)</f>
        <v>207737.55493727114</v>
      </c>
      <c r="E35" s="13">
        <f>SUM(E$30:E34)</f>
        <v>-989.0040872896393</v>
      </c>
      <c r="F35" s="13">
        <f>SUM(F$30:F34)</f>
        <v>11069.956111878282</v>
      </c>
      <c r="G35" s="15"/>
      <c r="H35" s="15"/>
      <c r="I35" s="15"/>
      <c r="J35" s="15"/>
      <c r="K35" s="15"/>
      <c r="L35" s="13" t="s">
        <v>565</v>
      </c>
      <c r="M35" s="13">
        <v>0.4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ht="12" customHeight="1" x14ac:dyDescent="0.2">
      <c r="A36" s="141"/>
      <c r="B36" s="140" t="s">
        <v>519</v>
      </c>
      <c r="C36" s="16" t="s">
        <v>520</v>
      </c>
      <c r="D36" s="13">
        <f>$M$14*($M$12-$M$7)</f>
        <v>7731659.0407707803</v>
      </c>
      <c r="E36" s="13">
        <f>$M$16*($M$12-$M$7)/$M$12</f>
        <v>33591.423936014617</v>
      </c>
      <c r="F36" s="13">
        <f>$M$17*($M$12-$M$7)/$M$12</f>
        <v>-32509.338756552352</v>
      </c>
      <c r="G36" s="15"/>
      <c r="H36" s="15"/>
      <c r="I36" s="15"/>
      <c r="J36" s="15"/>
      <c r="K36" s="15"/>
      <c r="L36" s="13" t="s">
        <v>566</v>
      </c>
      <c r="M36" s="13">
        <v>0.1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ht="12" customHeight="1" x14ac:dyDescent="0.2">
      <c r="A37" s="141"/>
      <c r="B37" s="142"/>
      <c r="C37" s="16" t="s">
        <v>496</v>
      </c>
      <c r="D37" s="13">
        <f>SUM(D$36:D36)</f>
        <v>7731659.0407707803</v>
      </c>
      <c r="E37" s="13">
        <f>SUM(E$36:E36)</f>
        <v>33591.423936014617</v>
      </c>
      <c r="F37" s="13">
        <f>SUM(F$36:F36)</f>
        <v>-32509.338756552352</v>
      </c>
      <c r="G37" s="15"/>
      <c r="H37" s="15"/>
      <c r="I37" s="15"/>
      <c r="J37" s="15"/>
      <c r="K37" s="15"/>
      <c r="L37" s="13" t="s">
        <v>567</v>
      </c>
      <c r="M37" s="13">
        <v>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spans="1:30" ht="12" customHeight="1" x14ac:dyDescent="0.2">
      <c r="A38" s="141"/>
      <c r="B38" s="140" t="s">
        <v>497</v>
      </c>
      <c r="C38" s="16" t="s">
        <v>521</v>
      </c>
      <c r="D38" s="13">
        <v>0</v>
      </c>
      <c r="E38" s="13">
        <v>0</v>
      </c>
      <c r="F38" s="13">
        <v>0</v>
      </c>
      <c r="G38" s="15"/>
      <c r="H38" s="15"/>
      <c r="I38" s="15"/>
      <c r="J38" s="15"/>
      <c r="K38" s="15"/>
      <c r="L38" s="13" t="s">
        <v>568</v>
      </c>
      <c r="M38" s="13">
        <f>IFERROR(VLOOKUP("Convencional1RuralNão se aplicaRURALB2",Descontos!B1:U88,VLOOKUP("Convencional1RuralNão se aplicaRURALB2",Descontos!B1:U88,20,FALSE)+12,FALSE),100)</f>
        <v>0.06</v>
      </c>
      <c r="N38" s="15" t="s">
        <v>624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spans="1:30" ht="12" customHeight="1" x14ac:dyDescent="0.2">
      <c r="A39" s="141"/>
      <c r="B39" s="141"/>
      <c r="C39" s="16" t="s">
        <v>522</v>
      </c>
      <c r="D39" s="13">
        <v>0</v>
      </c>
      <c r="E39" s="13">
        <v>0</v>
      </c>
      <c r="F39" s="13">
        <f>IF((+$D$11+$D$12+$D$16+$D$17+$D$39)&lt;&gt;0,$M$19*$D$39/(+$D$11+$D$12+$D$16+$D$17+$D$39),0)</f>
        <v>0</v>
      </c>
      <c r="G39" s="15"/>
      <c r="H39" s="15"/>
      <c r="I39" s="15"/>
      <c r="J39" s="15"/>
      <c r="K39" s="15"/>
      <c r="L39" s="13" t="s">
        <v>569</v>
      </c>
      <c r="M39" s="13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5">
        <v>0.3</v>
      </c>
      <c r="O39" s="15" t="s">
        <v>641</v>
      </c>
      <c r="P39" s="15" t="s">
        <v>642</v>
      </c>
      <c r="Q39" s="15" t="s">
        <v>643</v>
      </c>
      <c r="R39" s="15" t="s">
        <v>644</v>
      </c>
      <c r="S39" s="15" t="s">
        <v>1</v>
      </c>
      <c r="T39" s="15" t="s">
        <v>645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spans="1:30" ht="12" customHeight="1" x14ac:dyDescent="0.3">
      <c r="A40" s="141"/>
      <c r="B40" s="141"/>
      <c r="C40" s="16" t="s">
        <v>523</v>
      </c>
      <c r="D40" s="13"/>
      <c r="E40" s="13">
        <v>0</v>
      </c>
      <c r="F40" s="13">
        <v>0</v>
      </c>
      <c r="G40" s="15"/>
      <c r="H40" s="15"/>
      <c r="I40" s="15"/>
      <c r="J40" s="15"/>
      <c r="K40" s="15"/>
      <c r="L40" s="13" t="s">
        <v>570</v>
      </c>
      <c r="M40" s="13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5">
        <v>0.4</v>
      </c>
      <c r="O40" s="39" t="s">
        <v>646</v>
      </c>
      <c r="P40" s="39" t="s">
        <v>647</v>
      </c>
      <c r="Q40" s="39" t="s">
        <v>648</v>
      </c>
      <c r="R40" s="39" t="s">
        <v>633</v>
      </c>
      <c r="S40" s="39" t="s">
        <v>34</v>
      </c>
      <c r="T40" s="39">
        <v>0.75890000000000002</v>
      </c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spans="1:30" ht="12" customHeight="1" x14ac:dyDescent="0.3">
      <c r="A41" s="141"/>
      <c r="B41" s="142"/>
      <c r="C41" s="16" t="s">
        <v>496</v>
      </c>
      <c r="D41" s="13">
        <f>SUM(D$38:D40)</f>
        <v>0</v>
      </c>
      <c r="E41" s="13">
        <f>SUM(E$38:E40)</f>
        <v>0</v>
      </c>
      <c r="F41" s="13">
        <f>SUM(F$38:F40)</f>
        <v>0</v>
      </c>
      <c r="G41" s="15"/>
      <c r="H41" s="15"/>
      <c r="I41" s="15"/>
      <c r="J41" s="15"/>
      <c r="K41" s="15"/>
      <c r="L41" s="15"/>
      <c r="M41" s="15"/>
      <c r="N41" s="15"/>
      <c r="O41" s="39"/>
      <c r="P41" s="39"/>
      <c r="Q41" s="39"/>
      <c r="R41" s="39"/>
      <c r="S41" s="39"/>
      <c r="T41" s="39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spans="1:30" ht="12" customHeight="1" x14ac:dyDescent="0.3">
      <c r="A42" s="141"/>
      <c r="B42" s="140" t="s">
        <v>507</v>
      </c>
      <c r="C42" s="16" t="s">
        <v>508</v>
      </c>
      <c r="D42" s="13"/>
      <c r="E42" s="13">
        <f>IF($D$47&lt;&gt;0,($D$46/$D$47)* -1565741.21363879,0)+0</f>
        <v>-311895.76460246748</v>
      </c>
      <c r="F42" s="13"/>
      <c r="G42" s="15"/>
      <c r="H42" s="15"/>
      <c r="I42" s="15"/>
      <c r="J42" s="15"/>
      <c r="K42" s="15"/>
      <c r="L42" s="15"/>
      <c r="M42" s="15"/>
      <c r="N42" s="15"/>
      <c r="O42" s="39"/>
      <c r="P42" s="39"/>
      <c r="Q42" s="39"/>
      <c r="R42" s="39"/>
      <c r="S42" s="39"/>
      <c r="T42" s="39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spans="1:30" ht="12" customHeight="1" x14ac:dyDescent="0.3">
      <c r="A43" s="141"/>
      <c r="B43" s="142"/>
      <c r="C43" s="16" t="s">
        <v>496</v>
      </c>
      <c r="D43" s="13">
        <f>SUM(D$42:D42)</f>
        <v>0</v>
      </c>
      <c r="E43" s="13">
        <f>SUM(E$42:E42)</f>
        <v>-311895.76460246748</v>
      </c>
      <c r="F43" s="13">
        <f>SUM(F$42:F42)</f>
        <v>0</v>
      </c>
      <c r="G43" s="15"/>
      <c r="H43" s="15"/>
      <c r="I43" s="15"/>
      <c r="J43" s="15"/>
      <c r="K43" s="15"/>
      <c r="L43" s="15"/>
      <c r="M43" s="15"/>
      <c r="N43" s="15"/>
      <c r="O43" s="39"/>
      <c r="P43" s="39"/>
      <c r="Q43" s="39"/>
      <c r="R43" s="39"/>
      <c r="S43" s="39"/>
      <c r="T43" s="39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1:30" ht="12" customHeight="1" x14ac:dyDescent="0.3">
      <c r="A44" s="141"/>
      <c r="B44" s="140" t="s">
        <v>510</v>
      </c>
      <c r="C44" s="16" t="s">
        <v>524</v>
      </c>
      <c r="D44" s="13">
        <f>$M$14*$M$11</f>
        <v>0</v>
      </c>
      <c r="E44" s="13">
        <f>$M$16*$M$11/$M$12</f>
        <v>0</v>
      </c>
      <c r="F44" s="13">
        <f>$M$17*$M$11/$M$12</f>
        <v>0</v>
      </c>
      <c r="G44" s="15"/>
      <c r="H44" s="15"/>
      <c r="I44" s="15"/>
      <c r="J44" s="15"/>
      <c r="K44" s="15"/>
      <c r="L44" s="15"/>
      <c r="M44" s="15"/>
      <c r="N44" s="15"/>
      <c r="O44" s="39"/>
      <c r="P44" s="39"/>
      <c r="Q44" s="39"/>
      <c r="R44" s="39"/>
      <c r="S44" s="39"/>
      <c r="T44" s="39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1:30" ht="12" customHeight="1" x14ac:dyDescent="0.3">
      <c r="A45" s="141"/>
      <c r="B45" s="142"/>
      <c r="C45" s="16" t="s">
        <v>496</v>
      </c>
      <c r="D45" s="13">
        <f>SUM(D$44:D44)</f>
        <v>0</v>
      </c>
      <c r="E45" s="13">
        <f>SUM(E$44:E44)</f>
        <v>0</v>
      </c>
      <c r="F45" s="13">
        <f>SUM(F$44:F44)</f>
        <v>0</v>
      </c>
      <c r="G45" s="15"/>
      <c r="H45" s="15"/>
      <c r="I45" s="15"/>
      <c r="J45" s="15"/>
      <c r="K45" s="15"/>
      <c r="L45" s="15"/>
      <c r="M45" s="15"/>
      <c r="N45" s="15"/>
      <c r="O45" s="39"/>
      <c r="P45" s="39"/>
      <c r="Q45" s="39"/>
      <c r="R45" s="39"/>
      <c r="S45" s="39"/>
      <c r="T45" s="39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spans="1:30" ht="12" customHeight="1" x14ac:dyDescent="0.3">
      <c r="A46" s="142"/>
      <c r="B46" s="132" t="s">
        <v>496</v>
      </c>
      <c r="C46" s="133"/>
      <c r="D46" s="13">
        <f>SUMIF(C$30:C45,"SUBTOTAL",D$30:D45)</f>
        <v>7939396.5957080517</v>
      </c>
      <c r="E46" s="13">
        <f>SUMIF(C$30:C45,"SUBTOTAL",E$30:E45)</f>
        <v>-279293.34475374251</v>
      </c>
      <c r="F46" s="13">
        <f>SUMIF(C$30:C45,"SUBTOTAL",F$30:F45)</f>
        <v>-21439.382644674071</v>
      </c>
      <c r="G46" s="15"/>
      <c r="H46" s="15"/>
      <c r="I46" s="15"/>
      <c r="J46" s="15"/>
      <c r="K46" s="15"/>
      <c r="L46" s="15"/>
      <c r="M46" s="15"/>
      <c r="N46" s="15"/>
      <c r="O46" s="39"/>
      <c r="P46" s="39"/>
      <c r="Q46" s="39"/>
      <c r="R46" s="39"/>
      <c r="S46" s="39"/>
      <c r="T46" s="39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spans="1:30" ht="12" customHeight="1" x14ac:dyDescent="0.3">
      <c r="A47" s="132" t="s">
        <v>525</v>
      </c>
      <c r="B47" s="138"/>
      <c r="C47" s="133"/>
      <c r="D47" s="13">
        <f>SUMIF(C$2:C46,"SUBTOTAL",D$2:D46)</f>
        <v>39856393.937146969</v>
      </c>
      <c r="E47" s="13">
        <f>SUMIF(C$2:C46,"SUBTOTAL",E$2:E46)</f>
        <v>-289419.29670108698</v>
      </c>
      <c r="F47" s="13">
        <f>SUMIF(C$2:C46,"SUBTOTAL",F$2:F46)</f>
        <v>2860840.5511999996</v>
      </c>
      <c r="G47" s="15">
        <f>D47+E47+F47</f>
        <v>42427815.191645883</v>
      </c>
      <c r="H47" s="15"/>
      <c r="I47" s="15"/>
      <c r="J47" s="15"/>
      <c r="K47" s="15"/>
      <c r="L47" s="15"/>
      <c r="M47" s="15"/>
      <c r="N47" s="15"/>
      <c r="O47" s="39"/>
      <c r="P47" s="39"/>
      <c r="Q47" s="39"/>
      <c r="R47" s="39"/>
      <c r="S47" s="39"/>
      <c r="T47" s="39"/>
      <c r="U47" s="15"/>
      <c r="V47" s="15"/>
      <c r="W47" s="15"/>
      <c r="X47" s="15"/>
      <c r="Y47" s="15"/>
      <c r="Z47" s="15"/>
      <c r="AA47" s="15"/>
      <c r="AB47" s="15"/>
      <c r="AC47" s="15"/>
      <c r="AD47" s="15"/>
    </row>
    <row r="48" spans="1:30" ht="12" customHeight="1" x14ac:dyDescent="0.3">
      <c r="A48" s="136" t="s">
        <v>617</v>
      </c>
      <c r="B48" s="137"/>
      <c r="C48" s="137"/>
      <c r="D48" s="32">
        <f ca="1">'TUSD BE'!$AM$57+'TUSD BE'!$AM$61+'TE BE'!$AB$45</f>
        <v>39856393.937146962</v>
      </c>
      <c r="E48" s="32">
        <f ca="1">'TUSD BF'!$AM$57+'TE BF'!$AB$45</f>
        <v>-289419.29670108698</v>
      </c>
      <c r="F48" s="32">
        <f ca="1">'TUSD CVA'!$AM$57+'TE CVA'!$AB$45</f>
        <v>2860840.5511999996</v>
      </c>
      <c r="G48" s="63">
        <f ca="1">EFEITO!AU10+SUBSIDIO!AJ2+SUBSIDIO!AJ3+SUBSIDIO!AJ5+SUBSIDIO!AJ6+SUBSIDIO!AJ7+SUBSIDIO!AJ8</f>
        <v>42427815.191645622</v>
      </c>
      <c r="L48" s="16"/>
      <c r="M48" s="13"/>
      <c r="O48" s="39"/>
      <c r="P48" s="39"/>
      <c r="Q48" s="39"/>
      <c r="R48" s="39"/>
      <c r="S48" s="39"/>
      <c r="T48" s="39"/>
    </row>
    <row r="49" spans="1:20" ht="12" customHeight="1" x14ac:dyDescent="0.3">
      <c r="A49" s="136" t="s">
        <v>618</v>
      </c>
      <c r="B49" s="137"/>
      <c r="C49" s="137"/>
      <c r="D49" s="33" t="str">
        <f ca="1">IF(ABS(D48-D47)&gt;1,"ERRO","OK")</f>
        <v>OK</v>
      </c>
      <c r="E49" s="33" t="str">
        <f ca="1">IF(ABS(E48-E47)&gt;1,"ERRO","OK")</f>
        <v>OK</v>
      </c>
      <c r="F49" s="33" t="str">
        <f ca="1">IF(ABS(F48-F47)&gt;1,"ERRO","OK")</f>
        <v>OK</v>
      </c>
      <c r="G49" s="63">
        <f ca="1">G47-G48</f>
        <v>2.6077032089233398E-7</v>
      </c>
      <c r="L49" s="16"/>
      <c r="M49" s="13"/>
      <c r="O49" s="39"/>
      <c r="P49" s="39"/>
      <c r="Q49" s="39"/>
      <c r="R49" s="39"/>
      <c r="S49" s="39"/>
      <c r="T49" s="39"/>
    </row>
    <row r="50" spans="1:20" ht="12" customHeight="1" x14ac:dyDescent="0.3">
      <c r="L50" s="16"/>
      <c r="M50" s="13"/>
      <c r="O50" s="39"/>
      <c r="P50" s="39"/>
      <c r="Q50" s="39"/>
      <c r="R50" s="39"/>
      <c r="S50" s="39"/>
      <c r="T50" s="39"/>
    </row>
    <row r="51" spans="1:20" ht="12" customHeight="1" x14ac:dyDescent="0.3">
      <c r="D51" s="56">
        <v>39856393.937146969</v>
      </c>
      <c r="E51" s="56">
        <v>-289419.29670108808</v>
      </c>
      <c r="F51" s="56">
        <v>2860840.5511999996</v>
      </c>
      <c r="G51" s="63">
        <f ca="1">SUBSIDIO!AJ2+SUBSIDIO!AJ3+SUBSIDIO!AJ5+SUBSIDIO!AJ6+SUBSIDIO!AJ7+SUBSIDIO!AJ8</f>
        <v>6368351.294963574</v>
      </c>
      <c r="H51" s="14" t="s">
        <v>1208</v>
      </c>
      <c r="L51" s="20" t="s">
        <v>571</v>
      </c>
      <c r="M51" s="21">
        <v>0</v>
      </c>
      <c r="O51" s="39"/>
      <c r="P51" s="39"/>
      <c r="Q51" s="39"/>
      <c r="R51" s="39"/>
      <c r="S51" s="39"/>
      <c r="T51" s="39"/>
    </row>
    <row r="52" spans="1:20" ht="12" customHeight="1" x14ac:dyDescent="0.3">
      <c r="D52" s="102">
        <f ca="1">D48-D51</f>
        <v>0</v>
      </c>
      <c r="E52" s="102">
        <f t="shared" ref="E52:F52" ca="1" si="0">E48-E51</f>
        <v>1.1059455573558807E-9</v>
      </c>
      <c r="F52" s="102">
        <f t="shared" ca="1" si="0"/>
        <v>0</v>
      </c>
      <c r="G52" s="45">
        <f ca="1">EFEITO_350!AU10</f>
        <v>28952477.584344409</v>
      </c>
      <c r="H52" s="14" t="s">
        <v>1209</v>
      </c>
      <c r="O52" s="39"/>
      <c r="P52" s="39"/>
      <c r="Q52" s="39"/>
      <c r="R52" s="39"/>
      <c r="S52" s="39"/>
      <c r="T52" s="39"/>
    </row>
    <row r="53" spans="1:20" ht="12" customHeight="1" x14ac:dyDescent="0.3">
      <c r="G53" s="101">
        <f ca="1">EFEITO!AU12</f>
        <v>7106986.3123376369</v>
      </c>
      <c r="H53" s="14" t="s">
        <v>1210</v>
      </c>
      <c r="O53" s="39"/>
      <c r="P53" s="39"/>
      <c r="Q53" s="39"/>
      <c r="R53" s="39"/>
      <c r="S53" s="39"/>
      <c r="T53" s="39"/>
    </row>
    <row r="54" spans="1:20" ht="12" customHeight="1" x14ac:dyDescent="0.3">
      <c r="G54" s="103">
        <f ca="1">G47-G51-G52-G53</f>
        <v>2.6077032089233398E-7</v>
      </c>
      <c r="O54" s="39"/>
      <c r="P54" s="39"/>
      <c r="Q54" s="39"/>
      <c r="R54" s="39"/>
      <c r="S54" s="39"/>
      <c r="T54" s="39"/>
    </row>
    <row r="55" spans="1:20" ht="12" customHeight="1" x14ac:dyDescent="0.3">
      <c r="O55" s="39"/>
      <c r="P55" s="39"/>
      <c r="Q55" s="39"/>
      <c r="R55" s="39"/>
      <c r="S55" s="39"/>
      <c r="T55" s="39"/>
    </row>
    <row r="56" spans="1:20" ht="12" customHeight="1" x14ac:dyDescent="0.3">
      <c r="O56" s="39"/>
      <c r="P56" s="39"/>
      <c r="Q56" s="39"/>
      <c r="R56" s="39"/>
      <c r="S56" s="39"/>
      <c r="T56" s="39"/>
    </row>
    <row r="57" spans="1:20" ht="12" customHeight="1" x14ac:dyDescent="0.3">
      <c r="O57" s="39"/>
      <c r="P57" s="39"/>
      <c r="Q57" s="39"/>
      <c r="R57" s="39"/>
      <c r="S57" s="39"/>
      <c r="T57" s="39"/>
    </row>
    <row r="58" spans="1:20" ht="12" customHeight="1" x14ac:dyDescent="0.3">
      <c r="O58" s="39"/>
      <c r="P58" s="39"/>
      <c r="Q58" s="39"/>
      <c r="R58" s="39"/>
      <c r="S58" s="39"/>
      <c r="T58" s="39"/>
    </row>
    <row r="59" spans="1:20" ht="12" customHeight="1" x14ac:dyDescent="0.3">
      <c r="O59" s="39"/>
      <c r="P59" s="39"/>
      <c r="Q59" s="39"/>
      <c r="R59" s="39"/>
      <c r="S59" s="39"/>
      <c r="T59" s="39"/>
    </row>
    <row r="60" spans="1:20" ht="12" customHeight="1" x14ac:dyDescent="0.3">
      <c r="O60" s="39"/>
      <c r="P60" s="39"/>
      <c r="Q60" s="39"/>
      <c r="R60" s="39"/>
      <c r="S60" s="39"/>
      <c r="T60" s="39"/>
    </row>
    <row r="61" spans="1:20" ht="12" customHeight="1" x14ac:dyDescent="0.3">
      <c r="O61" s="39"/>
      <c r="P61" s="39"/>
      <c r="Q61" s="39"/>
      <c r="R61" s="39"/>
      <c r="S61" s="39"/>
      <c r="T61" s="39"/>
    </row>
    <row r="62" spans="1:20" ht="12" customHeight="1" x14ac:dyDescent="0.3">
      <c r="O62" s="39"/>
      <c r="P62" s="39"/>
      <c r="Q62" s="39"/>
      <c r="R62" s="39"/>
      <c r="S62" s="39"/>
      <c r="T62" s="39"/>
    </row>
    <row r="63" spans="1:20" ht="12" customHeight="1" x14ac:dyDescent="0.3">
      <c r="O63" s="39"/>
      <c r="P63" s="39"/>
      <c r="Q63" s="39"/>
      <c r="R63" s="39"/>
      <c r="S63" s="39"/>
      <c r="T63" s="39"/>
    </row>
    <row r="64" spans="1:20" ht="12" customHeight="1" x14ac:dyDescent="0.3">
      <c r="O64" s="39"/>
      <c r="P64" s="39"/>
      <c r="Q64" s="39"/>
      <c r="R64" s="39"/>
      <c r="S64" s="39"/>
      <c r="T64" s="39"/>
    </row>
    <row r="65" spans="15:20" ht="12" customHeight="1" x14ac:dyDescent="0.3">
      <c r="O65" s="39"/>
      <c r="P65" s="39"/>
      <c r="Q65" s="39"/>
      <c r="R65" s="39"/>
      <c r="S65" s="39"/>
      <c r="T65" s="39"/>
    </row>
    <row r="66" spans="15:20" ht="12" customHeight="1" x14ac:dyDescent="0.3">
      <c r="O66" s="39"/>
      <c r="P66" s="39"/>
      <c r="Q66" s="39"/>
      <c r="R66" s="39"/>
      <c r="S66" s="39"/>
      <c r="T66" s="39"/>
    </row>
    <row r="67" spans="15:20" ht="12" customHeight="1" x14ac:dyDescent="0.3">
      <c r="O67" s="39"/>
      <c r="P67" s="39"/>
      <c r="Q67" s="39"/>
      <c r="R67" s="39"/>
      <c r="S67" s="39"/>
      <c r="T67" s="39"/>
    </row>
    <row r="68" spans="15:20" ht="12" customHeight="1" x14ac:dyDescent="0.3">
      <c r="O68" s="39"/>
      <c r="P68" s="39"/>
      <c r="Q68" s="39"/>
      <c r="R68" s="39"/>
      <c r="S68" s="39"/>
      <c r="T68" s="39"/>
    </row>
    <row r="69" spans="15:20" ht="12" customHeight="1" x14ac:dyDescent="0.3">
      <c r="O69" s="39"/>
      <c r="P69" s="39"/>
      <c r="Q69" s="39"/>
      <c r="R69" s="39"/>
      <c r="S69" s="39"/>
      <c r="T69" s="39"/>
    </row>
    <row r="70" spans="15:20" ht="12" customHeight="1" x14ac:dyDescent="0.3">
      <c r="O70" s="39"/>
      <c r="P70" s="39"/>
      <c r="Q70" s="39"/>
      <c r="R70" s="39"/>
      <c r="S70" s="39"/>
      <c r="T70" s="39"/>
    </row>
    <row r="71" spans="15:20" ht="12" customHeight="1" x14ac:dyDescent="0.3">
      <c r="O71" s="39"/>
      <c r="P71" s="39"/>
      <c r="Q71" s="39"/>
      <c r="R71" s="39"/>
      <c r="S71" s="39"/>
      <c r="T71" s="39"/>
    </row>
    <row r="72" spans="15:20" ht="12" customHeight="1" x14ac:dyDescent="0.3">
      <c r="O72" s="39"/>
      <c r="P72" s="39"/>
      <c r="Q72" s="39"/>
      <c r="R72" s="39"/>
      <c r="S72" s="39"/>
      <c r="T72" s="39"/>
    </row>
    <row r="73" spans="15:20" ht="12" customHeight="1" x14ac:dyDescent="0.3">
      <c r="O73" s="39"/>
      <c r="P73" s="39"/>
      <c r="Q73" s="39"/>
      <c r="R73" s="39"/>
      <c r="S73" s="39"/>
      <c r="T73" s="39"/>
    </row>
    <row r="74" spans="15:20" ht="12" customHeight="1" x14ac:dyDescent="0.3">
      <c r="O74" s="39"/>
      <c r="P74" s="39"/>
      <c r="Q74" s="39"/>
      <c r="R74" s="39"/>
      <c r="S74" s="39"/>
      <c r="T74" s="39"/>
    </row>
    <row r="75" spans="15:20" ht="12" customHeight="1" x14ac:dyDescent="0.3">
      <c r="O75" s="39"/>
      <c r="P75" s="39"/>
      <c r="Q75" s="39"/>
      <c r="R75" s="39"/>
      <c r="S75" s="39"/>
      <c r="T75" s="39"/>
    </row>
    <row r="76" spans="15:20" ht="12" customHeight="1" x14ac:dyDescent="0.3">
      <c r="O76" s="39"/>
      <c r="P76" s="39"/>
      <c r="Q76" s="39"/>
      <c r="R76" s="39"/>
      <c r="S76" s="39"/>
      <c r="T76" s="39"/>
    </row>
    <row r="77" spans="15:20" ht="12" customHeight="1" x14ac:dyDescent="0.3">
      <c r="O77" s="39"/>
      <c r="P77" s="39"/>
      <c r="Q77" s="39"/>
      <c r="R77" s="39"/>
      <c r="S77" s="39"/>
      <c r="T77" s="39"/>
    </row>
    <row r="78" spans="15:20" ht="12" customHeight="1" x14ac:dyDescent="0.3">
      <c r="O78" s="39"/>
      <c r="P78" s="39"/>
      <c r="Q78" s="39"/>
      <c r="R78" s="39"/>
      <c r="S78" s="39"/>
      <c r="T78" s="39"/>
    </row>
    <row r="79" spans="15:20" ht="12" customHeight="1" x14ac:dyDescent="0.3">
      <c r="O79" s="39"/>
      <c r="P79" s="39"/>
      <c r="Q79" s="39"/>
      <c r="R79" s="39"/>
      <c r="S79" s="39"/>
      <c r="T79" s="39"/>
    </row>
    <row r="80" spans="15:20" ht="12" customHeight="1" x14ac:dyDescent="0.3">
      <c r="O80" s="39"/>
      <c r="P80" s="39"/>
      <c r="Q80" s="39"/>
      <c r="R80" s="39"/>
      <c r="S80" s="39"/>
      <c r="T80" s="39"/>
    </row>
    <row r="81" spans="15:20" ht="12" customHeight="1" x14ac:dyDescent="0.3">
      <c r="O81" s="39"/>
      <c r="P81" s="39"/>
      <c r="Q81" s="39"/>
      <c r="R81" s="39"/>
      <c r="S81" s="39"/>
      <c r="T81" s="39"/>
    </row>
    <row r="82" spans="15:20" ht="12" customHeight="1" x14ac:dyDescent="0.3">
      <c r="O82" s="39"/>
      <c r="P82" s="39"/>
      <c r="Q82" s="39"/>
      <c r="R82" s="39"/>
      <c r="S82" s="39"/>
      <c r="T82" s="39"/>
    </row>
    <row r="83" spans="15:20" ht="12" customHeight="1" x14ac:dyDescent="0.3">
      <c r="O83" s="39"/>
      <c r="P83" s="39"/>
      <c r="Q83" s="39"/>
      <c r="R83" s="39"/>
      <c r="S83" s="39"/>
      <c r="T83" s="39"/>
    </row>
    <row r="84" spans="15:20" ht="12" customHeight="1" x14ac:dyDescent="0.3">
      <c r="O84" s="39"/>
      <c r="P84" s="39"/>
      <c r="Q84" s="39"/>
      <c r="R84" s="39"/>
      <c r="S84" s="39"/>
      <c r="T84" s="39"/>
    </row>
    <row r="85" spans="15:20" ht="12" customHeight="1" x14ac:dyDescent="0.3">
      <c r="O85" s="39"/>
      <c r="P85" s="39"/>
      <c r="Q85" s="39"/>
      <c r="R85" s="39"/>
      <c r="S85" s="39"/>
      <c r="T85" s="39"/>
    </row>
    <row r="86" spans="15:20" ht="12" customHeight="1" x14ac:dyDescent="0.3">
      <c r="O86" s="39"/>
      <c r="P86" s="39"/>
      <c r="Q86" s="39"/>
      <c r="R86" s="39"/>
      <c r="S86" s="39"/>
      <c r="T86" s="39"/>
    </row>
    <row r="87" spans="15:20" ht="12" customHeight="1" x14ac:dyDescent="0.3">
      <c r="O87" s="39"/>
      <c r="P87" s="39"/>
      <c r="Q87" s="39"/>
      <c r="R87" s="39"/>
      <c r="S87" s="39"/>
      <c r="T87" s="39"/>
    </row>
    <row r="88" spans="15:20" ht="12" customHeight="1" x14ac:dyDescent="0.3">
      <c r="O88" s="39"/>
      <c r="P88" s="39"/>
      <c r="Q88" s="39"/>
      <c r="R88" s="39"/>
      <c r="S88" s="39"/>
      <c r="T88" s="39"/>
    </row>
    <row r="89" spans="15:20" ht="12" customHeight="1" x14ac:dyDescent="0.3">
      <c r="O89" s="39"/>
      <c r="P89" s="39"/>
      <c r="Q89" s="39"/>
      <c r="R89" s="39"/>
      <c r="S89" s="39"/>
      <c r="T89" s="39"/>
    </row>
    <row r="90" spans="15:20" ht="12" customHeight="1" x14ac:dyDescent="0.3">
      <c r="O90" s="39"/>
      <c r="P90" s="39"/>
      <c r="Q90" s="39"/>
      <c r="R90" s="39"/>
      <c r="S90" s="39"/>
      <c r="T90" s="39"/>
    </row>
    <row r="91" spans="15:20" ht="12" customHeight="1" x14ac:dyDescent="0.3">
      <c r="O91" s="39"/>
      <c r="P91" s="39"/>
      <c r="Q91" s="39"/>
      <c r="R91" s="39"/>
      <c r="S91" s="39"/>
      <c r="T91" s="39"/>
    </row>
    <row r="92" spans="15:20" ht="12" customHeight="1" x14ac:dyDescent="0.3">
      <c r="O92" s="39"/>
      <c r="P92" s="39"/>
      <c r="Q92" s="39"/>
      <c r="R92" s="39"/>
      <c r="S92" s="39"/>
      <c r="T92" s="39"/>
    </row>
    <row r="93" spans="15:20" ht="12" customHeight="1" x14ac:dyDescent="0.3">
      <c r="O93" s="39"/>
      <c r="P93" s="39"/>
      <c r="Q93" s="39"/>
      <c r="R93" s="39"/>
      <c r="S93" s="39"/>
      <c r="T93" s="39"/>
    </row>
    <row r="94" spans="15:20" ht="12" customHeight="1" x14ac:dyDescent="0.3">
      <c r="O94" s="39"/>
      <c r="P94" s="39"/>
      <c r="Q94" s="39"/>
      <c r="R94" s="39"/>
      <c r="S94" s="39"/>
      <c r="T94" s="39"/>
    </row>
    <row r="95" spans="15:20" ht="12" customHeight="1" x14ac:dyDescent="0.3">
      <c r="O95" s="39"/>
      <c r="P95" s="39"/>
      <c r="Q95" s="39"/>
      <c r="R95" s="39"/>
      <c r="S95" s="39"/>
      <c r="T95" s="39"/>
    </row>
    <row r="96" spans="15:20" ht="12" customHeight="1" x14ac:dyDescent="0.3">
      <c r="O96" s="39"/>
      <c r="P96" s="39"/>
      <c r="Q96" s="39"/>
      <c r="R96" s="39"/>
      <c r="S96" s="39"/>
      <c r="T96" s="39"/>
    </row>
    <row r="97" spans="15:30" ht="12" customHeight="1" x14ac:dyDescent="0.3">
      <c r="O97" s="39"/>
      <c r="P97" s="39"/>
      <c r="Q97" s="39"/>
      <c r="R97" s="39"/>
      <c r="S97" s="39"/>
      <c r="T97" s="39"/>
    </row>
    <row r="98" spans="15:30" ht="12" customHeight="1" x14ac:dyDescent="0.3">
      <c r="O98" s="39"/>
      <c r="P98" s="39"/>
      <c r="Q98" s="39"/>
      <c r="R98" s="39"/>
      <c r="S98" s="39"/>
      <c r="T98" s="39"/>
    </row>
    <row r="99" spans="15:30" ht="12" customHeight="1" x14ac:dyDescent="0.3">
      <c r="O99" s="38"/>
      <c r="P99" s="38"/>
      <c r="Q99" s="38"/>
      <c r="R99" s="38"/>
      <c r="S99" s="38"/>
      <c r="T99" s="38"/>
    </row>
    <row r="100" spans="15:30" ht="12" customHeight="1" x14ac:dyDescent="0.3"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</row>
    <row r="101" spans="15:30" ht="12" customHeight="1" x14ac:dyDescent="0.3">
      <c r="O101" s="39" t="s">
        <v>641</v>
      </c>
      <c r="P101" s="39" t="s">
        <v>649</v>
      </c>
      <c r="Q101" s="39" t="s">
        <v>650</v>
      </c>
      <c r="R101" s="39" t="s">
        <v>651</v>
      </c>
      <c r="S101" s="39" t="s">
        <v>652</v>
      </c>
      <c r="T101" s="39" t="s">
        <v>653</v>
      </c>
      <c r="U101" s="39" t="s">
        <v>654</v>
      </c>
      <c r="V101" s="39" t="s">
        <v>655</v>
      </c>
      <c r="W101" s="39"/>
      <c r="X101" s="39"/>
      <c r="Y101" s="39"/>
      <c r="Z101" s="39"/>
      <c r="AA101" s="39"/>
      <c r="AB101" s="39"/>
      <c r="AC101" s="39"/>
      <c r="AD101" s="39"/>
    </row>
    <row r="102" spans="15:30" ht="12" customHeight="1" x14ac:dyDescent="0.3">
      <c r="O102" s="39" t="s">
        <v>33</v>
      </c>
      <c r="P102" s="39" t="s">
        <v>23</v>
      </c>
      <c r="Q102" s="39" t="s">
        <v>41</v>
      </c>
      <c r="R102" s="39" t="s">
        <v>42</v>
      </c>
      <c r="S102" s="39" t="s">
        <v>25</v>
      </c>
      <c r="T102" s="39" t="s">
        <v>42</v>
      </c>
      <c r="U102" s="39">
        <v>4</v>
      </c>
      <c r="V102" s="39">
        <v>0.3</v>
      </c>
      <c r="W102" s="39">
        <v>0.24</v>
      </c>
      <c r="X102" s="39">
        <v>0.18</v>
      </c>
      <c r="Y102" s="39">
        <v>0.12</v>
      </c>
      <c r="Z102" s="39">
        <v>0.06</v>
      </c>
      <c r="AA102" s="39">
        <v>0</v>
      </c>
      <c r="AB102" s="39"/>
      <c r="AC102" s="39"/>
      <c r="AD102" s="39"/>
    </row>
    <row r="103" spans="15:30" ht="12" customHeight="1" x14ac:dyDescent="0.3"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</row>
    <row r="104" spans="15:30" ht="12" customHeight="1" x14ac:dyDescent="0.3"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</row>
    <row r="105" spans="15:30" ht="12" customHeight="1" x14ac:dyDescent="0.3"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</row>
    <row r="106" spans="15:30" ht="12" customHeight="1" x14ac:dyDescent="0.3"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</row>
    <row r="107" spans="15:30" ht="12" customHeight="1" x14ac:dyDescent="0.3"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</row>
    <row r="108" spans="15:30" ht="12" customHeight="1" x14ac:dyDescent="0.3"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</row>
    <row r="109" spans="15:30" ht="12" customHeight="1" x14ac:dyDescent="0.3"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</row>
    <row r="110" spans="15:30" ht="12" customHeight="1" x14ac:dyDescent="0.3"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</row>
    <row r="111" spans="15:30" ht="12" customHeight="1" x14ac:dyDescent="0.3"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</row>
    <row r="112" spans="15:30" ht="12" customHeight="1" x14ac:dyDescent="0.3"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</row>
    <row r="113" spans="15:30" ht="12" customHeight="1" x14ac:dyDescent="0.3"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</row>
    <row r="114" spans="15:30" ht="12" customHeight="1" x14ac:dyDescent="0.3"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</row>
    <row r="115" spans="15:30" ht="12" customHeight="1" x14ac:dyDescent="0.3"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</row>
    <row r="116" spans="15:30" ht="12" customHeight="1" x14ac:dyDescent="0.3"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</row>
    <row r="117" spans="15:30" ht="12" customHeight="1" x14ac:dyDescent="0.3"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</row>
    <row r="118" spans="15:30" ht="12" customHeight="1" x14ac:dyDescent="0.3"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</row>
    <row r="119" spans="15:30" ht="12" customHeight="1" x14ac:dyDescent="0.3"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</row>
    <row r="120" spans="15:30" ht="12" customHeight="1" x14ac:dyDescent="0.3"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</row>
    <row r="121" spans="15:30" ht="12" customHeight="1" x14ac:dyDescent="0.3"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</row>
    <row r="122" spans="15:30" ht="12" customHeight="1" x14ac:dyDescent="0.3"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</row>
    <row r="123" spans="15:30" ht="12" customHeight="1" x14ac:dyDescent="0.3"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</row>
    <row r="124" spans="15:30" ht="12" customHeight="1" x14ac:dyDescent="0.3"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</row>
    <row r="125" spans="15:30" ht="12" customHeight="1" x14ac:dyDescent="0.3"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</row>
    <row r="126" spans="15:30" ht="12" customHeight="1" x14ac:dyDescent="0.3"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</row>
    <row r="127" spans="15:30" ht="12" customHeight="1" x14ac:dyDescent="0.3"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</row>
    <row r="128" spans="15:30" ht="12" customHeight="1" x14ac:dyDescent="0.3"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</row>
    <row r="129" spans="15:30" ht="12" customHeight="1" x14ac:dyDescent="0.3"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</row>
    <row r="130" spans="15:30" ht="12" customHeight="1" x14ac:dyDescent="0.3"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</row>
    <row r="131" spans="15:30" ht="12" customHeight="1" x14ac:dyDescent="0.3"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</row>
    <row r="132" spans="15:30" ht="12" customHeight="1" x14ac:dyDescent="0.3"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</row>
    <row r="133" spans="15:30" ht="12" customHeight="1" x14ac:dyDescent="0.3"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</row>
    <row r="134" spans="15:30" ht="12" customHeight="1" x14ac:dyDescent="0.3"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</row>
    <row r="135" spans="15:30" ht="12" customHeight="1" x14ac:dyDescent="0.3"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</row>
    <row r="136" spans="15:30" ht="12" customHeight="1" x14ac:dyDescent="0.3"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</row>
    <row r="137" spans="15:30" ht="12" customHeight="1" x14ac:dyDescent="0.3"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</row>
    <row r="138" spans="15:30" ht="12" customHeight="1" x14ac:dyDescent="0.3"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</row>
    <row r="139" spans="15:30" ht="12" customHeight="1" x14ac:dyDescent="0.3"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</row>
    <row r="140" spans="15:30" ht="12" customHeight="1" x14ac:dyDescent="0.3"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</row>
    <row r="141" spans="15:30" ht="12" customHeight="1" x14ac:dyDescent="0.3"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</row>
    <row r="142" spans="15:30" ht="12" customHeight="1" x14ac:dyDescent="0.3"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</row>
    <row r="143" spans="15:30" ht="12" customHeight="1" x14ac:dyDescent="0.3"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</row>
    <row r="144" spans="15:30" ht="12" customHeight="1" x14ac:dyDescent="0.3"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</row>
    <row r="145" spans="15:30" ht="12" customHeight="1" x14ac:dyDescent="0.3"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</row>
    <row r="146" spans="15:30" ht="12" customHeight="1" x14ac:dyDescent="0.3"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</row>
    <row r="147" spans="15:30" ht="12" customHeight="1" x14ac:dyDescent="0.3"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</row>
    <row r="148" spans="15:30" ht="12" customHeight="1" x14ac:dyDescent="0.3"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</row>
    <row r="149" spans="15:30" ht="12" customHeight="1" x14ac:dyDescent="0.3"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</row>
    <row r="150" spans="15:30" ht="12" customHeight="1" x14ac:dyDescent="0.3"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</row>
    <row r="151" spans="15:30" ht="12" customHeight="1" x14ac:dyDescent="0.3"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</row>
    <row r="152" spans="15:30" ht="12" customHeight="1" x14ac:dyDescent="0.3"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</row>
    <row r="153" spans="15:30" ht="12" customHeight="1" x14ac:dyDescent="0.3"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</row>
    <row r="154" spans="15:30" ht="12" customHeight="1" x14ac:dyDescent="0.3"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</row>
    <row r="155" spans="15:30" ht="12" customHeight="1" x14ac:dyDescent="0.3"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</row>
    <row r="156" spans="15:30" ht="12" customHeight="1" x14ac:dyDescent="0.3"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</row>
    <row r="157" spans="15:30" ht="12" customHeight="1" x14ac:dyDescent="0.3"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</row>
    <row r="158" spans="15:30" ht="12" customHeight="1" x14ac:dyDescent="0.3"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</row>
    <row r="159" spans="15:30" ht="12" customHeight="1" x14ac:dyDescent="0.3"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</row>
    <row r="160" spans="15:30" ht="12" customHeight="1" x14ac:dyDescent="0.3"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</row>
    <row r="161" spans="15:30" ht="12" customHeight="1" x14ac:dyDescent="0.3"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</row>
    <row r="162" spans="15:30" ht="12" customHeight="1" x14ac:dyDescent="0.3"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</row>
    <row r="163" spans="15:30" ht="12" customHeight="1" x14ac:dyDescent="0.3"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</row>
    <row r="164" spans="15:30" ht="12" customHeight="1" x14ac:dyDescent="0.3"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</row>
    <row r="165" spans="15:30" ht="12" customHeight="1" x14ac:dyDescent="0.3"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</row>
    <row r="166" spans="15:30" ht="12" customHeight="1" x14ac:dyDescent="0.3"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</row>
    <row r="167" spans="15:30" ht="12" customHeight="1" x14ac:dyDescent="0.3"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</row>
    <row r="168" spans="15:30" ht="12" customHeight="1" x14ac:dyDescent="0.3"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</row>
    <row r="169" spans="15:30" ht="12" customHeight="1" x14ac:dyDescent="0.3"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</row>
    <row r="170" spans="15:30" ht="12" customHeight="1" x14ac:dyDescent="0.3"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</row>
    <row r="171" spans="15:30" ht="12" customHeight="1" x14ac:dyDescent="0.3"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</row>
    <row r="172" spans="15:30" ht="12" customHeight="1" x14ac:dyDescent="0.3"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</row>
    <row r="173" spans="15:30" ht="12" customHeight="1" x14ac:dyDescent="0.3"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</row>
    <row r="174" spans="15:30" ht="12" customHeight="1" x14ac:dyDescent="0.3"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</row>
    <row r="175" spans="15:30" ht="12" customHeight="1" x14ac:dyDescent="0.3"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</row>
    <row r="176" spans="15:30" ht="12" customHeight="1" x14ac:dyDescent="0.3"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</row>
    <row r="177" spans="15:30" ht="12" customHeight="1" x14ac:dyDescent="0.3"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</row>
    <row r="178" spans="15:30" ht="12" customHeight="1" x14ac:dyDescent="0.3"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</row>
    <row r="179" spans="15:30" ht="12" customHeight="1" x14ac:dyDescent="0.3"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</row>
    <row r="180" spans="15:30" ht="12" customHeight="1" x14ac:dyDescent="0.3"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</row>
    <row r="181" spans="15:30" ht="12" customHeight="1" x14ac:dyDescent="0.3"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</row>
    <row r="182" spans="15:30" ht="12" customHeight="1" x14ac:dyDescent="0.3"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</row>
    <row r="183" spans="15:30" ht="12" customHeight="1" x14ac:dyDescent="0.3"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</row>
    <row r="184" spans="15:30" ht="12" customHeight="1" x14ac:dyDescent="0.3"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</row>
    <row r="185" spans="15:30" ht="12" customHeight="1" x14ac:dyDescent="0.3"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</row>
    <row r="186" spans="15:30" ht="12" customHeight="1" x14ac:dyDescent="0.3"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</row>
    <row r="187" spans="15:30" ht="12" customHeight="1" x14ac:dyDescent="0.3"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</row>
    <row r="188" spans="15:30" ht="12" customHeight="1" x14ac:dyDescent="0.3"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</row>
    <row r="189" spans="15:30" ht="12" customHeight="1" x14ac:dyDescent="0.3"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</row>
    <row r="190" spans="15:30" ht="12" customHeight="1" x14ac:dyDescent="0.3"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</row>
    <row r="191" spans="15:30" ht="12" customHeight="1" x14ac:dyDescent="0.3"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</row>
    <row r="192" spans="15:30" ht="12" customHeight="1" x14ac:dyDescent="0.3"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</row>
    <row r="193" spans="15:30" ht="12" customHeight="1" x14ac:dyDescent="0.3"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</row>
    <row r="194" spans="15:30" ht="12" customHeight="1" x14ac:dyDescent="0.3"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</row>
    <row r="195" spans="15:30" ht="12" customHeight="1" x14ac:dyDescent="0.3"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</row>
    <row r="196" spans="15:30" ht="12" customHeight="1" x14ac:dyDescent="0.3"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</row>
    <row r="197" spans="15:30" ht="12" customHeight="1" x14ac:dyDescent="0.3"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</row>
    <row r="198" spans="15:30" ht="12" customHeight="1" x14ac:dyDescent="0.3"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</row>
    <row r="199" spans="15:30" ht="12" customHeight="1" x14ac:dyDescent="0.3"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</row>
    <row r="200" spans="15:30" ht="12" customHeight="1" x14ac:dyDescent="0.3"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</row>
  </sheetData>
  <mergeCells count="19">
    <mergeCell ref="B38:B41"/>
    <mergeCell ref="B42:B43"/>
    <mergeCell ref="B44:B45"/>
    <mergeCell ref="B46:C46"/>
    <mergeCell ref="O1:U1"/>
    <mergeCell ref="A48:C48"/>
    <mergeCell ref="A49:C49"/>
    <mergeCell ref="A47:C47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  <mergeCell ref="B36:B37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85D81-BF4A-4756-BD9D-EB1445D5BBDF}">
  <dimension ref="A1:AP55"/>
  <sheetViews>
    <sheetView showGridLines="0" topLeftCell="C40" workbookViewId="0">
      <selection activeCell="K66" sqref="K66:P66"/>
    </sheetView>
  </sheetViews>
  <sheetFormatPr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3" width="9.5546875" style="9" bestFit="1" customWidth="1"/>
    <col min="14" max="14" width="10.77734375" style="9" bestFit="1" customWidth="1"/>
    <col min="15" max="16" width="8.21875" style="9" bestFit="1" customWidth="1"/>
    <col min="17" max="18" width="9.109375" style="9" bestFit="1" customWidth="1"/>
    <col min="19" max="19" width="8" style="9" bestFit="1" customWidth="1"/>
    <col min="20" max="20" width="9.88671875" style="9" bestFit="1" customWidth="1"/>
    <col min="21" max="21" width="7.109375" style="9" bestFit="1" customWidth="1"/>
    <col min="22" max="22" width="7" style="9" bestFit="1" customWidth="1"/>
    <col min="23" max="23" width="9.21875" style="9" bestFit="1" customWidth="1"/>
    <col min="24" max="24" width="9.33203125" style="9" bestFit="1" customWidth="1"/>
    <col min="25" max="25" width="9.886718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9.109375" style="9" bestFit="1" customWidth="1"/>
    <col min="31" max="31" width="9.5546875" style="9" bestFit="1" customWidth="1"/>
    <col min="32" max="32" width="6.88671875" style="9" bestFit="1" customWidth="1"/>
    <col min="33" max="33" width="9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7.109375" style="9" bestFit="1" customWidth="1"/>
    <col min="38" max="38" width="9.109375" style="9" bestFit="1" customWidth="1"/>
    <col min="39" max="39" width="9.88671875" style="9" bestFit="1" customWidth="1"/>
    <col min="40" max="41" width="8.88671875" style="9"/>
    <col min="42" max="42" width="7.21875" style="9" bestFit="1" customWidth="1"/>
    <col min="43" max="16384" width="8.88671875" style="9"/>
  </cols>
  <sheetData>
    <row r="1" spans="1:42" ht="11.25" customHeight="1" x14ac:dyDescent="0.3">
      <c r="A1" s="143" t="s">
        <v>68</v>
      </c>
      <c r="B1" s="143" t="s">
        <v>69</v>
      </c>
      <c r="C1" s="143" t="s">
        <v>70</v>
      </c>
      <c r="D1" s="143" t="s">
        <v>71</v>
      </c>
      <c r="E1" s="143" t="s">
        <v>72</v>
      </c>
      <c r="F1" s="143" t="s">
        <v>15</v>
      </c>
      <c r="G1" s="143" t="s">
        <v>74</v>
      </c>
      <c r="H1" s="143" t="s">
        <v>75</v>
      </c>
      <c r="I1" s="143" t="s">
        <v>588</v>
      </c>
      <c r="J1" s="134"/>
      <c r="L1" s="144" t="s">
        <v>589</v>
      </c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P1" s="144" t="s">
        <v>590</v>
      </c>
    </row>
    <row r="2" spans="1:42" ht="11.25" customHeight="1" x14ac:dyDescent="0.3">
      <c r="A2" s="143"/>
      <c r="B2" s="143"/>
      <c r="C2" s="143"/>
      <c r="D2" s="143"/>
      <c r="E2" s="143"/>
      <c r="F2" s="143"/>
      <c r="G2" s="143"/>
      <c r="H2" s="143"/>
      <c r="I2" s="143"/>
      <c r="J2" s="134"/>
      <c r="L2" s="144" t="s">
        <v>487</v>
      </c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4"/>
      <c r="AM2" s="144"/>
      <c r="AP2" s="145"/>
    </row>
    <row r="3" spans="1:42" ht="11.25" customHeight="1" x14ac:dyDescent="0.3">
      <c r="A3" s="143"/>
      <c r="B3" s="143"/>
      <c r="C3" s="143"/>
      <c r="D3" s="143"/>
      <c r="E3" s="143"/>
      <c r="F3" s="143"/>
      <c r="G3" s="143"/>
      <c r="H3" s="143"/>
      <c r="I3" s="143"/>
      <c r="J3" s="134"/>
      <c r="L3" s="144" t="s">
        <v>488</v>
      </c>
      <c r="M3" s="144"/>
      <c r="N3" s="144"/>
      <c r="O3" s="144"/>
      <c r="P3" s="144"/>
      <c r="Q3" s="144"/>
      <c r="R3" s="144"/>
      <c r="S3" s="144"/>
      <c r="T3" s="144"/>
      <c r="U3" s="144" t="s">
        <v>497</v>
      </c>
      <c r="V3" s="144"/>
      <c r="W3" s="144"/>
      <c r="X3" s="144"/>
      <c r="Y3" s="144"/>
      <c r="Z3" s="144"/>
      <c r="AA3" s="144"/>
      <c r="AB3" s="144"/>
      <c r="AC3" s="144" t="s">
        <v>505</v>
      </c>
      <c r="AD3" s="144"/>
      <c r="AE3" s="144" t="s">
        <v>507</v>
      </c>
      <c r="AF3" s="144"/>
      <c r="AG3" s="144"/>
      <c r="AH3" s="144" t="s">
        <v>510</v>
      </c>
      <c r="AI3" s="144"/>
      <c r="AJ3" s="144"/>
      <c r="AK3" s="144"/>
      <c r="AL3" s="144"/>
      <c r="AM3" s="144" t="s">
        <v>496</v>
      </c>
      <c r="AP3" s="145"/>
    </row>
    <row r="4" spans="1:42" ht="11.25" customHeight="1" x14ac:dyDescent="0.3">
      <c r="A4" s="143"/>
      <c r="B4" s="143"/>
      <c r="C4" s="143"/>
      <c r="D4" s="143"/>
      <c r="E4" s="143"/>
      <c r="F4" s="143"/>
      <c r="G4" s="143"/>
      <c r="H4" s="143"/>
      <c r="I4" s="143"/>
      <c r="J4" s="134"/>
      <c r="L4" s="10" t="s">
        <v>573</v>
      </c>
      <c r="M4" s="10" t="s">
        <v>489</v>
      </c>
      <c r="N4" s="10" t="s">
        <v>490</v>
      </c>
      <c r="O4" s="10" t="s">
        <v>491</v>
      </c>
      <c r="P4" s="10" t="s">
        <v>492</v>
      </c>
      <c r="Q4" s="10" t="s">
        <v>493</v>
      </c>
      <c r="R4" s="10" t="s">
        <v>494</v>
      </c>
      <c r="S4" s="10" t="s">
        <v>495</v>
      </c>
      <c r="T4" s="10" t="s">
        <v>496</v>
      </c>
      <c r="U4" s="10" t="s">
        <v>498</v>
      </c>
      <c r="V4" s="10" t="s">
        <v>499</v>
      </c>
      <c r="W4" s="10" t="s">
        <v>500</v>
      </c>
      <c r="X4" s="10" t="s">
        <v>501</v>
      </c>
      <c r="Y4" s="10" t="s">
        <v>502</v>
      </c>
      <c r="Z4" s="10" t="s">
        <v>503</v>
      </c>
      <c r="AA4" s="10" t="s">
        <v>504</v>
      </c>
      <c r="AB4" s="10" t="s">
        <v>496</v>
      </c>
      <c r="AC4" s="10" t="s">
        <v>506</v>
      </c>
      <c r="AD4" s="10" t="s">
        <v>496</v>
      </c>
      <c r="AE4" s="10" t="s">
        <v>508</v>
      </c>
      <c r="AF4" s="10" t="s">
        <v>509</v>
      </c>
      <c r="AG4" s="10" t="s">
        <v>496</v>
      </c>
      <c r="AH4" s="10" t="s">
        <v>511</v>
      </c>
      <c r="AI4" s="10" t="s">
        <v>512</v>
      </c>
      <c r="AJ4" s="10" t="s">
        <v>513</v>
      </c>
      <c r="AK4" s="10" t="s">
        <v>514</v>
      </c>
      <c r="AL4" s="10" t="s">
        <v>496</v>
      </c>
      <c r="AM4" s="147"/>
      <c r="AP4" s="145"/>
    </row>
    <row r="5" spans="1:42" ht="11.25" customHeight="1" x14ac:dyDescent="0.3">
      <c r="A5" s="146" t="s">
        <v>61</v>
      </c>
      <c r="B5" s="146" t="s">
        <v>54</v>
      </c>
      <c r="C5" s="146" t="s">
        <v>25</v>
      </c>
      <c r="D5" s="146" t="s">
        <v>25</v>
      </c>
      <c r="E5" s="146" t="s">
        <v>25</v>
      </c>
      <c r="F5" s="146" t="s">
        <v>25</v>
      </c>
      <c r="G5" s="24" t="s">
        <v>82</v>
      </c>
      <c r="H5" s="24" t="s">
        <v>81</v>
      </c>
      <c r="I5" s="24">
        <f>'MERCADO TUSD'!$U$2</f>
        <v>14877.2</v>
      </c>
      <c r="J5" s="15"/>
      <c r="L5" s="13"/>
      <c r="M5" s="13"/>
      <c r="N5" s="13"/>
      <c r="O5" s="13"/>
      <c r="P5" s="13"/>
      <c r="Q5" s="13"/>
      <c r="R5" s="13"/>
      <c r="S5" s="13"/>
      <c r="T5" s="13"/>
      <c r="U5" s="13">
        <v>0</v>
      </c>
      <c r="V5" s="13">
        <v>0</v>
      </c>
      <c r="W5" s="13">
        <v>0</v>
      </c>
      <c r="X5" s="13">
        <v>0</v>
      </c>
      <c r="Y5" s="13">
        <v>13.601100000000001</v>
      </c>
      <c r="Z5" s="13">
        <v>0</v>
      </c>
      <c r="AA5" s="13">
        <v>0</v>
      </c>
      <c r="AB5" s="13"/>
      <c r="AC5" s="13">
        <v>5.6981000000000002</v>
      </c>
      <c r="AD5" s="13"/>
      <c r="AE5" s="13"/>
      <c r="AF5" s="13"/>
      <c r="AG5" s="13"/>
      <c r="AH5" s="13"/>
      <c r="AI5" s="13"/>
      <c r="AJ5" s="13"/>
      <c r="AK5" s="13"/>
      <c r="AL5" s="13"/>
      <c r="AM5" s="13"/>
      <c r="AP5" s="13">
        <v>1</v>
      </c>
    </row>
    <row r="6" spans="1:42" ht="11.25" customHeight="1" x14ac:dyDescent="0.3">
      <c r="A6" s="146"/>
      <c r="B6" s="146"/>
      <c r="C6" s="146"/>
      <c r="D6" s="146"/>
      <c r="E6" s="146"/>
      <c r="F6" s="146"/>
      <c r="G6" s="24" t="s">
        <v>83</v>
      </c>
      <c r="H6" s="24" t="s">
        <v>81</v>
      </c>
      <c r="I6" s="24">
        <f>'MERCADO TUSD'!$U$3</f>
        <v>15070.4</v>
      </c>
      <c r="J6" s="15"/>
      <c r="L6" s="13"/>
      <c r="M6" s="13"/>
      <c r="N6" s="13"/>
      <c r="O6" s="13"/>
      <c r="P6" s="13"/>
      <c r="Q6" s="13"/>
      <c r="R6" s="13"/>
      <c r="S6" s="13"/>
      <c r="T6" s="13"/>
      <c r="U6" s="13">
        <v>0</v>
      </c>
      <c r="V6" s="13">
        <v>0</v>
      </c>
      <c r="W6" s="13">
        <v>0</v>
      </c>
      <c r="X6" s="13">
        <v>0</v>
      </c>
      <c r="Y6" s="13">
        <v>6.9280999999999997</v>
      </c>
      <c r="Z6" s="13">
        <v>0</v>
      </c>
      <c r="AA6" s="13">
        <v>0</v>
      </c>
      <c r="AB6" s="13"/>
      <c r="AC6" s="13">
        <v>5.6981000000000002</v>
      </c>
      <c r="AD6" s="13"/>
      <c r="AE6" s="13"/>
      <c r="AF6" s="13"/>
      <c r="AG6" s="13"/>
      <c r="AH6" s="13"/>
      <c r="AI6" s="13"/>
      <c r="AJ6" s="13"/>
      <c r="AK6" s="13"/>
      <c r="AL6" s="13"/>
      <c r="AM6" s="13"/>
      <c r="AP6" s="13">
        <v>1</v>
      </c>
    </row>
    <row r="7" spans="1:42" ht="11.25" customHeight="1" x14ac:dyDescent="0.3">
      <c r="A7" s="146"/>
      <c r="B7" s="146"/>
      <c r="C7" s="146"/>
      <c r="D7" s="146"/>
      <c r="E7" s="146"/>
      <c r="F7" s="146"/>
      <c r="G7" s="24" t="s">
        <v>84</v>
      </c>
      <c r="H7" s="24" t="s">
        <v>78</v>
      </c>
      <c r="I7" s="24">
        <f>'MERCADO TUSD'!$U$4</f>
        <v>7641.8726999999999</v>
      </c>
      <c r="J7" s="15"/>
      <c r="L7" s="13"/>
      <c r="M7" s="13"/>
      <c r="N7" s="13"/>
      <c r="O7" s="13"/>
      <c r="P7" s="13"/>
      <c r="Q7" s="13"/>
      <c r="R7" s="13"/>
      <c r="S7" s="13"/>
      <c r="T7" s="13"/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/>
      <c r="AC7" s="13">
        <v>0</v>
      </c>
      <c r="AD7" s="13"/>
      <c r="AE7" s="13"/>
      <c r="AF7" s="13"/>
      <c r="AG7" s="13"/>
      <c r="AH7" s="13"/>
      <c r="AI7" s="13"/>
      <c r="AJ7" s="13"/>
      <c r="AK7" s="13"/>
      <c r="AL7" s="13"/>
      <c r="AM7" s="13"/>
      <c r="AP7" s="13">
        <v>1</v>
      </c>
    </row>
    <row r="8" spans="1:42" ht="11.25" customHeight="1" x14ac:dyDescent="0.3">
      <c r="A8" s="146"/>
      <c r="B8" s="146"/>
      <c r="C8" s="146"/>
      <c r="D8" s="146"/>
      <c r="E8" s="23" t="s">
        <v>85</v>
      </c>
      <c r="F8" s="23" t="s">
        <v>25</v>
      </c>
      <c r="G8" s="24" t="s">
        <v>84</v>
      </c>
      <c r="H8" s="24" t="s">
        <v>78</v>
      </c>
      <c r="I8" s="24">
        <f>'MERCADO TUSD'!$U$5</f>
        <v>0</v>
      </c>
      <c r="J8" s="15"/>
      <c r="L8" s="13"/>
      <c r="M8" s="13"/>
      <c r="N8" s="13"/>
      <c r="O8" s="13"/>
      <c r="P8" s="13"/>
      <c r="Q8" s="13"/>
      <c r="R8" s="13"/>
      <c r="S8" s="13"/>
      <c r="T8" s="13"/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/>
      <c r="AC8" s="13">
        <v>0</v>
      </c>
      <c r="AD8" s="13"/>
      <c r="AE8" s="13"/>
      <c r="AF8" s="13"/>
      <c r="AG8" s="13"/>
      <c r="AH8" s="13"/>
      <c r="AI8" s="13"/>
      <c r="AJ8" s="13"/>
      <c r="AK8" s="13"/>
      <c r="AL8" s="13"/>
      <c r="AM8" s="13"/>
      <c r="AP8" s="13">
        <v>1</v>
      </c>
    </row>
    <row r="9" spans="1:42" ht="11.25" customHeight="1" x14ac:dyDescent="0.3">
      <c r="A9" s="146" t="s">
        <v>34</v>
      </c>
      <c r="B9" s="146" t="s">
        <v>54</v>
      </c>
      <c r="C9" s="146" t="s">
        <v>25</v>
      </c>
      <c r="D9" s="146" t="s">
        <v>25</v>
      </c>
      <c r="E9" s="146" t="s">
        <v>25</v>
      </c>
      <c r="F9" s="146" t="s">
        <v>25</v>
      </c>
      <c r="G9" s="24" t="s">
        <v>82</v>
      </c>
      <c r="H9" s="24" t="s">
        <v>81</v>
      </c>
      <c r="I9" s="24">
        <f>'MERCADO TUSD'!$U$6</f>
        <v>74447</v>
      </c>
      <c r="J9" s="15"/>
      <c r="L9" s="13"/>
      <c r="M9" s="13"/>
      <c r="N9" s="13"/>
      <c r="O9" s="13"/>
      <c r="P9" s="13"/>
      <c r="Q9" s="13"/>
      <c r="R9" s="13"/>
      <c r="S9" s="13"/>
      <c r="T9" s="13"/>
      <c r="U9" s="13">
        <v>0</v>
      </c>
      <c r="V9" s="13">
        <v>0</v>
      </c>
      <c r="W9" s="13">
        <v>0</v>
      </c>
      <c r="X9" s="13">
        <v>0</v>
      </c>
      <c r="Y9" s="13">
        <v>18.134799999999998</v>
      </c>
      <c r="Z9" s="13">
        <v>0</v>
      </c>
      <c r="AA9" s="13">
        <v>0</v>
      </c>
      <c r="AB9" s="13"/>
      <c r="AC9" s="13">
        <v>7.5975000000000001</v>
      </c>
      <c r="AD9" s="13"/>
      <c r="AE9" s="13"/>
      <c r="AF9" s="13"/>
      <c r="AG9" s="13"/>
      <c r="AH9" s="13"/>
      <c r="AI9" s="13"/>
      <c r="AJ9" s="13"/>
      <c r="AK9" s="13"/>
      <c r="AL9" s="13"/>
      <c r="AM9" s="13"/>
      <c r="AP9" s="13">
        <v>1</v>
      </c>
    </row>
    <row r="10" spans="1:42" ht="11.25" customHeight="1" x14ac:dyDescent="0.3">
      <c r="A10" s="146"/>
      <c r="B10" s="146"/>
      <c r="C10" s="146"/>
      <c r="D10" s="146"/>
      <c r="E10" s="146"/>
      <c r="F10" s="146"/>
      <c r="G10" s="24" t="s">
        <v>83</v>
      </c>
      <c r="H10" s="24" t="s">
        <v>81</v>
      </c>
      <c r="I10" s="24">
        <f>'MERCADO TUSD'!$U$7</f>
        <v>79182</v>
      </c>
      <c r="J10" s="15"/>
      <c r="L10" s="13"/>
      <c r="M10" s="13"/>
      <c r="N10" s="13"/>
      <c r="O10" s="13"/>
      <c r="P10" s="13"/>
      <c r="Q10" s="13"/>
      <c r="R10" s="13"/>
      <c r="S10" s="13"/>
      <c r="T10" s="13"/>
      <c r="U10" s="13">
        <v>0</v>
      </c>
      <c r="V10" s="13">
        <v>0</v>
      </c>
      <c r="W10" s="13">
        <v>0</v>
      </c>
      <c r="X10" s="13">
        <v>0</v>
      </c>
      <c r="Y10" s="13">
        <v>9.2375000000000007</v>
      </c>
      <c r="Z10" s="13">
        <v>0</v>
      </c>
      <c r="AA10" s="13">
        <v>0</v>
      </c>
      <c r="AB10" s="13"/>
      <c r="AC10" s="13">
        <v>7.5975000000000001</v>
      </c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P10" s="13">
        <v>1</v>
      </c>
    </row>
    <row r="11" spans="1:42" ht="11.25" customHeight="1" x14ac:dyDescent="0.3">
      <c r="A11" s="146"/>
      <c r="B11" s="146"/>
      <c r="C11" s="146"/>
      <c r="D11" s="146"/>
      <c r="E11" s="146"/>
      <c r="F11" s="146"/>
      <c r="G11" s="24" t="s">
        <v>84</v>
      </c>
      <c r="H11" s="24" t="s">
        <v>78</v>
      </c>
      <c r="I11" s="24">
        <f>'MERCADO TUSD'!$U$8</f>
        <v>33099.82804</v>
      </c>
      <c r="J11" s="15"/>
      <c r="L11" s="13"/>
      <c r="M11" s="13"/>
      <c r="N11" s="13"/>
      <c r="O11" s="13"/>
      <c r="P11" s="13"/>
      <c r="Q11" s="13"/>
      <c r="R11" s="13"/>
      <c r="S11" s="13"/>
      <c r="T11" s="13"/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/>
      <c r="AC11" s="13">
        <v>0</v>
      </c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P11" s="13">
        <v>1</v>
      </c>
    </row>
    <row r="12" spans="1:42" ht="11.25" customHeight="1" x14ac:dyDescent="0.3">
      <c r="A12" s="146"/>
      <c r="B12" s="146"/>
      <c r="C12" s="146"/>
      <c r="D12" s="146"/>
      <c r="E12" s="23" t="s">
        <v>85</v>
      </c>
      <c r="F12" s="23" t="s">
        <v>25</v>
      </c>
      <c r="G12" s="24" t="s">
        <v>84</v>
      </c>
      <c r="H12" s="24" t="s">
        <v>78</v>
      </c>
      <c r="I12" s="24">
        <f>'MERCADO TUSD'!$U$9</f>
        <v>0</v>
      </c>
      <c r="J12" s="15"/>
      <c r="L12" s="13"/>
      <c r="M12" s="13"/>
      <c r="N12" s="13"/>
      <c r="O12" s="13"/>
      <c r="P12" s="13"/>
      <c r="Q12" s="13"/>
      <c r="R12" s="13"/>
      <c r="S12" s="13"/>
      <c r="T12" s="13"/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/>
      <c r="AC12" s="13">
        <v>0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P12" s="13">
        <v>1</v>
      </c>
    </row>
    <row r="13" spans="1:42" ht="11.25" customHeight="1" x14ac:dyDescent="0.3">
      <c r="A13" s="146"/>
      <c r="B13" s="23" t="s">
        <v>57</v>
      </c>
      <c r="C13" s="23" t="s">
        <v>25</v>
      </c>
      <c r="D13" s="23" t="s">
        <v>25</v>
      </c>
      <c r="E13" s="23" t="s">
        <v>25</v>
      </c>
      <c r="F13" s="23" t="s">
        <v>25</v>
      </c>
      <c r="G13" s="24" t="s">
        <v>9</v>
      </c>
      <c r="H13" s="24" t="s">
        <v>81</v>
      </c>
      <c r="I13" s="24">
        <f>'MERCADO TUSD'!$U$10</f>
        <v>33000</v>
      </c>
      <c r="J13" s="15"/>
      <c r="L13" s="13"/>
      <c r="M13" s="13"/>
      <c r="N13" s="13"/>
      <c r="O13" s="13"/>
      <c r="P13" s="13"/>
      <c r="Q13" s="13"/>
      <c r="R13" s="13"/>
      <c r="S13" s="13"/>
      <c r="T13" s="13"/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/>
      <c r="AC13" s="13">
        <v>7.5975999999999999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P13" s="13"/>
    </row>
    <row r="14" spans="1:42" ht="11.25" customHeight="1" x14ac:dyDescent="0.3">
      <c r="A14" s="146"/>
      <c r="B14" s="146" t="s">
        <v>35</v>
      </c>
      <c r="C14" s="146" t="s">
        <v>25</v>
      </c>
      <c r="D14" s="146" t="s">
        <v>25</v>
      </c>
      <c r="E14" s="146" t="s">
        <v>25</v>
      </c>
      <c r="F14" s="146" t="s">
        <v>25</v>
      </c>
      <c r="G14" s="24" t="s">
        <v>9</v>
      </c>
      <c r="H14" s="24" t="s">
        <v>81</v>
      </c>
      <c r="I14" s="24">
        <f>'MERCADO TUSD'!$U$11</f>
        <v>161517.14000000001</v>
      </c>
      <c r="J14" s="15"/>
      <c r="L14" s="13"/>
      <c r="M14" s="13"/>
      <c r="N14" s="13"/>
      <c r="O14" s="13"/>
      <c r="P14" s="13"/>
      <c r="Q14" s="13"/>
      <c r="R14" s="13"/>
      <c r="S14" s="13"/>
      <c r="T14" s="13"/>
      <c r="U14" s="13">
        <v>0</v>
      </c>
      <c r="V14" s="13">
        <v>0</v>
      </c>
      <c r="W14" s="13">
        <v>0</v>
      </c>
      <c r="X14" s="13">
        <v>0</v>
      </c>
      <c r="Y14" s="13">
        <v>9.2375000000000007</v>
      </c>
      <c r="Z14" s="13">
        <v>0</v>
      </c>
      <c r="AA14" s="13">
        <v>0</v>
      </c>
      <c r="AB14" s="13"/>
      <c r="AC14" s="13">
        <v>7.5975000000000001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P14" s="13">
        <v>1</v>
      </c>
    </row>
    <row r="15" spans="1:42" ht="11.25" customHeight="1" x14ac:dyDescent="0.3">
      <c r="A15" s="146"/>
      <c r="B15" s="146"/>
      <c r="C15" s="146"/>
      <c r="D15" s="146"/>
      <c r="E15" s="146"/>
      <c r="F15" s="146"/>
      <c r="G15" s="24" t="s">
        <v>79</v>
      </c>
      <c r="H15" s="24" t="s">
        <v>78</v>
      </c>
      <c r="I15" s="24">
        <f>'MERCADO TUSD'!$U$12</f>
        <v>3378.5688100000007</v>
      </c>
      <c r="J15" s="15"/>
      <c r="L15" s="13"/>
      <c r="M15" s="13"/>
      <c r="N15" s="13"/>
      <c r="O15" s="13"/>
      <c r="P15" s="13"/>
      <c r="Q15" s="13"/>
      <c r="R15" s="13"/>
      <c r="S15" s="13"/>
      <c r="T15" s="13"/>
      <c r="U15" s="13">
        <v>0</v>
      </c>
      <c r="V15" s="13">
        <v>0</v>
      </c>
      <c r="W15" s="13">
        <v>0</v>
      </c>
      <c r="X15" s="13">
        <v>0</v>
      </c>
      <c r="Y15" s="13">
        <v>436.14139999999998</v>
      </c>
      <c r="Z15" s="13">
        <v>0</v>
      </c>
      <c r="AA15" s="13">
        <v>0</v>
      </c>
      <c r="AB15" s="13"/>
      <c r="AC15" s="13">
        <v>182.71960000000001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P15" s="13">
        <v>1</v>
      </c>
    </row>
    <row r="16" spans="1:42" ht="11.25" customHeight="1" x14ac:dyDescent="0.3">
      <c r="A16" s="146"/>
      <c r="B16" s="146"/>
      <c r="C16" s="146"/>
      <c r="D16" s="146"/>
      <c r="E16" s="146"/>
      <c r="F16" s="146"/>
      <c r="G16" s="24" t="s">
        <v>80</v>
      </c>
      <c r="H16" s="24" t="s">
        <v>78</v>
      </c>
      <c r="I16" s="24">
        <f>'MERCADO TUSD'!$U$13</f>
        <v>37684.03847</v>
      </c>
      <c r="J16" s="15"/>
      <c r="L16" s="13"/>
      <c r="M16" s="13"/>
      <c r="N16" s="13"/>
      <c r="O16" s="13"/>
      <c r="P16" s="13"/>
      <c r="Q16" s="13"/>
      <c r="R16" s="13"/>
      <c r="S16" s="13"/>
      <c r="T16" s="13"/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/>
      <c r="AC16" s="13">
        <v>0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P16" s="13">
        <v>1</v>
      </c>
    </row>
    <row r="17" spans="1:42" ht="11.25" customHeight="1" x14ac:dyDescent="0.3">
      <c r="A17" s="146"/>
      <c r="B17" s="146"/>
      <c r="C17" s="146"/>
      <c r="D17" s="146"/>
      <c r="E17" s="146" t="s">
        <v>85</v>
      </c>
      <c r="F17" s="146" t="s">
        <v>25</v>
      </c>
      <c r="G17" s="24" t="s">
        <v>79</v>
      </c>
      <c r="H17" s="24" t="s">
        <v>78</v>
      </c>
      <c r="I17" s="24">
        <f>'MERCADO TUSD'!$U$14</f>
        <v>0</v>
      </c>
      <c r="J17" s="15"/>
      <c r="L17" s="13"/>
      <c r="M17" s="13"/>
      <c r="N17" s="13"/>
      <c r="O17" s="13"/>
      <c r="P17" s="13"/>
      <c r="Q17" s="13"/>
      <c r="R17" s="13"/>
      <c r="S17" s="13"/>
      <c r="T17" s="13"/>
      <c r="U17" s="13">
        <v>0</v>
      </c>
      <c r="V17" s="13">
        <v>0</v>
      </c>
      <c r="W17" s="13">
        <v>0</v>
      </c>
      <c r="X17" s="13">
        <v>0</v>
      </c>
      <c r="Y17" s="13">
        <v>436.14139999999998</v>
      </c>
      <c r="Z17" s="13">
        <v>0</v>
      </c>
      <c r="AA17" s="13">
        <v>0</v>
      </c>
      <c r="AB17" s="13"/>
      <c r="AC17" s="13">
        <v>182.71960000000001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P17" s="13">
        <v>1</v>
      </c>
    </row>
    <row r="18" spans="1:42" ht="11.25" customHeight="1" x14ac:dyDescent="0.3">
      <c r="A18" s="146"/>
      <c r="B18" s="146"/>
      <c r="C18" s="146"/>
      <c r="D18" s="146"/>
      <c r="E18" s="146"/>
      <c r="F18" s="146"/>
      <c r="G18" s="24" t="s">
        <v>80</v>
      </c>
      <c r="H18" s="24" t="s">
        <v>78</v>
      </c>
      <c r="I18" s="24">
        <f>'MERCADO TUSD'!$U$15</f>
        <v>0</v>
      </c>
      <c r="J18" s="15"/>
      <c r="L18" s="13"/>
      <c r="M18" s="13"/>
      <c r="N18" s="13"/>
      <c r="O18" s="13"/>
      <c r="P18" s="13"/>
      <c r="Q18" s="13"/>
      <c r="R18" s="13"/>
      <c r="S18" s="13"/>
      <c r="T18" s="13"/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/>
      <c r="AC18" s="13">
        <v>0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P18" s="13">
        <v>1</v>
      </c>
    </row>
    <row r="19" spans="1:42" ht="11.25" customHeight="1" x14ac:dyDescent="0.3">
      <c r="A19" s="146" t="s">
        <v>86</v>
      </c>
      <c r="B19" s="146" t="s">
        <v>57</v>
      </c>
      <c r="C19" s="146" t="s">
        <v>25</v>
      </c>
      <c r="D19" s="146" t="s">
        <v>25</v>
      </c>
      <c r="E19" s="23" t="s">
        <v>87</v>
      </c>
      <c r="F19" s="23" t="s">
        <v>25</v>
      </c>
      <c r="G19" s="24" t="s">
        <v>9</v>
      </c>
      <c r="H19" s="24" t="s">
        <v>81</v>
      </c>
      <c r="I19" s="24">
        <f>'MERCADO TUSD'!$U$16+0.00000001</f>
        <v>1E-8</v>
      </c>
      <c r="J19" s="15"/>
      <c r="L19" s="13"/>
      <c r="M19" s="13"/>
      <c r="N19" s="13"/>
      <c r="O19" s="13"/>
      <c r="P19" s="13"/>
      <c r="Q19" s="13"/>
      <c r="R19" s="13"/>
      <c r="S19" s="13"/>
      <c r="T19" s="13"/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/>
      <c r="AC19" s="13">
        <v>9.4913000000000007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P19" s="13"/>
    </row>
    <row r="20" spans="1:42" ht="11.25" customHeight="1" x14ac:dyDescent="0.3">
      <c r="A20" s="146"/>
      <c r="B20" s="146"/>
      <c r="C20" s="146"/>
      <c r="D20" s="146"/>
      <c r="E20" s="23" t="s">
        <v>88</v>
      </c>
      <c r="F20" s="23" t="s">
        <v>25</v>
      </c>
      <c r="G20" s="24" t="s">
        <v>9</v>
      </c>
      <c r="H20" s="24" t="s">
        <v>81</v>
      </c>
      <c r="I20" s="24">
        <f>'MERCADO TUSD'!$U$17+0.00000001</f>
        <v>1E-8</v>
      </c>
      <c r="J20" s="15"/>
      <c r="L20" s="13"/>
      <c r="M20" s="13"/>
      <c r="N20" s="13"/>
      <c r="O20" s="13"/>
      <c r="P20" s="13"/>
      <c r="Q20" s="13"/>
      <c r="R20" s="13"/>
      <c r="S20" s="13"/>
      <c r="T20" s="13"/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/>
      <c r="AC20" s="13">
        <v>14.751799999999999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P20" s="13"/>
    </row>
    <row r="21" spans="1:42" ht="11.25" customHeight="1" x14ac:dyDescent="0.3">
      <c r="A21" s="146" t="s">
        <v>22</v>
      </c>
      <c r="B21" s="146" t="s">
        <v>38</v>
      </c>
      <c r="C21" s="146" t="s">
        <v>24</v>
      </c>
      <c r="D21" s="146" t="s">
        <v>24</v>
      </c>
      <c r="E21" s="146" t="s">
        <v>25</v>
      </c>
      <c r="F21" s="146" t="s">
        <v>25</v>
      </c>
      <c r="G21" s="24" t="s">
        <v>79</v>
      </c>
      <c r="H21" s="24" t="s">
        <v>78</v>
      </c>
      <c r="I21" s="24">
        <f>'MERCADO TUSD'!$U$18</f>
        <v>0</v>
      </c>
      <c r="J21" s="15"/>
      <c r="L21" s="13"/>
      <c r="M21" s="13"/>
      <c r="N21" s="13"/>
      <c r="O21" s="13"/>
      <c r="P21" s="13"/>
      <c r="Q21" s="13"/>
      <c r="R21" s="13"/>
      <c r="S21" s="13"/>
      <c r="T21" s="13"/>
      <c r="U21" s="13">
        <v>0</v>
      </c>
      <c r="V21" s="13">
        <v>0</v>
      </c>
      <c r="W21" s="13">
        <v>0</v>
      </c>
      <c r="X21" s="13">
        <v>0</v>
      </c>
      <c r="Y21" s="13">
        <v>316.98149999999998</v>
      </c>
      <c r="Z21" s="13">
        <v>0</v>
      </c>
      <c r="AA21" s="13">
        <v>0</v>
      </c>
      <c r="AB21" s="13"/>
      <c r="AC21" s="13">
        <v>978.97149999999999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P21" s="13">
        <v>1</v>
      </c>
    </row>
    <row r="22" spans="1:42" ht="11.25" customHeight="1" x14ac:dyDescent="0.3">
      <c r="A22" s="146"/>
      <c r="B22" s="146"/>
      <c r="C22" s="146"/>
      <c r="D22" s="146"/>
      <c r="E22" s="146"/>
      <c r="F22" s="146"/>
      <c r="G22" s="24" t="s">
        <v>89</v>
      </c>
      <c r="H22" s="24" t="s">
        <v>78</v>
      </c>
      <c r="I22" s="24">
        <f>'MERCADO TUSD'!$U$19</f>
        <v>0</v>
      </c>
      <c r="J22" s="15"/>
      <c r="L22" s="13"/>
      <c r="M22" s="13"/>
      <c r="N22" s="13"/>
      <c r="O22" s="13"/>
      <c r="P22" s="13"/>
      <c r="Q22" s="13"/>
      <c r="R22" s="13"/>
      <c r="S22" s="13"/>
      <c r="T22" s="13"/>
      <c r="U22" s="13">
        <v>0</v>
      </c>
      <c r="V22" s="13">
        <v>0</v>
      </c>
      <c r="W22" s="13">
        <v>0</v>
      </c>
      <c r="X22" s="13">
        <v>0</v>
      </c>
      <c r="Y22" s="13">
        <v>37.1419</v>
      </c>
      <c r="Z22" s="13">
        <v>0</v>
      </c>
      <c r="AA22" s="13">
        <v>0</v>
      </c>
      <c r="AB22" s="13"/>
      <c r="AC22" s="13">
        <v>114.7099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P22" s="13">
        <v>1</v>
      </c>
    </row>
    <row r="23" spans="1:42" ht="11.25" customHeight="1" x14ac:dyDescent="0.3">
      <c r="A23" s="146"/>
      <c r="B23" s="146"/>
      <c r="C23" s="146"/>
      <c r="D23" s="146"/>
      <c r="E23" s="146"/>
      <c r="F23" s="146"/>
      <c r="G23" s="24" t="s">
        <v>80</v>
      </c>
      <c r="H23" s="24" t="s">
        <v>78</v>
      </c>
      <c r="I23" s="24">
        <f>'MERCADO TUSD'!$U$20</f>
        <v>0</v>
      </c>
      <c r="J23" s="15"/>
      <c r="L23" s="13"/>
      <c r="M23" s="13"/>
      <c r="N23" s="13"/>
      <c r="O23" s="13"/>
      <c r="P23" s="13"/>
      <c r="Q23" s="13"/>
      <c r="R23" s="13"/>
      <c r="S23" s="13"/>
      <c r="T23" s="13"/>
      <c r="U23" s="13">
        <v>0</v>
      </c>
      <c r="V23" s="13">
        <v>0</v>
      </c>
      <c r="W23" s="13">
        <v>0</v>
      </c>
      <c r="X23" s="13">
        <v>0</v>
      </c>
      <c r="Y23" s="13">
        <v>11.0871</v>
      </c>
      <c r="Z23" s="13">
        <v>0</v>
      </c>
      <c r="AA23" s="13">
        <v>0</v>
      </c>
      <c r="AB23" s="13"/>
      <c r="AC23" s="13">
        <v>34.241700000000002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P23" s="13">
        <v>1</v>
      </c>
    </row>
    <row r="24" spans="1:42" ht="11.25" customHeight="1" x14ac:dyDescent="0.3">
      <c r="A24" s="146"/>
      <c r="B24" s="146" t="s">
        <v>23</v>
      </c>
      <c r="C24" s="146" t="s">
        <v>24</v>
      </c>
      <c r="D24" s="23" t="s">
        <v>24</v>
      </c>
      <c r="E24" s="23" t="s">
        <v>25</v>
      </c>
      <c r="F24" s="23" t="s">
        <v>25</v>
      </c>
      <c r="G24" s="24" t="s">
        <v>84</v>
      </c>
      <c r="H24" s="24" t="s">
        <v>78</v>
      </c>
      <c r="I24" s="24">
        <f>'MERCADO TUSD'!$U$21</f>
        <v>11530.447999999999</v>
      </c>
      <c r="J24" s="15"/>
      <c r="L24" s="13"/>
      <c r="M24" s="13"/>
      <c r="N24" s="13"/>
      <c r="O24" s="13"/>
      <c r="P24" s="13"/>
      <c r="Q24" s="13"/>
      <c r="R24" s="13"/>
      <c r="S24" s="13"/>
      <c r="T24" s="13"/>
      <c r="U24" s="13">
        <v>0</v>
      </c>
      <c r="V24" s="13">
        <v>0</v>
      </c>
      <c r="W24" s="13">
        <v>0</v>
      </c>
      <c r="X24" s="13">
        <v>0</v>
      </c>
      <c r="Y24" s="13">
        <v>58.353400000000001</v>
      </c>
      <c r="Z24" s="13">
        <v>0</v>
      </c>
      <c r="AA24" s="13">
        <v>0</v>
      </c>
      <c r="AB24" s="13"/>
      <c r="AC24" s="13">
        <v>180.21969999999999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P24" s="13">
        <v>1</v>
      </c>
    </row>
    <row r="25" spans="1:42" ht="11.25" customHeight="1" x14ac:dyDescent="0.3">
      <c r="A25" s="146"/>
      <c r="B25" s="146"/>
      <c r="C25" s="146"/>
      <c r="D25" s="23" t="s">
        <v>28</v>
      </c>
      <c r="E25" s="23" t="s">
        <v>25</v>
      </c>
      <c r="F25" s="23" t="s">
        <v>25</v>
      </c>
      <c r="G25" s="24" t="s">
        <v>84</v>
      </c>
      <c r="H25" s="24" t="s">
        <v>78</v>
      </c>
      <c r="I25" s="24">
        <f>'MERCADO TUSD'!$U$22</f>
        <v>121.26</v>
      </c>
      <c r="J25" s="15"/>
      <c r="L25" s="13"/>
      <c r="M25" s="13"/>
      <c r="N25" s="13"/>
      <c r="O25" s="13"/>
      <c r="P25" s="13"/>
      <c r="Q25" s="13"/>
      <c r="R25" s="13"/>
      <c r="S25" s="13"/>
      <c r="T25" s="13"/>
      <c r="U25" s="13">
        <v>0</v>
      </c>
      <c r="V25" s="13">
        <v>0</v>
      </c>
      <c r="W25" s="13">
        <v>0</v>
      </c>
      <c r="X25" s="13">
        <v>0</v>
      </c>
      <c r="Y25" s="13">
        <f>(1 - CUSTOS!$M$24)*58.3534</f>
        <v>58.353400000000001</v>
      </c>
      <c r="Z25" s="13">
        <v>0</v>
      </c>
      <c r="AA25" s="13">
        <v>0</v>
      </c>
      <c r="AB25" s="13"/>
      <c r="AC25" s="13">
        <f>(1 - CUSTOS!$M$24)*180.2197</f>
        <v>180.21969999999999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P25" s="13">
        <f>IF((1 - CUSTOS!$M$24)&lt;&gt;0,1/(1 - CUSTOS!$M$24),1)</f>
        <v>1</v>
      </c>
    </row>
    <row r="26" spans="1:42" ht="11.25" customHeight="1" x14ac:dyDescent="0.3">
      <c r="A26" s="146"/>
      <c r="B26" s="146"/>
      <c r="C26" s="146"/>
      <c r="D26" s="23" t="s">
        <v>29</v>
      </c>
      <c r="E26" s="23" t="s">
        <v>25</v>
      </c>
      <c r="F26" s="23" t="s">
        <v>25</v>
      </c>
      <c r="G26" s="24" t="s">
        <v>84</v>
      </c>
      <c r="H26" s="24" t="s">
        <v>78</v>
      </c>
      <c r="I26" s="24">
        <f>'MERCADO TUSD'!$U$23</f>
        <v>254.32</v>
      </c>
      <c r="J26" s="15"/>
      <c r="L26" s="13"/>
      <c r="M26" s="13"/>
      <c r="N26" s="13"/>
      <c r="O26" s="13"/>
      <c r="P26" s="13"/>
      <c r="Q26" s="13"/>
      <c r="R26" s="13"/>
      <c r="S26" s="13"/>
      <c r="T26" s="13"/>
      <c r="U26" s="13">
        <v>0</v>
      </c>
      <c r="V26" s="13">
        <v>0</v>
      </c>
      <c r="W26" s="13">
        <v>0</v>
      </c>
      <c r="X26" s="13">
        <v>0</v>
      </c>
      <c r="Y26" s="13">
        <f>(1 - CUSTOS!$M$25)*58.3534</f>
        <v>58.353400000000001</v>
      </c>
      <c r="Z26" s="13">
        <v>0</v>
      </c>
      <c r="AA26" s="13">
        <v>0</v>
      </c>
      <c r="AB26" s="13"/>
      <c r="AC26" s="13">
        <f>(1 - CUSTOS!$M$25)*180.2197</f>
        <v>180.21969999999999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P26" s="13">
        <f>IF((1 - CUSTOS!$M$25)&lt;&gt;0,1/(1 - CUSTOS!$M$25),1)</f>
        <v>1</v>
      </c>
    </row>
    <row r="27" spans="1:42" ht="11.25" customHeight="1" x14ac:dyDescent="0.3">
      <c r="A27" s="146"/>
      <c r="B27" s="146"/>
      <c r="C27" s="146"/>
      <c r="D27" s="23" t="s">
        <v>30</v>
      </c>
      <c r="E27" s="23" t="s">
        <v>25</v>
      </c>
      <c r="F27" s="23" t="s">
        <v>25</v>
      </c>
      <c r="G27" s="24" t="s">
        <v>84</v>
      </c>
      <c r="H27" s="24" t="s">
        <v>78</v>
      </c>
      <c r="I27" s="24">
        <f>'MERCADO TUSD'!$U$24</f>
        <v>248.52100000000002</v>
      </c>
      <c r="J27" s="15"/>
      <c r="L27" s="13"/>
      <c r="M27" s="13"/>
      <c r="N27" s="13"/>
      <c r="O27" s="13"/>
      <c r="P27" s="13"/>
      <c r="Q27" s="13"/>
      <c r="R27" s="13"/>
      <c r="S27" s="13"/>
      <c r="T27" s="13"/>
      <c r="U27" s="13">
        <v>0</v>
      </c>
      <c r="V27" s="13">
        <v>0</v>
      </c>
      <c r="W27" s="13">
        <v>0</v>
      </c>
      <c r="X27" s="13">
        <v>0</v>
      </c>
      <c r="Y27" s="13">
        <f>(1 - CUSTOS!$M$26)*58.3534</f>
        <v>58.353400000000001</v>
      </c>
      <c r="Z27" s="13">
        <v>0</v>
      </c>
      <c r="AA27" s="13">
        <v>0</v>
      </c>
      <c r="AB27" s="13"/>
      <c r="AC27" s="13">
        <f>(1 - CUSTOS!$M$26)*180.2197</f>
        <v>180.21969999999999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P27" s="13">
        <f>IF((1 - CUSTOS!$M$26)&lt;&gt;0,1/(1 - CUSTOS!$M$26),1)</f>
        <v>1</v>
      </c>
    </row>
    <row r="28" spans="1:42" ht="11.25" customHeight="1" x14ac:dyDescent="0.3">
      <c r="A28" s="146"/>
      <c r="B28" s="146"/>
      <c r="C28" s="146"/>
      <c r="D28" s="23" t="s">
        <v>31</v>
      </c>
      <c r="E28" s="23" t="s">
        <v>25</v>
      </c>
      <c r="F28" s="23" t="s">
        <v>25</v>
      </c>
      <c r="G28" s="24" t="s">
        <v>84</v>
      </c>
      <c r="H28" s="24" t="s">
        <v>78</v>
      </c>
      <c r="I28" s="24">
        <f>'MERCADO TUSD'!$U$25</f>
        <v>91.992999999999995</v>
      </c>
      <c r="J28" s="15"/>
      <c r="L28" s="13"/>
      <c r="M28" s="13"/>
      <c r="N28" s="13"/>
      <c r="O28" s="13"/>
      <c r="P28" s="13"/>
      <c r="Q28" s="13"/>
      <c r="R28" s="13"/>
      <c r="S28" s="13"/>
      <c r="T28" s="13"/>
      <c r="U28" s="13">
        <v>0</v>
      </c>
      <c r="V28" s="13">
        <v>0</v>
      </c>
      <c r="W28" s="13">
        <v>0</v>
      </c>
      <c r="X28" s="13">
        <v>0</v>
      </c>
      <c r="Y28" s="13">
        <f>(1 - CUSTOS!$M$27)*58.3534</f>
        <v>58.353400000000001</v>
      </c>
      <c r="Z28" s="13">
        <v>0</v>
      </c>
      <c r="AA28" s="13">
        <v>0</v>
      </c>
      <c r="AB28" s="13"/>
      <c r="AC28" s="13">
        <f>(1 - CUSTOS!$M$27)*180.2197</f>
        <v>180.21969999999999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P28" s="13">
        <f>IF((1 - CUSTOS!$M$27)&lt;&gt;0,1/(1 - CUSTOS!$M$27),1)</f>
        <v>1</v>
      </c>
    </row>
    <row r="29" spans="1:42" ht="11.25" customHeight="1" x14ac:dyDescent="0.3">
      <c r="A29" s="146"/>
      <c r="B29" s="146" t="s">
        <v>92</v>
      </c>
      <c r="C29" s="146" t="s">
        <v>24</v>
      </c>
      <c r="D29" s="23" t="s">
        <v>24</v>
      </c>
      <c r="E29" s="23" t="s">
        <v>25</v>
      </c>
      <c r="F29" s="23" t="s">
        <v>25</v>
      </c>
      <c r="G29" s="24" t="s">
        <v>84</v>
      </c>
      <c r="H29" s="24" t="s">
        <v>78</v>
      </c>
      <c r="I29" s="24">
        <f>'MERCADO TUSD'!$U$26</f>
        <v>0</v>
      </c>
      <c r="J29" s="15"/>
      <c r="L29" s="13"/>
      <c r="M29" s="13"/>
      <c r="N29" s="13"/>
      <c r="O29" s="13"/>
      <c r="P29" s="13"/>
      <c r="Q29" s="13"/>
      <c r="R29" s="13"/>
      <c r="S29" s="13"/>
      <c r="T29" s="13"/>
      <c r="U29" s="13">
        <v>0</v>
      </c>
      <c r="V29" s="13">
        <v>0</v>
      </c>
      <c r="W29" s="13">
        <v>0</v>
      </c>
      <c r="X29" s="13">
        <v>0</v>
      </c>
      <c r="Y29" s="13">
        <v>58.353400000000001</v>
      </c>
      <c r="Z29" s="13">
        <v>0</v>
      </c>
      <c r="AA29" s="13">
        <v>0</v>
      </c>
      <c r="AB29" s="13"/>
      <c r="AC29" s="13">
        <v>180.21969999999999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P29" s="13">
        <v>1</v>
      </c>
    </row>
    <row r="30" spans="1:42" ht="11.25" customHeight="1" x14ac:dyDescent="0.3">
      <c r="A30" s="146"/>
      <c r="B30" s="146"/>
      <c r="C30" s="146"/>
      <c r="D30" s="23" t="s">
        <v>28</v>
      </c>
      <c r="E30" s="23" t="s">
        <v>25</v>
      </c>
      <c r="F30" s="23" t="s">
        <v>25</v>
      </c>
      <c r="G30" s="24" t="s">
        <v>84</v>
      </c>
      <c r="H30" s="24" t="s">
        <v>78</v>
      </c>
      <c r="I30" s="24">
        <f>'MERCADO TUSD'!$U$27</f>
        <v>0</v>
      </c>
      <c r="J30" s="15"/>
      <c r="L30" s="13"/>
      <c r="M30" s="13"/>
      <c r="N30" s="13"/>
      <c r="O30" s="13"/>
      <c r="P30" s="13"/>
      <c r="Q30" s="13"/>
      <c r="R30" s="13"/>
      <c r="S30" s="13"/>
      <c r="T30" s="13"/>
      <c r="U30" s="13">
        <v>0</v>
      </c>
      <c r="V30" s="13">
        <v>0</v>
      </c>
      <c r="W30" s="13">
        <v>0</v>
      </c>
      <c r="X30" s="13">
        <v>0</v>
      </c>
      <c r="Y30" s="13">
        <f>(1 - CUSTOS!$M$24)*58.3534</f>
        <v>58.353400000000001</v>
      </c>
      <c r="Z30" s="13">
        <v>0</v>
      </c>
      <c r="AA30" s="13">
        <v>0</v>
      </c>
      <c r="AB30" s="13"/>
      <c r="AC30" s="13">
        <f>(1 - CUSTOS!$M$24)*180.2197</f>
        <v>180.21969999999999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P30" s="13">
        <f>IF((1 - CUSTOS!$M$24)&lt;&gt;0,1/(1 - CUSTOS!$M$24),1)</f>
        <v>1</v>
      </c>
    </row>
    <row r="31" spans="1:42" ht="11.25" customHeight="1" x14ac:dyDescent="0.3">
      <c r="A31" s="146"/>
      <c r="B31" s="146"/>
      <c r="C31" s="146"/>
      <c r="D31" s="23" t="s">
        <v>29</v>
      </c>
      <c r="E31" s="23" t="s">
        <v>25</v>
      </c>
      <c r="F31" s="23" t="s">
        <v>25</v>
      </c>
      <c r="G31" s="24" t="s">
        <v>84</v>
      </c>
      <c r="H31" s="24" t="s">
        <v>78</v>
      </c>
      <c r="I31" s="24">
        <f>'MERCADO TUSD'!$U$28</f>
        <v>0</v>
      </c>
      <c r="J31" s="15"/>
      <c r="L31" s="13"/>
      <c r="M31" s="13"/>
      <c r="N31" s="13"/>
      <c r="O31" s="13"/>
      <c r="P31" s="13"/>
      <c r="Q31" s="13"/>
      <c r="R31" s="13"/>
      <c r="S31" s="13"/>
      <c r="T31" s="13"/>
      <c r="U31" s="13">
        <v>0</v>
      </c>
      <c r="V31" s="13">
        <v>0</v>
      </c>
      <c r="W31" s="13">
        <v>0</v>
      </c>
      <c r="X31" s="13">
        <v>0</v>
      </c>
      <c r="Y31" s="13">
        <f>(1 - CUSTOS!$M$25)*58.3534</f>
        <v>58.353400000000001</v>
      </c>
      <c r="Z31" s="13">
        <v>0</v>
      </c>
      <c r="AA31" s="13">
        <v>0</v>
      </c>
      <c r="AB31" s="13"/>
      <c r="AC31" s="13">
        <f>(1 - CUSTOS!$M$25)*180.2197</f>
        <v>180.21969999999999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P31" s="13">
        <f>IF((1 - CUSTOS!$M$25)&lt;&gt;0,1/(1 - CUSTOS!$M$25),1)</f>
        <v>1</v>
      </c>
    </row>
    <row r="32" spans="1:42" ht="11.25" customHeight="1" x14ac:dyDescent="0.3">
      <c r="A32" s="146"/>
      <c r="B32" s="146"/>
      <c r="C32" s="146"/>
      <c r="D32" s="23" t="s">
        <v>30</v>
      </c>
      <c r="E32" s="23" t="s">
        <v>25</v>
      </c>
      <c r="F32" s="23" t="s">
        <v>25</v>
      </c>
      <c r="G32" s="24" t="s">
        <v>84</v>
      </c>
      <c r="H32" s="24" t="s">
        <v>78</v>
      </c>
      <c r="I32" s="24">
        <f>'MERCADO TUSD'!$U$29</f>
        <v>0</v>
      </c>
      <c r="J32" s="15"/>
      <c r="L32" s="13"/>
      <c r="M32" s="13"/>
      <c r="N32" s="13"/>
      <c r="O32" s="13"/>
      <c r="P32" s="13"/>
      <c r="Q32" s="13"/>
      <c r="R32" s="13"/>
      <c r="S32" s="13"/>
      <c r="T32" s="13"/>
      <c r="U32" s="13">
        <v>0</v>
      </c>
      <c r="V32" s="13">
        <v>0</v>
      </c>
      <c r="W32" s="13">
        <v>0</v>
      </c>
      <c r="X32" s="13">
        <v>0</v>
      </c>
      <c r="Y32" s="13">
        <f>(1 - CUSTOS!$M$26)*58.3534</f>
        <v>58.353400000000001</v>
      </c>
      <c r="Z32" s="13">
        <v>0</v>
      </c>
      <c r="AA32" s="13">
        <v>0</v>
      </c>
      <c r="AB32" s="13"/>
      <c r="AC32" s="13">
        <f>(1 - CUSTOS!$M$26)*180.2197</f>
        <v>180.21969999999999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P32" s="13">
        <f>IF((1 - CUSTOS!$M$26)&lt;&gt;0,1/(1 - CUSTOS!$M$26),1)</f>
        <v>1</v>
      </c>
    </row>
    <row r="33" spans="1:42" ht="11.25" customHeight="1" x14ac:dyDescent="0.3">
      <c r="A33" s="146"/>
      <c r="B33" s="146"/>
      <c r="C33" s="146"/>
      <c r="D33" s="23" t="s">
        <v>31</v>
      </c>
      <c r="E33" s="23" t="s">
        <v>25</v>
      </c>
      <c r="F33" s="23" t="s">
        <v>25</v>
      </c>
      <c r="G33" s="24" t="s">
        <v>84</v>
      </c>
      <c r="H33" s="24" t="s">
        <v>78</v>
      </c>
      <c r="I33" s="24">
        <f>'MERCADO TUSD'!$U$30</f>
        <v>0</v>
      </c>
      <c r="J33" s="15"/>
      <c r="L33" s="13"/>
      <c r="M33" s="13"/>
      <c r="N33" s="13"/>
      <c r="O33" s="13"/>
      <c r="P33" s="13"/>
      <c r="Q33" s="13"/>
      <c r="R33" s="13"/>
      <c r="S33" s="13"/>
      <c r="T33" s="13"/>
      <c r="U33" s="13">
        <v>0</v>
      </c>
      <c r="V33" s="13">
        <v>0</v>
      </c>
      <c r="W33" s="13">
        <v>0</v>
      </c>
      <c r="X33" s="13">
        <v>0</v>
      </c>
      <c r="Y33" s="13">
        <f>(1 - CUSTOS!$M$27)*58.3534</f>
        <v>58.353400000000001</v>
      </c>
      <c r="Z33" s="13">
        <v>0</v>
      </c>
      <c r="AA33" s="13">
        <v>0</v>
      </c>
      <c r="AB33" s="13"/>
      <c r="AC33" s="13">
        <f>(1 - CUSTOS!$M$27)*180.2197</f>
        <v>180.21969999999999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P33" s="13">
        <f>IF((1 - CUSTOS!$M$27)&lt;&gt;0,1/(1 - CUSTOS!$M$27),1)</f>
        <v>1</v>
      </c>
    </row>
    <row r="34" spans="1:42" ht="11.25" customHeight="1" x14ac:dyDescent="0.3">
      <c r="A34" s="146" t="s">
        <v>41</v>
      </c>
      <c r="B34" s="146" t="s">
        <v>38</v>
      </c>
      <c r="C34" s="146" t="s">
        <v>42</v>
      </c>
      <c r="D34" s="146" t="s">
        <v>25</v>
      </c>
      <c r="E34" s="146" t="s">
        <v>25</v>
      </c>
      <c r="F34" s="146" t="s">
        <v>25</v>
      </c>
      <c r="G34" s="24" t="s">
        <v>79</v>
      </c>
      <c r="H34" s="24" t="s">
        <v>78</v>
      </c>
      <c r="I34" s="24">
        <f>'MERCADO TUSD'!$U$31</f>
        <v>0</v>
      </c>
      <c r="J34" s="15"/>
      <c r="L34" s="13"/>
      <c r="M34" s="13"/>
      <c r="N34" s="13"/>
      <c r="O34" s="13"/>
      <c r="P34" s="13"/>
      <c r="Q34" s="13"/>
      <c r="R34" s="13"/>
      <c r="S34" s="13"/>
      <c r="T34" s="13"/>
      <c r="U34" s="13">
        <v>0</v>
      </c>
      <c r="V34" s="13">
        <v>0</v>
      </c>
      <c r="W34" s="13">
        <v>0</v>
      </c>
      <c r="X34" s="13">
        <v>0</v>
      </c>
      <c r="Y34" s="13">
        <f>(1 - CUSTOS!$M$28)*356.516</f>
        <v>356.51600000000002</v>
      </c>
      <c r="Z34" s="13">
        <v>0</v>
      </c>
      <c r="AA34" s="13">
        <v>0</v>
      </c>
      <c r="AB34" s="13"/>
      <c r="AC34" s="13">
        <f>(1 - CUSTOS!$M$28)*1101.0704</f>
        <v>1101.0704000000001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P34" s="13">
        <f>IF((1 - CUSTOS!$M$28)&lt;&gt;0,1/(1 - CUSTOS!$M$28),1)</f>
        <v>1</v>
      </c>
    </row>
    <row r="35" spans="1:42" ht="11.25" customHeight="1" x14ac:dyDescent="0.3">
      <c r="A35" s="146"/>
      <c r="B35" s="146"/>
      <c r="C35" s="146"/>
      <c r="D35" s="146"/>
      <c r="E35" s="146"/>
      <c r="F35" s="146"/>
      <c r="G35" s="24" t="s">
        <v>89</v>
      </c>
      <c r="H35" s="24" t="s">
        <v>78</v>
      </c>
      <c r="I35" s="24">
        <f>'MERCADO TUSD'!$U$32</f>
        <v>0</v>
      </c>
      <c r="J35" s="15"/>
      <c r="L35" s="13"/>
      <c r="M35" s="13"/>
      <c r="N35" s="13"/>
      <c r="O35" s="13"/>
      <c r="P35" s="13"/>
      <c r="Q35" s="13"/>
      <c r="R35" s="13"/>
      <c r="S35" s="13"/>
      <c r="T35" s="13"/>
      <c r="U35" s="13">
        <v>0</v>
      </c>
      <c r="V35" s="13">
        <v>0</v>
      </c>
      <c r="W35" s="13">
        <v>0</v>
      </c>
      <c r="X35" s="13">
        <v>0</v>
      </c>
      <c r="Y35" s="13">
        <f>(1 - CUSTOS!$M$28)*99.1775</f>
        <v>99.177499999999995</v>
      </c>
      <c r="Z35" s="13">
        <v>0</v>
      </c>
      <c r="AA35" s="13">
        <v>0</v>
      </c>
      <c r="AB35" s="13"/>
      <c r="AC35" s="13">
        <f>(1 - CUSTOS!$M$28)*306.3014</f>
        <v>306.3014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P35" s="13">
        <f>IF((1 - CUSTOS!$M$28)&lt;&gt;0,1/(1 - CUSTOS!$M$28),1)</f>
        <v>1</v>
      </c>
    </row>
    <row r="36" spans="1:42" ht="11.25" customHeight="1" x14ac:dyDescent="0.3">
      <c r="A36" s="146"/>
      <c r="B36" s="146"/>
      <c r="C36" s="146"/>
      <c r="D36" s="146"/>
      <c r="E36" s="146"/>
      <c r="F36" s="146"/>
      <c r="G36" s="24" t="s">
        <v>80</v>
      </c>
      <c r="H36" s="24" t="s">
        <v>78</v>
      </c>
      <c r="I36" s="24">
        <f>'MERCADO TUSD'!$U$33</f>
        <v>0</v>
      </c>
      <c r="J36" s="15"/>
      <c r="L36" s="13"/>
      <c r="M36" s="13"/>
      <c r="N36" s="13"/>
      <c r="O36" s="13"/>
      <c r="P36" s="13"/>
      <c r="Q36" s="13"/>
      <c r="R36" s="13"/>
      <c r="S36" s="13"/>
      <c r="T36" s="13"/>
      <c r="U36" s="13">
        <v>0</v>
      </c>
      <c r="V36" s="13">
        <v>0</v>
      </c>
      <c r="W36" s="13">
        <v>0</v>
      </c>
      <c r="X36" s="13">
        <v>0</v>
      </c>
      <c r="Y36" s="13">
        <f>(1 - CUSTOS!$M$28)*16.339</f>
        <v>16.338999999999999</v>
      </c>
      <c r="Z36" s="13">
        <v>0</v>
      </c>
      <c r="AA36" s="13">
        <v>0</v>
      </c>
      <c r="AB36" s="13"/>
      <c r="AC36" s="13">
        <f>(1 - CUSTOS!$M$28)*50.4615</f>
        <v>50.461500000000001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P36" s="13">
        <f>IF((1 - CUSTOS!$M$28)&lt;&gt;0,1/(1 - CUSTOS!$M$28),1)</f>
        <v>1</v>
      </c>
    </row>
    <row r="37" spans="1:42" ht="11.25" customHeight="1" x14ac:dyDescent="0.3">
      <c r="A37" s="146"/>
      <c r="B37" s="23" t="s">
        <v>23</v>
      </c>
      <c r="C37" s="23" t="s">
        <v>42</v>
      </c>
      <c r="D37" s="23" t="s">
        <v>25</v>
      </c>
      <c r="E37" s="23" t="s">
        <v>25</v>
      </c>
      <c r="F37" s="23" t="s">
        <v>25</v>
      </c>
      <c r="G37" s="24" t="s">
        <v>84</v>
      </c>
      <c r="H37" s="24" t="s">
        <v>78</v>
      </c>
      <c r="I37" s="24">
        <f>'MERCADO TUSD'!$U$34</f>
        <v>3112.8609999999999</v>
      </c>
      <c r="J37" s="15"/>
      <c r="L37" s="13"/>
      <c r="M37" s="13"/>
      <c r="N37" s="13"/>
      <c r="O37" s="13"/>
      <c r="P37" s="13"/>
      <c r="Q37" s="13"/>
      <c r="R37" s="13"/>
      <c r="S37" s="13"/>
      <c r="T37" s="13"/>
      <c r="U37" s="13">
        <v>0</v>
      </c>
      <c r="V37" s="13">
        <v>0</v>
      </c>
      <c r="W37" s="13">
        <v>0</v>
      </c>
      <c r="X37" s="13">
        <v>0</v>
      </c>
      <c r="Y37" s="13">
        <f>(1 - CUSTOS!$M$28)*58.3534</f>
        <v>58.353400000000001</v>
      </c>
      <c r="Z37" s="13">
        <v>0</v>
      </c>
      <c r="AA37" s="13">
        <v>0</v>
      </c>
      <c r="AB37" s="13"/>
      <c r="AC37" s="13">
        <f>(1 - CUSTOS!$M$28)*180.2197</f>
        <v>180.21969999999999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P37" s="13">
        <f>IF((1 - CUSTOS!$M$28)&lt;&gt;0,1/(1 - CUSTOS!$M$28),1)</f>
        <v>1</v>
      </c>
    </row>
    <row r="38" spans="1:42" ht="11.25" customHeight="1" x14ac:dyDescent="0.3">
      <c r="A38" s="146"/>
      <c r="B38" s="146" t="s">
        <v>38</v>
      </c>
      <c r="C38" s="146" t="s">
        <v>42</v>
      </c>
      <c r="D38" s="146" t="s">
        <v>93</v>
      </c>
      <c r="E38" s="146" t="s">
        <v>25</v>
      </c>
      <c r="F38" s="146" t="s">
        <v>25</v>
      </c>
      <c r="G38" s="24" t="s">
        <v>79</v>
      </c>
      <c r="H38" s="24" t="s">
        <v>78</v>
      </c>
      <c r="I38" s="24">
        <f>'MERCADO TUSD'!$U$35</f>
        <v>0</v>
      </c>
      <c r="J38" s="15"/>
      <c r="L38" s="13"/>
      <c r="M38" s="13"/>
      <c r="N38" s="13"/>
      <c r="O38" s="13"/>
      <c r="P38" s="13"/>
      <c r="Q38" s="13"/>
      <c r="R38" s="13"/>
      <c r="S38" s="13"/>
      <c r="T38" s="13"/>
      <c r="U38" s="13">
        <v>0</v>
      </c>
      <c r="V38" s="13">
        <v>0</v>
      </c>
      <c r="W38" s="13">
        <v>0</v>
      </c>
      <c r="X38" s="13">
        <v>0</v>
      </c>
      <c r="Y38" s="13">
        <f>(1 - CUSTOS!$M$29)*356.516</f>
        <v>356.51600000000002</v>
      </c>
      <c r="Z38" s="13">
        <v>0</v>
      </c>
      <c r="AA38" s="13">
        <v>0</v>
      </c>
      <c r="AB38" s="13"/>
      <c r="AC38" s="13">
        <f>(1 - CUSTOS!$M$29)*1101.0704</f>
        <v>1101.0704000000001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P38" s="13">
        <f>IF((1 - CUSTOS!$M$29)&lt;&gt;0,1/(1 - CUSTOS!$M$29),1)</f>
        <v>1</v>
      </c>
    </row>
    <row r="39" spans="1:42" ht="11.25" customHeight="1" x14ac:dyDescent="0.3">
      <c r="A39" s="146"/>
      <c r="B39" s="146"/>
      <c r="C39" s="146"/>
      <c r="D39" s="146"/>
      <c r="E39" s="146"/>
      <c r="F39" s="146"/>
      <c r="G39" s="24" t="s">
        <v>89</v>
      </c>
      <c r="H39" s="24" t="s">
        <v>78</v>
      </c>
      <c r="I39" s="24">
        <f>'MERCADO TUSD'!$U$36</f>
        <v>0</v>
      </c>
      <c r="J39" s="15"/>
      <c r="L39" s="13"/>
      <c r="M39" s="13"/>
      <c r="N39" s="13"/>
      <c r="O39" s="13"/>
      <c r="P39" s="13"/>
      <c r="Q39" s="13"/>
      <c r="R39" s="13"/>
      <c r="S39" s="13"/>
      <c r="T39" s="13"/>
      <c r="U39" s="13">
        <v>0</v>
      </c>
      <c r="V39" s="13">
        <v>0</v>
      </c>
      <c r="W39" s="13">
        <v>0</v>
      </c>
      <c r="X39" s="13">
        <v>0</v>
      </c>
      <c r="Y39" s="13">
        <f>(1 - CUSTOS!$M$29)*99.1775</f>
        <v>99.177499999999995</v>
      </c>
      <c r="Z39" s="13">
        <v>0</v>
      </c>
      <c r="AA39" s="13">
        <v>0</v>
      </c>
      <c r="AB39" s="13"/>
      <c r="AC39" s="13">
        <f>(1 - CUSTOS!$M$29)*306.3014</f>
        <v>306.3014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P39" s="13">
        <f>IF((1 - CUSTOS!$M$29)&lt;&gt;0,1/(1 - CUSTOS!$M$29),1)</f>
        <v>1</v>
      </c>
    </row>
    <row r="40" spans="1:42" ht="11.25" customHeight="1" x14ac:dyDescent="0.3">
      <c r="A40" s="146"/>
      <c r="B40" s="146"/>
      <c r="C40" s="146"/>
      <c r="D40" s="146"/>
      <c r="E40" s="146"/>
      <c r="F40" s="146"/>
      <c r="G40" s="24" t="s">
        <v>80</v>
      </c>
      <c r="H40" s="24" t="s">
        <v>78</v>
      </c>
      <c r="I40" s="24">
        <f>'MERCADO TUSD'!$U$37</f>
        <v>0</v>
      </c>
      <c r="J40" s="15"/>
      <c r="L40" s="13"/>
      <c r="M40" s="13"/>
      <c r="N40" s="13"/>
      <c r="O40" s="13"/>
      <c r="P40" s="13"/>
      <c r="Q40" s="13"/>
      <c r="R40" s="13"/>
      <c r="S40" s="13"/>
      <c r="T40" s="13"/>
      <c r="U40" s="13">
        <v>0</v>
      </c>
      <c r="V40" s="13">
        <v>0</v>
      </c>
      <c r="W40" s="13">
        <v>0</v>
      </c>
      <c r="X40" s="13">
        <v>0</v>
      </c>
      <c r="Y40" s="13">
        <f>(1 - CUSTOS!$M$29)*16.339</f>
        <v>16.338999999999999</v>
      </c>
      <c r="Z40" s="13">
        <v>0</v>
      </c>
      <c r="AA40" s="13">
        <v>0</v>
      </c>
      <c r="AB40" s="13"/>
      <c r="AC40" s="13">
        <f>(1 - CUSTOS!$M$29)*50.4615</f>
        <v>50.461500000000001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P40" s="13">
        <f>IF((1 - CUSTOS!$M$29)&lt;&gt;0,1/(1 - CUSTOS!$M$29),1)</f>
        <v>1</v>
      </c>
    </row>
    <row r="41" spans="1:42" ht="11.25" customHeight="1" x14ac:dyDescent="0.3">
      <c r="A41" s="146"/>
      <c r="B41" s="23" t="s">
        <v>23</v>
      </c>
      <c r="C41" s="23" t="s">
        <v>42</v>
      </c>
      <c r="D41" s="23" t="s">
        <v>93</v>
      </c>
      <c r="E41" s="23" t="s">
        <v>25</v>
      </c>
      <c r="F41" s="23" t="s">
        <v>25</v>
      </c>
      <c r="G41" s="24" t="s">
        <v>84</v>
      </c>
      <c r="H41" s="24" t="s">
        <v>78</v>
      </c>
      <c r="I41" s="24">
        <f>'MERCADO TUSD'!$U$38</f>
        <v>0</v>
      </c>
      <c r="J41" s="15"/>
      <c r="L41" s="13"/>
      <c r="M41" s="13"/>
      <c r="N41" s="13"/>
      <c r="O41" s="13"/>
      <c r="P41" s="13"/>
      <c r="Q41" s="13"/>
      <c r="R41" s="13"/>
      <c r="S41" s="13"/>
      <c r="T41" s="13"/>
      <c r="U41" s="13">
        <v>0</v>
      </c>
      <c r="V41" s="13">
        <v>0</v>
      </c>
      <c r="W41" s="13">
        <v>0</v>
      </c>
      <c r="X41" s="13">
        <v>0</v>
      </c>
      <c r="Y41" s="13">
        <f>(1 - CUSTOS!$M$29)*58.3534</f>
        <v>58.353400000000001</v>
      </c>
      <c r="Z41" s="13">
        <v>0</v>
      </c>
      <c r="AA41" s="13">
        <v>0</v>
      </c>
      <c r="AB41" s="13"/>
      <c r="AC41" s="13">
        <f>(1 - CUSTOS!$M$29)*180.2197</f>
        <v>180.21969999999999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P41" s="13">
        <f>IF((1 - CUSTOS!$M$29)&lt;&gt;0,1/(1 - CUSTOS!$M$29),1)</f>
        <v>1</v>
      </c>
    </row>
    <row r="42" spans="1:42" ht="11.25" customHeight="1" x14ac:dyDescent="0.3">
      <c r="A42" s="146"/>
      <c r="B42" s="146" t="s">
        <v>38</v>
      </c>
      <c r="C42" s="146" t="s">
        <v>42</v>
      </c>
      <c r="D42" s="146" t="s">
        <v>94</v>
      </c>
      <c r="E42" s="146" t="s">
        <v>25</v>
      </c>
      <c r="F42" s="146" t="s">
        <v>25</v>
      </c>
      <c r="G42" s="24" t="s">
        <v>79</v>
      </c>
      <c r="H42" s="24" t="s">
        <v>78</v>
      </c>
      <c r="I42" s="24">
        <f>'MERCADO TUSD'!$U$39</f>
        <v>0</v>
      </c>
      <c r="J42" s="15"/>
      <c r="L42" s="13"/>
      <c r="M42" s="13"/>
      <c r="N42" s="13"/>
      <c r="O42" s="13"/>
      <c r="P42" s="13"/>
      <c r="Q42" s="13"/>
      <c r="R42" s="13"/>
      <c r="S42" s="13"/>
      <c r="T42" s="13"/>
      <c r="U42" s="13">
        <v>0</v>
      </c>
      <c r="V42" s="13">
        <v>0</v>
      </c>
      <c r="W42" s="13">
        <v>0</v>
      </c>
      <c r="X42" s="13">
        <v>0</v>
      </c>
      <c r="Y42" s="13">
        <f>(1 - CUSTOS!$M$30)*356.516</f>
        <v>356.51600000000002</v>
      </c>
      <c r="Z42" s="13">
        <v>0</v>
      </c>
      <c r="AA42" s="13">
        <v>0</v>
      </c>
      <c r="AB42" s="13"/>
      <c r="AC42" s="13">
        <f>(1 - CUSTOS!$M$30)*1101.0704</f>
        <v>1101.0704000000001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P42" s="13">
        <f>IF((1 - CUSTOS!$M$30)&lt;&gt;0,1/(1 - CUSTOS!$M$30),1)</f>
        <v>1</v>
      </c>
    </row>
    <row r="43" spans="1:42" ht="11.25" customHeight="1" x14ac:dyDescent="0.3">
      <c r="A43" s="146"/>
      <c r="B43" s="146"/>
      <c r="C43" s="146"/>
      <c r="D43" s="146"/>
      <c r="E43" s="146"/>
      <c r="F43" s="146"/>
      <c r="G43" s="24" t="s">
        <v>89</v>
      </c>
      <c r="H43" s="24" t="s">
        <v>78</v>
      </c>
      <c r="I43" s="24">
        <f>'MERCADO TUSD'!$U$40</f>
        <v>0</v>
      </c>
      <c r="J43" s="15"/>
      <c r="L43" s="13"/>
      <c r="M43" s="13"/>
      <c r="N43" s="13"/>
      <c r="O43" s="13"/>
      <c r="P43" s="13"/>
      <c r="Q43" s="13"/>
      <c r="R43" s="13"/>
      <c r="S43" s="13"/>
      <c r="T43" s="13"/>
      <c r="U43" s="13">
        <v>0</v>
      </c>
      <c r="V43" s="13">
        <v>0</v>
      </c>
      <c r="W43" s="13">
        <v>0</v>
      </c>
      <c r="X43" s="13">
        <v>0</v>
      </c>
      <c r="Y43" s="13">
        <f>(1 - CUSTOS!$M$30)*99.1775</f>
        <v>99.177499999999995</v>
      </c>
      <c r="Z43" s="13">
        <v>0</v>
      </c>
      <c r="AA43" s="13">
        <v>0</v>
      </c>
      <c r="AB43" s="13"/>
      <c r="AC43" s="13">
        <f>(1 - CUSTOS!$M$30)*306.3014</f>
        <v>306.3014</v>
      </c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P43" s="13">
        <f>IF((1 - CUSTOS!$M$30)&lt;&gt;0,1/(1 - CUSTOS!$M$30),1)</f>
        <v>1</v>
      </c>
    </row>
    <row r="44" spans="1:42" ht="11.25" customHeight="1" x14ac:dyDescent="0.3">
      <c r="A44" s="146"/>
      <c r="B44" s="146"/>
      <c r="C44" s="146"/>
      <c r="D44" s="146"/>
      <c r="E44" s="146"/>
      <c r="F44" s="146"/>
      <c r="G44" s="24" t="s">
        <v>80</v>
      </c>
      <c r="H44" s="24" t="s">
        <v>78</v>
      </c>
      <c r="I44" s="24">
        <f>'MERCADO TUSD'!$U$41</f>
        <v>0</v>
      </c>
      <c r="J44" s="15"/>
      <c r="L44" s="13"/>
      <c r="M44" s="13"/>
      <c r="N44" s="13"/>
      <c r="O44" s="13"/>
      <c r="P44" s="13"/>
      <c r="Q44" s="13"/>
      <c r="R44" s="13"/>
      <c r="S44" s="13"/>
      <c r="T44" s="13"/>
      <c r="U44" s="13">
        <v>0</v>
      </c>
      <c r="V44" s="13">
        <v>0</v>
      </c>
      <c r="W44" s="13">
        <v>0</v>
      </c>
      <c r="X44" s="13">
        <v>0</v>
      </c>
      <c r="Y44" s="13">
        <f>(1 - CUSTOS!$M$30)*16.339</f>
        <v>16.338999999999999</v>
      </c>
      <c r="Z44" s="13">
        <v>0</v>
      </c>
      <c r="AA44" s="13">
        <v>0</v>
      </c>
      <c r="AB44" s="13"/>
      <c r="AC44" s="13">
        <f>(1 - CUSTOS!$M$30)*50.4615</f>
        <v>50.461500000000001</v>
      </c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P44" s="13">
        <f>IF((1 - CUSTOS!$M$30)&lt;&gt;0,1/(1 - CUSTOS!$M$30),1)</f>
        <v>1</v>
      </c>
    </row>
    <row r="45" spans="1:42" ht="11.25" customHeight="1" x14ac:dyDescent="0.3">
      <c r="A45" s="146"/>
      <c r="B45" s="23" t="s">
        <v>23</v>
      </c>
      <c r="C45" s="23" t="s">
        <v>42</v>
      </c>
      <c r="D45" s="23" t="s">
        <v>94</v>
      </c>
      <c r="E45" s="23" t="s">
        <v>25</v>
      </c>
      <c r="F45" s="23" t="s">
        <v>25</v>
      </c>
      <c r="G45" s="24" t="s">
        <v>84</v>
      </c>
      <c r="H45" s="24" t="s">
        <v>78</v>
      </c>
      <c r="I45" s="24">
        <f>'MERCADO TUSD'!$U$42</f>
        <v>0</v>
      </c>
      <c r="J45" s="15"/>
      <c r="L45" s="13"/>
      <c r="M45" s="13"/>
      <c r="N45" s="13"/>
      <c r="O45" s="13"/>
      <c r="P45" s="13"/>
      <c r="Q45" s="13"/>
      <c r="R45" s="13"/>
      <c r="S45" s="13"/>
      <c r="T45" s="13"/>
      <c r="U45" s="13">
        <v>0</v>
      </c>
      <c r="V45" s="13">
        <v>0</v>
      </c>
      <c r="W45" s="13">
        <v>0</v>
      </c>
      <c r="X45" s="13">
        <v>0</v>
      </c>
      <c r="Y45" s="13">
        <f>(1 - CUSTOS!$M$30)*58.3534</f>
        <v>58.353400000000001</v>
      </c>
      <c r="Z45" s="13">
        <v>0</v>
      </c>
      <c r="AA45" s="13">
        <v>0</v>
      </c>
      <c r="AB45" s="13"/>
      <c r="AC45" s="13">
        <f>(1 - CUSTOS!$M$30)*180.2197</f>
        <v>180.21969999999999</v>
      </c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P45" s="13">
        <f>IF((1 - CUSTOS!$M$30)&lt;&gt;0,1/(1 - CUSTOS!$M$30),1)</f>
        <v>1</v>
      </c>
    </row>
    <row r="46" spans="1:42" ht="11.25" customHeight="1" x14ac:dyDescent="0.3">
      <c r="A46" s="146"/>
      <c r="B46" s="146" t="s">
        <v>92</v>
      </c>
      <c r="C46" s="146" t="s">
        <v>42</v>
      </c>
      <c r="D46" s="23" t="s">
        <v>25</v>
      </c>
      <c r="E46" s="23" t="s">
        <v>25</v>
      </c>
      <c r="F46" s="23" t="s">
        <v>25</v>
      </c>
      <c r="G46" s="24" t="s">
        <v>84</v>
      </c>
      <c r="H46" s="24" t="s">
        <v>78</v>
      </c>
      <c r="I46" s="24">
        <f>'MERCADO TUSD'!$U$43</f>
        <v>0</v>
      </c>
      <c r="J46" s="15"/>
      <c r="L46" s="13"/>
      <c r="M46" s="13"/>
      <c r="N46" s="13"/>
      <c r="O46" s="13"/>
      <c r="P46" s="13"/>
      <c r="Q46" s="13"/>
      <c r="R46" s="13"/>
      <c r="S46" s="13"/>
      <c r="T46" s="13"/>
      <c r="U46" s="13">
        <v>0</v>
      </c>
      <c r="V46" s="13">
        <v>0</v>
      </c>
      <c r="W46" s="13">
        <v>0</v>
      </c>
      <c r="X46" s="13">
        <v>0</v>
      </c>
      <c r="Y46" s="13">
        <f>(1 - CUSTOS!$M$28)*58.3534</f>
        <v>58.353400000000001</v>
      </c>
      <c r="Z46" s="13">
        <v>0</v>
      </c>
      <c r="AA46" s="13">
        <v>0</v>
      </c>
      <c r="AB46" s="13"/>
      <c r="AC46" s="13">
        <f>(1 - CUSTOS!$M$28)*180.2197</f>
        <v>180.21969999999999</v>
      </c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P46" s="13">
        <f>IF((1 - CUSTOS!$M$28)&lt;&gt;0,1/(1 - CUSTOS!$M$28),1)</f>
        <v>1</v>
      </c>
    </row>
    <row r="47" spans="1:42" ht="11.25" customHeight="1" x14ac:dyDescent="0.3">
      <c r="A47" s="146"/>
      <c r="B47" s="146"/>
      <c r="C47" s="146"/>
      <c r="D47" s="23" t="s">
        <v>93</v>
      </c>
      <c r="E47" s="23" t="s">
        <v>25</v>
      </c>
      <c r="F47" s="23" t="s">
        <v>25</v>
      </c>
      <c r="G47" s="24" t="s">
        <v>84</v>
      </c>
      <c r="H47" s="24" t="s">
        <v>78</v>
      </c>
      <c r="I47" s="24">
        <f>'MERCADO TUSD'!$U$44</f>
        <v>0</v>
      </c>
      <c r="J47" s="15"/>
      <c r="L47" s="13"/>
      <c r="M47" s="13"/>
      <c r="N47" s="13"/>
      <c r="O47" s="13"/>
      <c r="P47" s="13"/>
      <c r="Q47" s="13"/>
      <c r="R47" s="13"/>
      <c r="S47" s="13"/>
      <c r="T47" s="13"/>
      <c r="U47" s="13">
        <v>0</v>
      </c>
      <c r="V47" s="13">
        <v>0</v>
      </c>
      <c r="W47" s="13">
        <v>0</v>
      </c>
      <c r="X47" s="13">
        <v>0</v>
      </c>
      <c r="Y47" s="13">
        <f>(1 - CUSTOS!$M$29)*58.3534</f>
        <v>58.353400000000001</v>
      </c>
      <c r="Z47" s="13">
        <v>0</v>
      </c>
      <c r="AA47" s="13">
        <v>0</v>
      </c>
      <c r="AB47" s="13"/>
      <c r="AC47" s="13">
        <f>(1 - CUSTOS!$M$29)*180.2197</f>
        <v>180.21969999999999</v>
      </c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P47" s="13">
        <f>IF((1 - CUSTOS!$M$29)&lt;&gt;0,1/(1 - CUSTOS!$M$29),1)</f>
        <v>1</v>
      </c>
    </row>
    <row r="48" spans="1:42" ht="11.25" customHeight="1" x14ac:dyDescent="0.3">
      <c r="A48" s="146"/>
      <c r="B48" s="146"/>
      <c r="C48" s="146"/>
      <c r="D48" s="23" t="s">
        <v>94</v>
      </c>
      <c r="E48" s="23" t="s">
        <v>25</v>
      </c>
      <c r="F48" s="23" t="s">
        <v>25</v>
      </c>
      <c r="G48" s="24" t="s">
        <v>84</v>
      </c>
      <c r="H48" s="24" t="s">
        <v>78</v>
      </c>
      <c r="I48" s="24">
        <f>'MERCADO TUSD'!$U$45</f>
        <v>0</v>
      </c>
      <c r="J48" s="15"/>
      <c r="L48" s="13"/>
      <c r="M48" s="13"/>
      <c r="N48" s="13"/>
      <c r="O48" s="13"/>
      <c r="P48" s="13"/>
      <c r="Q48" s="13"/>
      <c r="R48" s="13"/>
      <c r="S48" s="13"/>
      <c r="T48" s="13"/>
      <c r="U48" s="13">
        <v>0</v>
      </c>
      <c r="V48" s="13">
        <v>0</v>
      </c>
      <c r="W48" s="13">
        <v>0</v>
      </c>
      <c r="X48" s="13">
        <v>0</v>
      </c>
      <c r="Y48" s="13">
        <f>(1 - CUSTOS!$M$30)*58.3534</f>
        <v>58.353400000000001</v>
      </c>
      <c r="Z48" s="13">
        <v>0</v>
      </c>
      <c r="AA48" s="13">
        <v>0</v>
      </c>
      <c r="AB48" s="13"/>
      <c r="AC48" s="13">
        <f>(1 - CUSTOS!$M$30)*180.2197</f>
        <v>180.21969999999999</v>
      </c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P48" s="13">
        <f>IF((1 - CUSTOS!$M$30)&lt;&gt;0,1/(1 - CUSTOS!$M$30),1)</f>
        <v>1</v>
      </c>
    </row>
    <row r="49" spans="1:42" ht="11.25" customHeight="1" x14ac:dyDescent="0.3">
      <c r="A49" s="146" t="s">
        <v>32</v>
      </c>
      <c r="B49" s="146" t="s">
        <v>38</v>
      </c>
      <c r="C49" s="146" t="s">
        <v>25</v>
      </c>
      <c r="D49" s="146" t="s">
        <v>25</v>
      </c>
      <c r="E49" s="146" t="s">
        <v>25</v>
      </c>
      <c r="F49" s="146" t="s">
        <v>25</v>
      </c>
      <c r="G49" s="24" t="s">
        <v>79</v>
      </c>
      <c r="H49" s="24" t="s">
        <v>78</v>
      </c>
      <c r="I49" s="24">
        <f>'MERCADO TUSD'!$U$46</f>
        <v>4.4679999999999991</v>
      </c>
      <c r="J49" s="15"/>
      <c r="L49" s="13"/>
      <c r="M49" s="13"/>
      <c r="N49" s="13"/>
      <c r="O49" s="13"/>
      <c r="P49" s="13"/>
      <c r="Q49" s="13"/>
      <c r="R49" s="13"/>
      <c r="S49" s="13"/>
      <c r="T49" s="13"/>
      <c r="U49" s="13">
        <v>0</v>
      </c>
      <c r="V49" s="13">
        <v>0</v>
      </c>
      <c r="W49" s="13">
        <v>0</v>
      </c>
      <c r="X49" s="13">
        <v>0</v>
      </c>
      <c r="Y49" s="13">
        <f>(1 - CUSTOS!$M$31)*429.9712</f>
        <v>429.97120000000001</v>
      </c>
      <c r="Z49" s="13">
        <v>0</v>
      </c>
      <c r="AA49" s="13">
        <v>0</v>
      </c>
      <c r="AB49" s="13"/>
      <c r="AC49" s="13">
        <f>(1 - CUSTOS!$M$31)*1327.931</f>
        <v>1327.931</v>
      </c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P49" s="13">
        <f>IF((1 - CUSTOS!$M$31)&lt;&gt;0,1/(1 - CUSTOS!$M$31),1)</f>
        <v>1</v>
      </c>
    </row>
    <row r="50" spans="1:42" ht="11.25" customHeight="1" x14ac:dyDescent="0.3">
      <c r="A50" s="146"/>
      <c r="B50" s="146"/>
      <c r="C50" s="146"/>
      <c r="D50" s="146"/>
      <c r="E50" s="146"/>
      <c r="F50" s="146"/>
      <c r="G50" s="24" t="s">
        <v>89</v>
      </c>
      <c r="H50" s="24" t="s">
        <v>78</v>
      </c>
      <c r="I50" s="24">
        <f>'MERCADO TUSD'!$U$47</f>
        <v>4.7860000000000005</v>
      </c>
      <c r="J50" s="15"/>
      <c r="L50" s="13"/>
      <c r="M50" s="13"/>
      <c r="N50" s="13"/>
      <c r="O50" s="13"/>
      <c r="P50" s="13"/>
      <c r="Q50" s="13"/>
      <c r="R50" s="13"/>
      <c r="S50" s="13"/>
      <c r="T50" s="13"/>
      <c r="U50" s="13">
        <v>0</v>
      </c>
      <c r="V50" s="13">
        <v>0</v>
      </c>
      <c r="W50" s="13">
        <v>0</v>
      </c>
      <c r="X50" s="13">
        <v>0</v>
      </c>
      <c r="Y50" s="13">
        <f>(1 - CUSTOS!$M$31)*105.8998</f>
        <v>105.8998</v>
      </c>
      <c r="Z50" s="13">
        <v>0</v>
      </c>
      <c r="AA50" s="13">
        <v>0</v>
      </c>
      <c r="AB50" s="13"/>
      <c r="AC50" s="13">
        <f>(1 - CUSTOS!$M$31)*327.0627</f>
        <v>327.06270000000001</v>
      </c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P50" s="13">
        <f>IF((1 - CUSTOS!$M$31)&lt;&gt;0,1/(1 - CUSTOS!$M$31),1)</f>
        <v>1</v>
      </c>
    </row>
    <row r="51" spans="1:42" ht="11.25" customHeight="1" x14ac:dyDescent="0.3">
      <c r="A51" s="146"/>
      <c r="B51" s="146"/>
      <c r="C51" s="146"/>
      <c r="D51" s="146"/>
      <c r="E51" s="146"/>
      <c r="F51" s="146"/>
      <c r="G51" s="24" t="s">
        <v>80</v>
      </c>
      <c r="H51" s="24" t="s">
        <v>78</v>
      </c>
      <c r="I51" s="24">
        <f>'MERCADO TUSD'!$U$48</f>
        <v>153.63399999999999</v>
      </c>
      <c r="J51" s="15"/>
      <c r="L51" s="13"/>
      <c r="M51" s="13"/>
      <c r="N51" s="13"/>
      <c r="O51" s="13"/>
      <c r="P51" s="13"/>
      <c r="Q51" s="13"/>
      <c r="R51" s="13"/>
      <c r="S51" s="13"/>
      <c r="T51" s="13"/>
      <c r="U51" s="13">
        <v>0</v>
      </c>
      <c r="V51" s="13">
        <v>0</v>
      </c>
      <c r="W51" s="13">
        <v>0</v>
      </c>
      <c r="X51" s="13">
        <v>0</v>
      </c>
      <c r="Y51" s="13">
        <f>(1 - CUSTOS!$M$31)*30.3438</f>
        <v>30.343800000000002</v>
      </c>
      <c r="Z51" s="13">
        <v>0</v>
      </c>
      <c r="AA51" s="13">
        <v>0</v>
      </c>
      <c r="AB51" s="13"/>
      <c r="AC51" s="13">
        <f>(1 - CUSTOS!$M$31)*93.7143</f>
        <v>93.714299999999994</v>
      </c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P51" s="13">
        <f>IF((1 - CUSTOS!$M$31)&lt;&gt;0,1/(1 - CUSTOS!$M$31),1)</f>
        <v>1</v>
      </c>
    </row>
    <row r="52" spans="1:42" ht="11.25" customHeight="1" x14ac:dyDescent="0.3">
      <c r="A52" s="146"/>
      <c r="B52" s="23" t="s">
        <v>23</v>
      </c>
      <c r="C52" s="23" t="s">
        <v>25</v>
      </c>
      <c r="D52" s="23" t="s">
        <v>25</v>
      </c>
      <c r="E52" s="23" t="s">
        <v>25</v>
      </c>
      <c r="F52" s="23" t="s">
        <v>25</v>
      </c>
      <c r="G52" s="24" t="s">
        <v>84</v>
      </c>
      <c r="H52" s="24" t="s">
        <v>78</v>
      </c>
      <c r="I52" s="24">
        <f>'MERCADO TUSD'!$U$49</f>
        <v>6434.8159999999998</v>
      </c>
      <c r="J52" s="15"/>
      <c r="L52" s="13"/>
      <c r="M52" s="13"/>
      <c r="N52" s="13"/>
      <c r="O52" s="13"/>
      <c r="P52" s="13"/>
      <c r="Q52" s="13"/>
      <c r="R52" s="13"/>
      <c r="S52" s="13"/>
      <c r="T52" s="13"/>
      <c r="U52" s="13">
        <v>0</v>
      </c>
      <c r="V52" s="13">
        <v>0</v>
      </c>
      <c r="W52" s="13">
        <v>0</v>
      </c>
      <c r="X52" s="13">
        <v>0</v>
      </c>
      <c r="Y52" s="13">
        <f>(1 - CUSTOS!$M$31)*58.3534</f>
        <v>58.353400000000001</v>
      </c>
      <c r="Z52" s="13">
        <v>0</v>
      </c>
      <c r="AA52" s="13">
        <v>0</v>
      </c>
      <c r="AB52" s="13"/>
      <c r="AC52" s="13">
        <f>(1 - CUSTOS!$M$31)*180.2197</f>
        <v>180.21969999999999</v>
      </c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P52" s="13">
        <f>IF((1 - CUSTOS!$M$31)&lt;&gt;0,1/(1 - CUSTOS!$M$31),1)</f>
        <v>1</v>
      </c>
    </row>
    <row r="53" spans="1:42" ht="11.25" customHeight="1" x14ac:dyDescent="0.3">
      <c r="A53" s="146"/>
      <c r="B53" s="23" t="s">
        <v>92</v>
      </c>
      <c r="C53" s="23" t="s">
        <v>25</v>
      </c>
      <c r="D53" s="23" t="s">
        <v>25</v>
      </c>
      <c r="E53" s="23" t="s">
        <v>25</v>
      </c>
      <c r="F53" s="23" t="s">
        <v>25</v>
      </c>
      <c r="G53" s="24" t="s">
        <v>84</v>
      </c>
      <c r="H53" s="24" t="s">
        <v>78</v>
      </c>
      <c r="I53" s="24">
        <f>'MERCADO TUSD'!$U$50</f>
        <v>0</v>
      </c>
      <c r="J53" s="15"/>
      <c r="L53" s="13"/>
      <c r="M53" s="13"/>
      <c r="N53" s="13"/>
      <c r="O53" s="13"/>
      <c r="P53" s="13"/>
      <c r="Q53" s="13"/>
      <c r="R53" s="13"/>
      <c r="S53" s="13"/>
      <c r="T53" s="13"/>
      <c r="U53" s="13">
        <v>0</v>
      </c>
      <c r="V53" s="13">
        <v>0</v>
      </c>
      <c r="W53" s="13">
        <v>0</v>
      </c>
      <c r="X53" s="13">
        <v>0</v>
      </c>
      <c r="Y53" s="13">
        <f>(1 - CUSTOS!$M$31)*58.3534</f>
        <v>58.353400000000001</v>
      </c>
      <c r="Z53" s="13">
        <v>0</v>
      </c>
      <c r="AA53" s="13">
        <v>0</v>
      </c>
      <c r="AB53" s="13"/>
      <c r="AC53" s="13">
        <f>(1 - CUSTOS!$M$31)*180.2197</f>
        <v>180.21969999999999</v>
      </c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P53" s="13">
        <f>IF((1 - CUSTOS!$M$31)&lt;&gt;0,1/(1 - CUSTOS!$M$31),1)</f>
        <v>1</v>
      </c>
    </row>
    <row r="54" spans="1:42" ht="11.25" customHeight="1" x14ac:dyDescent="0.3">
      <c r="A54" s="146" t="s">
        <v>44</v>
      </c>
      <c r="B54" s="146" t="s">
        <v>23</v>
      </c>
      <c r="C54" s="146" t="s">
        <v>45</v>
      </c>
      <c r="D54" s="23" t="s">
        <v>46</v>
      </c>
      <c r="E54" s="23" t="s">
        <v>25</v>
      </c>
      <c r="F54" s="23" t="s">
        <v>25</v>
      </c>
      <c r="G54" s="24" t="s">
        <v>84</v>
      </c>
      <c r="H54" s="24" t="s">
        <v>78</v>
      </c>
      <c r="I54" s="24">
        <f>'MERCADO TUSD'!$U$51</f>
        <v>2415.7070000000003</v>
      </c>
      <c r="J54" s="15"/>
      <c r="L54" s="13"/>
      <c r="M54" s="13"/>
      <c r="N54" s="13"/>
      <c r="O54" s="13"/>
      <c r="P54" s="13"/>
      <c r="Q54" s="13"/>
      <c r="R54" s="13"/>
      <c r="S54" s="13"/>
      <c r="T54" s="13"/>
      <c r="U54" s="13">
        <v>0</v>
      </c>
      <c r="V54" s="13">
        <v>0</v>
      </c>
      <c r="W54" s="13">
        <v>0</v>
      </c>
      <c r="X54" s="13">
        <v>0</v>
      </c>
      <c r="Y54" s="13">
        <f>(1 - CUSTOS!$M$32)*58.3534</f>
        <v>32.094370000000005</v>
      </c>
      <c r="Z54" s="13">
        <v>0</v>
      </c>
      <c r="AA54" s="13">
        <v>0</v>
      </c>
      <c r="AB54" s="13"/>
      <c r="AC54" s="13">
        <f>(1 - CUSTOS!$M$32)*180.2197</f>
        <v>99.120835</v>
      </c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P54" s="13">
        <f>IF((1 - CUSTOS!$M$32)&lt;&gt;0,1/(1 - CUSTOS!$M$32),1)</f>
        <v>1.8181818181818181</v>
      </c>
    </row>
    <row r="55" spans="1:42" ht="11.25" customHeight="1" x14ac:dyDescent="0.3">
      <c r="A55" s="146"/>
      <c r="B55" s="146"/>
      <c r="C55" s="146"/>
      <c r="D55" s="24" t="s">
        <v>95</v>
      </c>
      <c r="E55" s="24" t="s">
        <v>25</v>
      </c>
      <c r="F55" s="24" t="s">
        <v>25</v>
      </c>
      <c r="G55" s="24" t="s">
        <v>84</v>
      </c>
      <c r="H55" s="24" t="s">
        <v>78</v>
      </c>
      <c r="I55" s="24">
        <f>'MERCADO TUSD'!$U$52</f>
        <v>0</v>
      </c>
      <c r="J55" s="15"/>
      <c r="L55" s="13"/>
      <c r="M55" s="13"/>
      <c r="N55" s="13"/>
      <c r="O55" s="13"/>
      <c r="P55" s="13"/>
      <c r="Q55" s="13"/>
      <c r="R55" s="13"/>
      <c r="S55" s="13"/>
      <c r="T55" s="13"/>
      <c r="U55" s="13">
        <v>0</v>
      </c>
      <c r="V55" s="13">
        <v>0</v>
      </c>
      <c r="W55" s="13">
        <v>0</v>
      </c>
      <c r="X55" s="13">
        <v>0</v>
      </c>
      <c r="Y55" s="13">
        <f>(1 - CUSTOS!$M$33)*58.3534</f>
        <v>35.012039999999999</v>
      </c>
      <c r="Z55" s="13">
        <v>0</v>
      </c>
      <c r="AA55" s="13">
        <v>0</v>
      </c>
      <c r="AB55" s="13"/>
      <c r="AC55" s="13">
        <f>(1 - CUSTOS!$M$33)*180.2197</f>
        <v>108.13181999999999</v>
      </c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P55" s="13">
        <f>IF((1 - CUSTOS!$M$33)&lt;&gt;0,1/(1 - CUSTOS!$M$33),1)</f>
        <v>1.6666666666666667</v>
      </c>
    </row>
  </sheetData>
  <mergeCells count="79">
    <mergeCell ref="E49:E51"/>
    <mergeCell ref="F49:F51"/>
    <mergeCell ref="A54:A55"/>
    <mergeCell ref="B54:B55"/>
    <mergeCell ref="C54:C55"/>
    <mergeCell ref="D49:D51"/>
    <mergeCell ref="B46:B48"/>
    <mergeCell ref="C46:C48"/>
    <mergeCell ref="A49:A53"/>
    <mergeCell ref="B49:B51"/>
    <mergeCell ref="C49:C51"/>
    <mergeCell ref="A34:A48"/>
    <mergeCell ref="B34:B36"/>
    <mergeCell ref="C34:C36"/>
    <mergeCell ref="B42:B44"/>
    <mergeCell ref="C42:C44"/>
    <mergeCell ref="B38:B40"/>
    <mergeCell ref="C38:C40"/>
    <mergeCell ref="D42:D44"/>
    <mergeCell ref="E42:E44"/>
    <mergeCell ref="F42:F44"/>
    <mergeCell ref="D34:D36"/>
    <mergeCell ref="E34:E36"/>
    <mergeCell ref="F34:F36"/>
    <mergeCell ref="D38:D40"/>
    <mergeCell ref="E38:E40"/>
    <mergeCell ref="F38:F40"/>
    <mergeCell ref="A21:A33"/>
    <mergeCell ref="B21:B23"/>
    <mergeCell ref="C21:C23"/>
    <mergeCell ref="D21:D23"/>
    <mergeCell ref="E21:E23"/>
    <mergeCell ref="F21:F23"/>
    <mergeCell ref="B24:B28"/>
    <mergeCell ref="C24:C28"/>
    <mergeCell ref="B29:B33"/>
    <mergeCell ref="C29:C33"/>
    <mergeCell ref="F14:F16"/>
    <mergeCell ref="E17:E18"/>
    <mergeCell ref="F17:F18"/>
    <mergeCell ref="A19:A20"/>
    <mergeCell ref="B19:B20"/>
    <mergeCell ref="C19:C20"/>
    <mergeCell ref="D19:D20"/>
    <mergeCell ref="A9:A18"/>
    <mergeCell ref="B9:B12"/>
    <mergeCell ref="C9:C12"/>
    <mergeCell ref="D9:D12"/>
    <mergeCell ref="E9:E11"/>
    <mergeCell ref="F9:F11"/>
    <mergeCell ref="B14:B18"/>
    <mergeCell ref="C14:C18"/>
    <mergeCell ref="D14:D18"/>
    <mergeCell ref="E14:E16"/>
    <mergeCell ref="AE3:AG3"/>
    <mergeCell ref="AH3:AL3"/>
    <mergeCell ref="AM3:AM4"/>
    <mergeCell ref="A5:A8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M1"/>
    <mergeCell ref="A1:A4"/>
    <mergeCell ref="AP1:AP4"/>
    <mergeCell ref="L2:AM2"/>
    <mergeCell ref="L3:T3"/>
    <mergeCell ref="U3:AB3"/>
    <mergeCell ref="AC3:AD3"/>
    <mergeCell ref="B1:B4"/>
    <mergeCell ref="C1:C4"/>
    <mergeCell ref="D1:D4"/>
    <mergeCell ref="E1:E4"/>
    <mergeCell ref="F1:F4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2DBB6-906F-4AD8-AF5A-DF66A7D682CD}">
  <dimension ref="A1:AP75"/>
  <sheetViews>
    <sheetView showGridLines="0" topLeftCell="C40" workbookViewId="0">
      <selection activeCell="K66" sqref="K66:P66"/>
    </sheetView>
  </sheetViews>
  <sheetFormatPr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3" width="9.5546875" style="9" bestFit="1" customWidth="1"/>
    <col min="14" max="14" width="10.77734375" style="9" bestFit="1" customWidth="1"/>
    <col min="15" max="16" width="8.21875" style="9" bestFit="1" customWidth="1"/>
    <col min="17" max="18" width="9.109375" style="9" bestFit="1" customWidth="1"/>
    <col min="19" max="19" width="8" style="9" bestFit="1" customWidth="1"/>
    <col min="20" max="20" width="9.88671875" style="9" bestFit="1" customWidth="1"/>
    <col min="21" max="21" width="7.109375" style="9" bestFit="1" customWidth="1"/>
    <col min="22" max="22" width="7" style="9" bestFit="1" customWidth="1"/>
    <col min="23" max="23" width="9.21875" style="9" bestFit="1" customWidth="1"/>
    <col min="24" max="24" width="9.33203125" style="9" bestFit="1" customWidth="1"/>
    <col min="25" max="25" width="9.886718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9.109375" style="9" bestFit="1" customWidth="1"/>
    <col min="31" max="31" width="9.5546875" style="9" bestFit="1" customWidth="1"/>
    <col min="32" max="32" width="6.88671875" style="9" bestFit="1" customWidth="1"/>
    <col min="33" max="33" width="9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7.109375" style="9" bestFit="1" customWidth="1"/>
    <col min="38" max="38" width="9.109375" style="9" bestFit="1" customWidth="1"/>
    <col min="39" max="39" width="9.88671875" style="9" bestFit="1" customWidth="1"/>
    <col min="40" max="41" width="8.88671875" style="9"/>
    <col min="42" max="42" width="7.21875" style="9" bestFit="1" customWidth="1"/>
    <col min="43" max="16384" width="8.88671875" style="9"/>
  </cols>
  <sheetData>
    <row r="1" spans="1:42" ht="11.25" customHeight="1" x14ac:dyDescent="0.3">
      <c r="A1" s="143" t="s">
        <v>68</v>
      </c>
      <c r="B1" s="143" t="s">
        <v>69</v>
      </c>
      <c r="C1" s="143" t="s">
        <v>70</v>
      </c>
      <c r="D1" s="143" t="s">
        <v>71</v>
      </c>
      <c r="E1" s="143" t="s">
        <v>72</v>
      </c>
      <c r="F1" s="143" t="s">
        <v>15</v>
      </c>
      <c r="G1" s="143" t="s">
        <v>74</v>
      </c>
      <c r="H1" s="143" t="s">
        <v>75</v>
      </c>
      <c r="I1" s="143" t="s">
        <v>588</v>
      </c>
      <c r="J1" s="134"/>
      <c r="L1" s="144" t="s">
        <v>589</v>
      </c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P1" s="144" t="s">
        <v>590</v>
      </c>
    </row>
    <row r="2" spans="1:42" ht="11.25" customHeight="1" x14ac:dyDescent="0.3">
      <c r="A2" s="143"/>
      <c r="B2" s="143"/>
      <c r="C2" s="143"/>
      <c r="D2" s="143"/>
      <c r="E2" s="143"/>
      <c r="F2" s="143"/>
      <c r="G2" s="143"/>
      <c r="H2" s="143"/>
      <c r="I2" s="143"/>
      <c r="J2" s="134"/>
      <c r="L2" s="144" t="s">
        <v>487</v>
      </c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4"/>
      <c r="AM2" s="144"/>
      <c r="AP2" s="145"/>
    </row>
    <row r="3" spans="1:42" ht="11.25" customHeight="1" x14ac:dyDescent="0.3">
      <c r="A3" s="143"/>
      <c r="B3" s="143"/>
      <c r="C3" s="143"/>
      <c r="D3" s="143"/>
      <c r="E3" s="143"/>
      <c r="F3" s="143"/>
      <c r="G3" s="143"/>
      <c r="H3" s="143"/>
      <c r="I3" s="143"/>
      <c r="J3" s="134"/>
      <c r="L3" s="144" t="s">
        <v>488</v>
      </c>
      <c r="M3" s="144"/>
      <c r="N3" s="144"/>
      <c r="O3" s="144"/>
      <c r="P3" s="144"/>
      <c r="Q3" s="144"/>
      <c r="R3" s="144"/>
      <c r="S3" s="144"/>
      <c r="T3" s="144"/>
      <c r="U3" s="144" t="s">
        <v>497</v>
      </c>
      <c r="V3" s="144"/>
      <c r="W3" s="144"/>
      <c r="X3" s="144"/>
      <c r="Y3" s="144"/>
      <c r="Z3" s="144"/>
      <c r="AA3" s="144"/>
      <c r="AB3" s="144"/>
      <c r="AC3" s="144" t="s">
        <v>505</v>
      </c>
      <c r="AD3" s="144"/>
      <c r="AE3" s="144" t="s">
        <v>507</v>
      </c>
      <c r="AF3" s="144"/>
      <c r="AG3" s="144"/>
      <c r="AH3" s="144" t="s">
        <v>510</v>
      </c>
      <c r="AI3" s="144"/>
      <c r="AJ3" s="144"/>
      <c r="AK3" s="144"/>
      <c r="AL3" s="144"/>
      <c r="AM3" s="144" t="s">
        <v>496</v>
      </c>
      <c r="AP3" s="145"/>
    </row>
    <row r="4" spans="1:42" ht="11.25" customHeight="1" x14ac:dyDescent="0.3">
      <c r="A4" s="143"/>
      <c r="B4" s="143"/>
      <c r="C4" s="143"/>
      <c r="D4" s="143"/>
      <c r="E4" s="143"/>
      <c r="F4" s="143"/>
      <c r="G4" s="143"/>
      <c r="H4" s="143"/>
      <c r="I4" s="143"/>
      <c r="J4" s="134"/>
      <c r="L4" s="10" t="s">
        <v>573</v>
      </c>
      <c r="M4" s="10" t="s">
        <v>489</v>
      </c>
      <c r="N4" s="10" t="s">
        <v>490</v>
      </c>
      <c r="O4" s="10" t="s">
        <v>491</v>
      </c>
      <c r="P4" s="10" t="s">
        <v>492</v>
      </c>
      <c r="Q4" s="10" t="s">
        <v>493</v>
      </c>
      <c r="R4" s="10" t="s">
        <v>494</v>
      </c>
      <c r="S4" s="10" t="s">
        <v>495</v>
      </c>
      <c r="T4" s="10" t="s">
        <v>496</v>
      </c>
      <c r="U4" s="10" t="s">
        <v>498</v>
      </c>
      <c r="V4" s="10" t="s">
        <v>499</v>
      </c>
      <c r="W4" s="10" t="s">
        <v>500</v>
      </c>
      <c r="X4" s="10" t="s">
        <v>501</v>
      </c>
      <c r="Y4" s="10" t="s">
        <v>502</v>
      </c>
      <c r="Z4" s="10" t="s">
        <v>503</v>
      </c>
      <c r="AA4" s="10" t="s">
        <v>504</v>
      </c>
      <c r="AB4" s="10" t="s">
        <v>496</v>
      </c>
      <c r="AC4" s="10" t="s">
        <v>506</v>
      </c>
      <c r="AD4" s="10" t="s">
        <v>496</v>
      </c>
      <c r="AE4" s="10" t="s">
        <v>508</v>
      </c>
      <c r="AF4" s="10" t="s">
        <v>509</v>
      </c>
      <c r="AG4" s="10" t="s">
        <v>496</v>
      </c>
      <c r="AH4" s="10" t="s">
        <v>511</v>
      </c>
      <c r="AI4" s="10" t="s">
        <v>512</v>
      </c>
      <c r="AJ4" s="10" t="s">
        <v>513</v>
      </c>
      <c r="AK4" s="10" t="s">
        <v>514</v>
      </c>
      <c r="AL4" s="10" t="s">
        <v>496</v>
      </c>
      <c r="AM4" s="147"/>
      <c r="AP4" s="145"/>
    </row>
    <row r="5" spans="1:42" ht="11.25" customHeight="1" x14ac:dyDescent="0.3">
      <c r="A5" s="146" t="s">
        <v>61</v>
      </c>
      <c r="B5" s="146" t="s">
        <v>54</v>
      </c>
      <c r="C5" s="146" t="s">
        <v>25</v>
      </c>
      <c r="D5" s="146" t="s">
        <v>25</v>
      </c>
      <c r="E5" s="146" t="s">
        <v>25</v>
      </c>
      <c r="F5" s="146" t="s">
        <v>25</v>
      </c>
      <c r="G5" s="24" t="s">
        <v>82</v>
      </c>
      <c r="H5" s="24" t="s">
        <v>81</v>
      </c>
      <c r="I5" s="24">
        <f>'MERCADO TUSD'!$U$2</f>
        <v>14877.2</v>
      </c>
      <c r="J5" s="15"/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/>
      <c r="U5" s="13">
        <f>TRANSICAO!$U$5*CUSTOS!$P$3</f>
        <v>0</v>
      </c>
      <c r="V5" s="13">
        <f>TRANSICAO!$V$5*CUSTOS!$P$3</f>
        <v>0</v>
      </c>
      <c r="W5" s="13">
        <f>TRANSICAO!$W$5*CUSTOS!$P$3</f>
        <v>0</v>
      </c>
      <c r="X5" s="13">
        <f>TRANSICAO!$X$5*CUSTOS!$P$3</f>
        <v>0</v>
      </c>
      <c r="Y5" s="13">
        <f>TRANSICAO!$Y$5*CUSTOS!$P$3</f>
        <v>13.601100000000001</v>
      </c>
      <c r="Z5" s="13">
        <f>TRANSICAO!$Z$5*CUSTOS!$P$3</f>
        <v>0</v>
      </c>
      <c r="AA5" s="13">
        <f>TRANSICAO!$AA$5*CUSTOS!$P$3</f>
        <v>0</v>
      </c>
      <c r="AB5" s="13">
        <f>TRANSICAO!$AB$5*CUSTOS!$P$3</f>
        <v>0</v>
      </c>
      <c r="AC5" s="13">
        <f>TRANSICAO!$AC$5*CUSTOS!$P$3</f>
        <v>5.6981000000000002</v>
      </c>
      <c r="AD5" s="13">
        <f>TRANSICAO!$AD$5*CUSTOS!$P$3</f>
        <v>0</v>
      </c>
      <c r="AE5" s="13">
        <v>0</v>
      </c>
      <c r="AF5" s="13">
        <v>0</v>
      </c>
      <c r="AG5" s="13"/>
      <c r="AH5" s="13">
        <v>0</v>
      </c>
      <c r="AI5" s="13">
        <v>0</v>
      </c>
      <c r="AJ5" s="13">
        <v>0</v>
      </c>
      <c r="AK5" s="13">
        <f t="shared" ref="AK5:AK36" si="0">AJ5</f>
        <v>0</v>
      </c>
      <c r="AL5" s="13"/>
      <c r="AM5" s="13"/>
      <c r="AP5" s="13">
        <v>1</v>
      </c>
    </row>
    <row r="6" spans="1:42" ht="11.25" customHeight="1" x14ac:dyDescent="0.3">
      <c r="A6" s="146"/>
      <c r="B6" s="146"/>
      <c r="C6" s="146"/>
      <c r="D6" s="146"/>
      <c r="E6" s="146"/>
      <c r="F6" s="146"/>
      <c r="G6" s="24" t="s">
        <v>83</v>
      </c>
      <c r="H6" s="24" t="s">
        <v>81</v>
      </c>
      <c r="I6" s="24">
        <f>'MERCADO TUSD'!$U$3</f>
        <v>15070.4</v>
      </c>
      <c r="J6" s="15"/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/>
      <c r="U6" s="13">
        <f>TRANSICAO!$U$6*CUSTOS!$P$3</f>
        <v>0</v>
      </c>
      <c r="V6" s="13">
        <f>TRANSICAO!$V$6*CUSTOS!$P$3</f>
        <v>0</v>
      </c>
      <c r="W6" s="13">
        <f>TRANSICAO!$W$6*CUSTOS!$P$3</f>
        <v>0</v>
      </c>
      <c r="X6" s="13">
        <f>TRANSICAO!$X$6*CUSTOS!$P$3</f>
        <v>0</v>
      </c>
      <c r="Y6" s="13">
        <f>TRANSICAO!$Y$6*CUSTOS!$P$3</f>
        <v>6.9280999999999997</v>
      </c>
      <c r="Z6" s="13">
        <f>TRANSICAO!$Z$6*CUSTOS!$P$3</f>
        <v>0</v>
      </c>
      <c r="AA6" s="13">
        <f>TRANSICAO!$AA$6*CUSTOS!$P$3</f>
        <v>0</v>
      </c>
      <c r="AB6" s="13">
        <f>TRANSICAO!$AB$6*CUSTOS!$P$3</f>
        <v>0</v>
      </c>
      <c r="AC6" s="13">
        <f>TRANSICAO!$AC$6*CUSTOS!$P$3</f>
        <v>5.6981000000000002</v>
      </c>
      <c r="AD6" s="13">
        <f>TRANSICAO!$AD$6*CUSTOS!$P$3</f>
        <v>0</v>
      </c>
      <c r="AE6" s="13">
        <v>0</v>
      </c>
      <c r="AF6" s="13">
        <v>0</v>
      </c>
      <c r="AG6" s="13"/>
      <c r="AH6" s="13">
        <v>0</v>
      </c>
      <c r="AI6" s="13">
        <v>0</v>
      </c>
      <c r="AJ6" s="13">
        <v>0</v>
      </c>
      <c r="AK6" s="13">
        <f t="shared" si="0"/>
        <v>0</v>
      </c>
      <c r="AL6" s="13"/>
      <c r="AM6" s="13"/>
      <c r="AP6" s="13">
        <v>1</v>
      </c>
    </row>
    <row r="7" spans="1:42" ht="11.25" customHeight="1" x14ac:dyDescent="0.3">
      <c r="A7" s="146"/>
      <c r="B7" s="146"/>
      <c r="C7" s="146"/>
      <c r="D7" s="146"/>
      <c r="E7" s="146"/>
      <c r="F7" s="146"/>
      <c r="G7" s="24" t="s">
        <v>84</v>
      </c>
      <c r="H7" s="24" t="s">
        <v>78</v>
      </c>
      <c r="I7" s="24">
        <f>'MERCADO TUSD'!$U$4</f>
        <v>7641.8726999999999</v>
      </c>
      <c r="J7" s="15"/>
      <c r="L7" s="13">
        <f>0.62</f>
        <v>0.62</v>
      </c>
      <c r="M7" s="13">
        <f>IF(AND((+$I$7+$I$8)&lt;&gt;0,SUMPRODUCT($I$5:$I$55,$AC$5:$AC$55,$AP$5:$AP$55)&lt;&gt;0),$M$60*SUMPRODUCT($I$5:$I$8,$AC$5:$AC$8,$AP$5:$AP$8)/SUMPRODUCT($I$5:$I$55,$AC$5:$AC$55,$AP$5:$AP$55)/(+$I$7+$I$8),0)</f>
        <v>0.11036594994313971</v>
      </c>
      <c r="N7" s="13">
        <f ca="1">(+M7+O7+R7+U7+V7+W7+X7+Y7+Z7+AA7+AC7+AH7+AI7+AJ7+AK7)*CUSTOS!$M$5</f>
        <v>0.16043245974787687</v>
      </c>
      <c r="O7" s="13">
        <v>1</v>
      </c>
      <c r="P7" s="13">
        <v>1</v>
      </c>
      <c r="Q7" s="13">
        <f>0.62</f>
        <v>0.62</v>
      </c>
      <c r="R7" s="13">
        <v>1</v>
      </c>
      <c r="S7" s="13">
        <v>1</v>
      </c>
      <c r="T7" s="13"/>
      <c r="U7" s="13">
        <f>TRANSICAO!$U$7*CUSTOS!$P$3</f>
        <v>0</v>
      </c>
      <c r="V7" s="13">
        <f>TRANSICAO!$V$7*CUSTOS!$P$3</f>
        <v>0</v>
      </c>
      <c r="W7" s="13">
        <f>TRANSICAO!$W$7*CUSTOS!$P$3</f>
        <v>0</v>
      </c>
      <c r="X7" s="13">
        <f>TRANSICAO!$X$7*CUSTOS!$P$3</f>
        <v>0</v>
      </c>
      <c r="Y7" s="13">
        <f>TRANSICAO!$Y$7*CUSTOS!$P$3</f>
        <v>0</v>
      </c>
      <c r="Z7" s="13">
        <f>TRANSICAO!$Z$7*CUSTOS!$P$3</f>
        <v>0</v>
      </c>
      <c r="AA7" s="13">
        <f>TRANSICAO!$AA$7*CUSTOS!$P$3</f>
        <v>0</v>
      </c>
      <c r="AB7" s="13">
        <f>TRANSICAO!$AB$7*CUSTOS!$P$3</f>
        <v>0</v>
      </c>
      <c r="AC7" s="13">
        <f>TRANSICAO!$AC$7*CUSTOS!$P$3</f>
        <v>0</v>
      </c>
      <c r="AD7" s="13">
        <f>TRANSICAO!$AD$7*CUSTOS!$P$3</f>
        <v>0</v>
      </c>
      <c r="AE7" s="13">
        <v>0</v>
      </c>
      <c r="AF7" s="13">
        <v>0</v>
      </c>
      <c r="AG7" s="13"/>
      <c r="AH7" s="13">
        <v>6.4245999999999999</v>
      </c>
      <c r="AI7" s="13">
        <v>6.4245999999999999</v>
      </c>
      <c r="AJ7" s="13">
        <f ca="1">$N$67</f>
        <v>0.54184001242227453</v>
      </c>
      <c r="AK7" s="13">
        <f t="shared" ca="1" si="0"/>
        <v>0.54184001242227453</v>
      </c>
      <c r="AL7" s="13"/>
      <c r="AM7" s="13"/>
      <c r="AP7" s="13">
        <v>1</v>
      </c>
    </row>
    <row r="8" spans="1:42" ht="11.25" customHeight="1" x14ac:dyDescent="0.3">
      <c r="A8" s="146"/>
      <c r="B8" s="146"/>
      <c r="C8" s="146"/>
      <c r="D8" s="146"/>
      <c r="E8" s="23" t="s">
        <v>85</v>
      </c>
      <c r="F8" s="23" t="s">
        <v>25</v>
      </c>
      <c r="G8" s="24" t="s">
        <v>84</v>
      </c>
      <c r="H8" s="24" t="s">
        <v>78</v>
      </c>
      <c r="I8" s="24">
        <f>'MERCADO TUSD'!$U$5</f>
        <v>0</v>
      </c>
      <c r="J8" s="15"/>
      <c r="L8" s="13">
        <v>0</v>
      </c>
      <c r="M8" s="13">
        <f>IF(AND((+$I$7+$I$8)&lt;&gt;0,SUMPRODUCT($I$5:$I$55,$AC$5:$AC$55,$AP$5:$AP$55)&lt;&gt;0),$M$60*SUMPRODUCT($I$5:$I$8,$AC$5:$AC$8,$AP$5:$AP$8)/SUMPRODUCT($I$5:$I$55,$AC$5:$AC$55,$AP$5:$AP$55)/(+$I$7+$I$8),0)</f>
        <v>0.11036594994313971</v>
      </c>
      <c r="N8" s="13">
        <f ca="1">(+M8+O8+R8+U8+V8+W8+X8+Y8+Z8+AA8+AC8+AH8+AI8+AJ8+AK8)*CUSTOS!$M$5</f>
        <v>0.15043245974787692</v>
      </c>
      <c r="O8" s="13">
        <v>1</v>
      </c>
      <c r="P8" s="13">
        <v>0</v>
      </c>
      <c r="Q8" s="13">
        <v>0</v>
      </c>
      <c r="R8" s="13">
        <v>0</v>
      </c>
      <c r="S8" s="13">
        <v>0</v>
      </c>
      <c r="T8" s="13"/>
      <c r="U8" s="13">
        <f>TRANSICAO!$U$8*CUSTOS!$P$3</f>
        <v>0</v>
      </c>
      <c r="V8" s="13">
        <f>TRANSICAO!$V$8*CUSTOS!$P$3</f>
        <v>0</v>
      </c>
      <c r="W8" s="13">
        <f>TRANSICAO!$W$8*CUSTOS!$P$3</f>
        <v>0</v>
      </c>
      <c r="X8" s="13">
        <f>TRANSICAO!$X$8*CUSTOS!$P$3</f>
        <v>0</v>
      </c>
      <c r="Y8" s="13">
        <f>TRANSICAO!$Y$8*CUSTOS!$P$3</f>
        <v>0</v>
      </c>
      <c r="Z8" s="13">
        <f>TRANSICAO!$Z$8*CUSTOS!$P$3</f>
        <v>0</v>
      </c>
      <c r="AA8" s="13">
        <f>TRANSICAO!$AA$8*CUSTOS!$P$3</f>
        <v>0</v>
      </c>
      <c r="AB8" s="13">
        <f>TRANSICAO!$AB$8*CUSTOS!$P$3</f>
        <v>0</v>
      </c>
      <c r="AC8" s="13">
        <f>TRANSICAO!$AC$8*CUSTOS!$P$3</f>
        <v>0</v>
      </c>
      <c r="AD8" s="13">
        <f>TRANSICAO!$AD$8*CUSTOS!$P$3</f>
        <v>0</v>
      </c>
      <c r="AE8" s="13">
        <v>0</v>
      </c>
      <c r="AF8" s="13">
        <v>0</v>
      </c>
      <c r="AG8" s="13"/>
      <c r="AH8" s="13">
        <v>6.4245999999999999</v>
      </c>
      <c r="AI8" s="13">
        <v>6.4245999999999999</v>
      </c>
      <c r="AJ8" s="13">
        <f ca="1">$N$67</f>
        <v>0.54184001242227453</v>
      </c>
      <c r="AK8" s="13">
        <f t="shared" ca="1" si="0"/>
        <v>0.54184001242227453</v>
      </c>
      <c r="AL8" s="13"/>
      <c r="AM8" s="13"/>
      <c r="AP8" s="13">
        <v>1</v>
      </c>
    </row>
    <row r="9" spans="1:42" ht="11.25" customHeight="1" x14ac:dyDescent="0.3">
      <c r="A9" s="146" t="s">
        <v>34</v>
      </c>
      <c r="B9" s="146" t="s">
        <v>54</v>
      </c>
      <c r="C9" s="146" t="s">
        <v>25</v>
      </c>
      <c r="D9" s="146" t="s">
        <v>25</v>
      </c>
      <c r="E9" s="146" t="s">
        <v>25</v>
      </c>
      <c r="F9" s="146" t="s">
        <v>25</v>
      </c>
      <c r="G9" s="24" t="s">
        <v>82</v>
      </c>
      <c r="H9" s="24" t="s">
        <v>81</v>
      </c>
      <c r="I9" s="24">
        <f>'MERCADO TUSD'!$U$6</f>
        <v>74447</v>
      </c>
      <c r="J9" s="15"/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/>
      <c r="U9" s="13">
        <f>TRANSICAO!$U$9*CUSTOS!$R$3</f>
        <v>0</v>
      </c>
      <c r="V9" s="13">
        <f>TRANSICAO!$V$9*CUSTOS!$R$3</f>
        <v>0</v>
      </c>
      <c r="W9" s="13">
        <f>TRANSICAO!$W$9*CUSTOS!$R$3</f>
        <v>0</v>
      </c>
      <c r="X9" s="13">
        <f>TRANSICAO!$X$9*CUSTOS!$R$3</f>
        <v>0</v>
      </c>
      <c r="Y9" s="13">
        <f>TRANSICAO!$Y$9*CUSTOS!$R$3</f>
        <v>18.134799999999998</v>
      </c>
      <c r="Z9" s="13">
        <f>TRANSICAO!$Z$9*CUSTOS!$R$3</f>
        <v>0</v>
      </c>
      <c r="AA9" s="13">
        <f>TRANSICAO!$AA$9*CUSTOS!$R$3</f>
        <v>0</v>
      </c>
      <c r="AB9" s="13">
        <f>TRANSICAO!$AB$9*CUSTOS!$R$3</f>
        <v>0</v>
      </c>
      <c r="AC9" s="13">
        <f>TRANSICAO!$AC$9*CUSTOS!$R$3</f>
        <v>7.5975000000000001</v>
      </c>
      <c r="AD9" s="13">
        <f>TRANSICAO!$AD$9*CUSTOS!$R$3</f>
        <v>0</v>
      </c>
      <c r="AE9" s="13">
        <v>0</v>
      </c>
      <c r="AF9" s="13">
        <v>0</v>
      </c>
      <c r="AG9" s="13"/>
      <c r="AH9" s="13">
        <v>0</v>
      </c>
      <c r="AI9" s="13">
        <v>0</v>
      </c>
      <c r="AJ9" s="13">
        <v>0</v>
      </c>
      <c r="AK9" s="13">
        <f t="shared" si="0"/>
        <v>0</v>
      </c>
      <c r="AL9" s="13"/>
      <c r="AM9" s="13"/>
      <c r="AP9" s="13">
        <v>1</v>
      </c>
    </row>
    <row r="10" spans="1:42" ht="11.25" customHeight="1" x14ac:dyDescent="0.3">
      <c r="A10" s="146"/>
      <c r="B10" s="146"/>
      <c r="C10" s="146"/>
      <c r="D10" s="146"/>
      <c r="E10" s="146"/>
      <c r="F10" s="146"/>
      <c r="G10" s="24" t="s">
        <v>83</v>
      </c>
      <c r="H10" s="24" t="s">
        <v>81</v>
      </c>
      <c r="I10" s="24">
        <f>'MERCADO TUSD'!$U$7</f>
        <v>79182</v>
      </c>
      <c r="J10" s="15"/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/>
      <c r="U10" s="13">
        <f>TRANSICAO!$U$10*CUSTOS!$R$3</f>
        <v>0</v>
      </c>
      <c r="V10" s="13">
        <f>TRANSICAO!$V$10*CUSTOS!$R$3</f>
        <v>0</v>
      </c>
      <c r="W10" s="13">
        <f>TRANSICAO!$W$10*CUSTOS!$R$3</f>
        <v>0</v>
      </c>
      <c r="X10" s="13">
        <f>TRANSICAO!$X$10*CUSTOS!$R$3</f>
        <v>0</v>
      </c>
      <c r="Y10" s="13">
        <f>TRANSICAO!$Y$10*CUSTOS!$R$3</f>
        <v>9.2375000000000007</v>
      </c>
      <c r="Z10" s="13">
        <f>TRANSICAO!$Z$10*CUSTOS!$R$3</f>
        <v>0</v>
      </c>
      <c r="AA10" s="13">
        <f>TRANSICAO!$AA$10*CUSTOS!$R$3</f>
        <v>0</v>
      </c>
      <c r="AB10" s="13">
        <f>TRANSICAO!$AB$10*CUSTOS!$R$3</f>
        <v>0</v>
      </c>
      <c r="AC10" s="13">
        <f>TRANSICAO!$AC$10*CUSTOS!$R$3</f>
        <v>7.5975000000000001</v>
      </c>
      <c r="AD10" s="13">
        <f>TRANSICAO!$AD$10*CUSTOS!$R$3</f>
        <v>0</v>
      </c>
      <c r="AE10" s="13">
        <v>0</v>
      </c>
      <c r="AF10" s="13">
        <v>0</v>
      </c>
      <c r="AG10" s="13"/>
      <c r="AH10" s="13">
        <v>0</v>
      </c>
      <c r="AI10" s="13">
        <v>0</v>
      </c>
      <c r="AJ10" s="13">
        <v>0</v>
      </c>
      <c r="AK10" s="13">
        <f t="shared" si="0"/>
        <v>0</v>
      </c>
      <c r="AL10" s="13"/>
      <c r="AM10" s="13"/>
      <c r="AP10" s="13">
        <v>1</v>
      </c>
    </row>
    <row r="11" spans="1:42" ht="11.25" customHeight="1" x14ac:dyDescent="0.3">
      <c r="A11" s="146"/>
      <c r="B11" s="146"/>
      <c r="C11" s="146"/>
      <c r="D11" s="146"/>
      <c r="E11" s="146"/>
      <c r="F11" s="146"/>
      <c r="G11" s="24" t="s">
        <v>84</v>
      </c>
      <c r="H11" s="24" t="s">
        <v>78</v>
      </c>
      <c r="I11" s="24">
        <f>'MERCADO TUSD'!$U$8</f>
        <v>33099.82804</v>
      </c>
      <c r="J11" s="15"/>
      <c r="L11" s="13">
        <f>0.84</f>
        <v>0.84</v>
      </c>
      <c r="M11" s="13">
        <f>IF(AND((+$I$11+$I$12+$I$15+$I$16+$I$17+$I$18)&lt;&gt;0,SUMPRODUCT($I$5:$I$55,$AC$5:$AC$55,$AP$5:$AP$55)&lt;&gt;0),$M$60*SUMPRODUCT($I$9:$I$18,$AC$9:$AC$18,$AP$9:$AP$18)/SUMPRODUCT($I$5:$I$55,$AC$5:$AC$55,$AP$5:$AP$55)/(+$I$11+$I$12+$I$15+$I$16+$I$17+$I$18),0)</f>
        <v>0.20070761060973261</v>
      </c>
      <c r="N11" s="13">
        <f ca="1">(+M11+O11+R11+U11+V11+W11+X11+Y11+Z11+AA11+AC11+AH11+AI11+AJ11+AK11)*CUSTOS!$M$5</f>
        <v>0.20977356034005962</v>
      </c>
      <c r="O11" s="13">
        <v>1</v>
      </c>
      <c r="P11" s="13">
        <v>1</v>
      </c>
      <c r="Q11" s="13">
        <f>0.84</f>
        <v>0.84</v>
      </c>
      <c r="R11" s="13">
        <v>1</v>
      </c>
      <c r="S11" s="13">
        <v>1</v>
      </c>
      <c r="T11" s="13"/>
      <c r="U11" s="13">
        <f>TRANSICAO!$U$11*CUSTOS!$R$3</f>
        <v>0</v>
      </c>
      <c r="V11" s="13">
        <f>TRANSICAO!$V$11*CUSTOS!$R$3</f>
        <v>0</v>
      </c>
      <c r="W11" s="13">
        <f>TRANSICAO!$W$11*CUSTOS!$R$3</f>
        <v>0</v>
      </c>
      <c r="X11" s="13">
        <f>TRANSICAO!$X$11*CUSTOS!$R$3</f>
        <v>0</v>
      </c>
      <c r="Y11" s="13">
        <f>TRANSICAO!$Y$11*CUSTOS!$R$3</f>
        <v>0</v>
      </c>
      <c r="Z11" s="13">
        <f>TRANSICAO!$Z$11*CUSTOS!$R$3</f>
        <v>0</v>
      </c>
      <c r="AA11" s="13">
        <f>TRANSICAO!$AA$11*CUSTOS!$R$3</f>
        <v>0</v>
      </c>
      <c r="AB11" s="13">
        <f>TRANSICAO!$AB$11*CUSTOS!$R$3</f>
        <v>0</v>
      </c>
      <c r="AC11" s="13">
        <f>TRANSICAO!$AC$11*CUSTOS!$R$3</f>
        <v>0</v>
      </c>
      <c r="AD11" s="13">
        <f>TRANSICAO!$AD$11*CUSTOS!$R$3</f>
        <v>0</v>
      </c>
      <c r="AE11" s="13">
        <v>0</v>
      </c>
      <c r="AF11" s="13">
        <v>0</v>
      </c>
      <c r="AG11" s="13"/>
      <c r="AH11" s="13">
        <v>8.5661000000000005</v>
      </c>
      <c r="AI11" s="13">
        <v>8.5661000000000005</v>
      </c>
      <c r="AJ11" s="13">
        <f ca="1">$N$68</f>
        <v>0.82222421169811422</v>
      </c>
      <c r="AK11" s="13">
        <f t="shared" ca="1" si="0"/>
        <v>0.82222421169811422</v>
      </c>
      <c r="AL11" s="13"/>
      <c r="AM11" s="13"/>
      <c r="AP11" s="13">
        <v>1</v>
      </c>
    </row>
    <row r="12" spans="1:42" ht="11.25" customHeight="1" x14ac:dyDescent="0.3">
      <c r="A12" s="146"/>
      <c r="B12" s="146"/>
      <c r="C12" s="146"/>
      <c r="D12" s="146"/>
      <c r="E12" s="23" t="s">
        <v>85</v>
      </c>
      <c r="F12" s="23" t="s">
        <v>25</v>
      </c>
      <c r="G12" s="24" t="s">
        <v>84</v>
      </c>
      <c r="H12" s="24" t="s">
        <v>78</v>
      </c>
      <c r="I12" s="24">
        <f>'MERCADO TUSD'!$U$9</f>
        <v>0</v>
      </c>
      <c r="J12" s="15"/>
      <c r="L12" s="13">
        <v>0</v>
      </c>
      <c r="M12" s="13">
        <f>IF(AND((+$I$11+$I$12+$I$15+$I$16+$I$17+$I$18)&lt;&gt;0,SUMPRODUCT($I$5:$I$55,$AC$5:$AC$55,$AP$5:$AP$55)&lt;&gt;0),$M$60*SUMPRODUCT($I$9:$I$18,$AC$9:$AC$18,$AP$9:$AP$18)/SUMPRODUCT($I$5:$I$55,$AC$5:$AC$55,$AP$5:$AP$55)/(+$I$11+$I$12+$I$15+$I$16+$I$17+$I$18),0)</f>
        <v>0.20070761060973261</v>
      </c>
      <c r="N12" s="13">
        <f ca="1">(+M12+O12+R12+U12+V12+W12+X12+Y12+Z12+AA12+AC12+AH12+AI12+AJ12+AK12)*CUSTOS!$M$5</f>
        <v>0.19977356034005961</v>
      </c>
      <c r="O12" s="13">
        <v>1</v>
      </c>
      <c r="P12" s="13">
        <v>0</v>
      </c>
      <c r="Q12" s="13">
        <v>0</v>
      </c>
      <c r="R12" s="13">
        <v>0</v>
      </c>
      <c r="S12" s="13">
        <v>0</v>
      </c>
      <c r="T12" s="13"/>
      <c r="U12" s="13">
        <f>TRANSICAO!$U$12*CUSTOS!$R$3</f>
        <v>0</v>
      </c>
      <c r="V12" s="13">
        <f>TRANSICAO!$V$12*CUSTOS!$R$3</f>
        <v>0</v>
      </c>
      <c r="W12" s="13">
        <f>TRANSICAO!$W$12*CUSTOS!$R$3</f>
        <v>0</v>
      </c>
      <c r="X12" s="13">
        <f>TRANSICAO!$X$12*CUSTOS!$R$3</f>
        <v>0</v>
      </c>
      <c r="Y12" s="13">
        <f>TRANSICAO!$Y$12*CUSTOS!$R$3</f>
        <v>0</v>
      </c>
      <c r="Z12" s="13">
        <f>TRANSICAO!$Z$12*CUSTOS!$R$3</f>
        <v>0</v>
      </c>
      <c r="AA12" s="13">
        <f>TRANSICAO!$AA$12*CUSTOS!$R$3</f>
        <v>0</v>
      </c>
      <c r="AB12" s="13">
        <f>TRANSICAO!$AB$12*CUSTOS!$R$3</f>
        <v>0</v>
      </c>
      <c r="AC12" s="13">
        <f>TRANSICAO!$AC$12*CUSTOS!$R$3</f>
        <v>0</v>
      </c>
      <c r="AD12" s="13">
        <f>TRANSICAO!$AD$12*CUSTOS!$R$3</f>
        <v>0</v>
      </c>
      <c r="AE12" s="13">
        <v>0</v>
      </c>
      <c r="AF12" s="13">
        <v>0</v>
      </c>
      <c r="AG12" s="13"/>
      <c r="AH12" s="13">
        <v>8.5661000000000005</v>
      </c>
      <c r="AI12" s="13">
        <v>8.5661000000000005</v>
      </c>
      <c r="AJ12" s="13">
        <f ca="1">$N$68</f>
        <v>0.82222421169811422</v>
      </c>
      <c r="AK12" s="13">
        <f t="shared" ca="1" si="0"/>
        <v>0.82222421169811422</v>
      </c>
      <c r="AL12" s="13"/>
      <c r="AM12" s="13"/>
      <c r="AP12" s="13">
        <v>1</v>
      </c>
    </row>
    <row r="13" spans="1:42" ht="11.25" customHeight="1" x14ac:dyDescent="0.3">
      <c r="A13" s="146"/>
      <c r="B13" s="23" t="s">
        <v>57</v>
      </c>
      <c r="C13" s="23" t="s">
        <v>25</v>
      </c>
      <c r="D13" s="23" t="s">
        <v>25</v>
      </c>
      <c r="E13" s="23" t="s">
        <v>25</v>
      </c>
      <c r="F13" s="23" t="s">
        <v>25</v>
      </c>
      <c r="G13" s="24" t="s">
        <v>9</v>
      </c>
      <c r="H13" s="24" t="s">
        <v>81</v>
      </c>
      <c r="I13" s="24">
        <f>'MERCADO TUSD'!$U$10</f>
        <v>33000</v>
      </c>
      <c r="J13" s="15"/>
      <c r="L13" s="13">
        <v>0</v>
      </c>
      <c r="M13" s="13">
        <v>3.04E-2</v>
      </c>
      <c r="N13" s="13">
        <f>0.0763</f>
        <v>7.6300000000000007E-2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/>
      <c r="U13" s="13">
        <f>TRANSICAO!$U$13*CUSTOS!$R$4</f>
        <v>0</v>
      </c>
      <c r="V13" s="13">
        <f>TRANSICAO!$V$13*CUSTOS!$R$4</f>
        <v>0</v>
      </c>
      <c r="W13" s="13">
        <f>TRANSICAO!$W$13*CUSTOS!$R$4</f>
        <v>0</v>
      </c>
      <c r="X13" s="13">
        <f>TRANSICAO!$X$13*CUSTOS!$R$4</f>
        <v>0</v>
      </c>
      <c r="Y13" s="13">
        <f>TRANSICAO!$Y$13*CUSTOS!$R$4</f>
        <v>0</v>
      </c>
      <c r="Z13" s="13">
        <f>TRANSICAO!$Z$13*CUSTOS!$R$4</f>
        <v>0</v>
      </c>
      <c r="AA13" s="13">
        <f>TRANSICAO!$AA$13*CUSTOS!$R$4</f>
        <v>0</v>
      </c>
      <c r="AB13" s="13">
        <f>TRANSICAO!$AB$13*CUSTOS!$R$4</f>
        <v>0</v>
      </c>
      <c r="AC13" s="13">
        <f>TRANSICAO!$AC$13*CUSTOS!$R$4</f>
        <v>7.5975999999999999</v>
      </c>
      <c r="AD13" s="13">
        <f>TRANSICAO!$AD$13*CUSTOS!$R$4</f>
        <v>0</v>
      </c>
      <c r="AE13" s="13">
        <v>0</v>
      </c>
      <c r="AF13" s="13">
        <v>0</v>
      </c>
      <c r="AG13" s="13"/>
      <c r="AH13" s="13">
        <v>2.3E-3</v>
      </c>
      <c r="AI13" s="13">
        <v>0</v>
      </c>
      <c r="AJ13" s="13">
        <v>0</v>
      </c>
      <c r="AK13" s="13">
        <f t="shared" si="0"/>
        <v>0</v>
      </c>
      <c r="AL13" s="13"/>
      <c r="AM13" s="13"/>
      <c r="AP13" s="13"/>
    </row>
    <row r="14" spans="1:42" ht="11.25" customHeight="1" x14ac:dyDescent="0.3">
      <c r="A14" s="146"/>
      <c r="B14" s="146" t="s">
        <v>35</v>
      </c>
      <c r="C14" s="146" t="s">
        <v>25</v>
      </c>
      <c r="D14" s="146" t="s">
        <v>25</v>
      </c>
      <c r="E14" s="146" t="s">
        <v>25</v>
      </c>
      <c r="F14" s="146" t="s">
        <v>25</v>
      </c>
      <c r="G14" s="24" t="s">
        <v>9</v>
      </c>
      <c r="H14" s="24" t="s">
        <v>81</v>
      </c>
      <c r="I14" s="24">
        <f>'MERCADO TUSD'!$U$11</f>
        <v>161517.14000000001</v>
      </c>
      <c r="J14" s="15"/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/>
      <c r="U14" s="13">
        <f>TRANSICAO!$U$14*CUSTOS!$R$3</f>
        <v>0</v>
      </c>
      <c r="V14" s="13">
        <f>TRANSICAO!$V$14*CUSTOS!$R$3</f>
        <v>0</v>
      </c>
      <c r="W14" s="13">
        <f>TRANSICAO!$W$14*CUSTOS!$R$3</f>
        <v>0</v>
      </c>
      <c r="X14" s="13">
        <f>TRANSICAO!$X$14*CUSTOS!$R$3</f>
        <v>0</v>
      </c>
      <c r="Y14" s="13">
        <f>TRANSICAO!$Y$14*CUSTOS!$R$3</f>
        <v>9.2375000000000007</v>
      </c>
      <c r="Z14" s="13">
        <f>TRANSICAO!$Z$14*CUSTOS!$R$3</f>
        <v>0</v>
      </c>
      <c r="AA14" s="13">
        <f>TRANSICAO!$AA$14*CUSTOS!$R$3</f>
        <v>0</v>
      </c>
      <c r="AB14" s="13">
        <f>TRANSICAO!$AB$14*CUSTOS!$R$3</f>
        <v>0</v>
      </c>
      <c r="AC14" s="13">
        <f>TRANSICAO!$AC$14*CUSTOS!$R$3</f>
        <v>7.5975000000000001</v>
      </c>
      <c r="AD14" s="13">
        <f>TRANSICAO!$AD$14*CUSTOS!$R$3</f>
        <v>0</v>
      </c>
      <c r="AE14" s="13">
        <v>0</v>
      </c>
      <c r="AF14" s="13">
        <v>0</v>
      </c>
      <c r="AG14" s="13"/>
      <c r="AH14" s="13">
        <v>0</v>
      </c>
      <c r="AI14" s="13">
        <v>0</v>
      </c>
      <c r="AJ14" s="13">
        <v>0</v>
      </c>
      <c r="AK14" s="13">
        <f t="shared" si="0"/>
        <v>0</v>
      </c>
      <c r="AL14" s="13"/>
      <c r="AM14" s="13"/>
      <c r="AP14" s="13">
        <v>1</v>
      </c>
    </row>
    <row r="15" spans="1:42" ht="11.25" customHeight="1" x14ac:dyDescent="0.3">
      <c r="A15" s="146"/>
      <c r="B15" s="146"/>
      <c r="C15" s="146"/>
      <c r="D15" s="146"/>
      <c r="E15" s="146"/>
      <c r="F15" s="146"/>
      <c r="G15" s="24" t="s">
        <v>79</v>
      </c>
      <c r="H15" s="24" t="s">
        <v>78</v>
      </c>
      <c r="I15" s="24">
        <f>'MERCADO TUSD'!$U$12</f>
        <v>3378.5688100000007</v>
      </c>
      <c r="J15" s="15"/>
      <c r="L15" s="13">
        <f>0.84</f>
        <v>0.84</v>
      </c>
      <c r="M15" s="13">
        <f>IF(AND((+$I$11+$I$12+$I$15+$I$16+$I$17+$I$18)&lt;&gt;0,SUMPRODUCT($I$5:$I$55,$AC$5:$AC$55,$AP$5:$AP$55)&lt;&gt;0),$M$60*SUMPRODUCT($I$9:$I$18,$AC$9:$AC$18,$AP$9:$AP$18)/SUMPRODUCT($I$5:$I$55,$AC$5:$AC$55,$AP$5:$AP$55)/(+$I$11+$I$12+$I$15+$I$16+$I$17+$I$18),0)</f>
        <v>0.20070761060973261</v>
      </c>
      <c r="N15" s="13">
        <f ca="1">(+M15+O15+R15+U15+V15+W15+X15+Y15+Z15+AA15+AC15+AH15+AI15+AJ15+AK15)*CUSTOS!$M$5</f>
        <v>6.3983835603400596</v>
      </c>
      <c r="O15" s="13">
        <v>1</v>
      </c>
      <c r="P15" s="13">
        <v>1</v>
      </c>
      <c r="Q15" s="13">
        <f>0.84</f>
        <v>0.84</v>
      </c>
      <c r="R15" s="13">
        <v>1</v>
      </c>
      <c r="S15" s="13">
        <v>1</v>
      </c>
      <c r="T15" s="13"/>
      <c r="U15" s="13">
        <f>TRANSICAO!$U$15*CUSTOS!$R$3</f>
        <v>0</v>
      </c>
      <c r="V15" s="13">
        <f>TRANSICAO!$V$15*CUSTOS!$R$3</f>
        <v>0</v>
      </c>
      <c r="W15" s="13">
        <f>TRANSICAO!$W$15*CUSTOS!$R$3</f>
        <v>0</v>
      </c>
      <c r="X15" s="13">
        <f>TRANSICAO!$X$15*CUSTOS!$R$3</f>
        <v>0</v>
      </c>
      <c r="Y15" s="13">
        <f>TRANSICAO!$Y$15*CUSTOS!$R$3</f>
        <v>436.14139999999998</v>
      </c>
      <c r="Z15" s="13">
        <f>TRANSICAO!$Z$15*CUSTOS!$R$3</f>
        <v>0</v>
      </c>
      <c r="AA15" s="13">
        <f>TRANSICAO!$AA$15*CUSTOS!$R$3</f>
        <v>0</v>
      </c>
      <c r="AB15" s="13">
        <f>TRANSICAO!$AB$15*CUSTOS!$R$3</f>
        <v>0</v>
      </c>
      <c r="AC15" s="13">
        <f>TRANSICAO!$AC$15*CUSTOS!$R$3</f>
        <v>182.71960000000001</v>
      </c>
      <c r="AD15" s="13">
        <f>TRANSICAO!$AD$15*CUSTOS!$R$3</f>
        <v>0</v>
      </c>
      <c r="AE15" s="13">
        <v>0</v>
      </c>
      <c r="AF15" s="13">
        <v>0</v>
      </c>
      <c r="AG15" s="13"/>
      <c r="AH15" s="13">
        <v>8.5661000000000005</v>
      </c>
      <c r="AI15" s="13">
        <v>8.5661000000000005</v>
      </c>
      <c r="AJ15" s="13">
        <f ca="1">$N$68</f>
        <v>0.82222421169811422</v>
      </c>
      <c r="AK15" s="13">
        <f t="shared" ca="1" si="0"/>
        <v>0.82222421169811422</v>
      </c>
      <c r="AL15" s="13"/>
      <c r="AM15" s="13"/>
      <c r="AP15" s="13">
        <v>1</v>
      </c>
    </row>
    <row r="16" spans="1:42" ht="11.25" customHeight="1" x14ac:dyDescent="0.3">
      <c r="A16" s="146"/>
      <c r="B16" s="146"/>
      <c r="C16" s="146"/>
      <c r="D16" s="146"/>
      <c r="E16" s="146"/>
      <c r="F16" s="146"/>
      <c r="G16" s="24" t="s">
        <v>80</v>
      </c>
      <c r="H16" s="24" t="s">
        <v>78</v>
      </c>
      <c r="I16" s="24">
        <f>'MERCADO TUSD'!$U$13</f>
        <v>37684.03847</v>
      </c>
      <c r="J16" s="15"/>
      <c r="L16" s="13">
        <f>0.84</f>
        <v>0.84</v>
      </c>
      <c r="M16" s="13">
        <f>IF(AND((+$I$11+$I$12+$I$15+$I$16+$I$17+$I$18)&lt;&gt;0,SUMPRODUCT($I$5:$I$55,$AC$5:$AC$55,$AP$5:$AP$55)&lt;&gt;0),$M$60*SUMPRODUCT($I$9:$I$18,$AC$9:$AC$18,$AP$9:$AP$18)/SUMPRODUCT($I$5:$I$55,$AC$5:$AC$55,$AP$5:$AP$55)/(+$I$11+$I$12+$I$15+$I$16+$I$17+$I$18),0)</f>
        <v>0.20070761060973261</v>
      </c>
      <c r="N16" s="13">
        <f ca="1">(+M16+O16+R16+U16+V16+W16+X16+Y16+Z16+AA16+AC16+AH16+AI16+AJ16+AK16)*CUSTOS!$M$5</f>
        <v>0.20977356034005962</v>
      </c>
      <c r="O16" s="13">
        <v>1</v>
      </c>
      <c r="P16" s="13">
        <v>1</v>
      </c>
      <c r="Q16" s="13">
        <f>0.84</f>
        <v>0.84</v>
      </c>
      <c r="R16" s="13">
        <v>1</v>
      </c>
      <c r="S16" s="13">
        <v>1</v>
      </c>
      <c r="T16" s="13"/>
      <c r="U16" s="13">
        <f>TRANSICAO!$U$16*CUSTOS!$R$3</f>
        <v>0</v>
      </c>
      <c r="V16" s="13">
        <f>TRANSICAO!$V$16*CUSTOS!$R$3</f>
        <v>0</v>
      </c>
      <c r="W16" s="13">
        <f>TRANSICAO!$W$16*CUSTOS!$R$3</f>
        <v>0</v>
      </c>
      <c r="X16" s="13">
        <f>TRANSICAO!$X$16*CUSTOS!$R$3</f>
        <v>0</v>
      </c>
      <c r="Y16" s="13">
        <f>TRANSICAO!$Y$16*CUSTOS!$R$3</f>
        <v>0</v>
      </c>
      <c r="Z16" s="13">
        <f>TRANSICAO!$Z$16*CUSTOS!$R$3</f>
        <v>0</v>
      </c>
      <c r="AA16" s="13">
        <f>TRANSICAO!$AA$16*CUSTOS!$R$3</f>
        <v>0</v>
      </c>
      <c r="AB16" s="13">
        <f>TRANSICAO!$AB$16*CUSTOS!$R$3</f>
        <v>0</v>
      </c>
      <c r="AC16" s="13">
        <f>TRANSICAO!$AC$16*CUSTOS!$R$3</f>
        <v>0</v>
      </c>
      <c r="AD16" s="13">
        <f>TRANSICAO!$AD$16*CUSTOS!$R$3</f>
        <v>0</v>
      </c>
      <c r="AE16" s="13">
        <v>0</v>
      </c>
      <c r="AF16" s="13">
        <v>0</v>
      </c>
      <c r="AG16" s="13"/>
      <c r="AH16" s="13">
        <v>8.5661000000000005</v>
      </c>
      <c r="AI16" s="13">
        <v>8.5661000000000005</v>
      </c>
      <c r="AJ16" s="13">
        <f ca="1">$N$68</f>
        <v>0.82222421169811422</v>
      </c>
      <c r="AK16" s="13">
        <f t="shared" ca="1" si="0"/>
        <v>0.82222421169811422</v>
      </c>
      <c r="AL16" s="13"/>
      <c r="AM16" s="13"/>
      <c r="AP16" s="13">
        <v>1</v>
      </c>
    </row>
    <row r="17" spans="1:42" ht="11.25" customHeight="1" x14ac:dyDescent="0.3">
      <c r="A17" s="146"/>
      <c r="B17" s="146"/>
      <c r="C17" s="146"/>
      <c r="D17" s="146"/>
      <c r="E17" s="146" t="s">
        <v>85</v>
      </c>
      <c r="F17" s="146" t="s">
        <v>25</v>
      </c>
      <c r="G17" s="24" t="s">
        <v>79</v>
      </c>
      <c r="H17" s="24" t="s">
        <v>78</v>
      </c>
      <c r="I17" s="24">
        <f>'MERCADO TUSD'!$U$14</f>
        <v>0</v>
      </c>
      <c r="J17" s="15"/>
      <c r="L17" s="13">
        <v>0</v>
      </c>
      <c r="M17" s="13">
        <f>IF(AND((+$I$11+$I$12+$I$15+$I$16+$I$17+$I$18)&lt;&gt;0,SUMPRODUCT($I$5:$I$55,$AC$5:$AC$55,$AP$5:$AP$55)&lt;&gt;0),$M$60*SUMPRODUCT($I$9:$I$18,$AC$9:$AC$18,$AP$9:$AP$18)/SUMPRODUCT($I$5:$I$55,$AC$5:$AC$55,$AP$5:$AP$55)/(+$I$11+$I$12+$I$15+$I$16+$I$17+$I$18),0)</f>
        <v>0.20070761060973261</v>
      </c>
      <c r="N17" s="13">
        <f ca="1">(+M17+O17+R17+U17+V17+W17+X17+Y17+Z17+AA17+AC17+AH17+AI17+AJ17+AK17)*CUSTOS!$M$5</f>
        <v>6.3883835603400598</v>
      </c>
      <c r="O17" s="13">
        <v>1</v>
      </c>
      <c r="P17" s="13">
        <v>0</v>
      </c>
      <c r="Q17" s="13">
        <v>0</v>
      </c>
      <c r="R17" s="13">
        <v>0</v>
      </c>
      <c r="S17" s="13">
        <v>0</v>
      </c>
      <c r="T17" s="13"/>
      <c r="U17" s="13">
        <f>TRANSICAO!$U$17*CUSTOS!$R$3</f>
        <v>0</v>
      </c>
      <c r="V17" s="13">
        <f>TRANSICAO!$V$17*CUSTOS!$R$3</f>
        <v>0</v>
      </c>
      <c r="W17" s="13">
        <f>TRANSICAO!$W$17*CUSTOS!$R$3</f>
        <v>0</v>
      </c>
      <c r="X17" s="13">
        <f>TRANSICAO!$X$17*CUSTOS!$R$3</f>
        <v>0</v>
      </c>
      <c r="Y17" s="13">
        <f>TRANSICAO!$Y$17*CUSTOS!$R$3</f>
        <v>436.14139999999998</v>
      </c>
      <c r="Z17" s="13">
        <f>TRANSICAO!$Z$17*CUSTOS!$R$3</f>
        <v>0</v>
      </c>
      <c r="AA17" s="13">
        <f>TRANSICAO!$AA$17*CUSTOS!$R$3</f>
        <v>0</v>
      </c>
      <c r="AB17" s="13">
        <f>TRANSICAO!$AB$17*CUSTOS!$R$3</f>
        <v>0</v>
      </c>
      <c r="AC17" s="13">
        <f>TRANSICAO!$AC$17*CUSTOS!$R$3</f>
        <v>182.71960000000001</v>
      </c>
      <c r="AD17" s="13">
        <f>TRANSICAO!$AD$17*CUSTOS!$R$3</f>
        <v>0</v>
      </c>
      <c r="AE17" s="13">
        <v>0</v>
      </c>
      <c r="AF17" s="13">
        <v>0</v>
      </c>
      <c r="AG17" s="13"/>
      <c r="AH17" s="13">
        <v>8.5661000000000005</v>
      </c>
      <c r="AI17" s="13">
        <v>8.5661000000000005</v>
      </c>
      <c r="AJ17" s="13">
        <f ca="1">$N$68</f>
        <v>0.82222421169811422</v>
      </c>
      <c r="AK17" s="13">
        <f t="shared" ca="1" si="0"/>
        <v>0.82222421169811422</v>
      </c>
      <c r="AL17" s="13"/>
      <c r="AM17" s="13"/>
      <c r="AP17" s="13">
        <v>1</v>
      </c>
    </row>
    <row r="18" spans="1:42" ht="11.25" customHeight="1" x14ac:dyDescent="0.3">
      <c r="A18" s="146"/>
      <c r="B18" s="146"/>
      <c r="C18" s="146"/>
      <c r="D18" s="146"/>
      <c r="E18" s="146"/>
      <c r="F18" s="146"/>
      <c r="G18" s="24" t="s">
        <v>80</v>
      </c>
      <c r="H18" s="24" t="s">
        <v>78</v>
      </c>
      <c r="I18" s="24">
        <f>'MERCADO TUSD'!$U$15</f>
        <v>0</v>
      </c>
      <c r="J18" s="15"/>
      <c r="L18" s="13">
        <v>0</v>
      </c>
      <c r="M18" s="13">
        <f>IF(AND((+$I$11+$I$12+$I$15+$I$16+$I$17+$I$18)&lt;&gt;0,SUMPRODUCT($I$5:$I$55,$AC$5:$AC$55,$AP$5:$AP$55)&lt;&gt;0),$M$60*SUMPRODUCT($I$9:$I$18,$AC$9:$AC$18,$AP$9:$AP$18)/SUMPRODUCT($I$5:$I$55,$AC$5:$AC$55,$AP$5:$AP$55)/(+$I$11+$I$12+$I$15+$I$16+$I$17+$I$18),0)</f>
        <v>0.20070761060973261</v>
      </c>
      <c r="N18" s="13">
        <f ca="1">(+M18+O18+R18+U18+V18+W18+X18+Y18+Z18+AA18+AC18+AH18+AI18+AJ18+AK18)*CUSTOS!$M$5</f>
        <v>0.19977356034005961</v>
      </c>
      <c r="O18" s="13">
        <v>1</v>
      </c>
      <c r="P18" s="13">
        <v>0</v>
      </c>
      <c r="Q18" s="13">
        <v>0</v>
      </c>
      <c r="R18" s="13">
        <v>0</v>
      </c>
      <c r="S18" s="13">
        <v>0</v>
      </c>
      <c r="T18" s="13"/>
      <c r="U18" s="13">
        <f>TRANSICAO!$U$18*CUSTOS!$R$3</f>
        <v>0</v>
      </c>
      <c r="V18" s="13">
        <f>TRANSICAO!$V$18*CUSTOS!$R$3</f>
        <v>0</v>
      </c>
      <c r="W18" s="13">
        <f>TRANSICAO!$W$18*CUSTOS!$R$3</f>
        <v>0</v>
      </c>
      <c r="X18" s="13">
        <f>TRANSICAO!$X$18*CUSTOS!$R$3</f>
        <v>0</v>
      </c>
      <c r="Y18" s="13">
        <f>TRANSICAO!$Y$18*CUSTOS!$R$3</f>
        <v>0</v>
      </c>
      <c r="Z18" s="13">
        <f>TRANSICAO!$Z$18*CUSTOS!$R$3</f>
        <v>0</v>
      </c>
      <c r="AA18" s="13">
        <f>TRANSICAO!$AA$18*CUSTOS!$R$3</f>
        <v>0</v>
      </c>
      <c r="AB18" s="13">
        <f>TRANSICAO!$AB$18*CUSTOS!$R$3</f>
        <v>0</v>
      </c>
      <c r="AC18" s="13">
        <f>TRANSICAO!$AC$18*CUSTOS!$R$3</f>
        <v>0</v>
      </c>
      <c r="AD18" s="13">
        <f>TRANSICAO!$AD$18*CUSTOS!$R$3</f>
        <v>0</v>
      </c>
      <c r="AE18" s="13">
        <v>0</v>
      </c>
      <c r="AF18" s="13">
        <v>0</v>
      </c>
      <c r="AG18" s="13"/>
      <c r="AH18" s="13">
        <v>8.5661000000000005</v>
      </c>
      <c r="AI18" s="13">
        <v>8.5661000000000005</v>
      </c>
      <c r="AJ18" s="13">
        <f ca="1">$N$68</f>
        <v>0.82222421169811422</v>
      </c>
      <c r="AK18" s="13">
        <f t="shared" ca="1" si="0"/>
        <v>0.82222421169811422</v>
      </c>
      <c r="AL18" s="13"/>
      <c r="AM18" s="13"/>
      <c r="AP18" s="13">
        <v>1</v>
      </c>
    </row>
    <row r="19" spans="1:42" ht="11.25" customHeight="1" x14ac:dyDescent="0.3">
      <c r="A19" s="146" t="s">
        <v>86</v>
      </c>
      <c r="B19" s="146" t="s">
        <v>57</v>
      </c>
      <c r="C19" s="146" t="s">
        <v>25</v>
      </c>
      <c r="D19" s="146" t="s">
        <v>25</v>
      </c>
      <c r="E19" s="23" t="s">
        <v>87</v>
      </c>
      <c r="F19" s="23" t="s">
        <v>25</v>
      </c>
      <c r="G19" s="24" t="s">
        <v>9</v>
      </c>
      <c r="H19" s="24" t="s">
        <v>81</v>
      </c>
      <c r="I19" s="24">
        <f>'MERCADO TUSD'!$U$16+0.00000001</f>
        <v>1E-8</v>
      </c>
      <c r="J19" s="15"/>
      <c r="L19" s="13">
        <v>0</v>
      </c>
      <c r="M19" s="13">
        <v>3.7999999999999999E-2</v>
      </c>
      <c r="N19" s="13">
        <f>0.0953</f>
        <v>9.5299999999999996E-2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/>
      <c r="U19" s="13">
        <f>TRANSICAO!$U$19*CUSTOS!$T$4</f>
        <v>0</v>
      </c>
      <c r="V19" s="13">
        <f>TRANSICAO!$V$19*CUSTOS!$T$4</f>
        <v>0</v>
      </c>
      <c r="W19" s="13">
        <f>TRANSICAO!$W$19*CUSTOS!$T$4</f>
        <v>0</v>
      </c>
      <c r="X19" s="13">
        <f>TRANSICAO!$X$19*CUSTOS!$T$4</f>
        <v>0</v>
      </c>
      <c r="Y19" s="13">
        <f>TRANSICAO!$Y$19*CUSTOS!$T$4</f>
        <v>0</v>
      </c>
      <c r="Z19" s="13">
        <f>TRANSICAO!$Z$19*CUSTOS!$T$4</f>
        <v>0</v>
      </c>
      <c r="AA19" s="13">
        <f>TRANSICAO!$AA$19*CUSTOS!$T$4</f>
        <v>0</v>
      </c>
      <c r="AB19" s="13">
        <f>TRANSICAO!$AB$19*CUSTOS!$T$4</f>
        <v>0</v>
      </c>
      <c r="AC19" s="13">
        <f>TRANSICAO!$AC$19*CUSTOS!$T$4</f>
        <v>9.4913000000000007</v>
      </c>
      <c r="AD19" s="13">
        <f>TRANSICAO!$AD$19*CUSTOS!$T$4</f>
        <v>0</v>
      </c>
      <c r="AE19" s="13">
        <v>0</v>
      </c>
      <c r="AF19" s="13">
        <v>0</v>
      </c>
      <c r="AG19" s="13"/>
      <c r="AH19" s="13">
        <v>0</v>
      </c>
      <c r="AI19" s="13">
        <v>0</v>
      </c>
      <c r="AJ19" s="13">
        <v>0</v>
      </c>
      <c r="AK19" s="13">
        <f t="shared" si="0"/>
        <v>0</v>
      </c>
      <c r="AL19" s="13"/>
      <c r="AM19" s="13"/>
      <c r="AP19" s="13"/>
    </row>
    <row r="20" spans="1:42" ht="11.25" customHeight="1" x14ac:dyDescent="0.3">
      <c r="A20" s="146"/>
      <c r="B20" s="146"/>
      <c r="C20" s="146"/>
      <c r="D20" s="146"/>
      <c r="E20" s="23" t="s">
        <v>88</v>
      </c>
      <c r="F20" s="23" t="s">
        <v>25</v>
      </c>
      <c r="G20" s="24" t="s">
        <v>9</v>
      </c>
      <c r="H20" s="24" t="s">
        <v>81</v>
      </c>
      <c r="I20" s="24">
        <f>'MERCADO TUSD'!$U$17+0.00000001</f>
        <v>1E-8</v>
      </c>
      <c r="J20" s="15"/>
      <c r="L20" s="13">
        <v>0</v>
      </c>
      <c r="M20" s="13">
        <v>3.7999999999999999E-2</v>
      </c>
      <c r="N20" s="13">
        <f>0.0953</f>
        <v>9.5299999999999996E-2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/>
      <c r="U20" s="13">
        <f>TRANSICAO!$U$20*CUSTOS!$T$4</f>
        <v>0</v>
      </c>
      <c r="V20" s="13">
        <f>TRANSICAO!$V$20*CUSTOS!$T$4</f>
        <v>0</v>
      </c>
      <c r="W20" s="13">
        <f>TRANSICAO!$W$20*CUSTOS!$T$4</f>
        <v>0</v>
      </c>
      <c r="X20" s="13">
        <f>TRANSICAO!$X$20*CUSTOS!$T$4</f>
        <v>0</v>
      </c>
      <c r="Y20" s="13">
        <f>TRANSICAO!$Y$20*CUSTOS!$T$4</f>
        <v>0</v>
      </c>
      <c r="Z20" s="13">
        <f>TRANSICAO!$Z$20*CUSTOS!$T$4</f>
        <v>0</v>
      </c>
      <c r="AA20" s="13">
        <f>TRANSICAO!$AA$20*CUSTOS!$T$4</f>
        <v>0</v>
      </c>
      <c r="AB20" s="13">
        <f>TRANSICAO!$AB$20*CUSTOS!$T$4</f>
        <v>0</v>
      </c>
      <c r="AC20" s="13">
        <f>TRANSICAO!$AC$20*CUSTOS!$T$4</f>
        <v>14.751799999999999</v>
      </c>
      <c r="AD20" s="13">
        <f>TRANSICAO!$AD$20*CUSTOS!$T$4</f>
        <v>0</v>
      </c>
      <c r="AE20" s="13">
        <v>0</v>
      </c>
      <c r="AF20" s="13">
        <v>0</v>
      </c>
      <c r="AG20" s="13"/>
      <c r="AH20" s="13">
        <v>0</v>
      </c>
      <c r="AI20" s="13">
        <v>0</v>
      </c>
      <c r="AJ20" s="13">
        <v>0</v>
      </c>
      <c r="AK20" s="13">
        <f t="shared" si="0"/>
        <v>0</v>
      </c>
      <c r="AL20" s="13"/>
      <c r="AM20" s="13"/>
      <c r="AP20" s="13"/>
    </row>
    <row r="21" spans="1:42" ht="11.25" customHeight="1" x14ac:dyDescent="0.3">
      <c r="A21" s="146" t="s">
        <v>22</v>
      </c>
      <c r="B21" s="146" t="s">
        <v>38</v>
      </c>
      <c r="C21" s="146" t="s">
        <v>24</v>
      </c>
      <c r="D21" s="146" t="s">
        <v>24</v>
      </c>
      <c r="E21" s="146" t="s">
        <v>25</v>
      </c>
      <c r="F21" s="146" t="s">
        <v>25</v>
      </c>
      <c r="G21" s="24" t="s">
        <v>79</v>
      </c>
      <c r="H21" s="24" t="s">
        <v>78</v>
      </c>
      <c r="I21" s="24">
        <f>'MERCADO TUSD'!$U$18</f>
        <v>0</v>
      </c>
      <c r="J21" s="15"/>
      <c r="L21" s="13">
        <f>1</f>
        <v>1</v>
      </c>
      <c r="M21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</f>
        <v>0.88921528219289092</v>
      </c>
      <c r="N21" s="13">
        <f ca="1">(+M21+O21+R21+U21+V21+W21+X21+Y21+Z21+AA21+AC21+AH21+AI21+AJ21+AK21)*CUSTOS!$M$5</f>
        <v>13.490729452154044</v>
      </c>
      <c r="O21" s="13">
        <v>1</v>
      </c>
      <c r="P21" s="13">
        <v>1</v>
      </c>
      <c r="Q21" s="13">
        <f>1</f>
        <v>1</v>
      </c>
      <c r="R21" s="13">
        <v>1</v>
      </c>
      <c r="S21" s="13">
        <v>1</v>
      </c>
      <c r="T21" s="13"/>
      <c r="U21" s="13">
        <f>TRANSICAO!$U$21*CUSTOS!$T$3</f>
        <v>0</v>
      </c>
      <c r="V21" s="13">
        <f>TRANSICAO!$V$21*CUSTOS!$T$3</f>
        <v>0</v>
      </c>
      <c r="W21" s="13">
        <f>TRANSICAO!$W$21*CUSTOS!$T$3</f>
        <v>0</v>
      </c>
      <c r="X21" s="13">
        <f>TRANSICAO!$X$21*CUSTOS!$T$3</f>
        <v>0</v>
      </c>
      <c r="Y21" s="13">
        <f>TRANSICAO!$Y$21*CUSTOS!$T$3</f>
        <v>316.98149999999998</v>
      </c>
      <c r="Z21" s="13">
        <f>TRANSICAO!$Z$21*CUSTOS!$T$3</f>
        <v>0</v>
      </c>
      <c r="AA21" s="13">
        <f>TRANSICAO!$AA$21*CUSTOS!$T$3</f>
        <v>0</v>
      </c>
      <c r="AB21" s="13">
        <f>TRANSICAO!$AB$21*CUSTOS!$T$3</f>
        <v>0</v>
      </c>
      <c r="AC21" s="13">
        <f>TRANSICAO!$AC$21*CUSTOS!$T$3</f>
        <v>978.97149999999999</v>
      </c>
      <c r="AD21" s="13">
        <f>TRANSICAO!$AD$21*CUSTOS!$T$3</f>
        <v>0</v>
      </c>
      <c r="AE21" s="13">
        <v>0</v>
      </c>
      <c r="AF21" s="13">
        <v>0</v>
      </c>
      <c r="AG21" s="13"/>
      <c r="AH21" s="13">
        <v>23.827200000000001</v>
      </c>
      <c r="AI21" s="13">
        <v>23.827200000000001</v>
      </c>
      <c r="AJ21" s="13">
        <f ca="1">$N$69</f>
        <v>1.2881649666058759</v>
      </c>
      <c r="AK21" s="13">
        <f t="shared" ca="1" si="0"/>
        <v>1.2881649666058759</v>
      </c>
      <c r="AL21" s="13"/>
      <c r="AM21" s="13"/>
      <c r="AP21" s="13">
        <v>1</v>
      </c>
    </row>
    <row r="22" spans="1:42" ht="11.25" customHeight="1" x14ac:dyDescent="0.3">
      <c r="A22" s="146"/>
      <c r="B22" s="146"/>
      <c r="C22" s="146"/>
      <c r="D22" s="146"/>
      <c r="E22" s="146"/>
      <c r="F22" s="146"/>
      <c r="G22" s="24" t="s">
        <v>89</v>
      </c>
      <c r="H22" s="24" t="s">
        <v>78</v>
      </c>
      <c r="I22" s="24">
        <f>'MERCADO TUSD'!$U$19</f>
        <v>0</v>
      </c>
      <c r="J22" s="15"/>
      <c r="L22" s="13">
        <f>1</f>
        <v>1</v>
      </c>
      <c r="M22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</f>
        <v>0.88921528219289092</v>
      </c>
      <c r="N22" s="13">
        <f ca="1">(+M22+O22+R22+U22+V22+W22+X22+Y22+Z22+AA22+AC22+AH22+AI22+AJ22+AK22)*CUSTOS!$M$5</f>
        <v>2.0497174521540469</v>
      </c>
      <c r="O22" s="13">
        <v>1</v>
      </c>
      <c r="P22" s="13">
        <v>1</v>
      </c>
      <c r="Q22" s="13">
        <f>1</f>
        <v>1</v>
      </c>
      <c r="R22" s="13">
        <v>1</v>
      </c>
      <c r="S22" s="13">
        <v>1</v>
      </c>
      <c r="T22" s="13"/>
      <c r="U22" s="13">
        <f>TRANSICAO!$U$22*CUSTOS!$T$3</f>
        <v>0</v>
      </c>
      <c r="V22" s="13">
        <f>TRANSICAO!$V$22*CUSTOS!$T$3</f>
        <v>0</v>
      </c>
      <c r="W22" s="13">
        <f>TRANSICAO!$W$22*CUSTOS!$T$3</f>
        <v>0</v>
      </c>
      <c r="X22" s="13">
        <f>TRANSICAO!$X$22*CUSTOS!$T$3</f>
        <v>0</v>
      </c>
      <c r="Y22" s="13">
        <f>TRANSICAO!$Y$22*CUSTOS!$T$3</f>
        <v>37.1419</v>
      </c>
      <c r="Z22" s="13">
        <f>TRANSICAO!$Z$22*CUSTOS!$T$3</f>
        <v>0</v>
      </c>
      <c r="AA22" s="13">
        <f>TRANSICAO!$AA$22*CUSTOS!$T$3</f>
        <v>0</v>
      </c>
      <c r="AB22" s="13">
        <f>TRANSICAO!$AB$22*CUSTOS!$T$3</f>
        <v>0</v>
      </c>
      <c r="AC22" s="13">
        <f>TRANSICAO!$AC$22*CUSTOS!$T$3</f>
        <v>114.7099</v>
      </c>
      <c r="AD22" s="13">
        <f>TRANSICAO!$AD$22*CUSTOS!$T$3</f>
        <v>0</v>
      </c>
      <c r="AE22" s="13">
        <v>0</v>
      </c>
      <c r="AF22" s="13">
        <v>0</v>
      </c>
      <c r="AG22" s="13"/>
      <c r="AH22" s="13">
        <v>23.827200000000001</v>
      </c>
      <c r="AI22" s="13">
        <v>23.827200000000001</v>
      </c>
      <c r="AJ22" s="13">
        <f ca="1">$N$69</f>
        <v>1.2881649666058759</v>
      </c>
      <c r="AK22" s="13">
        <f t="shared" ca="1" si="0"/>
        <v>1.2881649666058759</v>
      </c>
      <c r="AL22" s="13"/>
      <c r="AM22" s="13"/>
      <c r="AP22" s="13">
        <v>1</v>
      </c>
    </row>
    <row r="23" spans="1:42" ht="11.25" customHeight="1" x14ac:dyDescent="0.3">
      <c r="A23" s="146"/>
      <c r="B23" s="146"/>
      <c r="C23" s="146"/>
      <c r="D23" s="146"/>
      <c r="E23" s="146"/>
      <c r="F23" s="146"/>
      <c r="G23" s="24" t="s">
        <v>80</v>
      </c>
      <c r="H23" s="24" t="s">
        <v>78</v>
      </c>
      <c r="I23" s="24">
        <f>'MERCADO TUSD'!$U$20</f>
        <v>0</v>
      </c>
      <c r="J23" s="15"/>
      <c r="L23" s="13">
        <f>1</f>
        <v>1</v>
      </c>
      <c r="M23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</f>
        <v>0.88921528219289092</v>
      </c>
      <c r="N23" s="13">
        <f ca="1">(+M23+O23+R23+U23+V23+W23+X23+Y23+Z23+AA23+AC23+AH23+AI23+AJ23+AK23)*CUSTOS!$M$5</f>
        <v>0.98448745215404654</v>
      </c>
      <c r="O23" s="13">
        <v>1</v>
      </c>
      <c r="P23" s="13">
        <v>1</v>
      </c>
      <c r="Q23" s="13">
        <f>1</f>
        <v>1</v>
      </c>
      <c r="R23" s="13">
        <v>1</v>
      </c>
      <c r="S23" s="13">
        <v>1</v>
      </c>
      <c r="T23" s="13"/>
      <c r="U23" s="13">
        <f>TRANSICAO!$U$23*CUSTOS!$T$3</f>
        <v>0</v>
      </c>
      <c r="V23" s="13">
        <f>TRANSICAO!$V$23*CUSTOS!$T$3</f>
        <v>0</v>
      </c>
      <c r="W23" s="13">
        <f>TRANSICAO!$W$23*CUSTOS!$T$3</f>
        <v>0</v>
      </c>
      <c r="X23" s="13">
        <f>TRANSICAO!$X$23*CUSTOS!$T$3</f>
        <v>0</v>
      </c>
      <c r="Y23" s="13">
        <f>TRANSICAO!$Y$23*CUSTOS!$T$3</f>
        <v>11.0871</v>
      </c>
      <c r="Z23" s="13">
        <f>TRANSICAO!$Z$23*CUSTOS!$T$3</f>
        <v>0</v>
      </c>
      <c r="AA23" s="13">
        <f>TRANSICAO!$AA$23*CUSTOS!$T$3</f>
        <v>0</v>
      </c>
      <c r="AB23" s="13">
        <f>TRANSICAO!$AB$23*CUSTOS!$T$3</f>
        <v>0</v>
      </c>
      <c r="AC23" s="13">
        <f>TRANSICAO!$AC$23*CUSTOS!$T$3</f>
        <v>34.241700000000002</v>
      </c>
      <c r="AD23" s="13">
        <f>TRANSICAO!$AD$23*CUSTOS!$T$3</f>
        <v>0</v>
      </c>
      <c r="AE23" s="13">
        <v>0</v>
      </c>
      <c r="AF23" s="13">
        <v>0</v>
      </c>
      <c r="AG23" s="13"/>
      <c r="AH23" s="13">
        <v>23.827200000000001</v>
      </c>
      <c r="AI23" s="13">
        <v>23.827200000000001</v>
      </c>
      <c r="AJ23" s="13">
        <f ca="1">$N$69</f>
        <v>1.2881649666058759</v>
      </c>
      <c r="AK23" s="13">
        <f t="shared" ca="1" si="0"/>
        <v>1.2881649666058759</v>
      </c>
      <c r="AL23" s="13"/>
      <c r="AM23" s="13"/>
      <c r="AP23" s="13">
        <v>1</v>
      </c>
    </row>
    <row r="24" spans="1:42" ht="11.25" customHeight="1" x14ac:dyDescent="0.3">
      <c r="A24" s="146"/>
      <c r="B24" s="146" t="s">
        <v>23</v>
      </c>
      <c r="C24" s="146" t="s">
        <v>24</v>
      </c>
      <c r="D24" s="23" t="s">
        <v>24</v>
      </c>
      <c r="E24" s="23" t="s">
        <v>25</v>
      </c>
      <c r="F24" s="23" t="s">
        <v>25</v>
      </c>
      <c r="G24" s="24" t="s">
        <v>84</v>
      </c>
      <c r="H24" s="24" t="s">
        <v>78</v>
      </c>
      <c r="I24" s="24">
        <f>'MERCADO TUSD'!$U$21</f>
        <v>11530.447999999999</v>
      </c>
      <c r="J24" s="15"/>
      <c r="L24" s="13">
        <f>1</f>
        <v>1</v>
      </c>
      <c r="M24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</f>
        <v>0.88921528219289092</v>
      </c>
      <c r="N24" s="13">
        <f ca="1">(+M24+O24+R24+U24+V24+W24+X24+Y24+Z24+AA24+AC24+AH24+AI24+AJ24+AK24)*CUSTOS!$M$5</f>
        <v>2.916930452154046</v>
      </c>
      <c r="O24" s="13">
        <v>1</v>
      </c>
      <c r="P24" s="13">
        <v>1</v>
      </c>
      <c r="Q24" s="13">
        <f>1</f>
        <v>1</v>
      </c>
      <c r="R24" s="13">
        <v>1</v>
      </c>
      <c r="S24" s="13">
        <v>1</v>
      </c>
      <c r="T24" s="13"/>
      <c r="U24" s="13">
        <f>TRANSICAO!$U$24*CUSTOS!$T$3</f>
        <v>0</v>
      </c>
      <c r="V24" s="13">
        <f>TRANSICAO!$V$24*CUSTOS!$T$3</f>
        <v>0</v>
      </c>
      <c r="W24" s="13">
        <f>TRANSICAO!$W$24*CUSTOS!$T$3</f>
        <v>0</v>
      </c>
      <c r="X24" s="13">
        <f>TRANSICAO!$X$24*CUSTOS!$T$3</f>
        <v>0</v>
      </c>
      <c r="Y24" s="13">
        <f>TRANSICAO!$Y$24*CUSTOS!$T$3</f>
        <v>58.353400000000001</v>
      </c>
      <c r="Z24" s="13">
        <f>TRANSICAO!$Z$24*CUSTOS!$T$3</f>
        <v>0</v>
      </c>
      <c r="AA24" s="13">
        <f>TRANSICAO!$AA$24*CUSTOS!$T$3</f>
        <v>0</v>
      </c>
      <c r="AB24" s="13">
        <f>TRANSICAO!$AB$24*CUSTOS!$T$3</f>
        <v>0</v>
      </c>
      <c r="AC24" s="13">
        <f>TRANSICAO!$AC$24*CUSTOS!$T$3</f>
        <v>180.21969999999999</v>
      </c>
      <c r="AD24" s="13">
        <f>TRANSICAO!$AD$24*CUSTOS!$T$3</f>
        <v>0</v>
      </c>
      <c r="AE24" s="13">
        <v>0</v>
      </c>
      <c r="AF24" s="13">
        <v>0</v>
      </c>
      <c r="AG24" s="13"/>
      <c r="AH24" s="13">
        <v>23.827200000000001</v>
      </c>
      <c r="AI24" s="13">
        <v>23.827200000000001</v>
      </c>
      <c r="AJ24" s="13">
        <f ca="1">$N$69</f>
        <v>1.2881649666058759</v>
      </c>
      <c r="AK24" s="13">
        <f t="shared" ca="1" si="0"/>
        <v>1.2881649666058759</v>
      </c>
      <c r="AL24" s="13"/>
      <c r="AM24" s="13"/>
      <c r="AP24" s="13">
        <v>1</v>
      </c>
    </row>
    <row r="25" spans="1:42" ht="11.25" customHeight="1" x14ac:dyDescent="0.3">
      <c r="A25" s="146"/>
      <c r="B25" s="146"/>
      <c r="C25" s="146"/>
      <c r="D25" s="23" t="s">
        <v>28</v>
      </c>
      <c r="E25" s="23" t="s">
        <v>25</v>
      </c>
      <c r="F25" s="23" t="s">
        <v>25</v>
      </c>
      <c r="G25" s="24" t="s">
        <v>84</v>
      </c>
      <c r="H25" s="24" t="s">
        <v>78</v>
      </c>
      <c r="I25" s="24">
        <f>'MERCADO TUSD'!$U$22</f>
        <v>121.26</v>
      </c>
      <c r="J25" s="15"/>
      <c r="L25" s="13">
        <v>0</v>
      </c>
      <c r="M25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CUSTOS!$M$24)</f>
        <v>0.88921528219289092</v>
      </c>
      <c r="N25" s="13">
        <f ca="1">(+M25+O25+R25+U25+V25+W25+X25+Y25+Z25+AA25+AC25+AH25+AI25+AJ25+AK25)*CUSTOS!$M$5</f>
        <v>2.9069304521540462</v>
      </c>
      <c r="O25" s="13">
        <f>1 - CUSTOS!$M$24</f>
        <v>1</v>
      </c>
      <c r="P25" s="13">
        <v>0</v>
      </c>
      <c r="Q25" s="13">
        <v>0</v>
      </c>
      <c r="R25" s="13">
        <v>0</v>
      </c>
      <c r="S25" s="13">
        <f>1 - CUSTOS!$M$24</f>
        <v>1</v>
      </c>
      <c r="T25" s="13"/>
      <c r="U25" s="13">
        <f>TRANSICAO!$U$25*CUSTOS!$T$3</f>
        <v>0</v>
      </c>
      <c r="V25" s="13">
        <f>TRANSICAO!$V$25*CUSTOS!$T$3</f>
        <v>0</v>
      </c>
      <c r="W25" s="13">
        <f>TRANSICAO!$W$25*CUSTOS!$T$3</f>
        <v>0</v>
      </c>
      <c r="X25" s="13">
        <f>TRANSICAO!$X$25*CUSTOS!$T$3</f>
        <v>0</v>
      </c>
      <c r="Y25" s="13">
        <f>TRANSICAO!$Y$25*CUSTOS!$T$3</f>
        <v>58.353400000000001</v>
      </c>
      <c r="Z25" s="13">
        <f>TRANSICAO!$Z$25*CUSTOS!$T$3</f>
        <v>0</v>
      </c>
      <c r="AA25" s="13">
        <f>TRANSICAO!$AA$25*CUSTOS!$T$3</f>
        <v>0</v>
      </c>
      <c r="AB25" s="13">
        <f>TRANSICAO!$AB$25*CUSTOS!$T$3</f>
        <v>0</v>
      </c>
      <c r="AC25" s="13">
        <f>TRANSICAO!$AC$25*CUSTOS!$T$3</f>
        <v>180.21969999999999</v>
      </c>
      <c r="AD25" s="13">
        <f>TRANSICAO!$AD$25*CUSTOS!$T$3</f>
        <v>0</v>
      </c>
      <c r="AE25" s="13">
        <v>0</v>
      </c>
      <c r="AF25" s="13">
        <v>0</v>
      </c>
      <c r="AG25" s="13"/>
      <c r="AH25" s="13">
        <f>(1 - CUSTOS!$M$24)*23.8272</f>
        <v>23.827200000000001</v>
      </c>
      <c r="AI25" s="13">
        <f>(1 - CUSTOS!$M$24)*23.8272</f>
        <v>23.827200000000001</v>
      </c>
      <c r="AJ25" s="13">
        <f ca="1">$N$69*(1-CUSTOS!$M$24)</f>
        <v>1.2881649666058759</v>
      </c>
      <c r="AK25" s="13">
        <f t="shared" ca="1" si="0"/>
        <v>1.2881649666058759</v>
      </c>
      <c r="AL25" s="13"/>
      <c r="AM25" s="13"/>
      <c r="AP25" s="13">
        <f>IF((1 - CUSTOS!$M$24)&lt;&gt;0,1/(1 - CUSTOS!$M$24),1)</f>
        <v>1</v>
      </c>
    </row>
    <row r="26" spans="1:42" ht="11.25" customHeight="1" x14ac:dyDescent="0.3">
      <c r="A26" s="146"/>
      <c r="B26" s="146"/>
      <c r="C26" s="146"/>
      <c r="D26" s="23" t="s">
        <v>29</v>
      </c>
      <c r="E26" s="23" t="s">
        <v>25</v>
      </c>
      <c r="F26" s="23" t="s">
        <v>25</v>
      </c>
      <c r="G26" s="24" t="s">
        <v>84</v>
      </c>
      <c r="H26" s="24" t="s">
        <v>78</v>
      </c>
      <c r="I26" s="24">
        <f>'MERCADO TUSD'!$U$23</f>
        <v>254.32</v>
      </c>
      <c r="J26" s="15"/>
      <c r="L26" s="13">
        <v>0</v>
      </c>
      <c r="M26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CUSTOS!$M$25)</f>
        <v>0.88921528219289092</v>
      </c>
      <c r="N26" s="13">
        <f ca="1">(+M26+O26+R26+U26+V26+W26+X26+Y26+Z26+AA26+AC26+AH26+AI26+AJ26+AK26)*CUSTOS!$M$5</f>
        <v>2.9069304521540462</v>
      </c>
      <c r="O26" s="13">
        <f>1 - CUSTOS!$M$25</f>
        <v>1</v>
      </c>
      <c r="P26" s="13">
        <v>0</v>
      </c>
      <c r="Q26" s="13">
        <v>0</v>
      </c>
      <c r="R26" s="13">
        <v>0</v>
      </c>
      <c r="S26" s="13">
        <f>1 - CUSTOS!$M$25</f>
        <v>1</v>
      </c>
      <c r="T26" s="13"/>
      <c r="U26" s="13">
        <f>TRANSICAO!$U$26*CUSTOS!$T$3</f>
        <v>0</v>
      </c>
      <c r="V26" s="13">
        <f>TRANSICAO!$V$26*CUSTOS!$T$3</f>
        <v>0</v>
      </c>
      <c r="W26" s="13">
        <f>TRANSICAO!$W$26*CUSTOS!$T$3</f>
        <v>0</v>
      </c>
      <c r="X26" s="13">
        <f>TRANSICAO!$X$26*CUSTOS!$T$3</f>
        <v>0</v>
      </c>
      <c r="Y26" s="13">
        <f>TRANSICAO!$Y$26*CUSTOS!$T$3</f>
        <v>58.353400000000001</v>
      </c>
      <c r="Z26" s="13">
        <f>TRANSICAO!$Z$26*CUSTOS!$T$3</f>
        <v>0</v>
      </c>
      <c r="AA26" s="13">
        <f>TRANSICAO!$AA$26*CUSTOS!$T$3</f>
        <v>0</v>
      </c>
      <c r="AB26" s="13">
        <f>TRANSICAO!$AB$26*CUSTOS!$T$3</f>
        <v>0</v>
      </c>
      <c r="AC26" s="13">
        <f>TRANSICAO!$AC$26*CUSTOS!$T$3</f>
        <v>180.21969999999999</v>
      </c>
      <c r="AD26" s="13">
        <f>TRANSICAO!$AD$26*CUSTOS!$T$3</f>
        <v>0</v>
      </c>
      <c r="AE26" s="13">
        <v>0</v>
      </c>
      <c r="AF26" s="13">
        <v>0</v>
      </c>
      <c r="AG26" s="13"/>
      <c r="AH26" s="13">
        <f>(1 - CUSTOS!$M$25)*23.8272</f>
        <v>23.827200000000001</v>
      </c>
      <c r="AI26" s="13">
        <f>(1 - CUSTOS!$M$25)*23.8272</f>
        <v>23.827200000000001</v>
      </c>
      <c r="AJ26" s="13">
        <f ca="1">$N$69*(1-CUSTOS!$M$25)</f>
        <v>1.2881649666058759</v>
      </c>
      <c r="AK26" s="13">
        <f t="shared" ca="1" si="0"/>
        <v>1.2881649666058759</v>
      </c>
      <c r="AL26" s="13"/>
      <c r="AM26" s="13"/>
      <c r="AP26" s="13">
        <f>IF((1 - CUSTOS!$M$25)&lt;&gt;0,1/(1 - CUSTOS!$M$25),1)</f>
        <v>1</v>
      </c>
    </row>
    <row r="27" spans="1:42" ht="11.25" customHeight="1" x14ac:dyDescent="0.3">
      <c r="A27" s="146"/>
      <c r="B27" s="146"/>
      <c r="C27" s="146"/>
      <c r="D27" s="23" t="s">
        <v>30</v>
      </c>
      <c r="E27" s="23" t="s">
        <v>25</v>
      </c>
      <c r="F27" s="23" t="s">
        <v>25</v>
      </c>
      <c r="G27" s="24" t="s">
        <v>84</v>
      </c>
      <c r="H27" s="24" t="s">
        <v>78</v>
      </c>
      <c r="I27" s="24">
        <f>'MERCADO TUSD'!$U$24</f>
        <v>248.52100000000002</v>
      </c>
      <c r="J27" s="15"/>
      <c r="L27" s="13">
        <v>0</v>
      </c>
      <c r="M27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CUSTOS!$M$26)</f>
        <v>0.88921528219289092</v>
      </c>
      <c r="N27" s="13">
        <f ca="1">(+M27+O27+R27+U27+V27+W27+X27+Y27+Z27+AA27+AC27+AH27+AI27+AJ27+AK27)*CUSTOS!$M$5</f>
        <v>2.9069304521540462</v>
      </c>
      <c r="O27" s="13">
        <f>1 - CUSTOS!$M$26</f>
        <v>1</v>
      </c>
      <c r="P27" s="13">
        <v>0</v>
      </c>
      <c r="Q27" s="13">
        <v>0</v>
      </c>
      <c r="R27" s="13">
        <v>0</v>
      </c>
      <c r="S27" s="13">
        <f>1 - CUSTOS!$M$26</f>
        <v>1</v>
      </c>
      <c r="T27" s="13"/>
      <c r="U27" s="13">
        <f>TRANSICAO!$U$27*CUSTOS!$T$3</f>
        <v>0</v>
      </c>
      <c r="V27" s="13">
        <f>TRANSICAO!$V$27*CUSTOS!$T$3</f>
        <v>0</v>
      </c>
      <c r="W27" s="13">
        <f>TRANSICAO!$W$27*CUSTOS!$T$3</f>
        <v>0</v>
      </c>
      <c r="X27" s="13">
        <f>TRANSICAO!$X$27*CUSTOS!$T$3</f>
        <v>0</v>
      </c>
      <c r="Y27" s="13">
        <f>TRANSICAO!$Y$27*CUSTOS!$T$3</f>
        <v>58.353400000000001</v>
      </c>
      <c r="Z27" s="13">
        <f>TRANSICAO!$Z$27*CUSTOS!$T$3</f>
        <v>0</v>
      </c>
      <c r="AA27" s="13">
        <f>TRANSICAO!$AA$27*CUSTOS!$T$3</f>
        <v>0</v>
      </c>
      <c r="AB27" s="13">
        <f>TRANSICAO!$AB$27*CUSTOS!$T$3</f>
        <v>0</v>
      </c>
      <c r="AC27" s="13">
        <f>TRANSICAO!$AC$27*CUSTOS!$T$3</f>
        <v>180.21969999999999</v>
      </c>
      <c r="AD27" s="13">
        <f>TRANSICAO!$AD$27*CUSTOS!$T$3</f>
        <v>0</v>
      </c>
      <c r="AE27" s="13">
        <v>0</v>
      </c>
      <c r="AF27" s="13">
        <v>0</v>
      </c>
      <c r="AG27" s="13"/>
      <c r="AH27" s="13">
        <f>(1 - CUSTOS!$M$26)*23.8272</f>
        <v>23.827200000000001</v>
      </c>
      <c r="AI27" s="13">
        <f>(1 - CUSTOS!$M$26)*23.8272</f>
        <v>23.827200000000001</v>
      </c>
      <c r="AJ27" s="13">
        <f ca="1">$N$69*(1-CUSTOS!$M$26)</f>
        <v>1.2881649666058759</v>
      </c>
      <c r="AK27" s="13">
        <f t="shared" ca="1" si="0"/>
        <v>1.2881649666058759</v>
      </c>
      <c r="AL27" s="13"/>
      <c r="AM27" s="13"/>
      <c r="AP27" s="13">
        <f>IF((1 - CUSTOS!$M$26)&lt;&gt;0,1/(1 - CUSTOS!$M$26),1)</f>
        <v>1</v>
      </c>
    </row>
    <row r="28" spans="1:42" ht="11.25" customHeight="1" x14ac:dyDescent="0.3">
      <c r="A28" s="146"/>
      <c r="B28" s="146"/>
      <c r="C28" s="146"/>
      <c r="D28" s="23" t="s">
        <v>31</v>
      </c>
      <c r="E28" s="23" t="s">
        <v>25</v>
      </c>
      <c r="F28" s="23" t="s">
        <v>25</v>
      </c>
      <c r="G28" s="24" t="s">
        <v>84</v>
      </c>
      <c r="H28" s="24" t="s">
        <v>78</v>
      </c>
      <c r="I28" s="24">
        <f>'MERCADO TUSD'!$U$25</f>
        <v>91.992999999999995</v>
      </c>
      <c r="J28" s="15"/>
      <c r="L28" s="13">
        <v>0</v>
      </c>
      <c r="M28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CUSTOS!$M$27)</f>
        <v>0.88921528219289092</v>
      </c>
      <c r="N28" s="13">
        <f ca="1">(+M28+O28+R28+U28+V28+W28+X28+Y28+Z28+AA28+AC28+AH28+AI28+AJ28+AK28)*CUSTOS!$M$5</f>
        <v>2.9069304521540462</v>
      </c>
      <c r="O28" s="13">
        <f>1 - CUSTOS!$M$27</f>
        <v>1</v>
      </c>
      <c r="P28" s="13">
        <v>0</v>
      </c>
      <c r="Q28" s="13">
        <v>0</v>
      </c>
      <c r="R28" s="13">
        <v>0</v>
      </c>
      <c r="S28" s="13">
        <f>1 - CUSTOS!$M$27</f>
        <v>1</v>
      </c>
      <c r="T28" s="13"/>
      <c r="U28" s="13">
        <f>TRANSICAO!$U$28*CUSTOS!$T$3</f>
        <v>0</v>
      </c>
      <c r="V28" s="13">
        <f>TRANSICAO!$V$28*CUSTOS!$T$3</f>
        <v>0</v>
      </c>
      <c r="W28" s="13">
        <f>TRANSICAO!$W$28*CUSTOS!$T$3</f>
        <v>0</v>
      </c>
      <c r="X28" s="13">
        <f>TRANSICAO!$X$28*CUSTOS!$T$3</f>
        <v>0</v>
      </c>
      <c r="Y28" s="13">
        <f>TRANSICAO!$Y$28*CUSTOS!$T$3</f>
        <v>58.353400000000001</v>
      </c>
      <c r="Z28" s="13">
        <f>TRANSICAO!$Z$28*CUSTOS!$T$3</f>
        <v>0</v>
      </c>
      <c r="AA28" s="13">
        <f>TRANSICAO!$AA$28*CUSTOS!$T$3</f>
        <v>0</v>
      </c>
      <c r="AB28" s="13">
        <f>TRANSICAO!$AB$28*CUSTOS!$T$3</f>
        <v>0</v>
      </c>
      <c r="AC28" s="13">
        <f>TRANSICAO!$AC$28*CUSTOS!$T$3</f>
        <v>180.21969999999999</v>
      </c>
      <c r="AD28" s="13">
        <f>TRANSICAO!$AD$28*CUSTOS!$T$3</f>
        <v>0</v>
      </c>
      <c r="AE28" s="13">
        <v>0</v>
      </c>
      <c r="AF28" s="13">
        <v>0</v>
      </c>
      <c r="AG28" s="13"/>
      <c r="AH28" s="13">
        <f>(1 - CUSTOS!$M$27)*23.8272</f>
        <v>23.827200000000001</v>
      </c>
      <c r="AI28" s="13">
        <f>(1 - CUSTOS!$M$27)*23.8272</f>
        <v>23.827200000000001</v>
      </c>
      <c r="AJ28" s="13">
        <f ca="1">$N$69*(1-CUSTOS!$M$27)</f>
        <v>1.2881649666058759</v>
      </c>
      <c r="AK28" s="13">
        <f t="shared" ca="1" si="0"/>
        <v>1.2881649666058759</v>
      </c>
      <c r="AL28" s="13"/>
      <c r="AM28" s="13"/>
      <c r="AP28" s="13">
        <f>IF((1 - CUSTOS!$M$27)&lt;&gt;0,1/(1 - CUSTOS!$M$27),1)</f>
        <v>1</v>
      </c>
    </row>
    <row r="29" spans="1:42" ht="11.25" customHeight="1" x14ac:dyDescent="0.3">
      <c r="A29" s="146"/>
      <c r="B29" s="146" t="s">
        <v>92</v>
      </c>
      <c r="C29" s="146" t="s">
        <v>24</v>
      </c>
      <c r="D29" s="23" t="s">
        <v>24</v>
      </c>
      <c r="E29" s="23" t="s">
        <v>25</v>
      </c>
      <c r="F29" s="23" t="s">
        <v>25</v>
      </c>
      <c r="G29" s="24" t="s">
        <v>84</v>
      </c>
      <c r="H29" s="24" t="s">
        <v>78</v>
      </c>
      <c r="I29" s="24">
        <f>'MERCADO TUSD'!$U$26</f>
        <v>0</v>
      </c>
      <c r="J29" s="15"/>
      <c r="L29" s="13">
        <f>1</f>
        <v>1</v>
      </c>
      <c r="M29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</f>
        <v>0.88921528219289092</v>
      </c>
      <c r="N29" s="13">
        <f ca="1">(+M29+O29+R29+U29+V29+W29+X29+Y29+Z29+AA29+AC29+AH29+AI29+AJ29+AK29)*CUSTOS!$M$5</f>
        <v>2.916930452154046</v>
      </c>
      <c r="O29" s="13">
        <v>1</v>
      </c>
      <c r="P29" s="13">
        <v>1</v>
      </c>
      <c r="Q29" s="13">
        <f>1</f>
        <v>1</v>
      </c>
      <c r="R29" s="13">
        <v>1</v>
      </c>
      <c r="S29" s="13">
        <v>1</v>
      </c>
      <c r="T29" s="13"/>
      <c r="U29" s="13">
        <f>TRANSICAO!$U$29*CUSTOS!$T$3</f>
        <v>0</v>
      </c>
      <c r="V29" s="13">
        <f>TRANSICAO!$V$29*CUSTOS!$T$3</f>
        <v>0</v>
      </c>
      <c r="W29" s="13">
        <f>TRANSICAO!$W$29*CUSTOS!$T$3</f>
        <v>0</v>
      </c>
      <c r="X29" s="13">
        <f>TRANSICAO!$X$29*CUSTOS!$T$3</f>
        <v>0</v>
      </c>
      <c r="Y29" s="13">
        <f>TRANSICAO!$Y$29*CUSTOS!$T$3</f>
        <v>58.353400000000001</v>
      </c>
      <c r="Z29" s="13">
        <f>TRANSICAO!$Z$29*CUSTOS!$T$3</f>
        <v>0</v>
      </c>
      <c r="AA29" s="13">
        <f>TRANSICAO!$AA$29*CUSTOS!$T$3</f>
        <v>0</v>
      </c>
      <c r="AB29" s="13">
        <f>TRANSICAO!$AB$29*CUSTOS!$T$3</f>
        <v>0</v>
      </c>
      <c r="AC29" s="13">
        <f>TRANSICAO!$AC$29*CUSTOS!$T$3</f>
        <v>180.21969999999999</v>
      </c>
      <c r="AD29" s="13">
        <f>TRANSICAO!$AD$29*CUSTOS!$T$3</f>
        <v>0</v>
      </c>
      <c r="AE29" s="13">
        <v>0</v>
      </c>
      <c r="AF29" s="13">
        <v>0</v>
      </c>
      <c r="AG29" s="13"/>
      <c r="AH29" s="13">
        <v>23.827200000000001</v>
      </c>
      <c r="AI29" s="13">
        <v>23.827200000000001</v>
      </c>
      <c r="AJ29" s="13">
        <f ca="1">$N$69</f>
        <v>1.2881649666058759</v>
      </c>
      <c r="AK29" s="13">
        <f t="shared" ca="1" si="0"/>
        <v>1.2881649666058759</v>
      </c>
      <c r="AL29" s="13"/>
      <c r="AM29" s="13"/>
      <c r="AP29" s="13">
        <v>1</v>
      </c>
    </row>
    <row r="30" spans="1:42" ht="11.25" customHeight="1" x14ac:dyDescent="0.3">
      <c r="A30" s="146"/>
      <c r="B30" s="146"/>
      <c r="C30" s="146"/>
      <c r="D30" s="23" t="s">
        <v>28</v>
      </c>
      <c r="E30" s="23" t="s">
        <v>25</v>
      </c>
      <c r="F30" s="23" t="s">
        <v>25</v>
      </c>
      <c r="G30" s="24" t="s">
        <v>84</v>
      </c>
      <c r="H30" s="24" t="s">
        <v>78</v>
      </c>
      <c r="I30" s="24">
        <f>'MERCADO TUSD'!$U$27</f>
        <v>0</v>
      </c>
      <c r="J30" s="15"/>
      <c r="L30" s="13">
        <v>0</v>
      </c>
      <c r="M30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CUSTOS!$M$24)</f>
        <v>0.88921528219289092</v>
      </c>
      <c r="N30" s="13">
        <f ca="1">(+M30+O30+R30+U30+V30+W30+X30+Y30+Z30+AA30+AC30+AH30+AI30+AJ30+AK30)*CUSTOS!$M$5</f>
        <v>2.9069304521540462</v>
      </c>
      <c r="O30" s="13">
        <f>1 - CUSTOS!$M$24</f>
        <v>1</v>
      </c>
      <c r="P30" s="13">
        <v>0</v>
      </c>
      <c r="Q30" s="13">
        <v>0</v>
      </c>
      <c r="R30" s="13">
        <v>0</v>
      </c>
      <c r="S30" s="13">
        <f>1 - CUSTOS!$M$24</f>
        <v>1</v>
      </c>
      <c r="T30" s="13"/>
      <c r="U30" s="13">
        <f>TRANSICAO!$U$30*CUSTOS!$T$3</f>
        <v>0</v>
      </c>
      <c r="V30" s="13">
        <f>TRANSICAO!$V$30*CUSTOS!$T$3</f>
        <v>0</v>
      </c>
      <c r="W30" s="13">
        <f>TRANSICAO!$W$30*CUSTOS!$T$3</f>
        <v>0</v>
      </c>
      <c r="X30" s="13">
        <f>TRANSICAO!$X$30*CUSTOS!$T$3</f>
        <v>0</v>
      </c>
      <c r="Y30" s="13">
        <f>TRANSICAO!$Y$30*CUSTOS!$T$3</f>
        <v>58.353400000000001</v>
      </c>
      <c r="Z30" s="13">
        <f>TRANSICAO!$Z$30*CUSTOS!$T$3</f>
        <v>0</v>
      </c>
      <c r="AA30" s="13">
        <f>TRANSICAO!$AA$30*CUSTOS!$T$3</f>
        <v>0</v>
      </c>
      <c r="AB30" s="13">
        <f>TRANSICAO!$AB$30*CUSTOS!$T$3</f>
        <v>0</v>
      </c>
      <c r="AC30" s="13">
        <f>TRANSICAO!$AC$30*CUSTOS!$T$3</f>
        <v>180.21969999999999</v>
      </c>
      <c r="AD30" s="13">
        <f>TRANSICAO!$AD$30*CUSTOS!$T$3</f>
        <v>0</v>
      </c>
      <c r="AE30" s="13">
        <v>0</v>
      </c>
      <c r="AF30" s="13">
        <v>0</v>
      </c>
      <c r="AG30" s="13"/>
      <c r="AH30" s="13">
        <f>(1 - CUSTOS!$M$24)*23.8272</f>
        <v>23.827200000000001</v>
      </c>
      <c r="AI30" s="13">
        <f>(1 - CUSTOS!$M$24)*23.8272</f>
        <v>23.827200000000001</v>
      </c>
      <c r="AJ30" s="13">
        <f ca="1">$N$69*(1-CUSTOS!$M$24)</f>
        <v>1.2881649666058759</v>
      </c>
      <c r="AK30" s="13">
        <f t="shared" ca="1" si="0"/>
        <v>1.2881649666058759</v>
      </c>
      <c r="AL30" s="13"/>
      <c r="AM30" s="13"/>
      <c r="AP30" s="13">
        <f>IF((1 - CUSTOS!$M$24)&lt;&gt;0,1/(1 - CUSTOS!$M$24),1)</f>
        <v>1</v>
      </c>
    </row>
    <row r="31" spans="1:42" ht="11.25" customHeight="1" x14ac:dyDescent="0.3">
      <c r="A31" s="146"/>
      <c r="B31" s="146"/>
      <c r="C31" s="146"/>
      <c r="D31" s="23" t="s">
        <v>29</v>
      </c>
      <c r="E31" s="23" t="s">
        <v>25</v>
      </c>
      <c r="F31" s="23" t="s">
        <v>25</v>
      </c>
      <c r="G31" s="24" t="s">
        <v>84</v>
      </c>
      <c r="H31" s="24" t="s">
        <v>78</v>
      </c>
      <c r="I31" s="24">
        <f>'MERCADO TUSD'!$U$28</f>
        <v>0</v>
      </c>
      <c r="J31" s="15"/>
      <c r="L31" s="13">
        <v>0</v>
      </c>
      <c r="M31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CUSTOS!$M$25)</f>
        <v>0.88921528219289092</v>
      </c>
      <c r="N31" s="13">
        <f ca="1">(+M31+O31+R31+U31+V31+W31+X31+Y31+Z31+AA31+AC31+AH31+AI31+AJ31+AK31)*CUSTOS!$M$5</f>
        <v>2.9069304521540462</v>
      </c>
      <c r="O31" s="13">
        <f>1 - CUSTOS!$M$25</f>
        <v>1</v>
      </c>
      <c r="P31" s="13">
        <v>0</v>
      </c>
      <c r="Q31" s="13">
        <v>0</v>
      </c>
      <c r="R31" s="13">
        <v>0</v>
      </c>
      <c r="S31" s="13">
        <f>1 - CUSTOS!$M$25</f>
        <v>1</v>
      </c>
      <c r="T31" s="13"/>
      <c r="U31" s="13">
        <f>TRANSICAO!$U$31*CUSTOS!$T$3</f>
        <v>0</v>
      </c>
      <c r="V31" s="13">
        <f>TRANSICAO!$V$31*CUSTOS!$T$3</f>
        <v>0</v>
      </c>
      <c r="W31" s="13">
        <f>TRANSICAO!$W$31*CUSTOS!$T$3</f>
        <v>0</v>
      </c>
      <c r="X31" s="13">
        <f>TRANSICAO!$X$31*CUSTOS!$T$3</f>
        <v>0</v>
      </c>
      <c r="Y31" s="13">
        <f>TRANSICAO!$Y$31*CUSTOS!$T$3</f>
        <v>58.353400000000001</v>
      </c>
      <c r="Z31" s="13">
        <f>TRANSICAO!$Z$31*CUSTOS!$T$3</f>
        <v>0</v>
      </c>
      <c r="AA31" s="13">
        <f>TRANSICAO!$AA$31*CUSTOS!$T$3</f>
        <v>0</v>
      </c>
      <c r="AB31" s="13">
        <f>TRANSICAO!$AB$31*CUSTOS!$T$3</f>
        <v>0</v>
      </c>
      <c r="AC31" s="13">
        <f>TRANSICAO!$AC$31*CUSTOS!$T$3</f>
        <v>180.21969999999999</v>
      </c>
      <c r="AD31" s="13">
        <f>TRANSICAO!$AD$31*CUSTOS!$T$3</f>
        <v>0</v>
      </c>
      <c r="AE31" s="13">
        <v>0</v>
      </c>
      <c r="AF31" s="13">
        <v>0</v>
      </c>
      <c r="AG31" s="13"/>
      <c r="AH31" s="13">
        <f>(1 - CUSTOS!$M$25)*23.8272</f>
        <v>23.827200000000001</v>
      </c>
      <c r="AI31" s="13">
        <f>(1 - CUSTOS!$M$25)*23.8272</f>
        <v>23.827200000000001</v>
      </c>
      <c r="AJ31" s="13">
        <f ca="1">$N$69*(1-CUSTOS!$M$25)</f>
        <v>1.2881649666058759</v>
      </c>
      <c r="AK31" s="13">
        <f t="shared" ca="1" si="0"/>
        <v>1.2881649666058759</v>
      </c>
      <c r="AL31" s="13"/>
      <c r="AM31" s="13"/>
      <c r="AP31" s="13">
        <f>IF((1 - CUSTOS!$M$25)&lt;&gt;0,1/(1 - CUSTOS!$M$25),1)</f>
        <v>1</v>
      </c>
    </row>
    <row r="32" spans="1:42" ht="11.25" customHeight="1" x14ac:dyDescent="0.3">
      <c r="A32" s="146"/>
      <c r="B32" s="146"/>
      <c r="C32" s="146"/>
      <c r="D32" s="23" t="s">
        <v>30</v>
      </c>
      <c r="E32" s="23" t="s">
        <v>25</v>
      </c>
      <c r="F32" s="23" t="s">
        <v>25</v>
      </c>
      <c r="G32" s="24" t="s">
        <v>84</v>
      </c>
      <c r="H32" s="24" t="s">
        <v>78</v>
      </c>
      <c r="I32" s="24">
        <f>'MERCADO TUSD'!$U$29</f>
        <v>0</v>
      </c>
      <c r="J32" s="15"/>
      <c r="L32" s="13">
        <v>0</v>
      </c>
      <c r="M32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CUSTOS!$M$26)</f>
        <v>0.88921528219289092</v>
      </c>
      <c r="N32" s="13">
        <f ca="1">(+M32+O32+R32+U32+V32+W32+X32+Y32+Z32+AA32+AC32+AH32+AI32+AJ32+AK32)*CUSTOS!$M$5</f>
        <v>2.9069304521540462</v>
      </c>
      <c r="O32" s="13">
        <f>1 - CUSTOS!$M$26</f>
        <v>1</v>
      </c>
      <c r="P32" s="13">
        <v>0</v>
      </c>
      <c r="Q32" s="13">
        <v>0</v>
      </c>
      <c r="R32" s="13">
        <v>0</v>
      </c>
      <c r="S32" s="13">
        <f>1 - CUSTOS!$M$26</f>
        <v>1</v>
      </c>
      <c r="T32" s="13"/>
      <c r="U32" s="13">
        <f>TRANSICAO!$U$32*CUSTOS!$T$3</f>
        <v>0</v>
      </c>
      <c r="V32" s="13">
        <f>TRANSICAO!$V$32*CUSTOS!$T$3</f>
        <v>0</v>
      </c>
      <c r="W32" s="13">
        <f>TRANSICAO!$W$32*CUSTOS!$T$3</f>
        <v>0</v>
      </c>
      <c r="X32" s="13">
        <f>TRANSICAO!$X$32*CUSTOS!$T$3</f>
        <v>0</v>
      </c>
      <c r="Y32" s="13">
        <f>TRANSICAO!$Y$32*CUSTOS!$T$3</f>
        <v>58.353400000000001</v>
      </c>
      <c r="Z32" s="13">
        <f>TRANSICAO!$Z$32*CUSTOS!$T$3</f>
        <v>0</v>
      </c>
      <c r="AA32" s="13">
        <f>TRANSICAO!$AA$32*CUSTOS!$T$3</f>
        <v>0</v>
      </c>
      <c r="AB32" s="13">
        <f>TRANSICAO!$AB$32*CUSTOS!$T$3</f>
        <v>0</v>
      </c>
      <c r="AC32" s="13">
        <f>TRANSICAO!$AC$32*CUSTOS!$T$3</f>
        <v>180.21969999999999</v>
      </c>
      <c r="AD32" s="13">
        <f>TRANSICAO!$AD$32*CUSTOS!$T$3</f>
        <v>0</v>
      </c>
      <c r="AE32" s="13">
        <v>0</v>
      </c>
      <c r="AF32" s="13">
        <v>0</v>
      </c>
      <c r="AG32" s="13"/>
      <c r="AH32" s="13">
        <f>(1 - CUSTOS!$M$26)*23.8272</f>
        <v>23.827200000000001</v>
      </c>
      <c r="AI32" s="13">
        <f>(1 - CUSTOS!$M$26)*23.8272</f>
        <v>23.827200000000001</v>
      </c>
      <c r="AJ32" s="13">
        <f ca="1">$N$69*(1-CUSTOS!$M$26)</f>
        <v>1.2881649666058759</v>
      </c>
      <c r="AK32" s="13">
        <f t="shared" ca="1" si="0"/>
        <v>1.2881649666058759</v>
      </c>
      <c r="AL32" s="13"/>
      <c r="AM32" s="13"/>
      <c r="AP32" s="13">
        <f>IF((1 - CUSTOS!$M$26)&lt;&gt;0,1/(1 - CUSTOS!$M$26),1)</f>
        <v>1</v>
      </c>
    </row>
    <row r="33" spans="1:42" ht="11.25" customHeight="1" x14ac:dyDescent="0.3">
      <c r="A33" s="146"/>
      <c r="B33" s="146"/>
      <c r="C33" s="146"/>
      <c r="D33" s="23" t="s">
        <v>31</v>
      </c>
      <c r="E33" s="23" t="s">
        <v>25</v>
      </c>
      <c r="F33" s="23" t="s">
        <v>25</v>
      </c>
      <c r="G33" s="24" t="s">
        <v>84</v>
      </c>
      <c r="H33" s="24" t="s">
        <v>78</v>
      </c>
      <c r="I33" s="24">
        <f>'MERCADO TUSD'!$U$30</f>
        <v>0</v>
      </c>
      <c r="J33" s="15"/>
      <c r="L33" s="13">
        <v>0</v>
      </c>
      <c r="M33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CUSTOS!$M$27)</f>
        <v>0.88921528219289092</v>
      </c>
      <c r="N33" s="13">
        <f ca="1">(+M33+O33+R33+U33+V33+W33+X33+Y33+Z33+AA33+AC33+AH33+AI33+AJ33+AK33)*CUSTOS!$M$5</f>
        <v>2.9069304521540462</v>
      </c>
      <c r="O33" s="13">
        <f>1 - CUSTOS!$M$27</f>
        <v>1</v>
      </c>
      <c r="P33" s="13">
        <v>0</v>
      </c>
      <c r="Q33" s="13">
        <v>0</v>
      </c>
      <c r="R33" s="13">
        <v>0</v>
      </c>
      <c r="S33" s="13">
        <f>1 - CUSTOS!$M$27</f>
        <v>1</v>
      </c>
      <c r="T33" s="13"/>
      <c r="U33" s="13">
        <f>TRANSICAO!$U$33*CUSTOS!$T$3</f>
        <v>0</v>
      </c>
      <c r="V33" s="13">
        <f>TRANSICAO!$V$33*CUSTOS!$T$3</f>
        <v>0</v>
      </c>
      <c r="W33" s="13">
        <f>TRANSICAO!$W$33*CUSTOS!$T$3</f>
        <v>0</v>
      </c>
      <c r="X33" s="13">
        <f>TRANSICAO!$X$33*CUSTOS!$T$3</f>
        <v>0</v>
      </c>
      <c r="Y33" s="13">
        <f>TRANSICAO!$Y$33*CUSTOS!$T$3</f>
        <v>58.353400000000001</v>
      </c>
      <c r="Z33" s="13">
        <f>TRANSICAO!$Z$33*CUSTOS!$T$3</f>
        <v>0</v>
      </c>
      <c r="AA33" s="13">
        <f>TRANSICAO!$AA$33*CUSTOS!$T$3</f>
        <v>0</v>
      </c>
      <c r="AB33" s="13">
        <f>TRANSICAO!$AB$33*CUSTOS!$T$3</f>
        <v>0</v>
      </c>
      <c r="AC33" s="13">
        <f>TRANSICAO!$AC$33*CUSTOS!$T$3</f>
        <v>180.21969999999999</v>
      </c>
      <c r="AD33" s="13">
        <f>TRANSICAO!$AD$33*CUSTOS!$T$3</f>
        <v>0</v>
      </c>
      <c r="AE33" s="13">
        <v>0</v>
      </c>
      <c r="AF33" s="13">
        <v>0</v>
      </c>
      <c r="AG33" s="13"/>
      <c r="AH33" s="13">
        <f>(1 - CUSTOS!$M$27)*23.8272</f>
        <v>23.827200000000001</v>
      </c>
      <c r="AI33" s="13">
        <f>(1 - CUSTOS!$M$27)*23.8272</f>
        <v>23.827200000000001</v>
      </c>
      <c r="AJ33" s="13">
        <f ca="1">$N$69*(1-CUSTOS!$M$27)</f>
        <v>1.2881649666058759</v>
      </c>
      <c r="AK33" s="13">
        <f t="shared" ca="1" si="0"/>
        <v>1.2881649666058759</v>
      </c>
      <c r="AL33" s="13"/>
      <c r="AM33" s="13"/>
      <c r="AP33" s="13">
        <f>IF((1 - CUSTOS!$M$27)&lt;&gt;0,1/(1 - CUSTOS!$M$27),1)</f>
        <v>1</v>
      </c>
    </row>
    <row r="34" spans="1:42" ht="11.25" customHeight="1" x14ac:dyDescent="0.3">
      <c r="A34" s="146" t="s">
        <v>41</v>
      </c>
      <c r="B34" s="146" t="s">
        <v>38</v>
      </c>
      <c r="C34" s="146" t="s">
        <v>42</v>
      </c>
      <c r="D34" s="146" t="s">
        <v>25</v>
      </c>
      <c r="E34" s="146" t="s">
        <v>25</v>
      </c>
      <c r="F34" s="146" t="s">
        <v>25</v>
      </c>
      <c r="G34" s="24" t="s">
        <v>79</v>
      </c>
      <c r="H34" s="24" t="s">
        <v>78</v>
      </c>
      <c r="I34" s="24">
        <f>'MERCADO TUSD'!$U$31</f>
        <v>0</v>
      </c>
      <c r="J34" s="15"/>
      <c r="L34" s="13">
        <f>1*(1 - CUSTOS!$M$28)</f>
        <v>1</v>
      </c>
      <c r="M34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CUSTOS!$M$28)</f>
        <v>0.88921528219289092</v>
      </c>
      <c r="N34" s="13">
        <f ca="1">(+M34+O34+R34+U34+V34+W34+X34+Y34+Z34+AA34+AC34+AH34+AI34+AJ34+AK34)*CUSTOS!$M$5</f>
        <v>15.107063452154044</v>
      </c>
      <c r="O34" s="13">
        <f>1 - CUSTOS!$M$28</f>
        <v>1</v>
      </c>
      <c r="P34" s="13">
        <f>1 - CUSTOS!$M$28</f>
        <v>1</v>
      </c>
      <c r="Q34" s="13">
        <f>1*(1 - CUSTOS!$M$28)</f>
        <v>1</v>
      </c>
      <c r="R34" s="13">
        <f>1 - CUSTOS!$M$28</f>
        <v>1</v>
      </c>
      <c r="S34" s="13">
        <f>1 - CUSTOS!$M$28</f>
        <v>1</v>
      </c>
      <c r="T34" s="13"/>
      <c r="U34" s="13">
        <f>TRANSICAO!$U$34*CUSTOS!$T$3</f>
        <v>0</v>
      </c>
      <c r="V34" s="13">
        <f>TRANSICAO!$V$34*CUSTOS!$T$3</f>
        <v>0</v>
      </c>
      <c r="W34" s="13">
        <f>TRANSICAO!$W$34*CUSTOS!$T$3</f>
        <v>0</v>
      </c>
      <c r="X34" s="13">
        <f>TRANSICAO!$X$34*CUSTOS!$T$3</f>
        <v>0</v>
      </c>
      <c r="Y34" s="13">
        <f>TRANSICAO!$Y$34*CUSTOS!$T$3</f>
        <v>356.51600000000002</v>
      </c>
      <c r="Z34" s="13">
        <f>TRANSICAO!$Z$34*CUSTOS!$T$3</f>
        <v>0</v>
      </c>
      <c r="AA34" s="13">
        <f>TRANSICAO!$AA$34*CUSTOS!$T$3</f>
        <v>0</v>
      </c>
      <c r="AB34" s="13">
        <f>TRANSICAO!$AB$34*CUSTOS!$T$3</f>
        <v>0</v>
      </c>
      <c r="AC34" s="13">
        <f>TRANSICAO!$AC$34*CUSTOS!$T$3</f>
        <v>1101.0704000000001</v>
      </c>
      <c r="AD34" s="13">
        <f>TRANSICAO!$AD$34*CUSTOS!$T$3</f>
        <v>0</v>
      </c>
      <c r="AE34" s="13">
        <v>0</v>
      </c>
      <c r="AF34" s="13">
        <v>0</v>
      </c>
      <c r="AG34" s="13"/>
      <c r="AH34" s="13">
        <f>(1 - CUSTOS!$M$28)*23.8272</f>
        <v>23.827200000000001</v>
      </c>
      <c r="AI34" s="13">
        <f>(1 - CUSTOS!$M$28)*23.8272</f>
        <v>23.827200000000001</v>
      </c>
      <c r="AJ34" s="13">
        <f ca="1">$N$69*(1-CUSTOS!$M$28)</f>
        <v>1.2881649666058759</v>
      </c>
      <c r="AK34" s="13">
        <f t="shared" ca="1" si="0"/>
        <v>1.2881649666058759</v>
      </c>
      <c r="AL34" s="13"/>
      <c r="AM34" s="13"/>
      <c r="AP34" s="13">
        <f>IF((1 - CUSTOS!$M$28)&lt;&gt;0,1/(1 - CUSTOS!$M$28),1)</f>
        <v>1</v>
      </c>
    </row>
    <row r="35" spans="1:42" ht="11.25" customHeight="1" x14ac:dyDescent="0.3">
      <c r="A35" s="146"/>
      <c r="B35" s="146"/>
      <c r="C35" s="146"/>
      <c r="D35" s="146"/>
      <c r="E35" s="146"/>
      <c r="F35" s="146"/>
      <c r="G35" s="24" t="s">
        <v>89</v>
      </c>
      <c r="H35" s="24" t="s">
        <v>78</v>
      </c>
      <c r="I35" s="24">
        <f>'MERCADO TUSD'!$U$32</f>
        <v>0</v>
      </c>
      <c r="J35" s="15"/>
      <c r="L35" s="13">
        <f>1*(1 - CUSTOS!$M$28)</f>
        <v>1</v>
      </c>
      <c r="M35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CUSTOS!$M$28)</f>
        <v>0.88921528219289092</v>
      </c>
      <c r="N35" s="13">
        <f ca="1">(+M35+O35+R35+U35+V35+W35+X35+Y35+Z35+AA35+AC35+AH35+AI35+AJ35+AK35)*CUSTOS!$M$5</f>
        <v>4.5859884521540462</v>
      </c>
      <c r="O35" s="13">
        <f>1 - CUSTOS!$M$28</f>
        <v>1</v>
      </c>
      <c r="P35" s="13">
        <f>1 - CUSTOS!$M$28</f>
        <v>1</v>
      </c>
      <c r="Q35" s="13">
        <f>1*(1 - CUSTOS!$M$28)</f>
        <v>1</v>
      </c>
      <c r="R35" s="13">
        <f>1 - CUSTOS!$M$28</f>
        <v>1</v>
      </c>
      <c r="S35" s="13">
        <f>1 - CUSTOS!$M$28</f>
        <v>1</v>
      </c>
      <c r="T35" s="13"/>
      <c r="U35" s="13">
        <f>TRANSICAO!$U$35*CUSTOS!$T$3</f>
        <v>0</v>
      </c>
      <c r="V35" s="13">
        <f>TRANSICAO!$V$35*CUSTOS!$T$3</f>
        <v>0</v>
      </c>
      <c r="W35" s="13">
        <f>TRANSICAO!$W$35*CUSTOS!$T$3</f>
        <v>0</v>
      </c>
      <c r="X35" s="13">
        <f>TRANSICAO!$X$35*CUSTOS!$T$3</f>
        <v>0</v>
      </c>
      <c r="Y35" s="13">
        <f>TRANSICAO!$Y$35*CUSTOS!$T$3</f>
        <v>99.177499999999995</v>
      </c>
      <c r="Z35" s="13">
        <f>TRANSICAO!$Z$35*CUSTOS!$T$3</f>
        <v>0</v>
      </c>
      <c r="AA35" s="13">
        <f>TRANSICAO!$AA$35*CUSTOS!$T$3</f>
        <v>0</v>
      </c>
      <c r="AB35" s="13">
        <f>TRANSICAO!$AB$35*CUSTOS!$T$3</f>
        <v>0</v>
      </c>
      <c r="AC35" s="13">
        <f>TRANSICAO!$AC$35*CUSTOS!$T$3</f>
        <v>306.3014</v>
      </c>
      <c r="AD35" s="13">
        <f>TRANSICAO!$AD$35*CUSTOS!$T$3</f>
        <v>0</v>
      </c>
      <c r="AE35" s="13">
        <v>0</v>
      </c>
      <c r="AF35" s="13">
        <v>0</v>
      </c>
      <c r="AG35" s="13"/>
      <c r="AH35" s="13">
        <f>(1 - CUSTOS!$M$28)*23.8272</f>
        <v>23.827200000000001</v>
      </c>
      <c r="AI35" s="13">
        <f>(1 - CUSTOS!$M$28)*23.8272</f>
        <v>23.827200000000001</v>
      </c>
      <c r="AJ35" s="13">
        <f ca="1">$N$69*(1-CUSTOS!$M$28)</f>
        <v>1.2881649666058759</v>
      </c>
      <c r="AK35" s="13">
        <f t="shared" ca="1" si="0"/>
        <v>1.2881649666058759</v>
      </c>
      <c r="AL35" s="13"/>
      <c r="AM35" s="13"/>
      <c r="AP35" s="13">
        <f>IF((1 - CUSTOS!$M$28)&lt;&gt;0,1/(1 - CUSTOS!$M$28),1)</f>
        <v>1</v>
      </c>
    </row>
    <row r="36" spans="1:42" ht="11.25" customHeight="1" x14ac:dyDescent="0.3">
      <c r="A36" s="146"/>
      <c r="B36" s="146"/>
      <c r="C36" s="146"/>
      <c r="D36" s="146"/>
      <c r="E36" s="146"/>
      <c r="F36" s="146"/>
      <c r="G36" s="24" t="s">
        <v>80</v>
      </c>
      <c r="H36" s="24" t="s">
        <v>78</v>
      </c>
      <c r="I36" s="24">
        <f>'MERCADO TUSD'!$U$33</f>
        <v>0</v>
      </c>
      <c r="J36" s="15"/>
      <c r="L36" s="13">
        <f>1*(1 - CUSTOS!$M$28)</f>
        <v>1</v>
      </c>
      <c r="M36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CUSTOS!$M$28)</f>
        <v>0.88921528219289092</v>
      </c>
      <c r="N36" s="13">
        <f ca="1">(+M36+O36+R36+U36+V36+W36+X36+Y36+Z36+AA36+AC36+AH36+AI36+AJ36+AK36)*CUSTOS!$M$5</f>
        <v>1.1992044521540466</v>
      </c>
      <c r="O36" s="13">
        <f>1 - CUSTOS!$M$28</f>
        <v>1</v>
      </c>
      <c r="P36" s="13">
        <f>1 - CUSTOS!$M$28</f>
        <v>1</v>
      </c>
      <c r="Q36" s="13">
        <f>1*(1 - CUSTOS!$M$28)</f>
        <v>1</v>
      </c>
      <c r="R36" s="13">
        <f>1 - CUSTOS!$M$28</f>
        <v>1</v>
      </c>
      <c r="S36" s="13">
        <f>1 - CUSTOS!$M$28</f>
        <v>1</v>
      </c>
      <c r="T36" s="13"/>
      <c r="U36" s="13">
        <f>TRANSICAO!$U$36*CUSTOS!$T$3</f>
        <v>0</v>
      </c>
      <c r="V36" s="13">
        <f>TRANSICAO!$V$36*CUSTOS!$T$3</f>
        <v>0</v>
      </c>
      <c r="W36" s="13">
        <f>TRANSICAO!$W$36*CUSTOS!$T$3</f>
        <v>0</v>
      </c>
      <c r="X36" s="13">
        <f>TRANSICAO!$X$36*CUSTOS!$T$3</f>
        <v>0</v>
      </c>
      <c r="Y36" s="13">
        <f>TRANSICAO!$Y$36*CUSTOS!$T$3</f>
        <v>16.338999999999999</v>
      </c>
      <c r="Z36" s="13">
        <f>TRANSICAO!$Z$36*CUSTOS!$T$3</f>
        <v>0</v>
      </c>
      <c r="AA36" s="13">
        <f>TRANSICAO!$AA$36*CUSTOS!$T$3</f>
        <v>0</v>
      </c>
      <c r="AB36" s="13">
        <f>TRANSICAO!$AB$36*CUSTOS!$T$3</f>
        <v>0</v>
      </c>
      <c r="AC36" s="13">
        <f>TRANSICAO!$AC$36*CUSTOS!$T$3</f>
        <v>50.461500000000001</v>
      </c>
      <c r="AD36" s="13">
        <f>TRANSICAO!$AD$36*CUSTOS!$T$3</f>
        <v>0</v>
      </c>
      <c r="AE36" s="13">
        <v>0</v>
      </c>
      <c r="AF36" s="13">
        <v>0</v>
      </c>
      <c r="AG36" s="13"/>
      <c r="AH36" s="13">
        <f>(1 - CUSTOS!$M$28)*23.8272</f>
        <v>23.827200000000001</v>
      </c>
      <c r="AI36" s="13">
        <f>(1 - CUSTOS!$M$28)*23.8272</f>
        <v>23.827200000000001</v>
      </c>
      <c r="AJ36" s="13">
        <f ca="1">$N$69*(1-CUSTOS!$M$28)</f>
        <v>1.2881649666058759</v>
      </c>
      <c r="AK36" s="13">
        <f t="shared" ca="1" si="0"/>
        <v>1.2881649666058759</v>
      </c>
      <c r="AL36" s="13"/>
      <c r="AM36" s="13"/>
      <c r="AP36" s="13">
        <f>IF((1 - CUSTOS!$M$28)&lt;&gt;0,1/(1 - CUSTOS!$M$28),1)</f>
        <v>1</v>
      </c>
    </row>
    <row r="37" spans="1:42" ht="11.25" customHeight="1" x14ac:dyDescent="0.3">
      <c r="A37" s="146"/>
      <c r="B37" s="23" t="s">
        <v>23</v>
      </c>
      <c r="C37" s="23" t="s">
        <v>42</v>
      </c>
      <c r="D37" s="23" t="s">
        <v>25</v>
      </c>
      <c r="E37" s="23" t="s">
        <v>25</v>
      </c>
      <c r="F37" s="23" t="s">
        <v>25</v>
      </c>
      <c r="G37" s="24" t="s">
        <v>84</v>
      </c>
      <c r="H37" s="24" t="s">
        <v>78</v>
      </c>
      <c r="I37" s="24">
        <f>'MERCADO TUSD'!$U$34</f>
        <v>3112.8609999999999</v>
      </c>
      <c r="J37" s="15"/>
      <c r="L37" s="13">
        <f>1*(1 - CUSTOS!$M$28)</f>
        <v>1</v>
      </c>
      <c r="M37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CUSTOS!$M$28)</f>
        <v>0.88921528219289092</v>
      </c>
      <c r="N37" s="13">
        <f ca="1">(+M37+O37+R37+U37+V37+W37+X37+Y37+Z37+AA37+AC37+AH37+AI37+AJ37+AK37)*CUSTOS!$M$5</f>
        <v>2.916930452154046</v>
      </c>
      <c r="O37" s="13">
        <f>1 - CUSTOS!$M$28</f>
        <v>1</v>
      </c>
      <c r="P37" s="13">
        <f>1 - CUSTOS!$M$28</f>
        <v>1</v>
      </c>
      <c r="Q37" s="13">
        <f>1*(1 - CUSTOS!$M$28)</f>
        <v>1</v>
      </c>
      <c r="R37" s="13">
        <f>1 - CUSTOS!$M$28</f>
        <v>1</v>
      </c>
      <c r="S37" s="13">
        <f>1 - CUSTOS!$M$28</f>
        <v>1</v>
      </c>
      <c r="T37" s="13"/>
      <c r="U37" s="13">
        <f>TRANSICAO!$U$37*CUSTOS!$T$3</f>
        <v>0</v>
      </c>
      <c r="V37" s="13">
        <f>TRANSICAO!$V$37*CUSTOS!$T$3</f>
        <v>0</v>
      </c>
      <c r="W37" s="13">
        <f>TRANSICAO!$W$37*CUSTOS!$T$3</f>
        <v>0</v>
      </c>
      <c r="X37" s="13">
        <f>TRANSICAO!$X$37*CUSTOS!$T$3</f>
        <v>0</v>
      </c>
      <c r="Y37" s="13">
        <f>TRANSICAO!$Y$37*CUSTOS!$T$3</f>
        <v>58.353400000000001</v>
      </c>
      <c r="Z37" s="13">
        <f>TRANSICAO!$Z$37*CUSTOS!$T$3</f>
        <v>0</v>
      </c>
      <c r="AA37" s="13">
        <f>TRANSICAO!$AA$37*CUSTOS!$T$3</f>
        <v>0</v>
      </c>
      <c r="AB37" s="13">
        <f>TRANSICAO!$AB$37*CUSTOS!$T$3</f>
        <v>0</v>
      </c>
      <c r="AC37" s="13">
        <f>TRANSICAO!$AC$37*CUSTOS!$T$3</f>
        <v>180.21969999999999</v>
      </c>
      <c r="AD37" s="13">
        <f>TRANSICAO!$AD$37*CUSTOS!$T$3</f>
        <v>0</v>
      </c>
      <c r="AE37" s="13">
        <v>0</v>
      </c>
      <c r="AF37" s="13">
        <v>0</v>
      </c>
      <c r="AG37" s="13"/>
      <c r="AH37" s="13">
        <f>(1 - CUSTOS!$M$28)*23.8272</f>
        <v>23.827200000000001</v>
      </c>
      <c r="AI37" s="13">
        <f>(1 - CUSTOS!$M$28)*23.8272</f>
        <v>23.827200000000001</v>
      </c>
      <c r="AJ37" s="13">
        <f ca="1">$N$69*(1-CUSTOS!$M$28)</f>
        <v>1.2881649666058759</v>
      </c>
      <c r="AK37" s="13">
        <f t="shared" ref="AK37:AK55" ca="1" si="1">AJ37</f>
        <v>1.2881649666058759</v>
      </c>
      <c r="AL37" s="13"/>
      <c r="AM37" s="13"/>
      <c r="AP37" s="13">
        <f>IF((1 - CUSTOS!$M$28)&lt;&gt;0,1/(1 - CUSTOS!$M$28),1)</f>
        <v>1</v>
      </c>
    </row>
    <row r="38" spans="1:42" ht="11.25" customHeight="1" x14ac:dyDescent="0.3">
      <c r="A38" s="146"/>
      <c r="B38" s="146" t="s">
        <v>38</v>
      </c>
      <c r="C38" s="146" t="s">
        <v>42</v>
      </c>
      <c r="D38" s="146" t="s">
        <v>93</v>
      </c>
      <c r="E38" s="146" t="s">
        <v>25</v>
      </c>
      <c r="F38" s="146" t="s">
        <v>25</v>
      </c>
      <c r="G38" s="24" t="s">
        <v>79</v>
      </c>
      <c r="H38" s="24" t="s">
        <v>78</v>
      </c>
      <c r="I38" s="24">
        <f>'MERCADO TUSD'!$U$35</f>
        <v>0</v>
      </c>
      <c r="J38" s="15"/>
      <c r="L38" s="13">
        <f>1*(1 - CUSTOS!$M$29)</f>
        <v>1</v>
      </c>
      <c r="M38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CUSTOS!$M$29)</f>
        <v>0.88921528219289092</v>
      </c>
      <c r="N38" s="13">
        <f ca="1">(+M38+O38+R38+U38+V38+W38+X38+Y38+Z38+AA38+AC38+AH38+AI38+AJ38+AK38)*CUSTOS!$M$5</f>
        <v>15.107063452154044</v>
      </c>
      <c r="O38" s="13">
        <f>1 - CUSTOS!$M$29</f>
        <v>1</v>
      </c>
      <c r="P38" s="13">
        <f>1 - CUSTOS!$M$29</f>
        <v>1</v>
      </c>
      <c r="Q38" s="13">
        <f>1*(1 - CUSTOS!$M$29)</f>
        <v>1</v>
      </c>
      <c r="R38" s="13">
        <f>1 - CUSTOS!$M$29</f>
        <v>1</v>
      </c>
      <c r="S38" s="13">
        <f>1 - CUSTOS!$M$29</f>
        <v>1</v>
      </c>
      <c r="T38" s="13"/>
      <c r="U38" s="13">
        <f>TRANSICAO!$U$38*CUSTOS!$T$3</f>
        <v>0</v>
      </c>
      <c r="V38" s="13">
        <f>TRANSICAO!$V$38*CUSTOS!$T$3</f>
        <v>0</v>
      </c>
      <c r="W38" s="13">
        <f>TRANSICAO!$W$38*CUSTOS!$T$3</f>
        <v>0</v>
      </c>
      <c r="X38" s="13">
        <f>TRANSICAO!$X$38*CUSTOS!$T$3</f>
        <v>0</v>
      </c>
      <c r="Y38" s="13">
        <f>TRANSICAO!$Y$38*CUSTOS!$T$3</f>
        <v>356.51600000000002</v>
      </c>
      <c r="Z38" s="13">
        <f>TRANSICAO!$Z$38*CUSTOS!$T$3</f>
        <v>0</v>
      </c>
      <c r="AA38" s="13">
        <f>TRANSICAO!$AA$38*CUSTOS!$T$3</f>
        <v>0</v>
      </c>
      <c r="AB38" s="13">
        <f>TRANSICAO!$AB$38*CUSTOS!$T$3</f>
        <v>0</v>
      </c>
      <c r="AC38" s="13">
        <f>TRANSICAO!$AC$38*CUSTOS!$T$3</f>
        <v>1101.0704000000001</v>
      </c>
      <c r="AD38" s="13">
        <f>TRANSICAO!$AD$38*CUSTOS!$T$3</f>
        <v>0</v>
      </c>
      <c r="AE38" s="13">
        <v>0</v>
      </c>
      <c r="AF38" s="13">
        <v>0</v>
      </c>
      <c r="AG38" s="13"/>
      <c r="AH38" s="13">
        <f>(1 - CUSTOS!$M$29)*23.8272</f>
        <v>23.827200000000001</v>
      </c>
      <c r="AI38" s="13">
        <f>(1 - CUSTOS!$M$29)*23.8272</f>
        <v>23.827200000000001</v>
      </c>
      <c r="AJ38" s="13">
        <f ca="1">$N$69*(1-CUSTOS!$M$29)</f>
        <v>1.2881649666058759</v>
      </c>
      <c r="AK38" s="13">
        <f t="shared" ca="1" si="1"/>
        <v>1.2881649666058759</v>
      </c>
      <c r="AL38" s="13"/>
      <c r="AM38" s="13"/>
      <c r="AP38" s="13">
        <f>IF((1 - CUSTOS!$M$29)&lt;&gt;0,1/(1 - CUSTOS!$M$29),1)</f>
        <v>1</v>
      </c>
    </row>
    <row r="39" spans="1:42" ht="11.25" customHeight="1" x14ac:dyDescent="0.3">
      <c r="A39" s="146"/>
      <c r="B39" s="146"/>
      <c r="C39" s="146"/>
      <c r="D39" s="146"/>
      <c r="E39" s="146"/>
      <c r="F39" s="146"/>
      <c r="G39" s="24" t="s">
        <v>89</v>
      </c>
      <c r="H39" s="24" t="s">
        <v>78</v>
      </c>
      <c r="I39" s="24">
        <f>'MERCADO TUSD'!$U$36</f>
        <v>0</v>
      </c>
      <c r="J39" s="15"/>
      <c r="L39" s="13">
        <f>1*(1 - CUSTOS!$M$29)</f>
        <v>1</v>
      </c>
      <c r="M39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CUSTOS!$M$29)</f>
        <v>0.88921528219289092</v>
      </c>
      <c r="N39" s="13">
        <f ca="1">(+M39+O39+R39+U39+V39+W39+X39+Y39+Z39+AA39+AC39+AH39+AI39+AJ39+AK39)*CUSTOS!$M$5</f>
        <v>4.5859884521540462</v>
      </c>
      <c r="O39" s="13">
        <f>1 - CUSTOS!$M$29</f>
        <v>1</v>
      </c>
      <c r="P39" s="13">
        <f>1 - CUSTOS!$M$29</f>
        <v>1</v>
      </c>
      <c r="Q39" s="13">
        <f>1*(1 - CUSTOS!$M$29)</f>
        <v>1</v>
      </c>
      <c r="R39" s="13">
        <f>1 - CUSTOS!$M$29</f>
        <v>1</v>
      </c>
      <c r="S39" s="13">
        <f>1 - CUSTOS!$M$29</f>
        <v>1</v>
      </c>
      <c r="T39" s="13"/>
      <c r="U39" s="13">
        <f>TRANSICAO!$U$39*CUSTOS!$T$3</f>
        <v>0</v>
      </c>
      <c r="V39" s="13">
        <f>TRANSICAO!$V$39*CUSTOS!$T$3</f>
        <v>0</v>
      </c>
      <c r="W39" s="13">
        <f>TRANSICAO!$W$39*CUSTOS!$T$3</f>
        <v>0</v>
      </c>
      <c r="X39" s="13">
        <f>TRANSICAO!$X$39*CUSTOS!$T$3</f>
        <v>0</v>
      </c>
      <c r="Y39" s="13">
        <f>TRANSICAO!$Y$39*CUSTOS!$T$3</f>
        <v>99.177499999999995</v>
      </c>
      <c r="Z39" s="13">
        <f>TRANSICAO!$Z$39*CUSTOS!$T$3</f>
        <v>0</v>
      </c>
      <c r="AA39" s="13">
        <f>TRANSICAO!$AA$39*CUSTOS!$T$3</f>
        <v>0</v>
      </c>
      <c r="AB39" s="13">
        <f>TRANSICAO!$AB$39*CUSTOS!$T$3</f>
        <v>0</v>
      </c>
      <c r="AC39" s="13">
        <f>TRANSICAO!$AC$39*CUSTOS!$T$3</f>
        <v>306.3014</v>
      </c>
      <c r="AD39" s="13">
        <f>TRANSICAO!$AD$39*CUSTOS!$T$3</f>
        <v>0</v>
      </c>
      <c r="AE39" s="13">
        <v>0</v>
      </c>
      <c r="AF39" s="13">
        <v>0</v>
      </c>
      <c r="AG39" s="13"/>
      <c r="AH39" s="13">
        <f>(1 - CUSTOS!$M$29)*23.8272</f>
        <v>23.827200000000001</v>
      </c>
      <c r="AI39" s="13">
        <f>(1 - CUSTOS!$M$29)*23.8272</f>
        <v>23.827200000000001</v>
      </c>
      <c r="AJ39" s="13">
        <f ca="1">$N$69*(1-CUSTOS!$M$29)</f>
        <v>1.2881649666058759</v>
      </c>
      <c r="AK39" s="13">
        <f t="shared" ca="1" si="1"/>
        <v>1.2881649666058759</v>
      </c>
      <c r="AL39" s="13"/>
      <c r="AM39" s="13"/>
      <c r="AP39" s="13">
        <f>IF((1 - CUSTOS!$M$29)&lt;&gt;0,1/(1 - CUSTOS!$M$29),1)</f>
        <v>1</v>
      </c>
    </row>
    <row r="40" spans="1:42" ht="11.25" customHeight="1" x14ac:dyDescent="0.3">
      <c r="A40" s="146"/>
      <c r="B40" s="146"/>
      <c r="C40" s="146"/>
      <c r="D40" s="146"/>
      <c r="E40" s="146"/>
      <c r="F40" s="146"/>
      <c r="G40" s="24" t="s">
        <v>80</v>
      </c>
      <c r="H40" s="24" t="s">
        <v>78</v>
      </c>
      <c r="I40" s="24">
        <f>'MERCADO TUSD'!$U$37</f>
        <v>0</v>
      </c>
      <c r="J40" s="15"/>
      <c r="L40" s="13">
        <f>1*(1 - CUSTOS!$M$29)</f>
        <v>1</v>
      </c>
      <c r="M40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CUSTOS!$M$29)</f>
        <v>0.88921528219289092</v>
      </c>
      <c r="N40" s="13">
        <f ca="1">(+M40+O40+R40+U40+V40+W40+X40+Y40+Z40+AA40+AC40+AH40+AI40+AJ40+AK40)*CUSTOS!$M$5</f>
        <v>1.1992044521540466</v>
      </c>
      <c r="O40" s="13">
        <f>1 - CUSTOS!$M$29</f>
        <v>1</v>
      </c>
      <c r="P40" s="13">
        <f>1 - CUSTOS!$M$29</f>
        <v>1</v>
      </c>
      <c r="Q40" s="13">
        <f>1*(1 - CUSTOS!$M$29)</f>
        <v>1</v>
      </c>
      <c r="R40" s="13">
        <f>1 - CUSTOS!$M$29</f>
        <v>1</v>
      </c>
      <c r="S40" s="13">
        <f>1 - CUSTOS!$M$29</f>
        <v>1</v>
      </c>
      <c r="T40" s="13"/>
      <c r="U40" s="13">
        <f>TRANSICAO!$U$40*CUSTOS!$T$3</f>
        <v>0</v>
      </c>
      <c r="V40" s="13">
        <f>TRANSICAO!$V$40*CUSTOS!$T$3</f>
        <v>0</v>
      </c>
      <c r="W40" s="13">
        <f>TRANSICAO!$W$40*CUSTOS!$T$3</f>
        <v>0</v>
      </c>
      <c r="X40" s="13">
        <f>TRANSICAO!$X$40*CUSTOS!$T$3</f>
        <v>0</v>
      </c>
      <c r="Y40" s="13">
        <f>TRANSICAO!$Y$40*CUSTOS!$T$3</f>
        <v>16.338999999999999</v>
      </c>
      <c r="Z40" s="13">
        <f>TRANSICAO!$Z$40*CUSTOS!$T$3</f>
        <v>0</v>
      </c>
      <c r="AA40" s="13">
        <f>TRANSICAO!$AA$40*CUSTOS!$T$3</f>
        <v>0</v>
      </c>
      <c r="AB40" s="13">
        <f>TRANSICAO!$AB$40*CUSTOS!$T$3</f>
        <v>0</v>
      </c>
      <c r="AC40" s="13">
        <f>TRANSICAO!$AC$40*CUSTOS!$T$3</f>
        <v>50.461500000000001</v>
      </c>
      <c r="AD40" s="13">
        <f>TRANSICAO!$AD$40*CUSTOS!$T$3</f>
        <v>0</v>
      </c>
      <c r="AE40" s="13">
        <v>0</v>
      </c>
      <c r="AF40" s="13">
        <v>0</v>
      </c>
      <c r="AG40" s="13"/>
      <c r="AH40" s="13">
        <f>(1 - CUSTOS!$M$29)*23.8272</f>
        <v>23.827200000000001</v>
      </c>
      <c r="AI40" s="13">
        <f>(1 - CUSTOS!$M$29)*23.8272</f>
        <v>23.827200000000001</v>
      </c>
      <c r="AJ40" s="13">
        <f ca="1">$N$69*(1-CUSTOS!$M$29)</f>
        <v>1.2881649666058759</v>
      </c>
      <c r="AK40" s="13">
        <f t="shared" ca="1" si="1"/>
        <v>1.2881649666058759</v>
      </c>
      <c r="AL40" s="13"/>
      <c r="AM40" s="13"/>
      <c r="AP40" s="13">
        <f>IF((1 - CUSTOS!$M$29)&lt;&gt;0,1/(1 - CUSTOS!$M$29),1)</f>
        <v>1</v>
      </c>
    </row>
    <row r="41" spans="1:42" ht="11.25" customHeight="1" x14ac:dyDescent="0.3">
      <c r="A41" s="146"/>
      <c r="B41" s="23" t="s">
        <v>23</v>
      </c>
      <c r="C41" s="23" t="s">
        <v>42</v>
      </c>
      <c r="D41" s="23" t="s">
        <v>93</v>
      </c>
      <c r="E41" s="23" t="s">
        <v>25</v>
      </c>
      <c r="F41" s="23" t="s">
        <v>25</v>
      </c>
      <c r="G41" s="24" t="s">
        <v>84</v>
      </c>
      <c r="H41" s="24" t="s">
        <v>78</v>
      </c>
      <c r="I41" s="24">
        <f>'MERCADO TUSD'!$U$38</f>
        <v>0</v>
      </c>
      <c r="J41" s="15"/>
      <c r="L41" s="13">
        <f>1*(1 - CUSTOS!$M$29)</f>
        <v>1</v>
      </c>
      <c r="M41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CUSTOS!$M$29)</f>
        <v>0.88921528219289092</v>
      </c>
      <c r="N41" s="13">
        <f ca="1">(+M41+O41+R41+U41+V41+W41+X41+Y41+Z41+AA41+AC41+AH41+AI41+AJ41+AK41)*CUSTOS!$M$5</f>
        <v>2.916930452154046</v>
      </c>
      <c r="O41" s="13">
        <f>1 - CUSTOS!$M$29</f>
        <v>1</v>
      </c>
      <c r="P41" s="13">
        <f>1 - CUSTOS!$M$29</f>
        <v>1</v>
      </c>
      <c r="Q41" s="13">
        <f>1*(1 - CUSTOS!$M$29)</f>
        <v>1</v>
      </c>
      <c r="R41" s="13">
        <f>1 - CUSTOS!$M$29</f>
        <v>1</v>
      </c>
      <c r="S41" s="13">
        <f>1 - CUSTOS!$M$29</f>
        <v>1</v>
      </c>
      <c r="T41" s="13"/>
      <c r="U41" s="13">
        <f>TRANSICAO!$U$41*CUSTOS!$T$3</f>
        <v>0</v>
      </c>
      <c r="V41" s="13">
        <f>TRANSICAO!$V$41*CUSTOS!$T$3</f>
        <v>0</v>
      </c>
      <c r="W41" s="13">
        <f>TRANSICAO!$W$41*CUSTOS!$T$3</f>
        <v>0</v>
      </c>
      <c r="X41" s="13">
        <f>TRANSICAO!$X$41*CUSTOS!$T$3</f>
        <v>0</v>
      </c>
      <c r="Y41" s="13">
        <f>TRANSICAO!$Y$41*CUSTOS!$T$3</f>
        <v>58.353400000000001</v>
      </c>
      <c r="Z41" s="13">
        <f>TRANSICAO!$Z$41*CUSTOS!$T$3</f>
        <v>0</v>
      </c>
      <c r="AA41" s="13">
        <f>TRANSICAO!$AA$41*CUSTOS!$T$3</f>
        <v>0</v>
      </c>
      <c r="AB41" s="13">
        <f>TRANSICAO!$AB$41*CUSTOS!$T$3</f>
        <v>0</v>
      </c>
      <c r="AC41" s="13">
        <f>TRANSICAO!$AC$41*CUSTOS!$T$3</f>
        <v>180.21969999999999</v>
      </c>
      <c r="AD41" s="13">
        <f>TRANSICAO!$AD$41*CUSTOS!$T$3</f>
        <v>0</v>
      </c>
      <c r="AE41" s="13">
        <v>0</v>
      </c>
      <c r="AF41" s="13">
        <v>0</v>
      </c>
      <c r="AG41" s="13"/>
      <c r="AH41" s="13">
        <f>(1 - CUSTOS!$M$29)*23.8272</f>
        <v>23.827200000000001</v>
      </c>
      <c r="AI41" s="13">
        <f>(1 - CUSTOS!$M$29)*23.8272</f>
        <v>23.827200000000001</v>
      </c>
      <c r="AJ41" s="13">
        <f ca="1">$N$69*(1-CUSTOS!$M$29)</f>
        <v>1.2881649666058759</v>
      </c>
      <c r="AK41" s="13">
        <f t="shared" ca="1" si="1"/>
        <v>1.2881649666058759</v>
      </c>
      <c r="AL41" s="13"/>
      <c r="AM41" s="13"/>
      <c r="AP41" s="13">
        <f>IF((1 - CUSTOS!$M$29)&lt;&gt;0,1/(1 - CUSTOS!$M$29),1)</f>
        <v>1</v>
      </c>
    </row>
    <row r="42" spans="1:42" ht="11.25" customHeight="1" x14ac:dyDescent="0.3">
      <c r="A42" s="146"/>
      <c r="B42" s="146" t="s">
        <v>38</v>
      </c>
      <c r="C42" s="146" t="s">
        <v>42</v>
      </c>
      <c r="D42" s="146" t="s">
        <v>94</v>
      </c>
      <c r="E42" s="146" t="s">
        <v>25</v>
      </c>
      <c r="F42" s="146" t="s">
        <v>25</v>
      </c>
      <c r="G42" s="24" t="s">
        <v>79</v>
      </c>
      <c r="H42" s="24" t="s">
        <v>78</v>
      </c>
      <c r="I42" s="24">
        <f>'MERCADO TUSD'!$U$39</f>
        <v>0</v>
      </c>
      <c r="J42" s="15"/>
      <c r="L42" s="13">
        <f>1*(1 - CUSTOS!$M$30)</f>
        <v>1</v>
      </c>
      <c r="M42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CUSTOS!$M$30)</f>
        <v>0.88921528219289092</v>
      </c>
      <c r="N42" s="13">
        <f ca="1">(+M42+O42+R42+U42+V42+W42+X42+Y42+Z42+AA42+AC42+AH42+AI42+AJ42+AK42)*CUSTOS!$M$5</f>
        <v>15.107063452154044</v>
      </c>
      <c r="O42" s="13">
        <f>1 - CUSTOS!$M$30</f>
        <v>1</v>
      </c>
      <c r="P42" s="13">
        <f>1 - CUSTOS!$M$30</f>
        <v>1</v>
      </c>
      <c r="Q42" s="13">
        <f>1*(1 - CUSTOS!$M$30)</f>
        <v>1</v>
      </c>
      <c r="R42" s="13">
        <f>1 - CUSTOS!$M$30</f>
        <v>1</v>
      </c>
      <c r="S42" s="13">
        <f>1 - CUSTOS!$M$30</f>
        <v>1</v>
      </c>
      <c r="T42" s="13"/>
      <c r="U42" s="13">
        <f>TRANSICAO!$U$42*CUSTOS!$T$3</f>
        <v>0</v>
      </c>
      <c r="V42" s="13">
        <f>TRANSICAO!$V$42*CUSTOS!$T$3</f>
        <v>0</v>
      </c>
      <c r="W42" s="13">
        <f>TRANSICAO!$W$42*CUSTOS!$T$3</f>
        <v>0</v>
      </c>
      <c r="X42" s="13">
        <f>TRANSICAO!$X$42*CUSTOS!$T$3</f>
        <v>0</v>
      </c>
      <c r="Y42" s="13">
        <f>TRANSICAO!$Y$42*CUSTOS!$T$3</f>
        <v>356.51600000000002</v>
      </c>
      <c r="Z42" s="13">
        <f>TRANSICAO!$Z$42*CUSTOS!$T$3</f>
        <v>0</v>
      </c>
      <c r="AA42" s="13">
        <f>TRANSICAO!$AA$42*CUSTOS!$T$3</f>
        <v>0</v>
      </c>
      <c r="AB42" s="13">
        <f>TRANSICAO!$AB$42*CUSTOS!$T$3</f>
        <v>0</v>
      </c>
      <c r="AC42" s="13">
        <f>TRANSICAO!$AC$42*CUSTOS!$T$3</f>
        <v>1101.0704000000001</v>
      </c>
      <c r="AD42" s="13">
        <f>TRANSICAO!$AD$42*CUSTOS!$T$3</f>
        <v>0</v>
      </c>
      <c r="AE42" s="13">
        <v>0</v>
      </c>
      <c r="AF42" s="13">
        <v>0</v>
      </c>
      <c r="AG42" s="13"/>
      <c r="AH42" s="13">
        <f>(1 - CUSTOS!$M$30)*23.8272</f>
        <v>23.827200000000001</v>
      </c>
      <c r="AI42" s="13">
        <f>(1 - CUSTOS!$M$30)*23.8272</f>
        <v>23.827200000000001</v>
      </c>
      <c r="AJ42" s="13">
        <f ca="1">$N$69*(1-CUSTOS!$M$30)</f>
        <v>1.2881649666058759</v>
      </c>
      <c r="AK42" s="13">
        <f t="shared" ca="1" si="1"/>
        <v>1.2881649666058759</v>
      </c>
      <c r="AL42" s="13"/>
      <c r="AM42" s="13"/>
      <c r="AP42" s="13">
        <f>IF((1 - CUSTOS!$M$30)&lt;&gt;0,1/(1 - CUSTOS!$M$30),1)</f>
        <v>1</v>
      </c>
    </row>
    <row r="43" spans="1:42" ht="11.25" customHeight="1" x14ac:dyDescent="0.3">
      <c r="A43" s="146"/>
      <c r="B43" s="146"/>
      <c r="C43" s="146"/>
      <c r="D43" s="146"/>
      <c r="E43" s="146"/>
      <c r="F43" s="146"/>
      <c r="G43" s="24" t="s">
        <v>89</v>
      </c>
      <c r="H43" s="24" t="s">
        <v>78</v>
      </c>
      <c r="I43" s="24">
        <f>'MERCADO TUSD'!$U$40</f>
        <v>0</v>
      </c>
      <c r="J43" s="15"/>
      <c r="L43" s="13">
        <f>1*(1 - CUSTOS!$M$30)</f>
        <v>1</v>
      </c>
      <c r="M43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CUSTOS!$M$30)</f>
        <v>0.88921528219289092</v>
      </c>
      <c r="N43" s="13">
        <f ca="1">(+M43+O43+R43+U43+V43+W43+X43+Y43+Z43+AA43+AC43+AH43+AI43+AJ43+AK43)*CUSTOS!$M$5</f>
        <v>4.5859884521540462</v>
      </c>
      <c r="O43" s="13">
        <f>1 - CUSTOS!$M$30</f>
        <v>1</v>
      </c>
      <c r="P43" s="13">
        <f>1 - CUSTOS!$M$30</f>
        <v>1</v>
      </c>
      <c r="Q43" s="13">
        <f>1*(1 - CUSTOS!$M$30)</f>
        <v>1</v>
      </c>
      <c r="R43" s="13">
        <f>1 - CUSTOS!$M$30</f>
        <v>1</v>
      </c>
      <c r="S43" s="13">
        <f>1 - CUSTOS!$M$30</f>
        <v>1</v>
      </c>
      <c r="T43" s="13"/>
      <c r="U43" s="13">
        <f>TRANSICAO!$U$43*CUSTOS!$T$3</f>
        <v>0</v>
      </c>
      <c r="V43" s="13">
        <f>TRANSICAO!$V$43*CUSTOS!$T$3</f>
        <v>0</v>
      </c>
      <c r="W43" s="13">
        <f>TRANSICAO!$W$43*CUSTOS!$T$3</f>
        <v>0</v>
      </c>
      <c r="X43" s="13">
        <f>TRANSICAO!$X$43*CUSTOS!$T$3</f>
        <v>0</v>
      </c>
      <c r="Y43" s="13">
        <f>TRANSICAO!$Y$43*CUSTOS!$T$3</f>
        <v>99.177499999999995</v>
      </c>
      <c r="Z43" s="13">
        <f>TRANSICAO!$Z$43*CUSTOS!$T$3</f>
        <v>0</v>
      </c>
      <c r="AA43" s="13">
        <f>TRANSICAO!$AA$43*CUSTOS!$T$3</f>
        <v>0</v>
      </c>
      <c r="AB43" s="13">
        <f>TRANSICAO!$AB$43*CUSTOS!$T$3</f>
        <v>0</v>
      </c>
      <c r="AC43" s="13">
        <f>TRANSICAO!$AC$43*CUSTOS!$T$3</f>
        <v>306.3014</v>
      </c>
      <c r="AD43" s="13">
        <f>TRANSICAO!$AD$43*CUSTOS!$T$3</f>
        <v>0</v>
      </c>
      <c r="AE43" s="13">
        <v>0</v>
      </c>
      <c r="AF43" s="13">
        <v>0</v>
      </c>
      <c r="AG43" s="13"/>
      <c r="AH43" s="13">
        <f>(1 - CUSTOS!$M$30)*23.8272</f>
        <v>23.827200000000001</v>
      </c>
      <c r="AI43" s="13">
        <f>(1 - CUSTOS!$M$30)*23.8272</f>
        <v>23.827200000000001</v>
      </c>
      <c r="AJ43" s="13">
        <f ca="1">$N$69*(1-CUSTOS!$M$30)</f>
        <v>1.2881649666058759</v>
      </c>
      <c r="AK43" s="13">
        <f t="shared" ca="1" si="1"/>
        <v>1.2881649666058759</v>
      </c>
      <c r="AL43" s="13"/>
      <c r="AM43" s="13"/>
      <c r="AP43" s="13">
        <f>IF((1 - CUSTOS!$M$30)&lt;&gt;0,1/(1 - CUSTOS!$M$30),1)</f>
        <v>1</v>
      </c>
    </row>
    <row r="44" spans="1:42" ht="11.25" customHeight="1" x14ac:dyDescent="0.3">
      <c r="A44" s="146"/>
      <c r="B44" s="146"/>
      <c r="C44" s="146"/>
      <c r="D44" s="146"/>
      <c r="E44" s="146"/>
      <c r="F44" s="146"/>
      <c r="G44" s="24" t="s">
        <v>80</v>
      </c>
      <c r="H44" s="24" t="s">
        <v>78</v>
      </c>
      <c r="I44" s="24">
        <f>'MERCADO TUSD'!$U$41</f>
        <v>0</v>
      </c>
      <c r="J44" s="15"/>
      <c r="L44" s="13">
        <f>1*(1 - CUSTOS!$M$30)</f>
        <v>1</v>
      </c>
      <c r="M44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CUSTOS!$M$30)</f>
        <v>0.88921528219289092</v>
      </c>
      <c r="N44" s="13">
        <f ca="1">(+M44+O44+R44+U44+V44+W44+X44+Y44+Z44+AA44+AC44+AH44+AI44+AJ44+AK44)*CUSTOS!$M$5</f>
        <v>1.1992044521540466</v>
      </c>
      <c r="O44" s="13">
        <f>1 - CUSTOS!$M$30</f>
        <v>1</v>
      </c>
      <c r="P44" s="13">
        <f>1 - CUSTOS!$M$30</f>
        <v>1</v>
      </c>
      <c r="Q44" s="13">
        <f>1*(1 - CUSTOS!$M$30)</f>
        <v>1</v>
      </c>
      <c r="R44" s="13">
        <f>1 - CUSTOS!$M$30</f>
        <v>1</v>
      </c>
      <c r="S44" s="13">
        <f>1 - CUSTOS!$M$30</f>
        <v>1</v>
      </c>
      <c r="T44" s="13"/>
      <c r="U44" s="13">
        <f>TRANSICAO!$U$44*CUSTOS!$T$3</f>
        <v>0</v>
      </c>
      <c r="V44" s="13">
        <f>TRANSICAO!$V$44*CUSTOS!$T$3</f>
        <v>0</v>
      </c>
      <c r="W44" s="13">
        <f>TRANSICAO!$W$44*CUSTOS!$T$3</f>
        <v>0</v>
      </c>
      <c r="X44" s="13">
        <f>TRANSICAO!$X$44*CUSTOS!$T$3</f>
        <v>0</v>
      </c>
      <c r="Y44" s="13">
        <f>TRANSICAO!$Y$44*CUSTOS!$T$3</f>
        <v>16.338999999999999</v>
      </c>
      <c r="Z44" s="13">
        <f>TRANSICAO!$Z$44*CUSTOS!$T$3</f>
        <v>0</v>
      </c>
      <c r="AA44" s="13">
        <f>TRANSICAO!$AA$44*CUSTOS!$T$3</f>
        <v>0</v>
      </c>
      <c r="AB44" s="13">
        <f>TRANSICAO!$AB$44*CUSTOS!$T$3</f>
        <v>0</v>
      </c>
      <c r="AC44" s="13">
        <f>TRANSICAO!$AC$44*CUSTOS!$T$3</f>
        <v>50.461500000000001</v>
      </c>
      <c r="AD44" s="13">
        <f>TRANSICAO!$AD$44*CUSTOS!$T$3</f>
        <v>0</v>
      </c>
      <c r="AE44" s="13">
        <v>0</v>
      </c>
      <c r="AF44" s="13">
        <v>0</v>
      </c>
      <c r="AG44" s="13"/>
      <c r="AH44" s="13">
        <f>(1 - CUSTOS!$M$30)*23.8272</f>
        <v>23.827200000000001</v>
      </c>
      <c r="AI44" s="13">
        <f>(1 - CUSTOS!$M$30)*23.8272</f>
        <v>23.827200000000001</v>
      </c>
      <c r="AJ44" s="13">
        <f ca="1">$N$69*(1-CUSTOS!$M$30)</f>
        <v>1.2881649666058759</v>
      </c>
      <c r="AK44" s="13">
        <f t="shared" ca="1" si="1"/>
        <v>1.2881649666058759</v>
      </c>
      <c r="AL44" s="13"/>
      <c r="AM44" s="13"/>
      <c r="AP44" s="13">
        <f>IF((1 - CUSTOS!$M$30)&lt;&gt;0,1/(1 - CUSTOS!$M$30),1)</f>
        <v>1</v>
      </c>
    </row>
    <row r="45" spans="1:42" ht="11.25" customHeight="1" x14ac:dyDescent="0.3">
      <c r="A45" s="146"/>
      <c r="B45" s="23" t="s">
        <v>23</v>
      </c>
      <c r="C45" s="23" t="s">
        <v>42</v>
      </c>
      <c r="D45" s="23" t="s">
        <v>94</v>
      </c>
      <c r="E45" s="23" t="s">
        <v>25</v>
      </c>
      <c r="F45" s="23" t="s">
        <v>25</v>
      </c>
      <c r="G45" s="24" t="s">
        <v>84</v>
      </c>
      <c r="H45" s="24" t="s">
        <v>78</v>
      </c>
      <c r="I45" s="24">
        <f>'MERCADO TUSD'!$U$42</f>
        <v>0</v>
      </c>
      <c r="J45" s="15"/>
      <c r="L45" s="13">
        <f>1*(1 - CUSTOS!$M$30)</f>
        <v>1</v>
      </c>
      <c r="M45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CUSTOS!$M$30)</f>
        <v>0.88921528219289092</v>
      </c>
      <c r="N45" s="13">
        <f ca="1">(+M45+O45+R45+U45+V45+W45+X45+Y45+Z45+AA45+AC45+AH45+AI45+AJ45+AK45)*CUSTOS!$M$5</f>
        <v>2.916930452154046</v>
      </c>
      <c r="O45" s="13">
        <f>1 - CUSTOS!$M$30</f>
        <v>1</v>
      </c>
      <c r="P45" s="13">
        <f>1 - CUSTOS!$M$30</f>
        <v>1</v>
      </c>
      <c r="Q45" s="13">
        <f>1*(1 - CUSTOS!$M$30)</f>
        <v>1</v>
      </c>
      <c r="R45" s="13">
        <f>1 - CUSTOS!$M$30</f>
        <v>1</v>
      </c>
      <c r="S45" s="13">
        <f>1 - CUSTOS!$M$30</f>
        <v>1</v>
      </c>
      <c r="T45" s="13"/>
      <c r="U45" s="13">
        <f>TRANSICAO!$U$45*CUSTOS!$T$3</f>
        <v>0</v>
      </c>
      <c r="V45" s="13">
        <f>TRANSICAO!$V$45*CUSTOS!$T$3</f>
        <v>0</v>
      </c>
      <c r="W45" s="13">
        <f>TRANSICAO!$W$45*CUSTOS!$T$3</f>
        <v>0</v>
      </c>
      <c r="X45" s="13">
        <f>TRANSICAO!$X$45*CUSTOS!$T$3</f>
        <v>0</v>
      </c>
      <c r="Y45" s="13">
        <f>TRANSICAO!$Y$45*CUSTOS!$T$3</f>
        <v>58.353400000000001</v>
      </c>
      <c r="Z45" s="13">
        <f>TRANSICAO!$Z$45*CUSTOS!$T$3</f>
        <v>0</v>
      </c>
      <c r="AA45" s="13">
        <f>TRANSICAO!$AA$45*CUSTOS!$T$3</f>
        <v>0</v>
      </c>
      <c r="AB45" s="13">
        <f>TRANSICAO!$AB$45*CUSTOS!$T$3</f>
        <v>0</v>
      </c>
      <c r="AC45" s="13">
        <f>TRANSICAO!$AC$45*CUSTOS!$T$3</f>
        <v>180.21969999999999</v>
      </c>
      <c r="AD45" s="13">
        <f>TRANSICAO!$AD$45*CUSTOS!$T$3</f>
        <v>0</v>
      </c>
      <c r="AE45" s="13">
        <v>0</v>
      </c>
      <c r="AF45" s="13">
        <v>0</v>
      </c>
      <c r="AG45" s="13"/>
      <c r="AH45" s="13">
        <f>(1 - CUSTOS!$M$30)*23.8272</f>
        <v>23.827200000000001</v>
      </c>
      <c r="AI45" s="13">
        <f>(1 - CUSTOS!$M$30)*23.8272</f>
        <v>23.827200000000001</v>
      </c>
      <c r="AJ45" s="13">
        <f ca="1">$N$69*(1-CUSTOS!$M$30)</f>
        <v>1.2881649666058759</v>
      </c>
      <c r="AK45" s="13">
        <f t="shared" ca="1" si="1"/>
        <v>1.2881649666058759</v>
      </c>
      <c r="AL45" s="13"/>
      <c r="AM45" s="13"/>
      <c r="AP45" s="13">
        <f>IF((1 - CUSTOS!$M$30)&lt;&gt;0,1/(1 - CUSTOS!$M$30),1)</f>
        <v>1</v>
      </c>
    </row>
    <row r="46" spans="1:42" ht="11.25" customHeight="1" x14ac:dyDescent="0.3">
      <c r="A46" s="146"/>
      <c r="B46" s="146" t="s">
        <v>92</v>
      </c>
      <c r="C46" s="146" t="s">
        <v>42</v>
      </c>
      <c r="D46" s="23" t="s">
        <v>25</v>
      </c>
      <c r="E46" s="23" t="s">
        <v>25</v>
      </c>
      <c r="F46" s="23" t="s">
        <v>25</v>
      </c>
      <c r="G46" s="24" t="s">
        <v>84</v>
      </c>
      <c r="H46" s="24" t="s">
        <v>78</v>
      </c>
      <c r="I46" s="24">
        <f>'MERCADO TUSD'!$U$43</f>
        <v>0</v>
      </c>
      <c r="J46" s="15"/>
      <c r="L46" s="13">
        <f>1*(1 - CUSTOS!$M$28)</f>
        <v>1</v>
      </c>
      <c r="M46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CUSTOS!$M$28)</f>
        <v>0.88921528219289092</v>
      </c>
      <c r="N46" s="13">
        <f ca="1">(+M46+O46+R46+U46+V46+W46+X46+Y46+Z46+AA46+AC46+AH46+AI46+AJ46+AK46)*CUSTOS!$M$5</f>
        <v>2.916930452154046</v>
      </c>
      <c r="O46" s="13">
        <f>1 - CUSTOS!$M$28</f>
        <v>1</v>
      </c>
      <c r="P46" s="13">
        <f>1 - CUSTOS!$M$28</f>
        <v>1</v>
      </c>
      <c r="Q46" s="13">
        <f>1*(1 - CUSTOS!$M$28)</f>
        <v>1</v>
      </c>
      <c r="R46" s="13">
        <f>1 - CUSTOS!$M$28</f>
        <v>1</v>
      </c>
      <c r="S46" s="13">
        <f>1 - CUSTOS!$M$28</f>
        <v>1</v>
      </c>
      <c r="T46" s="13"/>
      <c r="U46" s="13">
        <f>TRANSICAO!$U$46*CUSTOS!$T$3</f>
        <v>0</v>
      </c>
      <c r="V46" s="13">
        <f>TRANSICAO!$V$46*CUSTOS!$T$3</f>
        <v>0</v>
      </c>
      <c r="W46" s="13">
        <f>TRANSICAO!$W$46*CUSTOS!$T$3</f>
        <v>0</v>
      </c>
      <c r="X46" s="13">
        <f>TRANSICAO!$X$46*CUSTOS!$T$3</f>
        <v>0</v>
      </c>
      <c r="Y46" s="13">
        <f>TRANSICAO!$Y$46*CUSTOS!$T$3</f>
        <v>58.353400000000001</v>
      </c>
      <c r="Z46" s="13">
        <f>TRANSICAO!$Z$46*CUSTOS!$T$3</f>
        <v>0</v>
      </c>
      <c r="AA46" s="13">
        <f>TRANSICAO!$AA$46*CUSTOS!$T$3</f>
        <v>0</v>
      </c>
      <c r="AB46" s="13">
        <f>TRANSICAO!$AB$46*CUSTOS!$T$3</f>
        <v>0</v>
      </c>
      <c r="AC46" s="13">
        <f>TRANSICAO!$AC$46*CUSTOS!$T$3</f>
        <v>180.21969999999999</v>
      </c>
      <c r="AD46" s="13">
        <f>TRANSICAO!$AD$46*CUSTOS!$T$3</f>
        <v>0</v>
      </c>
      <c r="AE46" s="13">
        <v>0</v>
      </c>
      <c r="AF46" s="13">
        <v>0</v>
      </c>
      <c r="AG46" s="13"/>
      <c r="AH46" s="13">
        <f>(1 - CUSTOS!$M$28)*23.8272</f>
        <v>23.827200000000001</v>
      </c>
      <c r="AI46" s="13">
        <f>(1 - CUSTOS!$M$28)*23.8272</f>
        <v>23.827200000000001</v>
      </c>
      <c r="AJ46" s="13">
        <f ca="1">$N$69*(1-CUSTOS!$M$28)</f>
        <v>1.2881649666058759</v>
      </c>
      <c r="AK46" s="13">
        <f t="shared" ca="1" si="1"/>
        <v>1.2881649666058759</v>
      </c>
      <c r="AL46" s="13"/>
      <c r="AM46" s="13"/>
      <c r="AP46" s="13">
        <f>IF((1 - CUSTOS!$M$28)&lt;&gt;0,1/(1 - CUSTOS!$M$28),1)</f>
        <v>1</v>
      </c>
    </row>
    <row r="47" spans="1:42" ht="11.25" customHeight="1" x14ac:dyDescent="0.3">
      <c r="A47" s="146"/>
      <c r="B47" s="146"/>
      <c r="C47" s="146"/>
      <c r="D47" s="23" t="s">
        <v>93</v>
      </c>
      <c r="E47" s="23" t="s">
        <v>25</v>
      </c>
      <c r="F47" s="23" t="s">
        <v>25</v>
      </c>
      <c r="G47" s="24" t="s">
        <v>84</v>
      </c>
      <c r="H47" s="24" t="s">
        <v>78</v>
      </c>
      <c r="I47" s="24">
        <f>'MERCADO TUSD'!$U$44</f>
        <v>0</v>
      </c>
      <c r="J47" s="15"/>
      <c r="L47" s="13">
        <f>1*(1 - CUSTOS!$M$29)</f>
        <v>1</v>
      </c>
      <c r="M47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CUSTOS!$M$29)</f>
        <v>0.88921528219289092</v>
      </c>
      <c r="N47" s="13">
        <f ca="1">(+M47+O47+R47+U47+V47+W47+X47+Y47+Z47+AA47+AC47+AH47+AI47+AJ47+AK47)*CUSTOS!$M$5</f>
        <v>2.916930452154046</v>
      </c>
      <c r="O47" s="13">
        <f>1 - CUSTOS!$M$29</f>
        <v>1</v>
      </c>
      <c r="P47" s="13">
        <f>1 - CUSTOS!$M$29</f>
        <v>1</v>
      </c>
      <c r="Q47" s="13">
        <f>1*(1 - CUSTOS!$M$29)</f>
        <v>1</v>
      </c>
      <c r="R47" s="13">
        <f>1 - CUSTOS!$M$29</f>
        <v>1</v>
      </c>
      <c r="S47" s="13">
        <f>1 - CUSTOS!$M$29</f>
        <v>1</v>
      </c>
      <c r="T47" s="13"/>
      <c r="U47" s="13">
        <f>TRANSICAO!$U$47*CUSTOS!$T$3</f>
        <v>0</v>
      </c>
      <c r="V47" s="13">
        <f>TRANSICAO!$V$47*CUSTOS!$T$3</f>
        <v>0</v>
      </c>
      <c r="W47" s="13">
        <f>TRANSICAO!$W$47*CUSTOS!$T$3</f>
        <v>0</v>
      </c>
      <c r="X47" s="13">
        <f>TRANSICAO!$X$47*CUSTOS!$T$3</f>
        <v>0</v>
      </c>
      <c r="Y47" s="13">
        <f>TRANSICAO!$Y$47*CUSTOS!$T$3</f>
        <v>58.353400000000001</v>
      </c>
      <c r="Z47" s="13">
        <f>TRANSICAO!$Z$47*CUSTOS!$T$3</f>
        <v>0</v>
      </c>
      <c r="AA47" s="13">
        <f>TRANSICAO!$AA$47*CUSTOS!$T$3</f>
        <v>0</v>
      </c>
      <c r="AB47" s="13">
        <f>TRANSICAO!$AB$47*CUSTOS!$T$3</f>
        <v>0</v>
      </c>
      <c r="AC47" s="13">
        <f>TRANSICAO!$AC$47*CUSTOS!$T$3</f>
        <v>180.21969999999999</v>
      </c>
      <c r="AD47" s="13">
        <f>TRANSICAO!$AD$47*CUSTOS!$T$3</f>
        <v>0</v>
      </c>
      <c r="AE47" s="13">
        <v>0</v>
      </c>
      <c r="AF47" s="13">
        <v>0</v>
      </c>
      <c r="AG47" s="13"/>
      <c r="AH47" s="13">
        <f>(1 - CUSTOS!$M$29)*23.8272</f>
        <v>23.827200000000001</v>
      </c>
      <c r="AI47" s="13">
        <f>(1 - CUSTOS!$M$29)*23.8272</f>
        <v>23.827200000000001</v>
      </c>
      <c r="AJ47" s="13">
        <f ca="1">$N$69*(1-CUSTOS!$M$29)</f>
        <v>1.2881649666058759</v>
      </c>
      <c r="AK47" s="13">
        <f t="shared" ca="1" si="1"/>
        <v>1.2881649666058759</v>
      </c>
      <c r="AL47" s="13"/>
      <c r="AM47" s="13"/>
      <c r="AP47" s="13">
        <f>IF((1 - CUSTOS!$M$29)&lt;&gt;0,1/(1 - CUSTOS!$M$29),1)</f>
        <v>1</v>
      </c>
    </row>
    <row r="48" spans="1:42" ht="11.25" customHeight="1" x14ac:dyDescent="0.3">
      <c r="A48" s="146"/>
      <c r="B48" s="146"/>
      <c r="C48" s="146"/>
      <c r="D48" s="23" t="s">
        <v>94</v>
      </c>
      <c r="E48" s="23" t="s">
        <v>25</v>
      </c>
      <c r="F48" s="23" t="s">
        <v>25</v>
      </c>
      <c r="G48" s="24" t="s">
        <v>84</v>
      </c>
      <c r="H48" s="24" t="s">
        <v>78</v>
      </c>
      <c r="I48" s="24">
        <f>'MERCADO TUSD'!$U$45</f>
        <v>0</v>
      </c>
      <c r="J48" s="15"/>
      <c r="L48" s="13">
        <f>1*(1 - CUSTOS!$M$30)</f>
        <v>1</v>
      </c>
      <c r="M48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CUSTOS!$M$30)</f>
        <v>0.88921528219289092</v>
      </c>
      <c r="N48" s="13">
        <f ca="1">(+M48+O48+R48+U48+V48+W48+X48+Y48+Z48+AA48+AC48+AH48+AI48+AJ48+AK48)*CUSTOS!$M$5</f>
        <v>2.916930452154046</v>
      </c>
      <c r="O48" s="13">
        <f>1 - CUSTOS!$M$30</f>
        <v>1</v>
      </c>
      <c r="P48" s="13">
        <f>1 - CUSTOS!$M$30</f>
        <v>1</v>
      </c>
      <c r="Q48" s="13">
        <f>1*(1 - CUSTOS!$M$30)</f>
        <v>1</v>
      </c>
      <c r="R48" s="13">
        <f>1 - CUSTOS!$M$30</f>
        <v>1</v>
      </c>
      <c r="S48" s="13">
        <f>1 - CUSTOS!$M$30</f>
        <v>1</v>
      </c>
      <c r="T48" s="13"/>
      <c r="U48" s="13">
        <f>TRANSICAO!$U$48*CUSTOS!$T$3</f>
        <v>0</v>
      </c>
      <c r="V48" s="13">
        <f>TRANSICAO!$V$48*CUSTOS!$T$3</f>
        <v>0</v>
      </c>
      <c r="W48" s="13">
        <f>TRANSICAO!$W$48*CUSTOS!$T$3</f>
        <v>0</v>
      </c>
      <c r="X48" s="13">
        <f>TRANSICAO!$X$48*CUSTOS!$T$3</f>
        <v>0</v>
      </c>
      <c r="Y48" s="13">
        <f>TRANSICAO!$Y$48*CUSTOS!$T$3</f>
        <v>58.353400000000001</v>
      </c>
      <c r="Z48" s="13">
        <f>TRANSICAO!$Z$48*CUSTOS!$T$3</f>
        <v>0</v>
      </c>
      <c r="AA48" s="13">
        <f>TRANSICAO!$AA$48*CUSTOS!$T$3</f>
        <v>0</v>
      </c>
      <c r="AB48" s="13">
        <f>TRANSICAO!$AB$48*CUSTOS!$T$3</f>
        <v>0</v>
      </c>
      <c r="AC48" s="13">
        <f>TRANSICAO!$AC$48*CUSTOS!$T$3</f>
        <v>180.21969999999999</v>
      </c>
      <c r="AD48" s="13">
        <f>TRANSICAO!$AD$48*CUSTOS!$T$3</f>
        <v>0</v>
      </c>
      <c r="AE48" s="13">
        <v>0</v>
      </c>
      <c r="AF48" s="13">
        <v>0</v>
      </c>
      <c r="AG48" s="13"/>
      <c r="AH48" s="13">
        <f>(1 - CUSTOS!$M$30)*23.8272</f>
        <v>23.827200000000001</v>
      </c>
      <c r="AI48" s="13">
        <f>(1 - CUSTOS!$M$30)*23.8272</f>
        <v>23.827200000000001</v>
      </c>
      <c r="AJ48" s="13">
        <f ca="1">$N$69*(1-CUSTOS!$M$30)</f>
        <v>1.2881649666058759</v>
      </c>
      <c r="AK48" s="13">
        <f t="shared" ca="1" si="1"/>
        <v>1.2881649666058759</v>
      </c>
      <c r="AL48" s="13"/>
      <c r="AM48" s="13"/>
      <c r="AP48" s="13">
        <f>IF((1 - CUSTOS!$M$30)&lt;&gt;0,1/(1 - CUSTOS!$M$30),1)</f>
        <v>1</v>
      </c>
    </row>
    <row r="49" spans="1:42" ht="11.25" customHeight="1" x14ac:dyDescent="0.3">
      <c r="A49" s="146" t="s">
        <v>32</v>
      </c>
      <c r="B49" s="146" t="s">
        <v>38</v>
      </c>
      <c r="C49" s="146" t="s">
        <v>25</v>
      </c>
      <c r="D49" s="146" t="s">
        <v>25</v>
      </c>
      <c r="E49" s="146" t="s">
        <v>25</v>
      </c>
      <c r="F49" s="146" t="s">
        <v>25</v>
      </c>
      <c r="G49" s="24" t="s">
        <v>79</v>
      </c>
      <c r="H49" s="24" t="s">
        <v>78</v>
      </c>
      <c r="I49" s="24">
        <f>'MERCADO TUSD'!$U$46</f>
        <v>4.4679999999999991</v>
      </c>
      <c r="J49" s="15"/>
      <c r="L49" s="13">
        <f>1*(1 - CUSTOS!$M$31)</f>
        <v>1</v>
      </c>
      <c r="M49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CUSTOS!$M$31)</f>
        <v>0.88921528219289092</v>
      </c>
      <c r="N49" s="13">
        <f ca="1">(+M49+O49+R49+U49+V49+W49+X49+Y49+Z49+AA49+AC49+AH49+AI49+AJ49+AK49)*CUSTOS!$M$5</f>
        <v>18.110221452154043</v>
      </c>
      <c r="O49" s="13">
        <f>1 - CUSTOS!$M$31</f>
        <v>1</v>
      </c>
      <c r="P49" s="13">
        <f>1 - CUSTOS!$M$31</f>
        <v>1</v>
      </c>
      <c r="Q49" s="13">
        <f>1*(1 - CUSTOS!$M$31)</f>
        <v>1</v>
      </c>
      <c r="R49" s="13">
        <f>1 - CUSTOS!$M$31</f>
        <v>1</v>
      </c>
      <c r="S49" s="13">
        <f>1 - CUSTOS!$M$31</f>
        <v>1</v>
      </c>
      <c r="T49" s="13"/>
      <c r="U49" s="13">
        <f>TRANSICAO!$U$49*CUSTOS!$T$3</f>
        <v>0</v>
      </c>
      <c r="V49" s="13">
        <f>TRANSICAO!$V$49*CUSTOS!$T$3</f>
        <v>0</v>
      </c>
      <c r="W49" s="13">
        <f>TRANSICAO!$W$49*CUSTOS!$T$3</f>
        <v>0</v>
      </c>
      <c r="X49" s="13">
        <f>TRANSICAO!$X$49*CUSTOS!$T$3</f>
        <v>0</v>
      </c>
      <c r="Y49" s="13">
        <f>TRANSICAO!$Y$49*CUSTOS!$T$3</f>
        <v>429.97120000000001</v>
      </c>
      <c r="Z49" s="13">
        <f>TRANSICAO!$Z$49*CUSTOS!$T$3</f>
        <v>0</v>
      </c>
      <c r="AA49" s="13">
        <f>TRANSICAO!$AA$49*CUSTOS!$T$3</f>
        <v>0</v>
      </c>
      <c r="AB49" s="13">
        <f>TRANSICAO!$AB$49*CUSTOS!$T$3</f>
        <v>0</v>
      </c>
      <c r="AC49" s="13">
        <f>TRANSICAO!$AC$49*CUSTOS!$T$3</f>
        <v>1327.931</v>
      </c>
      <c r="AD49" s="13">
        <f>TRANSICAO!$AD$49*CUSTOS!$T$3</f>
        <v>0</v>
      </c>
      <c r="AE49" s="13">
        <v>0</v>
      </c>
      <c r="AF49" s="13">
        <v>0</v>
      </c>
      <c r="AG49" s="13"/>
      <c r="AH49" s="13">
        <f>(1 - CUSTOS!$M$31)*23.8272</f>
        <v>23.827200000000001</v>
      </c>
      <c r="AI49" s="13">
        <f>(1 - CUSTOS!$M$31)*23.8272</f>
        <v>23.827200000000001</v>
      </c>
      <c r="AJ49" s="13">
        <f ca="1">$N$69*(1-CUSTOS!$M$31)</f>
        <v>1.2881649666058759</v>
      </c>
      <c r="AK49" s="13">
        <f t="shared" ca="1" si="1"/>
        <v>1.2881649666058759</v>
      </c>
      <c r="AL49" s="13"/>
      <c r="AM49" s="13"/>
      <c r="AP49" s="13">
        <f>IF((1 - CUSTOS!$M$31)&lt;&gt;0,1/(1 - CUSTOS!$M$31),1)</f>
        <v>1</v>
      </c>
    </row>
    <row r="50" spans="1:42" ht="11.25" customHeight="1" x14ac:dyDescent="0.3">
      <c r="A50" s="146"/>
      <c r="B50" s="146"/>
      <c r="C50" s="146"/>
      <c r="D50" s="146"/>
      <c r="E50" s="146"/>
      <c r="F50" s="146"/>
      <c r="G50" s="24" t="s">
        <v>89</v>
      </c>
      <c r="H50" s="24" t="s">
        <v>78</v>
      </c>
      <c r="I50" s="24">
        <f>'MERCADO TUSD'!$U$47</f>
        <v>4.7860000000000005</v>
      </c>
      <c r="J50" s="15"/>
      <c r="L50" s="13">
        <f>1*(1 - CUSTOS!$M$31)</f>
        <v>1</v>
      </c>
      <c r="M50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CUSTOS!$M$31)</f>
        <v>0.88921528219289092</v>
      </c>
      <c r="N50" s="13">
        <f ca="1">(+M50+O50+R50+U50+V50+W50+X50+Y50+Z50+AA50+AC50+AH50+AI50+AJ50+AK50)*CUSTOS!$M$5</f>
        <v>4.8608244521540467</v>
      </c>
      <c r="O50" s="13">
        <f>1 - CUSTOS!$M$31</f>
        <v>1</v>
      </c>
      <c r="P50" s="13">
        <f>1 - CUSTOS!$M$31</f>
        <v>1</v>
      </c>
      <c r="Q50" s="13">
        <f>1*(1 - CUSTOS!$M$31)</f>
        <v>1</v>
      </c>
      <c r="R50" s="13">
        <f>1 - CUSTOS!$M$31</f>
        <v>1</v>
      </c>
      <c r="S50" s="13">
        <f>1 - CUSTOS!$M$31</f>
        <v>1</v>
      </c>
      <c r="T50" s="13"/>
      <c r="U50" s="13">
        <f>TRANSICAO!$U$50*CUSTOS!$T$3</f>
        <v>0</v>
      </c>
      <c r="V50" s="13">
        <f>TRANSICAO!$V$50*CUSTOS!$T$3</f>
        <v>0</v>
      </c>
      <c r="W50" s="13">
        <f>TRANSICAO!$W$50*CUSTOS!$T$3</f>
        <v>0</v>
      </c>
      <c r="X50" s="13">
        <f>TRANSICAO!$X$50*CUSTOS!$T$3</f>
        <v>0</v>
      </c>
      <c r="Y50" s="13">
        <f>TRANSICAO!$Y$50*CUSTOS!$T$3</f>
        <v>105.8998</v>
      </c>
      <c r="Z50" s="13">
        <f>TRANSICAO!$Z$50*CUSTOS!$T$3</f>
        <v>0</v>
      </c>
      <c r="AA50" s="13">
        <f>TRANSICAO!$AA$50*CUSTOS!$T$3</f>
        <v>0</v>
      </c>
      <c r="AB50" s="13">
        <f>TRANSICAO!$AB$50*CUSTOS!$T$3</f>
        <v>0</v>
      </c>
      <c r="AC50" s="13">
        <f>TRANSICAO!$AC$50*CUSTOS!$T$3</f>
        <v>327.06270000000001</v>
      </c>
      <c r="AD50" s="13">
        <f>TRANSICAO!$AD$50*CUSTOS!$T$3</f>
        <v>0</v>
      </c>
      <c r="AE50" s="13">
        <v>0</v>
      </c>
      <c r="AF50" s="13">
        <v>0</v>
      </c>
      <c r="AG50" s="13"/>
      <c r="AH50" s="13">
        <f>(1 - CUSTOS!$M$31)*23.8272</f>
        <v>23.827200000000001</v>
      </c>
      <c r="AI50" s="13">
        <f>(1 - CUSTOS!$M$31)*23.8272</f>
        <v>23.827200000000001</v>
      </c>
      <c r="AJ50" s="13">
        <f ca="1">$N$69*(1-CUSTOS!$M$31)</f>
        <v>1.2881649666058759</v>
      </c>
      <c r="AK50" s="13">
        <f t="shared" ca="1" si="1"/>
        <v>1.2881649666058759</v>
      </c>
      <c r="AL50" s="13"/>
      <c r="AM50" s="13"/>
      <c r="AP50" s="13">
        <f>IF((1 - CUSTOS!$M$31)&lt;&gt;0,1/(1 - CUSTOS!$M$31),1)</f>
        <v>1</v>
      </c>
    </row>
    <row r="51" spans="1:42" ht="11.25" customHeight="1" x14ac:dyDescent="0.3">
      <c r="A51" s="146"/>
      <c r="B51" s="146"/>
      <c r="C51" s="146"/>
      <c r="D51" s="146"/>
      <c r="E51" s="146"/>
      <c r="F51" s="146"/>
      <c r="G51" s="24" t="s">
        <v>80</v>
      </c>
      <c r="H51" s="24" t="s">
        <v>78</v>
      </c>
      <c r="I51" s="24">
        <f>'MERCADO TUSD'!$U$48</f>
        <v>153.63399999999999</v>
      </c>
      <c r="J51" s="15"/>
      <c r="L51" s="13">
        <f>1*(1 - CUSTOS!$M$31)</f>
        <v>1</v>
      </c>
      <c r="M51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CUSTOS!$M$31)</f>
        <v>0.88921528219289092</v>
      </c>
      <c r="N51" s="13">
        <f ca="1">(+M51+O51+R51+U51+V51+W51+X51+Y51+Z51+AA51+AC51+AH51+AI51+AJ51+AK51)*CUSTOS!$M$5</f>
        <v>1.7717804521540463</v>
      </c>
      <c r="O51" s="13">
        <f>1 - CUSTOS!$M$31</f>
        <v>1</v>
      </c>
      <c r="P51" s="13">
        <f>1 - CUSTOS!$M$31</f>
        <v>1</v>
      </c>
      <c r="Q51" s="13">
        <f>1*(1 - CUSTOS!$M$31)</f>
        <v>1</v>
      </c>
      <c r="R51" s="13">
        <f>1 - CUSTOS!$M$31</f>
        <v>1</v>
      </c>
      <c r="S51" s="13">
        <f>1 - CUSTOS!$M$31</f>
        <v>1</v>
      </c>
      <c r="T51" s="13"/>
      <c r="U51" s="13">
        <f>TRANSICAO!$U$51*CUSTOS!$T$3</f>
        <v>0</v>
      </c>
      <c r="V51" s="13">
        <f>TRANSICAO!$V$51*CUSTOS!$T$3</f>
        <v>0</v>
      </c>
      <c r="W51" s="13">
        <f>TRANSICAO!$W$51*CUSTOS!$T$3</f>
        <v>0</v>
      </c>
      <c r="X51" s="13">
        <f>TRANSICAO!$X$51*CUSTOS!$T$3</f>
        <v>0</v>
      </c>
      <c r="Y51" s="13">
        <f>TRANSICAO!$Y$51*CUSTOS!$T$3</f>
        <v>30.343800000000002</v>
      </c>
      <c r="Z51" s="13">
        <f>TRANSICAO!$Z$51*CUSTOS!$T$3</f>
        <v>0</v>
      </c>
      <c r="AA51" s="13">
        <f>TRANSICAO!$AA$51*CUSTOS!$T$3</f>
        <v>0</v>
      </c>
      <c r="AB51" s="13">
        <f>TRANSICAO!$AB$51*CUSTOS!$T$3</f>
        <v>0</v>
      </c>
      <c r="AC51" s="13">
        <f>TRANSICAO!$AC$51*CUSTOS!$T$3</f>
        <v>93.714299999999994</v>
      </c>
      <c r="AD51" s="13">
        <f>TRANSICAO!$AD$51*CUSTOS!$T$3</f>
        <v>0</v>
      </c>
      <c r="AE51" s="13">
        <v>0</v>
      </c>
      <c r="AF51" s="13">
        <v>0</v>
      </c>
      <c r="AG51" s="13"/>
      <c r="AH51" s="13">
        <f>(1 - CUSTOS!$M$31)*23.8272</f>
        <v>23.827200000000001</v>
      </c>
      <c r="AI51" s="13">
        <f>(1 - CUSTOS!$M$31)*23.8272</f>
        <v>23.827200000000001</v>
      </c>
      <c r="AJ51" s="13">
        <f ca="1">$N$69*(1-CUSTOS!$M$31)</f>
        <v>1.2881649666058759</v>
      </c>
      <c r="AK51" s="13">
        <f t="shared" ca="1" si="1"/>
        <v>1.2881649666058759</v>
      </c>
      <c r="AL51" s="13"/>
      <c r="AM51" s="13"/>
      <c r="AP51" s="13">
        <f>IF((1 - CUSTOS!$M$31)&lt;&gt;0,1/(1 - CUSTOS!$M$31),1)</f>
        <v>1</v>
      </c>
    </row>
    <row r="52" spans="1:42" ht="11.25" customHeight="1" x14ac:dyDescent="0.3">
      <c r="A52" s="146"/>
      <c r="B52" s="23" t="s">
        <v>23</v>
      </c>
      <c r="C52" s="23" t="s">
        <v>25</v>
      </c>
      <c r="D52" s="23" t="s">
        <v>25</v>
      </c>
      <c r="E52" s="23" t="s">
        <v>25</v>
      </c>
      <c r="F52" s="23" t="s">
        <v>25</v>
      </c>
      <c r="G52" s="24" t="s">
        <v>84</v>
      </c>
      <c r="H52" s="24" t="s">
        <v>78</v>
      </c>
      <c r="I52" s="24">
        <f>'MERCADO TUSD'!$U$49</f>
        <v>6434.8159999999998</v>
      </c>
      <c r="J52" s="15"/>
      <c r="L52" s="13">
        <f>1*(1 - CUSTOS!$M$31)</f>
        <v>1</v>
      </c>
      <c r="M52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CUSTOS!$M$31)</f>
        <v>0.88921528219289092</v>
      </c>
      <c r="N52" s="13">
        <f ca="1">(+M52+O52+R52+U52+V52+W52+X52+Y52+Z52+AA52+AC52+AH52+AI52+AJ52+AK52)*CUSTOS!$M$5</f>
        <v>2.916930452154046</v>
      </c>
      <c r="O52" s="13">
        <f>1 - CUSTOS!$M$31</f>
        <v>1</v>
      </c>
      <c r="P52" s="13">
        <f>1 - CUSTOS!$M$31</f>
        <v>1</v>
      </c>
      <c r="Q52" s="13">
        <f>1*(1 - CUSTOS!$M$31)</f>
        <v>1</v>
      </c>
      <c r="R52" s="13">
        <f>1 - CUSTOS!$M$31</f>
        <v>1</v>
      </c>
      <c r="S52" s="13">
        <f>1 - CUSTOS!$M$31</f>
        <v>1</v>
      </c>
      <c r="T52" s="13"/>
      <c r="U52" s="13">
        <f>TRANSICAO!$U$52*CUSTOS!$T$3</f>
        <v>0</v>
      </c>
      <c r="V52" s="13">
        <f>TRANSICAO!$V$52*CUSTOS!$T$3</f>
        <v>0</v>
      </c>
      <c r="W52" s="13">
        <f>TRANSICAO!$W$52*CUSTOS!$T$3</f>
        <v>0</v>
      </c>
      <c r="X52" s="13">
        <f>TRANSICAO!$X$52*CUSTOS!$T$3</f>
        <v>0</v>
      </c>
      <c r="Y52" s="13">
        <f>TRANSICAO!$Y$52*CUSTOS!$T$3</f>
        <v>58.353400000000001</v>
      </c>
      <c r="Z52" s="13">
        <f>TRANSICAO!$Z$52*CUSTOS!$T$3</f>
        <v>0</v>
      </c>
      <c r="AA52" s="13">
        <f>TRANSICAO!$AA$52*CUSTOS!$T$3</f>
        <v>0</v>
      </c>
      <c r="AB52" s="13">
        <f>TRANSICAO!$AB$52*CUSTOS!$T$3</f>
        <v>0</v>
      </c>
      <c r="AC52" s="13">
        <f>TRANSICAO!$AC$52*CUSTOS!$T$3</f>
        <v>180.21969999999999</v>
      </c>
      <c r="AD52" s="13">
        <f>TRANSICAO!$AD$52*CUSTOS!$T$3</f>
        <v>0</v>
      </c>
      <c r="AE52" s="13">
        <v>0</v>
      </c>
      <c r="AF52" s="13">
        <v>0</v>
      </c>
      <c r="AG52" s="13"/>
      <c r="AH52" s="13">
        <f>(1 - CUSTOS!$M$31)*23.8272</f>
        <v>23.827200000000001</v>
      </c>
      <c r="AI52" s="13">
        <f>(1 - CUSTOS!$M$31)*23.8272</f>
        <v>23.827200000000001</v>
      </c>
      <c r="AJ52" s="13">
        <f ca="1">$N$69*(1-CUSTOS!$M$31)</f>
        <v>1.2881649666058759</v>
      </c>
      <c r="AK52" s="13">
        <f t="shared" ca="1" si="1"/>
        <v>1.2881649666058759</v>
      </c>
      <c r="AL52" s="13"/>
      <c r="AM52" s="13"/>
      <c r="AP52" s="13">
        <f>IF((1 - CUSTOS!$M$31)&lt;&gt;0,1/(1 - CUSTOS!$M$31),1)</f>
        <v>1</v>
      </c>
    </row>
    <row r="53" spans="1:42" ht="11.25" customHeight="1" x14ac:dyDescent="0.3">
      <c r="A53" s="146"/>
      <c r="B53" s="23" t="s">
        <v>92</v>
      </c>
      <c r="C53" s="23" t="s">
        <v>25</v>
      </c>
      <c r="D53" s="23" t="s">
        <v>25</v>
      </c>
      <c r="E53" s="23" t="s">
        <v>25</v>
      </c>
      <c r="F53" s="23" t="s">
        <v>25</v>
      </c>
      <c r="G53" s="24" t="s">
        <v>84</v>
      </c>
      <c r="H53" s="24" t="s">
        <v>78</v>
      </c>
      <c r="I53" s="24">
        <f>'MERCADO TUSD'!$U$50</f>
        <v>0</v>
      </c>
      <c r="J53" s="15"/>
      <c r="L53" s="13">
        <f>1*(1 - CUSTOS!$M$31)</f>
        <v>1</v>
      </c>
      <c r="M53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CUSTOS!$M$31)</f>
        <v>0.88921528219289092</v>
      </c>
      <c r="N53" s="13">
        <f ca="1">(+M53+O53+R53+U53+V53+W53+X53+Y53+Z53+AA53+AC53+AH53+AI53+AJ53+AK53)*CUSTOS!$M$5</f>
        <v>2.916930452154046</v>
      </c>
      <c r="O53" s="13">
        <f>1 - CUSTOS!$M$31</f>
        <v>1</v>
      </c>
      <c r="P53" s="13">
        <f>1 - CUSTOS!$M$31</f>
        <v>1</v>
      </c>
      <c r="Q53" s="13">
        <f>1*(1 - CUSTOS!$M$31)</f>
        <v>1</v>
      </c>
      <c r="R53" s="13">
        <f>1 - CUSTOS!$M$31</f>
        <v>1</v>
      </c>
      <c r="S53" s="13">
        <f>1 - CUSTOS!$M$31</f>
        <v>1</v>
      </c>
      <c r="T53" s="13"/>
      <c r="U53" s="13">
        <f>TRANSICAO!$U$53*CUSTOS!$T$3</f>
        <v>0</v>
      </c>
      <c r="V53" s="13">
        <f>TRANSICAO!$V$53*CUSTOS!$T$3</f>
        <v>0</v>
      </c>
      <c r="W53" s="13">
        <f>TRANSICAO!$W$53*CUSTOS!$T$3</f>
        <v>0</v>
      </c>
      <c r="X53" s="13">
        <f>TRANSICAO!$X$53*CUSTOS!$T$3</f>
        <v>0</v>
      </c>
      <c r="Y53" s="13">
        <f>TRANSICAO!$Y$53*CUSTOS!$T$3</f>
        <v>58.353400000000001</v>
      </c>
      <c r="Z53" s="13">
        <f>TRANSICAO!$Z$53*CUSTOS!$T$3</f>
        <v>0</v>
      </c>
      <c r="AA53" s="13">
        <f>TRANSICAO!$AA$53*CUSTOS!$T$3</f>
        <v>0</v>
      </c>
      <c r="AB53" s="13">
        <f>TRANSICAO!$AB$53*CUSTOS!$T$3</f>
        <v>0</v>
      </c>
      <c r="AC53" s="13">
        <f>TRANSICAO!$AC$53*CUSTOS!$T$3</f>
        <v>180.21969999999999</v>
      </c>
      <c r="AD53" s="13">
        <f>TRANSICAO!$AD$53*CUSTOS!$T$3</f>
        <v>0</v>
      </c>
      <c r="AE53" s="13">
        <v>0</v>
      </c>
      <c r="AF53" s="13">
        <v>0</v>
      </c>
      <c r="AG53" s="13"/>
      <c r="AH53" s="13">
        <f>(1 - CUSTOS!$M$31)*23.8272</f>
        <v>23.827200000000001</v>
      </c>
      <c r="AI53" s="13">
        <f>(1 - CUSTOS!$M$31)*23.8272</f>
        <v>23.827200000000001</v>
      </c>
      <c r="AJ53" s="13">
        <f ca="1">$N$69*(1-CUSTOS!$M$31)</f>
        <v>1.2881649666058759</v>
      </c>
      <c r="AK53" s="13">
        <f t="shared" ca="1" si="1"/>
        <v>1.2881649666058759</v>
      </c>
      <c r="AL53" s="13"/>
      <c r="AM53" s="13"/>
      <c r="AP53" s="13">
        <f>IF((1 - CUSTOS!$M$31)&lt;&gt;0,1/(1 - CUSTOS!$M$31),1)</f>
        <v>1</v>
      </c>
    </row>
    <row r="54" spans="1:42" ht="11.25" customHeight="1" x14ac:dyDescent="0.3">
      <c r="A54" s="146" t="s">
        <v>44</v>
      </c>
      <c r="B54" s="146" t="s">
        <v>23</v>
      </c>
      <c r="C54" s="146" t="s">
        <v>45</v>
      </c>
      <c r="D54" s="23" t="s">
        <v>46</v>
      </c>
      <c r="E54" s="23" t="s">
        <v>25</v>
      </c>
      <c r="F54" s="23" t="s">
        <v>25</v>
      </c>
      <c r="G54" s="24" t="s">
        <v>84</v>
      </c>
      <c r="H54" s="24" t="s">
        <v>78</v>
      </c>
      <c r="I54" s="24">
        <f>'MERCADO TUSD'!$U$51</f>
        <v>2415.7070000000003</v>
      </c>
      <c r="J54" s="15"/>
      <c r="L54" s="13">
        <f>1*(1 - CUSTOS!$M$32)</f>
        <v>0.55000000000000004</v>
      </c>
      <c r="M54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CUSTOS!$M$32)</f>
        <v>0.48906840520609007</v>
      </c>
      <c r="N54" s="13">
        <f ca="1">(+M54+O54+R54+U54+V54+W54+X54+Y54+Z54+AA54+AC54+AH54+AI54+AJ54+AK54)*CUSTOS!$M$5</f>
        <v>1.6043117486847254</v>
      </c>
      <c r="O54" s="13">
        <f>1 - CUSTOS!$M$32</f>
        <v>0.55000000000000004</v>
      </c>
      <c r="P54" s="13">
        <f>1 - CUSTOS!$M$32</f>
        <v>0.55000000000000004</v>
      </c>
      <c r="Q54" s="13">
        <f>1*(1 - CUSTOS!$M$32)</f>
        <v>0.55000000000000004</v>
      </c>
      <c r="R54" s="13">
        <f>1 - CUSTOS!$M$32</f>
        <v>0.55000000000000004</v>
      </c>
      <c r="S54" s="13">
        <f>1 - CUSTOS!$M$32</f>
        <v>0.55000000000000004</v>
      </c>
      <c r="T54" s="13"/>
      <c r="U54" s="13">
        <f>TRANSICAO!$U$54*CUSTOS!$T$3</f>
        <v>0</v>
      </c>
      <c r="V54" s="13">
        <f>TRANSICAO!$V$54*CUSTOS!$T$3</f>
        <v>0</v>
      </c>
      <c r="W54" s="13">
        <f>TRANSICAO!$W$54*CUSTOS!$T$3</f>
        <v>0</v>
      </c>
      <c r="X54" s="13">
        <f>TRANSICAO!$X$54*CUSTOS!$T$3</f>
        <v>0</v>
      </c>
      <c r="Y54" s="13">
        <f>TRANSICAO!$Y$54*CUSTOS!$T$3</f>
        <v>32.094370000000005</v>
      </c>
      <c r="Z54" s="13">
        <f>TRANSICAO!$Z$54*CUSTOS!$T$3</f>
        <v>0</v>
      </c>
      <c r="AA54" s="13">
        <f>TRANSICAO!$AA$54*CUSTOS!$T$3</f>
        <v>0</v>
      </c>
      <c r="AB54" s="13">
        <f>TRANSICAO!$AB$54*CUSTOS!$T$3</f>
        <v>0</v>
      </c>
      <c r="AC54" s="13">
        <f>TRANSICAO!$AC$54*CUSTOS!$T$3</f>
        <v>99.120835</v>
      </c>
      <c r="AD54" s="13">
        <f>TRANSICAO!$AD$54*CUSTOS!$T$3</f>
        <v>0</v>
      </c>
      <c r="AE54" s="13">
        <v>0</v>
      </c>
      <c r="AF54" s="13">
        <v>0</v>
      </c>
      <c r="AG54" s="13"/>
      <c r="AH54" s="13">
        <f>(1 - CUSTOS!$M$32)*23.8272</f>
        <v>13.104960000000002</v>
      </c>
      <c r="AI54" s="13">
        <f>(1 - CUSTOS!$M$32)*23.8272</f>
        <v>13.104960000000002</v>
      </c>
      <c r="AJ54" s="13">
        <f ca="1">$N$69*(1-CUSTOS!$M$32)</f>
        <v>0.70849073163323184</v>
      </c>
      <c r="AK54" s="13">
        <f t="shared" ca="1" si="1"/>
        <v>0.70849073163323184</v>
      </c>
      <c r="AL54" s="13"/>
      <c r="AM54" s="13"/>
      <c r="AP54" s="13">
        <f>IF((1 - CUSTOS!$M$32)&lt;&gt;0,1/(1 - CUSTOS!$M$32),1)</f>
        <v>1.8181818181818181</v>
      </c>
    </row>
    <row r="55" spans="1:42" ht="11.25" customHeight="1" x14ac:dyDescent="0.3">
      <c r="A55" s="146"/>
      <c r="B55" s="146"/>
      <c r="C55" s="146"/>
      <c r="D55" s="24" t="s">
        <v>95</v>
      </c>
      <c r="E55" s="24" t="s">
        <v>25</v>
      </c>
      <c r="F55" s="24" t="s">
        <v>25</v>
      </c>
      <c r="G55" s="24" t="s">
        <v>84</v>
      </c>
      <c r="H55" s="24" t="s">
        <v>78</v>
      </c>
      <c r="I55" s="24">
        <f>'MERCADO TUSD'!$U$52</f>
        <v>0</v>
      </c>
      <c r="J55" s="15"/>
      <c r="L55" s="13">
        <f>1*(1 - CUSTOS!$M$33)</f>
        <v>0.6</v>
      </c>
      <c r="M55" s="13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CUSTOS!$M$33)</f>
        <v>0.53352916931573457</v>
      </c>
      <c r="N55" s="13">
        <f ca="1">(+M55+O55+R55+U55+V55+W55+X55+Y55+Z55+AA55+AC55+AH55+AI55+AJ55+AK55)*CUSTOS!$M$5</f>
        <v>1.7501582712924277</v>
      </c>
      <c r="O55" s="13">
        <f>1 - CUSTOS!$M$33</f>
        <v>0.6</v>
      </c>
      <c r="P55" s="13">
        <f>1 - CUSTOS!$M$33</f>
        <v>0.6</v>
      </c>
      <c r="Q55" s="13">
        <f>1*(1 - CUSTOS!$M$33)</f>
        <v>0.6</v>
      </c>
      <c r="R55" s="13">
        <f>1 - CUSTOS!$M$33</f>
        <v>0.6</v>
      </c>
      <c r="S55" s="13">
        <f>1 - CUSTOS!$M$33</f>
        <v>0.6</v>
      </c>
      <c r="T55" s="13"/>
      <c r="U55" s="13">
        <f>TRANSICAO!$U$55*CUSTOS!$T$3</f>
        <v>0</v>
      </c>
      <c r="V55" s="13">
        <f>TRANSICAO!$V$55*CUSTOS!$T$3</f>
        <v>0</v>
      </c>
      <c r="W55" s="13">
        <f>TRANSICAO!$W$55*CUSTOS!$T$3</f>
        <v>0</v>
      </c>
      <c r="X55" s="13">
        <f>TRANSICAO!$X$55*CUSTOS!$T$3</f>
        <v>0</v>
      </c>
      <c r="Y55" s="13">
        <f>TRANSICAO!$Y$55*CUSTOS!$T$3</f>
        <v>35.012039999999999</v>
      </c>
      <c r="Z55" s="13">
        <f>TRANSICAO!$Z$55*CUSTOS!$T$3</f>
        <v>0</v>
      </c>
      <c r="AA55" s="13">
        <f>TRANSICAO!$AA$55*CUSTOS!$T$3</f>
        <v>0</v>
      </c>
      <c r="AB55" s="13">
        <f>TRANSICAO!$AB$55*CUSTOS!$T$3</f>
        <v>0</v>
      </c>
      <c r="AC55" s="13">
        <f>TRANSICAO!$AC$55*CUSTOS!$T$3</f>
        <v>108.13181999999999</v>
      </c>
      <c r="AD55" s="13">
        <f>TRANSICAO!$AD$55*CUSTOS!$T$3</f>
        <v>0</v>
      </c>
      <c r="AE55" s="13">
        <v>0</v>
      </c>
      <c r="AF55" s="13">
        <v>0</v>
      </c>
      <c r="AG55" s="13"/>
      <c r="AH55" s="13">
        <f>(1 - CUSTOS!$M$33)*23.8272</f>
        <v>14.29632</v>
      </c>
      <c r="AI55" s="13">
        <f>(1 - CUSTOS!$M$33)*23.8272</f>
        <v>14.29632</v>
      </c>
      <c r="AJ55" s="13">
        <f ca="1">$N$69*(1-CUSTOS!$M$33)</f>
        <v>0.77289897996352552</v>
      </c>
      <c r="AK55" s="13">
        <f t="shared" ca="1" si="1"/>
        <v>0.77289897996352552</v>
      </c>
      <c r="AL55" s="13"/>
      <c r="AM55" s="13"/>
      <c r="AP55" s="13">
        <f>IF((1 - CUSTOS!$M$33)&lt;&gt;0,1/(1 - CUSTOS!$M$33),1)</f>
        <v>1.6666666666666667</v>
      </c>
    </row>
    <row r="57" spans="1:42" ht="11.25" customHeight="1" x14ac:dyDescent="0.3">
      <c r="K57" s="16" t="s">
        <v>591</v>
      </c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</row>
    <row r="58" spans="1:42" ht="11.25" customHeight="1" x14ac:dyDescent="0.3">
      <c r="K58" s="16" t="s">
        <v>592</v>
      </c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</row>
    <row r="59" spans="1:42" ht="11.25" customHeight="1" x14ac:dyDescent="0.3">
      <c r="K59" s="16" t="s">
        <v>593</v>
      </c>
      <c r="L59" s="13">
        <f>IF(ISERROR(+SUMPRODUCT($L$5:$L$8,$I$5:$I$8)+SUMPRODUCT($L$9:$L$12,$I$9:$I$12)+SUMPRODUCT($L$13:$L$13,$I$13:$I$13)+SUMPRODUCT($L$14:$L$18,$I$14:$I$18)+SUMPRODUCT($L$19:$L$20,$I$19:$I$20)+SUMPRODUCT($L$21:$L$23,$I$21:$I$23)+SUMPRODUCT($L$24:$L$28,$I$24:$I$28)+SUMPRODUCT($L$29:$L$33,$I$29:$I$33)+SUMPRODUCT($L$34:$L$36,$I$34:$I$36)+SUMPRODUCT($L$37:$L$37,$I$37:$I$37)+SUMPRODUCT($L$38:$L$40,$I$38:$I$40)+SUMPRODUCT($L$41:$L$41,$I$41:$I$41)+SUMPRODUCT($L$42:$L$44,$I$42:$I$44)+SUMPRODUCT($L$45:$L$45,$I$45:$I$45)+SUMPRODUCT($L$46:$L$48,$I$46:$I$48)+SUMPRODUCT($L$49:$L$51,$I$49:$I$51)+SUMPRODUCT($L$52:$L$52,$I$52:$I$52)+SUMPRODUCT($L$53:$L$53,$I$53:$I$53)+SUMPRODUCT($L$54:$L$55,$I$54:$I$55)),0,+SUMPRODUCT($L$5:$L$8,$I$5:$I$8)+SUMPRODUCT($L$9:$L$12,$I$9:$I$12)+SUMPRODUCT($L$13:$L$13,$I$13:$I$13)+SUMPRODUCT($L$14:$L$18,$I$14:$I$18)+SUMPRODUCT($L$19:$L$20,$I$19:$I$20)+SUMPRODUCT($L$21:$L$23,$I$21:$I$23)+SUMPRODUCT($L$24:$L$28,$I$24:$I$28)+SUMPRODUCT($L$29:$L$33,$I$29:$I$33)+SUMPRODUCT($L$34:$L$36,$I$34:$I$36)+SUMPRODUCT($L$37:$L$37,$I$37:$I$37)+SUMPRODUCT($L$38:$L$40,$I$38:$I$40)+SUMPRODUCT($L$41:$L$41,$I$41:$I$41)+SUMPRODUCT($L$42:$L$44,$I$42:$I$44)+SUMPRODUCT($L$45:$L$45,$I$45:$I$45)+SUMPRODUCT($L$46:$L$48,$I$46:$I$48)+SUMPRODUCT($L$49:$L$51,$I$49:$I$51)+SUMPRODUCT($L$52:$L$52,$I$52:$I$52)+SUMPRODUCT($L$53:$L$53,$I$53:$I$53)+SUMPRODUCT($L$54:$L$55,$I$54:$I$55))</f>
        <v>89604.058592800022</v>
      </c>
      <c r="M59" s="13">
        <f>IF(ISERROR(+SUMPRODUCT($M$5:$M$8,$I$5:$I$8)+SUMPRODUCT($M$9:$M$12,$I$9:$I$12)+SUMPRODUCT($M$13:$M$13,$I$13:$I$13)+SUMPRODUCT($M$14:$M$18,$I$14:$I$18)+SUMPRODUCT($M$19:$M$20,$I$19:$I$20)+SUMPRODUCT($M$21:$M$23,$I$21:$I$23)+SUMPRODUCT($M$24:$M$28,$I$24:$I$28)+SUMPRODUCT($M$29:$M$33,$I$29:$I$33)+SUMPRODUCT($M$34:$M$36,$I$34:$I$36)+SUMPRODUCT($M$37:$M$37,$I$37:$I$37)+SUMPRODUCT($M$38:$M$40,$I$38:$I$40)+SUMPRODUCT($M$41:$M$41,$I$41:$I$41)+SUMPRODUCT($M$42:$M$44,$I$42:$I$44)+SUMPRODUCT($M$45:$M$45,$I$45:$I$45)+SUMPRODUCT($M$46:$M$48,$I$46:$I$48)+SUMPRODUCT($M$49:$M$51,$I$49:$I$51)+SUMPRODUCT($M$52:$M$52,$I$52:$I$52)+SUMPRODUCT($M$53:$M$53,$I$53:$I$53)+SUMPRODUCT($M$54:$M$55,$I$54:$I$55)),0,+SUMPRODUCT($M$5:$M$8,$I$5:$I$8)+SUMPRODUCT($M$9:$M$12,$I$9:$I$12)+SUMPRODUCT($M$13:$M$13,$I$13:$I$13)+SUMPRODUCT($M$14:$M$18,$I$14:$I$18)+SUMPRODUCT($M$19:$M$20,$I$19:$I$20)+SUMPRODUCT($M$21:$M$23,$I$21:$I$23)+SUMPRODUCT($M$24:$M$28,$I$24:$I$28)+SUMPRODUCT($M$29:$M$33,$I$29:$I$33)+SUMPRODUCT($M$34:$M$36,$I$34:$I$36)+SUMPRODUCT($M$37:$M$37,$I$37:$I$37)+SUMPRODUCT($M$38:$M$40,$I$38:$I$40)+SUMPRODUCT($M$41:$M$41,$I$41:$I$41)+SUMPRODUCT($M$42:$M$44,$I$42:$I$44)+SUMPRODUCT($M$45:$M$45,$I$45:$I$45)+SUMPRODUCT($M$46:$M$48,$I$46:$I$48)+SUMPRODUCT($M$49:$M$51,$I$49:$I$51)+SUMPRODUCT($M$52:$M$52,$I$52:$I$52)+SUMPRODUCT($M$53:$M$53,$I$53:$I$53)+SUMPRODUCT($M$54:$M$55,$I$54:$I$55))</f>
        <v>37437.608797036533</v>
      </c>
      <c r="N59" s="13">
        <f ca="1">IF(ISERROR(+SUMPRODUCT($N$5:$N$8,$I$5:$I$8)+SUMPRODUCT($N$9:$N$12,$I$9:$I$12)+SUMPRODUCT($N$13:$N$13,$I$13:$I$13)+SUMPRODUCT($N$14:$N$18,$I$14:$I$18)+SUMPRODUCT($N$19:$N$20,$I$19:$I$20)+SUMPRODUCT($N$21:$N$23,$I$21:$I$23)+SUMPRODUCT($N$24:$N$28,$I$24:$I$28)+SUMPRODUCT($N$29:$N$33,$I$29:$I$33)+SUMPRODUCT($N$34:$N$36,$I$34:$I$36)+SUMPRODUCT($N$37:$N$37,$I$37:$I$37)+SUMPRODUCT($N$38:$N$40,$I$38:$I$40)+SUMPRODUCT($N$41:$N$41,$I$41:$I$41)+SUMPRODUCT($N$42:$N$44,$I$42:$I$44)+SUMPRODUCT($N$45:$N$45,$I$45:$I$45)+SUMPRODUCT($N$46:$N$48,$I$46:$I$48)+SUMPRODUCT($N$49:$N$51,$I$49:$I$51)+SUMPRODUCT($N$52:$N$52,$I$52:$I$52)+SUMPRODUCT($N$53:$N$53,$I$53:$I$53)+SUMPRODUCT($N$54:$N$55,$I$54:$I$55)),0,+SUMPRODUCT($N$5:$N$8,$I$5:$I$8)+SUMPRODUCT($N$9:$N$12,$I$9:$I$12)+SUMPRODUCT($N$13:$N$13,$I$13:$I$13)+SUMPRODUCT($N$14:$N$18,$I$14:$I$18)+SUMPRODUCT($N$19:$N$20,$I$19:$I$20)+SUMPRODUCT($N$21:$N$23,$I$21:$I$23)+SUMPRODUCT($N$24:$N$28,$I$24:$I$28)+SUMPRODUCT($N$29:$N$33,$I$29:$I$33)+SUMPRODUCT($N$34:$N$36,$I$34:$I$36)+SUMPRODUCT($N$37:$N$37,$I$37:$I$37)+SUMPRODUCT($N$38:$N$40,$I$38:$I$40)+SUMPRODUCT($N$41:$N$41,$I$41:$I$41)+SUMPRODUCT($N$42:$N$44,$I$42:$I$44)+SUMPRODUCT($N$45:$N$45,$I$45:$I$45)+SUMPRODUCT($N$46:$N$48,$I$46:$I$48)+SUMPRODUCT($N$49:$N$51,$I$49:$I$51)+SUMPRODUCT($N$52:$N$52,$I$52:$I$52)+SUMPRODUCT($N$53:$N$53,$I$53:$I$53)+SUMPRODUCT($N$54:$N$55,$I$54:$I$55))</f>
        <v>108026.86061491964</v>
      </c>
      <c r="O59" s="13">
        <f>IF(ISERROR(+SUMPRODUCT($O$5:$O$8,$I$5:$I$8)+SUMPRODUCT($O$9:$O$12,$I$9:$I$12)+SUMPRODUCT($O$13:$O$13,$I$13:$I$13)+SUMPRODUCT($O$14:$O$18,$I$14:$I$18)+SUMPRODUCT($O$19:$O$20,$I$19:$I$20)+SUMPRODUCT($O$21:$O$23,$I$21:$I$23)+SUMPRODUCT($O$24:$O$28,$I$24:$I$28)+SUMPRODUCT($O$29:$O$33,$I$29:$I$33)+SUMPRODUCT($O$34:$O$36,$I$34:$I$36)+SUMPRODUCT($O$37:$O$37,$I$37:$I$37)+SUMPRODUCT($O$38:$O$40,$I$38:$I$40)+SUMPRODUCT($O$41:$O$41,$I$41:$I$41)+SUMPRODUCT($O$42:$O$44,$I$42:$I$44)+SUMPRODUCT($O$45:$O$45,$I$45:$I$45)+SUMPRODUCT($O$46:$O$48,$I$46:$I$48)+SUMPRODUCT($O$49:$O$51,$I$49:$I$51)+SUMPRODUCT($O$52:$O$52,$I$52:$I$52)+SUMPRODUCT($O$53:$O$53,$I$53:$I$53)+SUMPRODUCT($O$54:$O$55,$I$54:$I$55)),0,+SUMPRODUCT($O$5:$O$8,$I$5:$I$8)+SUMPRODUCT($O$9:$O$12,$I$9:$I$12)+SUMPRODUCT($O$13:$O$13,$I$13:$I$13)+SUMPRODUCT($O$14:$O$18,$I$14:$I$18)+SUMPRODUCT($O$19:$O$20,$I$19:$I$20)+SUMPRODUCT($O$21:$O$23,$I$21:$I$23)+SUMPRODUCT($O$24:$O$28,$I$24:$I$28)+SUMPRODUCT($O$29:$O$33,$I$29:$I$33)+SUMPRODUCT($O$34:$O$36,$I$34:$I$36)+SUMPRODUCT($O$37:$O$37,$I$37:$I$37)+SUMPRODUCT($O$38:$O$40,$I$38:$I$40)+SUMPRODUCT($O$41:$O$41,$I$41:$I$41)+SUMPRODUCT($O$42:$O$44,$I$42:$I$44)+SUMPRODUCT($O$45:$O$45,$I$45:$I$45)+SUMPRODUCT($O$46:$O$48,$I$46:$I$48)+SUMPRODUCT($O$49:$O$51,$I$49:$I$51)+SUMPRODUCT($O$52:$O$52,$I$52:$I$52)+SUMPRODUCT($O$53:$O$53,$I$53:$I$53)+SUMPRODUCT($O$54:$O$55,$I$54:$I$55))</f>
        <v>105090.05387000002</v>
      </c>
      <c r="P59" s="13">
        <f>IF(ISERROR(+SUMPRODUCT($P$5:$P$8,$I$5:$I$8)+SUMPRODUCT($P$9:$P$12,$I$9:$I$12)+SUMPRODUCT($P$13:$P$13,$I$13:$I$13)+SUMPRODUCT($P$14:$P$18,$I$14:$I$18)+SUMPRODUCT($P$19:$P$20,$I$19:$I$20)+SUMPRODUCT($P$21:$P$23,$I$21:$I$23)+SUMPRODUCT($P$24:$P$28,$I$24:$I$28)+SUMPRODUCT($P$29:$P$33,$I$29:$I$33)+SUMPRODUCT($P$34:$P$36,$I$34:$I$36)+SUMPRODUCT($P$37:$P$37,$I$37:$I$37)+SUMPRODUCT($P$38:$P$40,$I$38:$I$40)+SUMPRODUCT($P$41:$P$41,$I$41:$I$41)+SUMPRODUCT($P$42:$P$44,$I$42:$I$44)+SUMPRODUCT($P$45:$P$45,$I$45:$I$45)+SUMPRODUCT($P$46:$P$48,$I$46:$I$48)+SUMPRODUCT($P$49:$P$51,$I$49:$I$51)+SUMPRODUCT($P$52:$P$52,$I$52:$I$52)+SUMPRODUCT($P$53:$P$53,$I$53:$I$53)+SUMPRODUCT($P$54:$P$55,$I$54:$I$55)),0,+SUMPRODUCT($P$5:$P$8,$I$5:$I$8)+SUMPRODUCT($P$9:$P$12,$I$9:$I$12)+SUMPRODUCT($P$13:$P$13,$I$13:$I$13)+SUMPRODUCT($P$14:$P$18,$I$14:$I$18)+SUMPRODUCT($P$19:$P$20,$I$19:$I$20)+SUMPRODUCT($P$21:$P$23,$I$21:$I$23)+SUMPRODUCT($P$24:$P$28,$I$24:$I$28)+SUMPRODUCT($P$29:$P$33,$I$29:$I$33)+SUMPRODUCT($P$34:$P$36,$I$34:$I$36)+SUMPRODUCT($P$37:$P$37,$I$37:$I$37)+SUMPRODUCT($P$38:$P$40,$I$38:$I$40)+SUMPRODUCT($P$41:$P$41,$I$41:$I$41)+SUMPRODUCT($P$42:$P$44,$I$42:$I$44)+SUMPRODUCT($P$45:$P$45,$I$45:$I$45)+SUMPRODUCT($P$46:$P$48,$I$46:$I$48)+SUMPRODUCT($P$49:$P$51,$I$49:$I$51)+SUMPRODUCT($P$52:$P$52,$I$52:$I$52)+SUMPRODUCT($P$53:$P$53,$I$53:$I$53)+SUMPRODUCT($P$54:$P$55,$I$54:$I$55))</f>
        <v>104373.95987000002</v>
      </c>
      <c r="Q59" s="13">
        <f>IF(ISERROR(+SUMPRODUCT($Q$5:$Q$8,$I$5:$I$8)+SUMPRODUCT($Q$9:$Q$12,$I$9:$I$12)+SUMPRODUCT($Q$13:$Q$13,$I$13:$I$13)+SUMPRODUCT($Q$14:$Q$18,$I$14:$I$18)+SUMPRODUCT($Q$19:$Q$20,$I$19:$I$20)+SUMPRODUCT($Q$21:$Q$23,$I$21:$I$23)+SUMPRODUCT($Q$24:$Q$28,$I$24:$I$28)+SUMPRODUCT($Q$29:$Q$33,$I$29:$I$33)+SUMPRODUCT($Q$34:$Q$36,$I$34:$I$36)+SUMPRODUCT($Q$37:$Q$37,$I$37:$I$37)+SUMPRODUCT($Q$38:$Q$40,$I$38:$I$40)+SUMPRODUCT($Q$41:$Q$41,$I$41:$I$41)+SUMPRODUCT($Q$42:$Q$44,$I$42:$I$44)+SUMPRODUCT($Q$45:$Q$45,$I$45:$I$45)+SUMPRODUCT($Q$46:$Q$48,$I$46:$I$48)+SUMPRODUCT($Q$49:$Q$51,$I$49:$I$51)+SUMPRODUCT($Q$52:$Q$52,$I$52:$I$52)+SUMPRODUCT($Q$53:$Q$53,$I$53:$I$53)+SUMPRODUCT($Q$54:$Q$55,$I$54:$I$55)),0,+SUMPRODUCT($Q$5:$Q$8,$I$5:$I$8)+SUMPRODUCT($Q$9:$Q$12,$I$9:$I$12)+SUMPRODUCT($Q$13:$Q$13,$I$13:$I$13)+SUMPRODUCT($Q$14:$Q$18,$I$14:$I$18)+SUMPRODUCT($Q$19:$Q$20,$I$19:$I$20)+SUMPRODUCT($Q$21:$Q$23,$I$21:$I$23)+SUMPRODUCT($Q$24:$Q$28,$I$24:$I$28)+SUMPRODUCT($Q$29:$Q$33,$I$29:$I$33)+SUMPRODUCT($Q$34:$Q$36,$I$34:$I$36)+SUMPRODUCT($Q$37:$Q$37,$I$37:$I$37)+SUMPRODUCT($Q$38:$Q$40,$I$38:$I$40)+SUMPRODUCT($Q$41:$Q$41,$I$41:$I$41)+SUMPRODUCT($Q$42:$Q$44,$I$42:$I$44)+SUMPRODUCT($Q$45:$Q$45,$I$45:$I$45)+SUMPRODUCT($Q$46:$Q$48,$I$46:$I$48)+SUMPRODUCT($Q$49:$Q$51,$I$49:$I$51)+SUMPRODUCT($Q$52:$Q$52,$I$52:$I$52)+SUMPRODUCT($Q$53:$Q$53,$I$53:$I$53)+SUMPRODUCT($Q$54:$Q$55,$I$54:$I$55))</f>
        <v>89604.058592800022</v>
      </c>
      <c r="R59" s="13">
        <f>IF(ISERROR(+SUMPRODUCT($R$5:$R$8,$I$5:$I$8)+SUMPRODUCT($R$9:$R$12,$I$9:$I$12)+SUMPRODUCT($R$13:$R$13,$I$13:$I$13)+SUMPRODUCT($R$14:$R$18,$I$14:$I$18)+SUMPRODUCT($R$19:$R$20,$I$19:$I$20)+SUMPRODUCT($R$21:$R$23,$I$21:$I$23)+SUMPRODUCT($R$24:$R$28,$I$24:$I$28)+SUMPRODUCT($R$29:$R$33,$I$29:$I$33)+SUMPRODUCT($R$34:$R$36,$I$34:$I$36)+SUMPRODUCT($R$37:$R$37,$I$37:$I$37)+SUMPRODUCT($R$38:$R$40,$I$38:$I$40)+SUMPRODUCT($R$41:$R$41,$I$41:$I$41)+SUMPRODUCT($R$42:$R$44,$I$42:$I$44)+SUMPRODUCT($R$45:$R$45,$I$45:$I$45)+SUMPRODUCT($R$46:$R$48,$I$46:$I$48)+SUMPRODUCT($R$49:$R$51,$I$49:$I$51)+SUMPRODUCT($R$52:$R$52,$I$52:$I$52)+SUMPRODUCT($R$53:$R$53,$I$53:$I$53)+SUMPRODUCT($R$54:$R$55,$I$54:$I$55)),0,+SUMPRODUCT($R$5:$R$8,$I$5:$I$8)+SUMPRODUCT($R$9:$R$12,$I$9:$I$12)+SUMPRODUCT($R$13:$R$13,$I$13:$I$13)+SUMPRODUCT($R$14:$R$18,$I$14:$I$18)+SUMPRODUCT($R$19:$R$20,$I$19:$I$20)+SUMPRODUCT($R$21:$R$23,$I$21:$I$23)+SUMPRODUCT($R$24:$R$28,$I$24:$I$28)+SUMPRODUCT($R$29:$R$33,$I$29:$I$33)+SUMPRODUCT($R$34:$R$36,$I$34:$I$36)+SUMPRODUCT($R$37:$R$37,$I$37:$I$37)+SUMPRODUCT($R$38:$R$40,$I$38:$I$40)+SUMPRODUCT($R$41:$R$41,$I$41:$I$41)+SUMPRODUCT($R$42:$R$44,$I$42:$I$44)+SUMPRODUCT($R$45:$R$45,$I$45:$I$45)+SUMPRODUCT($R$46:$R$48,$I$46:$I$48)+SUMPRODUCT($R$49:$R$51,$I$49:$I$51)+SUMPRODUCT($R$52:$R$52,$I$52:$I$52)+SUMPRODUCT($R$53:$R$53,$I$53:$I$53)+SUMPRODUCT($R$54:$R$55,$I$54:$I$55))</f>
        <v>104373.95987000002</v>
      </c>
      <c r="S59" s="13">
        <f>IF(ISERROR(+SUMPRODUCT($S$5:$S$8,$I$5:$I$8)+SUMPRODUCT($S$9:$S$12,$I$9:$I$12)+SUMPRODUCT($S$13:$S$13,$I$13:$I$13)+SUMPRODUCT($S$14:$S$18,$I$14:$I$18)+SUMPRODUCT($S$19:$S$20,$I$19:$I$20)+SUMPRODUCT($S$21:$S$23,$I$21:$I$23)+SUMPRODUCT($S$24:$S$28,$I$24:$I$28)+SUMPRODUCT($S$29:$S$33,$I$29:$I$33)+SUMPRODUCT($S$34:$S$36,$I$34:$I$36)+SUMPRODUCT($S$37:$S$37,$I$37:$I$37)+SUMPRODUCT($S$38:$S$40,$I$38:$I$40)+SUMPRODUCT($S$41:$S$41,$I$41:$I$41)+SUMPRODUCT($S$42:$S$44,$I$42:$I$44)+SUMPRODUCT($S$45:$S$45,$I$45:$I$45)+SUMPRODUCT($S$46:$S$48,$I$46:$I$48)+SUMPRODUCT($S$49:$S$51,$I$49:$I$51)+SUMPRODUCT($S$52:$S$52,$I$52:$I$52)+SUMPRODUCT($S$53:$S$53,$I$53:$I$53)+SUMPRODUCT($S$54:$S$55,$I$54:$I$55)),0,+SUMPRODUCT($S$5:$S$8,$I$5:$I$8)+SUMPRODUCT($S$9:$S$12,$I$9:$I$12)+SUMPRODUCT($S$13:$S$13,$I$13:$I$13)+SUMPRODUCT($S$14:$S$18,$I$14:$I$18)+SUMPRODUCT($S$19:$S$20,$I$19:$I$20)+SUMPRODUCT($S$21:$S$23,$I$21:$I$23)+SUMPRODUCT($S$24:$S$28,$I$24:$I$28)+SUMPRODUCT($S$29:$S$33,$I$29:$I$33)+SUMPRODUCT($S$34:$S$36,$I$34:$I$36)+SUMPRODUCT($S$37:$S$37,$I$37:$I$37)+SUMPRODUCT($S$38:$S$40,$I$38:$I$40)+SUMPRODUCT($S$41:$S$41,$I$41:$I$41)+SUMPRODUCT($S$42:$S$44,$I$42:$I$44)+SUMPRODUCT($S$45:$S$45,$I$45:$I$45)+SUMPRODUCT($S$46:$S$48,$I$46:$I$48)+SUMPRODUCT($S$49:$S$51,$I$49:$I$51)+SUMPRODUCT($S$52:$S$52,$I$52:$I$52)+SUMPRODUCT($S$53:$S$53,$I$53:$I$53)+SUMPRODUCT($S$54:$S$55,$I$54:$I$55))</f>
        <v>105090.05387000002</v>
      </c>
      <c r="T59" s="13"/>
      <c r="U59" s="13">
        <f>IF(ISERROR(+SUMPRODUCT($U$5:$U$8,$I$5:$I$8)+SUMPRODUCT($U$9:$U$12,$I$9:$I$12)+SUMPRODUCT($U$13:$U$13,$I$13:$I$13)+SUMPRODUCT($U$14:$U$18,$I$14:$I$18)+SUMPRODUCT($U$19:$U$20,$I$19:$I$20)+SUMPRODUCT($U$21:$U$23,$I$21:$I$23)+SUMPRODUCT($U$24:$U$28,$I$24:$I$28)+SUMPRODUCT($U$29:$U$33,$I$29:$I$33)+SUMPRODUCT($U$34:$U$36,$I$34:$I$36)+SUMPRODUCT($U$37:$U$37,$I$37:$I$37)+SUMPRODUCT($U$38:$U$40,$I$38:$I$40)+SUMPRODUCT($U$41:$U$41,$I$41:$I$41)+SUMPRODUCT($U$42:$U$44,$I$42:$I$44)+SUMPRODUCT($U$45:$U$45,$I$45:$I$45)+SUMPRODUCT($U$46:$U$48,$I$46:$I$48)+SUMPRODUCT($U$49:$U$51,$I$49:$I$51)+SUMPRODUCT($U$52:$U$52,$I$52:$I$52)+SUMPRODUCT($U$53:$U$53,$I$53:$I$53)+SUMPRODUCT($U$54:$U$55,$I$54:$I$55)),0,+SUMPRODUCT($U$5:$U$8,$I$5:$I$8)+SUMPRODUCT($U$9:$U$12,$I$9:$I$12)+SUMPRODUCT($U$13:$U$13,$I$13:$I$13)+SUMPRODUCT($U$14:$U$18,$I$14:$I$18)+SUMPRODUCT($U$19:$U$20,$I$19:$I$20)+SUMPRODUCT($U$21:$U$23,$I$21:$I$23)+SUMPRODUCT($U$24:$U$28,$I$24:$I$28)+SUMPRODUCT($U$29:$U$33,$I$29:$I$33)+SUMPRODUCT($U$34:$U$36,$I$34:$I$36)+SUMPRODUCT($U$37:$U$37,$I$37:$I$37)+SUMPRODUCT($U$38:$U$40,$I$38:$I$40)+SUMPRODUCT($U$41:$U$41,$I$41:$I$41)+SUMPRODUCT($U$42:$U$44,$I$42:$I$44)+SUMPRODUCT($U$45:$U$45,$I$45:$I$45)+SUMPRODUCT($U$46:$U$48,$I$46:$I$48)+SUMPRODUCT($U$49:$U$51,$I$49:$I$51)+SUMPRODUCT($U$52:$U$52,$I$52:$I$52)+SUMPRODUCT($U$53:$U$53,$I$53:$I$53)+SUMPRODUCT($U$54:$U$55,$I$54:$I$55))</f>
        <v>0</v>
      </c>
      <c r="V59" s="13">
        <f>IF(ISERROR(+SUMPRODUCT($V$5:$V$8,$I$5:$I$8)+SUMPRODUCT($V$9:$V$12,$I$9:$I$12)+SUMPRODUCT($V$13:$V$13,$I$13:$I$13)+SUMPRODUCT($V$14:$V$18,$I$14:$I$18)+SUMPRODUCT($V$19:$V$20,$I$19:$I$20)+SUMPRODUCT($V$21:$V$23,$I$21:$I$23)+SUMPRODUCT($V$24:$V$28,$I$24:$I$28)+SUMPRODUCT($V$29:$V$33,$I$29:$I$33)+SUMPRODUCT($V$34:$V$36,$I$34:$I$36)+SUMPRODUCT($V$37:$V$37,$I$37:$I$37)+SUMPRODUCT($V$38:$V$40,$I$38:$I$40)+SUMPRODUCT($V$41:$V$41,$I$41:$I$41)+SUMPRODUCT($V$42:$V$44,$I$42:$I$44)+SUMPRODUCT($V$45:$V$45,$I$45:$I$45)+SUMPRODUCT($V$46:$V$48,$I$46:$I$48)+SUMPRODUCT($V$49:$V$51,$I$49:$I$51)+SUMPRODUCT($V$52:$V$52,$I$52:$I$52)+SUMPRODUCT($V$53:$V$53,$I$53:$I$53)+SUMPRODUCT($V$54:$V$55,$I$54:$I$55)),0,+SUMPRODUCT($V$5:$V$8,$I$5:$I$8)+SUMPRODUCT($V$9:$V$12,$I$9:$I$12)+SUMPRODUCT($V$13:$V$13,$I$13:$I$13)+SUMPRODUCT($V$14:$V$18,$I$14:$I$18)+SUMPRODUCT($V$19:$V$20,$I$19:$I$20)+SUMPRODUCT($V$21:$V$23,$I$21:$I$23)+SUMPRODUCT($V$24:$V$28,$I$24:$I$28)+SUMPRODUCT($V$29:$V$33,$I$29:$I$33)+SUMPRODUCT($V$34:$V$36,$I$34:$I$36)+SUMPRODUCT($V$37:$V$37,$I$37:$I$37)+SUMPRODUCT($V$38:$V$40,$I$38:$I$40)+SUMPRODUCT($V$41:$V$41,$I$41:$I$41)+SUMPRODUCT($V$42:$V$44,$I$42:$I$44)+SUMPRODUCT($V$45:$V$45,$I$45:$I$45)+SUMPRODUCT($V$46:$V$48,$I$46:$I$48)+SUMPRODUCT($V$49:$V$51,$I$49:$I$51)+SUMPRODUCT($V$52:$V$52,$I$52:$I$52)+SUMPRODUCT($V$53:$V$53,$I$53:$I$53)+SUMPRODUCT($V$54:$V$55,$I$54:$I$55))</f>
        <v>0</v>
      </c>
      <c r="W59" s="13">
        <f>IF(ISERROR(+SUMPRODUCT($W$5:$W$8,$I$5:$I$8)+SUMPRODUCT($W$9:$W$12,$I$9:$I$12)+SUMPRODUCT($W$13:$W$13,$I$13:$I$13)+SUMPRODUCT($W$14:$W$18,$I$14:$I$18)+SUMPRODUCT($W$19:$W$20,$I$19:$I$20)+SUMPRODUCT($W$21:$W$23,$I$21:$I$23)+SUMPRODUCT($W$24:$W$28,$I$24:$I$28)+SUMPRODUCT($W$29:$W$33,$I$29:$I$33)+SUMPRODUCT($W$34:$W$36,$I$34:$I$36)+SUMPRODUCT($W$37:$W$37,$I$37:$I$37)+SUMPRODUCT($W$38:$W$40,$I$38:$I$40)+SUMPRODUCT($W$41:$W$41,$I$41:$I$41)+SUMPRODUCT($W$42:$W$44,$I$42:$I$44)+SUMPRODUCT($W$45:$W$45,$I$45:$I$45)+SUMPRODUCT($W$46:$W$48,$I$46:$I$48)+SUMPRODUCT($W$49:$W$51,$I$49:$I$51)+SUMPRODUCT($W$52:$W$52,$I$52:$I$52)+SUMPRODUCT($W$53:$W$53,$I$53:$I$53)+SUMPRODUCT($W$54:$W$55,$I$54:$I$55)),0,+SUMPRODUCT($W$5:$W$8,$I$5:$I$8)+SUMPRODUCT($W$9:$W$12,$I$9:$I$12)+SUMPRODUCT($W$13:$W$13,$I$13:$I$13)+SUMPRODUCT($W$14:$W$18,$I$14:$I$18)+SUMPRODUCT($W$19:$W$20,$I$19:$I$20)+SUMPRODUCT($W$21:$W$23,$I$21:$I$23)+SUMPRODUCT($W$24:$W$28,$I$24:$I$28)+SUMPRODUCT($W$29:$W$33,$I$29:$I$33)+SUMPRODUCT($W$34:$W$36,$I$34:$I$36)+SUMPRODUCT($W$37:$W$37,$I$37:$I$37)+SUMPRODUCT($W$38:$W$40,$I$38:$I$40)+SUMPRODUCT($W$41:$W$41,$I$41:$I$41)+SUMPRODUCT($W$42:$W$44,$I$42:$I$44)+SUMPRODUCT($W$45:$W$45,$I$45:$I$45)+SUMPRODUCT($W$46:$W$48,$I$46:$I$48)+SUMPRODUCT($W$49:$W$51,$I$49:$I$51)+SUMPRODUCT($W$52:$W$52,$I$52:$I$52)+SUMPRODUCT($W$53:$W$53,$I$53:$I$53)+SUMPRODUCT($W$54:$W$55,$I$54:$I$55))</f>
        <v>0</v>
      </c>
      <c r="X59" s="13">
        <f>IF(ISERROR(+SUMPRODUCT($X$5:$X$8,$I$5:$I$8)+SUMPRODUCT($X$9:$X$12,$I$9:$I$12)+SUMPRODUCT($X$13:$X$13,$I$13:$I$13)+SUMPRODUCT($X$14:$X$18,$I$14:$I$18)+SUMPRODUCT($X$19:$X$20,$I$19:$I$20)+SUMPRODUCT($X$21:$X$23,$I$21:$I$23)+SUMPRODUCT($X$24:$X$28,$I$24:$I$28)+SUMPRODUCT($X$29:$X$33,$I$29:$I$33)+SUMPRODUCT($X$34:$X$36,$I$34:$I$36)+SUMPRODUCT($X$37:$X$37,$I$37:$I$37)+SUMPRODUCT($X$38:$X$40,$I$38:$I$40)+SUMPRODUCT($X$41:$X$41,$I$41:$I$41)+SUMPRODUCT($X$42:$X$44,$I$42:$I$44)+SUMPRODUCT($X$45:$X$45,$I$45:$I$45)+SUMPRODUCT($X$46:$X$48,$I$46:$I$48)+SUMPRODUCT($X$49:$X$51,$I$49:$I$51)+SUMPRODUCT($X$52:$X$52,$I$52:$I$52)+SUMPRODUCT($X$53:$X$53,$I$53:$I$53)+SUMPRODUCT($X$54:$X$55,$I$54:$I$55)),0,+SUMPRODUCT($X$5:$X$8,$I$5:$I$8)+SUMPRODUCT($X$9:$X$12,$I$9:$I$12)+SUMPRODUCT($X$13:$X$13,$I$13:$I$13)+SUMPRODUCT($X$14:$X$18,$I$14:$I$18)+SUMPRODUCT($X$19:$X$20,$I$19:$I$20)+SUMPRODUCT($X$21:$X$23,$I$21:$I$23)+SUMPRODUCT($X$24:$X$28,$I$24:$I$28)+SUMPRODUCT($X$29:$X$33,$I$29:$I$33)+SUMPRODUCT($X$34:$X$36,$I$34:$I$36)+SUMPRODUCT($X$37:$X$37,$I$37:$I$37)+SUMPRODUCT($X$38:$X$40,$I$38:$I$40)+SUMPRODUCT($X$41:$X$41,$I$41:$I$41)+SUMPRODUCT($X$42:$X$44,$I$42:$I$44)+SUMPRODUCT($X$45:$X$45,$I$45:$I$45)+SUMPRODUCT($X$46:$X$48,$I$46:$I$48)+SUMPRODUCT($X$49:$X$51,$I$49:$I$51)+SUMPRODUCT($X$52:$X$52,$I$52:$I$52)+SUMPRODUCT($X$53:$X$53,$I$53:$I$53)+SUMPRODUCT($X$54:$X$55,$I$54:$I$55))</f>
        <v>0</v>
      </c>
      <c r="Y59" s="13">
        <f>IF(ISERROR(+SUMPRODUCT($Y$5:$Y$8,$I$5:$I$8)+SUMPRODUCT($Y$9:$Y$12,$I$9:$I$12)+SUMPRODUCT($Y$13:$Y$13,$I$13:$I$13)+SUMPRODUCT($Y$14:$Y$18,$I$14:$I$18)+SUMPRODUCT($Y$19:$Y$20,$I$19:$I$20)+SUMPRODUCT($Y$21:$Y$23,$I$21:$I$23)+SUMPRODUCT($Y$24:$Y$28,$I$24:$I$28)+SUMPRODUCT($Y$29:$Y$33,$I$29:$I$33)+SUMPRODUCT($Y$34:$Y$36,$I$34:$I$36)+SUMPRODUCT($Y$37:$Y$37,$I$37:$I$37)+SUMPRODUCT($Y$38:$Y$40,$I$38:$I$40)+SUMPRODUCT($Y$41:$Y$41,$I$41:$I$41)+SUMPRODUCT($Y$42:$Y$44,$I$42:$I$44)+SUMPRODUCT($Y$45:$Y$45,$I$45:$I$45)+SUMPRODUCT($Y$46:$Y$48,$I$46:$I$48)+SUMPRODUCT($Y$49:$Y$51,$I$49:$I$51)+SUMPRODUCT($Y$52:$Y$52,$I$52:$I$52)+SUMPRODUCT($Y$53:$Y$53,$I$53:$I$53)+SUMPRODUCT($Y$54:$Y$55,$I$54:$I$55)),0,+SUMPRODUCT($Y$5:$Y$8,$I$5:$I$8)+SUMPRODUCT($Y$9:$Y$12,$I$9:$I$12)+SUMPRODUCT($Y$13:$Y$13,$I$13:$I$13)+SUMPRODUCT($Y$14:$Y$18,$I$14:$I$18)+SUMPRODUCT($Y$19:$Y$20,$I$19:$I$20)+SUMPRODUCT($Y$21:$Y$23,$I$21:$I$23)+SUMPRODUCT($Y$24:$Y$28,$I$24:$I$28)+SUMPRODUCT($Y$29:$Y$33,$I$29:$I$33)+SUMPRODUCT($Y$34:$Y$36,$I$34:$I$36)+SUMPRODUCT($Y$37:$Y$37,$I$37:$I$37)+SUMPRODUCT($Y$38:$Y$40,$I$38:$I$40)+SUMPRODUCT($Y$41:$Y$41,$I$41:$I$41)+SUMPRODUCT($Y$42:$Y$44,$I$42:$I$44)+SUMPRODUCT($Y$45:$Y$45,$I$45:$I$45)+SUMPRODUCT($Y$46:$Y$48,$I$46:$I$48)+SUMPRODUCT($Y$49:$Y$51,$I$49:$I$51)+SUMPRODUCT($Y$52:$Y$52,$I$52:$I$52)+SUMPRODUCT($Y$53:$Y$53,$I$53:$I$53)+SUMPRODUCT($Y$54:$Y$55,$I$54:$I$55))</f>
        <v>6710216.175697525</v>
      </c>
      <c r="Z59" s="13">
        <f>IF(ISERROR(+SUMPRODUCT($Z$5:$Z$8,$I$5:$I$8)+SUMPRODUCT($Z$9:$Z$12,$I$9:$I$12)+SUMPRODUCT($Z$13:$Z$13,$I$13:$I$13)+SUMPRODUCT($Z$14:$Z$18,$I$14:$I$18)+SUMPRODUCT($Z$19:$Z$20,$I$19:$I$20)+SUMPRODUCT($Z$21:$Z$23,$I$21:$I$23)+SUMPRODUCT($Z$24:$Z$28,$I$24:$I$28)+SUMPRODUCT($Z$29:$Z$33,$I$29:$I$33)+SUMPRODUCT($Z$34:$Z$36,$I$34:$I$36)+SUMPRODUCT($Z$37:$Z$37,$I$37:$I$37)+SUMPRODUCT($Z$38:$Z$40,$I$38:$I$40)+SUMPRODUCT($Z$41:$Z$41,$I$41:$I$41)+SUMPRODUCT($Z$42:$Z$44,$I$42:$I$44)+SUMPRODUCT($Z$45:$Z$45,$I$45:$I$45)+SUMPRODUCT($Z$46:$Z$48,$I$46:$I$48)+SUMPRODUCT($Z$49:$Z$51,$I$49:$I$51)+SUMPRODUCT($Z$52:$Z$52,$I$52:$I$52)+SUMPRODUCT($Z$53:$Z$53,$I$53:$I$53)+SUMPRODUCT($Z$54:$Z$55,$I$54:$I$55)),0,+SUMPRODUCT($Z$5:$Z$8,$I$5:$I$8)+SUMPRODUCT($Z$9:$Z$12,$I$9:$I$12)+SUMPRODUCT($Z$13:$Z$13,$I$13:$I$13)+SUMPRODUCT($Z$14:$Z$18,$I$14:$I$18)+SUMPRODUCT($Z$19:$Z$20,$I$19:$I$20)+SUMPRODUCT($Z$21:$Z$23,$I$21:$I$23)+SUMPRODUCT($Z$24:$Z$28,$I$24:$I$28)+SUMPRODUCT($Z$29:$Z$33,$I$29:$I$33)+SUMPRODUCT($Z$34:$Z$36,$I$34:$I$36)+SUMPRODUCT($Z$37:$Z$37,$I$37:$I$37)+SUMPRODUCT($Z$38:$Z$40,$I$38:$I$40)+SUMPRODUCT($Z$41:$Z$41,$I$41:$I$41)+SUMPRODUCT($Z$42:$Z$44,$I$42:$I$44)+SUMPRODUCT($Z$45:$Z$45,$I$45:$I$45)+SUMPRODUCT($Z$46:$Z$48,$I$46:$I$48)+SUMPRODUCT($Z$49:$Z$51,$I$49:$I$51)+SUMPRODUCT($Z$52:$Z$52,$I$52:$I$52)+SUMPRODUCT($Z$53:$Z$53,$I$53:$I$53)+SUMPRODUCT($Z$54:$Z$55,$I$54:$I$55))</f>
        <v>0</v>
      </c>
      <c r="AA59" s="13">
        <f>IF(ISERROR(+SUMPRODUCT($AA$5:$AA$8,$I$5:$I$8)+SUMPRODUCT($AA$9:$AA$12,$I$9:$I$12)+SUMPRODUCT($AA$13:$AA$13,$I$13:$I$13)+SUMPRODUCT($AA$14:$AA$18,$I$14:$I$18)+SUMPRODUCT($AA$19:$AA$20,$I$19:$I$20)+SUMPRODUCT($AA$21:$AA$23,$I$21:$I$23)+SUMPRODUCT($AA$24:$AA$28,$I$24:$I$28)+SUMPRODUCT($AA$29:$AA$33,$I$29:$I$33)+SUMPRODUCT($AA$34:$AA$36,$I$34:$I$36)+SUMPRODUCT($AA$37:$AA$37,$I$37:$I$37)+SUMPRODUCT($AA$38:$AA$40,$I$38:$I$40)+SUMPRODUCT($AA$41:$AA$41,$I$41:$I$41)+SUMPRODUCT($AA$42:$AA$44,$I$42:$I$44)+SUMPRODUCT($AA$45:$AA$45,$I$45:$I$45)+SUMPRODUCT($AA$46:$AA$48,$I$46:$I$48)+SUMPRODUCT($AA$49:$AA$51,$I$49:$I$51)+SUMPRODUCT($AA$52:$AA$52,$I$52:$I$52)+SUMPRODUCT($AA$53:$AA$53,$I$53:$I$53)+SUMPRODUCT($AA$54:$AA$55,$I$54:$I$55)),0,+SUMPRODUCT($AA$5:$AA$8,$I$5:$I$8)+SUMPRODUCT($AA$9:$AA$12,$I$9:$I$12)+SUMPRODUCT($AA$13:$AA$13,$I$13:$I$13)+SUMPRODUCT($AA$14:$AA$18,$I$14:$I$18)+SUMPRODUCT($AA$19:$AA$20,$I$19:$I$20)+SUMPRODUCT($AA$21:$AA$23,$I$21:$I$23)+SUMPRODUCT($AA$24:$AA$28,$I$24:$I$28)+SUMPRODUCT($AA$29:$AA$33,$I$29:$I$33)+SUMPRODUCT($AA$34:$AA$36,$I$34:$I$36)+SUMPRODUCT($AA$37:$AA$37,$I$37:$I$37)+SUMPRODUCT($AA$38:$AA$40,$I$38:$I$40)+SUMPRODUCT($AA$41:$AA$41,$I$41:$I$41)+SUMPRODUCT($AA$42:$AA$44,$I$42:$I$44)+SUMPRODUCT($AA$45:$AA$45,$I$45:$I$45)+SUMPRODUCT($AA$46:$AA$48,$I$46:$I$48)+SUMPRODUCT($AA$49:$AA$51,$I$49:$I$51)+SUMPRODUCT($AA$52:$AA$52,$I$52:$I$52)+SUMPRODUCT($AA$53:$AA$53,$I$53:$I$53)+SUMPRODUCT($AA$54:$AA$55,$I$54:$I$55))</f>
        <v>0</v>
      </c>
      <c r="AB59" s="13"/>
      <c r="AC59" s="13">
        <f>IF(ISERROR(+SUMPRODUCT($AC$5:$AC$8,$I$5:$I$8)+SUMPRODUCT($AC$9:$AC$12,$I$9:$I$12)+SUMPRODUCT($AC$13:$AC$13,$I$13:$I$13)+SUMPRODUCT($AC$14:$AC$18,$I$14:$I$18)+SUMPRODUCT($AC$19:$AC$20,$I$19:$I$20)+SUMPRODUCT($AC$21:$AC$23,$I$21:$I$23)+SUMPRODUCT($AC$24:$AC$28,$I$24:$I$28)+SUMPRODUCT($AC$29:$AC$33,$I$29:$I$33)+SUMPRODUCT($AC$34:$AC$36,$I$34:$I$36)+SUMPRODUCT($AC$37:$AC$37,$I$37:$I$37)+SUMPRODUCT($AC$38:$AC$40,$I$38:$I$40)+SUMPRODUCT($AC$41:$AC$41,$I$41:$I$41)+SUMPRODUCT($AC$42:$AC$44,$I$42:$I$44)+SUMPRODUCT($AC$45:$AC$45,$I$45:$I$45)+SUMPRODUCT($AC$46:$AC$48,$I$46:$I$48)+SUMPRODUCT($AC$49:$AC$51,$I$49:$I$51)+SUMPRODUCT($AC$52:$AC$52,$I$52:$I$52)+SUMPRODUCT($AC$53:$AC$53,$I$53:$I$53)+SUMPRODUCT($AC$54:$AC$55,$I$54:$I$55)),0,+SUMPRODUCT($AC$5:$AC$8,$I$5:$I$8)+SUMPRODUCT($AC$9:$AC$12,$I$9:$I$12)+SUMPRODUCT($AC$13:$AC$13,$I$13:$I$13)+SUMPRODUCT($AC$14:$AC$18,$I$14:$I$18)+SUMPRODUCT($AC$19:$AC$20,$I$19:$I$20)+SUMPRODUCT($AC$21:$AC$23,$I$21:$I$23)+SUMPRODUCT($AC$24:$AC$28,$I$24:$I$28)+SUMPRODUCT($AC$29:$AC$33,$I$29:$I$33)+SUMPRODUCT($AC$34:$AC$36,$I$34:$I$36)+SUMPRODUCT($AC$37:$AC$37,$I$37:$I$37)+SUMPRODUCT($AC$38:$AC$40,$I$38:$I$40)+SUMPRODUCT($AC$41:$AC$41,$I$41:$I$41)+SUMPRODUCT($AC$42:$AC$44,$I$42:$I$44)+SUMPRODUCT($AC$45:$AC$45,$I$45:$I$45)+SUMPRODUCT($AC$46:$AC$48,$I$46:$I$48)+SUMPRODUCT($AC$49:$AC$51,$I$49:$I$51)+SUMPRODUCT($AC$52:$AC$52,$I$52:$I$52)+SUMPRODUCT($AC$53:$AC$53,$I$53:$I$53)+SUMPRODUCT($AC$54:$AC$55,$I$54:$I$55))</f>
        <v>7622109.4851719635</v>
      </c>
      <c r="AD59" s="13"/>
      <c r="AE59" s="13">
        <f>IF(ISERROR(+SUMPRODUCT($AE$5:$AE$8,$I$5:$I$8)+SUMPRODUCT($AE$9:$AE$12,$I$9:$I$12)+SUMPRODUCT($AE$13:$AE$13,$I$13:$I$13)+SUMPRODUCT($AE$14:$AE$18,$I$14:$I$18)+SUMPRODUCT($AE$19:$AE$20,$I$19:$I$20)+SUMPRODUCT($AE$21:$AE$23,$I$21:$I$23)+SUMPRODUCT($AE$24:$AE$28,$I$24:$I$28)+SUMPRODUCT($AE$29:$AE$33,$I$29:$I$33)+SUMPRODUCT($AE$34:$AE$36,$I$34:$I$36)+SUMPRODUCT($AE$37:$AE$37,$I$37:$I$37)+SUMPRODUCT($AE$38:$AE$40,$I$38:$I$40)+SUMPRODUCT($AE$41:$AE$41,$I$41:$I$41)+SUMPRODUCT($AE$42:$AE$44,$I$42:$I$44)+SUMPRODUCT($AE$45:$AE$45,$I$45:$I$45)+SUMPRODUCT($AE$46:$AE$48,$I$46:$I$48)+SUMPRODUCT($AE$49:$AE$51,$I$49:$I$51)+SUMPRODUCT($AE$52:$AE$52,$I$52:$I$52)+SUMPRODUCT($AE$53:$AE$53,$I$53:$I$53)+SUMPRODUCT($AE$54:$AE$55,$I$54:$I$55)),0,+SUMPRODUCT($AE$5:$AE$8,$I$5:$I$8)+SUMPRODUCT($AE$9:$AE$12,$I$9:$I$12)+SUMPRODUCT($AE$13:$AE$13,$I$13:$I$13)+SUMPRODUCT($AE$14:$AE$18,$I$14:$I$18)+SUMPRODUCT($AE$19:$AE$20,$I$19:$I$20)+SUMPRODUCT($AE$21:$AE$23,$I$21:$I$23)+SUMPRODUCT($AE$24:$AE$28,$I$24:$I$28)+SUMPRODUCT($AE$29:$AE$33,$I$29:$I$33)+SUMPRODUCT($AE$34:$AE$36,$I$34:$I$36)+SUMPRODUCT($AE$37:$AE$37,$I$37:$I$37)+SUMPRODUCT($AE$38:$AE$40,$I$38:$I$40)+SUMPRODUCT($AE$41:$AE$41,$I$41:$I$41)+SUMPRODUCT($AE$42:$AE$44,$I$42:$I$44)+SUMPRODUCT($AE$45:$AE$45,$I$45:$I$45)+SUMPRODUCT($AE$46:$AE$48,$I$46:$I$48)+SUMPRODUCT($AE$49:$AE$51,$I$49:$I$51)+SUMPRODUCT($AE$52:$AE$52,$I$52:$I$52)+SUMPRODUCT($AE$53:$AE$53,$I$53:$I$53)+SUMPRODUCT($AE$54:$AE$55,$I$54:$I$55))</f>
        <v>0</v>
      </c>
      <c r="AF59" s="13">
        <f>IF(ISERROR(+SUMPRODUCT($AF$5:$AF$8,$I$5:$I$8)+SUMPRODUCT($AF$9:$AF$12,$I$9:$I$12)+SUMPRODUCT($AF$13:$AF$13,$I$13:$I$13)+SUMPRODUCT($AF$14:$AF$18,$I$14:$I$18)+SUMPRODUCT($AF$19:$AF$20,$I$19:$I$20)+SUMPRODUCT($AF$21:$AF$23,$I$21:$I$23)+SUMPRODUCT($AF$24:$AF$28,$I$24:$I$28)+SUMPRODUCT($AF$29:$AF$33,$I$29:$I$33)+SUMPRODUCT($AF$34:$AF$36,$I$34:$I$36)+SUMPRODUCT($AF$37:$AF$37,$I$37:$I$37)+SUMPRODUCT($AF$38:$AF$40,$I$38:$I$40)+SUMPRODUCT($AF$41:$AF$41,$I$41:$I$41)+SUMPRODUCT($AF$42:$AF$44,$I$42:$I$44)+SUMPRODUCT($AF$45:$AF$45,$I$45:$I$45)+SUMPRODUCT($AF$46:$AF$48,$I$46:$I$48)+SUMPRODUCT($AF$49:$AF$51,$I$49:$I$51)+SUMPRODUCT($AF$52:$AF$52,$I$52:$I$52)+SUMPRODUCT($AF$53:$AF$53,$I$53:$I$53)+SUMPRODUCT($AF$54:$AF$55,$I$54:$I$55)),0,+SUMPRODUCT($AF$5:$AF$8,$I$5:$I$8)+SUMPRODUCT($AF$9:$AF$12,$I$9:$I$12)+SUMPRODUCT($AF$13:$AF$13,$I$13:$I$13)+SUMPRODUCT($AF$14:$AF$18,$I$14:$I$18)+SUMPRODUCT($AF$19:$AF$20,$I$19:$I$20)+SUMPRODUCT($AF$21:$AF$23,$I$21:$I$23)+SUMPRODUCT($AF$24:$AF$28,$I$24:$I$28)+SUMPRODUCT($AF$29:$AF$33,$I$29:$I$33)+SUMPRODUCT($AF$34:$AF$36,$I$34:$I$36)+SUMPRODUCT($AF$37:$AF$37,$I$37:$I$37)+SUMPRODUCT($AF$38:$AF$40,$I$38:$I$40)+SUMPRODUCT($AF$41:$AF$41,$I$41:$I$41)+SUMPRODUCT($AF$42:$AF$44,$I$42:$I$44)+SUMPRODUCT($AF$45:$AF$45,$I$45:$I$45)+SUMPRODUCT($AF$46:$AF$48,$I$46:$I$48)+SUMPRODUCT($AF$49:$AF$51,$I$49:$I$51)+SUMPRODUCT($AF$52:$AF$52,$I$52:$I$52)+SUMPRODUCT($AF$53:$AF$53,$I$53:$I$53)+SUMPRODUCT($AF$54:$AF$55,$I$54:$I$55))</f>
        <v>0</v>
      </c>
      <c r="AG59" s="13"/>
      <c r="AH59" s="13">
        <f>IF(ISERROR(+SUMPRODUCT($AH$5:$AH$8,$I$5:$I$8)+SUMPRODUCT($AH$9:$AH$12,$I$9:$I$12)+SUMPRODUCT($AH$13:$AH$13,$I$13:$I$13)+SUMPRODUCT($AH$14:$AH$18,$I$14:$I$18)+SUMPRODUCT($AH$19:$AH$20,$I$19:$I$20)+SUMPRODUCT($AH$21:$AH$23,$I$21:$I$23)+SUMPRODUCT($AH$24:$AH$28,$I$24:$I$28)+SUMPRODUCT($AH$29:$AH$33,$I$29:$I$33)+SUMPRODUCT($AH$34:$AH$36,$I$34:$I$36)+SUMPRODUCT($AH$37:$AH$37,$I$37:$I$37)+SUMPRODUCT($AH$38:$AH$40,$I$38:$I$40)+SUMPRODUCT($AH$41:$AH$41,$I$41:$I$41)+SUMPRODUCT($AH$42:$AH$44,$I$42:$I$44)+SUMPRODUCT($AH$45:$AH$45,$I$45:$I$45)+SUMPRODUCT($AH$46:$AH$48,$I$46:$I$48)+SUMPRODUCT($AH$49:$AH$51,$I$49:$I$51)+SUMPRODUCT($AH$52:$AH$52,$I$52:$I$52)+SUMPRODUCT($AH$53:$AH$53,$I$53:$I$53)+SUMPRODUCT($AH$54:$AH$55,$I$54:$I$55)),0,+SUMPRODUCT($AH$5:$AH$8,$I$5:$I$8)+SUMPRODUCT($AH$9:$AH$12,$I$9:$I$12)+SUMPRODUCT($AH$13:$AH$13,$I$13:$I$13)+SUMPRODUCT($AH$14:$AH$18,$I$14:$I$18)+SUMPRODUCT($AH$19:$AH$20,$I$19:$I$20)+SUMPRODUCT($AH$21:$AH$23,$I$21:$I$23)+SUMPRODUCT($AH$24:$AH$28,$I$24:$I$28)+SUMPRODUCT($AH$29:$AH$33,$I$29:$I$33)+SUMPRODUCT($AH$34:$AH$36,$I$34:$I$36)+SUMPRODUCT($AH$37:$AH$37,$I$37:$I$37)+SUMPRODUCT($AH$38:$AH$40,$I$38:$I$40)+SUMPRODUCT($AH$41:$AH$41,$I$41:$I$41)+SUMPRODUCT($AH$42:$AH$44,$I$42:$I$44)+SUMPRODUCT($AH$45:$AH$45,$I$45:$I$45)+SUMPRODUCT($AH$46:$AH$48,$I$46:$I$48)+SUMPRODUCT($AH$49:$AH$51,$I$49:$I$51)+SUMPRODUCT($AH$52:$AH$52,$I$52:$I$52)+SUMPRODUCT($AH$53:$AH$53,$I$53:$I$53)+SUMPRODUCT($AH$54:$AH$55,$I$54:$I$55))</f>
        <v>1239288.836060192</v>
      </c>
      <c r="AI59" s="13">
        <f>IF(ISERROR(+SUMPRODUCT($AI$5:$AI$8,$I$5:$I$8)+SUMPRODUCT($AI$9:$AI$12,$I$9:$I$12)+SUMPRODUCT($AI$13:$AI$13,$I$13:$I$13)+SUMPRODUCT($AI$14:$AI$18,$I$14:$I$18)+SUMPRODUCT($AI$19:$AI$20,$I$19:$I$20)+SUMPRODUCT($AI$21:$AI$23,$I$21:$I$23)+SUMPRODUCT($AI$24:$AI$28,$I$24:$I$28)+SUMPRODUCT($AI$29:$AI$33,$I$29:$I$33)+SUMPRODUCT($AI$34:$AI$36,$I$34:$I$36)+SUMPRODUCT($AI$37:$AI$37,$I$37:$I$37)+SUMPRODUCT($AI$38:$AI$40,$I$38:$I$40)+SUMPRODUCT($AI$41:$AI$41,$I$41:$I$41)+SUMPRODUCT($AI$42:$AI$44,$I$42:$I$44)+SUMPRODUCT($AI$45:$AI$45,$I$45:$I$45)+SUMPRODUCT($AI$46:$AI$48,$I$46:$I$48)+SUMPRODUCT($AI$49:$AI$51,$I$49:$I$51)+SUMPRODUCT($AI$52:$AI$52,$I$52:$I$52)+SUMPRODUCT($AI$53:$AI$53,$I$53:$I$53)+SUMPRODUCT($AI$54:$AI$55,$I$54:$I$55)),0,+SUMPRODUCT($AI$5:$AI$8,$I$5:$I$8)+SUMPRODUCT($AI$9:$AI$12,$I$9:$I$12)+SUMPRODUCT($AI$13:$AI$13,$I$13:$I$13)+SUMPRODUCT($AI$14:$AI$18,$I$14:$I$18)+SUMPRODUCT($AI$19:$AI$20,$I$19:$I$20)+SUMPRODUCT($AI$21:$AI$23,$I$21:$I$23)+SUMPRODUCT($AI$24:$AI$28,$I$24:$I$28)+SUMPRODUCT($AI$29:$AI$33,$I$29:$I$33)+SUMPRODUCT($AI$34:$AI$36,$I$34:$I$36)+SUMPRODUCT($AI$37:$AI$37,$I$37:$I$37)+SUMPRODUCT($AI$38:$AI$40,$I$38:$I$40)+SUMPRODUCT($AI$41:$AI$41,$I$41:$I$41)+SUMPRODUCT($AI$42:$AI$44,$I$42:$I$44)+SUMPRODUCT($AI$45:$AI$45,$I$45:$I$45)+SUMPRODUCT($AI$46:$AI$48,$I$46:$I$48)+SUMPRODUCT($AI$49:$AI$51,$I$49:$I$51)+SUMPRODUCT($AI$52:$AI$52,$I$52:$I$52)+SUMPRODUCT($AI$53:$AI$53,$I$53:$I$53)+SUMPRODUCT($AI$54:$AI$55,$I$54:$I$55))</f>
        <v>1239212.9360601921</v>
      </c>
      <c r="AJ59" s="13">
        <f ca="1">IF(ISERROR(+SUMPRODUCT($AJ$5:$AJ$8,$I$5:$I$8)+SUMPRODUCT($AJ$9:$AJ$12,$I$9:$I$12)+SUMPRODUCT($AJ$13:$AJ$13,$I$13:$I$13)+SUMPRODUCT($AJ$14:$AJ$18,$I$14:$I$18)+SUMPRODUCT($AJ$19:$AJ$20,$I$19:$I$20)+SUMPRODUCT($AJ$21:$AJ$23,$I$21:$I$23)+SUMPRODUCT($AJ$24:$AJ$28,$I$24:$I$28)+SUMPRODUCT($AJ$29:$AJ$33,$I$29:$I$33)+SUMPRODUCT($AJ$34:$AJ$36,$I$34:$I$36)+SUMPRODUCT($AJ$37:$AJ$37,$I$37:$I$37)+SUMPRODUCT($AJ$38:$AJ$40,$I$38:$I$40)+SUMPRODUCT($AJ$41:$AJ$41,$I$41:$I$41)+SUMPRODUCT($AJ$42:$AJ$44,$I$42:$I$44)+SUMPRODUCT($AJ$45:$AJ$45,$I$45:$I$45)+SUMPRODUCT($AJ$46:$AJ$48,$I$46:$I$48)+SUMPRODUCT($AJ$49:$AJ$51,$I$49:$I$51)+SUMPRODUCT($AJ$52:$AJ$52,$I$52:$I$52)+SUMPRODUCT($AJ$53:$AJ$53,$I$53:$I$53)+SUMPRODUCT($AJ$54:$AJ$55,$I$54:$I$55)),0,+SUMPRODUCT($AJ$5:$AJ$8,$I$5:$I$8)+SUMPRODUCT($AJ$9:$AJ$12,$I$9:$I$12)+SUMPRODUCT($AJ$13:$AJ$13,$I$13:$I$13)+SUMPRODUCT($AJ$14:$AJ$18,$I$14:$I$18)+SUMPRODUCT($AJ$19:$AJ$20,$I$19:$I$20)+SUMPRODUCT($AJ$21:$AJ$23,$I$21:$I$23)+SUMPRODUCT($AJ$24:$AJ$28,$I$24:$I$28)+SUMPRODUCT($AJ$29:$AJ$33,$I$29:$I$33)+SUMPRODUCT($AJ$34:$AJ$36,$I$34:$I$36)+SUMPRODUCT($AJ$37:$AJ$37,$I$37:$I$37)+SUMPRODUCT($AJ$38:$AJ$40,$I$38:$I$40)+SUMPRODUCT($AJ$41:$AJ$41,$I$41:$I$41)+SUMPRODUCT($AJ$42:$AJ$44,$I$42:$I$44)+SUMPRODUCT($AJ$45:$AJ$45,$I$45:$I$45)+SUMPRODUCT($AJ$46:$AJ$48,$I$46:$I$48)+SUMPRODUCT($AJ$49:$AJ$51,$I$49:$I$51)+SUMPRODUCT($AJ$52:$AJ$52,$I$52:$I$52)+SUMPRODUCT($AJ$53:$AJ$53,$I$53:$I$53)+SUMPRODUCT($AJ$54:$AJ$55,$I$54:$I$55))</f>
        <v>95114.704342554993</v>
      </c>
      <c r="AK59" s="13">
        <f ca="1">IF(ISERROR(+SUMPRODUCT($AK$5:$AK$8,$I$5:$I$8)+SUMPRODUCT($AK$9:$AK$12,$I$9:$I$12)+SUMPRODUCT($AK$13:$AK$13,$I$13:$I$13)+SUMPRODUCT($AK$14:$AK$18,$I$14:$I$18)+SUMPRODUCT($AK$19:$AK$20,$I$19:$I$20)+SUMPRODUCT($AK$21:$AK$23,$I$21:$I$23)+SUMPRODUCT($AK$24:$AK$28,$I$24:$I$28)+SUMPRODUCT($AK$29:$AK$33,$I$29:$I$33)+SUMPRODUCT($AK$34:$AK$36,$I$34:$I$36)+SUMPRODUCT($AK$37:$AK$37,$I$37:$I$37)+SUMPRODUCT($AK$38:$AK$40,$I$38:$I$40)+SUMPRODUCT($AK$41:$AK$41,$I$41:$I$41)+SUMPRODUCT($AK$42:$AK$44,$I$42:$I$44)+SUMPRODUCT($AK$45:$AK$45,$I$45:$I$45)+SUMPRODUCT($AK$46:$AK$48,$I$46:$I$48)+SUMPRODUCT($AK$49:$AK$51,$I$49:$I$51)+SUMPRODUCT($AK$52:$AK$52,$I$52:$I$52)+SUMPRODUCT($AK$53:$AK$53,$I$53:$I$53)+SUMPRODUCT($AK$54:$AK$55,$I$54:$I$55)),0,+SUMPRODUCT($AK$5:$AK$8,$I$5:$I$8)+SUMPRODUCT($AK$9:$AK$12,$I$9:$I$12)+SUMPRODUCT($AK$13:$AK$13,$I$13:$I$13)+SUMPRODUCT($AK$14:$AK$18,$I$14:$I$18)+SUMPRODUCT($AK$19:$AK$20,$I$19:$I$20)+SUMPRODUCT($AK$21:$AK$23,$I$21:$I$23)+SUMPRODUCT($AK$24:$AK$28,$I$24:$I$28)+SUMPRODUCT($AK$29:$AK$33,$I$29:$I$33)+SUMPRODUCT($AK$34:$AK$36,$I$34:$I$36)+SUMPRODUCT($AK$37:$AK$37,$I$37:$I$37)+SUMPRODUCT($AK$38:$AK$40,$I$38:$I$40)+SUMPRODUCT($AK$41:$AK$41,$I$41:$I$41)+SUMPRODUCT($AK$42:$AK$44,$I$42:$I$44)+SUMPRODUCT($AK$45:$AK$45,$I$45:$I$45)+SUMPRODUCT($AK$46:$AK$48,$I$46:$I$48)+SUMPRODUCT($AK$49:$AK$51,$I$49:$I$51)+SUMPRODUCT($AK$52:$AK$52,$I$52:$I$52)+SUMPRODUCT($AK$53:$AK$53,$I$53:$I$53)+SUMPRODUCT($AK$54:$AK$55,$I$54:$I$55))</f>
        <v>95114.704342554993</v>
      </c>
      <c r="AL59" s="13"/>
      <c r="AM59" s="13"/>
    </row>
    <row r="60" spans="1:42" ht="11.25" customHeight="1" x14ac:dyDescent="0.3">
      <c r="K60" s="16" t="s">
        <v>529</v>
      </c>
      <c r="L60" s="13">
        <f>CUSTOS!$D$2</f>
        <v>223863.69726668682</v>
      </c>
      <c r="M60" s="13">
        <f>CUSTOS!$D$3</f>
        <v>37401.046408800925</v>
      </c>
      <c r="N60" s="13">
        <f>CUSTOS!$D$4</f>
        <v>215481.70395079016</v>
      </c>
      <c r="O60" s="13">
        <f>CUSTOS!$D$5</f>
        <v>0</v>
      </c>
      <c r="P60" s="13">
        <f>CUSTOS!$D$6</f>
        <v>0</v>
      </c>
      <c r="Q60" s="13">
        <f>CUSTOS!$D$7</f>
        <v>9226276.0333921351</v>
      </c>
      <c r="R60" s="13">
        <f>CUSTOS!$D$8</f>
        <v>1583418.4495755318</v>
      </c>
      <c r="S60" s="13">
        <f>CUSTOS!$D$9</f>
        <v>0</v>
      </c>
      <c r="T60" s="13">
        <f>CUSTOS!$D$10</f>
        <v>11286440.930593945</v>
      </c>
      <c r="U60" s="13">
        <f>CUSTOS!$D$11</f>
        <v>0</v>
      </c>
      <c r="V60" s="13">
        <f>IF(SUM(V57:V59)&lt;&gt;0,CUSTOS!$D$12+CUSTOS!$D$16+CUSTOS!$D$17-'TR TUSD'!$Z$58-'TR TUSD'!$AA$58,0)</f>
        <v>0</v>
      </c>
      <c r="W60" s="13">
        <f>CUSTOS!$D$13</f>
        <v>0</v>
      </c>
      <c r="X60" s="13">
        <f>CUSTOS!$D$14</f>
        <v>0</v>
      </c>
      <c r="Y60" s="13">
        <f>IF(SUM(V57:V59)=0,CUSTOS!$D$15+CUSTOS!$D$16+CUSTOS!$D$17-'TR TUSD'!$Z$58-'TR TUSD'!$AA$58,CUSTOS!$D$15)</f>
        <v>10891768.12284</v>
      </c>
      <c r="Z60" s="13">
        <f>Z58</f>
        <v>0</v>
      </c>
      <c r="AA60" s="13">
        <f>AA58</f>
        <v>0</v>
      </c>
      <c r="AB60" s="13">
        <f>CUSTOS!$D$18</f>
        <v>10891768.12284</v>
      </c>
      <c r="AC60" s="13">
        <f>CUSTOS!$D$19</f>
        <v>8469705.5289164912</v>
      </c>
      <c r="AD60" s="13">
        <f>CUSTOS!$D$20</f>
        <v>8469705.5289164912</v>
      </c>
      <c r="AE60" s="13">
        <f>CUSTOS!$D$21</f>
        <v>0</v>
      </c>
      <c r="AF60" s="13">
        <f>CUSTOS!$D$22</f>
        <v>0</v>
      </c>
      <c r="AG60" s="13">
        <f>CUSTOS!$D$23</f>
        <v>0</v>
      </c>
      <c r="AH60" s="13">
        <f>CUSTOS!$D$24</f>
        <v>1159041.4804804064</v>
      </c>
      <c r="AI60" s="13">
        <f>CUSTOS!$D$25</f>
        <v>0</v>
      </c>
      <c r="AJ60" s="13">
        <f>CUSTOS!$D$26</f>
        <v>96515.027449698071</v>
      </c>
      <c r="AK60" s="13">
        <f>CUSTOS!$D$27</f>
        <v>13526.251158373994</v>
      </c>
      <c r="AL60" s="13">
        <f>CUSTOS!$D$28</f>
        <v>1269082.7590884785</v>
      </c>
      <c r="AM60" s="13">
        <f>CUSTOS!$D$29</f>
        <v>31916997.341438919</v>
      </c>
    </row>
    <row r="61" spans="1:42" ht="11.25" customHeight="1" x14ac:dyDescent="0.3">
      <c r="K61" s="16" t="s">
        <v>530</v>
      </c>
      <c r="L61" s="13">
        <f>CUSTOS!$E$2</f>
        <v>10378.311592162874</v>
      </c>
      <c r="M61" s="13">
        <f>CUSTOS!$E$3</f>
        <v>1324.1358760511275</v>
      </c>
      <c r="N61" s="13">
        <f>CUSTOS!$E$4</f>
        <v>9.2580247132896643E-2</v>
      </c>
      <c r="O61" s="13">
        <f>CUSTOS!$E$5</f>
        <v>0</v>
      </c>
      <c r="P61" s="13">
        <f>CUSTOS!$E$6</f>
        <v>0</v>
      </c>
      <c r="Q61" s="13">
        <f>CUSTOS!$E$7</f>
        <v>357707.65707963798</v>
      </c>
      <c r="R61" s="13">
        <f>CUSTOS!$E$8</f>
        <v>48154.83858257212</v>
      </c>
      <c r="S61" s="13">
        <f>CUSTOS!$E$9</f>
        <v>0</v>
      </c>
      <c r="T61" s="13">
        <f>CUSTOS!$E$10</f>
        <v>417565.03571067122</v>
      </c>
      <c r="U61" s="13">
        <f>CUSTOS!$E$11</f>
        <v>0</v>
      </c>
      <c r="V61" s="13">
        <f>CUSTOS!$E$12</f>
        <v>0</v>
      </c>
      <c r="W61" s="13">
        <f>CUSTOS!$E$13</f>
        <v>0</v>
      </c>
      <c r="X61" s="13">
        <f>CUSTOS!$E$14</f>
        <v>0</v>
      </c>
      <c r="Y61" s="13">
        <f>CUSTOS!$E$15</f>
        <v>819327.43694699625</v>
      </c>
      <c r="Z61" s="13">
        <f>CUSTOS!$E$16</f>
        <v>0</v>
      </c>
      <c r="AA61" s="13">
        <f>CUSTOS!$E$17</f>
        <v>0</v>
      </c>
      <c r="AB61" s="13">
        <f>CUSTOS!$E$18</f>
        <v>819327.43694699625</v>
      </c>
      <c r="AC61" s="13">
        <f>CUSTOS!$E$19</f>
        <v>342.52470297332911</v>
      </c>
      <c r="AD61" s="13">
        <f>CUSTOS!$E$20</f>
        <v>342.52470297332911</v>
      </c>
      <c r="AE61" s="13">
        <f>CUSTOS!$E$21</f>
        <v>-1253845.4490363225</v>
      </c>
      <c r="AF61" s="13">
        <f>CUSTOS!$E$22</f>
        <v>0</v>
      </c>
      <c r="AG61" s="13">
        <f>CUSTOS!$E$23</f>
        <v>-1253845.4490363225</v>
      </c>
      <c r="AH61" s="13">
        <f>CUSTOS!$E$24</f>
        <v>5035.6402843084979</v>
      </c>
      <c r="AI61" s="13">
        <f>CUSTOS!$E$25</f>
        <v>0</v>
      </c>
      <c r="AJ61" s="13">
        <f>CUSTOS!$E$26</f>
        <v>419.32490635744438</v>
      </c>
      <c r="AK61" s="13">
        <f>CUSTOS!$E$27</f>
        <v>1029.5345376711853</v>
      </c>
      <c r="AL61" s="13">
        <f>CUSTOS!$E$28</f>
        <v>6484.4997283371267</v>
      </c>
      <c r="AM61" s="13">
        <f>CUSTOS!$E$29</f>
        <v>-10125.951947344503</v>
      </c>
    </row>
    <row r="62" spans="1:42" ht="11.25" customHeight="1" x14ac:dyDescent="0.3">
      <c r="K62" s="16" t="s">
        <v>531</v>
      </c>
      <c r="L62" s="13">
        <f>CUSTOS!$F$2</f>
        <v>19749.453488121715</v>
      </c>
      <c r="M62" s="13">
        <f>CUSTOS!$F$3</f>
        <v>0</v>
      </c>
      <c r="N62" s="13">
        <f>CUSTOS!$F$4</f>
        <v>0</v>
      </c>
      <c r="O62" s="13">
        <f>CUSTOS!$F$5</f>
        <v>0</v>
      </c>
      <c r="P62" s="13">
        <f>CUSTOS!$F$6</f>
        <v>0</v>
      </c>
      <c r="Q62" s="13">
        <f>CUSTOS!$F$7</f>
        <v>2382613.2393999998</v>
      </c>
      <c r="R62" s="13">
        <f>CUSTOS!$F$8</f>
        <v>485196.48460000003</v>
      </c>
      <c r="S62" s="13">
        <f>CUSTOS!$F$9</f>
        <v>0</v>
      </c>
      <c r="T62" s="13">
        <f>CUSTOS!$F$10</f>
        <v>2887559.1774881217</v>
      </c>
      <c r="U62" s="13">
        <f>CUSTOS!$F$11</f>
        <v>0</v>
      </c>
      <c r="V62" s="13">
        <f>CUSTOS!$F$12</f>
        <v>0</v>
      </c>
      <c r="W62" s="13">
        <f>CUSTOS!$F$13</f>
        <v>0</v>
      </c>
      <c r="X62" s="13">
        <f>CUSTOS!$F$14</f>
        <v>0</v>
      </c>
      <c r="Y62" s="13">
        <f>CUSTOS!$F$15</f>
        <v>0</v>
      </c>
      <c r="Z62" s="13">
        <f>CUSTOS!$F$16</f>
        <v>0</v>
      </c>
      <c r="AA62" s="13">
        <f>CUSTOS!$F$17</f>
        <v>0</v>
      </c>
      <c r="AB62" s="13">
        <f>CUSTOS!$F$18</f>
        <v>0</v>
      </c>
      <c r="AC62" s="13">
        <f>CUSTOS!$F$19</f>
        <v>0</v>
      </c>
      <c r="AD62" s="13">
        <f>CUSTOS!$F$20</f>
        <v>0</v>
      </c>
      <c r="AE62" s="13">
        <f>CUSTOS!$F$21</f>
        <v>0</v>
      </c>
      <c r="AF62" s="13">
        <f>CUSTOS!$F$22</f>
        <v>0</v>
      </c>
      <c r="AG62" s="13">
        <f>CUSTOS!$F$23</f>
        <v>0</v>
      </c>
      <c r="AH62" s="13">
        <f>CUSTOS!$F$24</f>
        <v>-4873.4265082228922</v>
      </c>
      <c r="AI62" s="13">
        <f>CUSTOS!$F$25</f>
        <v>0</v>
      </c>
      <c r="AJ62" s="13">
        <f>CUSTOS!$F$26</f>
        <v>-405.8171352247561</v>
      </c>
      <c r="AK62" s="13">
        <f>CUSTOS!$F$27</f>
        <v>0</v>
      </c>
      <c r="AL62" s="13">
        <f>CUSTOS!$F$28</f>
        <v>-5279.2436434476485</v>
      </c>
      <c r="AM62" s="13">
        <f>CUSTOS!$F$29</f>
        <v>2882279.9338446739</v>
      </c>
    </row>
    <row r="63" spans="1:42" ht="11.25" customHeight="1" x14ac:dyDescent="0.3">
      <c r="K63" s="16" t="s">
        <v>594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/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/>
      <c r="AC63" s="13">
        <v>0</v>
      </c>
      <c r="AD63" s="13"/>
      <c r="AE63" s="13">
        <v>0</v>
      </c>
      <c r="AF63" s="13">
        <v>0</v>
      </c>
      <c r="AG63" s="13"/>
      <c r="AH63" s="13">
        <v>0</v>
      </c>
      <c r="AI63" s="13">
        <v>0</v>
      </c>
      <c r="AJ63" s="13">
        <v>0</v>
      </c>
      <c r="AK63" s="13">
        <v>0</v>
      </c>
      <c r="AL63" s="13"/>
      <c r="AM63" s="13"/>
    </row>
    <row r="64" spans="1:42" ht="11.25" customHeight="1" x14ac:dyDescent="0.3">
      <c r="K64" s="16" t="s">
        <v>595</v>
      </c>
      <c r="L64" s="13">
        <f t="shared" ref="L64:S64" si="2">IF((L59+L57)&lt;&gt;0,(L60-L58-L63)/(L59+L57),0)</f>
        <v>2.4983655961837758</v>
      </c>
      <c r="M64" s="13">
        <f t="shared" si="2"/>
        <v>0.99902337811066333</v>
      </c>
      <c r="N64" s="13">
        <f t="shared" ca="1" si="2"/>
        <v>1.9947048606634217</v>
      </c>
      <c r="O64" s="13">
        <f t="shared" si="2"/>
        <v>0</v>
      </c>
      <c r="P64" s="13">
        <f t="shared" si="2"/>
        <v>0</v>
      </c>
      <c r="Q64" s="13">
        <f t="shared" si="2"/>
        <v>102.96716664722034</v>
      </c>
      <c r="R64" s="13">
        <f t="shared" si="2"/>
        <v>15.170627343714017</v>
      </c>
      <c r="S64" s="13">
        <f t="shared" si="2"/>
        <v>0</v>
      </c>
      <c r="T64" s="13"/>
      <c r="U64" s="13">
        <f>IF(U59&lt;&gt;0,(U60-U58-U57-U63)/U59,0)</f>
        <v>0</v>
      </c>
      <c r="V64" s="13">
        <f>IF(V59&lt;&gt;0,(V60-V58-V57-V63)/V59,0)</f>
        <v>0</v>
      </c>
      <c r="W64" s="13">
        <f>IF(W59&lt;&gt;0,(W60-W58-W57-W63)/W59,0)</f>
        <v>0</v>
      </c>
      <c r="X64" s="13">
        <f>IF(X59&lt;&gt;0,(X60-X58-X57-X63)/X59,0)</f>
        <v>0</v>
      </c>
      <c r="Y64" s="13">
        <f>IF(Y59&lt;&gt;0,(Y60-Y58-Y57-Y63)/Y59,0)</f>
        <v>1.6231620319903932</v>
      </c>
      <c r="Z64" s="13"/>
      <c r="AA64" s="13"/>
      <c r="AB64" s="13"/>
      <c r="AC64" s="13">
        <f>IF(AC59&lt;&gt;0,(AC60-AC58-AC57-AC63)/AC59,0)</f>
        <v>1.1112022918843452</v>
      </c>
      <c r="AD64" s="13"/>
      <c r="AE64" s="13">
        <f>IF((AE59+AE57)&lt;&gt;0,(AE60-AE58-AE63)/(AE59+AE57),0)</f>
        <v>0</v>
      </c>
      <c r="AF64" s="13">
        <f>IF((AF59+AF57)&lt;&gt;0,(AF60-AF58-AF63)/(AF59+AF57),0)</f>
        <v>0</v>
      </c>
      <c r="AG64" s="13"/>
      <c r="AH64" s="13">
        <f>IF(AH59&lt;&gt;0,(AH60-AH58-AH57-AH63)/AH59,0)</f>
        <v>0.93524725371133099</v>
      </c>
      <c r="AI64" s="13">
        <f>IF(AI59&lt;&gt;0,(AI60-AI58-AI57-AI63)/AI59,0)</f>
        <v>0</v>
      </c>
      <c r="AJ64" s="13">
        <f ca="1">IF((AJ59+AJ57)&lt;&gt;0,(AJ60-AJ58-AJ63)/(AJ59+AJ57),0)</f>
        <v>1.0147224671182262</v>
      </c>
      <c r="AK64" s="13">
        <f ca="1">IF((AK59+AK57)&lt;&gt;0,(AK60-AK58-AK63)/(AK59+AK57),0)</f>
        <v>0.14220988491599879</v>
      </c>
      <c r="AL64" s="13"/>
      <c r="AM64" s="13"/>
    </row>
    <row r="66" spans="11:16" ht="11.25" customHeight="1" x14ac:dyDescent="0.3">
      <c r="K66" s="25" t="s">
        <v>599</v>
      </c>
      <c r="L66" s="25" t="s">
        <v>600</v>
      </c>
      <c r="M66" s="25" t="s">
        <v>601</v>
      </c>
      <c r="N66" s="25" t="s">
        <v>602</v>
      </c>
      <c r="O66" s="25" t="s">
        <v>603</v>
      </c>
      <c r="P66" s="25" t="s">
        <v>604</v>
      </c>
    </row>
    <row r="67" spans="11:16" ht="11.25" customHeight="1" x14ac:dyDescent="0.3">
      <c r="K67" s="24" t="s">
        <v>61</v>
      </c>
      <c r="L67" s="24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</f>
        <v>1352362.9497385123</v>
      </c>
      <c r="M67" s="24">
        <f>+'TUSD BE'!$I$7+'TUSD BE'!$I$8</f>
        <v>7641.8726999999999</v>
      </c>
      <c r="N67" s="24">
        <f ca="1">IF(AND($L$75&lt;&gt;0,M67&lt;&gt;0),(L67/$L$75*$AJ$60)/M67,0)</f>
        <v>0.54184001242227453</v>
      </c>
      <c r="O67" s="24"/>
      <c r="P67" s="24"/>
    </row>
    <row r="68" spans="11:16" ht="11.25" customHeight="1" x14ac:dyDescent="0.3">
      <c r="K68" s="24" t="s">
        <v>34</v>
      </c>
      <c r="L68" s="24">
        <f ca="1">+(+'TUSD BE'!$L$9+'TUSD BE'!$M$9+'TUSD BE'!$N$9+'TUSD BE'!$O$9+'TUSD BE'!$P$9+'TUSD BE'!$Q$9+'TUSD BE'!$R$9+'TUSD BE'!$S$9+'TUSD BE'!$U$9+'TUSD BE'!$V$9+'TUSD BE'!$W$9+'TUSD BE'!$X$9+'TUSD BE'!$Y$9+'TUSD BE'!$Z$9+'TUSD BE'!$AA$9+'TUSD BE'!$AC$9+'TUSD BE'!$AH$9+'TUSD BE'!$AI$9)*'TUSD BE'!$I$9+(+'TUSD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BE'!$I$14+(+'TUSD BE'!$L$15+'TUSD BE'!$M$15+'TUSD BE'!$N$15+'TUSD BE'!$O$15+'TUSD BE'!$P$15+'TUSD BE'!$Q$15+'TUSD BE'!$R$15+'TUSD BE'!$S$15+'TUSD BE'!$U$15+'TUSD BE'!$V$15+'TUSD BE'!$W$15+'TUSD BE'!$X$15+'TUSD BE'!$Y$15+'TUSD BE'!$Z$15+'TUSD BE'!$AA$15+'TUSD BE'!$AC$15+'TUSD BE'!$AH$15+'TUSD BE'!$AI$15)*'TUSD BE'!$I$15+(+'TUSD BE'!$L$16+'TUSD BE'!$M$16+'TUSD BE'!$N$16+'TUSD BE'!$O$16+'TUSD BE'!$P$16+'TUSD BE'!$Q$16+'TUSD BE'!$R$16+'TUSD BE'!$S$16+'TUSD BE'!$U$16+'TUSD BE'!$V$16+'TUSD BE'!$W$16+'TUSD BE'!$X$16+'TUSD BE'!$Y$16+'TUSD BE'!$Z$16+'TUSD BE'!$AA$16+'TUSD BE'!$AC$16+'TUSD BE'!$AH$16+'TUSD BE'!$AI$16)*'TUSD BE'!$I$16+(+'TUSD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</f>
        <v>19915748.640113555</v>
      </c>
      <c r="M68" s="24">
        <f>+'TUSD BE'!$I$11+'TUSD BE'!$I$12+'TUSD BE'!$I$15+'TUSD BE'!$I$16+'TUSD BE'!$I$17+'TUSD BE'!$I$18</f>
        <v>74162.435320000004</v>
      </c>
      <c r="N68" s="24">
        <f ca="1">IF(AND($L$75&lt;&gt;0,M68&lt;&gt;0),(L68/$L$75*$AJ$60)/M68,0)</f>
        <v>0.82222421169811422</v>
      </c>
      <c r="O68" s="24"/>
      <c r="P68" s="24"/>
    </row>
    <row r="69" spans="11:16" ht="11.25" customHeight="1" x14ac:dyDescent="0.3">
      <c r="K69" s="24" t="s">
        <v>86</v>
      </c>
      <c r="L69" s="24">
        <f ca="1">+$L$70+$L$71+$L$72+$L$73+$L$74</f>
        <v>10254147.27250728</v>
      </c>
      <c r="M69" s="24">
        <f>+$M$70+$M$71+$M$72+$M$73+$M$74</f>
        <v>24372.813999999998</v>
      </c>
      <c r="N69" s="24">
        <f ca="1">IF(AND($L$75&lt;&gt;0,M69&lt;&gt;0),(L69/$L$75*$AJ$60)/M69,0)</f>
        <v>1.2881649666058759</v>
      </c>
      <c r="O69" s="24"/>
      <c r="P69" s="24"/>
    </row>
    <row r="70" spans="11:16" ht="11.25" customHeight="1" x14ac:dyDescent="0.3">
      <c r="K70" s="24" t="s">
        <v>86</v>
      </c>
      <c r="L70" s="24"/>
      <c r="M70" s="24"/>
      <c r="N70" s="24">
        <f ca="1">IF(AND($L$75&lt;&gt;0,M70&lt;&gt;0),(L70/$L$75*$AJ$60)/M70,0)</f>
        <v>0</v>
      </c>
      <c r="O70" s="24"/>
      <c r="P70" s="24"/>
    </row>
    <row r="71" spans="11:16" ht="11.25" customHeight="1" x14ac:dyDescent="0.3">
      <c r="K71" s="24" t="s">
        <v>22</v>
      </c>
      <c r="L71" s="24">
        <f ca="1">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</f>
        <v>5358470.3914602874</v>
      </c>
      <c r="M71" s="24">
        <f>+'TUSD BE'!$I$21+'TUSD BE'!$I$22+'TUSD BE'!$I$23+'TUSD BE'!$I$24+'TUSD BE'!$I$25+'TUSD BE'!$I$26+'TUSD BE'!$I$27+'TUSD BE'!$I$28+'TUSD BE'!$I$29+'TUSD BE'!$I$30+'TUSD BE'!$I$31+'TUSD BE'!$I$32+'TUSD BE'!$I$33</f>
        <v>12246.541999999999</v>
      </c>
      <c r="N71" s="24"/>
      <c r="O71" s="24"/>
      <c r="P71" s="24"/>
    </row>
    <row r="72" spans="11:16" ht="11.25" customHeight="1" x14ac:dyDescent="0.3">
      <c r="K72" s="24" t="s">
        <v>41</v>
      </c>
      <c r="L72" s="24">
        <f ca="1">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</f>
        <v>1383992.9801765324</v>
      </c>
      <c r="M72" s="24">
        <f>+'TUSD BE'!$I$34+'TUSD BE'!$I$35+'TUSD BE'!$I$36+'TUSD BE'!$I$37+'TUSD BE'!$I$38+'TUSD BE'!$I$39+'TUSD BE'!$I$40+'TUSD BE'!$I$41+'TUSD BE'!$I$42+'TUSD BE'!$I$43+'TUSD BE'!$I$44+'TUSD BE'!$I$45+'TUSD BE'!$I$46+'TUSD BE'!$I$47+'TUSD BE'!$I$48</f>
        <v>3112.8609999999999</v>
      </c>
      <c r="N72" s="24"/>
      <c r="O72" s="24"/>
      <c r="P72" s="24"/>
    </row>
    <row r="73" spans="11:16" ht="11.25" customHeight="1" x14ac:dyDescent="0.3">
      <c r="K73" s="24" t="s">
        <v>32</v>
      </c>
      <c r="L73" s="24">
        <f ca="1">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BE'!$I$51+(+'TUSD BE'!$L$52+'TUSD BE'!$M$52+'TUSD BE'!$N$52+'TUSD BE'!$O$52+'TUSD BE'!$P$52+'TUSD BE'!$Q$52+'TUSD BE'!$R$52+'TUSD BE'!$S$52+'TUSD BE'!$U$52+'TUSD BE'!$V$52+'TUSD BE'!$W$52+'TUSD BE'!$X$52+'TUSD BE'!$Y$52+'TUSD BE'!$Z$52+'TUSD BE'!$AA$52+'TUSD BE'!$AC$52+'TUSD BE'!$AH$52+'TUSD BE'!$AI$52)*'TUSD BE'!$I$52+(+'TUSD BE'!$L$53+'TUSD BE'!$M$53+'TUSD BE'!$N$53+'TUSD BE'!$O$53+'TUSD BE'!$P$53+'TUSD BE'!$Q$53+'TUSD BE'!$R$53+'TUSD BE'!$S$53+'TUSD BE'!$U$53+'TUSD BE'!$V$53+'TUSD BE'!$W$53+'TUSD BE'!$X$53+'TUSD BE'!$Y$53+'TUSD BE'!$Z$53+'TUSD BE'!$AA$53+'TUSD BE'!$AC$53+'TUSD BE'!$AH$53+'TUSD BE'!$AI$53)*'TUSD BE'!$I$53</f>
        <v>2920964.6745414259</v>
      </c>
      <c r="M73" s="24">
        <f>+'TUSD BE'!$I$49+'TUSD BE'!$I$50+'TUSD BE'!$I$51+'TUSD BE'!$I$52+'TUSD BE'!$I$53</f>
        <v>6597.7039999999997</v>
      </c>
      <c r="N73" s="24"/>
      <c r="O73" s="24"/>
      <c r="P73" s="24"/>
    </row>
    <row r="74" spans="11:16" ht="11.25" customHeight="1" x14ac:dyDescent="0.3">
      <c r="K74" s="24" t="s">
        <v>44</v>
      </c>
      <c r="L74" s="24">
        <f ca="1">+(+'TUSD BE'!$L$54+'TUSD BE'!$M$54+'TUSD BE'!$N$54+'TUSD BE'!$O$54+'TUSD BE'!$P$54+'TUSD BE'!$Q$54+'TUSD BE'!$R$54+'TUSD BE'!$S$54+'TUSD BE'!$U$54+'TUSD BE'!$V$54+'TUSD BE'!$W$54+'TUSD BE'!$X$54+'TUSD BE'!$Y$54+'TUSD BE'!$Z$54+'TUSD BE'!$AA$54+'TUSD BE'!$AC$54+'TUSD BE'!$AH$54+'TUSD BE'!$AI$54)*'TUSD BE'!$I$54+(+'TUSD BE'!$L$55+'TUSD BE'!$M$55+'TUSD BE'!$N$55+'TUSD BE'!$O$55+'TUSD BE'!$P$55+'TUSD BE'!$Q$55+'TUSD BE'!$R$55+'TUSD BE'!$S$55+'TUSD BE'!$U$55+'TUSD BE'!$V$55+'TUSD BE'!$W$55+'TUSD BE'!$X$55+'TUSD BE'!$Y$55+'TUSD BE'!$Z$55+'TUSD BE'!$AA$55+'TUSD BE'!$AC$55+'TUSD BE'!$AH$55+'TUSD BE'!$AI$55)*'TUSD BE'!$I$55</f>
        <v>590719.22632903338</v>
      </c>
      <c r="M74" s="24">
        <f>+'TUSD BE'!$I$54+'TUSD BE'!$I$55</f>
        <v>2415.7070000000003</v>
      </c>
      <c r="N74" s="24"/>
      <c r="O74" s="24"/>
      <c r="P74" s="24"/>
    </row>
    <row r="75" spans="11:16" ht="11.25" customHeight="1" x14ac:dyDescent="0.3">
      <c r="K75" s="24"/>
      <c r="L75" s="24">
        <f ca="1">SUM($L$67:$L$74,-$L$69)</f>
        <v>31522258.862359352</v>
      </c>
      <c r="M75" s="24">
        <f>SUM($M$67:$M$74,-$M$69)</f>
        <v>106177.12202</v>
      </c>
      <c r="N75" s="24"/>
      <c r="O75" s="24"/>
      <c r="P75" s="24"/>
    </row>
  </sheetData>
  <mergeCells count="79">
    <mergeCell ref="F5:F7"/>
    <mergeCell ref="E14:E16"/>
    <mergeCell ref="A5:A8"/>
    <mergeCell ref="B5:B8"/>
    <mergeCell ref="C5:C8"/>
    <mergeCell ref="D5:D8"/>
    <mergeCell ref="E5:E7"/>
    <mergeCell ref="F14:F16"/>
    <mergeCell ref="E17:E18"/>
    <mergeCell ref="F17:F18"/>
    <mergeCell ref="A19:A20"/>
    <mergeCell ref="B19:B20"/>
    <mergeCell ref="C19:C20"/>
    <mergeCell ref="D19:D20"/>
    <mergeCell ref="A9:A18"/>
    <mergeCell ref="B9:B12"/>
    <mergeCell ref="C9:C12"/>
    <mergeCell ref="D9:D12"/>
    <mergeCell ref="E9:E11"/>
    <mergeCell ref="F9:F11"/>
    <mergeCell ref="B14:B18"/>
    <mergeCell ref="C14:C18"/>
    <mergeCell ref="D14:D18"/>
    <mergeCell ref="F21:F23"/>
    <mergeCell ref="B24:B28"/>
    <mergeCell ref="C24:C28"/>
    <mergeCell ref="B29:B33"/>
    <mergeCell ref="C29:C33"/>
    <mergeCell ref="A21:A33"/>
    <mergeCell ref="B21:B23"/>
    <mergeCell ref="C21:C23"/>
    <mergeCell ref="D21:D23"/>
    <mergeCell ref="E21:E23"/>
    <mergeCell ref="E42:E44"/>
    <mergeCell ref="F42:F44"/>
    <mergeCell ref="A34:A48"/>
    <mergeCell ref="B34:B36"/>
    <mergeCell ref="C34:C36"/>
    <mergeCell ref="D34:D36"/>
    <mergeCell ref="E34:E36"/>
    <mergeCell ref="F34:F36"/>
    <mergeCell ref="B38:B40"/>
    <mergeCell ref="C38:C40"/>
    <mergeCell ref="D38:D40"/>
    <mergeCell ref="E38:E40"/>
    <mergeCell ref="F1:F4"/>
    <mergeCell ref="E49:E51"/>
    <mergeCell ref="F49:F51"/>
    <mergeCell ref="A54:A55"/>
    <mergeCell ref="B54:B55"/>
    <mergeCell ref="C54:C55"/>
    <mergeCell ref="B46:B48"/>
    <mergeCell ref="C46:C48"/>
    <mergeCell ref="A49:A53"/>
    <mergeCell ref="B49:B51"/>
    <mergeCell ref="C49:C51"/>
    <mergeCell ref="D49:D51"/>
    <mergeCell ref="F38:F40"/>
    <mergeCell ref="B42:B44"/>
    <mergeCell ref="C42:C44"/>
    <mergeCell ref="D42:D44"/>
    <mergeCell ref="A1:A4"/>
    <mergeCell ref="B1:B4"/>
    <mergeCell ref="C1:C4"/>
    <mergeCell ref="D1:D4"/>
    <mergeCell ref="E1:E4"/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21860-FFDE-4C11-A703-CFAA1ACF4D65}">
  <dimension ref="A1:AP62"/>
  <sheetViews>
    <sheetView showGridLines="0" topLeftCell="AA40" workbookViewId="0">
      <selection activeCell="AM57" sqref="AM57"/>
    </sheetView>
  </sheetViews>
  <sheetFormatPr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3" width="7.109375" style="9" bestFit="1" customWidth="1"/>
    <col min="14" max="14" width="7.88671875" style="9" bestFit="1" customWidth="1"/>
    <col min="15" max="15" width="3.88671875" style="9" bestFit="1" customWidth="1"/>
    <col min="16" max="16" width="3.77734375" style="9" bestFit="1" customWidth="1"/>
    <col min="17" max="18" width="9.109375" style="9" bestFit="1" customWidth="1"/>
    <col min="19" max="19" width="8" style="9" bestFit="1" customWidth="1"/>
    <col min="20" max="20" width="9.88671875" style="9" bestFit="1" customWidth="1"/>
    <col min="21" max="21" width="7.109375" style="9" bestFit="1" customWidth="1"/>
    <col min="22" max="22" width="7" style="9" bestFit="1" customWidth="1"/>
    <col min="23" max="23" width="9.21875" style="9" bestFit="1" customWidth="1"/>
    <col min="24" max="24" width="9.33203125" style="9" bestFit="1" customWidth="1"/>
    <col min="25" max="25" width="9.886718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9.109375" style="9" bestFit="1" customWidth="1"/>
    <col min="31" max="31" width="9.5546875" style="9" bestFit="1" customWidth="1"/>
    <col min="32" max="32" width="6.88671875" style="9" bestFit="1" customWidth="1"/>
    <col min="33" max="33" width="9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7.109375" style="9" bestFit="1" customWidth="1"/>
    <col min="38" max="38" width="9.109375" style="9" bestFit="1" customWidth="1"/>
    <col min="39" max="39" width="9.88671875" style="9" bestFit="1" customWidth="1"/>
    <col min="40" max="41" width="8.88671875" style="9"/>
    <col min="42" max="42" width="7.21875" style="9" bestFit="1" customWidth="1"/>
    <col min="43" max="16384" width="8.88671875" style="9"/>
  </cols>
  <sheetData>
    <row r="1" spans="1:42" ht="11.25" customHeight="1" x14ac:dyDescent="0.3">
      <c r="A1" s="143" t="s">
        <v>68</v>
      </c>
      <c r="B1" s="143" t="s">
        <v>69</v>
      </c>
      <c r="C1" s="143" t="s">
        <v>70</v>
      </c>
      <c r="D1" s="143" t="s">
        <v>71</v>
      </c>
      <c r="E1" s="143" t="s">
        <v>72</v>
      </c>
      <c r="F1" s="143" t="s">
        <v>15</v>
      </c>
      <c r="G1" s="143" t="s">
        <v>74</v>
      </c>
      <c r="H1" s="143" t="s">
        <v>75</v>
      </c>
      <c r="I1" s="143" t="s">
        <v>588</v>
      </c>
      <c r="J1" s="134"/>
      <c r="L1" s="144" t="s">
        <v>596</v>
      </c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P1" s="144" t="s">
        <v>590</v>
      </c>
    </row>
    <row r="2" spans="1:42" ht="11.25" customHeight="1" x14ac:dyDescent="0.3">
      <c r="A2" s="143"/>
      <c r="B2" s="143"/>
      <c r="C2" s="143"/>
      <c r="D2" s="143"/>
      <c r="E2" s="143"/>
      <c r="F2" s="143"/>
      <c r="G2" s="143"/>
      <c r="H2" s="143"/>
      <c r="I2" s="143"/>
      <c r="J2" s="134"/>
      <c r="L2" s="144" t="s">
        <v>487</v>
      </c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4"/>
      <c r="AM2" s="144"/>
      <c r="AP2" s="145"/>
    </row>
    <row r="3" spans="1:42" ht="11.25" customHeight="1" x14ac:dyDescent="0.3">
      <c r="A3" s="143"/>
      <c r="B3" s="143"/>
      <c r="C3" s="143"/>
      <c r="D3" s="143"/>
      <c r="E3" s="143"/>
      <c r="F3" s="143"/>
      <c r="G3" s="143"/>
      <c r="H3" s="143"/>
      <c r="I3" s="143"/>
      <c r="J3" s="134"/>
      <c r="L3" s="144" t="s">
        <v>488</v>
      </c>
      <c r="M3" s="144"/>
      <c r="N3" s="144"/>
      <c r="O3" s="144"/>
      <c r="P3" s="144"/>
      <c r="Q3" s="144"/>
      <c r="R3" s="144"/>
      <c r="S3" s="144"/>
      <c r="T3" s="144"/>
      <c r="U3" s="144" t="s">
        <v>497</v>
      </c>
      <c r="V3" s="144"/>
      <c r="W3" s="144"/>
      <c r="X3" s="144"/>
      <c r="Y3" s="144"/>
      <c r="Z3" s="144"/>
      <c r="AA3" s="144"/>
      <c r="AB3" s="144"/>
      <c r="AC3" s="144" t="s">
        <v>505</v>
      </c>
      <c r="AD3" s="144"/>
      <c r="AE3" s="144" t="s">
        <v>507</v>
      </c>
      <c r="AF3" s="144"/>
      <c r="AG3" s="144"/>
      <c r="AH3" s="144" t="s">
        <v>510</v>
      </c>
      <c r="AI3" s="144"/>
      <c r="AJ3" s="144"/>
      <c r="AK3" s="144"/>
      <c r="AL3" s="144"/>
      <c r="AM3" s="144" t="s">
        <v>496</v>
      </c>
      <c r="AP3" s="145"/>
    </row>
    <row r="4" spans="1:42" ht="11.25" customHeight="1" x14ac:dyDescent="0.3">
      <c r="A4" s="143"/>
      <c r="B4" s="143"/>
      <c r="C4" s="143"/>
      <c r="D4" s="143"/>
      <c r="E4" s="143"/>
      <c r="F4" s="143"/>
      <c r="G4" s="143"/>
      <c r="H4" s="143"/>
      <c r="I4" s="143"/>
      <c r="J4" s="134"/>
      <c r="L4" s="10" t="s">
        <v>573</v>
      </c>
      <c r="M4" s="10" t="s">
        <v>489</v>
      </c>
      <c r="N4" s="10" t="s">
        <v>490</v>
      </c>
      <c r="O4" s="10" t="s">
        <v>491</v>
      </c>
      <c r="P4" s="10" t="s">
        <v>492</v>
      </c>
      <c r="Q4" s="10" t="s">
        <v>493</v>
      </c>
      <c r="R4" s="10" t="s">
        <v>494</v>
      </c>
      <c r="S4" s="10" t="s">
        <v>495</v>
      </c>
      <c r="T4" s="10" t="s">
        <v>496</v>
      </c>
      <c r="U4" s="10" t="s">
        <v>498</v>
      </c>
      <c r="V4" s="10" t="s">
        <v>499</v>
      </c>
      <c r="W4" s="10" t="s">
        <v>500</v>
      </c>
      <c r="X4" s="10" t="s">
        <v>501</v>
      </c>
      <c r="Y4" s="10" t="s">
        <v>502</v>
      </c>
      <c r="Z4" s="10" t="s">
        <v>503</v>
      </c>
      <c r="AA4" s="10" t="s">
        <v>504</v>
      </c>
      <c r="AB4" s="10" t="s">
        <v>496</v>
      </c>
      <c r="AC4" s="10" t="s">
        <v>506</v>
      </c>
      <c r="AD4" s="10" t="s">
        <v>496</v>
      </c>
      <c r="AE4" s="10" t="s">
        <v>508</v>
      </c>
      <c r="AF4" s="10" t="s">
        <v>509</v>
      </c>
      <c r="AG4" s="10" t="s">
        <v>496</v>
      </c>
      <c r="AH4" s="10" t="s">
        <v>511</v>
      </c>
      <c r="AI4" s="10" t="s">
        <v>512</v>
      </c>
      <c r="AJ4" s="10" t="s">
        <v>513</v>
      </c>
      <c r="AK4" s="10" t="s">
        <v>514</v>
      </c>
      <c r="AL4" s="10" t="s">
        <v>496</v>
      </c>
      <c r="AM4" s="147"/>
      <c r="AP4" s="145"/>
    </row>
    <row r="5" spans="1:42" ht="11.25" customHeight="1" x14ac:dyDescent="0.3">
      <c r="A5" s="146" t="s">
        <v>61</v>
      </c>
      <c r="B5" s="146" t="s">
        <v>54</v>
      </c>
      <c r="C5" s="146" t="s">
        <v>25</v>
      </c>
      <c r="D5" s="146" t="s">
        <v>25</v>
      </c>
      <c r="E5" s="146" t="s">
        <v>25</v>
      </c>
      <c r="F5" s="146" t="s">
        <v>25</v>
      </c>
      <c r="G5" s="24" t="s">
        <v>82</v>
      </c>
      <c r="H5" s="24" t="s">
        <v>81</v>
      </c>
      <c r="I5" s="24">
        <f>'MERCADO TUSD'!$U$2</f>
        <v>14877.2</v>
      </c>
      <c r="J5" s="15"/>
      <c r="L5" s="13">
        <f>'TR TUSD'!$L$5*'TR TUSD'!$L$64</f>
        <v>0</v>
      </c>
      <c r="M5" s="13">
        <f>'TR TUSD'!$M$5*'TR TUSD'!$M$64</f>
        <v>0</v>
      </c>
      <c r="N5" s="13">
        <f ca="1">'TR TUSD'!$N$5*'TR TUSD'!$N$64</f>
        <v>0</v>
      </c>
      <c r="O5" s="13">
        <f>'TR TUSD'!$O$5*'TR TUSD'!$O$64</f>
        <v>0</v>
      </c>
      <c r="P5" s="13">
        <f>'TR TUSD'!$P$5*'TR TUSD'!$P$64</f>
        <v>0</v>
      </c>
      <c r="Q5" s="13">
        <f>'TR TUSD'!$Q$5*'TR TUSD'!$Q$64</f>
        <v>0</v>
      </c>
      <c r="R5" s="13">
        <f>'TR TUSD'!$R$5*'TR TUSD'!$R$64</f>
        <v>0</v>
      </c>
      <c r="S5" s="13">
        <f>'TR TUSD'!$S$5*'TR TUSD'!$S$64</f>
        <v>0</v>
      </c>
      <c r="T5" s="13">
        <f ca="1">SUM($L$5:$S$5)</f>
        <v>0</v>
      </c>
      <c r="U5" s="13">
        <f>'TR TUSD'!$U$5*'TR TUSD'!$U$64</f>
        <v>0</v>
      </c>
      <c r="V5" s="13">
        <f>'TR TUSD'!$V$5*'TR TUSD'!$V$64</f>
        <v>0</v>
      </c>
      <c r="W5" s="13">
        <f>'TR TUSD'!$W$5*'TR TUSD'!$W$64</f>
        <v>0</v>
      </c>
      <c r="X5" s="13">
        <f>'TR TUSD'!$X$5*'TR TUSD'!$X$64</f>
        <v>0</v>
      </c>
      <c r="Y5" s="13">
        <f>'TR TUSD'!$Y$5*'TR TUSD'!$Y$64</f>
        <v>22.076789113304539</v>
      </c>
      <c r="Z5" s="13">
        <f>'TR TUSD'!$Z$5</f>
        <v>0</v>
      </c>
      <c r="AA5" s="13">
        <f>'TR TUSD'!$AA$5</f>
        <v>0</v>
      </c>
      <c r="AB5" s="13">
        <f>SUM($U$5:$AA$5)</f>
        <v>22.076789113304539</v>
      </c>
      <c r="AC5" s="13">
        <f>'TR TUSD'!$AC$5*'TR TUSD'!$AC$64</f>
        <v>6.3317417793861877</v>
      </c>
      <c r="AD5" s="13">
        <f>SUM($AC$5:$AC$5)</f>
        <v>6.3317417793861877</v>
      </c>
      <c r="AE5" s="13">
        <v>0</v>
      </c>
      <c r="AF5" s="13">
        <v>0</v>
      </c>
      <c r="AG5" s="13">
        <f>SUM($AE$5:$AF$5)</f>
        <v>0</v>
      </c>
      <c r="AH5" s="13">
        <f>'TR TUSD'!$AH$5*'TR TUSD'!$AH$64</f>
        <v>0</v>
      </c>
      <c r="AI5" s="13">
        <f>'TR TUSD'!$AI$5*'TR TUSD'!$AI$64</f>
        <v>0</v>
      </c>
      <c r="AJ5" s="13">
        <f ca="1">'TR TUSD'!$AJ$5*'TR TUSD'!$AJ$64</f>
        <v>0</v>
      </c>
      <c r="AK5" s="13">
        <f ca="1">'TR TUSD'!$AK$5*'TR TUSD'!$AK$64</f>
        <v>0</v>
      </c>
      <c r="AL5" s="13">
        <f ca="1">SUM($AH$5:$AK$5)</f>
        <v>0</v>
      </c>
      <c r="AM5" s="13">
        <f ca="1">SUMIF($L$4:$AL$4,"SUBTOTAL",$L$5:$AL$5)</f>
        <v>28.408530892690727</v>
      </c>
      <c r="AP5" s="13">
        <v>1</v>
      </c>
    </row>
    <row r="6" spans="1:42" ht="11.25" customHeight="1" x14ac:dyDescent="0.3">
      <c r="A6" s="146"/>
      <c r="B6" s="146"/>
      <c r="C6" s="146"/>
      <c r="D6" s="146"/>
      <c r="E6" s="146"/>
      <c r="F6" s="146"/>
      <c r="G6" s="24" t="s">
        <v>83</v>
      </c>
      <c r="H6" s="24" t="s">
        <v>81</v>
      </c>
      <c r="I6" s="24">
        <f>'MERCADO TUSD'!$U$3</f>
        <v>15070.4</v>
      </c>
      <c r="J6" s="15"/>
      <c r="L6" s="13">
        <f>'TR TUSD'!$L$6*'TR TUSD'!$L$64</f>
        <v>0</v>
      </c>
      <c r="M6" s="13">
        <f>'TR TUSD'!$M$6*'TR TUSD'!$M$64</f>
        <v>0</v>
      </c>
      <c r="N6" s="13">
        <f ca="1">'TR TUSD'!$N$6*'TR TUSD'!$N$64</f>
        <v>0</v>
      </c>
      <c r="O6" s="13">
        <f>'TR TUSD'!$O$6*'TR TUSD'!$O$64</f>
        <v>0</v>
      </c>
      <c r="P6" s="13">
        <f>'TR TUSD'!$P$6*'TR TUSD'!$P$64</f>
        <v>0</v>
      </c>
      <c r="Q6" s="13">
        <f>'TR TUSD'!$Q$6*'TR TUSD'!$Q$64</f>
        <v>0</v>
      </c>
      <c r="R6" s="13">
        <f>'TR TUSD'!$R$6*'TR TUSD'!$R$64</f>
        <v>0</v>
      </c>
      <c r="S6" s="13">
        <f>'TR TUSD'!$S$6*'TR TUSD'!$S$64</f>
        <v>0</v>
      </c>
      <c r="T6" s="13">
        <f ca="1">SUM($L$6:$S$6)</f>
        <v>0</v>
      </c>
      <c r="U6" s="13">
        <f>'TR TUSD'!$U$6*'TR TUSD'!$U$64</f>
        <v>0</v>
      </c>
      <c r="V6" s="13">
        <f>'TR TUSD'!$V$6*'TR TUSD'!$V$64</f>
        <v>0</v>
      </c>
      <c r="W6" s="13">
        <f>'TR TUSD'!$W$6*'TR TUSD'!$W$64</f>
        <v>0</v>
      </c>
      <c r="X6" s="13">
        <f>'TR TUSD'!$X$6*'TR TUSD'!$X$64</f>
        <v>0</v>
      </c>
      <c r="Y6" s="13">
        <f>'TR TUSD'!$Y$6*'TR TUSD'!$Y$64</f>
        <v>11.245428873832642</v>
      </c>
      <c r="Z6" s="13">
        <f>'TR TUSD'!$Z$6</f>
        <v>0</v>
      </c>
      <c r="AA6" s="13">
        <f>'TR TUSD'!$AA$6</f>
        <v>0</v>
      </c>
      <c r="AB6" s="13">
        <f>SUM($U$6:$AA$6)</f>
        <v>11.245428873832642</v>
      </c>
      <c r="AC6" s="13">
        <f>'TR TUSD'!$AC$6*'TR TUSD'!$AC$64</f>
        <v>6.3317417793861877</v>
      </c>
      <c r="AD6" s="13">
        <f>SUM($AC$6:$AC$6)</f>
        <v>6.3317417793861877</v>
      </c>
      <c r="AE6" s="13">
        <v>0</v>
      </c>
      <c r="AF6" s="13">
        <v>0</v>
      </c>
      <c r="AG6" s="13">
        <f>SUM($AE$6:$AF$6)</f>
        <v>0</v>
      </c>
      <c r="AH6" s="13">
        <f>'TR TUSD'!$AH$6*'TR TUSD'!$AH$64</f>
        <v>0</v>
      </c>
      <c r="AI6" s="13">
        <f>'TR TUSD'!$AI$6*'TR TUSD'!$AI$64</f>
        <v>0</v>
      </c>
      <c r="AJ6" s="13">
        <f ca="1">'TR TUSD'!$AJ$6*'TR TUSD'!$AJ$64</f>
        <v>0</v>
      </c>
      <c r="AK6" s="13">
        <f ca="1">'TR TUSD'!$AK$6*'TR TUSD'!$AK$64</f>
        <v>0</v>
      </c>
      <c r="AL6" s="13">
        <f ca="1">SUM($AH$6:$AK$6)</f>
        <v>0</v>
      </c>
      <c r="AM6" s="13">
        <f ca="1">SUMIF($L$4:$AL$4,"SUBTOTAL",$L$6:$AL$6)</f>
        <v>17.577170653218829</v>
      </c>
      <c r="AP6" s="13">
        <v>1</v>
      </c>
    </row>
    <row r="7" spans="1:42" ht="11.25" customHeight="1" x14ac:dyDescent="0.3">
      <c r="A7" s="146"/>
      <c r="B7" s="146"/>
      <c r="C7" s="146"/>
      <c r="D7" s="146"/>
      <c r="E7" s="146"/>
      <c r="F7" s="146"/>
      <c r="G7" s="24" t="s">
        <v>84</v>
      </c>
      <c r="H7" s="24" t="s">
        <v>78</v>
      </c>
      <c r="I7" s="24">
        <f>'MERCADO TUSD'!$U$4</f>
        <v>7641.8726999999999</v>
      </c>
      <c r="J7" s="15"/>
      <c r="L7" s="13">
        <f>'TR TUSD'!$L$7*'TR TUSD'!$L$64</f>
        <v>1.5489866696339409</v>
      </c>
      <c r="M7" s="13">
        <f>'TR TUSD'!$M$7*'TR TUSD'!$M$64</f>
        <v>0.11025816414058781</v>
      </c>
      <c r="N7" s="13">
        <f ca="1">'TR TUSD'!$N$7*'TR TUSD'!$N$64</f>
        <v>0.32001540726727873</v>
      </c>
      <c r="O7" s="13">
        <f>'TR TUSD'!$O$7*'TR TUSD'!$O$64</f>
        <v>0</v>
      </c>
      <c r="P7" s="13">
        <f>'TR TUSD'!$P$7*'TR TUSD'!$P$64</f>
        <v>0</v>
      </c>
      <c r="Q7" s="13">
        <f>'TR TUSD'!$Q$7*'TR TUSD'!$Q$64</f>
        <v>63.839643321276611</v>
      </c>
      <c r="R7" s="13">
        <f>'TR TUSD'!$R$7*'TR TUSD'!$R$64</f>
        <v>15.170627343714017</v>
      </c>
      <c r="S7" s="13">
        <f>'TR TUSD'!$S$7*'TR TUSD'!$S$64</f>
        <v>0</v>
      </c>
      <c r="T7" s="13">
        <f ca="1">SUM($L$7:$S$7)</f>
        <v>80.989530906032442</v>
      </c>
      <c r="U7" s="13">
        <f>'TR TUSD'!$U$7*'TR TUSD'!$U$64</f>
        <v>0</v>
      </c>
      <c r="V7" s="13">
        <f>'TR TUSD'!$V$7*'TR TUSD'!$V$64</f>
        <v>0</v>
      </c>
      <c r="W7" s="13">
        <f>'TR TUSD'!$W$7*'TR TUSD'!$W$64</f>
        <v>0</v>
      </c>
      <c r="X7" s="13">
        <f>'TR TUSD'!$X$7*'TR TUSD'!$X$64</f>
        <v>0</v>
      </c>
      <c r="Y7" s="13">
        <f>'TR TUSD'!$Y$7*'TR TUSD'!$Y$64</f>
        <v>0</v>
      </c>
      <c r="Z7" s="13">
        <f>'TR TUSD'!$Z$7</f>
        <v>0</v>
      </c>
      <c r="AA7" s="13">
        <f>'TR TUSD'!$AA$7</f>
        <v>0</v>
      </c>
      <c r="AB7" s="13">
        <f>SUM($U$7:$AA$7)</f>
        <v>0</v>
      </c>
      <c r="AC7" s="13">
        <f>'TR TUSD'!$AC$7*'TR TUSD'!$AC$64</f>
        <v>0</v>
      </c>
      <c r="AD7" s="13">
        <f>SUM($AC$7:$AC$7)</f>
        <v>0</v>
      </c>
      <c r="AE7" s="13">
        <v>0</v>
      </c>
      <c r="AF7" s="13">
        <v>0</v>
      </c>
      <c r="AG7" s="13">
        <f>SUM($AE$7:$AF$7)</f>
        <v>0</v>
      </c>
      <c r="AH7" s="13">
        <f>'TR TUSD'!$AH$7*'TR TUSD'!$AH$64</f>
        <v>6.0085895061938173</v>
      </c>
      <c r="AI7" s="13">
        <f>'TR TUSD'!$AI$7*'TR TUSD'!$AI$64</f>
        <v>0</v>
      </c>
      <c r="AJ7" s="13">
        <f ca="1">'TR TUSD'!$AJ$7*'TR TUSD'!$AJ$64</f>
        <v>0.5498172341885007</v>
      </c>
      <c r="AK7" s="13">
        <f ca="1">'TR TUSD'!$AK$7*'TR TUSD'!$AK$64</f>
        <v>7.7055005809455013E-2</v>
      </c>
      <c r="AL7" s="13">
        <f ca="1">SUM($AH$7:$AK$7)</f>
        <v>6.6354617461917726</v>
      </c>
      <c r="AM7" s="13">
        <f ca="1">SUMIF($L$4:$AL$4,"SUBTOTAL",$L$7:$AL$7)</f>
        <v>87.624992652224222</v>
      </c>
      <c r="AP7" s="13">
        <v>1</v>
      </c>
    </row>
    <row r="8" spans="1:42" ht="11.25" customHeight="1" x14ac:dyDescent="0.3">
      <c r="A8" s="146"/>
      <c r="B8" s="146"/>
      <c r="C8" s="146"/>
      <c r="D8" s="146"/>
      <c r="E8" s="23" t="s">
        <v>85</v>
      </c>
      <c r="F8" s="23" t="s">
        <v>25</v>
      </c>
      <c r="G8" s="24" t="s">
        <v>84</v>
      </c>
      <c r="H8" s="24" t="s">
        <v>78</v>
      </c>
      <c r="I8" s="24">
        <f>'MERCADO TUSD'!$U$5</f>
        <v>0</v>
      </c>
      <c r="J8" s="15"/>
      <c r="L8" s="13">
        <f>'TR TUSD'!$L$8*'TR TUSD'!$L$64</f>
        <v>0</v>
      </c>
      <c r="M8" s="13">
        <f>'TR TUSD'!$M$8*'TR TUSD'!$M$64</f>
        <v>0.11025816414058781</v>
      </c>
      <c r="N8" s="13">
        <f ca="1">'TR TUSD'!$N$8*'TR TUSD'!$N$64</f>
        <v>0.30006835866064463</v>
      </c>
      <c r="O8" s="13">
        <f>'TR TUSD'!$O$8*'TR TUSD'!$O$64</f>
        <v>0</v>
      </c>
      <c r="P8" s="13">
        <f>'TR TUSD'!$P$8*'TR TUSD'!$P$64</f>
        <v>0</v>
      </c>
      <c r="Q8" s="13">
        <f>'TR TUSD'!$Q$8*'TR TUSD'!$Q$64</f>
        <v>0</v>
      </c>
      <c r="R8" s="13">
        <f>'TR TUSD'!$R$8*'TR TUSD'!$R$64</f>
        <v>0</v>
      </c>
      <c r="S8" s="13">
        <f>'TR TUSD'!$S$8*'TR TUSD'!$S$64</f>
        <v>0</v>
      </c>
      <c r="T8" s="13">
        <f ca="1">SUM($L$8:$S$8)</f>
        <v>0.41032652280123244</v>
      </c>
      <c r="U8" s="13">
        <f>'TR TUSD'!$U$8*'TR TUSD'!$U$64</f>
        <v>0</v>
      </c>
      <c r="V8" s="13">
        <f>'TR TUSD'!$V$8*'TR TUSD'!$V$64</f>
        <v>0</v>
      </c>
      <c r="W8" s="13">
        <f>'TR TUSD'!$W$8*'TR TUSD'!$W$64</f>
        <v>0</v>
      </c>
      <c r="X8" s="13">
        <f>'TR TUSD'!$X$8*'TR TUSD'!$X$64</f>
        <v>0</v>
      </c>
      <c r="Y8" s="13">
        <f>'TR TUSD'!$Y$8*'TR TUSD'!$Y$64</f>
        <v>0</v>
      </c>
      <c r="Z8" s="13">
        <f>'TR TUSD'!$Z$8</f>
        <v>0</v>
      </c>
      <c r="AA8" s="13">
        <f>'TR TUSD'!$AA$8</f>
        <v>0</v>
      </c>
      <c r="AB8" s="13">
        <f>SUM($U$8:$AA$8)</f>
        <v>0</v>
      </c>
      <c r="AC8" s="13">
        <f>'TR TUSD'!$AC$8*'TR TUSD'!$AC$64</f>
        <v>0</v>
      </c>
      <c r="AD8" s="13">
        <f>SUM($AC$8:$AC$8)</f>
        <v>0</v>
      </c>
      <c r="AE8" s="13">
        <v>0</v>
      </c>
      <c r="AF8" s="13">
        <v>0</v>
      </c>
      <c r="AG8" s="13">
        <f>SUM($AE$8:$AF$8)</f>
        <v>0</v>
      </c>
      <c r="AH8" s="13">
        <f>'TR TUSD'!$AH$8*'TR TUSD'!$AH$64</f>
        <v>6.0085895061938173</v>
      </c>
      <c r="AI8" s="13">
        <f>'TR TUSD'!$AI$8*'TR TUSD'!$AI$64</f>
        <v>0</v>
      </c>
      <c r="AJ8" s="13">
        <f ca="1">'TR TUSD'!$AJ$8*'TR TUSD'!$AJ$64</f>
        <v>0.5498172341885007</v>
      </c>
      <c r="AK8" s="13">
        <f ca="1">'TR TUSD'!$AK$8*'TR TUSD'!$AK$64</f>
        <v>7.7055005809455013E-2</v>
      </c>
      <c r="AL8" s="13">
        <f ca="1">SUM($AH$8:$AK$8)</f>
        <v>6.6354617461917726</v>
      </c>
      <c r="AM8" s="13">
        <f ca="1">SUMIF($L$4:$AL$4,"SUBTOTAL",$L$8:$AL$8)</f>
        <v>7.0457882689930047</v>
      </c>
      <c r="AP8" s="13">
        <v>1</v>
      </c>
    </row>
    <row r="9" spans="1:42" ht="11.25" customHeight="1" x14ac:dyDescent="0.3">
      <c r="A9" s="146" t="s">
        <v>34</v>
      </c>
      <c r="B9" s="146" t="s">
        <v>54</v>
      </c>
      <c r="C9" s="146" t="s">
        <v>25</v>
      </c>
      <c r="D9" s="146" t="s">
        <v>25</v>
      </c>
      <c r="E9" s="146" t="s">
        <v>25</v>
      </c>
      <c r="F9" s="146" t="s">
        <v>25</v>
      </c>
      <c r="G9" s="24" t="s">
        <v>82</v>
      </c>
      <c r="H9" s="24" t="s">
        <v>81</v>
      </c>
      <c r="I9" s="24">
        <f>'MERCADO TUSD'!$U$6</f>
        <v>74447</v>
      </c>
      <c r="J9" s="15"/>
      <c r="L9" s="13">
        <f>'TR TUSD'!$L$9*'TR TUSD'!$L$64</f>
        <v>0</v>
      </c>
      <c r="M9" s="13">
        <f>'TR TUSD'!$M$9*'TR TUSD'!$M$64</f>
        <v>0</v>
      </c>
      <c r="N9" s="13">
        <f ca="1">'TR TUSD'!$N$9*'TR TUSD'!$N$64</f>
        <v>0</v>
      </c>
      <c r="O9" s="13">
        <f>'TR TUSD'!$O$9*'TR TUSD'!$O$64</f>
        <v>0</v>
      </c>
      <c r="P9" s="13">
        <f>'TR TUSD'!$P$9*'TR TUSD'!$P$64</f>
        <v>0</v>
      </c>
      <c r="Q9" s="13">
        <f>'TR TUSD'!$Q$9*'TR TUSD'!$Q$64</f>
        <v>0</v>
      </c>
      <c r="R9" s="13">
        <f>'TR TUSD'!$R$9*'TR TUSD'!$R$64</f>
        <v>0</v>
      </c>
      <c r="S9" s="13">
        <f>'TR TUSD'!$S$9*'TR TUSD'!$S$64</f>
        <v>0</v>
      </c>
      <c r="T9" s="13">
        <f ca="1">SUM($L$9:$S$9)</f>
        <v>0</v>
      </c>
      <c r="U9" s="13">
        <f>'TR TUSD'!$U$9*'TR TUSD'!$U$64</f>
        <v>0</v>
      </c>
      <c r="V9" s="13">
        <f>'TR TUSD'!$V$9*'TR TUSD'!$V$64</f>
        <v>0</v>
      </c>
      <c r="W9" s="13">
        <f>'TR TUSD'!$W$9*'TR TUSD'!$W$64</f>
        <v>0</v>
      </c>
      <c r="X9" s="13">
        <f>'TR TUSD'!$X$9*'TR TUSD'!$X$64</f>
        <v>0</v>
      </c>
      <c r="Y9" s="13">
        <f>'TR TUSD'!$Y$9*'TR TUSD'!$Y$64</f>
        <v>29.435718817739382</v>
      </c>
      <c r="Z9" s="13">
        <f>'TR TUSD'!$Z$9</f>
        <v>0</v>
      </c>
      <c r="AA9" s="13">
        <f>'TR TUSD'!$AA$9</f>
        <v>0</v>
      </c>
      <c r="AB9" s="13">
        <f>SUM($U$9:$AA$9)</f>
        <v>29.435718817739382</v>
      </c>
      <c r="AC9" s="13">
        <f>'TR TUSD'!$AC$9*'TR TUSD'!$AC$64</f>
        <v>8.442359412591312</v>
      </c>
      <c r="AD9" s="13">
        <f>SUM($AC$9:$AC$9)</f>
        <v>8.442359412591312</v>
      </c>
      <c r="AE9" s="13">
        <v>0</v>
      </c>
      <c r="AF9" s="13">
        <v>0</v>
      </c>
      <c r="AG9" s="13">
        <f>SUM($AE$9:$AF$9)</f>
        <v>0</v>
      </c>
      <c r="AH9" s="13">
        <f>'TR TUSD'!$AH$9*'TR TUSD'!$AH$64</f>
        <v>0</v>
      </c>
      <c r="AI9" s="13">
        <f>'TR TUSD'!$AI$9*'TR TUSD'!$AI$64</f>
        <v>0</v>
      </c>
      <c r="AJ9" s="13">
        <f ca="1">'TR TUSD'!$AJ$9*'TR TUSD'!$AJ$64</f>
        <v>0</v>
      </c>
      <c r="AK9" s="13">
        <f ca="1">'TR TUSD'!$AK$9*'TR TUSD'!$AK$64</f>
        <v>0</v>
      </c>
      <c r="AL9" s="13">
        <f ca="1">SUM($AH$9:$AK$9)</f>
        <v>0</v>
      </c>
      <c r="AM9" s="13">
        <f ca="1">SUMIF($L$4:$AL$4,"SUBTOTAL",$L$9:$AL$9)</f>
        <v>37.878078230330694</v>
      </c>
      <c r="AP9" s="13">
        <v>1</v>
      </c>
    </row>
    <row r="10" spans="1:42" ht="11.25" customHeight="1" x14ac:dyDescent="0.3">
      <c r="A10" s="146"/>
      <c r="B10" s="146"/>
      <c r="C10" s="146"/>
      <c r="D10" s="146"/>
      <c r="E10" s="146"/>
      <c r="F10" s="146"/>
      <c r="G10" s="24" t="s">
        <v>83</v>
      </c>
      <c r="H10" s="24" t="s">
        <v>81</v>
      </c>
      <c r="I10" s="24">
        <f>'MERCADO TUSD'!$U$7</f>
        <v>79182</v>
      </c>
      <c r="J10" s="15"/>
      <c r="L10" s="13">
        <f>'TR TUSD'!$L$10*'TR TUSD'!$L$64</f>
        <v>0</v>
      </c>
      <c r="M10" s="13">
        <f>'TR TUSD'!$M$10*'TR TUSD'!$M$64</f>
        <v>0</v>
      </c>
      <c r="N10" s="13">
        <f ca="1">'TR TUSD'!$N$10*'TR TUSD'!$N$64</f>
        <v>0</v>
      </c>
      <c r="O10" s="13">
        <f>'TR TUSD'!$O$10*'TR TUSD'!$O$64</f>
        <v>0</v>
      </c>
      <c r="P10" s="13">
        <f>'TR TUSD'!$P$10*'TR TUSD'!$P$64</f>
        <v>0</v>
      </c>
      <c r="Q10" s="13">
        <f>'TR TUSD'!$Q$10*'TR TUSD'!$Q$64</f>
        <v>0</v>
      </c>
      <c r="R10" s="13">
        <f>'TR TUSD'!$R$10*'TR TUSD'!$R$64</f>
        <v>0</v>
      </c>
      <c r="S10" s="13">
        <f>'TR TUSD'!$S$10*'TR TUSD'!$S$64</f>
        <v>0</v>
      </c>
      <c r="T10" s="13">
        <f ca="1">SUM($L$10:$S$10)</f>
        <v>0</v>
      </c>
      <c r="U10" s="13">
        <f>'TR TUSD'!$U$10*'TR TUSD'!$U$64</f>
        <v>0</v>
      </c>
      <c r="V10" s="13">
        <f>'TR TUSD'!$V$10*'TR TUSD'!$V$64</f>
        <v>0</v>
      </c>
      <c r="W10" s="13">
        <f>'TR TUSD'!$W$10*'TR TUSD'!$W$64</f>
        <v>0</v>
      </c>
      <c r="X10" s="13">
        <f>'TR TUSD'!$X$10*'TR TUSD'!$X$64</f>
        <v>0</v>
      </c>
      <c r="Y10" s="13">
        <f>'TR TUSD'!$Y$10*'TR TUSD'!$Y$64</f>
        <v>14.993959270511258</v>
      </c>
      <c r="Z10" s="13">
        <f>'TR TUSD'!$Z$10</f>
        <v>0</v>
      </c>
      <c r="AA10" s="13">
        <f>'TR TUSD'!$AA$10</f>
        <v>0</v>
      </c>
      <c r="AB10" s="13">
        <f>SUM($U$10:$AA$10)</f>
        <v>14.993959270511258</v>
      </c>
      <c r="AC10" s="13">
        <f>'TR TUSD'!$AC$10*'TR TUSD'!$AC$64</f>
        <v>8.442359412591312</v>
      </c>
      <c r="AD10" s="13">
        <f>SUM($AC$10:$AC$10)</f>
        <v>8.442359412591312</v>
      </c>
      <c r="AE10" s="13">
        <v>0</v>
      </c>
      <c r="AF10" s="13">
        <v>0</v>
      </c>
      <c r="AG10" s="13">
        <f>SUM($AE$10:$AF$10)</f>
        <v>0</v>
      </c>
      <c r="AH10" s="13">
        <f>'TR TUSD'!$AH$10*'TR TUSD'!$AH$64</f>
        <v>0</v>
      </c>
      <c r="AI10" s="13">
        <f>'TR TUSD'!$AI$10*'TR TUSD'!$AI$64</f>
        <v>0</v>
      </c>
      <c r="AJ10" s="13">
        <f ca="1">'TR TUSD'!$AJ$10*'TR TUSD'!$AJ$64</f>
        <v>0</v>
      </c>
      <c r="AK10" s="13">
        <f ca="1">'TR TUSD'!$AK$10*'TR TUSD'!$AK$64</f>
        <v>0</v>
      </c>
      <c r="AL10" s="13">
        <f ca="1">SUM($AH$10:$AK$10)</f>
        <v>0</v>
      </c>
      <c r="AM10" s="13">
        <f ca="1">SUMIF($L$4:$AL$4,"SUBTOTAL",$L$10:$AL$10)</f>
        <v>23.43631868310257</v>
      </c>
      <c r="AP10" s="13">
        <v>1</v>
      </c>
    </row>
    <row r="11" spans="1:42" ht="11.25" customHeight="1" x14ac:dyDescent="0.3">
      <c r="A11" s="146"/>
      <c r="B11" s="146"/>
      <c r="C11" s="146"/>
      <c r="D11" s="146"/>
      <c r="E11" s="146"/>
      <c r="F11" s="146"/>
      <c r="G11" s="24" t="s">
        <v>84</v>
      </c>
      <c r="H11" s="24" t="s">
        <v>78</v>
      </c>
      <c r="I11" s="24">
        <f>'MERCADO TUSD'!$U$8</f>
        <v>33099.82804</v>
      </c>
      <c r="J11" s="15"/>
      <c r="L11" s="13">
        <f>'TR TUSD'!$L$11*'TR TUSD'!$L$64</f>
        <v>2.0986271007943715</v>
      </c>
      <c r="M11" s="13">
        <f>'TR TUSD'!$M$11*'TR TUSD'!$M$64</f>
        <v>0.20051159516385467</v>
      </c>
      <c r="N11" s="13">
        <f ca="1">'TR TUSD'!$N$11*'TR TUSD'!$N$64</f>
        <v>0.41843634044898848</v>
      </c>
      <c r="O11" s="13">
        <f>'TR TUSD'!$O$11*'TR TUSD'!$O$64</f>
        <v>0</v>
      </c>
      <c r="P11" s="13">
        <f>'TR TUSD'!$P$11*'TR TUSD'!$P$64</f>
        <v>0</v>
      </c>
      <c r="Q11" s="13">
        <f>'TR TUSD'!$Q$11*'TR TUSD'!$Q$64</f>
        <v>86.492419983665087</v>
      </c>
      <c r="R11" s="13">
        <f>'TR TUSD'!$R$11*'TR TUSD'!$R$64</f>
        <v>15.170627343714017</v>
      </c>
      <c r="S11" s="13">
        <f>'TR TUSD'!$S$11*'TR TUSD'!$S$64</f>
        <v>0</v>
      </c>
      <c r="T11" s="13">
        <f ca="1">SUM($L$11:$S$11)</f>
        <v>104.38062236378632</v>
      </c>
      <c r="U11" s="13">
        <f>'TR TUSD'!$U$11*'TR TUSD'!$U$64</f>
        <v>0</v>
      </c>
      <c r="V11" s="13">
        <f>'TR TUSD'!$V$11*'TR TUSD'!$V$64</f>
        <v>0</v>
      </c>
      <c r="W11" s="13">
        <f>'TR TUSD'!$W$11*'TR TUSD'!$W$64</f>
        <v>0</v>
      </c>
      <c r="X11" s="13">
        <f>'TR TUSD'!$X$11*'TR TUSD'!$X$64</f>
        <v>0</v>
      </c>
      <c r="Y11" s="13">
        <f>'TR TUSD'!$Y$11*'TR TUSD'!$Y$64</f>
        <v>0</v>
      </c>
      <c r="Z11" s="13">
        <f>'TR TUSD'!$Z$11</f>
        <v>0</v>
      </c>
      <c r="AA11" s="13">
        <f>'TR TUSD'!$AA$11</f>
        <v>0</v>
      </c>
      <c r="AB11" s="13">
        <f>SUM($U$11:$AA$11)</f>
        <v>0</v>
      </c>
      <c r="AC11" s="13">
        <f>'TR TUSD'!$AC$11*'TR TUSD'!$AC$64</f>
        <v>0</v>
      </c>
      <c r="AD11" s="13">
        <f>SUM($AC$11:$AC$11)</f>
        <v>0</v>
      </c>
      <c r="AE11" s="13">
        <v>0</v>
      </c>
      <c r="AF11" s="13">
        <v>0</v>
      </c>
      <c r="AG11" s="13">
        <f>SUM($AE$11:$AF$11)</f>
        <v>0</v>
      </c>
      <c r="AH11" s="13">
        <f>'TR TUSD'!$AH$11*'TR TUSD'!$AH$64</f>
        <v>8.0114215000166329</v>
      </c>
      <c r="AI11" s="13">
        <f>'TR TUSD'!$AI$11*'TR TUSD'!$AI$64</f>
        <v>0</v>
      </c>
      <c r="AJ11" s="13">
        <f ca="1">'TR TUSD'!$AJ$11*'TR TUSD'!$AJ$64</f>
        <v>0.83432938061864914</v>
      </c>
      <c r="AK11" s="13">
        <f ca="1">'TR TUSD'!$AK$11*'TR TUSD'!$AK$64</f>
        <v>0.11692841052073664</v>
      </c>
      <c r="AL11" s="13">
        <f ca="1">SUM($AH$11:$AK$11)</f>
        <v>8.9626792911560198</v>
      </c>
      <c r="AM11" s="13">
        <f ca="1">SUMIF($L$4:$AL$4,"SUBTOTAL",$L$11:$AL$11)</f>
        <v>113.34330165494234</v>
      </c>
      <c r="AP11" s="13">
        <v>1</v>
      </c>
    </row>
    <row r="12" spans="1:42" ht="11.25" customHeight="1" x14ac:dyDescent="0.3">
      <c r="A12" s="146"/>
      <c r="B12" s="146"/>
      <c r="C12" s="146"/>
      <c r="D12" s="146"/>
      <c r="E12" s="23" t="s">
        <v>85</v>
      </c>
      <c r="F12" s="23" t="s">
        <v>25</v>
      </c>
      <c r="G12" s="24" t="s">
        <v>84</v>
      </c>
      <c r="H12" s="24" t="s">
        <v>78</v>
      </c>
      <c r="I12" s="24">
        <f>'MERCADO TUSD'!$U$9</f>
        <v>0</v>
      </c>
      <c r="J12" s="15"/>
      <c r="L12" s="13">
        <f>'TR TUSD'!$L$12*'TR TUSD'!$L$64</f>
        <v>0</v>
      </c>
      <c r="M12" s="13">
        <f>'TR TUSD'!$M$12*'TR TUSD'!$M$64</f>
        <v>0.20051159516385467</v>
      </c>
      <c r="N12" s="13">
        <f ca="1">'TR TUSD'!$N$12*'TR TUSD'!$N$64</f>
        <v>0.39848929184235427</v>
      </c>
      <c r="O12" s="13">
        <f>'TR TUSD'!$O$12*'TR TUSD'!$O$64</f>
        <v>0</v>
      </c>
      <c r="P12" s="13">
        <f>'TR TUSD'!$P$12*'TR TUSD'!$P$64</f>
        <v>0</v>
      </c>
      <c r="Q12" s="13">
        <f>'TR TUSD'!$Q$12*'TR TUSD'!$Q$64</f>
        <v>0</v>
      </c>
      <c r="R12" s="13">
        <f>'TR TUSD'!$R$12*'TR TUSD'!$R$64</f>
        <v>0</v>
      </c>
      <c r="S12" s="13">
        <f>'TR TUSD'!$S$12*'TR TUSD'!$S$64</f>
        <v>0</v>
      </c>
      <c r="T12" s="13">
        <f ca="1">SUM($L$12:$S$12)</f>
        <v>0.5990008870062089</v>
      </c>
      <c r="U12" s="13">
        <f>'TR TUSD'!$U$12*'TR TUSD'!$U$64</f>
        <v>0</v>
      </c>
      <c r="V12" s="13">
        <f>'TR TUSD'!$V$12*'TR TUSD'!$V$64</f>
        <v>0</v>
      </c>
      <c r="W12" s="13">
        <f>'TR TUSD'!$W$12*'TR TUSD'!$W$64</f>
        <v>0</v>
      </c>
      <c r="X12" s="13">
        <f>'TR TUSD'!$X$12*'TR TUSD'!$X$64</f>
        <v>0</v>
      </c>
      <c r="Y12" s="13">
        <f>'TR TUSD'!$Y$12*'TR TUSD'!$Y$64</f>
        <v>0</v>
      </c>
      <c r="Z12" s="13">
        <f>'TR TUSD'!$Z$12</f>
        <v>0</v>
      </c>
      <c r="AA12" s="13">
        <f>'TR TUSD'!$AA$12</f>
        <v>0</v>
      </c>
      <c r="AB12" s="13">
        <f>SUM($U$12:$AA$12)</f>
        <v>0</v>
      </c>
      <c r="AC12" s="13">
        <f>'TR TUSD'!$AC$12*'TR TUSD'!$AC$64</f>
        <v>0</v>
      </c>
      <c r="AD12" s="13">
        <f>SUM($AC$12:$AC$12)</f>
        <v>0</v>
      </c>
      <c r="AE12" s="13">
        <v>0</v>
      </c>
      <c r="AF12" s="13">
        <v>0</v>
      </c>
      <c r="AG12" s="13">
        <f>SUM($AE$12:$AF$12)</f>
        <v>0</v>
      </c>
      <c r="AH12" s="13">
        <f>'TR TUSD'!$AH$12*'TR TUSD'!$AH$64</f>
        <v>8.0114215000166329</v>
      </c>
      <c r="AI12" s="13">
        <f>'TR TUSD'!$AI$12*'TR TUSD'!$AI$64</f>
        <v>0</v>
      </c>
      <c r="AJ12" s="13">
        <f ca="1">'TR TUSD'!$AJ$12*'TR TUSD'!$AJ$64</f>
        <v>0.83432938061864914</v>
      </c>
      <c r="AK12" s="13">
        <f ca="1">'TR TUSD'!$AK$12*'TR TUSD'!$AK$64</f>
        <v>0.11692841052073664</v>
      </c>
      <c r="AL12" s="13">
        <f ca="1">SUM($AH$12:$AK$12)</f>
        <v>8.9626792911560198</v>
      </c>
      <c r="AM12" s="13">
        <f ca="1">SUMIF($L$4:$AL$4,"SUBTOTAL",$L$12:$AL$12)</f>
        <v>9.5616801781622289</v>
      </c>
      <c r="AP12" s="13">
        <v>1</v>
      </c>
    </row>
    <row r="13" spans="1:42" ht="11.25" customHeight="1" x14ac:dyDescent="0.3">
      <c r="A13" s="146"/>
      <c r="B13" s="23" t="s">
        <v>57</v>
      </c>
      <c r="C13" s="23" t="s">
        <v>25</v>
      </c>
      <c r="D13" s="23" t="s">
        <v>25</v>
      </c>
      <c r="E13" s="23" t="s">
        <v>25</v>
      </c>
      <c r="F13" s="23" t="s">
        <v>25</v>
      </c>
      <c r="G13" s="24" t="s">
        <v>9</v>
      </c>
      <c r="H13" s="24" t="s">
        <v>81</v>
      </c>
      <c r="I13" s="24">
        <f>'MERCADO TUSD'!$U$10</f>
        <v>33000</v>
      </c>
      <c r="J13" s="15"/>
      <c r="L13" s="13">
        <f>'TR TUSD'!$L$13*'TR TUSD'!$L$64</f>
        <v>0</v>
      </c>
      <c r="M13" s="13">
        <f>'TR TUSD'!$M$13*'TR TUSD'!$M$64</f>
        <v>3.0370310694564164E-2</v>
      </c>
      <c r="N13" s="13">
        <f ca="1">'TR TUSD'!$N$13*'TR TUSD'!$N$64</f>
        <v>0.15219598086861907</v>
      </c>
      <c r="O13" s="13">
        <f>'TR TUSD'!$O$13*'TR TUSD'!$O$64</f>
        <v>0</v>
      </c>
      <c r="P13" s="13">
        <f>'TR TUSD'!$P$13*'TR TUSD'!$P$64</f>
        <v>0</v>
      </c>
      <c r="Q13" s="13">
        <f>'TR TUSD'!$Q$13*'TR TUSD'!$Q$64</f>
        <v>0</v>
      </c>
      <c r="R13" s="13">
        <f>'TR TUSD'!$R$13*'TR TUSD'!$R$64</f>
        <v>0</v>
      </c>
      <c r="S13" s="13">
        <f>'TR TUSD'!$S$13*'TR TUSD'!$S$64</f>
        <v>0</v>
      </c>
      <c r="T13" s="13">
        <f ca="1">SUM($L$13:$S$13)</f>
        <v>0.18256629156318324</v>
      </c>
      <c r="U13" s="13">
        <f>'TR TUSD'!$U$13*'TR TUSD'!$U$64</f>
        <v>0</v>
      </c>
      <c r="V13" s="13">
        <f>'TR TUSD'!$V$13*'TR TUSD'!$V$64</f>
        <v>0</v>
      </c>
      <c r="W13" s="13">
        <f>'TR TUSD'!$W$13*'TR TUSD'!$W$64</f>
        <v>0</v>
      </c>
      <c r="X13" s="13">
        <f>'TR TUSD'!$X$13*'TR TUSD'!$X$64</f>
        <v>0</v>
      </c>
      <c r="Y13" s="13">
        <f>'TR TUSD'!$Y$13*'TR TUSD'!$Y$64</f>
        <v>0</v>
      </c>
      <c r="Z13" s="13">
        <f>'TR TUSD'!$Z$13*'TR TUSD'!$Z$64</f>
        <v>0</v>
      </c>
      <c r="AA13" s="13">
        <f>'TR TUSD'!$AA$13*'TR TUSD'!$AA$64</f>
        <v>0</v>
      </c>
      <c r="AB13" s="13">
        <f>SUM($U$13:$AA$13)</f>
        <v>0</v>
      </c>
      <c r="AC13" s="13">
        <f>'TR TUSD'!$AC$13*'TR TUSD'!$AC$64</f>
        <v>8.4424705328205008</v>
      </c>
      <c r="AD13" s="13">
        <f>SUM($AC$13:$AC$13)</f>
        <v>8.4424705328205008</v>
      </c>
      <c r="AE13" s="13">
        <v>0</v>
      </c>
      <c r="AF13" s="13">
        <v>0</v>
      </c>
      <c r="AG13" s="13">
        <f>SUM($AE$13:$AF$13)</f>
        <v>0</v>
      </c>
      <c r="AH13" s="13">
        <f>'TR TUSD'!$AH$13*'TR TUSD'!$AH$64</f>
        <v>2.1510686835360614E-3</v>
      </c>
      <c r="AI13" s="13">
        <f>'TR TUSD'!$AI$13*'TR TUSD'!$AI$64</f>
        <v>0</v>
      </c>
      <c r="AJ13" s="13">
        <f ca="1">'TR TUSD'!$AJ$13*'TR TUSD'!$AJ$64</f>
        <v>0</v>
      </c>
      <c r="AK13" s="13">
        <f ca="1">'TR TUSD'!$AK$13*'TR TUSD'!$AK$64</f>
        <v>0</v>
      </c>
      <c r="AL13" s="13">
        <f ca="1">SUM($AH$13:$AK$13)</f>
        <v>2.1510686835360614E-3</v>
      </c>
      <c r="AM13" s="13">
        <f ca="1">SUMIF($L$4:$AL$4,"SUBTOTAL",$L$13:$AL$13)</f>
        <v>8.6271878930672212</v>
      </c>
      <c r="AP13" s="13"/>
    </row>
    <row r="14" spans="1:42" ht="11.25" customHeight="1" x14ac:dyDescent="0.3">
      <c r="A14" s="146"/>
      <c r="B14" s="146" t="s">
        <v>35</v>
      </c>
      <c r="C14" s="146" t="s">
        <v>25</v>
      </c>
      <c r="D14" s="146" t="s">
        <v>25</v>
      </c>
      <c r="E14" s="146" t="s">
        <v>25</v>
      </c>
      <c r="F14" s="146" t="s">
        <v>25</v>
      </c>
      <c r="G14" s="24" t="s">
        <v>9</v>
      </c>
      <c r="H14" s="24" t="s">
        <v>81</v>
      </c>
      <c r="I14" s="24">
        <f>'MERCADO TUSD'!$U$11</f>
        <v>161517.14000000001</v>
      </c>
      <c r="J14" s="15"/>
      <c r="L14" s="13">
        <f>'TR TUSD'!$L$14*'TR TUSD'!$L$64</f>
        <v>0</v>
      </c>
      <c r="M14" s="13">
        <f>'TR TUSD'!$M$14*'TR TUSD'!$M$64</f>
        <v>0</v>
      </c>
      <c r="N14" s="13">
        <f ca="1">'TR TUSD'!$N$14*'TR TUSD'!$N$64</f>
        <v>0</v>
      </c>
      <c r="O14" s="13">
        <f>'TR TUSD'!$O$14*'TR TUSD'!$O$64</f>
        <v>0</v>
      </c>
      <c r="P14" s="13">
        <f>'TR TUSD'!$P$14*'TR TUSD'!$P$64</f>
        <v>0</v>
      </c>
      <c r="Q14" s="13">
        <f>'TR TUSD'!$Q$14*'TR TUSD'!$Q$64</f>
        <v>0</v>
      </c>
      <c r="R14" s="13">
        <f>'TR TUSD'!$R$14*'TR TUSD'!$R$64</f>
        <v>0</v>
      </c>
      <c r="S14" s="13">
        <f>'TR TUSD'!$S$14*'TR TUSD'!$S$64</f>
        <v>0</v>
      </c>
      <c r="T14" s="13">
        <f ca="1">SUM($L$14:$S$14)</f>
        <v>0</v>
      </c>
      <c r="U14" s="13">
        <f>'TR TUSD'!$U$14*'TR TUSD'!$U$64</f>
        <v>0</v>
      </c>
      <c r="V14" s="13">
        <f>'TR TUSD'!$V$14*'TR TUSD'!$V$64</f>
        <v>0</v>
      </c>
      <c r="W14" s="13">
        <f>'TR TUSD'!$W$14*'TR TUSD'!$W$64</f>
        <v>0</v>
      </c>
      <c r="X14" s="13">
        <f>'TR TUSD'!$X$14*'TR TUSD'!$X$64</f>
        <v>0</v>
      </c>
      <c r="Y14" s="13">
        <f>'TR TUSD'!$Y$14*'TR TUSD'!$Y$64</f>
        <v>14.993959270511258</v>
      </c>
      <c r="Z14" s="13">
        <f>'TR TUSD'!$Z$14</f>
        <v>0</v>
      </c>
      <c r="AA14" s="13">
        <f>'TR TUSD'!$AA$14</f>
        <v>0</v>
      </c>
      <c r="AB14" s="13">
        <f>SUM($U$14:$AA$14)</f>
        <v>14.993959270511258</v>
      </c>
      <c r="AC14" s="13">
        <f>'TR TUSD'!$AC$14*'TR TUSD'!$AC$64</f>
        <v>8.442359412591312</v>
      </c>
      <c r="AD14" s="13">
        <f>SUM($AC$14:$AC$14)</f>
        <v>8.442359412591312</v>
      </c>
      <c r="AE14" s="13">
        <v>0</v>
      </c>
      <c r="AF14" s="13">
        <v>0</v>
      </c>
      <c r="AG14" s="13">
        <f>SUM($AE$14:$AF$14)</f>
        <v>0</v>
      </c>
      <c r="AH14" s="13">
        <f>'TR TUSD'!$AH$14*'TR TUSD'!$AH$64</f>
        <v>0</v>
      </c>
      <c r="AI14" s="13">
        <f>'TR TUSD'!$AI$14*'TR TUSD'!$AI$64</f>
        <v>0</v>
      </c>
      <c r="AJ14" s="13">
        <f ca="1">'TR TUSD'!$AJ$14*'TR TUSD'!$AJ$64</f>
        <v>0</v>
      </c>
      <c r="AK14" s="13">
        <f ca="1">'TR TUSD'!$AK$14*'TR TUSD'!$AK$64</f>
        <v>0</v>
      </c>
      <c r="AL14" s="13">
        <f ca="1">SUM($AH$14:$AK$14)</f>
        <v>0</v>
      </c>
      <c r="AM14" s="13">
        <f ca="1">SUMIF($L$4:$AL$4,"SUBTOTAL",$L$14:$AL$14)</f>
        <v>23.43631868310257</v>
      </c>
      <c r="AP14" s="13">
        <v>1</v>
      </c>
    </row>
    <row r="15" spans="1:42" ht="11.25" customHeight="1" x14ac:dyDescent="0.3">
      <c r="A15" s="146"/>
      <c r="B15" s="146"/>
      <c r="C15" s="146"/>
      <c r="D15" s="146"/>
      <c r="E15" s="146"/>
      <c r="F15" s="146"/>
      <c r="G15" s="24" t="s">
        <v>79</v>
      </c>
      <c r="H15" s="24" t="s">
        <v>78</v>
      </c>
      <c r="I15" s="24">
        <f>'MERCADO TUSD'!$U$12</f>
        <v>3378.5688100000007</v>
      </c>
      <c r="J15" s="15"/>
      <c r="L15" s="13">
        <f>'TR TUSD'!$L$15*'TR TUSD'!$L$64</f>
        <v>2.0986271007943715</v>
      </c>
      <c r="M15" s="13">
        <f>'TR TUSD'!$M$15*'TR TUSD'!$M$64</f>
        <v>0.20051159516385467</v>
      </c>
      <c r="N15" s="13">
        <f ca="1">'TR TUSD'!$N$15*'TR TUSD'!$N$64</f>
        <v>12.762886788199246</v>
      </c>
      <c r="O15" s="13">
        <f>'TR TUSD'!$O$15*'TR TUSD'!$O$64</f>
        <v>0</v>
      </c>
      <c r="P15" s="13">
        <f>'TR TUSD'!$P$15*'TR TUSD'!$P$64</f>
        <v>0</v>
      </c>
      <c r="Q15" s="13">
        <f>'TR TUSD'!$Q$15*'TR TUSD'!$Q$64</f>
        <v>86.492419983665087</v>
      </c>
      <c r="R15" s="13">
        <f>'TR TUSD'!$R$15*'TR TUSD'!$R$64</f>
        <v>15.170627343714017</v>
      </c>
      <c r="S15" s="13">
        <f>'TR TUSD'!$S$15*'TR TUSD'!$S$64</f>
        <v>0</v>
      </c>
      <c r="T15" s="13">
        <f ca="1">SUM($L$15:$S$15)</f>
        <v>116.72507281153658</v>
      </c>
      <c r="U15" s="13">
        <f>'TR TUSD'!$U$15*'TR TUSD'!$U$64</f>
        <v>0</v>
      </c>
      <c r="V15" s="13">
        <f>'TR TUSD'!$V$15*'TR TUSD'!$V$64</f>
        <v>0</v>
      </c>
      <c r="W15" s="13">
        <f>'TR TUSD'!$W$15*'TR TUSD'!$W$64</f>
        <v>0</v>
      </c>
      <c r="X15" s="13">
        <f>'TR TUSD'!$X$15*'TR TUSD'!$X$64</f>
        <v>0</v>
      </c>
      <c r="Y15" s="13">
        <f>'TR TUSD'!$Y$15*'TR TUSD'!$Y$64</f>
        <v>707.92816105913482</v>
      </c>
      <c r="Z15" s="13">
        <f>'TR TUSD'!$Z$15</f>
        <v>0</v>
      </c>
      <c r="AA15" s="13">
        <f>'TR TUSD'!$AA$15</f>
        <v>0</v>
      </c>
      <c r="AB15" s="13">
        <f>SUM($U$15:$AA$15)</f>
        <v>707.92816105913482</v>
      </c>
      <c r="AC15" s="13">
        <f>'TR TUSD'!$AC$15*'TR TUSD'!$AC$64</f>
        <v>203.03843829219082</v>
      </c>
      <c r="AD15" s="13">
        <f>SUM($AC$15:$AC$15)</f>
        <v>203.03843829219082</v>
      </c>
      <c r="AE15" s="13">
        <v>0</v>
      </c>
      <c r="AF15" s="13">
        <v>0</v>
      </c>
      <c r="AG15" s="13">
        <f>SUM($AE$15:$AF$15)</f>
        <v>0</v>
      </c>
      <c r="AH15" s="13">
        <f>'TR TUSD'!$AH$15*'TR TUSD'!$AH$64</f>
        <v>8.0114215000166329</v>
      </c>
      <c r="AI15" s="13">
        <f>'TR TUSD'!$AI$15*'TR TUSD'!$AI$64</f>
        <v>0</v>
      </c>
      <c r="AJ15" s="13">
        <f ca="1">'TR TUSD'!$AJ$15*'TR TUSD'!$AJ$64</f>
        <v>0.83432938061864914</v>
      </c>
      <c r="AK15" s="13">
        <f ca="1">'TR TUSD'!$AK$15*'TR TUSD'!$AK$64</f>
        <v>0.11692841052073664</v>
      </c>
      <c r="AL15" s="13">
        <f ca="1">SUM($AH$15:$AK$15)</f>
        <v>8.9626792911560198</v>
      </c>
      <c r="AM15" s="13">
        <f ca="1">SUMIF($L$4:$AL$4,"SUBTOTAL",$L$15:$AL$15)</f>
        <v>1036.6543514540183</v>
      </c>
      <c r="AP15" s="13">
        <v>1</v>
      </c>
    </row>
    <row r="16" spans="1:42" ht="11.25" customHeight="1" x14ac:dyDescent="0.3">
      <c r="A16" s="146"/>
      <c r="B16" s="146"/>
      <c r="C16" s="146"/>
      <c r="D16" s="146"/>
      <c r="E16" s="146"/>
      <c r="F16" s="146"/>
      <c r="G16" s="24" t="s">
        <v>80</v>
      </c>
      <c r="H16" s="24" t="s">
        <v>78</v>
      </c>
      <c r="I16" s="24">
        <f>'MERCADO TUSD'!$U$13</f>
        <v>37684.03847</v>
      </c>
      <c r="J16" s="15"/>
      <c r="L16" s="13">
        <f>'TR TUSD'!$L$16*'TR TUSD'!$L$64</f>
        <v>2.0986271007943715</v>
      </c>
      <c r="M16" s="13">
        <f>'TR TUSD'!$M$16*'TR TUSD'!$M$64</f>
        <v>0.20051159516385467</v>
      </c>
      <c r="N16" s="13">
        <f ca="1">'TR TUSD'!$N$16*'TR TUSD'!$N$64</f>
        <v>0.41843634044898848</v>
      </c>
      <c r="O16" s="13">
        <f>'TR TUSD'!$O$16*'TR TUSD'!$O$64</f>
        <v>0</v>
      </c>
      <c r="P16" s="13">
        <f>'TR TUSD'!$P$16*'TR TUSD'!$P$64</f>
        <v>0</v>
      </c>
      <c r="Q16" s="13">
        <f>'TR TUSD'!$Q$16*'TR TUSD'!$Q$64</f>
        <v>86.492419983665087</v>
      </c>
      <c r="R16" s="13">
        <f>'TR TUSD'!$R$16*'TR TUSD'!$R$64</f>
        <v>15.170627343714017</v>
      </c>
      <c r="S16" s="13">
        <f>'TR TUSD'!$S$16*'TR TUSD'!$S$64</f>
        <v>0</v>
      </c>
      <c r="T16" s="13">
        <f ca="1">SUM($L$16:$S$16)</f>
        <v>104.38062236378632</v>
      </c>
      <c r="U16" s="13">
        <f>'TR TUSD'!$U$16*'TR TUSD'!$U$64</f>
        <v>0</v>
      </c>
      <c r="V16" s="13">
        <f>'TR TUSD'!$V$16*'TR TUSD'!$V$64</f>
        <v>0</v>
      </c>
      <c r="W16" s="13">
        <f>'TR TUSD'!$W$16*'TR TUSD'!$W$64</f>
        <v>0</v>
      </c>
      <c r="X16" s="13">
        <f>'TR TUSD'!$X$16*'TR TUSD'!$X$64</f>
        <v>0</v>
      </c>
      <c r="Y16" s="13">
        <f>'TR TUSD'!$Y$16*'TR TUSD'!$Y$64</f>
        <v>0</v>
      </c>
      <c r="Z16" s="13">
        <f>'TR TUSD'!$Z$16</f>
        <v>0</v>
      </c>
      <c r="AA16" s="13">
        <f>'TR TUSD'!$AA$16</f>
        <v>0</v>
      </c>
      <c r="AB16" s="13">
        <f>SUM($U$16:$AA$16)</f>
        <v>0</v>
      </c>
      <c r="AC16" s="13">
        <f>'TR TUSD'!$AC$16*'TR TUSD'!$AC$64</f>
        <v>0</v>
      </c>
      <c r="AD16" s="13">
        <f>SUM($AC$16:$AC$16)</f>
        <v>0</v>
      </c>
      <c r="AE16" s="13">
        <v>0</v>
      </c>
      <c r="AF16" s="13">
        <v>0</v>
      </c>
      <c r="AG16" s="13">
        <f>SUM($AE$16:$AF$16)</f>
        <v>0</v>
      </c>
      <c r="AH16" s="13">
        <f>'TR TUSD'!$AH$16*'TR TUSD'!$AH$64</f>
        <v>8.0114215000166329</v>
      </c>
      <c r="AI16" s="13">
        <f>'TR TUSD'!$AI$16*'TR TUSD'!$AI$64</f>
        <v>0</v>
      </c>
      <c r="AJ16" s="13">
        <f ca="1">'TR TUSD'!$AJ$16*'TR TUSD'!$AJ$64</f>
        <v>0.83432938061864914</v>
      </c>
      <c r="AK16" s="13">
        <f ca="1">'TR TUSD'!$AK$16*'TR TUSD'!$AK$64</f>
        <v>0.11692841052073664</v>
      </c>
      <c r="AL16" s="13">
        <f ca="1">SUM($AH$16:$AK$16)</f>
        <v>8.9626792911560198</v>
      </c>
      <c r="AM16" s="13">
        <f ca="1">SUMIF($L$4:$AL$4,"SUBTOTAL",$L$16:$AL$16)</f>
        <v>113.34330165494234</v>
      </c>
      <c r="AP16" s="13">
        <v>1</v>
      </c>
    </row>
    <row r="17" spans="1:42" ht="11.25" customHeight="1" x14ac:dyDescent="0.3">
      <c r="A17" s="146"/>
      <c r="B17" s="146"/>
      <c r="C17" s="146"/>
      <c r="D17" s="146"/>
      <c r="E17" s="146" t="s">
        <v>85</v>
      </c>
      <c r="F17" s="146" t="s">
        <v>25</v>
      </c>
      <c r="G17" s="24" t="s">
        <v>79</v>
      </c>
      <c r="H17" s="24" t="s">
        <v>78</v>
      </c>
      <c r="I17" s="24">
        <f>'MERCADO TUSD'!$U$14</f>
        <v>0</v>
      </c>
      <c r="J17" s="15"/>
      <c r="L17" s="13">
        <f>'TR TUSD'!$L$17*'TR TUSD'!$L$64</f>
        <v>0</v>
      </c>
      <c r="M17" s="13">
        <f>'TR TUSD'!$M$17*'TR TUSD'!$M$64</f>
        <v>0.20051159516385467</v>
      </c>
      <c r="N17" s="13">
        <f ca="1">'TR TUSD'!$N$17*'TR TUSD'!$N$64</f>
        <v>12.742939739592613</v>
      </c>
      <c r="O17" s="13">
        <f>'TR TUSD'!$O$17*'TR TUSD'!$O$64</f>
        <v>0</v>
      </c>
      <c r="P17" s="13">
        <f>'TR TUSD'!$P$17*'TR TUSD'!$P$64</f>
        <v>0</v>
      </c>
      <c r="Q17" s="13">
        <f>'TR TUSD'!$Q$17*'TR TUSD'!$Q$64</f>
        <v>0</v>
      </c>
      <c r="R17" s="13">
        <f>'TR TUSD'!$R$17*'TR TUSD'!$R$64</f>
        <v>0</v>
      </c>
      <c r="S17" s="13">
        <f>'TR TUSD'!$S$17*'TR TUSD'!$S$64</f>
        <v>0</v>
      </c>
      <c r="T17" s="13">
        <f ca="1">SUM($L$17:$S$17)</f>
        <v>12.943451334756467</v>
      </c>
      <c r="U17" s="13">
        <f>'TR TUSD'!$U$17*'TR TUSD'!$U$64</f>
        <v>0</v>
      </c>
      <c r="V17" s="13">
        <f>'TR TUSD'!$V$17*'TR TUSD'!$V$64</f>
        <v>0</v>
      </c>
      <c r="W17" s="13">
        <f>'TR TUSD'!$W$17*'TR TUSD'!$W$64</f>
        <v>0</v>
      </c>
      <c r="X17" s="13">
        <f>'TR TUSD'!$X$17*'TR TUSD'!$X$64</f>
        <v>0</v>
      </c>
      <c r="Y17" s="13">
        <f>'TR TUSD'!$Y$17*'TR TUSD'!$Y$64</f>
        <v>707.92816105913482</v>
      </c>
      <c r="Z17" s="13">
        <f>'TR TUSD'!$Z$17</f>
        <v>0</v>
      </c>
      <c r="AA17" s="13">
        <f>'TR TUSD'!$AA$17</f>
        <v>0</v>
      </c>
      <c r="AB17" s="13">
        <f>SUM($U$17:$AA$17)</f>
        <v>707.92816105913482</v>
      </c>
      <c r="AC17" s="13">
        <f>'TR TUSD'!$AC$17*'TR TUSD'!$AC$64</f>
        <v>203.03843829219082</v>
      </c>
      <c r="AD17" s="13">
        <f>SUM($AC$17:$AC$17)</f>
        <v>203.03843829219082</v>
      </c>
      <c r="AE17" s="13">
        <v>0</v>
      </c>
      <c r="AF17" s="13">
        <v>0</v>
      </c>
      <c r="AG17" s="13">
        <f>SUM($AE$17:$AF$17)</f>
        <v>0</v>
      </c>
      <c r="AH17" s="13">
        <f>'TR TUSD'!$AH$17*'TR TUSD'!$AH$64</f>
        <v>8.0114215000166329</v>
      </c>
      <c r="AI17" s="13">
        <f>'TR TUSD'!$AI$17*'TR TUSD'!$AI$64</f>
        <v>0</v>
      </c>
      <c r="AJ17" s="13">
        <f ca="1">'TR TUSD'!$AJ$17*'TR TUSD'!$AJ$64</f>
        <v>0.83432938061864914</v>
      </c>
      <c r="AK17" s="13">
        <f ca="1">'TR TUSD'!$AK$17*'TR TUSD'!$AK$64</f>
        <v>0.11692841052073664</v>
      </c>
      <c r="AL17" s="13">
        <f ca="1">SUM($AH$17:$AK$17)</f>
        <v>8.9626792911560198</v>
      </c>
      <c r="AM17" s="13">
        <f ca="1">SUMIF($L$4:$AL$4,"SUBTOTAL",$L$17:$AL$17)</f>
        <v>932.87272997723812</v>
      </c>
      <c r="AP17" s="13">
        <v>1</v>
      </c>
    </row>
    <row r="18" spans="1:42" ht="11.25" customHeight="1" x14ac:dyDescent="0.3">
      <c r="A18" s="146"/>
      <c r="B18" s="146"/>
      <c r="C18" s="146"/>
      <c r="D18" s="146"/>
      <c r="E18" s="146"/>
      <c r="F18" s="146"/>
      <c r="G18" s="24" t="s">
        <v>80</v>
      </c>
      <c r="H18" s="24" t="s">
        <v>78</v>
      </c>
      <c r="I18" s="24">
        <f>'MERCADO TUSD'!$U$15</f>
        <v>0</v>
      </c>
      <c r="J18" s="15"/>
      <c r="L18" s="13">
        <f>'TR TUSD'!$L$18*'TR TUSD'!$L$64</f>
        <v>0</v>
      </c>
      <c r="M18" s="13">
        <f>'TR TUSD'!$M$18*'TR TUSD'!$M$64</f>
        <v>0.20051159516385467</v>
      </c>
      <c r="N18" s="13">
        <f ca="1">'TR TUSD'!$N$18*'TR TUSD'!$N$64</f>
        <v>0.39848929184235427</v>
      </c>
      <c r="O18" s="13">
        <f>'TR TUSD'!$O$18*'TR TUSD'!$O$64</f>
        <v>0</v>
      </c>
      <c r="P18" s="13">
        <f>'TR TUSD'!$P$18*'TR TUSD'!$P$64</f>
        <v>0</v>
      </c>
      <c r="Q18" s="13">
        <f>'TR TUSD'!$Q$18*'TR TUSD'!$Q$64</f>
        <v>0</v>
      </c>
      <c r="R18" s="13">
        <f>'TR TUSD'!$R$18*'TR TUSD'!$R$64</f>
        <v>0</v>
      </c>
      <c r="S18" s="13">
        <f>'TR TUSD'!$S$18*'TR TUSD'!$S$64</f>
        <v>0</v>
      </c>
      <c r="T18" s="13">
        <f ca="1">SUM($L$18:$S$18)</f>
        <v>0.5990008870062089</v>
      </c>
      <c r="U18" s="13">
        <f>'TR TUSD'!$U$18*'TR TUSD'!$U$64</f>
        <v>0</v>
      </c>
      <c r="V18" s="13">
        <f>'TR TUSD'!$V$18*'TR TUSD'!$V$64</f>
        <v>0</v>
      </c>
      <c r="W18" s="13">
        <f>'TR TUSD'!$W$18*'TR TUSD'!$W$64</f>
        <v>0</v>
      </c>
      <c r="X18" s="13">
        <f>'TR TUSD'!$X$18*'TR TUSD'!$X$64</f>
        <v>0</v>
      </c>
      <c r="Y18" s="13">
        <f>'TR TUSD'!$Y$18*'TR TUSD'!$Y$64</f>
        <v>0</v>
      </c>
      <c r="Z18" s="13">
        <f>'TR TUSD'!$Z$18</f>
        <v>0</v>
      </c>
      <c r="AA18" s="13">
        <f>'TR TUSD'!$AA$18</f>
        <v>0</v>
      </c>
      <c r="AB18" s="13">
        <f>SUM($U$18:$AA$18)</f>
        <v>0</v>
      </c>
      <c r="AC18" s="13">
        <f>'TR TUSD'!$AC$18*'TR TUSD'!$AC$64</f>
        <v>0</v>
      </c>
      <c r="AD18" s="13">
        <f>SUM($AC$18:$AC$18)</f>
        <v>0</v>
      </c>
      <c r="AE18" s="13">
        <v>0</v>
      </c>
      <c r="AF18" s="13">
        <v>0</v>
      </c>
      <c r="AG18" s="13">
        <f>SUM($AE$18:$AF$18)</f>
        <v>0</v>
      </c>
      <c r="AH18" s="13">
        <f>'TR TUSD'!$AH$18*'TR TUSD'!$AH$64</f>
        <v>8.0114215000166329</v>
      </c>
      <c r="AI18" s="13">
        <f>'TR TUSD'!$AI$18*'TR TUSD'!$AI$64</f>
        <v>0</v>
      </c>
      <c r="AJ18" s="13">
        <f ca="1">'TR TUSD'!$AJ$18*'TR TUSD'!$AJ$64</f>
        <v>0.83432938061864914</v>
      </c>
      <c r="AK18" s="13">
        <f ca="1">'TR TUSD'!$AK$18*'TR TUSD'!$AK$64</f>
        <v>0.11692841052073664</v>
      </c>
      <c r="AL18" s="13">
        <f ca="1">SUM($AH$18:$AK$18)</f>
        <v>8.9626792911560198</v>
      </c>
      <c r="AM18" s="13">
        <f ca="1">SUMIF($L$4:$AL$4,"SUBTOTAL",$L$18:$AL$18)</f>
        <v>9.5616801781622289</v>
      </c>
      <c r="AP18" s="13">
        <v>1</v>
      </c>
    </row>
    <row r="19" spans="1:42" ht="11.25" customHeight="1" x14ac:dyDescent="0.3">
      <c r="A19" s="146" t="s">
        <v>86</v>
      </c>
      <c r="B19" s="146" t="s">
        <v>57</v>
      </c>
      <c r="C19" s="146" t="s">
        <v>25</v>
      </c>
      <c r="D19" s="146" t="s">
        <v>25</v>
      </c>
      <c r="E19" s="23" t="s">
        <v>87</v>
      </c>
      <c r="F19" s="23" t="s">
        <v>25</v>
      </c>
      <c r="G19" s="24" t="s">
        <v>9</v>
      </c>
      <c r="H19" s="24" t="s">
        <v>81</v>
      </c>
      <c r="I19" s="24">
        <f>'MERCADO TUSD'!$U$16+0.00000001</f>
        <v>1E-8</v>
      </c>
      <c r="J19" s="15"/>
      <c r="L19" s="13">
        <f>'TR TUSD'!$L$19*'TR TUSD'!$L$64</f>
        <v>0</v>
      </c>
      <c r="M19" s="13">
        <f>'TR TUSD'!$M$19*'TR TUSD'!$M$64</f>
        <v>3.7962888368205203E-2</v>
      </c>
      <c r="N19" s="13">
        <f ca="1">'TR TUSD'!$N$19*'TR TUSD'!$N$64</f>
        <v>0.19009537322122408</v>
      </c>
      <c r="O19" s="13">
        <f>'TR TUSD'!$O$19*'TR TUSD'!$O$64</f>
        <v>0</v>
      </c>
      <c r="P19" s="13">
        <f>'TR TUSD'!$P$19*'TR TUSD'!$P$64</f>
        <v>0</v>
      </c>
      <c r="Q19" s="13">
        <f>'TR TUSD'!$Q$19*'TR TUSD'!$Q$64</f>
        <v>0</v>
      </c>
      <c r="R19" s="13">
        <f>'TR TUSD'!$R$19*'TR TUSD'!$R$64</f>
        <v>0</v>
      </c>
      <c r="S19" s="13">
        <f>'TR TUSD'!$S$19*'TR TUSD'!$S$64</f>
        <v>0</v>
      </c>
      <c r="T19" s="13">
        <f ca="1">SUM($L$19:$S$19)</f>
        <v>0.22805826158942927</v>
      </c>
      <c r="U19" s="13">
        <f>'TR TUSD'!$U$19*'TR TUSD'!$U$64</f>
        <v>0</v>
      </c>
      <c r="V19" s="13">
        <f>'TR TUSD'!$V$19*'TR TUSD'!$V$64</f>
        <v>0</v>
      </c>
      <c r="W19" s="13">
        <f>'TR TUSD'!$W$19*'TR TUSD'!$W$64</f>
        <v>0</v>
      </c>
      <c r="X19" s="13">
        <f>'TR TUSD'!$X$19*'TR TUSD'!$X$64</f>
        <v>0</v>
      </c>
      <c r="Y19" s="13">
        <f>'TR TUSD'!$Y$19*'TR TUSD'!$Y$64</f>
        <v>0</v>
      </c>
      <c r="Z19" s="13">
        <f>'TR TUSD'!$Z$19*'TR TUSD'!$Z$64</f>
        <v>0</v>
      </c>
      <c r="AA19" s="13">
        <f>'TR TUSD'!$AA$19*'TR TUSD'!$AA$64</f>
        <v>0</v>
      </c>
      <c r="AB19" s="13">
        <f>SUM($U$19:$AA$19)</f>
        <v>0</v>
      </c>
      <c r="AC19" s="13">
        <f>'TR TUSD'!$AC$19*'TR TUSD'!$AC$64</f>
        <v>10.546754312961886</v>
      </c>
      <c r="AD19" s="13">
        <f>SUM($AC$19:$AC$19)</f>
        <v>10.546754312961886</v>
      </c>
      <c r="AE19" s="13">
        <v>0</v>
      </c>
      <c r="AF19" s="13">
        <v>0</v>
      </c>
      <c r="AG19" s="13">
        <f>SUM($AE$19:$AF$19)</f>
        <v>0</v>
      </c>
      <c r="AH19" s="13">
        <f>'TR TUSD'!$AH$19*'TR TUSD'!$AH$64</f>
        <v>0</v>
      </c>
      <c r="AI19" s="13">
        <f>'TR TUSD'!$AI$19*'TR TUSD'!$AI$64</f>
        <v>0</v>
      </c>
      <c r="AJ19" s="13">
        <f ca="1">'TR TUSD'!$AJ$19*'TR TUSD'!$AJ$64</f>
        <v>0</v>
      </c>
      <c r="AK19" s="13">
        <f ca="1">'TR TUSD'!$AK$19*'TR TUSD'!$AK$64</f>
        <v>0</v>
      </c>
      <c r="AL19" s="13">
        <f ca="1">SUM($AH$19:$AK$19)</f>
        <v>0</v>
      </c>
      <c r="AM19" s="13">
        <f ca="1">SUMIF($L$4:$AL$4,"SUBTOTAL",$L$19:$AL$19)</f>
        <v>10.774812574551316</v>
      </c>
      <c r="AP19" s="13"/>
    </row>
    <row r="20" spans="1:42" ht="11.25" customHeight="1" x14ac:dyDescent="0.3">
      <c r="A20" s="146"/>
      <c r="B20" s="146"/>
      <c r="C20" s="146"/>
      <c r="D20" s="146"/>
      <c r="E20" s="23" t="s">
        <v>88</v>
      </c>
      <c r="F20" s="23" t="s">
        <v>25</v>
      </c>
      <c r="G20" s="24" t="s">
        <v>9</v>
      </c>
      <c r="H20" s="24" t="s">
        <v>81</v>
      </c>
      <c r="I20" s="24">
        <f>'MERCADO TUSD'!$U$17+0.00000001</f>
        <v>1E-8</v>
      </c>
      <c r="J20" s="15"/>
      <c r="L20" s="13">
        <f>'TR TUSD'!$L$20*'TR TUSD'!$L$64</f>
        <v>0</v>
      </c>
      <c r="M20" s="13">
        <f>'TR TUSD'!$M$20*'TR TUSD'!$M$64</f>
        <v>3.7962888368205203E-2</v>
      </c>
      <c r="N20" s="13">
        <f ca="1">'TR TUSD'!$N$20*'TR TUSD'!$N$64</f>
        <v>0.19009537322122408</v>
      </c>
      <c r="O20" s="13">
        <f>'TR TUSD'!$O$20*'TR TUSD'!$O$64</f>
        <v>0</v>
      </c>
      <c r="P20" s="13">
        <f>'TR TUSD'!$P$20*'TR TUSD'!$P$64</f>
        <v>0</v>
      </c>
      <c r="Q20" s="13">
        <f>'TR TUSD'!$Q$20*'TR TUSD'!$Q$64</f>
        <v>0</v>
      </c>
      <c r="R20" s="13">
        <f>'TR TUSD'!$R$20*'TR TUSD'!$R$64</f>
        <v>0</v>
      </c>
      <c r="S20" s="13">
        <f>'TR TUSD'!$S$20*'TR TUSD'!$S$64</f>
        <v>0</v>
      </c>
      <c r="T20" s="13">
        <f ca="1">SUM($L$20:$S$20)</f>
        <v>0.22805826158942927</v>
      </c>
      <c r="U20" s="13">
        <f>'TR TUSD'!$U$20*'TR TUSD'!$U$64</f>
        <v>0</v>
      </c>
      <c r="V20" s="13">
        <f>'TR TUSD'!$V$20*'TR TUSD'!$V$64</f>
        <v>0</v>
      </c>
      <c r="W20" s="13">
        <f>'TR TUSD'!$W$20*'TR TUSD'!$W$64</f>
        <v>0</v>
      </c>
      <c r="X20" s="13">
        <f>'TR TUSD'!$X$20*'TR TUSD'!$X$64</f>
        <v>0</v>
      </c>
      <c r="Y20" s="13">
        <f>'TR TUSD'!$Y$20*'TR TUSD'!$Y$64</f>
        <v>0</v>
      </c>
      <c r="Z20" s="13">
        <f>'TR TUSD'!$Z$20*'TR TUSD'!$Z$64</f>
        <v>0</v>
      </c>
      <c r="AA20" s="13">
        <f>'TR TUSD'!$AA$20*'TR TUSD'!$AA$64</f>
        <v>0</v>
      </c>
      <c r="AB20" s="13">
        <f>SUM($U$20:$AA$20)</f>
        <v>0</v>
      </c>
      <c r="AC20" s="13">
        <f>'TR TUSD'!$AC$20*'TR TUSD'!$AC$64</f>
        <v>16.392233969419483</v>
      </c>
      <c r="AD20" s="13">
        <f>SUM($AC$20:$AC$20)</f>
        <v>16.392233969419483</v>
      </c>
      <c r="AE20" s="13">
        <v>0</v>
      </c>
      <c r="AF20" s="13">
        <v>0</v>
      </c>
      <c r="AG20" s="13">
        <f>SUM($AE$20:$AF$20)</f>
        <v>0</v>
      </c>
      <c r="AH20" s="13">
        <f>'TR TUSD'!$AH$20*'TR TUSD'!$AH$64</f>
        <v>0</v>
      </c>
      <c r="AI20" s="13">
        <f>'TR TUSD'!$AI$20*'TR TUSD'!$AI$64</f>
        <v>0</v>
      </c>
      <c r="AJ20" s="13">
        <f ca="1">'TR TUSD'!$AJ$20*'TR TUSD'!$AJ$64</f>
        <v>0</v>
      </c>
      <c r="AK20" s="13">
        <f ca="1">'TR TUSD'!$AK$20*'TR TUSD'!$AK$64</f>
        <v>0</v>
      </c>
      <c r="AL20" s="13">
        <f ca="1">SUM($AH$20:$AK$20)</f>
        <v>0</v>
      </c>
      <c r="AM20" s="13">
        <f ca="1">SUMIF($L$4:$AL$4,"SUBTOTAL",$L$20:$AL$20)</f>
        <v>16.620292231008911</v>
      </c>
      <c r="AP20" s="13"/>
    </row>
    <row r="21" spans="1:42" ht="11.25" customHeight="1" x14ac:dyDescent="0.3">
      <c r="A21" s="146" t="s">
        <v>22</v>
      </c>
      <c r="B21" s="146" t="s">
        <v>38</v>
      </c>
      <c r="C21" s="146" t="s">
        <v>24</v>
      </c>
      <c r="D21" s="146" t="s">
        <v>24</v>
      </c>
      <c r="E21" s="146" t="s">
        <v>25</v>
      </c>
      <c r="F21" s="146" t="s">
        <v>25</v>
      </c>
      <c r="G21" s="24" t="s">
        <v>79</v>
      </c>
      <c r="H21" s="24" t="s">
        <v>78</v>
      </c>
      <c r="I21" s="24">
        <f>'MERCADO TUSD'!$U$18</f>
        <v>0</v>
      </c>
      <c r="J21" s="15"/>
      <c r="L21" s="13">
        <f>'TR TUSD'!$L$21*'TR TUSD'!$L$64</f>
        <v>2.4983655961837758</v>
      </c>
      <c r="M21" s="13">
        <f>'TR TUSD'!$M$21*'TR TUSD'!$M$64</f>
        <v>0.88834685508396871</v>
      </c>
      <c r="N21" s="13">
        <f ca="1">'TR TUSD'!$N$21*'TR TUSD'!$N$64</f>
        <v>26.910023612106851</v>
      </c>
      <c r="O21" s="13">
        <f>'TR TUSD'!$O$21*'TR TUSD'!$O$64</f>
        <v>0</v>
      </c>
      <c r="P21" s="13">
        <f>'TR TUSD'!$P$21*'TR TUSD'!$P$64</f>
        <v>0</v>
      </c>
      <c r="Q21" s="13">
        <f>'TR TUSD'!$Q$21*'TR TUSD'!$Q$64</f>
        <v>102.96716664722034</v>
      </c>
      <c r="R21" s="13">
        <f>'TR TUSD'!$R$21*'TR TUSD'!$R$64</f>
        <v>15.170627343714017</v>
      </c>
      <c r="S21" s="13">
        <f>'TR TUSD'!$S$21*'TR TUSD'!$S$64</f>
        <v>0</v>
      </c>
      <c r="T21" s="13">
        <f ca="1">SUM($L$21:$S$21)</f>
        <v>148.43453005430896</v>
      </c>
      <c r="U21" s="13">
        <f>'TR TUSD'!$U$21*'TR TUSD'!$U$64</f>
        <v>0</v>
      </c>
      <c r="V21" s="13">
        <f>'TR TUSD'!$V$21*'TR TUSD'!$V$64</f>
        <v>0</v>
      </c>
      <c r="W21" s="13">
        <f>'TR TUSD'!$W$21*'TR TUSD'!$W$64</f>
        <v>0</v>
      </c>
      <c r="X21" s="13">
        <f>'TR TUSD'!$X$21*'TR TUSD'!$X$64</f>
        <v>0</v>
      </c>
      <c r="Y21" s="13">
        <f>'TR TUSD'!$Y$21*'TR TUSD'!$Y$64</f>
        <v>514.5123356433628</v>
      </c>
      <c r="Z21" s="13">
        <f>'TR TUSD'!$Z$21</f>
        <v>0</v>
      </c>
      <c r="AA21" s="13">
        <f>'TR TUSD'!$AA$21</f>
        <v>0</v>
      </c>
      <c r="AB21" s="13">
        <f>SUM($U$21:$AA$21)</f>
        <v>514.5123356433628</v>
      </c>
      <c r="AC21" s="13">
        <f>'TR TUSD'!$AC$21*'TR TUSD'!$AC$64</f>
        <v>1087.8353744894553</v>
      </c>
      <c r="AD21" s="13">
        <f>SUM($AC$21:$AC$21)</f>
        <v>1087.8353744894553</v>
      </c>
      <c r="AE21" s="13">
        <v>0</v>
      </c>
      <c r="AF21" s="13">
        <v>0</v>
      </c>
      <c r="AG21" s="13">
        <f>SUM($AE$21:$AF$21)</f>
        <v>0</v>
      </c>
      <c r="AH21" s="13">
        <f>'TR TUSD'!$AH$21*'TR TUSD'!$AH$64</f>
        <v>22.284323363630627</v>
      </c>
      <c r="AI21" s="13">
        <f>'TR TUSD'!$AI$21*'TR TUSD'!$AI$64</f>
        <v>0</v>
      </c>
      <c r="AJ21" s="13">
        <f ca="1">'TR TUSD'!$AJ$21*'TR TUSD'!$AJ$64</f>
        <v>1.3071299329695818</v>
      </c>
      <c r="AK21" s="13">
        <f ca="1">'TR TUSD'!$AK$21*'TR TUSD'!$AK$64</f>
        <v>0.18318979165384303</v>
      </c>
      <c r="AL21" s="13">
        <f ca="1">SUM($AH$21:$AK$21)</f>
        <v>23.774643088254049</v>
      </c>
      <c r="AM21" s="13">
        <f ca="1">SUMIF($L$4:$AL$4,"SUBTOTAL",$L$21:$AL$21)</f>
        <v>1774.5568832753813</v>
      </c>
      <c r="AP21" s="13">
        <v>1</v>
      </c>
    </row>
    <row r="22" spans="1:42" ht="11.25" customHeight="1" x14ac:dyDescent="0.3">
      <c r="A22" s="146"/>
      <c r="B22" s="146"/>
      <c r="C22" s="146"/>
      <c r="D22" s="146"/>
      <c r="E22" s="146"/>
      <c r="F22" s="146"/>
      <c r="G22" s="24" t="s">
        <v>89</v>
      </c>
      <c r="H22" s="24" t="s">
        <v>78</v>
      </c>
      <c r="I22" s="24">
        <f>'MERCADO TUSD'!$U$19</f>
        <v>0</v>
      </c>
      <c r="J22" s="15"/>
      <c r="L22" s="13">
        <f>'TR TUSD'!$L$22*'TR TUSD'!$L$64</f>
        <v>2.4983655961837758</v>
      </c>
      <c r="M22" s="13">
        <f>'TR TUSD'!$M$22*'TR TUSD'!$M$64</f>
        <v>0.88834685508396871</v>
      </c>
      <c r="N22" s="13">
        <f ca="1">'TR TUSD'!$N$22*'TR TUSD'!$N$64</f>
        <v>4.0885813647983218</v>
      </c>
      <c r="O22" s="13">
        <f>'TR TUSD'!$O$22*'TR TUSD'!$O$64</f>
        <v>0</v>
      </c>
      <c r="P22" s="13">
        <f>'TR TUSD'!$P$22*'TR TUSD'!$P$64</f>
        <v>0</v>
      </c>
      <c r="Q22" s="13">
        <f>'TR TUSD'!$Q$22*'TR TUSD'!$Q$64</f>
        <v>102.96716664722034</v>
      </c>
      <c r="R22" s="13">
        <f>'TR TUSD'!$R$22*'TR TUSD'!$R$64</f>
        <v>15.170627343714017</v>
      </c>
      <c r="S22" s="13">
        <f>'TR TUSD'!$S$22*'TR TUSD'!$S$64</f>
        <v>0</v>
      </c>
      <c r="T22" s="13">
        <f ca="1">SUM($L$22:$S$22)</f>
        <v>125.61308780700043</v>
      </c>
      <c r="U22" s="13">
        <f>'TR TUSD'!$U$22*'TR TUSD'!$U$64</f>
        <v>0</v>
      </c>
      <c r="V22" s="13">
        <f>'TR TUSD'!$V$22*'TR TUSD'!$V$64</f>
        <v>0</v>
      </c>
      <c r="W22" s="13">
        <f>'TR TUSD'!$W$22*'TR TUSD'!$W$64</f>
        <v>0</v>
      </c>
      <c r="X22" s="13">
        <f>'TR TUSD'!$X$22*'TR TUSD'!$X$64</f>
        <v>0</v>
      </c>
      <c r="Y22" s="13">
        <f>'TR TUSD'!$Y$22*'TR TUSD'!$Y$64</f>
        <v>60.287321875983984</v>
      </c>
      <c r="Z22" s="13">
        <f>'TR TUSD'!$Z$22</f>
        <v>0</v>
      </c>
      <c r="AA22" s="13">
        <f>'TR TUSD'!$AA$22</f>
        <v>0</v>
      </c>
      <c r="AB22" s="13">
        <f>SUM($U$22:$AA$22)</f>
        <v>60.287321875983984</v>
      </c>
      <c r="AC22" s="13">
        <f>'TR TUSD'!$AC$22*'TR TUSD'!$AC$64</f>
        <v>127.46590378182405</v>
      </c>
      <c r="AD22" s="13">
        <f>SUM($AC$22:$AC$22)</f>
        <v>127.46590378182405</v>
      </c>
      <c r="AE22" s="13">
        <v>0</v>
      </c>
      <c r="AF22" s="13">
        <v>0</v>
      </c>
      <c r="AG22" s="13">
        <f>SUM($AE$22:$AF$22)</f>
        <v>0</v>
      </c>
      <c r="AH22" s="13">
        <f>'TR TUSD'!$AH$22*'TR TUSD'!$AH$64</f>
        <v>22.284323363630627</v>
      </c>
      <c r="AI22" s="13">
        <f>'TR TUSD'!$AI$22*'TR TUSD'!$AI$64</f>
        <v>0</v>
      </c>
      <c r="AJ22" s="13">
        <f ca="1">'TR TUSD'!$AJ$22*'TR TUSD'!$AJ$64</f>
        <v>1.3071299329695818</v>
      </c>
      <c r="AK22" s="13">
        <f ca="1">'TR TUSD'!$AK$22*'TR TUSD'!$AK$64</f>
        <v>0.18318979165384303</v>
      </c>
      <c r="AL22" s="13">
        <f ca="1">SUM($AH$22:$AK$22)</f>
        <v>23.774643088254049</v>
      </c>
      <c r="AM22" s="13">
        <f ca="1">SUMIF($L$4:$AL$4,"SUBTOTAL",$L$22:$AL$22)</f>
        <v>337.14095655306249</v>
      </c>
      <c r="AP22" s="13">
        <v>1</v>
      </c>
    </row>
    <row r="23" spans="1:42" ht="11.25" customHeight="1" x14ac:dyDescent="0.3">
      <c r="A23" s="146"/>
      <c r="B23" s="146"/>
      <c r="C23" s="146"/>
      <c r="D23" s="146"/>
      <c r="E23" s="146"/>
      <c r="F23" s="146"/>
      <c r="G23" s="24" t="s">
        <v>80</v>
      </c>
      <c r="H23" s="24" t="s">
        <v>78</v>
      </c>
      <c r="I23" s="24">
        <f>'MERCADO TUSD'!$U$20</f>
        <v>0</v>
      </c>
      <c r="J23" s="15"/>
      <c r="L23" s="13">
        <f>'TR TUSD'!$L$23*'TR TUSD'!$L$64</f>
        <v>2.4983655961837758</v>
      </c>
      <c r="M23" s="13">
        <f>'TR TUSD'!$M$23*'TR TUSD'!$M$64</f>
        <v>0.88834685508396871</v>
      </c>
      <c r="N23" s="13">
        <f ca="1">'TR TUSD'!$N$23*'TR TUSD'!$N$64</f>
        <v>1.9637619060738245</v>
      </c>
      <c r="O23" s="13">
        <f>'TR TUSD'!$O$23*'TR TUSD'!$O$64</f>
        <v>0</v>
      </c>
      <c r="P23" s="13">
        <f>'TR TUSD'!$P$23*'TR TUSD'!$P$64</f>
        <v>0</v>
      </c>
      <c r="Q23" s="13">
        <f>'TR TUSD'!$Q$23*'TR TUSD'!$Q$64</f>
        <v>102.96716664722034</v>
      </c>
      <c r="R23" s="13">
        <f>'TR TUSD'!$R$23*'TR TUSD'!$R$64</f>
        <v>15.170627343714017</v>
      </c>
      <c r="S23" s="13">
        <f>'TR TUSD'!$S$23*'TR TUSD'!$S$64</f>
        <v>0</v>
      </c>
      <c r="T23" s="13">
        <f ca="1">SUM($L$23:$S$23)</f>
        <v>123.48826834827592</v>
      </c>
      <c r="U23" s="13">
        <f>'TR TUSD'!$U$23*'TR TUSD'!$U$64</f>
        <v>0</v>
      </c>
      <c r="V23" s="13">
        <f>'TR TUSD'!$V$23*'TR TUSD'!$V$64</f>
        <v>0</v>
      </c>
      <c r="W23" s="13">
        <f>'TR TUSD'!$W$23*'TR TUSD'!$W$64</f>
        <v>0</v>
      </c>
      <c r="X23" s="13">
        <f>'TR TUSD'!$X$23*'TR TUSD'!$X$64</f>
        <v>0</v>
      </c>
      <c r="Y23" s="13">
        <f>'TR TUSD'!$Y$23*'TR TUSD'!$Y$64</f>
        <v>17.996159764880687</v>
      </c>
      <c r="Z23" s="13">
        <f>'TR TUSD'!$Z$23</f>
        <v>0</v>
      </c>
      <c r="AA23" s="13">
        <f>'TR TUSD'!$AA$23</f>
        <v>0</v>
      </c>
      <c r="AB23" s="13">
        <f>SUM($U$23:$AA$23)</f>
        <v>17.996159764880687</v>
      </c>
      <c r="AC23" s="13">
        <f>'TR TUSD'!$AC$23*'TR TUSD'!$AC$64</f>
        <v>38.049455518016181</v>
      </c>
      <c r="AD23" s="13">
        <f>SUM($AC$23:$AC$23)</f>
        <v>38.049455518016181</v>
      </c>
      <c r="AE23" s="13">
        <v>0</v>
      </c>
      <c r="AF23" s="13">
        <v>0</v>
      </c>
      <c r="AG23" s="13">
        <f>SUM($AE$23:$AF$23)</f>
        <v>0</v>
      </c>
      <c r="AH23" s="13">
        <f>'TR TUSD'!$AH$23*'TR TUSD'!$AH$64</f>
        <v>22.284323363630627</v>
      </c>
      <c r="AI23" s="13">
        <f>'TR TUSD'!$AI$23*'TR TUSD'!$AI$64</f>
        <v>0</v>
      </c>
      <c r="AJ23" s="13">
        <f ca="1">'TR TUSD'!$AJ$23*'TR TUSD'!$AJ$64</f>
        <v>1.3071299329695818</v>
      </c>
      <c r="AK23" s="13">
        <f ca="1">'TR TUSD'!$AK$23*'TR TUSD'!$AK$64</f>
        <v>0.18318979165384303</v>
      </c>
      <c r="AL23" s="13">
        <f ca="1">SUM($AH$23:$AK$23)</f>
        <v>23.774643088254049</v>
      </c>
      <c r="AM23" s="13">
        <f ca="1">SUMIF($L$4:$AL$4,"SUBTOTAL",$L$23:$AL$23)</f>
        <v>203.30852671942682</v>
      </c>
      <c r="AP23" s="13">
        <v>1</v>
      </c>
    </row>
    <row r="24" spans="1:42" ht="11.25" customHeight="1" x14ac:dyDescent="0.3">
      <c r="A24" s="146"/>
      <c r="B24" s="146" t="s">
        <v>23</v>
      </c>
      <c r="C24" s="146" t="s">
        <v>24</v>
      </c>
      <c r="D24" s="23" t="s">
        <v>24</v>
      </c>
      <c r="E24" s="23" t="s">
        <v>25</v>
      </c>
      <c r="F24" s="23" t="s">
        <v>25</v>
      </c>
      <c r="G24" s="24" t="s">
        <v>84</v>
      </c>
      <c r="H24" s="24" t="s">
        <v>78</v>
      </c>
      <c r="I24" s="24">
        <f>'MERCADO TUSD'!$U$21</f>
        <v>11530.447999999999</v>
      </c>
      <c r="J24" s="15"/>
      <c r="L24" s="13">
        <f>'TR TUSD'!$L$24*'TR TUSD'!$L$64</f>
        <v>2.4983655961837758</v>
      </c>
      <c r="M24" s="13">
        <f>'TR TUSD'!$M$24*'TR TUSD'!$M$64</f>
        <v>0.88834685508396871</v>
      </c>
      <c r="N24" s="13">
        <f ca="1">'TR TUSD'!$N$24*'TR TUSD'!$N$64</f>
        <v>5.8184153511288281</v>
      </c>
      <c r="O24" s="13">
        <f>'TR TUSD'!$O$24*'TR TUSD'!$O$64</f>
        <v>0</v>
      </c>
      <c r="P24" s="13">
        <f>'TR TUSD'!$P$24*'TR TUSD'!$P$64</f>
        <v>0</v>
      </c>
      <c r="Q24" s="13">
        <f>'TR TUSD'!$Q$24*'TR TUSD'!$Q$64</f>
        <v>102.96716664722034</v>
      </c>
      <c r="R24" s="13">
        <f>'TR TUSD'!$R$24*'TR TUSD'!$R$64</f>
        <v>15.170627343714017</v>
      </c>
      <c r="S24" s="13">
        <f>'TR TUSD'!$S$24*'TR TUSD'!$S$64</f>
        <v>0</v>
      </c>
      <c r="T24" s="13">
        <f ca="1">SUM($L$24:$S$24)</f>
        <v>127.34292179333093</v>
      </c>
      <c r="U24" s="13">
        <f>'TR TUSD'!$U$24*'TR TUSD'!$U$64</f>
        <v>0</v>
      </c>
      <c r="V24" s="13">
        <f>'TR TUSD'!$V$24*'TR TUSD'!$V$64</f>
        <v>0</v>
      </c>
      <c r="W24" s="13">
        <f>'TR TUSD'!$W$24*'TR TUSD'!$W$64</f>
        <v>0</v>
      </c>
      <c r="X24" s="13">
        <f>'TR TUSD'!$X$24*'TR TUSD'!$X$64</f>
        <v>0</v>
      </c>
      <c r="Y24" s="13">
        <f>'TR TUSD'!$Y$24*'TR TUSD'!$Y$64</f>
        <v>94.717023317548211</v>
      </c>
      <c r="Z24" s="13">
        <f>'TR TUSD'!$Z$24</f>
        <v>0</v>
      </c>
      <c r="AA24" s="13">
        <f>'TR TUSD'!$AA$24</f>
        <v>0</v>
      </c>
      <c r="AB24" s="13">
        <f>SUM($U$24:$AA$24)</f>
        <v>94.717023317548211</v>
      </c>
      <c r="AC24" s="13">
        <f>'TR TUSD'!$AC$24*'TR TUSD'!$AC$64</f>
        <v>200.26054368270911</v>
      </c>
      <c r="AD24" s="13">
        <f>SUM($AC$24:$AC$24)</f>
        <v>200.26054368270911</v>
      </c>
      <c r="AE24" s="13">
        <v>0</v>
      </c>
      <c r="AF24" s="13">
        <v>0</v>
      </c>
      <c r="AG24" s="13">
        <f>SUM($AE$24:$AF$24)</f>
        <v>0</v>
      </c>
      <c r="AH24" s="13">
        <f>'TR TUSD'!$AH$24*'TR TUSD'!$AH$64</f>
        <v>22.284323363630627</v>
      </c>
      <c r="AI24" s="13">
        <f>'TR TUSD'!$AI$24*'TR TUSD'!$AI$64</f>
        <v>0</v>
      </c>
      <c r="AJ24" s="13">
        <f ca="1">'TR TUSD'!$AJ$24*'TR TUSD'!$AJ$64</f>
        <v>1.3071299329695818</v>
      </c>
      <c r="AK24" s="13">
        <f ca="1">'TR TUSD'!$AK$24*'TR TUSD'!$AK$64</f>
        <v>0.18318979165384303</v>
      </c>
      <c r="AL24" s="13">
        <f ca="1">SUM($AH$24:$AK$24)</f>
        <v>23.774643088254049</v>
      </c>
      <c r="AM24" s="13">
        <f ca="1">SUMIF($L$4:$AL$4,"SUBTOTAL",$L$24:$AL$24)</f>
        <v>446.09513188184229</v>
      </c>
      <c r="AP24" s="13">
        <v>1</v>
      </c>
    </row>
    <row r="25" spans="1:42" ht="11.25" customHeight="1" x14ac:dyDescent="0.3">
      <c r="A25" s="146"/>
      <c r="B25" s="146"/>
      <c r="C25" s="146"/>
      <c r="D25" s="23" t="s">
        <v>28</v>
      </c>
      <c r="E25" s="23" t="s">
        <v>25</v>
      </c>
      <c r="F25" s="23" t="s">
        <v>25</v>
      </c>
      <c r="G25" s="24" t="s">
        <v>84</v>
      </c>
      <c r="H25" s="24" t="s">
        <v>78</v>
      </c>
      <c r="I25" s="24">
        <f>'MERCADO TUSD'!$U$22</f>
        <v>121.26</v>
      </c>
      <c r="J25" s="15"/>
      <c r="L25" s="13">
        <f>'TR TUSD'!$L$25*'TR TUSD'!$L$64</f>
        <v>0</v>
      </c>
      <c r="M25" s="13">
        <f>'TR TUSD'!$M$25*'TR TUSD'!$M$64</f>
        <v>0.88834685508396871</v>
      </c>
      <c r="N25" s="13">
        <f ca="1">'TR TUSD'!$N$25*'TR TUSD'!$N$64</f>
        <v>5.7984683025221937</v>
      </c>
      <c r="O25" s="13">
        <f>'TR TUSD'!$O$25*'TR TUSD'!$O$64</f>
        <v>0</v>
      </c>
      <c r="P25" s="13">
        <f>'TR TUSD'!$P$25*'TR TUSD'!$P$64</f>
        <v>0</v>
      </c>
      <c r="Q25" s="13">
        <f>'TR TUSD'!$Q$25*'TR TUSD'!$Q$64</f>
        <v>0</v>
      </c>
      <c r="R25" s="13">
        <f>'TR TUSD'!$R$25*'TR TUSD'!$R$64</f>
        <v>0</v>
      </c>
      <c r="S25" s="13">
        <f>'TR TUSD'!$S$25*'TR TUSD'!$S$64</f>
        <v>0</v>
      </c>
      <c r="T25" s="13">
        <f ca="1">SUM($L$25:$S$25)</f>
        <v>6.6868151576061621</v>
      </c>
      <c r="U25" s="13">
        <f>'TR TUSD'!$U$25*'TR TUSD'!$U$64</f>
        <v>0</v>
      </c>
      <c r="V25" s="13">
        <f>'TR TUSD'!$V$25*'TR TUSD'!$V$64</f>
        <v>0</v>
      </c>
      <c r="W25" s="13">
        <f>'TR TUSD'!$W$25*'TR TUSD'!$W$64</f>
        <v>0</v>
      </c>
      <c r="X25" s="13">
        <f>'TR TUSD'!$X$25*'TR TUSD'!$X$64</f>
        <v>0</v>
      </c>
      <c r="Y25" s="13">
        <f>'TR TUSD'!$Y$25*'TR TUSD'!$Y$64</f>
        <v>94.717023317548211</v>
      </c>
      <c r="Z25" s="13">
        <f>'TR TUSD'!$Z$25</f>
        <v>0</v>
      </c>
      <c r="AA25" s="13">
        <f>'TR TUSD'!$AA$25</f>
        <v>0</v>
      </c>
      <c r="AB25" s="13">
        <f>SUM($U$25:$AA$25)</f>
        <v>94.717023317548211</v>
      </c>
      <c r="AC25" s="13">
        <f>'TR TUSD'!$AC$25*'TR TUSD'!$AC$64</f>
        <v>200.26054368270911</v>
      </c>
      <c r="AD25" s="13">
        <f>SUM($AC$25:$AC$25)</f>
        <v>200.26054368270911</v>
      </c>
      <c r="AE25" s="13">
        <v>0</v>
      </c>
      <c r="AF25" s="13">
        <v>0</v>
      </c>
      <c r="AG25" s="13">
        <f>SUM($AE$25:$AF$25)</f>
        <v>0</v>
      </c>
      <c r="AH25" s="13">
        <f>'TR TUSD'!$AH$25*'TR TUSD'!$AH$64</f>
        <v>22.284323363630627</v>
      </c>
      <c r="AI25" s="13">
        <f>'TR TUSD'!$AI$25*'TR TUSD'!$AI$64</f>
        <v>0</v>
      </c>
      <c r="AJ25" s="13">
        <f ca="1">'TR TUSD'!$AJ$25*'TR TUSD'!$AJ$64</f>
        <v>1.3071299329695818</v>
      </c>
      <c r="AK25" s="13">
        <f ca="1">'TR TUSD'!$AK$25*'TR TUSD'!$AK$64</f>
        <v>0.18318979165384303</v>
      </c>
      <c r="AL25" s="13">
        <f ca="1">SUM($AH$25:$AK$25)</f>
        <v>23.774643088254049</v>
      </c>
      <c r="AM25" s="13">
        <f ca="1">SUMIF($L$4:$AL$4,"SUBTOTAL",$L$25:$AL$25)</f>
        <v>325.43902524611752</v>
      </c>
      <c r="AP25" s="13">
        <f>IF((1 - CUSTOS!$M$24)&lt;&gt;0,1/(1 - CUSTOS!$M$24),1)</f>
        <v>1</v>
      </c>
    </row>
    <row r="26" spans="1:42" ht="11.25" customHeight="1" x14ac:dyDescent="0.3">
      <c r="A26" s="146"/>
      <c r="B26" s="146"/>
      <c r="C26" s="146"/>
      <c r="D26" s="23" t="s">
        <v>29</v>
      </c>
      <c r="E26" s="23" t="s">
        <v>25</v>
      </c>
      <c r="F26" s="23" t="s">
        <v>25</v>
      </c>
      <c r="G26" s="24" t="s">
        <v>84</v>
      </c>
      <c r="H26" s="24" t="s">
        <v>78</v>
      </c>
      <c r="I26" s="24">
        <f>'MERCADO TUSD'!$U$23</f>
        <v>254.32</v>
      </c>
      <c r="J26" s="15"/>
      <c r="L26" s="13">
        <f>'TR TUSD'!$L$26*'TR TUSD'!$L$64</f>
        <v>0</v>
      </c>
      <c r="M26" s="13">
        <f>'TR TUSD'!$M$26*'TR TUSD'!$M$64</f>
        <v>0.88834685508396871</v>
      </c>
      <c r="N26" s="13">
        <f ca="1">'TR TUSD'!$N$26*'TR TUSD'!$N$64</f>
        <v>5.7984683025221937</v>
      </c>
      <c r="O26" s="13">
        <f>'TR TUSD'!$O$26*'TR TUSD'!$O$64</f>
        <v>0</v>
      </c>
      <c r="P26" s="13">
        <f>'TR TUSD'!$P$26*'TR TUSD'!$P$64</f>
        <v>0</v>
      </c>
      <c r="Q26" s="13">
        <f>'TR TUSD'!$Q$26*'TR TUSD'!$Q$64</f>
        <v>0</v>
      </c>
      <c r="R26" s="13">
        <f>'TR TUSD'!$R$26*'TR TUSD'!$R$64</f>
        <v>0</v>
      </c>
      <c r="S26" s="13">
        <f>'TR TUSD'!$S$26*'TR TUSD'!$S$64</f>
        <v>0</v>
      </c>
      <c r="T26" s="13">
        <f ca="1">SUM($L$26:$S$26)</f>
        <v>6.6868151576061621</v>
      </c>
      <c r="U26" s="13">
        <f>'TR TUSD'!$U$26*'TR TUSD'!$U$64</f>
        <v>0</v>
      </c>
      <c r="V26" s="13">
        <f>'TR TUSD'!$V$26*'TR TUSD'!$V$64</f>
        <v>0</v>
      </c>
      <c r="W26" s="13">
        <f>'TR TUSD'!$W$26*'TR TUSD'!$W$64</f>
        <v>0</v>
      </c>
      <c r="X26" s="13">
        <f>'TR TUSD'!$X$26*'TR TUSD'!$X$64</f>
        <v>0</v>
      </c>
      <c r="Y26" s="13">
        <f>'TR TUSD'!$Y$26*'TR TUSD'!$Y$64</f>
        <v>94.717023317548211</v>
      </c>
      <c r="Z26" s="13">
        <f>'TR TUSD'!$Z$26</f>
        <v>0</v>
      </c>
      <c r="AA26" s="13">
        <f>'TR TUSD'!$AA$26</f>
        <v>0</v>
      </c>
      <c r="AB26" s="13">
        <f>SUM($U$26:$AA$26)</f>
        <v>94.717023317548211</v>
      </c>
      <c r="AC26" s="13">
        <f>'TR TUSD'!$AC$26*'TR TUSD'!$AC$64</f>
        <v>200.26054368270911</v>
      </c>
      <c r="AD26" s="13">
        <f>SUM($AC$26:$AC$26)</f>
        <v>200.26054368270911</v>
      </c>
      <c r="AE26" s="13">
        <v>0</v>
      </c>
      <c r="AF26" s="13">
        <v>0</v>
      </c>
      <c r="AG26" s="13">
        <f>SUM($AE$26:$AF$26)</f>
        <v>0</v>
      </c>
      <c r="AH26" s="13">
        <f>'TR TUSD'!$AH$26*'TR TUSD'!$AH$64</f>
        <v>22.284323363630627</v>
      </c>
      <c r="AI26" s="13">
        <f>'TR TUSD'!$AI$26*'TR TUSD'!$AI$64</f>
        <v>0</v>
      </c>
      <c r="AJ26" s="13">
        <f ca="1">'TR TUSD'!$AJ$26*'TR TUSD'!$AJ$64</f>
        <v>1.3071299329695818</v>
      </c>
      <c r="AK26" s="13">
        <f ca="1">'TR TUSD'!$AK$26*'TR TUSD'!$AK$64</f>
        <v>0.18318979165384303</v>
      </c>
      <c r="AL26" s="13">
        <f ca="1">SUM($AH$26:$AK$26)</f>
        <v>23.774643088254049</v>
      </c>
      <c r="AM26" s="13">
        <f ca="1">SUMIF($L$4:$AL$4,"SUBTOTAL",$L$26:$AL$26)</f>
        <v>325.43902524611752</v>
      </c>
      <c r="AP26" s="13">
        <f>IF((1 - CUSTOS!$M$25)&lt;&gt;0,1/(1 - CUSTOS!$M$25),1)</f>
        <v>1</v>
      </c>
    </row>
    <row r="27" spans="1:42" ht="11.25" customHeight="1" x14ac:dyDescent="0.3">
      <c r="A27" s="146"/>
      <c r="B27" s="146"/>
      <c r="C27" s="146"/>
      <c r="D27" s="23" t="s">
        <v>30</v>
      </c>
      <c r="E27" s="23" t="s">
        <v>25</v>
      </c>
      <c r="F27" s="23" t="s">
        <v>25</v>
      </c>
      <c r="G27" s="24" t="s">
        <v>84</v>
      </c>
      <c r="H27" s="24" t="s">
        <v>78</v>
      </c>
      <c r="I27" s="24">
        <f>'MERCADO TUSD'!$U$24</f>
        <v>248.52100000000002</v>
      </c>
      <c r="J27" s="15"/>
      <c r="L27" s="13">
        <f>'TR TUSD'!$L$27*'TR TUSD'!$L$64</f>
        <v>0</v>
      </c>
      <c r="M27" s="13">
        <f>'TR TUSD'!$M$27*'TR TUSD'!$M$64</f>
        <v>0.88834685508396871</v>
      </c>
      <c r="N27" s="13">
        <f ca="1">'TR TUSD'!$N$27*'TR TUSD'!$N$64</f>
        <v>5.7984683025221937</v>
      </c>
      <c r="O27" s="13">
        <f>'TR TUSD'!$O$27*'TR TUSD'!$O$64</f>
        <v>0</v>
      </c>
      <c r="P27" s="13">
        <f>'TR TUSD'!$P$27*'TR TUSD'!$P$64</f>
        <v>0</v>
      </c>
      <c r="Q27" s="13">
        <f>'TR TUSD'!$Q$27*'TR TUSD'!$Q$64</f>
        <v>0</v>
      </c>
      <c r="R27" s="13">
        <f>'TR TUSD'!$R$27*'TR TUSD'!$R$64</f>
        <v>0</v>
      </c>
      <c r="S27" s="13">
        <f>'TR TUSD'!$S$27*'TR TUSD'!$S$64</f>
        <v>0</v>
      </c>
      <c r="T27" s="13">
        <f ca="1">SUM($L$27:$S$27)</f>
        <v>6.6868151576061621</v>
      </c>
      <c r="U27" s="13">
        <f>'TR TUSD'!$U$27*'TR TUSD'!$U$64</f>
        <v>0</v>
      </c>
      <c r="V27" s="13">
        <f>'TR TUSD'!$V$27*'TR TUSD'!$V$64</f>
        <v>0</v>
      </c>
      <c r="W27" s="13">
        <f>'TR TUSD'!$W$27*'TR TUSD'!$W$64</f>
        <v>0</v>
      </c>
      <c r="X27" s="13">
        <f>'TR TUSD'!$X$27*'TR TUSD'!$X$64</f>
        <v>0</v>
      </c>
      <c r="Y27" s="13">
        <f>'TR TUSD'!$Y$27*'TR TUSD'!$Y$64</f>
        <v>94.717023317548211</v>
      </c>
      <c r="Z27" s="13">
        <f>'TR TUSD'!$Z$27</f>
        <v>0</v>
      </c>
      <c r="AA27" s="13">
        <f>'TR TUSD'!$AA$27</f>
        <v>0</v>
      </c>
      <c r="AB27" s="13">
        <f>SUM($U$27:$AA$27)</f>
        <v>94.717023317548211</v>
      </c>
      <c r="AC27" s="13">
        <f>'TR TUSD'!$AC$27*'TR TUSD'!$AC$64</f>
        <v>200.26054368270911</v>
      </c>
      <c r="AD27" s="13">
        <f>SUM($AC$27:$AC$27)</f>
        <v>200.26054368270911</v>
      </c>
      <c r="AE27" s="13">
        <v>0</v>
      </c>
      <c r="AF27" s="13">
        <v>0</v>
      </c>
      <c r="AG27" s="13">
        <f>SUM($AE$27:$AF$27)</f>
        <v>0</v>
      </c>
      <c r="AH27" s="13">
        <f>'TR TUSD'!$AH$27*'TR TUSD'!$AH$64</f>
        <v>22.284323363630627</v>
      </c>
      <c r="AI27" s="13">
        <f>'TR TUSD'!$AI$27*'TR TUSD'!$AI$64</f>
        <v>0</v>
      </c>
      <c r="AJ27" s="13">
        <f ca="1">'TR TUSD'!$AJ$27*'TR TUSD'!$AJ$64</f>
        <v>1.3071299329695818</v>
      </c>
      <c r="AK27" s="13">
        <f ca="1">'TR TUSD'!$AK$27*'TR TUSD'!$AK$64</f>
        <v>0.18318979165384303</v>
      </c>
      <c r="AL27" s="13">
        <f ca="1">SUM($AH$27:$AK$27)</f>
        <v>23.774643088254049</v>
      </c>
      <c r="AM27" s="13">
        <f ca="1">SUMIF($L$4:$AL$4,"SUBTOTAL",$L$27:$AL$27)</f>
        <v>325.43902524611752</v>
      </c>
      <c r="AP27" s="13">
        <f>IF((1 - CUSTOS!$M$26)&lt;&gt;0,1/(1 - CUSTOS!$M$26),1)</f>
        <v>1</v>
      </c>
    </row>
    <row r="28" spans="1:42" ht="11.25" customHeight="1" x14ac:dyDescent="0.3">
      <c r="A28" s="146"/>
      <c r="B28" s="146"/>
      <c r="C28" s="146"/>
      <c r="D28" s="23" t="s">
        <v>31</v>
      </c>
      <c r="E28" s="23" t="s">
        <v>25</v>
      </c>
      <c r="F28" s="23" t="s">
        <v>25</v>
      </c>
      <c r="G28" s="24" t="s">
        <v>84</v>
      </c>
      <c r="H28" s="24" t="s">
        <v>78</v>
      </c>
      <c r="I28" s="24">
        <f>'MERCADO TUSD'!$U$25</f>
        <v>91.992999999999995</v>
      </c>
      <c r="J28" s="15"/>
      <c r="L28" s="13">
        <f>'TR TUSD'!$L$28*'TR TUSD'!$L$64</f>
        <v>0</v>
      </c>
      <c r="M28" s="13">
        <f>'TR TUSD'!$M$28*'TR TUSD'!$M$64</f>
        <v>0.88834685508396871</v>
      </c>
      <c r="N28" s="13">
        <f ca="1">'TR TUSD'!$N$28*'TR TUSD'!$N$64</f>
        <v>5.7984683025221937</v>
      </c>
      <c r="O28" s="13">
        <f>'TR TUSD'!$O$28*'TR TUSD'!$O$64</f>
        <v>0</v>
      </c>
      <c r="P28" s="13">
        <f>'TR TUSD'!$P$28*'TR TUSD'!$P$64</f>
        <v>0</v>
      </c>
      <c r="Q28" s="13">
        <f>'TR TUSD'!$Q$28*'TR TUSD'!$Q$64</f>
        <v>0</v>
      </c>
      <c r="R28" s="13">
        <f>'TR TUSD'!$R$28*'TR TUSD'!$R$64</f>
        <v>0</v>
      </c>
      <c r="S28" s="13">
        <f>'TR TUSD'!$S$28*'TR TUSD'!$S$64</f>
        <v>0</v>
      </c>
      <c r="T28" s="13">
        <f ca="1">SUM($L$28:$S$28)</f>
        <v>6.6868151576061621</v>
      </c>
      <c r="U28" s="13">
        <f>'TR TUSD'!$U$28*'TR TUSD'!$U$64</f>
        <v>0</v>
      </c>
      <c r="V28" s="13">
        <f>'TR TUSD'!$V$28*'TR TUSD'!$V$64</f>
        <v>0</v>
      </c>
      <c r="W28" s="13">
        <f>'TR TUSD'!$W$28*'TR TUSD'!$W$64</f>
        <v>0</v>
      </c>
      <c r="X28" s="13">
        <f>'TR TUSD'!$X$28*'TR TUSD'!$X$64</f>
        <v>0</v>
      </c>
      <c r="Y28" s="13">
        <f>'TR TUSD'!$Y$28*'TR TUSD'!$Y$64</f>
        <v>94.717023317548211</v>
      </c>
      <c r="Z28" s="13">
        <f>'TR TUSD'!$Z$28</f>
        <v>0</v>
      </c>
      <c r="AA28" s="13">
        <f>'TR TUSD'!$AA$28</f>
        <v>0</v>
      </c>
      <c r="AB28" s="13">
        <f>SUM($U$28:$AA$28)</f>
        <v>94.717023317548211</v>
      </c>
      <c r="AC28" s="13">
        <f>'TR TUSD'!$AC$28*'TR TUSD'!$AC$64</f>
        <v>200.26054368270911</v>
      </c>
      <c r="AD28" s="13">
        <f>SUM($AC$28:$AC$28)</f>
        <v>200.26054368270911</v>
      </c>
      <c r="AE28" s="13">
        <v>0</v>
      </c>
      <c r="AF28" s="13">
        <v>0</v>
      </c>
      <c r="AG28" s="13">
        <f>SUM($AE$28:$AF$28)</f>
        <v>0</v>
      </c>
      <c r="AH28" s="13">
        <f>'TR TUSD'!$AH$28*'TR TUSD'!$AH$64</f>
        <v>22.284323363630627</v>
      </c>
      <c r="AI28" s="13">
        <f>'TR TUSD'!$AI$28*'TR TUSD'!$AI$64</f>
        <v>0</v>
      </c>
      <c r="AJ28" s="13">
        <f ca="1">'TR TUSD'!$AJ$28*'TR TUSD'!$AJ$64</f>
        <v>1.3071299329695818</v>
      </c>
      <c r="AK28" s="13">
        <f ca="1">'TR TUSD'!$AK$28*'TR TUSD'!$AK$64</f>
        <v>0.18318979165384303</v>
      </c>
      <c r="AL28" s="13">
        <f ca="1">SUM($AH$28:$AK$28)</f>
        <v>23.774643088254049</v>
      </c>
      <c r="AM28" s="13">
        <f ca="1">SUMIF($L$4:$AL$4,"SUBTOTAL",$L$28:$AL$28)</f>
        <v>325.43902524611752</v>
      </c>
      <c r="AP28" s="13">
        <f>IF((1 - CUSTOS!$M$27)&lt;&gt;0,1/(1 - CUSTOS!$M$27),1)</f>
        <v>1</v>
      </c>
    </row>
    <row r="29" spans="1:42" ht="11.25" customHeight="1" x14ac:dyDescent="0.3">
      <c r="A29" s="146"/>
      <c r="B29" s="146" t="s">
        <v>92</v>
      </c>
      <c r="C29" s="146" t="s">
        <v>24</v>
      </c>
      <c r="D29" s="23" t="s">
        <v>24</v>
      </c>
      <c r="E29" s="23" t="s">
        <v>25</v>
      </c>
      <c r="F29" s="23" t="s">
        <v>25</v>
      </c>
      <c r="G29" s="24" t="s">
        <v>84</v>
      </c>
      <c r="H29" s="24" t="s">
        <v>78</v>
      </c>
      <c r="I29" s="24">
        <f>'MERCADO TUSD'!$U$26</f>
        <v>0</v>
      </c>
      <c r="J29" s="15"/>
      <c r="L29" s="13">
        <f>'TR TUSD'!$L$29*'TR TUSD'!$L$64</f>
        <v>2.4983655961837758</v>
      </c>
      <c r="M29" s="13">
        <f>'TR TUSD'!$M$29*'TR TUSD'!$M$64</f>
        <v>0.88834685508396871</v>
      </c>
      <c r="N29" s="13">
        <f ca="1">'TR TUSD'!$N$29*'TR TUSD'!$N$64</f>
        <v>5.8184153511288281</v>
      </c>
      <c r="O29" s="13">
        <f>'TR TUSD'!$O$29*'TR TUSD'!$O$64</f>
        <v>0</v>
      </c>
      <c r="P29" s="13">
        <f>'TR TUSD'!$P$29*'TR TUSD'!$P$64</f>
        <v>0</v>
      </c>
      <c r="Q29" s="13">
        <f>'TR TUSD'!$Q$29*'TR TUSD'!$Q$64</f>
        <v>102.96716664722034</v>
      </c>
      <c r="R29" s="13">
        <f>'TR TUSD'!$R$29*'TR TUSD'!$R$64</f>
        <v>15.170627343714017</v>
      </c>
      <c r="S29" s="13">
        <f>'TR TUSD'!$S$29*'TR TUSD'!$S$64</f>
        <v>0</v>
      </c>
      <c r="T29" s="13">
        <f ca="1">SUM($L$29:$S$29)</f>
        <v>127.34292179333093</v>
      </c>
      <c r="U29" s="13">
        <f>'TR TUSD'!$U$29*'TR TUSD'!$U$64</f>
        <v>0</v>
      </c>
      <c r="V29" s="13">
        <f>'TR TUSD'!$V$29*'TR TUSD'!$V$64</f>
        <v>0</v>
      </c>
      <c r="W29" s="13">
        <f>'TR TUSD'!$W$29*'TR TUSD'!$W$64</f>
        <v>0</v>
      </c>
      <c r="X29" s="13">
        <f>'TR TUSD'!$X$29*'TR TUSD'!$X$64</f>
        <v>0</v>
      </c>
      <c r="Y29" s="13">
        <f>'TR TUSD'!$Y$29*'TR TUSD'!$Y$64</f>
        <v>94.717023317548211</v>
      </c>
      <c r="Z29" s="13">
        <f>'TR TUSD'!$Z$29</f>
        <v>0</v>
      </c>
      <c r="AA29" s="13">
        <f>'TR TUSD'!$AA$29</f>
        <v>0</v>
      </c>
      <c r="AB29" s="13">
        <f>SUM($U$29:$AA$29)</f>
        <v>94.717023317548211</v>
      </c>
      <c r="AC29" s="13">
        <f>'TR TUSD'!$AC$29*'TR TUSD'!$AC$64</f>
        <v>200.26054368270911</v>
      </c>
      <c r="AD29" s="13">
        <f>SUM($AC$29:$AC$29)</f>
        <v>200.26054368270911</v>
      </c>
      <c r="AE29" s="13">
        <v>0</v>
      </c>
      <c r="AF29" s="13">
        <v>0</v>
      </c>
      <c r="AG29" s="13">
        <f>SUM($AE$29:$AF$29)</f>
        <v>0</v>
      </c>
      <c r="AH29" s="13">
        <f>'TR TUSD'!$AH$29*'TR TUSD'!$AH$64</f>
        <v>22.284323363630627</v>
      </c>
      <c r="AI29" s="13">
        <f>'TR TUSD'!$AI$29*'TR TUSD'!$AI$64</f>
        <v>0</v>
      </c>
      <c r="AJ29" s="13">
        <f ca="1">'TR TUSD'!$AJ$29*'TR TUSD'!$AJ$64</f>
        <v>1.3071299329695818</v>
      </c>
      <c r="AK29" s="13">
        <f ca="1">'TR TUSD'!$AK$29*'TR TUSD'!$AK$64</f>
        <v>0.18318979165384303</v>
      </c>
      <c r="AL29" s="13">
        <f ca="1">SUM($AH$29:$AK$29)</f>
        <v>23.774643088254049</v>
      </c>
      <c r="AM29" s="13">
        <f ca="1">SUMIF($L$4:$AL$4,"SUBTOTAL",$L$29:$AL$29)</f>
        <v>446.09513188184229</v>
      </c>
      <c r="AP29" s="13">
        <v>1</v>
      </c>
    </row>
    <row r="30" spans="1:42" ht="11.25" customHeight="1" x14ac:dyDescent="0.3">
      <c r="A30" s="146"/>
      <c r="B30" s="146"/>
      <c r="C30" s="146"/>
      <c r="D30" s="23" t="s">
        <v>28</v>
      </c>
      <c r="E30" s="23" t="s">
        <v>25</v>
      </c>
      <c r="F30" s="23" t="s">
        <v>25</v>
      </c>
      <c r="G30" s="24" t="s">
        <v>84</v>
      </c>
      <c r="H30" s="24" t="s">
        <v>78</v>
      </c>
      <c r="I30" s="24">
        <f>'MERCADO TUSD'!$U$27</f>
        <v>0</v>
      </c>
      <c r="J30" s="15"/>
      <c r="L30" s="13">
        <f>'TR TUSD'!$L$30*'TR TUSD'!$L$64</f>
        <v>0</v>
      </c>
      <c r="M30" s="13">
        <f>'TR TUSD'!$M$30*'TR TUSD'!$M$64</f>
        <v>0.88834685508396871</v>
      </c>
      <c r="N30" s="13">
        <f ca="1">'TR TUSD'!$N$30*'TR TUSD'!$N$64</f>
        <v>5.7984683025221937</v>
      </c>
      <c r="O30" s="13">
        <f>'TR TUSD'!$O$30*'TR TUSD'!$O$64</f>
        <v>0</v>
      </c>
      <c r="P30" s="13">
        <f>'TR TUSD'!$P$30*'TR TUSD'!$P$64</f>
        <v>0</v>
      </c>
      <c r="Q30" s="13">
        <f>'TR TUSD'!$Q$30*'TR TUSD'!$Q$64</f>
        <v>0</v>
      </c>
      <c r="R30" s="13">
        <f>'TR TUSD'!$R$30*'TR TUSD'!$R$64</f>
        <v>0</v>
      </c>
      <c r="S30" s="13">
        <f>'TR TUSD'!$S$30*'TR TUSD'!$S$64</f>
        <v>0</v>
      </c>
      <c r="T30" s="13">
        <f ca="1">SUM($L$30:$S$30)</f>
        <v>6.6868151576061621</v>
      </c>
      <c r="U30" s="13">
        <f>'TR TUSD'!$U$30*'TR TUSD'!$U$64</f>
        <v>0</v>
      </c>
      <c r="V30" s="13">
        <f>'TR TUSD'!$V$30*'TR TUSD'!$V$64</f>
        <v>0</v>
      </c>
      <c r="W30" s="13">
        <f>'TR TUSD'!$W$30*'TR TUSD'!$W$64</f>
        <v>0</v>
      </c>
      <c r="X30" s="13">
        <f>'TR TUSD'!$X$30*'TR TUSD'!$X$64</f>
        <v>0</v>
      </c>
      <c r="Y30" s="13">
        <f>'TR TUSD'!$Y$30*'TR TUSD'!$Y$64</f>
        <v>94.717023317548211</v>
      </c>
      <c r="Z30" s="13">
        <f>'TR TUSD'!$Z$30</f>
        <v>0</v>
      </c>
      <c r="AA30" s="13">
        <f>'TR TUSD'!$AA$30</f>
        <v>0</v>
      </c>
      <c r="AB30" s="13">
        <f>SUM($U$30:$AA$30)</f>
        <v>94.717023317548211</v>
      </c>
      <c r="AC30" s="13">
        <f>'TR TUSD'!$AC$30*'TR TUSD'!$AC$64</f>
        <v>200.26054368270911</v>
      </c>
      <c r="AD30" s="13">
        <f>SUM($AC$30:$AC$30)</f>
        <v>200.26054368270911</v>
      </c>
      <c r="AE30" s="13">
        <v>0</v>
      </c>
      <c r="AF30" s="13">
        <v>0</v>
      </c>
      <c r="AG30" s="13">
        <f>SUM($AE$30:$AF$30)</f>
        <v>0</v>
      </c>
      <c r="AH30" s="13">
        <f>'TR TUSD'!$AH$30*'TR TUSD'!$AH$64</f>
        <v>22.284323363630627</v>
      </c>
      <c r="AI30" s="13">
        <f>'TR TUSD'!$AI$30*'TR TUSD'!$AI$64</f>
        <v>0</v>
      </c>
      <c r="AJ30" s="13">
        <f ca="1">'TR TUSD'!$AJ$30*'TR TUSD'!$AJ$64</f>
        <v>1.3071299329695818</v>
      </c>
      <c r="AK30" s="13">
        <f ca="1">'TR TUSD'!$AK$30*'TR TUSD'!$AK$64</f>
        <v>0.18318979165384303</v>
      </c>
      <c r="AL30" s="13">
        <f ca="1">SUM($AH$30:$AK$30)</f>
        <v>23.774643088254049</v>
      </c>
      <c r="AM30" s="13">
        <f ca="1">SUMIF($L$4:$AL$4,"SUBTOTAL",$L$30:$AL$30)</f>
        <v>325.43902524611752</v>
      </c>
      <c r="AP30" s="13">
        <f>IF((1 - CUSTOS!$M$24)&lt;&gt;0,1/(1 - CUSTOS!$M$24),1)</f>
        <v>1</v>
      </c>
    </row>
    <row r="31" spans="1:42" ht="11.25" customHeight="1" x14ac:dyDescent="0.3">
      <c r="A31" s="146"/>
      <c r="B31" s="146"/>
      <c r="C31" s="146"/>
      <c r="D31" s="23" t="s">
        <v>29</v>
      </c>
      <c r="E31" s="23" t="s">
        <v>25</v>
      </c>
      <c r="F31" s="23" t="s">
        <v>25</v>
      </c>
      <c r="G31" s="24" t="s">
        <v>84</v>
      </c>
      <c r="H31" s="24" t="s">
        <v>78</v>
      </c>
      <c r="I31" s="24">
        <f>'MERCADO TUSD'!$U$28</f>
        <v>0</v>
      </c>
      <c r="J31" s="15"/>
      <c r="L31" s="13">
        <f>'TR TUSD'!$L$31*'TR TUSD'!$L$64</f>
        <v>0</v>
      </c>
      <c r="M31" s="13">
        <f>'TR TUSD'!$M$31*'TR TUSD'!$M$64</f>
        <v>0.88834685508396871</v>
      </c>
      <c r="N31" s="13">
        <f ca="1">'TR TUSD'!$N$31*'TR TUSD'!$N$64</f>
        <v>5.7984683025221937</v>
      </c>
      <c r="O31" s="13">
        <f>'TR TUSD'!$O$31*'TR TUSD'!$O$64</f>
        <v>0</v>
      </c>
      <c r="P31" s="13">
        <f>'TR TUSD'!$P$31*'TR TUSD'!$P$64</f>
        <v>0</v>
      </c>
      <c r="Q31" s="13">
        <f>'TR TUSD'!$Q$31*'TR TUSD'!$Q$64</f>
        <v>0</v>
      </c>
      <c r="R31" s="13">
        <f>'TR TUSD'!$R$31*'TR TUSD'!$R$64</f>
        <v>0</v>
      </c>
      <c r="S31" s="13">
        <f>'TR TUSD'!$S$31*'TR TUSD'!$S$64</f>
        <v>0</v>
      </c>
      <c r="T31" s="13">
        <f ca="1">SUM($L$31:$S$31)</f>
        <v>6.6868151576061621</v>
      </c>
      <c r="U31" s="13">
        <f>'TR TUSD'!$U$31*'TR TUSD'!$U$64</f>
        <v>0</v>
      </c>
      <c r="V31" s="13">
        <f>'TR TUSD'!$V$31*'TR TUSD'!$V$64</f>
        <v>0</v>
      </c>
      <c r="W31" s="13">
        <f>'TR TUSD'!$W$31*'TR TUSD'!$W$64</f>
        <v>0</v>
      </c>
      <c r="X31" s="13">
        <f>'TR TUSD'!$X$31*'TR TUSD'!$X$64</f>
        <v>0</v>
      </c>
      <c r="Y31" s="13">
        <f>'TR TUSD'!$Y$31*'TR TUSD'!$Y$64</f>
        <v>94.717023317548211</v>
      </c>
      <c r="Z31" s="13">
        <f>'TR TUSD'!$Z$31</f>
        <v>0</v>
      </c>
      <c r="AA31" s="13">
        <f>'TR TUSD'!$AA$31</f>
        <v>0</v>
      </c>
      <c r="AB31" s="13">
        <f>SUM($U$31:$AA$31)</f>
        <v>94.717023317548211</v>
      </c>
      <c r="AC31" s="13">
        <f>'TR TUSD'!$AC$31*'TR TUSD'!$AC$64</f>
        <v>200.26054368270911</v>
      </c>
      <c r="AD31" s="13">
        <f>SUM($AC$31:$AC$31)</f>
        <v>200.26054368270911</v>
      </c>
      <c r="AE31" s="13">
        <v>0</v>
      </c>
      <c r="AF31" s="13">
        <v>0</v>
      </c>
      <c r="AG31" s="13">
        <f>SUM($AE$31:$AF$31)</f>
        <v>0</v>
      </c>
      <c r="AH31" s="13">
        <f>'TR TUSD'!$AH$31*'TR TUSD'!$AH$64</f>
        <v>22.284323363630627</v>
      </c>
      <c r="AI31" s="13">
        <f>'TR TUSD'!$AI$31*'TR TUSD'!$AI$64</f>
        <v>0</v>
      </c>
      <c r="AJ31" s="13">
        <f ca="1">'TR TUSD'!$AJ$31*'TR TUSD'!$AJ$64</f>
        <v>1.3071299329695818</v>
      </c>
      <c r="AK31" s="13">
        <f ca="1">'TR TUSD'!$AK$31*'TR TUSD'!$AK$64</f>
        <v>0.18318979165384303</v>
      </c>
      <c r="AL31" s="13">
        <f ca="1">SUM($AH$31:$AK$31)</f>
        <v>23.774643088254049</v>
      </c>
      <c r="AM31" s="13">
        <f ca="1">SUMIF($L$4:$AL$4,"SUBTOTAL",$L$31:$AL$31)</f>
        <v>325.43902524611752</v>
      </c>
      <c r="AP31" s="13">
        <f>IF((1 - CUSTOS!$M$25)&lt;&gt;0,1/(1 - CUSTOS!$M$25),1)</f>
        <v>1</v>
      </c>
    </row>
    <row r="32" spans="1:42" ht="11.25" customHeight="1" x14ac:dyDescent="0.3">
      <c r="A32" s="146"/>
      <c r="B32" s="146"/>
      <c r="C32" s="146"/>
      <c r="D32" s="23" t="s">
        <v>30</v>
      </c>
      <c r="E32" s="23" t="s">
        <v>25</v>
      </c>
      <c r="F32" s="23" t="s">
        <v>25</v>
      </c>
      <c r="G32" s="24" t="s">
        <v>84</v>
      </c>
      <c r="H32" s="24" t="s">
        <v>78</v>
      </c>
      <c r="I32" s="24">
        <f>'MERCADO TUSD'!$U$29</f>
        <v>0</v>
      </c>
      <c r="J32" s="15"/>
      <c r="L32" s="13">
        <f>'TR TUSD'!$L$32*'TR TUSD'!$L$64</f>
        <v>0</v>
      </c>
      <c r="M32" s="13">
        <f>'TR TUSD'!$M$32*'TR TUSD'!$M$64</f>
        <v>0.88834685508396871</v>
      </c>
      <c r="N32" s="13">
        <f ca="1">'TR TUSD'!$N$32*'TR TUSD'!$N$64</f>
        <v>5.7984683025221937</v>
      </c>
      <c r="O32" s="13">
        <f>'TR TUSD'!$O$32*'TR TUSD'!$O$64</f>
        <v>0</v>
      </c>
      <c r="P32" s="13">
        <f>'TR TUSD'!$P$32*'TR TUSD'!$P$64</f>
        <v>0</v>
      </c>
      <c r="Q32" s="13">
        <f>'TR TUSD'!$Q$32*'TR TUSD'!$Q$64</f>
        <v>0</v>
      </c>
      <c r="R32" s="13">
        <f>'TR TUSD'!$R$32*'TR TUSD'!$R$64</f>
        <v>0</v>
      </c>
      <c r="S32" s="13">
        <f>'TR TUSD'!$S$32*'TR TUSD'!$S$64</f>
        <v>0</v>
      </c>
      <c r="T32" s="13">
        <f ca="1">SUM($L$32:$S$32)</f>
        <v>6.6868151576061621</v>
      </c>
      <c r="U32" s="13">
        <f>'TR TUSD'!$U$32*'TR TUSD'!$U$64</f>
        <v>0</v>
      </c>
      <c r="V32" s="13">
        <f>'TR TUSD'!$V$32*'TR TUSD'!$V$64</f>
        <v>0</v>
      </c>
      <c r="W32" s="13">
        <f>'TR TUSD'!$W$32*'TR TUSD'!$W$64</f>
        <v>0</v>
      </c>
      <c r="X32" s="13">
        <f>'TR TUSD'!$X$32*'TR TUSD'!$X$64</f>
        <v>0</v>
      </c>
      <c r="Y32" s="13">
        <f>'TR TUSD'!$Y$32*'TR TUSD'!$Y$64</f>
        <v>94.717023317548211</v>
      </c>
      <c r="Z32" s="13">
        <f>'TR TUSD'!$Z$32</f>
        <v>0</v>
      </c>
      <c r="AA32" s="13">
        <f>'TR TUSD'!$AA$32</f>
        <v>0</v>
      </c>
      <c r="AB32" s="13">
        <f>SUM($U$32:$AA$32)</f>
        <v>94.717023317548211</v>
      </c>
      <c r="AC32" s="13">
        <f>'TR TUSD'!$AC$32*'TR TUSD'!$AC$64</f>
        <v>200.26054368270911</v>
      </c>
      <c r="AD32" s="13">
        <f>SUM($AC$32:$AC$32)</f>
        <v>200.26054368270911</v>
      </c>
      <c r="AE32" s="13">
        <v>0</v>
      </c>
      <c r="AF32" s="13">
        <v>0</v>
      </c>
      <c r="AG32" s="13">
        <f>SUM($AE$32:$AF$32)</f>
        <v>0</v>
      </c>
      <c r="AH32" s="13">
        <f>'TR TUSD'!$AH$32*'TR TUSD'!$AH$64</f>
        <v>22.284323363630627</v>
      </c>
      <c r="AI32" s="13">
        <f>'TR TUSD'!$AI$32*'TR TUSD'!$AI$64</f>
        <v>0</v>
      </c>
      <c r="AJ32" s="13">
        <f ca="1">'TR TUSD'!$AJ$32*'TR TUSD'!$AJ$64</f>
        <v>1.3071299329695818</v>
      </c>
      <c r="AK32" s="13">
        <f ca="1">'TR TUSD'!$AK$32*'TR TUSD'!$AK$64</f>
        <v>0.18318979165384303</v>
      </c>
      <c r="AL32" s="13">
        <f ca="1">SUM($AH$32:$AK$32)</f>
        <v>23.774643088254049</v>
      </c>
      <c r="AM32" s="13">
        <f ca="1">SUMIF($L$4:$AL$4,"SUBTOTAL",$L$32:$AL$32)</f>
        <v>325.43902524611752</v>
      </c>
      <c r="AP32" s="13">
        <f>IF((1 - CUSTOS!$M$26)&lt;&gt;0,1/(1 - CUSTOS!$M$26),1)</f>
        <v>1</v>
      </c>
    </row>
    <row r="33" spans="1:42" ht="11.25" customHeight="1" x14ac:dyDescent="0.3">
      <c r="A33" s="146"/>
      <c r="B33" s="146"/>
      <c r="C33" s="146"/>
      <c r="D33" s="23" t="s">
        <v>31</v>
      </c>
      <c r="E33" s="23" t="s">
        <v>25</v>
      </c>
      <c r="F33" s="23" t="s">
        <v>25</v>
      </c>
      <c r="G33" s="24" t="s">
        <v>84</v>
      </c>
      <c r="H33" s="24" t="s">
        <v>78</v>
      </c>
      <c r="I33" s="24">
        <f>'MERCADO TUSD'!$U$30</f>
        <v>0</v>
      </c>
      <c r="J33" s="15"/>
      <c r="L33" s="13">
        <f>'TR TUSD'!$L$33*'TR TUSD'!$L$64</f>
        <v>0</v>
      </c>
      <c r="M33" s="13">
        <f>'TR TUSD'!$M$33*'TR TUSD'!$M$64</f>
        <v>0.88834685508396871</v>
      </c>
      <c r="N33" s="13">
        <f ca="1">'TR TUSD'!$N$33*'TR TUSD'!$N$64</f>
        <v>5.7984683025221937</v>
      </c>
      <c r="O33" s="13">
        <f>'TR TUSD'!$O$33*'TR TUSD'!$O$64</f>
        <v>0</v>
      </c>
      <c r="P33" s="13">
        <f>'TR TUSD'!$P$33*'TR TUSD'!$P$64</f>
        <v>0</v>
      </c>
      <c r="Q33" s="13">
        <f>'TR TUSD'!$Q$33*'TR TUSD'!$Q$64</f>
        <v>0</v>
      </c>
      <c r="R33" s="13">
        <f>'TR TUSD'!$R$33*'TR TUSD'!$R$64</f>
        <v>0</v>
      </c>
      <c r="S33" s="13">
        <f>'TR TUSD'!$S$33*'TR TUSD'!$S$64</f>
        <v>0</v>
      </c>
      <c r="T33" s="13">
        <f ca="1">SUM($L$33:$S$33)</f>
        <v>6.6868151576061621</v>
      </c>
      <c r="U33" s="13">
        <f>'TR TUSD'!$U$33*'TR TUSD'!$U$64</f>
        <v>0</v>
      </c>
      <c r="V33" s="13">
        <f>'TR TUSD'!$V$33*'TR TUSD'!$V$64</f>
        <v>0</v>
      </c>
      <c r="W33" s="13">
        <f>'TR TUSD'!$W$33*'TR TUSD'!$W$64</f>
        <v>0</v>
      </c>
      <c r="X33" s="13">
        <f>'TR TUSD'!$X$33*'TR TUSD'!$X$64</f>
        <v>0</v>
      </c>
      <c r="Y33" s="13">
        <f>'TR TUSD'!$Y$33*'TR TUSD'!$Y$64</f>
        <v>94.717023317548211</v>
      </c>
      <c r="Z33" s="13">
        <f>'TR TUSD'!$Z$33</f>
        <v>0</v>
      </c>
      <c r="AA33" s="13">
        <f>'TR TUSD'!$AA$33</f>
        <v>0</v>
      </c>
      <c r="AB33" s="13">
        <f>SUM($U$33:$AA$33)</f>
        <v>94.717023317548211</v>
      </c>
      <c r="AC33" s="13">
        <f>'TR TUSD'!$AC$33*'TR TUSD'!$AC$64</f>
        <v>200.26054368270911</v>
      </c>
      <c r="AD33" s="13">
        <f>SUM($AC$33:$AC$33)</f>
        <v>200.26054368270911</v>
      </c>
      <c r="AE33" s="13">
        <v>0</v>
      </c>
      <c r="AF33" s="13">
        <v>0</v>
      </c>
      <c r="AG33" s="13">
        <f>SUM($AE$33:$AF$33)</f>
        <v>0</v>
      </c>
      <c r="AH33" s="13">
        <f>'TR TUSD'!$AH$33*'TR TUSD'!$AH$64</f>
        <v>22.284323363630627</v>
      </c>
      <c r="AI33" s="13">
        <f>'TR TUSD'!$AI$33*'TR TUSD'!$AI$64</f>
        <v>0</v>
      </c>
      <c r="AJ33" s="13">
        <f ca="1">'TR TUSD'!$AJ$33*'TR TUSD'!$AJ$64</f>
        <v>1.3071299329695818</v>
      </c>
      <c r="AK33" s="13">
        <f ca="1">'TR TUSD'!$AK$33*'TR TUSD'!$AK$64</f>
        <v>0.18318979165384303</v>
      </c>
      <c r="AL33" s="13">
        <f ca="1">SUM($AH$33:$AK$33)</f>
        <v>23.774643088254049</v>
      </c>
      <c r="AM33" s="13">
        <f ca="1">SUMIF($L$4:$AL$4,"SUBTOTAL",$L$33:$AL$33)</f>
        <v>325.43902524611752</v>
      </c>
      <c r="AP33" s="13">
        <f>IF((1 - CUSTOS!$M$27)&lt;&gt;0,1/(1 - CUSTOS!$M$27),1)</f>
        <v>1</v>
      </c>
    </row>
    <row r="34" spans="1:42" ht="11.25" customHeight="1" x14ac:dyDescent="0.3">
      <c r="A34" s="146" t="s">
        <v>41</v>
      </c>
      <c r="B34" s="146" t="s">
        <v>38</v>
      </c>
      <c r="C34" s="146" t="s">
        <v>42</v>
      </c>
      <c r="D34" s="146" t="s">
        <v>25</v>
      </c>
      <c r="E34" s="146" t="s">
        <v>25</v>
      </c>
      <c r="F34" s="146" t="s">
        <v>25</v>
      </c>
      <c r="G34" s="24" t="s">
        <v>79</v>
      </c>
      <c r="H34" s="24" t="s">
        <v>78</v>
      </c>
      <c r="I34" s="24">
        <f>'MERCADO TUSD'!$U$31</f>
        <v>0</v>
      </c>
      <c r="J34" s="15"/>
      <c r="L34" s="13">
        <f>'TR TUSD'!$L$34*'TR TUSD'!$L$64</f>
        <v>2.4983655961837758</v>
      </c>
      <c r="M34" s="13">
        <f>'TR TUSD'!$M$34*'TR TUSD'!$M$64</f>
        <v>0.88834685508396871</v>
      </c>
      <c r="N34" s="13">
        <f ca="1">'TR TUSD'!$N$34*'TR TUSD'!$N$64</f>
        <v>30.134132898362402</v>
      </c>
      <c r="O34" s="13">
        <f>'TR TUSD'!$O$34*'TR TUSD'!$O$64</f>
        <v>0</v>
      </c>
      <c r="P34" s="13">
        <f>'TR TUSD'!$P$34*'TR TUSD'!$P$64</f>
        <v>0</v>
      </c>
      <c r="Q34" s="13">
        <f>'TR TUSD'!$Q$34*'TR TUSD'!$Q$64</f>
        <v>102.96716664722034</v>
      </c>
      <c r="R34" s="13">
        <f>'TR TUSD'!$R$34*'TR TUSD'!$R$64</f>
        <v>15.170627343714017</v>
      </c>
      <c r="S34" s="13">
        <f>'TR TUSD'!$S$34*'TR TUSD'!$S$64</f>
        <v>0</v>
      </c>
      <c r="T34" s="13">
        <f ca="1">SUM($L$34:$S$34)</f>
        <v>151.65863934056452</v>
      </c>
      <c r="U34" s="13">
        <f>'TR TUSD'!$U$34*'TR TUSD'!$U$64</f>
        <v>0</v>
      </c>
      <c r="V34" s="13">
        <f>'TR TUSD'!$V$34*'TR TUSD'!$V$64</f>
        <v>0</v>
      </c>
      <c r="W34" s="13">
        <f>'TR TUSD'!$W$34*'TR TUSD'!$W$64</f>
        <v>0</v>
      </c>
      <c r="X34" s="13">
        <f>'TR TUSD'!$X$34*'TR TUSD'!$X$64</f>
        <v>0</v>
      </c>
      <c r="Y34" s="13">
        <f>'TR TUSD'!$Y$34*'TR TUSD'!$Y$64</f>
        <v>578.68323499708708</v>
      </c>
      <c r="Z34" s="13">
        <f>'TR TUSD'!$Z$34</f>
        <v>0</v>
      </c>
      <c r="AA34" s="13">
        <f>'TR TUSD'!$AA$34</f>
        <v>0</v>
      </c>
      <c r="AB34" s="13">
        <f>SUM($U$34:$AA$34)</f>
        <v>578.68323499708708</v>
      </c>
      <c r="AC34" s="13">
        <f>'TR TUSD'!$AC$34*'TR TUSD'!$AC$64</f>
        <v>1223.5119520060127</v>
      </c>
      <c r="AD34" s="13">
        <f>SUM($AC$34:$AC$34)</f>
        <v>1223.5119520060127</v>
      </c>
      <c r="AE34" s="13">
        <v>0</v>
      </c>
      <c r="AF34" s="13">
        <v>0</v>
      </c>
      <c r="AG34" s="13">
        <f>SUM($AE$34:$AF$34)</f>
        <v>0</v>
      </c>
      <c r="AH34" s="13">
        <f>'TR TUSD'!$AH$34*'TR TUSD'!$AH$64</f>
        <v>22.284323363630627</v>
      </c>
      <c r="AI34" s="13">
        <f>'TR TUSD'!$AI$34*'TR TUSD'!$AI$64</f>
        <v>0</v>
      </c>
      <c r="AJ34" s="13">
        <f ca="1">'TR TUSD'!$AJ$34*'TR TUSD'!$AJ$64</f>
        <v>1.3071299329695818</v>
      </c>
      <c r="AK34" s="13">
        <f ca="1">'TR TUSD'!$AK$34*'TR TUSD'!$AK$64</f>
        <v>0.18318979165384303</v>
      </c>
      <c r="AL34" s="13">
        <f ca="1">SUM($AH$34:$AK$34)</f>
        <v>23.774643088254049</v>
      </c>
      <c r="AM34" s="13">
        <f ca="1">SUMIF($L$4:$AL$4,"SUBTOTAL",$L$34:$AL$34)</f>
        <v>1977.6284694319186</v>
      </c>
      <c r="AP34" s="13">
        <f>IF((1 - CUSTOS!$M$28)&lt;&gt;0,1/(1 - CUSTOS!$M$28),1)</f>
        <v>1</v>
      </c>
    </row>
    <row r="35" spans="1:42" ht="11.25" customHeight="1" x14ac:dyDescent="0.3">
      <c r="A35" s="146"/>
      <c r="B35" s="146"/>
      <c r="C35" s="146"/>
      <c r="D35" s="146"/>
      <c r="E35" s="146"/>
      <c r="F35" s="146"/>
      <c r="G35" s="24" t="s">
        <v>89</v>
      </c>
      <c r="H35" s="24" t="s">
        <v>78</v>
      </c>
      <c r="I35" s="24">
        <f>'MERCADO TUSD'!$U$32</f>
        <v>0</v>
      </c>
      <c r="J35" s="15"/>
      <c r="L35" s="13">
        <f>'TR TUSD'!$L$35*'TR TUSD'!$L$64</f>
        <v>2.4983655961837758</v>
      </c>
      <c r="M35" s="13">
        <f>'TR TUSD'!$M$35*'TR TUSD'!$M$64</f>
        <v>0.88834685508396871</v>
      </c>
      <c r="N35" s="13">
        <f ca="1">'TR TUSD'!$N$35*'TR TUSD'!$N$64</f>
        <v>9.147693456457997</v>
      </c>
      <c r="O35" s="13">
        <f>'TR TUSD'!$O$35*'TR TUSD'!$O$64</f>
        <v>0</v>
      </c>
      <c r="P35" s="13">
        <f>'TR TUSD'!$P$35*'TR TUSD'!$P$64</f>
        <v>0</v>
      </c>
      <c r="Q35" s="13">
        <f>'TR TUSD'!$Q$35*'TR TUSD'!$Q$64</f>
        <v>102.96716664722034</v>
      </c>
      <c r="R35" s="13">
        <f>'TR TUSD'!$R$35*'TR TUSD'!$R$64</f>
        <v>15.170627343714017</v>
      </c>
      <c r="S35" s="13">
        <f>'TR TUSD'!$S$35*'TR TUSD'!$S$64</f>
        <v>0</v>
      </c>
      <c r="T35" s="13">
        <f ca="1">SUM($L$35:$S$35)</f>
        <v>130.6721998986601</v>
      </c>
      <c r="U35" s="13">
        <f>'TR TUSD'!$U$35*'TR TUSD'!$U$64</f>
        <v>0</v>
      </c>
      <c r="V35" s="13">
        <f>'TR TUSD'!$V$35*'TR TUSD'!$V$64</f>
        <v>0</v>
      </c>
      <c r="W35" s="13">
        <f>'TR TUSD'!$W$35*'TR TUSD'!$W$64</f>
        <v>0</v>
      </c>
      <c r="X35" s="13">
        <f>'TR TUSD'!$X$35*'TR TUSD'!$X$64</f>
        <v>0</v>
      </c>
      <c r="Y35" s="13">
        <f>'TR TUSD'!$Y$35*'TR TUSD'!$Y$64</f>
        <v>160.98115242772721</v>
      </c>
      <c r="Z35" s="13">
        <f>'TR TUSD'!$Z$35</f>
        <v>0</v>
      </c>
      <c r="AA35" s="13">
        <f>'TR TUSD'!$AA$35</f>
        <v>0</v>
      </c>
      <c r="AB35" s="13">
        <f>SUM($U$35:$AA$35)</f>
        <v>160.98115242772721</v>
      </c>
      <c r="AC35" s="13">
        <f>'TR TUSD'!$AC$35*'TR TUSD'!$AC$64</f>
        <v>340.36281768738354</v>
      </c>
      <c r="AD35" s="13">
        <f>SUM($AC$35:$AC$35)</f>
        <v>340.36281768738354</v>
      </c>
      <c r="AE35" s="13">
        <v>0</v>
      </c>
      <c r="AF35" s="13">
        <v>0</v>
      </c>
      <c r="AG35" s="13">
        <f>SUM($AE$35:$AF$35)</f>
        <v>0</v>
      </c>
      <c r="AH35" s="13">
        <f>'TR TUSD'!$AH$35*'TR TUSD'!$AH$64</f>
        <v>22.284323363630627</v>
      </c>
      <c r="AI35" s="13">
        <f>'TR TUSD'!$AI$35*'TR TUSD'!$AI$64</f>
        <v>0</v>
      </c>
      <c r="AJ35" s="13">
        <f ca="1">'TR TUSD'!$AJ$35*'TR TUSD'!$AJ$64</f>
        <v>1.3071299329695818</v>
      </c>
      <c r="AK35" s="13">
        <f ca="1">'TR TUSD'!$AK$35*'TR TUSD'!$AK$64</f>
        <v>0.18318979165384303</v>
      </c>
      <c r="AL35" s="13">
        <f ca="1">SUM($AH$35:$AK$35)</f>
        <v>23.774643088254049</v>
      </c>
      <c r="AM35" s="13">
        <f ca="1">SUMIF($L$4:$AL$4,"SUBTOTAL",$L$35:$AL$35)</f>
        <v>655.79081310202491</v>
      </c>
      <c r="AP35" s="13">
        <f>IF((1 - CUSTOS!$M$28)&lt;&gt;0,1/(1 - CUSTOS!$M$28),1)</f>
        <v>1</v>
      </c>
    </row>
    <row r="36" spans="1:42" ht="11.25" customHeight="1" x14ac:dyDescent="0.3">
      <c r="A36" s="146"/>
      <c r="B36" s="146"/>
      <c r="C36" s="146"/>
      <c r="D36" s="146"/>
      <c r="E36" s="146"/>
      <c r="F36" s="146"/>
      <c r="G36" s="24" t="s">
        <v>80</v>
      </c>
      <c r="H36" s="24" t="s">
        <v>78</v>
      </c>
      <c r="I36" s="24">
        <f>'MERCADO TUSD'!$U$33</f>
        <v>0</v>
      </c>
      <c r="J36" s="15"/>
      <c r="L36" s="13">
        <f>'TR TUSD'!$L$36*'TR TUSD'!$L$64</f>
        <v>2.4983655961837758</v>
      </c>
      <c r="M36" s="13">
        <f>'TR TUSD'!$M$36*'TR TUSD'!$M$64</f>
        <v>0.88834685508396871</v>
      </c>
      <c r="N36" s="13">
        <f ca="1">'TR TUSD'!$N$36*'TR TUSD'!$N$64</f>
        <v>2.3920589496408926</v>
      </c>
      <c r="O36" s="13">
        <f>'TR TUSD'!$O$36*'TR TUSD'!$O$64</f>
        <v>0</v>
      </c>
      <c r="P36" s="13">
        <f>'TR TUSD'!$P$36*'TR TUSD'!$P$64</f>
        <v>0</v>
      </c>
      <c r="Q36" s="13">
        <f>'TR TUSD'!$Q$36*'TR TUSD'!$Q$64</f>
        <v>102.96716664722034</v>
      </c>
      <c r="R36" s="13">
        <f>'TR TUSD'!$R$36*'TR TUSD'!$R$64</f>
        <v>15.170627343714017</v>
      </c>
      <c r="S36" s="13">
        <f>'TR TUSD'!$S$36*'TR TUSD'!$S$64</f>
        <v>0</v>
      </c>
      <c r="T36" s="13">
        <f ca="1">SUM($L$36:$S$36)</f>
        <v>123.91656539184299</v>
      </c>
      <c r="U36" s="13">
        <f>'TR TUSD'!$U$36*'TR TUSD'!$U$64</f>
        <v>0</v>
      </c>
      <c r="V36" s="13">
        <f>'TR TUSD'!$V$36*'TR TUSD'!$V$64</f>
        <v>0</v>
      </c>
      <c r="W36" s="13">
        <f>'TR TUSD'!$W$36*'TR TUSD'!$W$64</f>
        <v>0</v>
      </c>
      <c r="X36" s="13">
        <f>'TR TUSD'!$X$36*'TR TUSD'!$X$64</f>
        <v>0</v>
      </c>
      <c r="Y36" s="13">
        <f>'TR TUSD'!$Y$36*'TR TUSD'!$Y$64</f>
        <v>26.520844440691032</v>
      </c>
      <c r="Z36" s="13">
        <f>'TR TUSD'!$Z$36</f>
        <v>0</v>
      </c>
      <c r="AA36" s="13">
        <f>'TR TUSD'!$AA$36</f>
        <v>0</v>
      </c>
      <c r="AB36" s="13">
        <f>SUM($U$36:$AA$36)</f>
        <v>26.520844440691032</v>
      </c>
      <c r="AC36" s="13">
        <f>'TR TUSD'!$AC$36*'TR TUSD'!$AC$64</f>
        <v>56.072934451921881</v>
      </c>
      <c r="AD36" s="13">
        <f>SUM($AC$36:$AC$36)</f>
        <v>56.072934451921881</v>
      </c>
      <c r="AE36" s="13">
        <v>0</v>
      </c>
      <c r="AF36" s="13">
        <v>0</v>
      </c>
      <c r="AG36" s="13">
        <f>SUM($AE$36:$AF$36)</f>
        <v>0</v>
      </c>
      <c r="AH36" s="13">
        <f>'TR TUSD'!$AH$36*'TR TUSD'!$AH$64</f>
        <v>22.284323363630627</v>
      </c>
      <c r="AI36" s="13">
        <f>'TR TUSD'!$AI$36*'TR TUSD'!$AI$64</f>
        <v>0</v>
      </c>
      <c r="AJ36" s="13">
        <f ca="1">'TR TUSD'!$AJ$36*'TR TUSD'!$AJ$64</f>
        <v>1.3071299329695818</v>
      </c>
      <c r="AK36" s="13">
        <f ca="1">'TR TUSD'!$AK$36*'TR TUSD'!$AK$64</f>
        <v>0.18318979165384303</v>
      </c>
      <c r="AL36" s="13">
        <f ca="1">SUM($AH$36:$AK$36)</f>
        <v>23.774643088254049</v>
      </c>
      <c r="AM36" s="13">
        <f ca="1">SUMIF($L$4:$AL$4,"SUBTOTAL",$L$36:$AL$36)</f>
        <v>230.28498737270996</v>
      </c>
      <c r="AP36" s="13">
        <f>IF((1 - CUSTOS!$M$28)&lt;&gt;0,1/(1 - CUSTOS!$M$28),1)</f>
        <v>1</v>
      </c>
    </row>
    <row r="37" spans="1:42" ht="11.25" customHeight="1" x14ac:dyDescent="0.3">
      <c r="A37" s="146"/>
      <c r="B37" s="23" t="s">
        <v>23</v>
      </c>
      <c r="C37" s="23" t="s">
        <v>42</v>
      </c>
      <c r="D37" s="23" t="s">
        <v>25</v>
      </c>
      <c r="E37" s="23" t="s">
        <v>25</v>
      </c>
      <c r="F37" s="23" t="s">
        <v>25</v>
      </c>
      <c r="G37" s="24" t="s">
        <v>84</v>
      </c>
      <c r="H37" s="24" t="s">
        <v>78</v>
      </c>
      <c r="I37" s="24">
        <f>'MERCADO TUSD'!$U$34</f>
        <v>3112.8609999999999</v>
      </c>
      <c r="J37" s="15"/>
      <c r="L37" s="13">
        <f>'TR TUSD'!$L$37*'TR TUSD'!$L$64</f>
        <v>2.4983655961837758</v>
      </c>
      <c r="M37" s="13">
        <f>'TR TUSD'!$M$37*'TR TUSD'!$M$64</f>
        <v>0.88834685508396871</v>
      </c>
      <c r="N37" s="13">
        <f ca="1">'TR TUSD'!$N$37*'TR TUSD'!$N$64</f>
        <v>5.8184153511288281</v>
      </c>
      <c r="O37" s="13">
        <f>'TR TUSD'!$O$37*'TR TUSD'!$O$64</f>
        <v>0</v>
      </c>
      <c r="P37" s="13">
        <f>'TR TUSD'!$P$37*'TR TUSD'!$P$64</f>
        <v>0</v>
      </c>
      <c r="Q37" s="13">
        <f>'TR TUSD'!$Q$37*'TR TUSD'!$Q$64</f>
        <v>102.96716664722034</v>
      </c>
      <c r="R37" s="13">
        <f>'TR TUSD'!$R$37*'TR TUSD'!$R$64</f>
        <v>15.170627343714017</v>
      </c>
      <c r="S37" s="13">
        <f>'TR TUSD'!$S$37*'TR TUSD'!$S$64</f>
        <v>0</v>
      </c>
      <c r="T37" s="13">
        <f ca="1">SUM($L$37:$S$37)</f>
        <v>127.34292179333093</v>
      </c>
      <c r="U37" s="13">
        <f>'TR TUSD'!$U$37*'TR TUSD'!$U$64</f>
        <v>0</v>
      </c>
      <c r="V37" s="13">
        <f>'TR TUSD'!$V$37*'TR TUSD'!$V$64</f>
        <v>0</v>
      </c>
      <c r="W37" s="13">
        <f>'TR TUSD'!$W$37*'TR TUSD'!$W$64</f>
        <v>0</v>
      </c>
      <c r="X37" s="13">
        <f>'TR TUSD'!$X$37*'TR TUSD'!$X$64</f>
        <v>0</v>
      </c>
      <c r="Y37" s="13">
        <f>'TR TUSD'!$Y$37*'TR TUSD'!$Y$64</f>
        <v>94.717023317548211</v>
      </c>
      <c r="Z37" s="13">
        <f>'TR TUSD'!$Z$37</f>
        <v>0</v>
      </c>
      <c r="AA37" s="13">
        <f>'TR TUSD'!$AA$37</f>
        <v>0</v>
      </c>
      <c r="AB37" s="13">
        <f>SUM($U$37:$AA$37)</f>
        <v>94.717023317548211</v>
      </c>
      <c r="AC37" s="13">
        <f>'TR TUSD'!$AC$37*'TR TUSD'!$AC$64</f>
        <v>200.26054368270911</v>
      </c>
      <c r="AD37" s="13">
        <f>SUM($AC$37:$AC$37)</f>
        <v>200.26054368270911</v>
      </c>
      <c r="AE37" s="13">
        <v>0</v>
      </c>
      <c r="AF37" s="13">
        <v>0</v>
      </c>
      <c r="AG37" s="13">
        <f>SUM($AE$37:$AF$37)</f>
        <v>0</v>
      </c>
      <c r="AH37" s="13">
        <f>'TR TUSD'!$AH$37*'TR TUSD'!$AH$64</f>
        <v>22.284323363630627</v>
      </c>
      <c r="AI37" s="13">
        <f>'TR TUSD'!$AI$37*'TR TUSD'!$AI$64</f>
        <v>0</v>
      </c>
      <c r="AJ37" s="13">
        <f ca="1">'TR TUSD'!$AJ$37*'TR TUSD'!$AJ$64</f>
        <v>1.3071299329695818</v>
      </c>
      <c r="AK37" s="13">
        <f ca="1">'TR TUSD'!$AK$37*'TR TUSD'!$AK$64</f>
        <v>0.18318979165384303</v>
      </c>
      <c r="AL37" s="13">
        <f ca="1">SUM($AH$37:$AK$37)</f>
        <v>23.774643088254049</v>
      </c>
      <c r="AM37" s="13">
        <f ca="1">SUMIF($L$4:$AL$4,"SUBTOTAL",$L$37:$AL$37)</f>
        <v>446.09513188184229</v>
      </c>
      <c r="AP37" s="13">
        <f>IF((1 - CUSTOS!$M$28)&lt;&gt;0,1/(1 - CUSTOS!$M$28),1)</f>
        <v>1</v>
      </c>
    </row>
    <row r="38" spans="1:42" ht="11.25" customHeight="1" x14ac:dyDescent="0.3">
      <c r="A38" s="146"/>
      <c r="B38" s="146" t="s">
        <v>38</v>
      </c>
      <c r="C38" s="146" t="s">
        <v>42</v>
      </c>
      <c r="D38" s="146" t="s">
        <v>93</v>
      </c>
      <c r="E38" s="146" t="s">
        <v>25</v>
      </c>
      <c r="F38" s="146" t="s">
        <v>25</v>
      </c>
      <c r="G38" s="24" t="s">
        <v>79</v>
      </c>
      <c r="H38" s="24" t="s">
        <v>78</v>
      </c>
      <c r="I38" s="24">
        <f>'MERCADO TUSD'!$U$35</f>
        <v>0</v>
      </c>
      <c r="J38" s="15"/>
      <c r="L38" s="13">
        <f>'TR TUSD'!$L$38*'TR TUSD'!$L$64</f>
        <v>2.4983655961837758</v>
      </c>
      <c r="M38" s="13">
        <f>'TR TUSD'!$M$38*'TR TUSD'!$M$64</f>
        <v>0.88834685508396871</v>
      </c>
      <c r="N38" s="13">
        <f ca="1">'TR TUSD'!$N$38*'TR TUSD'!$N$64</f>
        <v>30.134132898362402</v>
      </c>
      <c r="O38" s="13">
        <f>'TR TUSD'!$O$38*'TR TUSD'!$O$64</f>
        <v>0</v>
      </c>
      <c r="P38" s="13">
        <f>'TR TUSD'!$P$38*'TR TUSD'!$P$64</f>
        <v>0</v>
      </c>
      <c r="Q38" s="13">
        <f>'TR TUSD'!$Q$38*'TR TUSD'!$Q$64</f>
        <v>102.96716664722034</v>
      </c>
      <c r="R38" s="13">
        <f>'TR TUSD'!$R$38*'TR TUSD'!$R$64</f>
        <v>15.170627343714017</v>
      </c>
      <c r="S38" s="13">
        <f>'TR TUSD'!$S$38*'TR TUSD'!$S$64</f>
        <v>0</v>
      </c>
      <c r="T38" s="13">
        <f ca="1">SUM($L$38:$S$38)</f>
        <v>151.65863934056452</v>
      </c>
      <c r="U38" s="13">
        <f>'TR TUSD'!$U$38*'TR TUSD'!$U$64</f>
        <v>0</v>
      </c>
      <c r="V38" s="13">
        <f>'TR TUSD'!$V$38*'TR TUSD'!$V$64</f>
        <v>0</v>
      </c>
      <c r="W38" s="13">
        <f>'TR TUSD'!$W$38*'TR TUSD'!$W$64</f>
        <v>0</v>
      </c>
      <c r="X38" s="13">
        <f>'TR TUSD'!$X$38*'TR TUSD'!$X$64</f>
        <v>0</v>
      </c>
      <c r="Y38" s="13">
        <f>'TR TUSD'!$Y$38*'TR TUSD'!$Y$64</f>
        <v>578.68323499708708</v>
      </c>
      <c r="Z38" s="13">
        <f>'TR TUSD'!$Z$38</f>
        <v>0</v>
      </c>
      <c r="AA38" s="13">
        <f>'TR TUSD'!$AA$38</f>
        <v>0</v>
      </c>
      <c r="AB38" s="13">
        <f>SUM($U$38:$AA$38)</f>
        <v>578.68323499708708</v>
      </c>
      <c r="AC38" s="13">
        <f>'TR TUSD'!$AC$38*'TR TUSD'!$AC$64</f>
        <v>1223.5119520060127</v>
      </c>
      <c r="AD38" s="13">
        <f>SUM($AC$38:$AC$38)</f>
        <v>1223.5119520060127</v>
      </c>
      <c r="AE38" s="13">
        <v>0</v>
      </c>
      <c r="AF38" s="13">
        <v>0</v>
      </c>
      <c r="AG38" s="13">
        <f>SUM($AE$38:$AF$38)</f>
        <v>0</v>
      </c>
      <c r="AH38" s="13">
        <f>'TR TUSD'!$AH$38*'TR TUSD'!$AH$64</f>
        <v>22.284323363630627</v>
      </c>
      <c r="AI38" s="13">
        <f>'TR TUSD'!$AI$38*'TR TUSD'!$AI$64</f>
        <v>0</v>
      </c>
      <c r="AJ38" s="13">
        <f ca="1">'TR TUSD'!$AJ$38*'TR TUSD'!$AJ$64</f>
        <v>1.3071299329695818</v>
      </c>
      <c r="AK38" s="13">
        <f ca="1">'TR TUSD'!$AK$38*'TR TUSD'!$AK$64</f>
        <v>0.18318979165384303</v>
      </c>
      <c r="AL38" s="13">
        <f ca="1">SUM($AH$38:$AK$38)</f>
        <v>23.774643088254049</v>
      </c>
      <c r="AM38" s="13">
        <f ca="1">SUMIF($L$4:$AL$4,"SUBTOTAL",$L$38:$AL$38)</f>
        <v>1977.6284694319186</v>
      </c>
      <c r="AP38" s="13">
        <f>IF((1 - CUSTOS!$M$29)&lt;&gt;0,1/(1 - CUSTOS!$M$29),1)</f>
        <v>1</v>
      </c>
    </row>
    <row r="39" spans="1:42" ht="11.25" customHeight="1" x14ac:dyDescent="0.3">
      <c r="A39" s="146"/>
      <c r="B39" s="146"/>
      <c r="C39" s="146"/>
      <c r="D39" s="146"/>
      <c r="E39" s="146"/>
      <c r="F39" s="146"/>
      <c r="G39" s="24" t="s">
        <v>89</v>
      </c>
      <c r="H39" s="24" t="s">
        <v>78</v>
      </c>
      <c r="I39" s="24">
        <f>'MERCADO TUSD'!$U$36</f>
        <v>0</v>
      </c>
      <c r="J39" s="15"/>
      <c r="L39" s="13">
        <f>'TR TUSD'!$L$39*'TR TUSD'!$L$64</f>
        <v>2.4983655961837758</v>
      </c>
      <c r="M39" s="13">
        <f>'TR TUSD'!$M$39*'TR TUSD'!$M$64</f>
        <v>0.88834685508396871</v>
      </c>
      <c r="N39" s="13">
        <f ca="1">'TR TUSD'!$N$39*'TR TUSD'!$N$64</f>
        <v>9.147693456457997</v>
      </c>
      <c r="O39" s="13">
        <f>'TR TUSD'!$O$39*'TR TUSD'!$O$64</f>
        <v>0</v>
      </c>
      <c r="P39" s="13">
        <f>'TR TUSD'!$P$39*'TR TUSD'!$P$64</f>
        <v>0</v>
      </c>
      <c r="Q39" s="13">
        <f>'TR TUSD'!$Q$39*'TR TUSD'!$Q$64</f>
        <v>102.96716664722034</v>
      </c>
      <c r="R39" s="13">
        <f>'TR TUSD'!$R$39*'TR TUSD'!$R$64</f>
        <v>15.170627343714017</v>
      </c>
      <c r="S39" s="13">
        <f>'TR TUSD'!$S$39*'TR TUSD'!$S$64</f>
        <v>0</v>
      </c>
      <c r="T39" s="13">
        <f ca="1">SUM($L$39:$S$39)</f>
        <v>130.6721998986601</v>
      </c>
      <c r="U39" s="13">
        <f>'TR TUSD'!$U$39*'TR TUSD'!$U$64</f>
        <v>0</v>
      </c>
      <c r="V39" s="13">
        <f>'TR TUSD'!$V$39*'TR TUSD'!$V$64</f>
        <v>0</v>
      </c>
      <c r="W39" s="13">
        <f>'TR TUSD'!$W$39*'TR TUSD'!$W$64</f>
        <v>0</v>
      </c>
      <c r="X39" s="13">
        <f>'TR TUSD'!$X$39*'TR TUSD'!$X$64</f>
        <v>0</v>
      </c>
      <c r="Y39" s="13">
        <f>'TR TUSD'!$Y$39*'TR TUSD'!$Y$64</f>
        <v>160.98115242772721</v>
      </c>
      <c r="Z39" s="13">
        <f>'TR TUSD'!$Z$39</f>
        <v>0</v>
      </c>
      <c r="AA39" s="13">
        <f>'TR TUSD'!$AA$39</f>
        <v>0</v>
      </c>
      <c r="AB39" s="13">
        <f>SUM($U$39:$AA$39)</f>
        <v>160.98115242772721</v>
      </c>
      <c r="AC39" s="13">
        <f>'TR TUSD'!$AC$39*'TR TUSD'!$AC$64</f>
        <v>340.36281768738354</v>
      </c>
      <c r="AD39" s="13">
        <f>SUM($AC$39:$AC$39)</f>
        <v>340.36281768738354</v>
      </c>
      <c r="AE39" s="13">
        <v>0</v>
      </c>
      <c r="AF39" s="13">
        <v>0</v>
      </c>
      <c r="AG39" s="13">
        <f>SUM($AE$39:$AF$39)</f>
        <v>0</v>
      </c>
      <c r="AH39" s="13">
        <f>'TR TUSD'!$AH$39*'TR TUSD'!$AH$64</f>
        <v>22.284323363630627</v>
      </c>
      <c r="AI39" s="13">
        <f>'TR TUSD'!$AI$39*'TR TUSD'!$AI$64</f>
        <v>0</v>
      </c>
      <c r="AJ39" s="13">
        <f ca="1">'TR TUSD'!$AJ$39*'TR TUSD'!$AJ$64</f>
        <v>1.3071299329695818</v>
      </c>
      <c r="AK39" s="13">
        <f ca="1">'TR TUSD'!$AK$39*'TR TUSD'!$AK$64</f>
        <v>0.18318979165384303</v>
      </c>
      <c r="AL39" s="13">
        <f ca="1">SUM($AH$39:$AK$39)</f>
        <v>23.774643088254049</v>
      </c>
      <c r="AM39" s="13">
        <f ca="1">SUMIF($L$4:$AL$4,"SUBTOTAL",$L$39:$AL$39)</f>
        <v>655.79081310202491</v>
      </c>
      <c r="AP39" s="13">
        <f>IF((1 - CUSTOS!$M$29)&lt;&gt;0,1/(1 - CUSTOS!$M$29),1)</f>
        <v>1</v>
      </c>
    </row>
    <row r="40" spans="1:42" ht="11.25" customHeight="1" x14ac:dyDescent="0.3">
      <c r="A40" s="146"/>
      <c r="B40" s="146"/>
      <c r="C40" s="146"/>
      <c r="D40" s="146"/>
      <c r="E40" s="146"/>
      <c r="F40" s="146"/>
      <c r="G40" s="24" t="s">
        <v>80</v>
      </c>
      <c r="H40" s="24" t="s">
        <v>78</v>
      </c>
      <c r="I40" s="24">
        <f>'MERCADO TUSD'!$U$37</f>
        <v>0</v>
      </c>
      <c r="J40" s="15"/>
      <c r="L40" s="13">
        <f>'TR TUSD'!$L$40*'TR TUSD'!$L$64</f>
        <v>2.4983655961837758</v>
      </c>
      <c r="M40" s="13">
        <f>'TR TUSD'!$M$40*'TR TUSD'!$M$64</f>
        <v>0.88834685508396871</v>
      </c>
      <c r="N40" s="13">
        <f ca="1">'TR TUSD'!$N$40*'TR TUSD'!$N$64</f>
        <v>2.3920589496408926</v>
      </c>
      <c r="O40" s="13">
        <f>'TR TUSD'!$O$40*'TR TUSD'!$O$64</f>
        <v>0</v>
      </c>
      <c r="P40" s="13">
        <f>'TR TUSD'!$P$40*'TR TUSD'!$P$64</f>
        <v>0</v>
      </c>
      <c r="Q40" s="13">
        <f>'TR TUSD'!$Q$40*'TR TUSD'!$Q$64</f>
        <v>102.96716664722034</v>
      </c>
      <c r="R40" s="13">
        <f>'TR TUSD'!$R$40*'TR TUSD'!$R$64</f>
        <v>15.170627343714017</v>
      </c>
      <c r="S40" s="13">
        <f>'TR TUSD'!$S$40*'TR TUSD'!$S$64</f>
        <v>0</v>
      </c>
      <c r="T40" s="13">
        <f ca="1">SUM($L$40:$S$40)</f>
        <v>123.91656539184299</v>
      </c>
      <c r="U40" s="13">
        <f>'TR TUSD'!$U$40*'TR TUSD'!$U$64</f>
        <v>0</v>
      </c>
      <c r="V40" s="13">
        <f>'TR TUSD'!$V$40*'TR TUSD'!$V$64</f>
        <v>0</v>
      </c>
      <c r="W40" s="13">
        <f>'TR TUSD'!$W$40*'TR TUSD'!$W$64</f>
        <v>0</v>
      </c>
      <c r="X40" s="13">
        <f>'TR TUSD'!$X$40*'TR TUSD'!$X$64</f>
        <v>0</v>
      </c>
      <c r="Y40" s="13">
        <f>'TR TUSD'!$Y$40*'TR TUSD'!$Y$64</f>
        <v>26.520844440691032</v>
      </c>
      <c r="Z40" s="13">
        <f>'TR TUSD'!$Z$40</f>
        <v>0</v>
      </c>
      <c r="AA40" s="13">
        <f>'TR TUSD'!$AA$40</f>
        <v>0</v>
      </c>
      <c r="AB40" s="13">
        <f>SUM($U$40:$AA$40)</f>
        <v>26.520844440691032</v>
      </c>
      <c r="AC40" s="13">
        <f>'TR TUSD'!$AC$40*'TR TUSD'!$AC$64</f>
        <v>56.072934451921881</v>
      </c>
      <c r="AD40" s="13">
        <f>SUM($AC$40:$AC$40)</f>
        <v>56.072934451921881</v>
      </c>
      <c r="AE40" s="13">
        <v>0</v>
      </c>
      <c r="AF40" s="13">
        <v>0</v>
      </c>
      <c r="AG40" s="13">
        <f>SUM($AE$40:$AF$40)</f>
        <v>0</v>
      </c>
      <c r="AH40" s="13">
        <f>'TR TUSD'!$AH$40*'TR TUSD'!$AH$64</f>
        <v>22.284323363630627</v>
      </c>
      <c r="AI40" s="13">
        <f>'TR TUSD'!$AI$40*'TR TUSD'!$AI$64</f>
        <v>0</v>
      </c>
      <c r="AJ40" s="13">
        <f ca="1">'TR TUSD'!$AJ$40*'TR TUSD'!$AJ$64</f>
        <v>1.3071299329695818</v>
      </c>
      <c r="AK40" s="13">
        <f ca="1">'TR TUSD'!$AK$40*'TR TUSD'!$AK$64</f>
        <v>0.18318979165384303</v>
      </c>
      <c r="AL40" s="13">
        <f ca="1">SUM($AH$40:$AK$40)</f>
        <v>23.774643088254049</v>
      </c>
      <c r="AM40" s="13">
        <f ca="1">SUMIF($L$4:$AL$4,"SUBTOTAL",$L$40:$AL$40)</f>
        <v>230.28498737270996</v>
      </c>
      <c r="AP40" s="13">
        <f>IF((1 - CUSTOS!$M$29)&lt;&gt;0,1/(1 - CUSTOS!$M$29),1)</f>
        <v>1</v>
      </c>
    </row>
    <row r="41" spans="1:42" ht="11.25" customHeight="1" x14ac:dyDescent="0.3">
      <c r="A41" s="146"/>
      <c r="B41" s="23" t="s">
        <v>23</v>
      </c>
      <c r="C41" s="23" t="s">
        <v>42</v>
      </c>
      <c r="D41" s="23" t="s">
        <v>93</v>
      </c>
      <c r="E41" s="23" t="s">
        <v>25</v>
      </c>
      <c r="F41" s="23" t="s">
        <v>25</v>
      </c>
      <c r="G41" s="24" t="s">
        <v>84</v>
      </c>
      <c r="H41" s="24" t="s">
        <v>78</v>
      </c>
      <c r="I41" s="24">
        <f>'MERCADO TUSD'!$U$38</f>
        <v>0</v>
      </c>
      <c r="J41" s="15"/>
      <c r="L41" s="13">
        <f>'TR TUSD'!$L$41*'TR TUSD'!$L$64</f>
        <v>2.4983655961837758</v>
      </c>
      <c r="M41" s="13">
        <f>'TR TUSD'!$M$41*'TR TUSD'!$M$64</f>
        <v>0.88834685508396871</v>
      </c>
      <c r="N41" s="13">
        <f ca="1">'TR TUSD'!$N$41*'TR TUSD'!$N$64</f>
        <v>5.8184153511288281</v>
      </c>
      <c r="O41" s="13">
        <f>'TR TUSD'!$O$41*'TR TUSD'!$O$64</f>
        <v>0</v>
      </c>
      <c r="P41" s="13">
        <f>'TR TUSD'!$P$41*'TR TUSD'!$P$64</f>
        <v>0</v>
      </c>
      <c r="Q41" s="13">
        <f>'TR TUSD'!$Q$41*'TR TUSD'!$Q$64</f>
        <v>102.96716664722034</v>
      </c>
      <c r="R41" s="13">
        <f>'TR TUSD'!$R$41*'TR TUSD'!$R$64</f>
        <v>15.170627343714017</v>
      </c>
      <c r="S41" s="13">
        <f>'TR TUSD'!$S$41*'TR TUSD'!$S$64</f>
        <v>0</v>
      </c>
      <c r="T41" s="13">
        <f ca="1">SUM($L$41:$S$41)</f>
        <v>127.34292179333093</v>
      </c>
      <c r="U41" s="13">
        <f>'TR TUSD'!$U$41*'TR TUSD'!$U$64</f>
        <v>0</v>
      </c>
      <c r="V41" s="13">
        <f>'TR TUSD'!$V$41*'TR TUSD'!$V$64</f>
        <v>0</v>
      </c>
      <c r="W41" s="13">
        <f>'TR TUSD'!$W$41*'TR TUSD'!$W$64</f>
        <v>0</v>
      </c>
      <c r="X41" s="13">
        <f>'TR TUSD'!$X$41*'TR TUSD'!$X$64</f>
        <v>0</v>
      </c>
      <c r="Y41" s="13">
        <f>'TR TUSD'!$Y$41*'TR TUSD'!$Y$64</f>
        <v>94.717023317548211</v>
      </c>
      <c r="Z41" s="13">
        <f>'TR TUSD'!$Z$41</f>
        <v>0</v>
      </c>
      <c r="AA41" s="13">
        <f>'TR TUSD'!$AA$41</f>
        <v>0</v>
      </c>
      <c r="AB41" s="13">
        <f>SUM($U$41:$AA$41)</f>
        <v>94.717023317548211</v>
      </c>
      <c r="AC41" s="13">
        <f>'TR TUSD'!$AC$41*'TR TUSD'!$AC$64</f>
        <v>200.26054368270911</v>
      </c>
      <c r="AD41" s="13">
        <f>SUM($AC$41:$AC$41)</f>
        <v>200.26054368270911</v>
      </c>
      <c r="AE41" s="13">
        <v>0</v>
      </c>
      <c r="AF41" s="13">
        <v>0</v>
      </c>
      <c r="AG41" s="13">
        <f>SUM($AE$41:$AF$41)</f>
        <v>0</v>
      </c>
      <c r="AH41" s="13">
        <f>'TR TUSD'!$AH$41*'TR TUSD'!$AH$64</f>
        <v>22.284323363630627</v>
      </c>
      <c r="AI41" s="13">
        <f>'TR TUSD'!$AI$41*'TR TUSD'!$AI$64</f>
        <v>0</v>
      </c>
      <c r="AJ41" s="13">
        <f ca="1">'TR TUSD'!$AJ$41*'TR TUSD'!$AJ$64</f>
        <v>1.3071299329695818</v>
      </c>
      <c r="AK41" s="13">
        <f ca="1">'TR TUSD'!$AK$41*'TR TUSD'!$AK$64</f>
        <v>0.18318979165384303</v>
      </c>
      <c r="AL41" s="13">
        <f ca="1">SUM($AH$41:$AK$41)</f>
        <v>23.774643088254049</v>
      </c>
      <c r="AM41" s="13">
        <f ca="1">SUMIF($L$4:$AL$4,"SUBTOTAL",$L$41:$AL$41)</f>
        <v>446.09513188184229</v>
      </c>
      <c r="AP41" s="13">
        <f>IF((1 - CUSTOS!$M$29)&lt;&gt;0,1/(1 - CUSTOS!$M$29),1)</f>
        <v>1</v>
      </c>
    </row>
    <row r="42" spans="1:42" ht="11.25" customHeight="1" x14ac:dyDescent="0.3">
      <c r="A42" s="146"/>
      <c r="B42" s="146" t="s">
        <v>38</v>
      </c>
      <c r="C42" s="146" t="s">
        <v>42</v>
      </c>
      <c r="D42" s="146" t="s">
        <v>94</v>
      </c>
      <c r="E42" s="146" t="s">
        <v>25</v>
      </c>
      <c r="F42" s="146" t="s">
        <v>25</v>
      </c>
      <c r="G42" s="24" t="s">
        <v>79</v>
      </c>
      <c r="H42" s="24" t="s">
        <v>78</v>
      </c>
      <c r="I42" s="24">
        <f>'MERCADO TUSD'!$U$39</f>
        <v>0</v>
      </c>
      <c r="J42" s="15"/>
      <c r="L42" s="13">
        <f>'TR TUSD'!$L$42*'TR TUSD'!$L$64</f>
        <v>2.4983655961837758</v>
      </c>
      <c r="M42" s="13">
        <f>'TR TUSD'!$M$42*'TR TUSD'!$M$64</f>
        <v>0.88834685508396871</v>
      </c>
      <c r="N42" s="13">
        <f ca="1">'TR TUSD'!$N$42*'TR TUSD'!$N$64</f>
        <v>30.134132898362402</v>
      </c>
      <c r="O42" s="13">
        <f>'TR TUSD'!$O$42*'TR TUSD'!$O$64</f>
        <v>0</v>
      </c>
      <c r="P42" s="13">
        <f>'TR TUSD'!$P$42*'TR TUSD'!$P$64</f>
        <v>0</v>
      </c>
      <c r="Q42" s="13">
        <f>'TR TUSD'!$Q$42*'TR TUSD'!$Q$64</f>
        <v>102.96716664722034</v>
      </c>
      <c r="R42" s="13">
        <f>'TR TUSD'!$R$42*'TR TUSD'!$R$64</f>
        <v>15.170627343714017</v>
      </c>
      <c r="S42" s="13">
        <f>'TR TUSD'!$S$42*'TR TUSD'!$S$64</f>
        <v>0</v>
      </c>
      <c r="T42" s="13">
        <f ca="1">SUM($L$42:$S$42)</f>
        <v>151.65863934056452</v>
      </c>
      <c r="U42" s="13">
        <f>'TR TUSD'!$U$42*'TR TUSD'!$U$64</f>
        <v>0</v>
      </c>
      <c r="V42" s="13">
        <f>'TR TUSD'!$V$42*'TR TUSD'!$V$64</f>
        <v>0</v>
      </c>
      <c r="W42" s="13">
        <f>'TR TUSD'!$W$42*'TR TUSD'!$W$64</f>
        <v>0</v>
      </c>
      <c r="X42" s="13">
        <f>'TR TUSD'!$X$42*'TR TUSD'!$X$64</f>
        <v>0</v>
      </c>
      <c r="Y42" s="13">
        <f>'TR TUSD'!$Y$42*'TR TUSD'!$Y$64</f>
        <v>578.68323499708708</v>
      </c>
      <c r="Z42" s="13">
        <f>'TR TUSD'!$Z$42</f>
        <v>0</v>
      </c>
      <c r="AA42" s="13">
        <f>'TR TUSD'!$AA$42</f>
        <v>0</v>
      </c>
      <c r="AB42" s="13">
        <f>SUM($U$42:$AA$42)</f>
        <v>578.68323499708708</v>
      </c>
      <c r="AC42" s="13">
        <f>'TR TUSD'!$AC$42*'TR TUSD'!$AC$64</f>
        <v>1223.5119520060127</v>
      </c>
      <c r="AD42" s="13">
        <f>SUM($AC$42:$AC$42)</f>
        <v>1223.5119520060127</v>
      </c>
      <c r="AE42" s="13">
        <v>0</v>
      </c>
      <c r="AF42" s="13">
        <v>0</v>
      </c>
      <c r="AG42" s="13">
        <f>SUM($AE$42:$AF$42)</f>
        <v>0</v>
      </c>
      <c r="AH42" s="13">
        <f>'TR TUSD'!$AH$42*'TR TUSD'!$AH$64</f>
        <v>22.284323363630627</v>
      </c>
      <c r="AI42" s="13">
        <f>'TR TUSD'!$AI$42*'TR TUSD'!$AI$64</f>
        <v>0</v>
      </c>
      <c r="AJ42" s="13">
        <f ca="1">'TR TUSD'!$AJ$42*'TR TUSD'!$AJ$64</f>
        <v>1.3071299329695818</v>
      </c>
      <c r="AK42" s="13">
        <f ca="1">'TR TUSD'!$AK$42*'TR TUSD'!$AK$64</f>
        <v>0.18318979165384303</v>
      </c>
      <c r="AL42" s="13">
        <f ca="1">SUM($AH$42:$AK$42)</f>
        <v>23.774643088254049</v>
      </c>
      <c r="AM42" s="13">
        <f ca="1">SUMIF($L$4:$AL$4,"SUBTOTAL",$L$42:$AL$42)</f>
        <v>1977.6284694319186</v>
      </c>
      <c r="AP42" s="13">
        <f>IF((1 - CUSTOS!$M$30)&lt;&gt;0,1/(1 - CUSTOS!$M$30),1)</f>
        <v>1</v>
      </c>
    </row>
    <row r="43" spans="1:42" ht="11.25" customHeight="1" x14ac:dyDescent="0.3">
      <c r="A43" s="146"/>
      <c r="B43" s="146"/>
      <c r="C43" s="146"/>
      <c r="D43" s="146"/>
      <c r="E43" s="146"/>
      <c r="F43" s="146"/>
      <c r="G43" s="24" t="s">
        <v>89</v>
      </c>
      <c r="H43" s="24" t="s">
        <v>78</v>
      </c>
      <c r="I43" s="24">
        <f>'MERCADO TUSD'!$U$40</f>
        <v>0</v>
      </c>
      <c r="J43" s="15"/>
      <c r="L43" s="13">
        <f>'TR TUSD'!$L$43*'TR TUSD'!$L$64</f>
        <v>2.4983655961837758</v>
      </c>
      <c r="M43" s="13">
        <f>'TR TUSD'!$M$43*'TR TUSD'!$M$64</f>
        <v>0.88834685508396871</v>
      </c>
      <c r="N43" s="13">
        <f ca="1">'TR TUSD'!$N$43*'TR TUSD'!$N$64</f>
        <v>9.147693456457997</v>
      </c>
      <c r="O43" s="13">
        <f>'TR TUSD'!$O$43*'TR TUSD'!$O$64</f>
        <v>0</v>
      </c>
      <c r="P43" s="13">
        <f>'TR TUSD'!$P$43*'TR TUSD'!$P$64</f>
        <v>0</v>
      </c>
      <c r="Q43" s="13">
        <f>'TR TUSD'!$Q$43*'TR TUSD'!$Q$64</f>
        <v>102.96716664722034</v>
      </c>
      <c r="R43" s="13">
        <f>'TR TUSD'!$R$43*'TR TUSD'!$R$64</f>
        <v>15.170627343714017</v>
      </c>
      <c r="S43" s="13">
        <f>'TR TUSD'!$S$43*'TR TUSD'!$S$64</f>
        <v>0</v>
      </c>
      <c r="T43" s="13">
        <f ca="1">SUM($L$43:$S$43)</f>
        <v>130.6721998986601</v>
      </c>
      <c r="U43" s="13">
        <f>'TR TUSD'!$U$43*'TR TUSD'!$U$64</f>
        <v>0</v>
      </c>
      <c r="V43" s="13">
        <f>'TR TUSD'!$V$43*'TR TUSD'!$V$64</f>
        <v>0</v>
      </c>
      <c r="W43" s="13">
        <f>'TR TUSD'!$W$43*'TR TUSD'!$W$64</f>
        <v>0</v>
      </c>
      <c r="X43" s="13">
        <f>'TR TUSD'!$X$43*'TR TUSD'!$X$64</f>
        <v>0</v>
      </c>
      <c r="Y43" s="13">
        <f>'TR TUSD'!$Y$43*'TR TUSD'!$Y$64</f>
        <v>160.98115242772721</v>
      </c>
      <c r="Z43" s="13">
        <f>'TR TUSD'!$Z$43</f>
        <v>0</v>
      </c>
      <c r="AA43" s="13">
        <f>'TR TUSD'!$AA$43</f>
        <v>0</v>
      </c>
      <c r="AB43" s="13">
        <f>SUM($U$43:$AA$43)</f>
        <v>160.98115242772721</v>
      </c>
      <c r="AC43" s="13">
        <f>'TR TUSD'!$AC$43*'TR TUSD'!$AC$64</f>
        <v>340.36281768738354</v>
      </c>
      <c r="AD43" s="13">
        <f>SUM($AC$43:$AC$43)</f>
        <v>340.36281768738354</v>
      </c>
      <c r="AE43" s="13">
        <v>0</v>
      </c>
      <c r="AF43" s="13">
        <v>0</v>
      </c>
      <c r="AG43" s="13">
        <f>SUM($AE$43:$AF$43)</f>
        <v>0</v>
      </c>
      <c r="AH43" s="13">
        <f>'TR TUSD'!$AH$43*'TR TUSD'!$AH$64</f>
        <v>22.284323363630627</v>
      </c>
      <c r="AI43" s="13">
        <f>'TR TUSD'!$AI$43*'TR TUSD'!$AI$64</f>
        <v>0</v>
      </c>
      <c r="AJ43" s="13">
        <f ca="1">'TR TUSD'!$AJ$43*'TR TUSD'!$AJ$64</f>
        <v>1.3071299329695818</v>
      </c>
      <c r="AK43" s="13">
        <f ca="1">'TR TUSD'!$AK$43*'TR TUSD'!$AK$64</f>
        <v>0.18318979165384303</v>
      </c>
      <c r="AL43" s="13">
        <f ca="1">SUM($AH$43:$AK$43)</f>
        <v>23.774643088254049</v>
      </c>
      <c r="AM43" s="13">
        <f ca="1">SUMIF($L$4:$AL$4,"SUBTOTAL",$L$43:$AL$43)</f>
        <v>655.79081310202491</v>
      </c>
      <c r="AP43" s="13">
        <f>IF((1 - CUSTOS!$M$30)&lt;&gt;0,1/(1 - CUSTOS!$M$30),1)</f>
        <v>1</v>
      </c>
    </row>
    <row r="44" spans="1:42" ht="11.25" customHeight="1" x14ac:dyDescent="0.3">
      <c r="A44" s="146"/>
      <c r="B44" s="146"/>
      <c r="C44" s="146"/>
      <c r="D44" s="146"/>
      <c r="E44" s="146"/>
      <c r="F44" s="146"/>
      <c r="G44" s="24" t="s">
        <v>80</v>
      </c>
      <c r="H44" s="24" t="s">
        <v>78</v>
      </c>
      <c r="I44" s="24">
        <f>'MERCADO TUSD'!$U$41</f>
        <v>0</v>
      </c>
      <c r="J44" s="15"/>
      <c r="L44" s="13">
        <f>'TR TUSD'!$L$44*'TR TUSD'!$L$64</f>
        <v>2.4983655961837758</v>
      </c>
      <c r="M44" s="13">
        <f>'TR TUSD'!$M$44*'TR TUSD'!$M$64</f>
        <v>0.88834685508396871</v>
      </c>
      <c r="N44" s="13">
        <f ca="1">'TR TUSD'!$N$44*'TR TUSD'!$N$64</f>
        <v>2.3920589496408926</v>
      </c>
      <c r="O44" s="13">
        <f>'TR TUSD'!$O$44*'TR TUSD'!$O$64</f>
        <v>0</v>
      </c>
      <c r="P44" s="13">
        <f>'TR TUSD'!$P$44*'TR TUSD'!$P$64</f>
        <v>0</v>
      </c>
      <c r="Q44" s="13">
        <f>'TR TUSD'!$Q$44*'TR TUSD'!$Q$64</f>
        <v>102.96716664722034</v>
      </c>
      <c r="R44" s="13">
        <f>'TR TUSD'!$R$44*'TR TUSD'!$R$64</f>
        <v>15.170627343714017</v>
      </c>
      <c r="S44" s="13">
        <f>'TR TUSD'!$S$44*'TR TUSD'!$S$64</f>
        <v>0</v>
      </c>
      <c r="T44" s="13">
        <f ca="1">SUM($L$44:$S$44)</f>
        <v>123.91656539184299</v>
      </c>
      <c r="U44" s="13">
        <f>'TR TUSD'!$U$44*'TR TUSD'!$U$64</f>
        <v>0</v>
      </c>
      <c r="V44" s="13">
        <f>'TR TUSD'!$V$44*'TR TUSD'!$V$64</f>
        <v>0</v>
      </c>
      <c r="W44" s="13">
        <f>'TR TUSD'!$W$44*'TR TUSD'!$W$64</f>
        <v>0</v>
      </c>
      <c r="X44" s="13">
        <f>'TR TUSD'!$X$44*'TR TUSD'!$X$64</f>
        <v>0</v>
      </c>
      <c r="Y44" s="13">
        <f>'TR TUSD'!$Y$44*'TR TUSD'!$Y$64</f>
        <v>26.520844440691032</v>
      </c>
      <c r="Z44" s="13">
        <f>'TR TUSD'!$Z$44</f>
        <v>0</v>
      </c>
      <c r="AA44" s="13">
        <f>'TR TUSD'!$AA$44</f>
        <v>0</v>
      </c>
      <c r="AB44" s="13">
        <f>SUM($U$44:$AA$44)</f>
        <v>26.520844440691032</v>
      </c>
      <c r="AC44" s="13">
        <f>'TR TUSD'!$AC$44*'TR TUSD'!$AC$64</f>
        <v>56.072934451921881</v>
      </c>
      <c r="AD44" s="13">
        <f>SUM($AC$44:$AC$44)</f>
        <v>56.072934451921881</v>
      </c>
      <c r="AE44" s="13">
        <v>0</v>
      </c>
      <c r="AF44" s="13">
        <v>0</v>
      </c>
      <c r="AG44" s="13">
        <f>SUM($AE$44:$AF$44)</f>
        <v>0</v>
      </c>
      <c r="AH44" s="13">
        <f>'TR TUSD'!$AH$44*'TR TUSD'!$AH$64</f>
        <v>22.284323363630627</v>
      </c>
      <c r="AI44" s="13">
        <f>'TR TUSD'!$AI$44*'TR TUSD'!$AI$64</f>
        <v>0</v>
      </c>
      <c r="AJ44" s="13">
        <f ca="1">'TR TUSD'!$AJ$44*'TR TUSD'!$AJ$64</f>
        <v>1.3071299329695818</v>
      </c>
      <c r="AK44" s="13">
        <f ca="1">'TR TUSD'!$AK$44*'TR TUSD'!$AK$64</f>
        <v>0.18318979165384303</v>
      </c>
      <c r="AL44" s="13">
        <f ca="1">SUM($AH$44:$AK$44)</f>
        <v>23.774643088254049</v>
      </c>
      <c r="AM44" s="13">
        <f ca="1">SUMIF($L$4:$AL$4,"SUBTOTAL",$L$44:$AL$44)</f>
        <v>230.28498737270996</v>
      </c>
      <c r="AP44" s="13">
        <f>IF((1 - CUSTOS!$M$30)&lt;&gt;0,1/(1 - CUSTOS!$M$30),1)</f>
        <v>1</v>
      </c>
    </row>
    <row r="45" spans="1:42" ht="11.25" customHeight="1" x14ac:dyDescent="0.3">
      <c r="A45" s="146"/>
      <c r="B45" s="23" t="s">
        <v>23</v>
      </c>
      <c r="C45" s="23" t="s">
        <v>42</v>
      </c>
      <c r="D45" s="23" t="s">
        <v>94</v>
      </c>
      <c r="E45" s="23" t="s">
        <v>25</v>
      </c>
      <c r="F45" s="23" t="s">
        <v>25</v>
      </c>
      <c r="G45" s="24" t="s">
        <v>84</v>
      </c>
      <c r="H45" s="24" t="s">
        <v>78</v>
      </c>
      <c r="I45" s="24">
        <f>'MERCADO TUSD'!$U$42</f>
        <v>0</v>
      </c>
      <c r="J45" s="15"/>
      <c r="L45" s="13">
        <f>'TR TUSD'!$L$45*'TR TUSD'!$L$64</f>
        <v>2.4983655961837758</v>
      </c>
      <c r="M45" s="13">
        <f>'TR TUSD'!$M$45*'TR TUSD'!$M$64</f>
        <v>0.88834685508396871</v>
      </c>
      <c r="N45" s="13">
        <f ca="1">'TR TUSD'!$N$45*'TR TUSD'!$N$64</f>
        <v>5.8184153511288281</v>
      </c>
      <c r="O45" s="13">
        <f>'TR TUSD'!$O$45*'TR TUSD'!$O$64</f>
        <v>0</v>
      </c>
      <c r="P45" s="13">
        <f>'TR TUSD'!$P$45*'TR TUSD'!$P$64</f>
        <v>0</v>
      </c>
      <c r="Q45" s="13">
        <f>'TR TUSD'!$Q$45*'TR TUSD'!$Q$64</f>
        <v>102.96716664722034</v>
      </c>
      <c r="R45" s="13">
        <f>'TR TUSD'!$R$45*'TR TUSD'!$R$64</f>
        <v>15.170627343714017</v>
      </c>
      <c r="S45" s="13">
        <f>'TR TUSD'!$S$45*'TR TUSD'!$S$64</f>
        <v>0</v>
      </c>
      <c r="T45" s="13">
        <f ca="1">SUM($L$45:$S$45)</f>
        <v>127.34292179333093</v>
      </c>
      <c r="U45" s="13">
        <f>'TR TUSD'!$U$45*'TR TUSD'!$U$64</f>
        <v>0</v>
      </c>
      <c r="V45" s="13">
        <f>'TR TUSD'!$V$45*'TR TUSD'!$V$64</f>
        <v>0</v>
      </c>
      <c r="W45" s="13">
        <f>'TR TUSD'!$W$45*'TR TUSD'!$W$64</f>
        <v>0</v>
      </c>
      <c r="X45" s="13">
        <f>'TR TUSD'!$X$45*'TR TUSD'!$X$64</f>
        <v>0</v>
      </c>
      <c r="Y45" s="13">
        <f>'TR TUSD'!$Y$45*'TR TUSD'!$Y$64</f>
        <v>94.717023317548211</v>
      </c>
      <c r="Z45" s="13">
        <f>'TR TUSD'!$Z$45</f>
        <v>0</v>
      </c>
      <c r="AA45" s="13">
        <f>'TR TUSD'!$AA$45</f>
        <v>0</v>
      </c>
      <c r="AB45" s="13">
        <f>SUM($U$45:$AA$45)</f>
        <v>94.717023317548211</v>
      </c>
      <c r="AC45" s="13">
        <f>'TR TUSD'!$AC$45*'TR TUSD'!$AC$64</f>
        <v>200.26054368270911</v>
      </c>
      <c r="AD45" s="13">
        <f>SUM($AC$45:$AC$45)</f>
        <v>200.26054368270911</v>
      </c>
      <c r="AE45" s="13">
        <v>0</v>
      </c>
      <c r="AF45" s="13">
        <v>0</v>
      </c>
      <c r="AG45" s="13">
        <f>SUM($AE$45:$AF$45)</f>
        <v>0</v>
      </c>
      <c r="AH45" s="13">
        <f>'TR TUSD'!$AH$45*'TR TUSD'!$AH$64</f>
        <v>22.284323363630627</v>
      </c>
      <c r="AI45" s="13">
        <f>'TR TUSD'!$AI$45*'TR TUSD'!$AI$64</f>
        <v>0</v>
      </c>
      <c r="AJ45" s="13">
        <f ca="1">'TR TUSD'!$AJ$45*'TR TUSD'!$AJ$64</f>
        <v>1.3071299329695818</v>
      </c>
      <c r="AK45" s="13">
        <f ca="1">'TR TUSD'!$AK$45*'TR TUSD'!$AK$64</f>
        <v>0.18318979165384303</v>
      </c>
      <c r="AL45" s="13">
        <f ca="1">SUM($AH$45:$AK$45)</f>
        <v>23.774643088254049</v>
      </c>
      <c r="AM45" s="13">
        <f ca="1">SUMIF($L$4:$AL$4,"SUBTOTAL",$L$45:$AL$45)</f>
        <v>446.09513188184229</v>
      </c>
      <c r="AP45" s="13">
        <f>IF((1 - CUSTOS!$M$30)&lt;&gt;0,1/(1 - CUSTOS!$M$30),1)</f>
        <v>1</v>
      </c>
    </row>
    <row r="46" spans="1:42" ht="11.25" customHeight="1" x14ac:dyDescent="0.3">
      <c r="A46" s="146"/>
      <c r="B46" s="146" t="s">
        <v>92</v>
      </c>
      <c r="C46" s="146" t="s">
        <v>42</v>
      </c>
      <c r="D46" s="23" t="s">
        <v>25</v>
      </c>
      <c r="E46" s="23" t="s">
        <v>25</v>
      </c>
      <c r="F46" s="23" t="s">
        <v>25</v>
      </c>
      <c r="G46" s="24" t="s">
        <v>84</v>
      </c>
      <c r="H46" s="24" t="s">
        <v>78</v>
      </c>
      <c r="I46" s="24">
        <f>'MERCADO TUSD'!$U$43</f>
        <v>0</v>
      </c>
      <c r="J46" s="15"/>
      <c r="L46" s="13">
        <f>'TR TUSD'!$L$46*'TR TUSD'!$L$64</f>
        <v>2.4983655961837758</v>
      </c>
      <c r="M46" s="13">
        <f>'TR TUSD'!$M$46*'TR TUSD'!$M$64</f>
        <v>0.88834685508396871</v>
      </c>
      <c r="N46" s="13">
        <f ca="1">'TR TUSD'!$N$46*'TR TUSD'!$N$64</f>
        <v>5.8184153511288281</v>
      </c>
      <c r="O46" s="13">
        <f>'TR TUSD'!$O$46*'TR TUSD'!$O$64</f>
        <v>0</v>
      </c>
      <c r="P46" s="13">
        <f>'TR TUSD'!$P$46*'TR TUSD'!$P$64</f>
        <v>0</v>
      </c>
      <c r="Q46" s="13">
        <f>'TR TUSD'!$Q$46*'TR TUSD'!$Q$64</f>
        <v>102.96716664722034</v>
      </c>
      <c r="R46" s="13">
        <f>'TR TUSD'!$R$46*'TR TUSD'!$R$64</f>
        <v>15.170627343714017</v>
      </c>
      <c r="S46" s="13">
        <f>'TR TUSD'!$S$46*'TR TUSD'!$S$64</f>
        <v>0</v>
      </c>
      <c r="T46" s="13">
        <f ca="1">SUM($L$46:$S$46)</f>
        <v>127.34292179333093</v>
      </c>
      <c r="U46" s="13">
        <f>'TR TUSD'!$U$46*'TR TUSD'!$U$64</f>
        <v>0</v>
      </c>
      <c r="V46" s="13">
        <f>'TR TUSD'!$V$46*'TR TUSD'!$V$64</f>
        <v>0</v>
      </c>
      <c r="W46" s="13">
        <f>'TR TUSD'!$W$46*'TR TUSD'!$W$64</f>
        <v>0</v>
      </c>
      <c r="X46" s="13">
        <f>'TR TUSD'!$X$46*'TR TUSD'!$X$64</f>
        <v>0</v>
      </c>
      <c r="Y46" s="13">
        <f>'TR TUSD'!$Y$46*'TR TUSD'!$Y$64</f>
        <v>94.717023317548211</v>
      </c>
      <c r="Z46" s="13">
        <f>'TR TUSD'!$Z$46</f>
        <v>0</v>
      </c>
      <c r="AA46" s="13">
        <f>'TR TUSD'!$AA$46</f>
        <v>0</v>
      </c>
      <c r="AB46" s="13">
        <f>SUM($U$46:$AA$46)</f>
        <v>94.717023317548211</v>
      </c>
      <c r="AC46" s="13">
        <f>'TR TUSD'!$AC$46*'TR TUSD'!$AC$64</f>
        <v>200.26054368270911</v>
      </c>
      <c r="AD46" s="13">
        <f>SUM($AC$46:$AC$46)</f>
        <v>200.26054368270911</v>
      </c>
      <c r="AE46" s="13">
        <v>0</v>
      </c>
      <c r="AF46" s="13">
        <v>0</v>
      </c>
      <c r="AG46" s="13">
        <f>SUM($AE$46:$AF$46)</f>
        <v>0</v>
      </c>
      <c r="AH46" s="13">
        <f>'TR TUSD'!$AH$46*'TR TUSD'!$AH$64</f>
        <v>22.284323363630627</v>
      </c>
      <c r="AI46" s="13">
        <f>'TR TUSD'!$AI$46*'TR TUSD'!$AI$64</f>
        <v>0</v>
      </c>
      <c r="AJ46" s="13">
        <f ca="1">'TR TUSD'!$AJ$46*'TR TUSD'!$AJ$64</f>
        <v>1.3071299329695818</v>
      </c>
      <c r="AK46" s="13">
        <f ca="1">'TR TUSD'!$AK$46*'TR TUSD'!$AK$64</f>
        <v>0.18318979165384303</v>
      </c>
      <c r="AL46" s="13">
        <f ca="1">SUM($AH$46:$AK$46)</f>
        <v>23.774643088254049</v>
      </c>
      <c r="AM46" s="13">
        <f ca="1">SUMIF($L$4:$AL$4,"SUBTOTAL",$L$46:$AL$46)</f>
        <v>446.09513188184229</v>
      </c>
      <c r="AP46" s="13">
        <f>IF((1 - CUSTOS!$M$28)&lt;&gt;0,1/(1 - CUSTOS!$M$28),1)</f>
        <v>1</v>
      </c>
    </row>
    <row r="47" spans="1:42" ht="11.25" customHeight="1" x14ac:dyDescent="0.3">
      <c r="A47" s="146"/>
      <c r="B47" s="146"/>
      <c r="C47" s="146"/>
      <c r="D47" s="23" t="s">
        <v>93</v>
      </c>
      <c r="E47" s="23" t="s">
        <v>25</v>
      </c>
      <c r="F47" s="23" t="s">
        <v>25</v>
      </c>
      <c r="G47" s="24" t="s">
        <v>84</v>
      </c>
      <c r="H47" s="24" t="s">
        <v>78</v>
      </c>
      <c r="I47" s="24">
        <f>'MERCADO TUSD'!$U$44</f>
        <v>0</v>
      </c>
      <c r="J47" s="15"/>
      <c r="L47" s="13">
        <f>'TR TUSD'!$L$47*'TR TUSD'!$L$64</f>
        <v>2.4983655961837758</v>
      </c>
      <c r="M47" s="13">
        <f>'TR TUSD'!$M$47*'TR TUSD'!$M$64</f>
        <v>0.88834685508396871</v>
      </c>
      <c r="N47" s="13">
        <f ca="1">'TR TUSD'!$N$47*'TR TUSD'!$N$64</f>
        <v>5.8184153511288281</v>
      </c>
      <c r="O47" s="13">
        <f>'TR TUSD'!$O$47*'TR TUSD'!$O$64</f>
        <v>0</v>
      </c>
      <c r="P47" s="13">
        <f>'TR TUSD'!$P$47*'TR TUSD'!$P$64</f>
        <v>0</v>
      </c>
      <c r="Q47" s="13">
        <f>'TR TUSD'!$Q$47*'TR TUSD'!$Q$64</f>
        <v>102.96716664722034</v>
      </c>
      <c r="R47" s="13">
        <f>'TR TUSD'!$R$47*'TR TUSD'!$R$64</f>
        <v>15.170627343714017</v>
      </c>
      <c r="S47" s="13">
        <f>'TR TUSD'!$S$47*'TR TUSD'!$S$64</f>
        <v>0</v>
      </c>
      <c r="T47" s="13">
        <f ca="1">SUM($L$47:$S$47)</f>
        <v>127.34292179333093</v>
      </c>
      <c r="U47" s="13">
        <f>'TR TUSD'!$U$47*'TR TUSD'!$U$64</f>
        <v>0</v>
      </c>
      <c r="V47" s="13">
        <f>'TR TUSD'!$V$47*'TR TUSD'!$V$64</f>
        <v>0</v>
      </c>
      <c r="W47" s="13">
        <f>'TR TUSD'!$W$47*'TR TUSD'!$W$64</f>
        <v>0</v>
      </c>
      <c r="X47" s="13">
        <f>'TR TUSD'!$X$47*'TR TUSD'!$X$64</f>
        <v>0</v>
      </c>
      <c r="Y47" s="13">
        <f>'TR TUSD'!$Y$47*'TR TUSD'!$Y$64</f>
        <v>94.717023317548211</v>
      </c>
      <c r="Z47" s="13">
        <f>'TR TUSD'!$Z$47</f>
        <v>0</v>
      </c>
      <c r="AA47" s="13">
        <f>'TR TUSD'!$AA$47</f>
        <v>0</v>
      </c>
      <c r="AB47" s="13">
        <f>SUM($U$47:$AA$47)</f>
        <v>94.717023317548211</v>
      </c>
      <c r="AC47" s="13">
        <f>'TR TUSD'!$AC$47*'TR TUSD'!$AC$64</f>
        <v>200.26054368270911</v>
      </c>
      <c r="AD47" s="13">
        <f>SUM($AC$47:$AC$47)</f>
        <v>200.26054368270911</v>
      </c>
      <c r="AE47" s="13">
        <v>0</v>
      </c>
      <c r="AF47" s="13">
        <v>0</v>
      </c>
      <c r="AG47" s="13">
        <f>SUM($AE$47:$AF$47)</f>
        <v>0</v>
      </c>
      <c r="AH47" s="13">
        <f>'TR TUSD'!$AH$47*'TR TUSD'!$AH$64</f>
        <v>22.284323363630627</v>
      </c>
      <c r="AI47" s="13">
        <f>'TR TUSD'!$AI$47*'TR TUSD'!$AI$64</f>
        <v>0</v>
      </c>
      <c r="AJ47" s="13">
        <f ca="1">'TR TUSD'!$AJ$47*'TR TUSD'!$AJ$64</f>
        <v>1.3071299329695818</v>
      </c>
      <c r="AK47" s="13">
        <f ca="1">'TR TUSD'!$AK$47*'TR TUSD'!$AK$64</f>
        <v>0.18318979165384303</v>
      </c>
      <c r="AL47" s="13">
        <f ca="1">SUM($AH$47:$AK$47)</f>
        <v>23.774643088254049</v>
      </c>
      <c r="AM47" s="13">
        <f ca="1">SUMIF($L$4:$AL$4,"SUBTOTAL",$L$47:$AL$47)</f>
        <v>446.09513188184229</v>
      </c>
      <c r="AP47" s="13">
        <f>IF((1 - CUSTOS!$M$29)&lt;&gt;0,1/(1 - CUSTOS!$M$29),1)</f>
        <v>1</v>
      </c>
    </row>
    <row r="48" spans="1:42" ht="11.25" customHeight="1" x14ac:dyDescent="0.3">
      <c r="A48" s="146"/>
      <c r="B48" s="146"/>
      <c r="C48" s="146"/>
      <c r="D48" s="23" t="s">
        <v>94</v>
      </c>
      <c r="E48" s="23" t="s">
        <v>25</v>
      </c>
      <c r="F48" s="23" t="s">
        <v>25</v>
      </c>
      <c r="G48" s="24" t="s">
        <v>84</v>
      </c>
      <c r="H48" s="24" t="s">
        <v>78</v>
      </c>
      <c r="I48" s="24">
        <f>'MERCADO TUSD'!$U$45</f>
        <v>0</v>
      </c>
      <c r="J48" s="15"/>
      <c r="L48" s="13">
        <f>'TR TUSD'!$L$48*'TR TUSD'!$L$64</f>
        <v>2.4983655961837758</v>
      </c>
      <c r="M48" s="13">
        <f>'TR TUSD'!$M$48*'TR TUSD'!$M$64</f>
        <v>0.88834685508396871</v>
      </c>
      <c r="N48" s="13">
        <f ca="1">'TR TUSD'!$N$48*'TR TUSD'!$N$64</f>
        <v>5.8184153511288281</v>
      </c>
      <c r="O48" s="13">
        <f>'TR TUSD'!$O$48*'TR TUSD'!$O$64</f>
        <v>0</v>
      </c>
      <c r="P48" s="13">
        <f>'TR TUSD'!$P$48*'TR TUSD'!$P$64</f>
        <v>0</v>
      </c>
      <c r="Q48" s="13">
        <f>'TR TUSD'!$Q$48*'TR TUSD'!$Q$64</f>
        <v>102.96716664722034</v>
      </c>
      <c r="R48" s="13">
        <f>'TR TUSD'!$R$48*'TR TUSD'!$R$64</f>
        <v>15.170627343714017</v>
      </c>
      <c r="S48" s="13">
        <f>'TR TUSD'!$S$48*'TR TUSD'!$S$64</f>
        <v>0</v>
      </c>
      <c r="T48" s="13">
        <f ca="1">SUM($L$48:$S$48)</f>
        <v>127.34292179333093</v>
      </c>
      <c r="U48" s="13">
        <f>'TR TUSD'!$U$48*'TR TUSD'!$U$64</f>
        <v>0</v>
      </c>
      <c r="V48" s="13">
        <f>'TR TUSD'!$V$48*'TR TUSD'!$V$64</f>
        <v>0</v>
      </c>
      <c r="W48" s="13">
        <f>'TR TUSD'!$W$48*'TR TUSD'!$W$64</f>
        <v>0</v>
      </c>
      <c r="X48" s="13">
        <f>'TR TUSD'!$X$48*'TR TUSD'!$X$64</f>
        <v>0</v>
      </c>
      <c r="Y48" s="13">
        <f>'TR TUSD'!$Y$48*'TR TUSD'!$Y$64</f>
        <v>94.717023317548211</v>
      </c>
      <c r="Z48" s="13">
        <f>'TR TUSD'!$Z$48</f>
        <v>0</v>
      </c>
      <c r="AA48" s="13">
        <f>'TR TUSD'!$AA$48</f>
        <v>0</v>
      </c>
      <c r="AB48" s="13">
        <f>SUM($U$48:$AA$48)</f>
        <v>94.717023317548211</v>
      </c>
      <c r="AC48" s="13">
        <f>'TR TUSD'!$AC$48*'TR TUSD'!$AC$64</f>
        <v>200.26054368270911</v>
      </c>
      <c r="AD48" s="13">
        <f>SUM($AC$48:$AC$48)</f>
        <v>200.26054368270911</v>
      </c>
      <c r="AE48" s="13">
        <v>0</v>
      </c>
      <c r="AF48" s="13">
        <v>0</v>
      </c>
      <c r="AG48" s="13">
        <f>SUM($AE$48:$AF$48)</f>
        <v>0</v>
      </c>
      <c r="AH48" s="13">
        <f>'TR TUSD'!$AH$48*'TR TUSD'!$AH$64</f>
        <v>22.284323363630627</v>
      </c>
      <c r="AI48" s="13">
        <f>'TR TUSD'!$AI$48*'TR TUSD'!$AI$64</f>
        <v>0</v>
      </c>
      <c r="AJ48" s="13">
        <f ca="1">'TR TUSD'!$AJ$48*'TR TUSD'!$AJ$64</f>
        <v>1.3071299329695818</v>
      </c>
      <c r="AK48" s="13">
        <f ca="1">'TR TUSD'!$AK$48*'TR TUSD'!$AK$64</f>
        <v>0.18318979165384303</v>
      </c>
      <c r="AL48" s="13">
        <f ca="1">SUM($AH$48:$AK$48)</f>
        <v>23.774643088254049</v>
      </c>
      <c r="AM48" s="13">
        <f ca="1">SUMIF($L$4:$AL$4,"SUBTOTAL",$L$48:$AL$48)</f>
        <v>446.09513188184229</v>
      </c>
      <c r="AP48" s="13">
        <f>IF((1 - CUSTOS!$M$30)&lt;&gt;0,1/(1 - CUSTOS!$M$30),1)</f>
        <v>1</v>
      </c>
    </row>
    <row r="49" spans="1:42" ht="11.25" customHeight="1" x14ac:dyDescent="0.3">
      <c r="A49" s="146" t="s">
        <v>32</v>
      </c>
      <c r="B49" s="146" t="s">
        <v>38</v>
      </c>
      <c r="C49" s="146" t="s">
        <v>25</v>
      </c>
      <c r="D49" s="146" t="s">
        <v>25</v>
      </c>
      <c r="E49" s="146" t="s">
        <v>25</v>
      </c>
      <c r="F49" s="146" t="s">
        <v>25</v>
      </c>
      <c r="G49" s="24" t="s">
        <v>79</v>
      </c>
      <c r="H49" s="24" t="s">
        <v>78</v>
      </c>
      <c r="I49" s="24">
        <f>'MERCADO TUSD'!$U$46</f>
        <v>4.4679999999999991</v>
      </c>
      <c r="J49" s="15"/>
      <c r="L49" s="13">
        <f>'TR TUSD'!$L$49*'TR TUSD'!$L$64</f>
        <v>2.4983655961837758</v>
      </c>
      <c r="M49" s="13">
        <f>'TR TUSD'!$M$49*'TR TUSD'!$M$64</f>
        <v>0.88834685508396871</v>
      </c>
      <c r="N49" s="13">
        <f ca="1">'TR TUSD'!$N$49*'TR TUSD'!$N$64</f>
        <v>36.124546758302643</v>
      </c>
      <c r="O49" s="13">
        <f>'TR TUSD'!$O$49*'TR TUSD'!$O$64</f>
        <v>0</v>
      </c>
      <c r="P49" s="13">
        <f>'TR TUSD'!$P$49*'TR TUSD'!$P$64</f>
        <v>0</v>
      </c>
      <c r="Q49" s="13">
        <f>'TR TUSD'!$Q$49*'TR TUSD'!$Q$64</f>
        <v>102.96716664722034</v>
      </c>
      <c r="R49" s="13">
        <f>'TR TUSD'!$R$49*'TR TUSD'!$R$64</f>
        <v>15.170627343714017</v>
      </c>
      <c r="S49" s="13">
        <f>'TR TUSD'!$S$49*'TR TUSD'!$S$64</f>
        <v>0</v>
      </c>
      <c r="T49" s="13">
        <f ca="1">SUM($L$49:$S$49)</f>
        <v>157.64905320050474</v>
      </c>
      <c r="U49" s="13">
        <f>'TR TUSD'!$U$49*'TR TUSD'!$U$64</f>
        <v>0</v>
      </c>
      <c r="V49" s="13">
        <f>'TR TUSD'!$V$49*'TR TUSD'!$V$64</f>
        <v>0</v>
      </c>
      <c r="W49" s="13">
        <f>'TR TUSD'!$W$49*'TR TUSD'!$W$64</f>
        <v>0</v>
      </c>
      <c r="X49" s="13">
        <f>'TR TUSD'!$X$49*'TR TUSD'!$X$64</f>
        <v>0</v>
      </c>
      <c r="Y49" s="13">
        <f>'TR TUSD'!$Y$49*'TR TUSD'!$Y$64</f>
        <v>697.91292668934773</v>
      </c>
      <c r="Z49" s="13">
        <f>'TR TUSD'!$Z$49</f>
        <v>0</v>
      </c>
      <c r="AA49" s="13">
        <f>'TR TUSD'!$AA$49</f>
        <v>0</v>
      </c>
      <c r="AB49" s="13">
        <f>SUM($U$49:$AA$49)</f>
        <v>697.91292668934773</v>
      </c>
      <c r="AC49" s="13">
        <f>'TR TUSD'!$AC$49*'TR TUSD'!$AC$64</f>
        <v>1475.5999706642704</v>
      </c>
      <c r="AD49" s="13">
        <f>SUM($AC$49:$AC$49)</f>
        <v>1475.5999706642704</v>
      </c>
      <c r="AE49" s="13">
        <v>0</v>
      </c>
      <c r="AF49" s="13">
        <v>0</v>
      </c>
      <c r="AG49" s="13">
        <f>SUM($AE$49:$AF$49)</f>
        <v>0</v>
      </c>
      <c r="AH49" s="13">
        <f>'TR TUSD'!$AH$49*'TR TUSD'!$AH$64</f>
        <v>22.284323363630627</v>
      </c>
      <c r="AI49" s="13">
        <f>'TR TUSD'!$AI$49*'TR TUSD'!$AI$64</f>
        <v>0</v>
      </c>
      <c r="AJ49" s="13">
        <f ca="1">'TR TUSD'!$AJ$49*'TR TUSD'!$AJ$64</f>
        <v>1.3071299329695818</v>
      </c>
      <c r="AK49" s="13">
        <f ca="1">'TR TUSD'!$AK$49*'TR TUSD'!$AK$64</f>
        <v>0.18318979165384303</v>
      </c>
      <c r="AL49" s="13">
        <f ca="1">SUM($AH$49:$AK$49)</f>
        <v>23.774643088254049</v>
      </c>
      <c r="AM49" s="13">
        <f ca="1">SUMIF($L$4:$AL$4,"SUBTOTAL",$L$49:$AL$49)</f>
        <v>2354.9365936423769</v>
      </c>
      <c r="AP49" s="13">
        <f>IF((1 - CUSTOS!$M$31)&lt;&gt;0,1/(1 - CUSTOS!$M$31),1)</f>
        <v>1</v>
      </c>
    </row>
    <row r="50" spans="1:42" ht="11.25" customHeight="1" x14ac:dyDescent="0.3">
      <c r="A50" s="146"/>
      <c r="B50" s="146"/>
      <c r="C50" s="146"/>
      <c r="D50" s="146"/>
      <c r="E50" s="146"/>
      <c r="F50" s="146"/>
      <c r="G50" s="24" t="s">
        <v>89</v>
      </c>
      <c r="H50" s="24" t="s">
        <v>78</v>
      </c>
      <c r="I50" s="24">
        <f>'MERCADO TUSD'!$U$47</f>
        <v>4.7860000000000005</v>
      </c>
      <c r="J50" s="15"/>
      <c r="L50" s="13">
        <f>'TR TUSD'!$L$50*'TR TUSD'!$L$64</f>
        <v>2.4983655961837758</v>
      </c>
      <c r="M50" s="13">
        <f>'TR TUSD'!$M$50*'TR TUSD'!$M$64</f>
        <v>0.88834685508396871</v>
      </c>
      <c r="N50" s="13">
        <f ca="1">'TR TUSD'!$N$50*'TR TUSD'!$N$64</f>
        <v>9.6959101615432903</v>
      </c>
      <c r="O50" s="13">
        <f>'TR TUSD'!$O$50*'TR TUSD'!$O$64</f>
        <v>0</v>
      </c>
      <c r="P50" s="13">
        <f>'TR TUSD'!$P$50*'TR TUSD'!$P$64</f>
        <v>0</v>
      </c>
      <c r="Q50" s="13">
        <f>'TR TUSD'!$Q$50*'TR TUSD'!$Q$64</f>
        <v>102.96716664722034</v>
      </c>
      <c r="R50" s="13">
        <f>'TR TUSD'!$R$50*'TR TUSD'!$R$64</f>
        <v>15.170627343714017</v>
      </c>
      <c r="S50" s="13">
        <f>'TR TUSD'!$S$50*'TR TUSD'!$S$64</f>
        <v>0</v>
      </c>
      <c r="T50" s="13">
        <f ca="1">SUM($L$50:$S$50)</f>
        <v>131.22041660374538</v>
      </c>
      <c r="U50" s="13">
        <f>'TR TUSD'!$U$50*'TR TUSD'!$U$64</f>
        <v>0</v>
      </c>
      <c r="V50" s="13">
        <f>'TR TUSD'!$V$50*'TR TUSD'!$V$64</f>
        <v>0</v>
      </c>
      <c r="W50" s="13">
        <f>'TR TUSD'!$W$50*'TR TUSD'!$W$64</f>
        <v>0</v>
      </c>
      <c r="X50" s="13">
        <f>'TR TUSD'!$X$50*'TR TUSD'!$X$64</f>
        <v>0</v>
      </c>
      <c r="Y50" s="13">
        <f>'TR TUSD'!$Y$50*'TR TUSD'!$Y$64</f>
        <v>171.89253455537624</v>
      </c>
      <c r="Z50" s="13">
        <f>'TR TUSD'!$Z$50</f>
        <v>0</v>
      </c>
      <c r="AA50" s="13">
        <f>'TR TUSD'!$AA$50</f>
        <v>0</v>
      </c>
      <c r="AB50" s="13">
        <f>SUM($U$50:$AA$50)</f>
        <v>171.89253455537624</v>
      </c>
      <c r="AC50" s="13">
        <f>'TR TUSD'!$AC$50*'TR TUSD'!$AC$64</f>
        <v>363.43282182988202</v>
      </c>
      <c r="AD50" s="13">
        <f>SUM($AC$50:$AC$50)</f>
        <v>363.43282182988202</v>
      </c>
      <c r="AE50" s="13">
        <v>0</v>
      </c>
      <c r="AF50" s="13">
        <v>0</v>
      </c>
      <c r="AG50" s="13">
        <f>SUM($AE$50:$AF$50)</f>
        <v>0</v>
      </c>
      <c r="AH50" s="13">
        <f>'TR TUSD'!$AH$50*'TR TUSD'!$AH$64</f>
        <v>22.284323363630627</v>
      </c>
      <c r="AI50" s="13">
        <f>'TR TUSD'!$AI$50*'TR TUSD'!$AI$64</f>
        <v>0</v>
      </c>
      <c r="AJ50" s="13">
        <f ca="1">'TR TUSD'!$AJ$50*'TR TUSD'!$AJ$64</f>
        <v>1.3071299329695818</v>
      </c>
      <c r="AK50" s="13">
        <f ca="1">'TR TUSD'!$AK$50*'TR TUSD'!$AK$64</f>
        <v>0.18318979165384303</v>
      </c>
      <c r="AL50" s="13">
        <f ca="1">SUM($AH$50:$AK$50)</f>
        <v>23.774643088254049</v>
      </c>
      <c r="AM50" s="13">
        <f ca="1">SUMIF($L$4:$AL$4,"SUBTOTAL",$L$50:$AL$50)</f>
        <v>690.32041607725762</v>
      </c>
      <c r="AP50" s="13">
        <f>IF((1 - CUSTOS!$M$31)&lt;&gt;0,1/(1 - CUSTOS!$M$31),1)</f>
        <v>1</v>
      </c>
    </row>
    <row r="51" spans="1:42" ht="11.25" customHeight="1" x14ac:dyDescent="0.3">
      <c r="A51" s="146"/>
      <c r="B51" s="146"/>
      <c r="C51" s="146"/>
      <c r="D51" s="146"/>
      <c r="E51" s="146"/>
      <c r="F51" s="146"/>
      <c r="G51" s="24" t="s">
        <v>80</v>
      </c>
      <c r="H51" s="24" t="s">
        <v>78</v>
      </c>
      <c r="I51" s="24">
        <f>'MERCADO TUSD'!$U$48</f>
        <v>153.63399999999999</v>
      </c>
      <c r="J51" s="15"/>
      <c r="L51" s="13">
        <f>'TR TUSD'!$L$51*'TR TUSD'!$L$64</f>
        <v>2.4983655961837758</v>
      </c>
      <c r="M51" s="13">
        <f>'TR TUSD'!$M$51*'TR TUSD'!$M$64</f>
        <v>0.88834685508396871</v>
      </c>
      <c r="N51" s="13">
        <f ca="1">'TR TUSD'!$N$51*'TR TUSD'!$N$64</f>
        <v>3.5341790799401114</v>
      </c>
      <c r="O51" s="13">
        <f>'TR TUSD'!$O$51*'TR TUSD'!$O$64</f>
        <v>0</v>
      </c>
      <c r="P51" s="13">
        <f>'TR TUSD'!$P$51*'TR TUSD'!$P$64</f>
        <v>0</v>
      </c>
      <c r="Q51" s="13">
        <f>'TR TUSD'!$Q$51*'TR TUSD'!$Q$64</f>
        <v>102.96716664722034</v>
      </c>
      <c r="R51" s="13">
        <f>'TR TUSD'!$R$51*'TR TUSD'!$R$64</f>
        <v>15.170627343714017</v>
      </c>
      <c r="S51" s="13">
        <f>'TR TUSD'!$S$51*'TR TUSD'!$S$64</f>
        <v>0</v>
      </c>
      <c r="T51" s="13">
        <f ca="1">SUM($L$51:$S$51)</f>
        <v>125.05868552214221</v>
      </c>
      <c r="U51" s="13">
        <f>'TR TUSD'!$U$51*'TR TUSD'!$U$64</f>
        <v>0</v>
      </c>
      <c r="V51" s="13">
        <f>'TR TUSD'!$V$51*'TR TUSD'!$V$64</f>
        <v>0</v>
      </c>
      <c r="W51" s="13">
        <f>'TR TUSD'!$W$51*'TR TUSD'!$W$64</f>
        <v>0</v>
      </c>
      <c r="X51" s="13">
        <f>'TR TUSD'!$X$51*'TR TUSD'!$X$64</f>
        <v>0</v>
      </c>
      <c r="Y51" s="13">
        <f>'TR TUSD'!$Y$51*'TR TUSD'!$Y$64</f>
        <v>49.252904066310094</v>
      </c>
      <c r="Z51" s="13">
        <f>'TR TUSD'!$Z$51</f>
        <v>0</v>
      </c>
      <c r="AA51" s="13">
        <f>'TR TUSD'!$AA$51</f>
        <v>0</v>
      </c>
      <c r="AB51" s="13">
        <f>SUM($U$51:$AA$51)</f>
        <v>49.252904066310094</v>
      </c>
      <c r="AC51" s="13">
        <f>'TR TUSD'!$AC$51*'TR TUSD'!$AC$64</f>
        <v>104.13554494233708</v>
      </c>
      <c r="AD51" s="13">
        <f>SUM($AC$51:$AC$51)</f>
        <v>104.13554494233708</v>
      </c>
      <c r="AE51" s="13">
        <v>0</v>
      </c>
      <c r="AF51" s="13">
        <v>0</v>
      </c>
      <c r="AG51" s="13">
        <f>SUM($AE$51:$AF$51)</f>
        <v>0</v>
      </c>
      <c r="AH51" s="13">
        <f>'TR TUSD'!$AH$51*'TR TUSD'!$AH$64</f>
        <v>22.284323363630627</v>
      </c>
      <c r="AI51" s="13">
        <f>'TR TUSD'!$AI$51*'TR TUSD'!$AI$64</f>
        <v>0</v>
      </c>
      <c r="AJ51" s="13">
        <f ca="1">'TR TUSD'!$AJ$51*'TR TUSD'!$AJ$64</f>
        <v>1.3071299329695818</v>
      </c>
      <c r="AK51" s="13">
        <f ca="1">'TR TUSD'!$AK$51*'TR TUSD'!$AK$64</f>
        <v>0.18318979165384303</v>
      </c>
      <c r="AL51" s="13">
        <f ca="1">SUM($AH$51:$AK$51)</f>
        <v>23.774643088254049</v>
      </c>
      <c r="AM51" s="13">
        <f ca="1">SUMIF($L$4:$AL$4,"SUBTOTAL",$L$51:$AL$51)</f>
        <v>302.22177761904345</v>
      </c>
      <c r="AP51" s="13">
        <f>IF((1 - CUSTOS!$M$31)&lt;&gt;0,1/(1 - CUSTOS!$M$31),1)</f>
        <v>1</v>
      </c>
    </row>
    <row r="52" spans="1:42" ht="11.25" customHeight="1" x14ac:dyDescent="0.3">
      <c r="A52" s="146"/>
      <c r="B52" s="23" t="s">
        <v>23</v>
      </c>
      <c r="C52" s="23" t="s">
        <v>25</v>
      </c>
      <c r="D52" s="23" t="s">
        <v>25</v>
      </c>
      <c r="E52" s="23" t="s">
        <v>25</v>
      </c>
      <c r="F52" s="23" t="s">
        <v>25</v>
      </c>
      <c r="G52" s="24" t="s">
        <v>84</v>
      </c>
      <c r="H52" s="24" t="s">
        <v>78</v>
      </c>
      <c r="I52" s="24">
        <f>'MERCADO TUSD'!$U$49</f>
        <v>6434.8159999999998</v>
      </c>
      <c r="J52" s="15"/>
      <c r="L52" s="13">
        <f>'TR TUSD'!$L$52*'TR TUSD'!$L$64</f>
        <v>2.4983655961837758</v>
      </c>
      <c r="M52" s="13">
        <f>'TR TUSD'!$M$52*'TR TUSD'!$M$64</f>
        <v>0.88834685508396871</v>
      </c>
      <c r="N52" s="13">
        <f ca="1">'TR TUSD'!$N$52*'TR TUSD'!$N$64</f>
        <v>5.8184153511288281</v>
      </c>
      <c r="O52" s="13">
        <f>'TR TUSD'!$O$52*'TR TUSD'!$O$64</f>
        <v>0</v>
      </c>
      <c r="P52" s="13">
        <f>'TR TUSD'!$P$52*'TR TUSD'!$P$64</f>
        <v>0</v>
      </c>
      <c r="Q52" s="13">
        <f>'TR TUSD'!$Q$52*'TR TUSD'!$Q$64</f>
        <v>102.96716664722034</v>
      </c>
      <c r="R52" s="13">
        <f>'TR TUSD'!$R$52*'TR TUSD'!$R$64</f>
        <v>15.170627343714017</v>
      </c>
      <c r="S52" s="13">
        <f>'TR TUSD'!$S$52*'TR TUSD'!$S$64</f>
        <v>0</v>
      </c>
      <c r="T52" s="13">
        <f ca="1">SUM($L$52:$S$52)</f>
        <v>127.34292179333093</v>
      </c>
      <c r="U52" s="13">
        <f>'TR TUSD'!$U$52*'TR TUSD'!$U$64</f>
        <v>0</v>
      </c>
      <c r="V52" s="13">
        <f>'TR TUSD'!$V$52*'TR TUSD'!$V$64</f>
        <v>0</v>
      </c>
      <c r="W52" s="13">
        <f>'TR TUSD'!$W$52*'TR TUSD'!$W$64</f>
        <v>0</v>
      </c>
      <c r="X52" s="13">
        <f>'TR TUSD'!$X$52*'TR TUSD'!$X$64</f>
        <v>0</v>
      </c>
      <c r="Y52" s="13">
        <f>'TR TUSD'!$Y$52*'TR TUSD'!$Y$64</f>
        <v>94.717023317548211</v>
      </c>
      <c r="Z52" s="13">
        <f>'TR TUSD'!$Z$52</f>
        <v>0</v>
      </c>
      <c r="AA52" s="13">
        <f>'TR TUSD'!$AA$52</f>
        <v>0</v>
      </c>
      <c r="AB52" s="13">
        <f>SUM($U$52:$AA$52)</f>
        <v>94.717023317548211</v>
      </c>
      <c r="AC52" s="13">
        <f>'TR TUSD'!$AC$52*'TR TUSD'!$AC$64</f>
        <v>200.26054368270911</v>
      </c>
      <c r="AD52" s="13">
        <f>SUM($AC$52:$AC$52)</f>
        <v>200.26054368270911</v>
      </c>
      <c r="AE52" s="13">
        <v>0</v>
      </c>
      <c r="AF52" s="13">
        <v>0</v>
      </c>
      <c r="AG52" s="13">
        <f>SUM($AE$52:$AF$52)</f>
        <v>0</v>
      </c>
      <c r="AH52" s="13">
        <f>'TR TUSD'!$AH$52*'TR TUSD'!$AH$64</f>
        <v>22.284323363630627</v>
      </c>
      <c r="AI52" s="13">
        <f>'TR TUSD'!$AI$52*'TR TUSD'!$AI$64</f>
        <v>0</v>
      </c>
      <c r="AJ52" s="13">
        <f ca="1">'TR TUSD'!$AJ$52*'TR TUSD'!$AJ$64</f>
        <v>1.3071299329695818</v>
      </c>
      <c r="AK52" s="13">
        <f ca="1">'TR TUSD'!$AK$52*'TR TUSD'!$AK$64</f>
        <v>0.18318979165384303</v>
      </c>
      <c r="AL52" s="13">
        <f ca="1">SUM($AH$52:$AK$52)</f>
        <v>23.774643088254049</v>
      </c>
      <c r="AM52" s="13">
        <f ca="1">SUMIF($L$4:$AL$4,"SUBTOTAL",$L$52:$AL$52)</f>
        <v>446.09513188184229</v>
      </c>
      <c r="AP52" s="13">
        <f>IF((1 - CUSTOS!$M$31)&lt;&gt;0,1/(1 - CUSTOS!$M$31),1)</f>
        <v>1</v>
      </c>
    </row>
    <row r="53" spans="1:42" ht="11.25" customHeight="1" x14ac:dyDescent="0.3">
      <c r="A53" s="146"/>
      <c r="B53" s="23" t="s">
        <v>92</v>
      </c>
      <c r="C53" s="23" t="s">
        <v>25</v>
      </c>
      <c r="D53" s="23" t="s">
        <v>25</v>
      </c>
      <c r="E53" s="23" t="s">
        <v>25</v>
      </c>
      <c r="F53" s="23" t="s">
        <v>25</v>
      </c>
      <c r="G53" s="24" t="s">
        <v>84</v>
      </c>
      <c r="H53" s="24" t="s">
        <v>78</v>
      </c>
      <c r="I53" s="24">
        <f>'MERCADO TUSD'!$U$50</f>
        <v>0</v>
      </c>
      <c r="J53" s="15"/>
      <c r="L53" s="13">
        <f>'TR TUSD'!$L$53*'TR TUSD'!$L$64</f>
        <v>2.4983655961837758</v>
      </c>
      <c r="M53" s="13">
        <f>'TR TUSD'!$M$53*'TR TUSD'!$M$64</f>
        <v>0.88834685508396871</v>
      </c>
      <c r="N53" s="13">
        <f ca="1">'TR TUSD'!$N$53*'TR TUSD'!$N$64</f>
        <v>5.8184153511288281</v>
      </c>
      <c r="O53" s="13">
        <f>'TR TUSD'!$O$53*'TR TUSD'!$O$64</f>
        <v>0</v>
      </c>
      <c r="P53" s="13">
        <f>'TR TUSD'!$P$53*'TR TUSD'!$P$64</f>
        <v>0</v>
      </c>
      <c r="Q53" s="13">
        <f>'TR TUSD'!$Q$53*'TR TUSD'!$Q$64</f>
        <v>102.96716664722034</v>
      </c>
      <c r="R53" s="13">
        <f>'TR TUSD'!$R$53*'TR TUSD'!$R$64</f>
        <v>15.170627343714017</v>
      </c>
      <c r="S53" s="13">
        <f>'TR TUSD'!$S$53*'TR TUSD'!$S$64</f>
        <v>0</v>
      </c>
      <c r="T53" s="13">
        <f ca="1">SUM($L$53:$S$53)</f>
        <v>127.34292179333093</v>
      </c>
      <c r="U53" s="13">
        <f>'TR TUSD'!$U$53*'TR TUSD'!$U$64</f>
        <v>0</v>
      </c>
      <c r="V53" s="13">
        <f>'TR TUSD'!$V$53*'TR TUSD'!$V$64</f>
        <v>0</v>
      </c>
      <c r="W53" s="13">
        <f>'TR TUSD'!$W$53*'TR TUSD'!$W$64</f>
        <v>0</v>
      </c>
      <c r="X53" s="13">
        <f>'TR TUSD'!$X$53*'TR TUSD'!$X$64</f>
        <v>0</v>
      </c>
      <c r="Y53" s="13">
        <f>'TR TUSD'!$Y$53*'TR TUSD'!$Y$64</f>
        <v>94.717023317548211</v>
      </c>
      <c r="Z53" s="13">
        <f>'TR TUSD'!$Z$53</f>
        <v>0</v>
      </c>
      <c r="AA53" s="13">
        <f>'TR TUSD'!$AA$53</f>
        <v>0</v>
      </c>
      <c r="AB53" s="13">
        <f>SUM($U$53:$AA$53)</f>
        <v>94.717023317548211</v>
      </c>
      <c r="AC53" s="13">
        <f>'TR TUSD'!$AC$53*'TR TUSD'!$AC$64</f>
        <v>200.26054368270911</v>
      </c>
      <c r="AD53" s="13">
        <f>SUM($AC$53:$AC$53)</f>
        <v>200.26054368270911</v>
      </c>
      <c r="AE53" s="13">
        <v>0</v>
      </c>
      <c r="AF53" s="13">
        <v>0</v>
      </c>
      <c r="AG53" s="13">
        <f>SUM($AE$53:$AF$53)</f>
        <v>0</v>
      </c>
      <c r="AH53" s="13">
        <f>'TR TUSD'!$AH$53*'TR TUSD'!$AH$64</f>
        <v>22.284323363630627</v>
      </c>
      <c r="AI53" s="13">
        <f>'TR TUSD'!$AI$53*'TR TUSD'!$AI$64</f>
        <v>0</v>
      </c>
      <c r="AJ53" s="13">
        <f ca="1">'TR TUSD'!$AJ$53*'TR TUSD'!$AJ$64</f>
        <v>1.3071299329695818</v>
      </c>
      <c r="AK53" s="13">
        <f ca="1">'TR TUSD'!$AK$53*'TR TUSD'!$AK$64</f>
        <v>0.18318979165384303</v>
      </c>
      <c r="AL53" s="13">
        <f ca="1">SUM($AH$53:$AK$53)</f>
        <v>23.774643088254049</v>
      </c>
      <c r="AM53" s="13">
        <f ca="1">SUMIF($L$4:$AL$4,"SUBTOTAL",$L$53:$AL$53)</f>
        <v>446.09513188184229</v>
      </c>
      <c r="AP53" s="13">
        <f>IF((1 - CUSTOS!$M$31)&lt;&gt;0,1/(1 - CUSTOS!$M$31),1)</f>
        <v>1</v>
      </c>
    </row>
    <row r="54" spans="1:42" ht="11.25" customHeight="1" x14ac:dyDescent="0.3">
      <c r="A54" s="146" t="s">
        <v>44</v>
      </c>
      <c r="B54" s="146" t="s">
        <v>23</v>
      </c>
      <c r="C54" s="146" t="s">
        <v>45</v>
      </c>
      <c r="D54" s="23" t="s">
        <v>46</v>
      </c>
      <c r="E54" s="23" t="s">
        <v>25</v>
      </c>
      <c r="F54" s="23" t="s">
        <v>25</v>
      </c>
      <c r="G54" s="24" t="s">
        <v>84</v>
      </c>
      <c r="H54" s="24" t="s">
        <v>78</v>
      </c>
      <c r="I54" s="24">
        <f>'MERCADO TUSD'!$U$51</f>
        <v>2415.7070000000003</v>
      </c>
      <c r="J54" s="15"/>
      <c r="L54" s="13">
        <f>'TR TUSD'!$L$54*'TR TUSD'!$L$64</f>
        <v>1.3741010779010767</v>
      </c>
      <c r="M54" s="13">
        <f>'TR TUSD'!$M$54*'TR TUSD'!$M$64</f>
        <v>0.48859077029618281</v>
      </c>
      <c r="N54" s="13">
        <f ca="1">'TR TUSD'!$N$54*'TR TUSD'!$N$64</f>
        <v>3.2001284431208554</v>
      </c>
      <c r="O54" s="13">
        <f>'TR TUSD'!$O$54*'TR TUSD'!$O$64</f>
        <v>0</v>
      </c>
      <c r="P54" s="13">
        <f>'TR TUSD'!$P$54*'TR TUSD'!$P$64</f>
        <v>0</v>
      </c>
      <c r="Q54" s="13">
        <f>'TR TUSD'!$Q$54*'TR TUSD'!$Q$64</f>
        <v>56.63194165597119</v>
      </c>
      <c r="R54" s="13">
        <f>'TR TUSD'!$R$54*'TR TUSD'!$R$64</f>
        <v>8.3438450390427104</v>
      </c>
      <c r="S54" s="13">
        <f>'TR TUSD'!$S$54*'TR TUSD'!$S$64</f>
        <v>0</v>
      </c>
      <c r="T54" s="13">
        <f ca="1">SUM($L$54:$S$54)</f>
        <v>70.038606986332013</v>
      </c>
      <c r="U54" s="13">
        <f>'TR TUSD'!$U$54*'TR TUSD'!$U$64</f>
        <v>0</v>
      </c>
      <c r="V54" s="13">
        <f>'TR TUSD'!$V$54*'TR TUSD'!$V$64</f>
        <v>0</v>
      </c>
      <c r="W54" s="13">
        <f>'TR TUSD'!$W$54*'TR TUSD'!$W$64</f>
        <v>0</v>
      </c>
      <c r="X54" s="13">
        <f>'TR TUSD'!$X$54*'TR TUSD'!$X$64</f>
        <v>0</v>
      </c>
      <c r="Y54" s="13">
        <f>'TR TUSD'!$Y$54*'TR TUSD'!$Y$64</f>
        <v>52.094362824651526</v>
      </c>
      <c r="Z54" s="13">
        <f>'TR TUSD'!$Z$54</f>
        <v>0</v>
      </c>
      <c r="AA54" s="13">
        <f>'TR TUSD'!$AA$54</f>
        <v>0</v>
      </c>
      <c r="AB54" s="13">
        <f>SUM($U$54:$AA$54)</f>
        <v>52.094362824651526</v>
      </c>
      <c r="AC54" s="13">
        <f>'TR TUSD'!$AC$54*'TR TUSD'!$AC$64</f>
        <v>110.14329902549001</v>
      </c>
      <c r="AD54" s="13">
        <f>SUM($AC$54:$AC$54)</f>
        <v>110.14329902549001</v>
      </c>
      <c r="AE54" s="13">
        <v>0</v>
      </c>
      <c r="AF54" s="13">
        <v>0</v>
      </c>
      <c r="AG54" s="13">
        <f>SUM($AE$54:$AF$54)</f>
        <v>0</v>
      </c>
      <c r="AH54" s="13">
        <f>'TR TUSD'!$AH$54*'TR TUSD'!$AH$64</f>
        <v>12.256377849996847</v>
      </c>
      <c r="AI54" s="13">
        <f>'TR TUSD'!$AI$54*'TR TUSD'!$AI$64</f>
        <v>0</v>
      </c>
      <c r="AJ54" s="13">
        <f ca="1">'TR TUSD'!$AJ$54*'TR TUSD'!$AJ$64</f>
        <v>0.7189214631332701</v>
      </c>
      <c r="AK54" s="13">
        <f ca="1">'TR TUSD'!$AK$54*'TR TUSD'!$AK$64</f>
        <v>0.10075438540961368</v>
      </c>
      <c r="AL54" s="13">
        <f ca="1">SUM($AH$54:$AK$54)</f>
        <v>13.076053698539731</v>
      </c>
      <c r="AM54" s="13">
        <f ca="1">SUMIF($L$4:$AL$4,"SUBTOTAL",$L$54:$AL$54)</f>
        <v>245.35232253501329</v>
      </c>
      <c r="AP54" s="13">
        <f>IF((1 - CUSTOS!$M$32)&lt;&gt;0,1/(1 - CUSTOS!$M$32),1)</f>
        <v>1.8181818181818181</v>
      </c>
    </row>
    <row r="55" spans="1:42" ht="11.25" customHeight="1" x14ac:dyDescent="0.3">
      <c r="A55" s="146"/>
      <c r="B55" s="146"/>
      <c r="C55" s="146"/>
      <c r="D55" s="24" t="s">
        <v>95</v>
      </c>
      <c r="E55" s="24" t="s">
        <v>25</v>
      </c>
      <c r="F55" s="24" t="s">
        <v>25</v>
      </c>
      <c r="G55" s="24" t="s">
        <v>84</v>
      </c>
      <c r="H55" s="24" t="s">
        <v>78</v>
      </c>
      <c r="I55" s="24">
        <f>'MERCADO TUSD'!$U$52</f>
        <v>0</v>
      </c>
      <c r="J55" s="15"/>
      <c r="L55" s="13">
        <f>'TR TUSD'!$L$55*'TR TUSD'!$L$64</f>
        <v>1.4990193577102655</v>
      </c>
      <c r="M55" s="13">
        <f>'TR TUSD'!$M$55*'TR TUSD'!$M$64</f>
        <v>0.5330081130503812</v>
      </c>
      <c r="N55" s="13">
        <f ca="1">'TR TUSD'!$N$55*'TR TUSD'!$N$64</f>
        <v>3.4910492106772972</v>
      </c>
      <c r="O55" s="13">
        <f>'TR TUSD'!$O$55*'TR TUSD'!$O$64</f>
        <v>0</v>
      </c>
      <c r="P55" s="13">
        <f>'TR TUSD'!$P$55*'TR TUSD'!$P$64</f>
        <v>0</v>
      </c>
      <c r="Q55" s="13">
        <f>'TR TUSD'!$Q$55*'TR TUSD'!$Q$64</f>
        <v>61.780299988332203</v>
      </c>
      <c r="R55" s="13">
        <f>'TR TUSD'!$R$55*'TR TUSD'!$R$64</f>
        <v>9.1023764062284105</v>
      </c>
      <c r="S55" s="13">
        <f>'TR TUSD'!$S$55*'TR TUSD'!$S$64</f>
        <v>0</v>
      </c>
      <c r="T55" s="13">
        <f ca="1">SUM($L$55:$S$55)</f>
        <v>76.405753075998561</v>
      </c>
      <c r="U55" s="13">
        <f>'TR TUSD'!$U$55*'TR TUSD'!$U$64</f>
        <v>0</v>
      </c>
      <c r="V55" s="13">
        <f>'TR TUSD'!$V$55*'TR TUSD'!$V$64</f>
        <v>0</v>
      </c>
      <c r="W55" s="13">
        <f>'TR TUSD'!$W$55*'TR TUSD'!$W$64</f>
        <v>0</v>
      </c>
      <c r="X55" s="13">
        <f>'TR TUSD'!$X$55*'TR TUSD'!$X$64</f>
        <v>0</v>
      </c>
      <c r="Y55" s="13">
        <f>'TR TUSD'!$Y$55*'TR TUSD'!$Y$64</f>
        <v>56.830213990528925</v>
      </c>
      <c r="Z55" s="13">
        <f>'TR TUSD'!$Z$55</f>
        <v>0</v>
      </c>
      <c r="AA55" s="13">
        <f>'TR TUSD'!$AA$55</f>
        <v>0</v>
      </c>
      <c r="AB55" s="13">
        <f>SUM($U$55:$AA$55)</f>
        <v>56.830213990528925</v>
      </c>
      <c r="AC55" s="13">
        <f>'TR TUSD'!$AC$55*'TR TUSD'!$AC$64</f>
        <v>120.15632620962546</v>
      </c>
      <c r="AD55" s="13">
        <f>SUM($AC$55:$AC$55)</f>
        <v>120.15632620962546</v>
      </c>
      <c r="AE55" s="13">
        <v>0</v>
      </c>
      <c r="AF55" s="13">
        <v>0</v>
      </c>
      <c r="AG55" s="13">
        <f>SUM($AE$55:$AF$55)</f>
        <v>0</v>
      </c>
      <c r="AH55" s="13">
        <f>'TR TUSD'!$AH$55*'TR TUSD'!$AH$64</f>
        <v>13.370594018178375</v>
      </c>
      <c r="AI55" s="13">
        <f>'TR TUSD'!$AI$55*'TR TUSD'!$AI$64</f>
        <v>0</v>
      </c>
      <c r="AJ55" s="13">
        <f ca="1">'TR TUSD'!$AJ$55*'TR TUSD'!$AJ$64</f>
        <v>0.78427795978174908</v>
      </c>
      <c r="AK55" s="13">
        <f ca="1">'TR TUSD'!$AK$55*'TR TUSD'!$AK$64</f>
        <v>0.10991387499230582</v>
      </c>
      <c r="AL55" s="13">
        <f ca="1">SUM($AH$55:$AK$55)</f>
        <v>14.264785852952429</v>
      </c>
      <c r="AM55" s="13">
        <f ca="1">SUMIF($L$4:$AL$4,"SUBTOTAL",$L$55:$AL$55)</f>
        <v>267.65707912910534</v>
      </c>
      <c r="AP55" s="13">
        <f>IF((1 - CUSTOS!$M$33)&lt;&gt;0,1/(1 - CUSTOS!$M$33),1)</f>
        <v>1.6666666666666667</v>
      </c>
    </row>
    <row r="57" spans="1:42" ht="11.25" customHeight="1" x14ac:dyDescent="0.3">
      <c r="K57" s="16" t="s">
        <v>597</v>
      </c>
      <c r="L57" s="13">
        <f>SUMPRODUCT($I$5:$I55,$L$5:$L55)</f>
        <v>223863.69726668677</v>
      </c>
      <c r="M57" s="13">
        <f>SUMPRODUCT($I$5:$I55,$M$5:$M55)</f>
        <v>37401.046408800918</v>
      </c>
      <c r="N57" s="13">
        <f ca="1">SUMPRODUCT($I$5:$I55,$N$5:$N55)</f>
        <v>215481.70395079016</v>
      </c>
      <c r="O57" s="13">
        <f>SUMPRODUCT($I$5:$I55,$O$5:$O55)</f>
        <v>0</v>
      </c>
      <c r="P57" s="13">
        <f>SUMPRODUCT($I$5:$I55,$P$5:$P55)</f>
        <v>0</v>
      </c>
      <c r="Q57" s="13">
        <f>SUMPRODUCT($I$5:$I55,$Q$5:$Q55)</f>
        <v>9226276.0333921332</v>
      </c>
      <c r="R57" s="13">
        <f>SUMPRODUCT($I$5:$I55,$R$5:$R55)</f>
        <v>1583418.4495755318</v>
      </c>
      <c r="S57" s="13">
        <f>SUMPRODUCT($I$5:$I55,$S$5:$S55)</f>
        <v>0</v>
      </c>
      <c r="T57" s="13">
        <f ca="1">SUMPRODUCT($I$5:$I55,$T$5:$T55)</f>
        <v>11286440.930593943</v>
      </c>
      <c r="U57" s="13">
        <f>SUMPRODUCT($I$5:$I55,$U$5:$U55)</f>
        <v>0</v>
      </c>
      <c r="V57" s="13">
        <f>SUMPRODUCT($I$5:$I55,$V$5:$V55)</f>
        <v>0</v>
      </c>
      <c r="W57" s="13">
        <f>SUMPRODUCT($I$5:$I55,$W$5:$W55)</f>
        <v>0</v>
      </c>
      <c r="X57" s="13">
        <f>SUMPRODUCT($I$5:$I55,$X$5:$X55)</f>
        <v>0</v>
      </c>
      <c r="Y57" s="13">
        <f>SUMPRODUCT($I$5:$I55,$Y$5:$Y55)</f>
        <v>10891768.122839998</v>
      </c>
      <c r="Z57" s="13">
        <f>SUMPRODUCT($I$5:$I55,$Z$5:$Z55)</f>
        <v>0</v>
      </c>
      <c r="AA57" s="13">
        <f>SUMPRODUCT($I$5:$I55,$AA$5:$AA55)</f>
        <v>0</v>
      </c>
      <c r="AB57" s="13">
        <f>SUMPRODUCT($I$5:$I55,$AB$5:$AB55)</f>
        <v>10891768.122839998</v>
      </c>
      <c r="AC57" s="13">
        <f>SUMPRODUCT($I$5:$I55,$AC$5:$AC55)</f>
        <v>8469705.5289164893</v>
      </c>
      <c r="AD57" s="13">
        <f>SUMPRODUCT($I$5:$I55,$AD$5:$AD55)</f>
        <v>8469705.5289164893</v>
      </c>
      <c r="AE57" s="13">
        <f>SUMPRODUCT($I$5:$I55,$AE$5:$AE55)</f>
        <v>0</v>
      </c>
      <c r="AF57" s="13">
        <f>SUMPRODUCT($I$5:$I55,$AF$5:$AF55)</f>
        <v>0</v>
      </c>
      <c r="AG57" s="13">
        <f>SUMPRODUCT($I$5:$I55,$AG$5:$AG55)</f>
        <v>0</v>
      </c>
      <c r="AH57" s="13">
        <f>SUMPRODUCT($I$5:$I55,$AH$5:$AH55)</f>
        <v>1159041.4804804064</v>
      </c>
      <c r="AI57" s="13">
        <f>SUMPRODUCT($I$5:$I55,$AI$5:$AI55)</f>
        <v>0</v>
      </c>
      <c r="AJ57" s="13">
        <f ca="1">SUMPRODUCT($I$5:$I55,$AJ$5:$AJ55)</f>
        <v>96515.027449698056</v>
      </c>
      <c r="AK57" s="13">
        <f ca="1">SUMPRODUCT($I$5:$I55,$AK$5:$AK55)</f>
        <v>13526.251158373996</v>
      </c>
      <c r="AL57" s="13">
        <f ca="1">SUMPRODUCT($I$5:$I55,$AL$5:$AL55)</f>
        <v>1269082.7590884783</v>
      </c>
      <c r="AM57" s="13">
        <f ca="1">SUMPRODUCT($I$5:$I55,$AM$5:$AM55)</f>
        <v>31916997.341438912</v>
      </c>
    </row>
    <row r="58" spans="1:42" ht="11.25" customHeight="1" x14ac:dyDescent="0.3">
      <c r="K58" s="16" t="s">
        <v>529</v>
      </c>
      <c r="L58" s="13">
        <f>'TR TUSD'!$L$60</f>
        <v>223863.69726668682</v>
      </c>
      <c r="M58" s="13">
        <f>'TR TUSD'!$M$60</f>
        <v>37401.046408800925</v>
      </c>
      <c r="N58" s="13">
        <f>'TR TUSD'!$N$60</f>
        <v>215481.70395079016</v>
      </c>
      <c r="O58" s="13">
        <f>'TR TUSD'!$O$60</f>
        <v>0</v>
      </c>
      <c r="P58" s="13">
        <f>'TR TUSD'!$P$60</f>
        <v>0</v>
      </c>
      <c r="Q58" s="13">
        <f>'TR TUSD'!$Q$60</f>
        <v>9226276.0333921351</v>
      </c>
      <c r="R58" s="13">
        <f>'TR TUSD'!$R$60</f>
        <v>1583418.4495755318</v>
      </c>
      <c r="S58" s="13">
        <f>'TR TUSD'!$S$60</f>
        <v>0</v>
      </c>
      <c r="T58" s="13">
        <f>'TR TUSD'!$T$60</f>
        <v>11286440.930593945</v>
      </c>
      <c r="U58" s="13">
        <f>'TR TUSD'!$U$60</f>
        <v>0</v>
      </c>
      <c r="V58" s="13">
        <f>'TR TUSD'!$V$60</f>
        <v>0</v>
      </c>
      <c r="W58" s="13">
        <f>'TR TUSD'!$W$60</f>
        <v>0</v>
      </c>
      <c r="X58" s="13">
        <f>'TR TUSD'!$X$60</f>
        <v>0</v>
      </c>
      <c r="Y58" s="13">
        <f>'TR TUSD'!$Y$60</f>
        <v>10891768.12284</v>
      </c>
      <c r="Z58" s="13">
        <f>'TR TUSD'!$Z$60</f>
        <v>0</v>
      </c>
      <c r="AA58" s="13">
        <f>'TR TUSD'!$AA$60</f>
        <v>0</v>
      </c>
      <c r="AB58" s="13">
        <f>'TR TUSD'!$AB$60</f>
        <v>10891768.12284</v>
      </c>
      <c r="AC58" s="13">
        <f>'TR TUSD'!$AC$60</f>
        <v>8469705.5289164912</v>
      </c>
      <c r="AD58" s="13">
        <f>'TR TUSD'!$AD$60</f>
        <v>8469705.5289164912</v>
      </c>
      <c r="AE58" s="13">
        <f>'TR TUSD'!$AE$60</f>
        <v>0</v>
      </c>
      <c r="AF58" s="13">
        <f>'TR TUSD'!$AF$60</f>
        <v>0</v>
      </c>
      <c r="AG58" s="13">
        <f>'TR TUSD'!$AG$60</f>
        <v>0</v>
      </c>
      <c r="AH58" s="13">
        <f>'TR TUSD'!$AH$60</f>
        <v>1159041.4804804064</v>
      </c>
      <c r="AI58" s="13">
        <f>'TR TUSD'!$AI$60</f>
        <v>0</v>
      </c>
      <c r="AJ58" s="13">
        <f>'TR TUSD'!$AJ$60</f>
        <v>96515.027449698071</v>
      </c>
      <c r="AK58" s="13">
        <f>'TR TUSD'!$AK$60</f>
        <v>13526.251158373994</v>
      </c>
      <c r="AL58" s="13">
        <f>'TR TUSD'!$AL$60</f>
        <v>1269082.7590884785</v>
      </c>
      <c r="AM58" s="13">
        <f>CUSTOS!$D$29</f>
        <v>31916997.341438919</v>
      </c>
    </row>
    <row r="59" spans="1:42" ht="11.25" customHeight="1" x14ac:dyDescent="0.3">
      <c r="K59" s="16" t="s">
        <v>530</v>
      </c>
      <c r="L59" s="13">
        <f>CUSTOS!$E$2</f>
        <v>10378.311592162874</v>
      </c>
      <c r="M59" s="13">
        <f>CUSTOS!$E$3</f>
        <v>1324.1358760511275</v>
      </c>
      <c r="N59" s="13">
        <f>CUSTOS!$E$4</f>
        <v>9.2580247132896643E-2</v>
      </c>
      <c r="O59" s="13">
        <f>CUSTOS!$E$5</f>
        <v>0</v>
      </c>
      <c r="P59" s="13">
        <f>CUSTOS!$E$6</f>
        <v>0</v>
      </c>
      <c r="Q59" s="13">
        <f>CUSTOS!$E$7</f>
        <v>357707.65707963798</v>
      </c>
      <c r="R59" s="13">
        <f>CUSTOS!$E$8</f>
        <v>48154.83858257212</v>
      </c>
      <c r="S59" s="13">
        <f>CUSTOS!$E$9</f>
        <v>0</v>
      </c>
      <c r="T59" s="13">
        <f>CUSTOS!$E$10</f>
        <v>417565.03571067122</v>
      </c>
      <c r="U59" s="13">
        <f>CUSTOS!$E$11</f>
        <v>0</v>
      </c>
      <c r="V59" s="13">
        <f>CUSTOS!$E$12</f>
        <v>0</v>
      </c>
      <c r="W59" s="13">
        <f>CUSTOS!$E$13</f>
        <v>0</v>
      </c>
      <c r="X59" s="13">
        <f>CUSTOS!$E$14</f>
        <v>0</v>
      </c>
      <c r="Y59" s="13">
        <f>CUSTOS!$E$15</f>
        <v>819327.43694699625</v>
      </c>
      <c r="Z59" s="13">
        <f>CUSTOS!$E$16</f>
        <v>0</v>
      </c>
      <c r="AA59" s="13">
        <f>CUSTOS!$E$17</f>
        <v>0</v>
      </c>
      <c r="AB59" s="13">
        <f>CUSTOS!$E$18</f>
        <v>819327.43694699625</v>
      </c>
      <c r="AC59" s="13">
        <f>CUSTOS!$E$19</f>
        <v>342.52470297332911</v>
      </c>
      <c r="AD59" s="13">
        <f>CUSTOS!$E$20</f>
        <v>342.52470297332911</v>
      </c>
      <c r="AE59" s="13">
        <f>CUSTOS!$E$21</f>
        <v>-1253845.4490363225</v>
      </c>
      <c r="AF59" s="13">
        <f>CUSTOS!$E$22</f>
        <v>0</v>
      </c>
      <c r="AG59" s="13">
        <f>CUSTOS!$E$23</f>
        <v>-1253845.4490363225</v>
      </c>
      <c r="AH59" s="13">
        <f>CUSTOS!$E$24</f>
        <v>5035.6402843084979</v>
      </c>
      <c r="AI59" s="13">
        <f>CUSTOS!$E$25</f>
        <v>0</v>
      </c>
      <c r="AJ59" s="13">
        <f>CUSTOS!$E$26</f>
        <v>419.32490635744438</v>
      </c>
      <c r="AK59" s="13">
        <f>CUSTOS!$E$27</f>
        <v>1029.5345376711853</v>
      </c>
      <c r="AL59" s="13">
        <f>CUSTOS!$E$28</f>
        <v>6484.4997283371267</v>
      </c>
      <c r="AM59" s="13">
        <f>CUSTOS!$E$29</f>
        <v>-10125.951947344503</v>
      </c>
    </row>
    <row r="60" spans="1:42" ht="11.25" customHeight="1" x14ac:dyDescent="0.3">
      <c r="K60" s="16" t="s">
        <v>531</v>
      </c>
      <c r="L60" s="13">
        <f>CUSTOS!$F$2</f>
        <v>19749.453488121715</v>
      </c>
      <c r="M60" s="13">
        <f>CUSTOS!$F$3</f>
        <v>0</v>
      </c>
      <c r="N60" s="13">
        <f>CUSTOS!$F$4</f>
        <v>0</v>
      </c>
      <c r="O60" s="13">
        <f>CUSTOS!$F$5</f>
        <v>0</v>
      </c>
      <c r="P60" s="13">
        <f>CUSTOS!$F$6</f>
        <v>0</v>
      </c>
      <c r="Q60" s="13">
        <f>CUSTOS!$F$7</f>
        <v>2382613.2393999998</v>
      </c>
      <c r="R60" s="13">
        <f>CUSTOS!$F$8</f>
        <v>485196.48460000003</v>
      </c>
      <c r="S60" s="13">
        <f>CUSTOS!$F$9</f>
        <v>0</v>
      </c>
      <c r="T60" s="13">
        <f>CUSTOS!$F$10</f>
        <v>2887559.1774881217</v>
      </c>
      <c r="U60" s="13">
        <f>CUSTOS!$F$11</f>
        <v>0</v>
      </c>
      <c r="V60" s="13">
        <f>CUSTOS!$F$12</f>
        <v>0</v>
      </c>
      <c r="W60" s="13">
        <f>CUSTOS!$F$13</f>
        <v>0</v>
      </c>
      <c r="X60" s="13">
        <f>CUSTOS!$F$14</f>
        <v>0</v>
      </c>
      <c r="Y60" s="13">
        <f>CUSTOS!$F$15</f>
        <v>0</v>
      </c>
      <c r="Z60" s="13">
        <f>CUSTOS!$F$16</f>
        <v>0</v>
      </c>
      <c r="AA60" s="13">
        <f>CUSTOS!$F$17</f>
        <v>0</v>
      </c>
      <c r="AB60" s="13">
        <f>CUSTOS!$F$18</f>
        <v>0</v>
      </c>
      <c r="AC60" s="13">
        <f>CUSTOS!$F$19</f>
        <v>0</v>
      </c>
      <c r="AD60" s="13">
        <f>CUSTOS!$F$20</f>
        <v>0</v>
      </c>
      <c r="AE60" s="13">
        <f>CUSTOS!$F$21</f>
        <v>0</v>
      </c>
      <c r="AF60" s="13">
        <f>CUSTOS!$F$22</f>
        <v>0</v>
      </c>
      <c r="AG60" s="13">
        <f>CUSTOS!$F$23</f>
        <v>0</v>
      </c>
      <c r="AH60" s="13">
        <f>CUSTOS!$F$24</f>
        <v>-4873.4265082228922</v>
      </c>
      <c r="AI60" s="13">
        <f>CUSTOS!$F$25</f>
        <v>0</v>
      </c>
      <c r="AJ60" s="13">
        <f>CUSTOS!$F$26</f>
        <v>-405.8171352247561</v>
      </c>
      <c r="AK60" s="13">
        <f>CUSTOS!$F$27</f>
        <v>0</v>
      </c>
      <c r="AL60" s="13">
        <f>CUSTOS!$F$28</f>
        <v>-5279.2436434476485</v>
      </c>
      <c r="AM60" s="13">
        <f>CUSTOS!$F$29</f>
        <v>2882279.9338446739</v>
      </c>
    </row>
    <row r="61" spans="1:42" ht="11.25" customHeight="1" x14ac:dyDescent="0.3">
      <c r="K61" s="16" t="s">
        <v>594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f>SUM($L$61:$S$61)</f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f>SUM($U$61:$AA$61)</f>
        <v>0</v>
      </c>
      <c r="AC61" s="13">
        <v>0</v>
      </c>
      <c r="AD61" s="13">
        <f>SUM($AC$61:$AC$61)</f>
        <v>0</v>
      </c>
      <c r="AE61" s="13">
        <v>0</v>
      </c>
      <c r="AF61" s="13">
        <v>0</v>
      </c>
      <c r="AG61" s="13">
        <f>SUM($AE$61:$AF$61)</f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f>SUM($AH$61:$AK$61)</f>
        <v>0</v>
      </c>
      <c r="AM61" s="13">
        <f>SUMIF($L$4:$AL$4,"SUBTOTAL",$L$61:$AL$61)</f>
        <v>0</v>
      </c>
    </row>
    <row r="62" spans="1:42" ht="11.25" customHeight="1" x14ac:dyDescent="0.3">
      <c r="K62" s="16" t="s">
        <v>598</v>
      </c>
      <c r="L62" s="13">
        <f t="shared" ref="L62:R62" si="0">IF((L57-(0))&lt;&gt;0,(L59)/(L57-(0)),0)</f>
        <v>4.6359957951553385E-2</v>
      </c>
      <c r="M62" s="13">
        <f t="shared" si="0"/>
        <v>3.5403712013243091E-2</v>
      </c>
      <c r="N62" s="13">
        <f t="shared" ca="1" si="0"/>
        <v>4.2964319213866672E-7</v>
      </c>
      <c r="O62" s="13">
        <f t="shared" si="0"/>
        <v>0</v>
      </c>
      <c r="P62" s="13">
        <f t="shared" si="0"/>
        <v>0</v>
      </c>
      <c r="Q62" s="13">
        <f t="shared" si="0"/>
        <v>3.8770534914087454E-2</v>
      </c>
      <c r="R62" s="13">
        <f t="shared" si="0"/>
        <v>3.0411947388563666E-2</v>
      </c>
      <c r="S62" s="13">
        <f>IF((R57-(0)&lt;&gt;0),(S59)/(R57-(0)),0)</f>
        <v>0</v>
      </c>
      <c r="T62" s="13"/>
      <c r="U62" s="13">
        <f t="shared" ref="U62:AA62" si="1">IF((U57-(0))&lt;&gt;0,(U59)/(U57-(0)),0)</f>
        <v>0</v>
      </c>
      <c r="V62" s="13">
        <f t="shared" si="1"/>
        <v>0</v>
      </c>
      <c r="W62" s="13">
        <f t="shared" si="1"/>
        <v>0</v>
      </c>
      <c r="X62" s="13">
        <f t="shared" si="1"/>
        <v>0</v>
      </c>
      <c r="Y62" s="13">
        <f t="shared" si="1"/>
        <v>7.5224465642898655E-2</v>
      </c>
      <c r="Z62" s="13">
        <f t="shared" si="1"/>
        <v>0</v>
      </c>
      <c r="AA62" s="13">
        <f t="shared" si="1"/>
        <v>0</v>
      </c>
      <c r="AB62" s="13"/>
      <c r="AC62" s="13">
        <f>IF((AC57-(0))&lt;&gt;0,(AC59)/(AC57-(0)),0)</f>
        <v>4.0441158409098496E-5</v>
      </c>
      <c r="AD62" s="13"/>
      <c r="AE62" s="13">
        <f ca="1">IF(($AM57-(0))&lt;&gt;0,(AE59)/($AM57-(0)),0)</f>
        <v>-3.9284567894123698E-2</v>
      </c>
      <c r="AF62" s="13">
        <f ca="1">IF(($AM57-(0))&lt;&gt;0,(AF59)/($AM57-(0)),0)</f>
        <v>0</v>
      </c>
      <c r="AG62" s="13"/>
      <c r="AH62" s="13">
        <f>IF((AH57-(0))&lt;&gt;0,(AH59)/(AH57-(0)),0)</f>
        <v>4.3446592456909267E-3</v>
      </c>
      <c r="AI62" s="13">
        <f>IF((AI57-(0))&lt;&gt;0,(AI59)/(AI57-(0)),0)</f>
        <v>0</v>
      </c>
      <c r="AJ62" s="13">
        <f ca="1">IF((AJ57-(0))&lt;&gt;0,(AJ59)/(AJ57-(0)),0)</f>
        <v>4.3446592456909284E-3</v>
      </c>
      <c r="AK62" s="13">
        <f ca="1">IF((AK57-(0))&lt;&gt;0,(AK59)/(AK57-(0)),0)</f>
        <v>7.6113811995410757E-2</v>
      </c>
      <c r="AL62" s="13"/>
      <c r="AM62" s="13"/>
    </row>
  </sheetData>
  <mergeCells count="79">
    <mergeCell ref="E49:E51"/>
    <mergeCell ref="F49:F51"/>
    <mergeCell ref="A54:A55"/>
    <mergeCell ref="B54:B55"/>
    <mergeCell ref="C54:C55"/>
    <mergeCell ref="D49:D51"/>
    <mergeCell ref="B46:B48"/>
    <mergeCell ref="C46:C48"/>
    <mergeCell ref="A49:A53"/>
    <mergeCell ref="B49:B51"/>
    <mergeCell ref="C49:C51"/>
    <mergeCell ref="A34:A48"/>
    <mergeCell ref="B34:B36"/>
    <mergeCell ref="C34:C36"/>
    <mergeCell ref="B42:B44"/>
    <mergeCell ref="C42:C44"/>
    <mergeCell ref="B38:B40"/>
    <mergeCell ref="C38:C40"/>
    <mergeCell ref="D42:D44"/>
    <mergeCell ref="E42:E44"/>
    <mergeCell ref="F42:F44"/>
    <mergeCell ref="D34:D36"/>
    <mergeCell ref="E34:E36"/>
    <mergeCell ref="F34:F36"/>
    <mergeCell ref="D38:D40"/>
    <mergeCell ref="E38:E40"/>
    <mergeCell ref="F38:F40"/>
    <mergeCell ref="A21:A33"/>
    <mergeCell ref="B21:B23"/>
    <mergeCell ref="C21:C23"/>
    <mergeCell ref="D21:D23"/>
    <mergeCell ref="E21:E23"/>
    <mergeCell ref="F21:F23"/>
    <mergeCell ref="B24:B28"/>
    <mergeCell ref="C24:C28"/>
    <mergeCell ref="B29:B33"/>
    <mergeCell ref="C29:C33"/>
    <mergeCell ref="F14:F16"/>
    <mergeCell ref="E17:E18"/>
    <mergeCell ref="F17:F18"/>
    <mergeCell ref="A19:A20"/>
    <mergeCell ref="B19:B20"/>
    <mergeCell ref="C19:C20"/>
    <mergeCell ref="D19:D20"/>
    <mergeCell ref="A9:A18"/>
    <mergeCell ref="B9:B12"/>
    <mergeCell ref="C9:C12"/>
    <mergeCell ref="D9:D12"/>
    <mergeCell ref="E9:E11"/>
    <mergeCell ref="F9:F11"/>
    <mergeCell ref="B14:B18"/>
    <mergeCell ref="C14:C18"/>
    <mergeCell ref="D14:D18"/>
    <mergeCell ref="E14:E16"/>
    <mergeCell ref="AE3:AG3"/>
    <mergeCell ref="AH3:AL3"/>
    <mergeCell ref="AM3:AM4"/>
    <mergeCell ref="A5:A8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M1"/>
    <mergeCell ref="A1:A4"/>
    <mergeCell ref="AP1:AP4"/>
    <mergeCell ref="L2:AM2"/>
    <mergeCell ref="L3:T3"/>
    <mergeCell ref="U3:AB3"/>
    <mergeCell ref="AC3:AD3"/>
    <mergeCell ref="B1:B4"/>
    <mergeCell ref="C1:C4"/>
    <mergeCell ref="D1:D4"/>
    <mergeCell ref="E1:E4"/>
    <mergeCell ref="F1:F4"/>
  </mergeCells>
  <conditionalFormatting sqref="L57">
    <cfRule type="cellIs" dxfId="1182" priority="55" operator="notEqual">
      <formula>$L$58-$L$61</formula>
    </cfRule>
    <cfRule type="cellIs" dxfId="1181" priority="56" operator="equal">
      <formula>$L$58-$L$61</formula>
    </cfRule>
  </conditionalFormatting>
  <conditionalFormatting sqref="M57">
    <cfRule type="cellIs" dxfId="1180" priority="53" operator="notEqual">
      <formula>$M$58-$M$61</formula>
    </cfRule>
    <cfRule type="cellIs" dxfId="1179" priority="54" operator="equal">
      <formula>$M$58-$M$61</formula>
    </cfRule>
  </conditionalFormatting>
  <conditionalFormatting sqref="N57">
    <cfRule type="cellIs" dxfId="1178" priority="51" operator="notEqual">
      <formula>$N$58-$N$61</formula>
    </cfRule>
    <cfRule type="cellIs" dxfId="1177" priority="52" operator="equal">
      <formula>$N$58-$N$61</formula>
    </cfRule>
  </conditionalFormatting>
  <conditionalFormatting sqref="O57">
    <cfRule type="cellIs" dxfId="1176" priority="49" operator="notEqual">
      <formula>$O$58-$O$61</formula>
    </cfRule>
    <cfRule type="cellIs" dxfId="1175" priority="50" operator="equal">
      <formula>$O$58-$O$61</formula>
    </cfRule>
  </conditionalFormatting>
  <conditionalFormatting sqref="P57">
    <cfRule type="cellIs" dxfId="1174" priority="47" operator="notEqual">
      <formula>$P$58-$P$61</formula>
    </cfRule>
    <cfRule type="cellIs" dxfId="1173" priority="48" operator="equal">
      <formula>$P$58-$P$61</formula>
    </cfRule>
  </conditionalFormatting>
  <conditionalFormatting sqref="Q57">
    <cfRule type="cellIs" dxfId="1172" priority="45" operator="notEqual">
      <formula>$Q$58-$Q$61</formula>
    </cfRule>
    <cfRule type="cellIs" dxfId="1171" priority="46" operator="equal">
      <formula>$Q$58-$Q$61</formula>
    </cfRule>
  </conditionalFormatting>
  <conditionalFormatting sqref="R57">
    <cfRule type="cellIs" dxfId="1170" priority="43" operator="notEqual">
      <formula>$R$58-$R$61</formula>
    </cfRule>
    <cfRule type="cellIs" dxfId="1169" priority="44" operator="equal">
      <formula>$R$58-$R$61</formula>
    </cfRule>
  </conditionalFormatting>
  <conditionalFormatting sqref="S57">
    <cfRule type="cellIs" dxfId="1168" priority="41" operator="notEqual">
      <formula>$S$58-$S$61</formula>
    </cfRule>
    <cfRule type="cellIs" dxfId="1167" priority="42" operator="equal">
      <formula>$S$58-$S$61</formula>
    </cfRule>
  </conditionalFormatting>
  <conditionalFormatting sqref="T57">
    <cfRule type="cellIs" dxfId="1166" priority="39" operator="notEqual">
      <formula>$T$58-$T$61</formula>
    </cfRule>
    <cfRule type="cellIs" dxfId="1165" priority="40" operator="equal">
      <formula>$T$58-$T$61</formula>
    </cfRule>
  </conditionalFormatting>
  <conditionalFormatting sqref="U57">
    <cfRule type="cellIs" dxfId="1164" priority="37" operator="notEqual">
      <formula>$U$58-$U$61</formula>
    </cfRule>
    <cfRule type="cellIs" dxfId="1163" priority="38" operator="equal">
      <formula>$U$58-$U$61</formula>
    </cfRule>
  </conditionalFormatting>
  <conditionalFormatting sqref="V57">
    <cfRule type="cellIs" dxfId="1162" priority="35" operator="notEqual">
      <formula>$V$58-$V$61</formula>
    </cfRule>
    <cfRule type="cellIs" dxfId="1161" priority="36" operator="equal">
      <formula>$V$58-$V$61</formula>
    </cfRule>
  </conditionalFormatting>
  <conditionalFormatting sqref="W57">
    <cfRule type="cellIs" dxfId="1160" priority="33" operator="notEqual">
      <formula>$W$58-$W$61</formula>
    </cfRule>
    <cfRule type="cellIs" dxfId="1159" priority="34" operator="equal">
      <formula>$W$58-$W$61</formula>
    </cfRule>
  </conditionalFormatting>
  <conditionalFormatting sqref="X57">
    <cfRule type="cellIs" dxfId="1158" priority="31" operator="notEqual">
      <formula>$X$58-$X$61</formula>
    </cfRule>
    <cfRule type="cellIs" dxfId="1157" priority="32" operator="equal">
      <formula>$X$58-$X$61</formula>
    </cfRule>
  </conditionalFormatting>
  <conditionalFormatting sqref="Y57">
    <cfRule type="cellIs" dxfId="1156" priority="29" operator="notEqual">
      <formula>$Y$58-$Y$61</formula>
    </cfRule>
    <cfRule type="cellIs" dxfId="1155" priority="30" operator="equal">
      <formula>$Y$58-$Y$61</formula>
    </cfRule>
  </conditionalFormatting>
  <conditionalFormatting sqref="Z57">
    <cfRule type="cellIs" dxfId="1154" priority="27" operator="notEqual">
      <formula>$Z$58-$Z$61</formula>
    </cfRule>
    <cfRule type="cellIs" dxfId="1153" priority="28" operator="equal">
      <formula>$Z$58-$Z$61</formula>
    </cfRule>
  </conditionalFormatting>
  <conditionalFormatting sqref="AA57">
    <cfRule type="cellIs" dxfId="1152" priority="25" operator="notEqual">
      <formula>$AA$58-$AA$61</formula>
    </cfRule>
    <cfRule type="cellIs" dxfId="1151" priority="26" operator="equal">
      <formula>$AA$58-$AA$61</formula>
    </cfRule>
  </conditionalFormatting>
  <conditionalFormatting sqref="AB57">
    <cfRule type="cellIs" dxfId="1150" priority="23" operator="notEqual">
      <formula>$AB$58-$AB$61</formula>
    </cfRule>
    <cfRule type="cellIs" dxfId="1149" priority="24" operator="equal">
      <formula>$AB$58-$AB$61</formula>
    </cfRule>
  </conditionalFormatting>
  <conditionalFormatting sqref="AC57">
    <cfRule type="cellIs" dxfId="1148" priority="21" operator="notEqual">
      <formula>$AC$58-$AC$61</formula>
    </cfRule>
    <cfRule type="cellIs" dxfId="1147" priority="22" operator="equal">
      <formula>$AC$58-$AC$61</formula>
    </cfRule>
  </conditionalFormatting>
  <conditionalFormatting sqref="AD57">
    <cfRule type="cellIs" dxfId="1146" priority="19" operator="notEqual">
      <formula>$AD$58-$AD$61</formula>
    </cfRule>
    <cfRule type="cellIs" dxfId="1145" priority="20" operator="equal">
      <formula>$AD$58-$AD$61</formula>
    </cfRule>
  </conditionalFormatting>
  <conditionalFormatting sqref="AE57">
    <cfRule type="cellIs" dxfId="1144" priority="17" operator="notEqual">
      <formula>$AE$58-$AE$61</formula>
    </cfRule>
    <cfRule type="cellIs" dxfId="1143" priority="18" operator="equal">
      <formula>$AE$58-$AE$61</formula>
    </cfRule>
  </conditionalFormatting>
  <conditionalFormatting sqref="AF57">
    <cfRule type="cellIs" dxfId="1142" priority="16" operator="equal">
      <formula>$AF$58-$AF$61</formula>
    </cfRule>
  </conditionalFormatting>
  <conditionalFormatting sqref="AF57">
    <cfRule type="cellIs" dxfId="1141" priority="15" operator="notEqual">
      <formula>$AF$58-$AF$61</formula>
    </cfRule>
  </conditionalFormatting>
  <conditionalFormatting sqref="AG57">
    <cfRule type="cellIs" dxfId="1140" priority="14" operator="equal">
      <formula>$AG$58-$AG$61</formula>
    </cfRule>
  </conditionalFormatting>
  <conditionalFormatting sqref="AG57">
    <cfRule type="cellIs" dxfId="1139" priority="13" operator="notEqual">
      <formula>$AG$58-$AG$61</formula>
    </cfRule>
  </conditionalFormatting>
  <conditionalFormatting sqref="AH57">
    <cfRule type="cellIs" dxfId="1138" priority="12" operator="equal">
      <formula>$AH$58-$AH$61</formula>
    </cfRule>
  </conditionalFormatting>
  <conditionalFormatting sqref="AH57">
    <cfRule type="cellIs" dxfId="1137" priority="11" operator="notEqual">
      <formula>$AH$58-$AH$61</formula>
    </cfRule>
  </conditionalFormatting>
  <conditionalFormatting sqref="AI57">
    <cfRule type="cellIs" dxfId="1136" priority="10" operator="equal">
      <formula>$AI$58-$AI$61</formula>
    </cfRule>
  </conditionalFormatting>
  <conditionalFormatting sqref="AI57">
    <cfRule type="cellIs" dxfId="1135" priority="9" operator="notEqual">
      <formula>$AI$58-$AI$61</formula>
    </cfRule>
  </conditionalFormatting>
  <conditionalFormatting sqref="AJ57">
    <cfRule type="cellIs" dxfId="1134" priority="8" operator="equal">
      <formula>$AJ$58-$AJ$61</formula>
    </cfRule>
  </conditionalFormatting>
  <conditionalFormatting sqref="AJ57">
    <cfRule type="cellIs" dxfId="1133" priority="7" operator="notEqual">
      <formula>$AJ$58-$AJ$61</formula>
    </cfRule>
  </conditionalFormatting>
  <conditionalFormatting sqref="AK57">
    <cfRule type="cellIs" dxfId="1132" priority="6" operator="equal">
      <formula>$AK$58-$AK$61</formula>
    </cfRule>
  </conditionalFormatting>
  <conditionalFormatting sqref="AK57">
    <cfRule type="cellIs" dxfId="1131" priority="5" operator="notEqual">
      <formula>$AK$58-$AK$61</formula>
    </cfRule>
  </conditionalFormatting>
  <conditionalFormatting sqref="AL57">
    <cfRule type="cellIs" dxfId="1130" priority="4" operator="equal">
      <formula>$AL$58-$AL$61</formula>
    </cfRule>
  </conditionalFormatting>
  <conditionalFormatting sqref="AL57">
    <cfRule type="cellIs" dxfId="1129" priority="3" operator="notEqual">
      <formula>$AL$58-$AL$61</formula>
    </cfRule>
  </conditionalFormatting>
  <conditionalFormatting sqref="AM57">
    <cfRule type="cellIs" dxfId="1128" priority="2" operator="equal">
      <formula>$AM$58-$AM$61</formula>
    </cfRule>
  </conditionalFormatting>
  <conditionalFormatting sqref="AM57">
    <cfRule type="cellIs" dxfId="1127" priority="1" operator="notEqual">
      <formula>$AM$58-$AM$61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FFB10-E1AB-48EF-AA7D-97D9E851CCDB}">
  <dimension ref="A1:AP62"/>
  <sheetViews>
    <sheetView showGridLines="0" topLeftCell="AA40" workbookViewId="0">
      <selection activeCell="AO57" sqref="AO57:AP59"/>
    </sheetView>
  </sheetViews>
  <sheetFormatPr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3" width="7.109375" style="9" bestFit="1" customWidth="1"/>
    <col min="14" max="14" width="7.88671875" style="9" bestFit="1" customWidth="1"/>
    <col min="15" max="15" width="3.88671875" style="9" bestFit="1" customWidth="1"/>
    <col min="16" max="16" width="3.77734375" style="9" bestFit="1" customWidth="1"/>
    <col min="17" max="18" width="9.109375" style="9" bestFit="1" customWidth="1"/>
    <col min="19" max="19" width="8" style="9" bestFit="1" customWidth="1"/>
    <col min="20" max="20" width="9.88671875" style="9" bestFit="1" customWidth="1"/>
    <col min="21" max="21" width="7.109375" style="9" bestFit="1" customWidth="1"/>
    <col min="22" max="22" width="7" style="9" bestFit="1" customWidth="1"/>
    <col min="23" max="23" width="9.21875" style="9" bestFit="1" customWidth="1"/>
    <col min="24" max="24" width="9.33203125" style="9" bestFit="1" customWidth="1"/>
    <col min="25" max="25" width="9.886718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9.109375" style="9" bestFit="1" customWidth="1"/>
    <col min="31" max="31" width="9.5546875" style="9" bestFit="1" customWidth="1"/>
    <col min="32" max="32" width="6.88671875" style="9" bestFit="1" customWidth="1"/>
    <col min="33" max="33" width="9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7.109375" style="9" bestFit="1" customWidth="1"/>
    <col min="38" max="38" width="9.109375" style="9" bestFit="1" customWidth="1"/>
    <col min="39" max="39" width="9.88671875" style="9" bestFit="1" customWidth="1"/>
    <col min="40" max="40" width="8.88671875" style="9"/>
    <col min="41" max="42" width="9.88671875" style="9" bestFit="1" customWidth="1"/>
    <col min="43" max="16384" width="8.88671875" style="9"/>
  </cols>
  <sheetData>
    <row r="1" spans="1:42" ht="11.25" customHeight="1" x14ac:dyDescent="0.3">
      <c r="A1" s="143" t="s">
        <v>68</v>
      </c>
      <c r="B1" s="143" t="s">
        <v>69</v>
      </c>
      <c r="C1" s="143" t="s">
        <v>70</v>
      </c>
      <c r="D1" s="143" t="s">
        <v>71</v>
      </c>
      <c r="E1" s="143" t="s">
        <v>72</v>
      </c>
      <c r="F1" s="143" t="s">
        <v>15</v>
      </c>
      <c r="G1" s="143" t="s">
        <v>74</v>
      </c>
      <c r="H1" s="143" t="s">
        <v>75</v>
      </c>
      <c r="I1" s="143" t="s">
        <v>588</v>
      </c>
      <c r="J1" s="134"/>
      <c r="L1" s="144" t="s">
        <v>605</v>
      </c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O1" s="26"/>
      <c r="AP1" s="148" t="s">
        <v>590</v>
      </c>
    </row>
    <row r="2" spans="1:42" ht="11.25" customHeight="1" x14ac:dyDescent="0.3">
      <c r="A2" s="143"/>
      <c r="B2" s="143"/>
      <c r="C2" s="143"/>
      <c r="D2" s="143"/>
      <c r="E2" s="143"/>
      <c r="F2" s="143"/>
      <c r="G2" s="143"/>
      <c r="H2" s="143"/>
      <c r="I2" s="143"/>
      <c r="J2" s="134"/>
      <c r="L2" s="144" t="s">
        <v>487</v>
      </c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4"/>
      <c r="AM2" s="144"/>
      <c r="AO2" s="26"/>
      <c r="AP2" s="149"/>
    </row>
    <row r="3" spans="1:42" ht="11.25" customHeight="1" x14ac:dyDescent="0.3">
      <c r="A3" s="143"/>
      <c r="B3" s="143"/>
      <c r="C3" s="143"/>
      <c r="D3" s="143"/>
      <c r="E3" s="143"/>
      <c r="F3" s="143"/>
      <c r="G3" s="143"/>
      <c r="H3" s="143"/>
      <c r="I3" s="143"/>
      <c r="J3" s="134"/>
      <c r="L3" s="144" t="s">
        <v>488</v>
      </c>
      <c r="M3" s="144"/>
      <c r="N3" s="144"/>
      <c r="O3" s="144"/>
      <c r="P3" s="144"/>
      <c r="Q3" s="144"/>
      <c r="R3" s="144"/>
      <c r="S3" s="144"/>
      <c r="T3" s="144"/>
      <c r="U3" s="144" t="s">
        <v>497</v>
      </c>
      <c r="V3" s="144"/>
      <c r="W3" s="144"/>
      <c r="X3" s="144"/>
      <c r="Y3" s="144"/>
      <c r="Z3" s="144"/>
      <c r="AA3" s="144"/>
      <c r="AB3" s="144"/>
      <c r="AC3" s="144" t="s">
        <v>505</v>
      </c>
      <c r="AD3" s="144"/>
      <c r="AE3" s="144" t="s">
        <v>507</v>
      </c>
      <c r="AF3" s="144"/>
      <c r="AG3" s="144"/>
      <c r="AH3" s="144" t="s">
        <v>510</v>
      </c>
      <c r="AI3" s="144"/>
      <c r="AJ3" s="144"/>
      <c r="AK3" s="144"/>
      <c r="AL3" s="144"/>
      <c r="AM3" s="144" t="s">
        <v>496</v>
      </c>
      <c r="AO3" s="26"/>
      <c r="AP3" s="149"/>
    </row>
    <row r="4" spans="1:42" ht="11.25" customHeight="1" x14ac:dyDescent="0.3">
      <c r="A4" s="143"/>
      <c r="B4" s="143"/>
      <c r="C4" s="143"/>
      <c r="D4" s="143"/>
      <c r="E4" s="143"/>
      <c r="F4" s="143"/>
      <c r="G4" s="143"/>
      <c r="H4" s="143"/>
      <c r="I4" s="143"/>
      <c r="J4" s="134"/>
      <c r="L4" s="10" t="s">
        <v>573</v>
      </c>
      <c r="M4" s="10" t="s">
        <v>489</v>
      </c>
      <c r="N4" s="10" t="s">
        <v>490</v>
      </c>
      <c r="O4" s="10" t="s">
        <v>491</v>
      </c>
      <c r="P4" s="10" t="s">
        <v>492</v>
      </c>
      <c r="Q4" s="10" t="s">
        <v>493</v>
      </c>
      <c r="R4" s="10" t="s">
        <v>494</v>
      </c>
      <c r="S4" s="10" t="s">
        <v>495</v>
      </c>
      <c r="T4" s="10" t="s">
        <v>496</v>
      </c>
      <c r="U4" s="10" t="s">
        <v>498</v>
      </c>
      <c r="V4" s="10" t="s">
        <v>499</v>
      </c>
      <c r="W4" s="10" t="s">
        <v>500</v>
      </c>
      <c r="X4" s="10" t="s">
        <v>501</v>
      </c>
      <c r="Y4" s="10" t="s">
        <v>502</v>
      </c>
      <c r="Z4" s="10" t="s">
        <v>503</v>
      </c>
      <c r="AA4" s="10" t="s">
        <v>504</v>
      </c>
      <c r="AB4" s="10" t="s">
        <v>496</v>
      </c>
      <c r="AC4" s="10" t="s">
        <v>506</v>
      </c>
      <c r="AD4" s="10" t="s">
        <v>496</v>
      </c>
      <c r="AE4" s="10" t="s">
        <v>508</v>
      </c>
      <c r="AF4" s="10" t="s">
        <v>509</v>
      </c>
      <c r="AG4" s="10" t="s">
        <v>496</v>
      </c>
      <c r="AH4" s="10" t="s">
        <v>511</v>
      </c>
      <c r="AI4" s="10" t="s">
        <v>512</v>
      </c>
      <c r="AJ4" s="10" t="s">
        <v>513</v>
      </c>
      <c r="AK4" s="10" t="s">
        <v>514</v>
      </c>
      <c r="AL4" s="10" t="s">
        <v>496</v>
      </c>
      <c r="AM4" s="147"/>
      <c r="AO4" s="27" t="s">
        <v>607</v>
      </c>
      <c r="AP4" s="150"/>
    </row>
    <row r="5" spans="1:42" ht="11.25" customHeight="1" x14ac:dyDescent="0.3">
      <c r="A5" s="146" t="s">
        <v>61</v>
      </c>
      <c r="B5" s="146" t="s">
        <v>54</v>
      </c>
      <c r="C5" s="146" t="s">
        <v>25</v>
      </c>
      <c r="D5" s="146" t="s">
        <v>25</v>
      </c>
      <c r="E5" s="146" t="s">
        <v>25</v>
      </c>
      <c r="F5" s="146" t="s">
        <v>25</v>
      </c>
      <c r="G5" s="24" t="s">
        <v>82</v>
      </c>
      <c r="H5" s="24" t="s">
        <v>81</v>
      </c>
      <c r="I5" s="24">
        <f>'MERCADO TUSD'!$U$2</f>
        <v>14877.2</v>
      </c>
      <c r="J5" s="15"/>
      <c r="L5" s="13">
        <f>'TUSD BE'!$L$5*'TUSD BE'!$L$62</f>
        <v>0</v>
      </c>
      <c r="M5" s="13">
        <f>'TUSD BE'!$M$5*'TUSD BE'!$M$62</f>
        <v>0</v>
      </c>
      <c r="N5" s="13">
        <f ca="1">'TUSD BE'!$N$5*'TUSD BE'!$N$62</f>
        <v>0</v>
      </c>
      <c r="O5" s="13">
        <f>'TUSD BE'!$O$5*'TUSD BE'!$O$62</f>
        <v>0</v>
      </c>
      <c r="P5" s="13">
        <f>'TUSD BE'!$P$5*'TUSD BE'!$P$62</f>
        <v>0</v>
      </c>
      <c r="Q5" s="13">
        <f>'TUSD BE'!$Q$5*'TUSD BE'!$Q$62</f>
        <v>0</v>
      </c>
      <c r="R5" s="13">
        <f>'TUSD BE'!$R$5*'TUSD BE'!$R$62</f>
        <v>0</v>
      </c>
      <c r="S5" s="13">
        <f>'TUSD BE'!$R$5*'TUSD BE'!$S$62</f>
        <v>0</v>
      </c>
      <c r="T5" s="13">
        <f ca="1">SUM($L$5:$S$5)</f>
        <v>0</v>
      </c>
      <c r="U5" s="13">
        <f>'TUSD BE'!$U$5*'TUSD BE'!$U$62</f>
        <v>0</v>
      </c>
      <c r="V5" s="13">
        <f>'TUSD BE'!$V$5*'TUSD BE'!$V$62</f>
        <v>0</v>
      </c>
      <c r="W5" s="13">
        <f>'TUSD BE'!$W$5*'TUSD BE'!$W$62</f>
        <v>0</v>
      </c>
      <c r="X5" s="13">
        <f>'TUSD BE'!$X$5*'TUSD BE'!$X$62</f>
        <v>0</v>
      </c>
      <c r="Y5" s="13">
        <f>'TUSD BE'!$Y$5*'TUSD BE'!$Y$62</f>
        <v>1.6607146641592962</v>
      </c>
      <c r="Z5" s="13">
        <f>'TUSD BE'!$Z$5*'TUSD BE'!$Z$62</f>
        <v>0</v>
      </c>
      <c r="AA5" s="13">
        <f>'TUSD BE'!$AA$5*'TUSD BE'!$AA$62</f>
        <v>0</v>
      </c>
      <c r="AB5" s="13">
        <f>SUM($U$5:$AA$5)</f>
        <v>1.6607146641592962</v>
      </c>
      <c r="AC5" s="13">
        <f>'TUSD BE'!$AC$5*'TUSD BE'!$AC$62</f>
        <v>2.5606297230566398E-4</v>
      </c>
      <c r="AD5" s="13">
        <f>SUM($AC$5:$AC$5)</f>
        <v>2.5606297230566398E-4</v>
      </c>
      <c r="AE5" s="13">
        <f ca="1">$AO$5*$AO$59</f>
        <v>-1.1160168606262193</v>
      </c>
      <c r="AF5" s="13">
        <f ca="1">$AP$5*$AP$59</f>
        <v>0</v>
      </c>
      <c r="AG5" s="13">
        <f ca="1">SUM($AE$5:$AF$5)</f>
        <v>-1.1160168606262193</v>
      </c>
      <c r="AH5" s="13">
        <f>'TUSD BE'!$AH$5*'TUSD BE'!$AH$62</f>
        <v>0</v>
      </c>
      <c r="AI5" s="13">
        <f>'TUSD BE'!$AI$5*'TUSD BE'!$AI$62</f>
        <v>0</v>
      </c>
      <c r="AJ5" s="13">
        <f ca="1">'TUSD BE'!$AJ$5*'TUSD BE'!$AJ$62</f>
        <v>0</v>
      </c>
      <c r="AK5" s="13">
        <f ca="1">'TUSD BE'!$AK$5*'TUSD BE'!$AK$62</f>
        <v>0</v>
      </c>
      <c r="AL5" s="13">
        <f ca="1">SUM($AH$5:$AK$5)</f>
        <v>0</v>
      </c>
      <c r="AM5" s="13">
        <f ca="1">SUMIF($L$4:$AL$4,"SUBTOTAL",$L$5:$AL$5)</f>
        <v>0.54495386650538258</v>
      </c>
      <c r="AO5" s="26">
        <f ca="1">+'TUSD BE'!$T$5+'TUSD BE'!$AB$5+'TUSD BE'!$AD$5+'TUSD BE'!$AL$5</f>
        <v>28.408530892690727</v>
      </c>
      <c r="AP5" s="26">
        <f ca="1">+'TUSD BE'!$T$5+'TUSD BE'!$AB$5+'TUSD BE'!$AD$5+'TUSD BE'!$AL$5</f>
        <v>28.408530892690727</v>
      </c>
    </row>
    <row r="6" spans="1:42" ht="11.25" customHeight="1" x14ac:dyDescent="0.3">
      <c r="A6" s="146"/>
      <c r="B6" s="146"/>
      <c r="C6" s="146"/>
      <c r="D6" s="146"/>
      <c r="E6" s="146"/>
      <c r="F6" s="146"/>
      <c r="G6" s="24" t="s">
        <v>83</v>
      </c>
      <c r="H6" s="24" t="s">
        <v>81</v>
      </c>
      <c r="I6" s="24">
        <f>'MERCADO TUSD'!$U$3</f>
        <v>15070.4</v>
      </c>
      <c r="J6" s="15"/>
      <c r="L6" s="13">
        <f>'TUSD BE'!$L$6*'TUSD BE'!$L$62</f>
        <v>0</v>
      </c>
      <c r="M6" s="13">
        <f>'TUSD BE'!$M$6*'TUSD BE'!$M$62</f>
        <v>0</v>
      </c>
      <c r="N6" s="13">
        <f ca="1">'TUSD BE'!$N$6*'TUSD BE'!$N$62</f>
        <v>0</v>
      </c>
      <c r="O6" s="13">
        <f>'TUSD BE'!$O$6*'TUSD BE'!$O$62</f>
        <v>0</v>
      </c>
      <c r="P6" s="13">
        <f>'TUSD BE'!$P$6*'TUSD BE'!$P$62</f>
        <v>0</v>
      </c>
      <c r="Q6" s="13">
        <f>'TUSD BE'!$Q$6*'TUSD BE'!$Q$62</f>
        <v>0</v>
      </c>
      <c r="R6" s="13">
        <f>'TUSD BE'!$R$6*'TUSD BE'!$R$62</f>
        <v>0</v>
      </c>
      <c r="S6" s="13">
        <f>'TUSD BE'!$R$6*'TUSD BE'!$S$62</f>
        <v>0</v>
      </c>
      <c r="T6" s="13">
        <f ca="1">SUM($L$6:$S$6)</f>
        <v>0</v>
      </c>
      <c r="U6" s="13">
        <f>'TUSD BE'!$U$6*'TUSD BE'!$U$62</f>
        <v>0</v>
      </c>
      <c r="V6" s="13">
        <f>'TUSD BE'!$V$6*'TUSD BE'!$V$62</f>
        <v>0</v>
      </c>
      <c r="W6" s="13">
        <f>'TUSD BE'!$W$6*'TUSD BE'!$W$62</f>
        <v>0</v>
      </c>
      <c r="X6" s="13">
        <f>'TUSD BE'!$X$6*'TUSD BE'!$X$62</f>
        <v>0</v>
      </c>
      <c r="Y6" s="13">
        <f>'TUSD BE'!$Y$6*'TUSD BE'!$Y$62</f>
        <v>0.84593137795928408</v>
      </c>
      <c r="Z6" s="13">
        <f>'TUSD BE'!$Z$6*'TUSD BE'!$Z$62</f>
        <v>0</v>
      </c>
      <c r="AA6" s="13">
        <f>'TUSD BE'!$AA$6*'TUSD BE'!$AA$62</f>
        <v>0</v>
      </c>
      <c r="AB6" s="13">
        <f>SUM($U$6:$AA$6)</f>
        <v>0.84593137795928408</v>
      </c>
      <c r="AC6" s="13">
        <f>'TUSD BE'!$AC$6*'TUSD BE'!$AC$62</f>
        <v>2.5606297230566398E-4</v>
      </c>
      <c r="AD6" s="13">
        <f>SUM($AC$6:$AC$6)</f>
        <v>2.5606297230566398E-4</v>
      </c>
      <c r="AE6" s="13">
        <f ca="1">$AO$6*$AO$59</f>
        <v>-0.6905115539129737</v>
      </c>
      <c r="AF6" s="13">
        <f ca="1">$AP$6*$AP$59</f>
        <v>0</v>
      </c>
      <c r="AG6" s="13">
        <f ca="1">SUM($AE$6:$AF$6)</f>
        <v>-0.6905115539129737</v>
      </c>
      <c r="AH6" s="13">
        <f>'TUSD BE'!$AH$6*'TUSD BE'!$AH$62</f>
        <v>0</v>
      </c>
      <c r="AI6" s="13">
        <f>'TUSD BE'!$AI$6*'TUSD BE'!$AI$62</f>
        <v>0</v>
      </c>
      <c r="AJ6" s="13">
        <f ca="1">'TUSD BE'!$AJ$6*'TUSD BE'!$AJ$62</f>
        <v>0</v>
      </c>
      <c r="AK6" s="13">
        <f ca="1">'TUSD BE'!$AK$6*'TUSD BE'!$AK$62</f>
        <v>0</v>
      </c>
      <c r="AL6" s="13">
        <f ca="1">SUM($AH$6:$AK$6)</f>
        <v>0</v>
      </c>
      <c r="AM6" s="13">
        <f ca="1">SUMIF($L$4:$AL$4,"SUBTOTAL",$L$6:$AL$6)</f>
        <v>0.15567588701861601</v>
      </c>
      <c r="AO6" s="26">
        <f ca="1">+'TUSD BE'!$T$6+'TUSD BE'!$AB$6+'TUSD BE'!$AD$6+'TUSD BE'!$AL$6</f>
        <v>17.577170653218829</v>
      </c>
      <c r="AP6" s="26">
        <f ca="1">+'TUSD BE'!$T$6+'TUSD BE'!$AB$6+'TUSD BE'!$AD$6+'TUSD BE'!$AL$6</f>
        <v>17.577170653218829</v>
      </c>
    </row>
    <row r="7" spans="1:42" ht="11.25" customHeight="1" x14ac:dyDescent="0.3">
      <c r="A7" s="146"/>
      <c r="B7" s="146"/>
      <c r="C7" s="146"/>
      <c r="D7" s="146"/>
      <c r="E7" s="146"/>
      <c r="F7" s="146"/>
      <c r="G7" s="24" t="s">
        <v>84</v>
      </c>
      <c r="H7" s="24" t="s">
        <v>78</v>
      </c>
      <c r="I7" s="24">
        <f>'MERCADO TUSD'!$U$4</f>
        <v>7641.8726999999999</v>
      </c>
      <c r="J7" s="15"/>
      <c r="L7" s="13">
        <f>'TUSD BE'!$L$7*'TUSD BE'!$L$62</f>
        <v>7.1810956871746212E-2</v>
      </c>
      <c r="M7" s="13">
        <f>'TUSD BE'!$M$7*'TUSD BE'!$M$62</f>
        <v>3.9035482903422574E-3</v>
      </c>
      <c r="N7" s="13">
        <f ca="1">'TUSD BE'!$N$7*'TUSD BE'!$N$62</f>
        <v>1.3749244111186911E-7</v>
      </c>
      <c r="O7" s="13">
        <f>'TUSD BE'!$O$7*'TUSD BE'!$O$62</f>
        <v>0</v>
      </c>
      <c r="P7" s="13">
        <f>'TUSD BE'!$P$7*'TUSD BE'!$P$62</f>
        <v>0</v>
      </c>
      <c r="Q7" s="13">
        <f>'TUSD BE'!$Q$7*'TUSD BE'!$Q$62</f>
        <v>2.4750971202904446</v>
      </c>
      <c r="R7" s="13">
        <f>'TUSD BE'!$R$7*'TUSD BE'!$R$62</f>
        <v>0.46136832062853605</v>
      </c>
      <c r="S7" s="13">
        <f>'TUSD BE'!$R$7*'TUSD BE'!$S$62</f>
        <v>0</v>
      </c>
      <c r="T7" s="13">
        <f ca="1">SUM($L$7:$S$7)</f>
        <v>3.0121800835735102</v>
      </c>
      <c r="U7" s="13">
        <f>'TUSD BE'!$U$7*'TUSD BE'!$U$62</f>
        <v>0</v>
      </c>
      <c r="V7" s="13">
        <f>'TUSD BE'!$V$7*'TUSD BE'!$V$62</f>
        <v>0</v>
      </c>
      <c r="W7" s="13">
        <f>'TUSD BE'!$W$7*'TUSD BE'!$W$62</f>
        <v>0</v>
      </c>
      <c r="X7" s="13">
        <f>'TUSD BE'!$X$7*'TUSD BE'!$X$62</f>
        <v>0</v>
      </c>
      <c r="Y7" s="13">
        <f>'TUSD BE'!$Y$7*'TUSD BE'!$Y$62</f>
        <v>0</v>
      </c>
      <c r="Z7" s="13">
        <f>'TUSD BE'!$Z$7*'TUSD BE'!$Z$62</f>
        <v>0</v>
      </c>
      <c r="AA7" s="13">
        <f>'TUSD BE'!$AA$7*'TUSD BE'!$AA$62</f>
        <v>0</v>
      </c>
      <c r="AB7" s="13">
        <f>SUM($U$7:$AA$7)</f>
        <v>0</v>
      </c>
      <c r="AC7" s="13">
        <f>'TUSD BE'!$AC$7*'TUSD BE'!$AC$62</f>
        <v>0</v>
      </c>
      <c r="AD7" s="13">
        <f>SUM($AC$7:$AC$7)</f>
        <v>0</v>
      </c>
      <c r="AE7" s="13">
        <f ca="1">$AO$7*$AO$59</f>
        <v>-3.4423099730683928</v>
      </c>
      <c r="AF7" s="13">
        <f ca="1">$AP$7*$AP$59</f>
        <v>0</v>
      </c>
      <c r="AG7" s="13">
        <f ca="1">SUM($AE$7:$AF$7)</f>
        <v>-3.4423099730683928</v>
      </c>
      <c r="AH7" s="13">
        <f>'TUSD BE'!$AH$7*'TUSD BE'!$AH$62</f>
        <v>2.6105273951646447E-2</v>
      </c>
      <c r="AI7" s="13">
        <f>'TUSD BE'!$AI$7*'TUSD BE'!$AI$62</f>
        <v>0</v>
      </c>
      <c r="AJ7" s="13">
        <f ca="1">'TUSD BE'!$AJ$7*'TUSD BE'!$AJ$62</f>
        <v>2.3887685299572841E-3</v>
      </c>
      <c r="AK7" s="13">
        <f ca="1">'TUSD BE'!$AK$7*'TUSD BE'!$AK$62</f>
        <v>5.8649502254861426E-3</v>
      </c>
      <c r="AL7" s="13">
        <f ca="1">SUM($AH$7:$AK$7)</f>
        <v>3.4358992707089878E-2</v>
      </c>
      <c r="AM7" s="13">
        <f ca="1">SUMIF($L$4:$AL$4,"SUBTOTAL",$L$7:$AL$7)</f>
        <v>-0.39577089678779276</v>
      </c>
      <c r="AO7" s="26">
        <f ca="1">+'TUSD BE'!$T$7+'TUSD BE'!$AB$7+'TUSD BE'!$AD$7+'TUSD BE'!$AL$7</f>
        <v>87.624992652224222</v>
      </c>
      <c r="AP7" s="26">
        <f ca="1">+'TUSD BE'!$T$7+'TUSD BE'!$AB$7+'TUSD BE'!$AD$7+'TUSD BE'!$AL$7</f>
        <v>87.624992652224222</v>
      </c>
    </row>
    <row r="8" spans="1:42" ht="11.25" customHeight="1" x14ac:dyDescent="0.3">
      <c r="A8" s="146"/>
      <c r="B8" s="146"/>
      <c r="C8" s="146"/>
      <c r="D8" s="146"/>
      <c r="E8" s="23" t="s">
        <v>85</v>
      </c>
      <c r="F8" s="23" t="s">
        <v>25</v>
      </c>
      <c r="G8" s="24" t="s">
        <v>84</v>
      </c>
      <c r="H8" s="24" t="s">
        <v>78</v>
      </c>
      <c r="I8" s="24">
        <f>'MERCADO TUSD'!$U$5</f>
        <v>0</v>
      </c>
      <c r="J8" s="15"/>
      <c r="L8" s="13">
        <f>'TUSD BE'!$L$8*'TUSD BE'!$L$62</f>
        <v>0</v>
      </c>
      <c r="M8" s="13">
        <f>'TUSD BE'!$M$8*'TUSD BE'!$M$62</f>
        <v>3.9035482903422574E-3</v>
      </c>
      <c r="N8" s="13">
        <f ca="1">'TUSD BE'!$N$8*'TUSD BE'!$N$62</f>
        <v>1.2892232747476969E-7</v>
      </c>
      <c r="O8" s="13">
        <f>'TUSD BE'!$O$8*'TUSD BE'!$O$62</f>
        <v>0</v>
      </c>
      <c r="P8" s="13">
        <f>'TUSD BE'!$P$8*'TUSD BE'!$P$62</f>
        <v>0</v>
      </c>
      <c r="Q8" s="13">
        <f>'TUSD BE'!$Q$8*'TUSD BE'!$Q$62</f>
        <v>0</v>
      </c>
      <c r="R8" s="13">
        <f>'TUSD BE'!$R$8*'TUSD BE'!$R$62</f>
        <v>0</v>
      </c>
      <c r="S8" s="13">
        <f>'TUSD BE'!$R$8*'TUSD BE'!$S$62</f>
        <v>0</v>
      </c>
      <c r="T8" s="13">
        <f ca="1">SUM($L$8:$S$8)</f>
        <v>3.903677212669732E-3</v>
      </c>
      <c r="U8" s="13">
        <f>'TUSD BE'!$U$8*'TUSD BE'!$U$62</f>
        <v>0</v>
      </c>
      <c r="V8" s="13">
        <f>'TUSD BE'!$V$8*'TUSD BE'!$V$62</f>
        <v>0</v>
      </c>
      <c r="W8" s="13">
        <f>'TUSD BE'!$W$8*'TUSD BE'!$W$62</f>
        <v>0</v>
      </c>
      <c r="X8" s="13">
        <f>'TUSD BE'!$X$8*'TUSD BE'!$X$62</f>
        <v>0</v>
      </c>
      <c r="Y8" s="13">
        <f>'TUSD BE'!$Y$8*'TUSD BE'!$Y$62</f>
        <v>0</v>
      </c>
      <c r="Z8" s="13">
        <f>'TUSD BE'!$Z$8*'TUSD BE'!$Z$62</f>
        <v>0</v>
      </c>
      <c r="AA8" s="13">
        <f>'TUSD BE'!$AA$8*'TUSD BE'!$AA$62</f>
        <v>0</v>
      </c>
      <c r="AB8" s="13">
        <f>SUM($U$8:$AA$8)</f>
        <v>0</v>
      </c>
      <c r="AC8" s="13">
        <f>'TUSD BE'!$AC$8*'TUSD BE'!$AC$62</f>
        <v>0</v>
      </c>
      <c r="AD8" s="13">
        <f>SUM($AC$8:$AC$8)</f>
        <v>0</v>
      </c>
      <c r="AE8" s="13">
        <f ca="1">$AO$8*$AO$59</f>
        <v>-0.27679074762087597</v>
      </c>
      <c r="AF8" s="13">
        <f ca="1">$AP$8*$AP$59</f>
        <v>0</v>
      </c>
      <c r="AG8" s="13">
        <f ca="1">SUM($AE$8:$AF$8)</f>
        <v>-0.27679074762087597</v>
      </c>
      <c r="AH8" s="13">
        <f>'TUSD BE'!$AH$8*'TUSD BE'!$AH$62</f>
        <v>2.6105273951646447E-2</v>
      </c>
      <c r="AI8" s="13">
        <f>'TUSD BE'!$AI$8*'TUSD BE'!$AI$62</f>
        <v>0</v>
      </c>
      <c r="AJ8" s="13">
        <f ca="1">'TUSD BE'!$AJ$8*'TUSD BE'!$AJ$62</f>
        <v>2.3887685299572841E-3</v>
      </c>
      <c r="AK8" s="13">
        <f ca="1">'TUSD BE'!$AK$8*'TUSD BE'!$AK$62</f>
        <v>5.8649502254861426E-3</v>
      </c>
      <c r="AL8" s="13">
        <f ca="1">SUM($AH$8:$AK$8)</f>
        <v>3.4358992707089878E-2</v>
      </c>
      <c r="AM8" s="13">
        <f ca="1">SUMIF($L$4:$AL$4,"SUBTOTAL",$L$8:$AL$8)</f>
        <v>-0.23852807770111639</v>
      </c>
      <c r="AO8" s="26">
        <f ca="1">+'TUSD BE'!$T$8+'TUSD BE'!$AB$8+'TUSD BE'!$AD$8+'TUSD BE'!$AL$8</f>
        <v>7.0457882689930047</v>
      </c>
      <c r="AP8" s="26">
        <f ca="1">+'TUSD BE'!$T$8+'TUSD BE'!$AB$8+'TUSD BE'!$AD$8+'TUSD BE'!$AL$8</f>
        <v>7.0457882689930047</v>
      </c>
    </row>
    <row r="9" spans="1:42" ht="11.25" customHeight="1" x14ac:dyDescent="0.3">
      <c r="A9" s="146" t="s">
        <v>34</v>
      </c>
      <c r="B9" s="146" t="s">
        <v>54</v>
      </c>
      <c r="C9" s="146" t="s">
        <v>25</v>
      </c>
      <c r="D9" s="146" t="s">
        <v>25</v>
      </c>
      <c r="E9" s="146" t="s">
        <v>25</v>
      </c>
      <c r="F9" s="146" t="s">
        <v>25</v>
      </c>
      <c r="G9" s="24" t="s">
        <v>82</v>
      </c>
      <c r="H9" s="24" t="s">
        <v>81</v>
      </c>
      <c r="I9" s="24">
        <f>'MERCADO TUSD'!$U$6</f>
        <v>74447</v>
      </c>
      <c r="J9" s="15"/>
      <c r="L9" s="13">
        <f>'TUSD BE'!$L$9*'TUSD BE'!$L$62</f>
        <v>0</v>
      </c>
      <c r="M9" s="13">
        <f>'TUSD BE'!$M$9*'TUSD BE'!$M$62</f>
        <v>0</v>
      </c>
      <c r="N9" s="13">
        <f ca="1">'TUSD BE'!$N$9*'TUSD BE'!$N$62</f>
        <v>0</v>
      </c>
      <c r="O9" s="13">
        <f>'TUSD BE'!$O$9*'TUSD BE'!$O$62</f>
        <v>0</v>
      </c>
      <c r="P9" s="13">
        <f>'TUSD BE'!$P$9*'TUSD BE'!$P$62</f>
        <v>0</v>
      </c>
      <c r="Q9" s="13">
        <f>'TUSD BE'!$Q$9*'TUSD BE'!$Q$62</f>
        <v>0</v>
      </c>
      <c r="R9" s="13">
        <f>'TUSD BE'!$R$9*'TUSD BE'!$R$62</f>
        <v>0</v>
      </c>
      <c r="S9" s="13">
        <f>'TUSD BE'!$R$9*'TUSD BE'!$S$62</f>
        <v>0</v>
      </c>
      <c r="T9" s="13">
        <f ca="1">SUM($L$9:$S$9)</f>
        <v>0</v>
      </c>
      <c r="U9" s="13">
        <f>'TUSD BE'!$U$9*'TUSD BE'!$U$62</f>
        <v>0</v>
      </c>
      <c r="V9" s="13">
        <f>'TUSD BE'!$V$9*'TUSD BE'!$V$62</f>
        <v>0</v>
      </c>
      <c r="W9" s="13">
        <f>'TUSD BE'!$W$9*'TUSD BE'!$W$62</f>
        <v>0</v>
      </c>
      <c r="X9" s="13">
        <f>'TUSD BE'!$X$9*'TUSD BE'!$X$62</f>
        <v>0</v>
      </c>
      <c r="Y9" s="13">
        <f>'TUSD BE'!$Y$9*'TUSD BE'!$Y$62</f>
        <v>2.2142862188790615</v>
      </c>
      <c r="Z9" s="13">
        <f>'TUSD BE'!$Z$9*'TUSD BE'!$Z$62</f>
        <v>0</v>
      </c>
      <c r="AA9" s="13">
        <f>'TUSD BE'!$AA$9*'TUSD BE'!$AA$62</f>
        <v>0</v>
      </c>
      <c r="AB9" s="13">
        <f>SUM($U$9:$AA$9)</f>
        <v>2.2142862188790615</v>
      </c>
      <c r="AC9" s="13">
        <f>'TUSD BE'!$AC$9*'TUSD BE'!$AC$62</f>
        <v>3.4141879435114895E-4</v>
      </c>
      <c r="AD9" s="13">
        <f>SUM($AC$9:$AC$9)</f>
        <v>3.4141879435114895E-4</v>
      </c>
      <c r="AE9" s="13">
        <f ca="1">$AO$9*$AO$59</f>
        <v>-1.4880239359383549</v>
      </c>
      <c r="AF9" s="13">
        <f ca="1">$AP$9*$AP$59</f>
        <v>0</v>
      </c>
      <c r="AG9" s="13">
        <f ca="1">SUM($AE$9:$AF$9)</f>
        <v>-1.4880239359383549</v>
      </c>
      <c r="AH9" s="13">
        <f>'TUSD BE'!$AH$9*'TUSD BE'!$AH$62</f>
        <v>0</v>
      </c>
      <c r="AI9" s="13">
        <f>'TUSD BE'!$AI$9*'TUSD BE'!$AI$62</f>
        <v>0</v>
      </c>
      <c r="AJ9" s="13">
        <f ca="1">'TUSD BE'!$AJ$9*'TUSD BE'!$AJ$62</f>
        <v>0</v>
      </c>
      <c r="AK9" s="13">
        <f ca="1">'TUSD BE'!$AK$9*'TUSD BE'!$AK$62</f>
        <v>0</v>
      </c>
      <c r="AL9" s="13">
        <f ca="1">SUM($AH$9:$AK$9)</f>
        <v>0</v>
      </c>
      <c r="AM9" s="13">
        <f ca="1">SUMIF($L$4:$AL$4,"SUBTOTAL",$L$9:$AL$9)</f>
        <v>0.72660370173505795</v>
      </c>
      <c r="AO9" s="26">
        <f ca="1">+'TUSD BE'!$T$9+'TUSD BE'!$AB$9+'TUSD BE'!$AD$9+'TUSD BE'!$AL$9</f>
        <v>37.878078230330694</v>
      </c>
      <c r="AP9" s="26">
        <f ca="1">+'TUSD BE'!$T$9+'TUSD BE'!$AB$9+'TUSD BE'!$AD$9+'TUSD BE'!$AL$9</f>
        <v>37.878078230330694</v>
      </c>
    </row>
    <row r="10" spans="1:42" ht="11.25" customHeight="1" x14ac:dyDescent="0.3">
      <c r="A10" s="146"/>
      <c r="B10" s="146"/>
      <c r="C10" s="146"/>
      <c r="D10" s="146"/>
      <c r="E10" s="146"/>
      <c r="F10" s="146"/>
      <c r="G10" s="24" t="s">
        <v>83</v>
      </c>
      <c r="H10" s="24" t="s">
        <v>81</v>
      </c>
      <c r="I10" s="24">
        <f>'MERCADO TUSD'!$U$7</f>
        <v>79182</v>
      </c>
      <c r="J10" s="15"/>
      <c r="L10" s="13">
        <f>'TUSD BE'!$L$10*'TUSD BE'!$L$62</f>
        <v>0</v>
      </c>
      <c r="M10" s="13">
        <f>'TUSD BE'!$M$10*'TUSD BE'!$M$62</f>
        <v>0</v>
      </c>
      <c r="N10" s="13">
        <f ca="1">'TUSD BE'!$N$10*'TUSD BE'!$N$62</f>
        <v>0</v>
      </c>
      <c r="O10" s="13">
        <f>'TUSD BE'!$O$10*'TUSD BE'!$O$62</f>
        <v>0</v>
      </c>
      <c r="P10" s="13">
        <f>'TUSD BE'!$P$10*'TUSD BE'!$P$62</f>
        <v>0</v>
      </c>
      <c r="Q10" s="13">
        <f>'TUSD BE'!$Q$10*'TUSD BE'!$Q$62</f>
        <v>0</v>
      </c>
      <c r="R10" s="13">
        <f>'TUSD BE'!$R$10*'TUSD BE'!$R$62</f>
        <v>0</v>
      </c>
      <c r="S10" s="13">
        <f>'TUSD BE'!$R$10*'TUSD BE'!$S$62</f>
        <v>0</v>
      </c>
      <c r="T10" s="13">
        <f ca="1">SUM($L$10:$S$10)</f>
        <v>0</v>
      </c>
      <c r="U10" s="13">
        <f>'TUSD BE'!$U$10*'TUSD BE'!$U$62</f>
        <v>0</v>
      </c>
      <c r="V10" s="13">
        <f>'TUSD BE'!$V$10*'TUSD BE'!$V$62</f>
        <v>0</v>
      </c>
      <c r="W10" s="13">
        <f>'TUSD BE'!$W$10*'TUSD BE'!$W$62</f>
        <v>0</v>
      </c>
      <c r="X10" s="13">
        <f>'TUSD BE'!$X$10*'TUSD BE'!$X$62</f>
        <v>0</v>
      </c>
      <c r="Y10" s="13">
        <f>'TUSD BE'!$Y$10*'TUSD BE'!$Y$62</f>
        <v>1.127912573995596</v>
      </c>
      <c r="Z10" s="13">
        <f>'TUSD BE'!$Z$10*'TUSD BE'!$Z$62</f>
        <v>0</v>
      </c>
      <c r="AA10" s="13">
        <f>'TUSD BE'!$AA$10*'TUSD BE'!$AA$62</f>
        <v>0</v>
      </c>
      <c r="AB10" s="13">
        <f>SUM($U$10:$AA$10)</f>
        <v>1.127912573995596</v>
      </c>
      <c r="AC10" s="13">
        <f>'TUSD BE'!$AC$10*'TUSD BE'!$AC$62</f>
        <v>3.4141879435114895E-4</v>
      </c>
      <c r="AD10" s="13">
        <f>SUM($AC$10:$AC$10)</f>
        <v>3.4141879435114895E-4</v>
      </c>
      <c r="AE10" s="13">
        <f ca="1">$AO$10*$AO$59</f>
        <v>-0.92068565249466261</v>
      </c>
      <c r="AF10" s="13">
        <f ca="1">$AP$10*$AP$59</f>
        <v>0</v>
      </c>
      <c r="AG10" s="13">
        <f ca="1">SUM($AE$10:$AF$10)</f>
        <v>-0.92068565249466261</v>
      </c>
      <c r="AH10" s="13">
        <f>'TUSD BE'!$AH$10*'TUSD BE'!$AH$62</f>
        <v>0</v>
      </c>
      <c r="AI10" s="13">
        <f>'TUSD BE'!$AI$10*'TUSD BE'!$AI$62</f>
        <v>0</v>
      </c>
      <c r="AJ10" s="13">
        <f ca="1">'TUSD BE'!$AJ$10*'TUSD BE'!$AJ$62</f>
        <v>0</v>
      </c>
      <c r="AK10" s="13">
        <f ca="1">'TUSD BE'!$AK$10*'TUSD BE'!$AK$62</f>
        <v>0</v>
      </c>
      <c r="AL10" s="13">
        <f ca="1">SUM($AH$10:$AK$10)</f>
        <v>0</v>
      </c>
      <c r="AM10" s="13">
        <f ca="1">SUMIF($L$4:$AL$4,"SUBTOTAL",$L$10:$AL$10)</f>
        <v>0.20756834029528448</v>
      </c>
      <c r="AO10" s="26">
        <f ca="1">+'TUSD BE'!$T$10+'TUSD BE'!$AB$10+'TUSD BE'!$AD$10+'TUSD BE'!$AL$10</f>
        <v>23.43631868310257</v>
      </c>
      <c r="AP10" s="26">
        <f ca="1">+'TUSD BE'!$T$10+'TUSD BE'!$AB$10+'TUSD BE'!$AD$10+'TUSD BE'!$AL$10</f>
        <v>23.43631868310257</v>
      </c>
    </row>
    <row r="11" spans="1:42" ht="11.25" customHeight="1" x14ac:dyDescent="0.3">
      <c r="A11" s="146"/>
      <c r="B11" s="146"/>
      <c r="C11" s="146"/>
      <c r="D11" s="146"/>
      <c r="E11" s="146"/>
      <c r="F11" s="146"/>
      <c r="G11" s="24" t="s">
        <v>84</v>
      </c>
      <c r="H11" s="24" t="s">
        <v>78</v>
      </c>
      <c r="I11" s="24">
        <f>'MERCADO TUSD'!$U$8</f>
        <v>33099.82804</v>
      </c>
      <c r="J11" s="15"/>
      <c r="L11" s="13">
        <f>'TUSD BE'!$L$11*'TUSD BE'!$L$62</f>
        <v>9.7292264148817448E-2</v>
      </c>
      <c r="M11" s="13">
        <f>'TUSD BE'!$M$11*'TUSD BE'!$M$62</f>
        <v>7.0988547704970966E-3</v>
      </c>
      <c r="N11" s="13">
        <f ca="1">'TUSD BE'!$N$11*'TUSD BE'!$N$62</f>
        <v>1.7977832501732532E-7</v>
      </c>
      <c r="O11" s="13">
        <f>'TUSD BE'!$O$11*'TUSD BE'!$O$62</f>
        <v>0</v>
      </c>
      <c r="P11" s="13">
        <f>'TUSD BE'!$P$11*'TUSD BE'!$P$62</f>
        <v>0</v>
      </c>
      <c r="Q11" s="13">
        <f>'TUSD BE'!$Q$11*'TUSD BE'!$Q$62</f>
        <v>3.3533573887806027</v>
      </c>
      <c r="R11" s="13">
        <f>'TUSD BE'!$R$11*'TUSD BE'!$R$62</f>
        <v>0.46136832062853605</v>
      </c>
      <c r="S11" s="13">
        <f>'TUSD BE'!$R$11*'TUSD BE'!$S$62</f>
        <v>0</v>
      </c>
      <c r="T11" s="13">
        <f ca="1">SUM($L$11:$S$11)</f>
        <v>3.9191170081067783</v>
      </c>
      <c r="U11" s="13">
        <f>'TUSD BE'!$U$11*'TUSD BE'!$U$62</f>
        <v>0</v>
      </c>
      <c r="V11" s="13">
        <f>'TUSD BE'!$V$11*'TUSD BE'!$V$62</f>
        <v>0</v>
      </c>
      <c r="W11" s="13">
        <f>'TUSD BE'!$W$11*'TUSD BE'!$W$62</f>
        <v>0</v>
      </c>
      <c r="X11" s="13">
        <f>'TUSD BE'!$X$11*'TUSD BE'!$X$62</f>
        <v>0</v>
      </c>
      <c r="Y11" s="13">
        <f>'TUSD BE'!$Y$11*'TUSD BE'!$Y$62</f>
        <v>0</v>
      </c>
      <c r="Z11" s="13">
        <f>'TUSD BE'!$Z$11*'TUSD BE'!$Z$62</f>
        <v>0</v>
      </c>
      <c r="AA11" s="13">
        <f>'TUSD BE'!$AA$11*'TUSD BE'!$AA$62</f>
        <v>0</v>
      </c>
      <c r="AB11" s="13">
        <f>SUM($U$11:$AA$11)</f>
        <v>0</v>
      </c>
      <c r="AC11" s="13">
        <f>'TUSD BE'!$AC$11*'TUSD BE'!$AC$62</f>
        <v>0</v>
      </c>
      <c r="AD11" s="13">
        <f>SUM($AC$11:$AC$11)</f>
        <v>0</v>
      </c>
      <c r="AE11" s="13">
        <f ca="1">$AO$11*$AO$59</f>
        <v>-4.452642629207725</v>
      </c>
      <c r="AF11" s="13">
        <f ca="1">$AP$11*$AP$59</f>
        <v>0</v>
      </c>
      <c r="AG11" s="13">
        <f ca="1">SUM($AE$11:$AF$11)</f>
        <v>-4.452642629207725</v>
      </c>
      <c r="AH11" s="13">
        <f>'TUSD BE'!$AH$11*'TUSD BE'!$AH$62</f>
        <v>3.4806896491174334E-2</v>
      </c>
      <c r="AI11" s="13">
        <f>'TUSD BE'!$AI$11*'TUSD BE'!$AI$62</f>
        <v>0</v>
      </c>
      <c r="AJ11" s="13">
        <f ca="1">'TUSD BE'!$AJ$11*'TUSD BE'!$AJ$62</f>
        <v>3.6248768574563997E-3</v>
      </c>
      <c r="AK11" s="13">
        <f ca="1">'TUSD BE'!$AK$11*'TUSD BE'!$AK$62</f>
        <v>8.8998670552975587E-3</v>
      </c>
      <c r="AL11" s="13">
        <f ca="1">SUM($AH$11:$AK$11)</f>
        <v>4.7331640403928288E-2</v>
      </c>
      <c r="AM11" s="13">
        <f ca="1">SUMIF($L$4:$AL$4,"SUBTOTAL",$L$11:$AL$11)</f>
        <v>-0.48619398069701841</v>
      </c>
      <c r="AO11" s="26">
        <f ca="1">+'TUSD BE'!$T$11+'TUSD BE'!$AB$11+'TUSD BE'!$AD$11+'TUSD BE'!$AL$11</f>
        <v>113.34330165494234</v>
      </c>
      <c r="AP11" s="26">
        <f ca="1">+'TUSD BE'!$T$11+'TUSD BE'!$AB$11+'TUSD BE'!$AD$11+'TUSD BE'!$AL$11</f>
        <v>113.34330165494234</v>
      </c>
    </row>
    <row r="12" spans="1:42" ht="11.25" customHeight="1" x14ac:dyDescent="0.3">
      <c r="A12" s="146"/>
      <c r="B12" s="146"/>
      <c r="C12" s="146"/>
      <c r="D12" s="146"/>
      <c r="E12" s="23" t="s">
        <v>85</v>
      </c>
      <c r="F12" s="23" t="s">
        <v>25</v>
      </c>
      <c r="G12" s="24" t="s">
        <v>84</v>
      </c>
      <c r="H12" s="24" t="s">
        <v>78</v>
      </c>
      <c r="I12" s="24">
        <f>'MERCADO TUSD'!$U$9</f>
        <v>0</v>
      </c>
      <c r="J12" s="15"/>
      <c r="L12" s="13">
        <f>'TUSD BE'!$L$12*'TUSD BE'!$L$62</f>
        <v>0</v>
      </c>
      <c r="M12" s="13">
        <f>'TUSD BE'!$M$12*'TUSD BE'!$M$62</f>
        <v>7.0988547704970966E-3</v>
      </c>
      <c r="N12" s="13">
        <f ca="1">'TUSD BE'!$N$12*'TUSD BE'!$N$62</f>
        <v>1.7120821138022584E-7</v>
      </c>
      <c r="O12" s="13">
        <f>'TUSD BE'!$O$12*'TUSD BE'!$O$62</f>
        <v>0</v>
      </c>
      <c r="P12" s="13">
        <f>'TUSD BE'!$P$12*'TUSD BE'!$P$62</f>
        <v>0</v>
      </c>
      <c r="Q12" s="13">
        <f>'TUSD BE'!$Q$12*'TUSD BE'!$Q$62</f>
        <v>0</v>
      </c>
      <c r="R12" s="13">
        <f>'TUSD BE'!$R$12*'TUSD BE'!$R$62</f>
        <v>0</v>
      </c>
      <c r="S12" s="13">
        <f>'TUSD BE'!$R$12*'TUSD BE'!$S$62</f>
        <v>0</v>
      </c>
      <c r="T12" s="13">
        <f ca="1">SUM($L$12:$S$12)</f>
        <v>7.0990259787084772E-3</v>
      </c>
      <c r="U12" s="13">
        <f>'TUSD BE'!$U$12*'TUSD BE'!$U$62</f>
        <v>0</v>
      </c>
      <c r="V12" s="13">
        <f>'TUSD BE'!$V$12*'TUSD BE'!$V$62</f>
        <v>0</v>
      </c>
      <c r="W12" s="13">
        <f>'TUSD BE'!$W$12*'TUSD BE'!$W$62</f>
        <v>0</v>
      </c>
      <c r="X12" s="13">
        <f>'TUSD BE'!$X$12*'TUSD BE'!$X$62</f>
        <v>0</v>
      </c>
      <c r="Y12" s="13">
        <f>'TUSD BE'!$Y$12*'TUSD BE'!$Y$62</f>
        <v>0</v>
      </c>
      <c r="Z12" s="13">
        <f>'TUSD BE'!$Z$12*'TUSD BE'!$Z$62</f>
        <v>0</v>
      </c>
      <c r="AA12" s="13">
        <f>'TUSD BE'!$AA$12*'TUSD BE'!$AA$62</f>
        <v>0</v>
      </c>
      <c r="AB12" s="13">
        <f>SUM($U$12:$AA$12)</f>
        <v>0</v>
      </c>
      <c r="AC12" s="13">
        <f>'TUSD BE'!$AC$12*'TUSD BE'!$AC$62</f>
        <v>0</v>
      </c>
      <c r="AD12" s="13">
        <f>SUM($AC$12:$AC$12)</f>
        <v>0</v>
      </c>
      <c r="AE12" s="13">
        <f ca="1">$AO$12*$AO$59</f>
        <v>-0.37562647414091088</v>
      </c>
      <c r="AF12" s="13">
        <f ca="1">$AP$12*$AP$59</f>
        <v>0</v>
      </c>
      <c r="AG12" s="13">
        <f ca="1">SUM($AE$12:$AF$12)</f>
        <v>-0.37562647414091088</v>
      </c>
      <c r="AH12" s="13">
        <f>'TUSD BE'!$AH$12*'TUSD BE'!$AH$62</f>
        <v>3.4806896491174334E-2</v>
      </c>
      <c r="AI12" s="13">
        <f>'TUSD BE'!$AI$12*'TUSD BE'!$AI$62</f>
        <v>0</v>
      </c>
      <c r="AJ12" s="13">
        <f ca="1">'TUSD BE'!$AJ$12*'TUSD BE'!$AJ$62</f>
        <v>3.6248768574563997E-3</v>
      </c>
      <c r="AK12" s="13">
        <f ca="1">'TUSD BE'!$AK$12*'TUSD BE'!$AK$62</f>
        <v>8.8998670552975587E-3</v>
      </c>
      <c r="AL12" s="13">
        <f ca="1">SUM($AH$12:$AK$12)</f>
        <v>4.7331640403928288E-2</v>
      </c>
      <c r="AM12" s="13">
        <f ca="1">SUMIF($L$4:$AL$4,"SUBTOTAL",$L$12:$AL$12)</f>
        <v>-0.32119580775827411</v>
      </c>
      <c r="AO12" s="26">
        <f ca="1">+'TUSD BE'!$T$12+'TUSD BE'!$AB$12+'TUSD BE'!$AD$12+'TUSD BE'!$AL$12</f>
        <v>9.5616801781622289</v>
      </c>
      <c r="AP12" s="26">
        <f ca="1">+'TUSD BE'!$T$12+'TUSD BE'!$AB$12+'TUSD BE'!$AD$12+'TUSD BE'!$AL$12</f>
        <v>9.5616801781622289</v>
      </c>
    </row>
    <row r="13" spans="1:42" ht="11.25" customHeight="1" x14ac:dyDescent="0.3">
      <c r="A13" s="146"/>
      <c r="B13" s="23" t="s">
        <v>57</v>
      </c>
      <c r="C13" s="23" t="s">
        <v>25</v>
      </c>
      <c r="D13" s="23" t="s">
        <v>25</v>
      </c>
      <c r="E13" s="23" t="s">
        <v>25</v>
      </c>
      <c r="F13" s="23" t="s">
        <v>25</v>
      </c>
      <c r="G13" s="24" t="s">
        <v>9</v>
      </c>
      <c r="H13" s="24" t="s">
        <v>81</v>
      </c>
      <c r="I13" s="24">
        <f>'MERCADO TUSD'!$U$10</f>
        <v>33000</v>
      </c>
      <c r="J13" s="15"/>
      <c r="L13" s="13">
        <f>'TUSD BE'!$L$13*'TUSD BE'!$L$62</f>
        <v>0</v>
      </c>
      <c r="M13" s="13">
        <f>'TUSD BE'!$M$13*'TUSD BE'!$M$62</f>
        <v>1.0752217335830664E-3</v>
      </c>
      <c r="N13" s="13">
        <f ca="1">'TUSD BE'!$N$13*'TUSD BE'!$N$62</f>
        <v>6.5389967051068944E-8</v>
      </c>
      <c r="O13" s="13">
        <f>'TUSD BE'!$O$13*'TUSD BE'!$O$62</f>
        <v>0</v>
      </c>
      <c r="P13" s="13">
        <f>'TUSD BE'!$P$13*'TUSD BE'!$P$62</f>
        <v>0</v>
      </c>
      <c r="Q13" s="13">
        <f>'TUSD BE'!$Q$13*'TUSD BE'!$Q$62</f>
        <v>0</v>
      </c>
      <c r="R13" s="13">
        <f>'TUSD BE'!$R$13*'TUSD BE'!$R$62</f>
        <v>0</v>
      </c>
      <c r="S13" s="13">
        <f>'TUSD BE'!$R$13*'TUSD BE'!$S$62</f>
        <v>0</v>
      </c>
      <c r="T13" s="13">
        <f ca="1">SUM($L$13:$S$13)</f>
        <v>1.0752871235501175E-3</v>
      </c>
      <c r="U13" s="13">
        <f>'TUSD BE'!$U$13*'TUSD BE'!$U$62</f>
        <v>0</v>
      </c>
      <c r="V13" s="13">
        <f>'TUSD BE'!$V$13*'TUSD BE'!$V$62</f>
        <v>0</v>
      </c>
      <c r="W13" s="13">
        <f>'TUSD BE'!$W$13*'TUSD BE'!$W$62</f>
        <v>0</v>
      </c>
      <c r="X13" s="13">
        <f>'TUSD BE'!$X$13*'TUSD BE'!$X$62</f>
        <v>0</v>
      </c>
      <c r="Y13" s="13">
        <f>'TUSD BE'!$Y$13*'TUSD BE'!$Y$62</f>
        <v>0</v>
      </c>
      <c r="Z13" s="13">
        <f>'TUSD BE'!$Z$13*'TUSD BE'!$Z$62</f>
        <v>0</v>
      </c>
      <c r="AA13" s="13">
        <f>'TUSD BE'!$AA$13*'TUSD BE'!$AA$62</f>
        <v>0</v>
      </c>
      <c r="AB13" s="13">
        <f>SUM($U$13:$AA$13)</f>
        <v>0</v>
      </c>
      <c r="AC13" s="13">
        <f>'TUSD BE'!$AC$13*'TUSD BE'!$AC$62</f>
        <v>3.4142328818194005E-4</v>
      </c>
      <c r="AD13" s="13">
        <f>SUM($AC$13:$AC$13)</f>
        <v>3.4142328818194005E-4</v>
      </c>
      <c r="AE13" s="13">
        <f ca="1">$AO$13*$AO$59</f>
        <v>-0.33891534852056121</v>
      </c>
      <c r="AF13" s="13">
        <f ca="1">$AP$13*$AP$59</f>
        <v>0</v>
      </c>
      <c r="AG13" s="13">
        <f ca="1">SUM($AE$13:$AF$13)</f>
        <v>-0.33891534852056121</v>
      </c>
      <c r="AH13" s="13">
        <f>'TUSD BE'!$AH$13*'TUSD BE'!$AH$62</f>
        <v>9.3456604440411593E-6</v>
      </c>
      <c r="AI13" s="13">
        <f>'TUSD BE'!$AI$13*'TUSD BE'!$AI$62</f>
        <v>0</v>
      </c>
      <c r="AJ13" s="13">
        <f ca="1">'TUSD BE'!$AJ$13*'TUSD BE'!$AJ$62</f>
        <v>0</v>
      </c>
      <c r="AK13" s="13">
        <f ca="1">'TUSD BE'!$AK$13*'TUSD BE'!$AK$62</f>
        <v>0</v>
      </c>
      <c r="AL13" s="13">
        <f ca="1">SUM($AH$13:$AK$13)</f>
        <v>9.3456604440411593E-6</v>
      </c>
      <c r="AM13" s="13">
        <f ca="1">SUMIF($L$4:$AL$4,"SUBTOTAL",$L$13:$AL$13)</f>
        <v>-0.3374892924483851</v>
      </c>
      <c r="AO13" s="26">
        <f ca="1">+'TUSD BE'!$T$13+'TUSD BE'!$AB$13+'TUSD BE'!$AD$13+'TUSD BE'!$AL$13</f>
        <v>8.6271878930672212</v>
      </c>
      <c r="AP13" s="26">
        <f ca="1">+'TUSD BE'!$T$13+'TUSD BE'!$AB$13+'TUSD BE'!$AD$13+'TUSD BE'!$AL$13</f>
        <v>8.6271878930672212</v>
      </c>
    </row>
    <row r="14" spans="1:42" ht="11.25" customHeight="1" x14ac:dyDescent="0.3">
      <c r="A14" s="146"/>
      <c r="B14" s="146" t="s">
        <v>35</v>
      </c>
      <c r="C14" s="146" t="s">
        <v>25</v>
      </c>
      <c r="D14" s="146" t="s">
        <v>25</v>
      </c>
      <c r="E14" s="146" t="s">
        <v>25</v>
      </c>
      <c r="F14" s="146" t="s">
        <v>25</v>
      </c>
      <c r="G14" s="24" t="s">
        <v>9</v>
      </c>
      <c r="H14" s="24" t="s">
        <v>81</v>
      </c>
      <c r="I14" s="24">
        <f>'MERCADO TUSD'!$U$11</f>
        <v>161517.14000000001</v>
      </c>
      <c r="J14" s="15"/>
      <c r="L14" s="13">
        <f>'TUSD BE'!$L$14*'TUSD BE'!$L$62</f>
        <v>0</v>
      </c>
      <c r="M14" s="13">
        <f>'TUSD BE'!$M$14*'TUSD BE'!$M$62</f>
        <v>0</v>
      </c>
      <c r="N14" s="13">
        <f ca="1">'TUSD BE'!$N$14*'TUSD BE'!$N$62</f>
        <v>0</v>
      </c>
      <c r="O14" s="13">
        <f>'TUSD BE'!$O$14*'TUSD BE'!$O$62</f>
        <v>0</v>
      </c>
      <c r="P14" s="13">
        <f>'TUSD BE'!$P$14*'TUSD BE'!$P$62</f>
        <v>0</v>
      </c>
      <c r="Q14" s="13">
        <f>'TUSD BE'!$Q$14*'TUSD BE'!$Q$62</f>
        <v>0</v>
      </c>
      <c r="R14" s="13">
        <f>'TUSD BE'!$R$14*'TUSD BE'!$R$62</f>
        <v>0</v>
      </c>
      <c r="S14" s="13">
        <f>'TUSD BE'!$R$14*'TUSD BE'!$S$62</f>
        <v>0</v>
      </c>
      <c r="T14" s="13">
        <f ca="1">SUM($L$14:$S$14)</f>
        <v>0</v>
      </c>
      <c r="U14" s="13">
        <f>'TUSD BE'!$U$14*'TUSD BE'!$U$62</f>
        <v>0</v>
      </c>
      <c r="V14" s="13">
        <f>'TUSD BE'!$V$14*'TUSD BE'!$V$62</f>
        <v>0</v>
      </c>
      <c r="W14" s="13">
        <f>'TUSD BE'!$W$14*'TUSD BE'!$W$62</f>
        <v>0</v>
      </c>
      <c r="X14" s="13">
        <f>'TUSD BE'!$X$14*'TUSD BE'!$X$62</f>
        <v>0</v>
      </c>
      <c r="Y14" s="13">
        <f>'TUSD BE'!$Y$14*'TUSD BE'!$Y$62</f>
        <v>1.127912573995596</v>
      </c>
      <c r="Z14" s="13">
        <f>'TUSD BE'!$Z$14*'TUSD BE'!$Z$62</f>
        <v>0</v>
      </c>
      <c r="AA14" s="13">
        <f>'TUSD BE'!$AA$14*'TUSD BE'!$AA$62</f>
        <v>0</v>
      </c>
      <c r="AB14" s="13">
        <f>SUM($U$14:$AA$14)</f>
        <v>1.127912573995596</v>
      </c>
      <c r="AC14" s="13">
        <f>'TUSD BE'!$AC$14*'TUSD BE'!$AC$62</f>
        <v>3.4141879435114895E-4</v>
      </c>
      <c r="AD14" s="13">
        <f>SUM($AC$14:$AC$14)</f>
        <v>3.4141879435114895E-4</v>
      </c>
      <c r="AE14" s="13">
        <f ca="1">$AO$14*$AO$59</f>
        <v>-0.92068565249466261</v>
      </c>
      <c r="AF14" s="13">
        <f ca="1">$AP$14*$AP$59</f>
        <v>0</v>
      </c>
      <c r="AG14" s="13">
        <f ca="1">SUM($AE$14:$AF$14)</f>
        <v>-0.92068565249466261</v>
      </c>
      <c r="AH14" s="13">
        <f>'TUSD BE'!$AH$14*'TUSD BE'!$AH$62</f>
        <v>0</v>
      </c>
      <c r="AI14" s="13">
        <f>'TUSD BE'!$AI$14*'TUSD BE'!$AI$62</f>
        <v>0</v>
      </c>
      <c r="AJ14" s="13">
        <f ca="1">'TUSD BE'!$AJ$14*'TUSD BE'!$AJ$62</f>
        <v>0</v>
      </c>
      <c r="AK14" s="13">
        <f ca="1">'TUSD BE'!$AK$14*'TUSD BE'!$AK$62</f>
        <v>0</v>
      </c>
      <c r="AL14" s="13">
        <f ca="1">SUM($AH$14:$AK$14)</f>
        <v>0</v>
      </c>
      <c r="AM14" s="13">
        <f ca="1">SUMIF($L$4:$AL$4,"SUBTOTAL",$L$14:$AL$14)</f>
        <v>0.20756834029528448</v>
      </c>
      <c r="AO14" s="26">
        <f ca="1">+'TUSD BE'!$T$14+'TUSD BE'!$AB$14+'TUSD BE'!$AD$14+'TUSD BE'!$AL$14</f>
        <v>23.43631868310257</v>
      </c>
      <c r="AP14" s="26">
        <f ca="1">+'TUSD BE'!$T$14+'TUSD BE'!$AB$14+'TUSD BE'!$AD$14+'TUSD BE'!$AL$14</f>
        <v>23.43631868310257</v>
      </c>
    </row>
    <row r="15" spans="1:42" ht="11.25" customHeight="1" x14ac:dyDescent="0.3">
      <c r="A15" s="146"/>
      <c r="B15" s="146"/>
      <c r="C15" s="146"/>
      <c r="D15" s="146"/>
      <c r="E15" s="146"/>
      <c r="F15" s="146"/>
      <c r="G15" s="24" t="s">
        <v>79</v>
      </c>
      <c r="H15" s="24" t="s">
        <v>78</v>
      </c>
      <c r="I15" s="24">
        <f>'MERCADO TUSD'!$U$12</f>
        <v>3378.5688100000007</v>
      </c>
      <c r="J15" s="15"/>
      <c r="L15" s="13">
        <f>'TUSD BE'!$L$15*'TUSD BE'!$L$62</f>
        <v>9.7292264148817448E-2</v>
      </c>
      <c r="M15" s="13">
        <f>'TUSD BE'!$M$15*'TUSD BE'!$M$62</f>
        <v>7.0988547704970966E-3</v>
      </c>
      <c r="N15" s="13">
        <f ca="1">'TUSD BE'!$N$15*'TUSD BE'!$N$62</f>
        <v>5.4834874205863397E-6</v>
      </c>
      <c r="O15" s="13">
        <f>'TUSD BE'!$O$15*'TUSD BE'!$O$62</f>
        <v>0</v>
      </c>
      <c r="P15" s="13">
        <f>'TUSD BE'!$P$15*'TUSD BE'!$P$62</f>
        <v>0</v>
      </c>
      <c r="Q15" s="13">
        <f>'TUSD BE'!$Q$15*'TUSD BE'!$Q$62</f>
        <v>3.3533573887806027</v>
      </c>
      <c r="R15" s="13">
        <f>'TUSD BE'!$R$15*'TUSD BE'!$R$62</f>
        <v>0.46136832062853605</v>
      </c>
      <c r="S15" s="13">
        <f>'TUSD BE'!$R$15*'TUSD BE'!$S$62</f>
        <v>0</v>
      </c>
      <c r="T15" s="13">
        <f ca="1">SUM($L$15:$S$15)</f>
        <v>3.9191223118158738</v>
      </c>
      <c r="U15" s="13">
        <f>'TUSD BE'!$U$15*'TUSD BE'!$U$62</f>
        <v>0</v>
      </c>
      <c r="V15" s="13">
        <f>'TUSD BE'!$V$15*'TUSD BE'!$V$62</f>
        <v>0</v>
      </c>
      <c r="W15" s="13">
        <f>'TUSD BE'!$W$15*'TUSD BE'!$W$62</f>
        <v>0</v>
      </c>
      <c r="X15" s="13">
        <f>'TUSD BE'!$X$15*'TUSD BE'!$X$62</f>
        <v>0</v>
      </c>
      <c r="Y15" s="13">
        <f>'TUSD BE'!$Y$15*'TUSD BE'!$Y$62</f>
        <v>53.253517629233315</v>
      </c>
      <c r="Z15" s="13">
        <f>'TUSD BE'!$Z$15*'TUSD BE'!$Z$62</f>
        <v>0</v>
      </c>
      <c r="AA15" s="13">
        <f>'TUSD BE'!$AA$15*'TUSD BE'!$AA$62</f>
        <v>0</v>
      </c>
      <c r="AB15" s="13">
        <f>SUM($U$15:$AA$15)</f>
        <v>53.253517629233315</v>
      </c>
      <c r="AC15" s="13">
        <f>'TUSD BE'!$AC$15*'TUSD BE'!$AC$62</f>
        <v>8.211109646110458E-3</v>
      </c>
      <c r="AD15" s="13">
        <f>SUM($AC$15:$AC$15)</f>
        <v>8.211109646110458E-3</v>
      </c>
      <c r="AE15" s="13">
        <f ca="1">$AO$15*$AO$59</f>
        <v>-40.724518252434152</v>
      </c>
      <c r="AF15" s="13">
        <f ca="1">$AP$15*$AP$59</f>
        <v>0</v>
      </c>
      <c r="AG15" s="13">
        <f ca="1">SUM($AE$15:$AF$15)</f>
        <v>-40.724518252434152</v>
      </c>
      <c r="AH15" s="13">
        <f>'TUSD BE'!$AH$15*'TUSD BE'!$AH$62</f>
        <v>3.4806896491174334E-2</v>
      </c>
      <c r="AI15" s="13">
        <f>'TUSD BE'!$AI$15*'TUSD BE'!$AI$62</f>
        <v>0</v>
      </c>
      <c r="AJ15" s="13">
        <f ca="1">'TUSD BE'!$AJ$15*'TUSD BE'!$AJ$62</f>
        <v>3.6248768574563997E-3</v>
      </c>
      <c r="AK15" s="13">
        <f ca="1">'TUSD BE'!$AK$15*'TUSD BE'!$AK$62</f>
        <v>8.8998670552975587E-3</v>
      </c>
      <c r="AL15" s="13">
        <f ca="1">SUM($AH$15:$AK$15)</f>
        <v>4.7331640403928288E-2</v>
      </c>
      <c r="AM15" s="13">
        <f ca="1">SUMIF($L$4:$AL$4,"SUBTOTAL",$L$15:$AL$15)</f>
        <v>16.50366443866508</v>
      </c>
      <c r="AO15" s="26">
        <f ca="1">+'TUSD BE'!$T$15+'TUSD BE'!$AB$15+'TUSD BE'!$AD$15+'TUSD BE'!$AL$15</f>
        <v>1036.6543514540183</v>
      </c>
      <c r="AP15" s="26">
        <f ca="1">+'TUSD BE'!$T$15+'TUSD BE'!$AB$15+'TUSD BE'!$AD$15+'TUSD BE'!$AL$15</f>
        <v>1036.6543514540183</v>
      </c>
    </row>
    <row r="16" spans="1:42" ht="11.25" customHeight="1" x14ac:dyDescent="0.3">
      <c r="A16" s="146"/>
      <c r="B16" s="146"/>
      <c r="C16" s="146"/>
      <c r="D16" s="146"/>
      <c r="E16" s="146"/>
      <c r="F16" s="146"/>
      <c r="G16" s="24" t="s">
        <v>80</v>
      </c>
      <c r="H16" s="24" t="s">
        <v>78</v>
      </c>
      <c r="I16" s="24">
        <f>'MERCADO TUSD'!$U$13</f>
        <v>37684.03847</v>
      </c>
      <c r="J16" s="15"/>
      <c r="L16" s="13">
        <f>'TUSD BE'!$L$16*'TUSD BE'!$L$62</f>
        <v>9.7292264148817448E-2</v>
      </c>
      <c r="M16" s="13">
        <f>'TUSD BE'!$M$16*'TUSD BE'!$M$62</f>
        <v>7.0988547704970966E-3</v>
      </c>
      <c r="N16" s="13">
        <f ca="1">'TUSD BE'!$N$16*'TUSD BE'!$N$62</f>
        <v>1.7977832501732532E-7</v>
      </c>
      <c r="O16" s="13">
        <f>'TUSD BE'!$O$16*'TUSD BE'!$O$62</f>
        <v>0</v>
      </c>
      <c r="P16" s="13">
        <f>'TUSD BE'!$P$16*'TUSD BE'!$P$62</f>
        <v>0</v>
      </c>
      <c r="Q16" s="13">
        <f>'TUSD BE'!$Q$16*'TUSD BE'!$Q$62</f>
        <v>3.3533573887806027</v>
      </c>
      <c r="R16" s="13">
        <f>'TUSD BE'!$R$16*'TUSD BE'!$R$62</f>
        <v>0.46136832062853605</v>
      </c>
      <c r="S16" s="13">
        <f>'TUSD BE'!$R$16*'TUSD BE'!$S$62</f>
        <v>0</v>
      </c>
      <c r="T16" s="13">
        <f ca="1">SUM($L$16:$S$16)</f>
        <v>3.9191170081067783</v>
      </c>
      <c r="U16" s="13">
        <f>'TUSD BE'!$U$16*'TUSD BE'!$U$62</f>
        <v>0</v>
      </c>
      <c r="V16" s="13">
        <f>'TUSD BE'!$V$16*'TUSD BE'!$V$62</f>
        <v>0</v>
      </c>
      <c r="W16" s="13">
        <f>'TUSD BE'!$W$16*'TUSD BE'!$W$62</f>
        <v>0</v>
      </c>
      <c r="X16" s="13">
        <f>'TUSD BE'!$X$16*'TUSD BE'!$X$62</f>
        <v>0</v>
      </c>
      <c r="Y16" s="13">
        <f>'TUSD BE'!$Y$16*'TUSD BE'!$Y$62</f>
        <v>0</v>
      </c>
      <c r="Z16" s="13">
        <f>'TUSD BE'!$Z$16*'TUSD BE'!$Z$62</f>
        <v>0</v>
      </c>
      <c r="AA16" s="13">
        <f>'TUSD BE'!$AA$16*'TUSD BE'!$AA$62</f>
        <v>0</v>
      </c>
      <c r="AB16" s="13">
        <f>SUM($U$16:$AA$16)</f>
        <v>0</v>
      </c>
      <c r="AC16" s="13">
        <f>'TUSD BE'!$AC$16*'TUSD BE'!$AC$62</f>
        <v>0</v>
      </c>
      <c r="AD16" s="13">
        <f>SUM($AC$16:$AC$16)</f>
        <v>0</v>
      </c>
      <c r="AE16" s="13">
        <f ca="1">$AO$16*$AO$59</f>
        <v>-4.452642629207725</v>
      </c>
      <c r="AF16" s="13">
        <f ca="1">$AP$16*$AP$59</f>
        <v>0</v>
      </c>
      <c r="AG16" s="13">
        <f ca="1">SUM($AE$16:$AF$16)</f>
        <v>-4.452642629207725</v>
      </c>
      <c r="AH16" s="13">
        <f>'TUSD BE'!$AH$16*'TUSD BE'!$AH$62</f>
        <v>3.4806896491174334E-2</v>
      </c>
      <c r="AI16" s="13">
        <f>'TUSD BE'!$AI$16*'TUSD BE'!$AI$62</f>
        <v>0</v>
      </c>
      <c r="AJ16" s="13">
        <f ca="1">'TUSD BE'!$AJ$16*'TUSD BE'!$AJ$62</f>
        <v>3.6248768574563997E-3</v>
      </c>
      <c r="AK16" s="13">
        <f ca="1">'TUSD BE'!$AK$16*'TUSD BE'!$AK$62</f>
        <v>8.8998670552975587E-3</v>
      </c>
      <c r="AL16" s="13">
        <f ca="1">SUM($AH$16:$AK$16)</f>
        <v>4.7331640403928288E-2</v>
      </c>
      <c r="AM16" s="13">
        <f ca="1">SUMIF($L$4:$AL$4,"SUBTOTAL",$L$16:$AL$16)</f>
        <v>-0.48619398069701841</v>
      </c>
      <c r="AO16" s="26">
        <f ca="1">+'TUSD BE'!$T$16+'TUSD BE'!$AB$16+'TUSD BE'!$AD$16+'TUSD BE'!$AL$16</f>
        <v>113.34330165494234</v>
      </c>
      <c r="AP16" s="26">
        <f ca="1">+'TUSD BE'!$T$16+'TUSD BE'!$AB$16+'TUSD BE'!$AD$16+'TUSD BE'!$AL$16</f>
        <v>113.34330165494234</v>
      </c>
    </row>
    <row r="17" spans="1:42" ht="11.25" customHeight="1" x14ac:dyDescent="0.3">
      <c r="A17" s="146"/>
      <c r="B17" s="146"/>
      <c r="C17" s="146"/>
      <c r="D17" s="146"/>
      <c r="E17" s="146" t="s">
        <v>85</v>
      </c>
      <c r="F17" s="146" t="s">
        <v>25</v>
      </c>
      <c r="G17" s="24" t="s">
        <v>79</v>
      </c>
      <c r="H17" s="24" t="s">
        <v>78</v>
      </c>
      <c r="I17" s="24">
        <f>'MERCADO TUSD'!$U$14</f>
        <v>0</v>
      </c>
      <c r="J17" s="15"/>
      <c r="L17" s="13">
        <f>'TUSD BE'!$L$17*'TUSD BE'!$L$62</f>
        <v>0</v>
      </c>
      <c r="M17" s="13">
        <f>'TUSD BE'!$M$17*'TUSD BE'!$M$62</f>
        <v>7.0988547704970966E-3</v>
      </c>
      <c r="N17" s="13">
        <f ca="1">'TUSD BE'!$N$17*'TUSD BE'!$N$62</f>
        <v>5.4749173069492408E-6</v>
      </c>
      <c r="O17" s="13">
        <f>'TUSD BE'!$O$17*'TUSD BE'!$O$62</f>
        <v>0</v>
      </c>
      <c r="P17" s="13">
        <f>'TUSD BE'!$P$17*'TUSD BE'!$P$62</f>
        <v>0</v>
      </c>
      <c r="Q17" s="13">
        <f>'TUSD BE'!$Q$17*'TUSD BE'!$Q$62</f>
        <v>0</v>
      </c>
      <c r="R17" s="13">
        <f>'TUSD BE'!$R$17*'TUSD BE'!$R$62</f>
        <v>0</v>
      </c>
      <c r="S17" s="13">
        <f>'TUSD BE'!$R$17*'TUSD BE'!$S$62</f>
        <v>0</v>
      </c>
      <c r="T17" s="13">
        <f ca="1">SUM($L$17:$S$17)</f>
        <v>7.1043296878040459E-3</v>
      </c>
      <c r="U17" s="13">
        <f>'TUSD BE'!$U$17*'TUSD BE'!$U$62</f>
        <v>0</v>
      </c>
      <c r="V17" s="13">
        <f>'TUSD BE'!$V$17*'TUSD BE'!$V$62</f>
        <v>0</v>
      </c>
      <c r="W17" s="13">
        <f>'TUSD BE'!$W$17*'TUSD BE'!$W$62</f>
        <v>0</v>
      </c>
      <c r="X17" s="13">
        <f>'TUSD BE'!$X$17*'TUSD BE'!$X$62</f>
        <v>0</v>
      </c>
      <c r="Y17" s="13">
        <f>'TUSD BE'!$Y$17*'TUSD BE'!$Y$62</f>
        <v>53.253517629233315</v>
      </c>
      <c r="Z17" s="13">
        <f>'TUSD BE'!$Z$17*'TUSD BE'!$Z$62</f>
        <v>0</v>
      </c>
      <c r="AA17" s="13">
        <f>'TUSD BE'!$AA$17*'TUSD BE'!$AA$62</f>
        <v>0</v>
      </c>
      <c r="AB17" s="13">
        <f>SUM($U$17:$AA$17)</f>
        <v>53.253517629233315</v>
      </c>
      <c r="AC17" s="13">
        <f>'TUSD BE'!$AC$17*'TUSD BE'!$AC$62</f>
        <v>8.211109646110458E-3</v>
      </c>
      <c r="AD17" s="13">
        <f>SUM($AC$17:$AC$17)</f>
        <v>8.211109646110458E-3</v>
      </c>
      <c r="AE17" s="13">
        <f ca="1">$AO$17*$AO$59</f>
        <v>-36.647502097367337</v>
      </c>
      <c r="AF17" s="13">
        <f ca="1">$AP$17*$AP$59</f>
        <v>0</v>
      </c>
      <c r="AG17" s="13">
        <f ca="1">SUM($AE$17:$AF$17)</f>
        <v>-36.647502097367337</v>
      </c>
      <c r="AH17" s="13">
        <f>'TUSD BE'!$AH$17*'TUSD BE'!$AH$62</f>
        <v>3.4806896491174334E-2</v>
      </c>
      <c r="AI17" s="13">
        <f>'TUSD BE'!$AI$17*'TUSD BE'!$AI$62</f>
        <v>0</v>
      </c>
      <c r="AJ17" s="13">
        <f ca="1">'TUSD BE'!$AJ$17*'TUSD BE'!$AJ$62</f>
        <v>3.6248768574563997E-3</v>
      </c>
      <c r="AK17" s="13">
        <f ca="1">'TUSD BE'!$AK$17*'TUSD BE'!$AK$62</f>
        <v>8.8998670552975587E-3</v>
      </c>
      <c r="AL17" s="13">
        <f ca="1">SUM($AH$17:$AK$17)</f>
        <v>4.7331640403928288E-2</v>
      </c>
      <c r="AM17" s="13">
        <f ca="1">SUMIF($L$4:$AL$4,"SUBTOTAL",$L$17:$AL$17)</f>
        <v>16.668662611603825</v>
      </c>
      <c r="AO17" s="26">
        <f ca="1">+'TUSD BE'!$T$17+'TUSD BE'!$AB$17+'TUSD BE'!$AD$17+'TUSD BE'!$AL$17</f>
        <v>932.87272997723812</v>
      </c>
      <c r="AP17" s="26">
        <f ca="1">+'TUSD BE'!$T$17+'TUSD BE'!$AB$17+'TUSD BE'!$AD$17+'TUSD BE'!$AL$17</f>
        <v>932.87272997723812</v>
      </c>
    </row>
    <row r="18" spans="1:42" ht="11.25" customHeight="1" x14ac:dyDescent="0.3">
      <c r="A18" s="146"/>
      <c r="B18" s="146"/>
      <c r="C18" s="146"/>
      <c r="D18" s="146"/>
      <c r="E18" s="146"/>
      <c r="F18" s="146"/>
      <c r="G18" s="24" t="s">
        <v>80</v>
      </c>
      <c r="H18" s="24" t="s">
        <v>78</v>
      </c>
      <c r="I18" s="24">
        <f>'MERCADO TUSD'!$U$15</f>
        <v>0</v>
      </c>
      <c r="J18" s="15"/>
      <c r="L18" s="13">
        <f>'TUSD BE'!$L$18*'TUSD BE'!$L$62</f>
        <v>0</v>
      </c>
      <c r="M18" s="13">
        <f>'TUSD BE'!$M$18*'TUSD BE'!$M$62</f>
        <v>7.0988547704970966E-3</v>
      </c>
      <c r="N18" s="13">
        <f ca="1">'TUSD BE'!$N$18*'TUSD BE'!$N$62</f>
        <v>1.7120821138022584E-7</v>
      </c>
      <c r="O18" s="13">
        <f>'TUSD BE'!$O$18*'TUSD BE'!$O$62</f>
        <v>0</v>
      </c>
      <c r="P18" s="13">
        <f>'TUSD BE'!$P$18*'TUSD BE'!$P$62</f>
        <v>0</v>
      </c>
      <c r="Q18" s="13">
        <f>'TUSD BE'!$Q$18*'TUSD BE'!$Q$62</f>
        <v>0</v>
      </c>
      <c r="R18" s="13">
        <f>'TUSD BE'!$R$18*'TUSD BE'!$R$62</f>
        <v>0</v>
      </c>
      <c r="S18" s="13">
        <f>'TUSD BE'!$R$18*'TUSD BE'!$S$62</f>
        <v>0</v>
      </c>
      <c r="T18" s="13">
        <f ca="1">SUM($L$18:$S$18)</f>
        <v>7.0990259787084772E-3</v>
      </c>
      <c r="U18" s="13">
        <f>'TUSD BE'!$U$18*'TUSD BE'!$U$62</f>
        <v>0</v>
      </c>
      <c r="V18" s="13">
        <f>'TUSD BE'!$V$18*'TUSD BE'!$V$62</f>
        <v>0</v>
      </c>
      <c r="W18" s="13">
        <f>'TUSD BE'!$W$18*'TUSD BE'!$W$62</f>
        <v>0</v>
      </c>
      <c r="X18" s="13">
        <f>'TUSD BE'!$X$18*'TUSD BE'!$X$62</f>
        <v>0</v>
      </c>
      <c r="Y18" s="13">
        <f>'TUSD BE'!$Y$18*'TUSD BE'!$Y$62</f>
        <v>0</v>
      </c>
      <c r="Z18" s="13">
        <f>'TUSD BE'!$Z$18*'TUSD BE'!$Z$62</f>
        <v>0</v>
      </c>
      <c r="AA18" s="13">
        <f>'TUSD BE'!$AA$18*'TUSD BE'!$AA$62</f>
        <v>0</v>
      </c>
      <c r="AB18" s="13">
        <f>SUM($U$18:$AA$18)</f>
        <v>0</v>
      </c>
      <c r="AC18" s="13">
        <f>'TUSD BE'!$AC$18*'TUSD BE'!$AC$62</f>
        <v>0</v>
      </c>
      <c r="AD18" s="13">
        <f>SUM($AC$18:$AC$18)</f>
        <v>0</v>
      </c>
      <c r="AE18" s="13">
        <f ca="1">$AO$18*$AO$59</f>
        <v>-0.37562647414091088</v>
      </c>
      <c r="AF18" s="13">
        <f ca="1">$AP$18*$AP$59</f>
        <v>0</v>
      </c>
      <c r="AG18" s="13">
        <f ca="1">SUM($AE$18:$AF$18)</f>
        <v>-0.37562647414091088</v>
      </c>
      <c r="AH18" s="13">
        <f>'TUSD BE'!$AH$18*'TUSD BE'!$AH$62</f>
        <v>3.4806896491174334E-2</v>
      </c>
      <c r="AI18" s="13">
        <f>'TUSD BE'!$AI$18*'TUSD BE'!$AI$62</f>
        <v>0</v>
      </c>
      <c r="AJ18" s="13">
        <f ca="1">'TUSD BE'!$AJ$18*'TUSD BE'!$AJ$62</f>
        <v>3.6248768574563997E-3</v>
      </c>
      <c r="AK18" s="13">
        <f ca="1">'TUSD BE'!$AK$18*'TUSD BE'!$AK$62</f>
        <v>8.8998670552975587E-3</v>
      </c>
      <c r="AL18" s="13">
        <f ca="1">SUM($AH$18:$AK$18)</f>
        <v>4.7331640403928288E-2</v>
      </c>
      <c r="AM18" s="13">
        <f ca="1">SUMIF($L$4:$AL$4,"SUBTOTAL",$L$18:$AL$18)</f>
        <v>-0.32119580775827411</v>
      </c>
      <c r="AO18" s="26">
        <f ca="1">+'TUSD BE'!$T$18+'TUSD BE'!$AB$18+'TUSD BE'!$AD$18+'TUSD BE'!$AL$18</f>
        <v>9.5616801781622289</v>
      </c>
      <c r="AP18" s="26">
        <f ca="1">+'TUSD BE'!$T$18+'TUSD BE'!$AB$18+'TUSD BE'!$AD$18+'TUSD BE'!$AL$18</f>
        <v>9.5616801781622289</v>
      </c>
    </row>
    <row r="19" spans="1:42" ht="11.25" customHeight="1" x14ac:dyDescent="0.3">
      <c r="A19" s="146" t="s">
        <v>86</v>
      </c>
      <c r="B19" s="146" t="s">
        <v>57</v>
      </c>
      <c r="C19" s="146" t="s">
        <v>25</v>
      </c>
      <c r="D19" s="146" t="s">
        <v>25</v>
      </c>
      <c r="E19" s="23" t="s">
        <v>87</v>
      </c>
      <c r="F19" s="23" t="s">
        <v>25</v>
      </c>
      <c r="G19" s="24" t="s">
        <v>9</v>
      </c>
      <c r="H19" s="24" t="s">
        <v>81</v>
      </c>
      <c r="I19" s="24">
        <f>'MERCADO TUSD'!$U$16+0.00000001</f>
        <v>1E-8</v>
      </c>
      <c r="J19" s="15"/>
      <c r="L19" s="13">
        <f>'TUSD BE'!$L$19*'TUSD BE'!$L$62</f>
        <v>0</v>
      </c>
      <c r="M19" s="13">
        <f>'TUSD BE'!$M$19*'TUSD BE'!$M$62</f>
        <v>1.3440271669788329E-3</v>
      </c>
      <c r="N19" s="13">
        <f ca="1">'TUSD BE'!$N$19*'TUSD BE'!$N$62</f>
        <v>8.1673182961557934E-8</v>
      </c>
      <c r="O19" s="13">
        <f>'TUSD BE'!$O$19*'TUSD BE'!$O$62</f>
        <v>0</v>
      </c>
      <c r="P19" s="13">
        <f>'TUSD BE'!$P$19*'TUSD BE'!$P$62</f>
        <v>0</v>
      </c>
      <c r="Q19" s="13">
        <f>'TUSD BE'!$Q$19*'TUSD BE'!$Q$62</f>
        <v>0</v>
      </c>
      <c r="R19" s="13">
        <f>'TUSD BE'!$R$19*'TUSD BE'!$R$62</f>
        <v>0</v>
      </c>
      <c r="S19" s="13">
        <f>'TUSD BE'!$R$19*'TUSD BE'!$S$62</f>
        <v>0</v>
      </c>
      <c r="T19" s="13">
        <f ca="1">SUM($L$19:$S$19)</f>
        <v>1.3441088401617944E-3</v>
      </c>
      <c r="U19" s="13">
        <f>'TUSD BE'!$U$19*'TUSD BE'!$U$62</f>
        <v>0</v>
      </c>
      <c r="V19" s="13">
        <f>'TUSD BE'!$V$19*'TUSD BE'!$V$62</f>
        <v>0</v>
      </c>
      <c r="W19" s="13">
        <f>'TUSD BE'!$W$19*'TUSD BE'!$W$62</f>
        <v>0</v>
      </c>
      <c r="X19" s="13">
        <f>'TUSD BE'!$X$19*'TUSD BE'!$X$62</f>
        <v>0</v>
      </c>
      <c r="Y19" s="13">
        <f>'TUSD BE'!$Y$19*'TUSD BE'!$Y$62</f>
        <v>0</v>
      </c>
      <c r="Z19" s="13">
        <f>'TUSD BE'!$Z$19*'TUSD BE'!$Z$62</f>
        <v>0</v>
      </c>
      <c r="AA19" s="13">
        <f>'TUSD BE'!$AA$19*'TUSD BE'!$AA$62</f>
        <v>0</v>
      </c>
      <c r="AB19" s="13">
        <f>SUM($U$19:$AA$19)</f>
        <v>0</v>
      </c>
      <c r="AC19" s="13">
        <f>'TUSD BE'!$AC$19*'TUSD BE'!$AC$62</f>
        <v>4.2652296187233437E-4</v>
      </c>
      <c r="AD19" s="13">
        <f>SUM($AC$19:$AC$19)</f>
        <v>4.2652296187233437E-4</v>
      </c>
      <c r="AE19" s="13">
        <f ca="1">$AO$19*$AO$59</f>
        <v>-0.42328385613141895</v>
      </c>
      <c r="AF19" s="13">
        <f ca="1">$AP$19*$AP$59</f>
        <v>0</v>
      </c>
      <c r="AG19" s="13">
        <f ca="1">SUM($AE$19:$AF$19)</f>
        <v>-0.42328385613141895</v>
      </c>
      <c r="AH19" s="13">
        <f>'TUSD BE'!$AH$19*'TUSD BE'!$AH$62</f>
        <v>0</v>
      </c>
      <c r="AI19" s="13">
        <f>'TUSD BE'!$AI$19*'TUSD BE'!$AI$62</f>
        <v>0</v>
      </c>
      <c r="AJ19" s="13">
        <f ca="1">'TUSD BE'!$AJ$19*'TUSD BE'!$AJ$62</f>
        <v>0</v>
      </c>
      <c r="AK19" s="13">
        <f ca="1">'TUSD BE'!$AK$19*'TUSD BE'!$AK$62</f>
        <v>0</v>
      </c>
      <c r="AL19" s="13">
        <f ca="1">SUM($AH$19:$AK$19)</f>
        <v>0</v>
      </c>
      <c r="AM19" s="13">
        <f ca="1">SUMIF($L$4:$AL$4,"SUBTOTAL",$L$19:$AL$19)</f>
        <v>-0.42151322432938482</v>
      </c>
      <c r="AO19" s="26">
        <f ca="1">+'TUSD BE'!$T$19+'TUSD BE'!$AB$19+'TUSD BE'!$AD$19+'TUSD BE'!$AL$19</f>
        <v>10.774812574551316</v>
      </c>
      <c r="AP19" s="26">
        <f ca="1">+'TUSD BE'!$T$19+'TUSD BE'!$AB$19+'TUSD BE'!$AD$19+'TUSD BE'!$AL$19</f>
        <v>10.774812574551316</v>
      </c>
    </row>
    <row r="20" spans="1:42" ht="11.25" customHeight="1" x14ac:dyDescent="0.3">
      <c r="A20" s="146"/>
      <c r="B20" s="146"/>
      <c r="C20" s="146"/>
      <c r="D20" s="146"/>
      <c r="E20" s="23" t="s">
        <v>88</v>
      </c>
      <c r="F20" s="23" t="s">
        <v>25</v>
      </c>
      <c r="G20" s="24" t="s">
        <v>9</v>
      </c>
      <c r="H20" s="24" t="s">
        <v>81</v>
      </c>
      <c r="I20" s="24">
        <f>'MERCADO TUSD'!$U$17+0.00000001</f>
        <v>1E-8</v>
      </c>
      <c r="J20" s="15"/>
      <c r="L20" s="13">
        <f>'TUSD BE'!$L$20*'TUSD BE'!$L$62</f>
        <v>0</v>
      </c>
      <c r="M20" s="13">
        <f>'TUSD BE'!$M$20*'TUSD BE'!$M$62</f>
        <v>1.3440271669788329E-3</v>
      </c>
      <c r="N20" s="13">
        <f ca="1">'TUSD BE'!$N$20*'TUSD BE'!$N$62</f>
        <v>8.1673182961557934E-8</v>
      </c>
      <c r="O20" s="13">
        <f>'TUSD BE'!$O$20*'TUSD BE'!$O$62</f>
        <v>0</v>
      </c>
      <c r="P20" s="13">
        <f>'TUSD BE'!$P$20*'TUSD BE'!$P$62</f>
        <v>0</v>
      </c>
      <c r="Q20" s="13">
        <f>'TUSD BE'!$Q$20*'TUSD BE'!$Q$62</f>
        <v>0</v>
      </c>
      <c r="R20" s="13">
        <f>'TUSD BE'!$R$20*'TUSD BE'!$R$62</f>
        <v>0</v>
      </c>
      <c r="S20" s="13">
        <f>'TUSD BE'!$R$20*'TUSD BE'!$S$62</f>
        <v>0</v>
      </c>
      <c r="T20" s="13">
        <f ca="1">SUM($L$20:$S$20)</f>
        <v>1.3441088401617944E-3</v>
      </c>
      <c r="U20" s="13">
        <f>'TUSD BE'!$U$20*'TUSD BE'!$U$62</f>
        <v>0</v>
      </c>
      <c r="V20" s="13">
        <f>'TUSD BE'!$V$20*'TUSD BE'!$V$62</f>
        <v>0</v>
      </c>
      <c r="W20" s="13">
        <f>'TUSD BE'!$W$20*'TUSD BE'!$W$62</f>
        <v>0</v>
      </c>
      <c r="X20" s="13">
        <f>'TUSD BE'!$X$20*'TUSD BE'!$X$62</f>
        <v>0</v>
      </c>
      <c r="Y20" s="13">
        <f>'TUSD BE'!$Y$20*'TUSD BE'!$Y$62</f>
        <v>0</v>
      </c>
      <c r="Z20" s="13">
        <f>'TUSD BE'!$Z$20*'TUSD BE'!$Z$62</f>
        <v>0</v>
      </c>
      <c r="AA20" s="13">
        <f>'TUSD BE'!$AA$20*'TUSD BE'!$AA$62</f>
        <v>0</v>
      </c>
      <c r="AB20" s="13">
        <f>SUM($U$20:$AA$20)</f>
        <v>0</v>
      </c>
      <c r="AC20" s="13">
        <f>'TUSD BE'!$AC$20*'TUSD BE'!$AC$62</f>
        <v>6.6292093063629871E-4</v>
      </c>
      <c r="AD20" s="13">
        <f>SUM($AC$20:$AC$20)</f>
        <v>6.6292093063629871E-4</v>
      </c>
      <c r="AE20" s="13">
        <f ca="1">$AO$20*$AO$59</f>
        <v>-0.65292099856924624</v>
      </c>
      <c r="AF20" s="13">
        <f ca="1">$AP$20*$AP$59</f>
        <v>0</v>
      </c>
      <c r="AG20" s="13">
        <f ca="1">SUM($AE$20:$AF$20)</f>
        <v>-0.65292099856924624</v>
      </c>
      <c r="AH20" s="13">
        <f>'TUSD BE'!$AH$20*'TUSD BE'!$AH$62</f>
        <v>0</v>
      </c>
      <c r="AI20" s="13">
        <f>'TUSD BE'!$AI$20*'TUSD BE'!$AI$62</f>
        <v>0</v>
      </c>
      <c r="AJ20" s="13">
        <f ca="1">'TUSD BE'!$AJ$20*'TUSD BE'!$AJ$62</f>
        <v>0</v>
      </c>
      <c r="AK20" s="13">
        <f ca="1">'TUSD BE'!$AK$20*'TUSD BE'!$AK$62</f>
        <v>0</v>
      </c>
      <c r="AL20" s="13">
        <f ca="1">SUM($AH$20:$AK$20)</f>
        <v>0</v>
      </c>
      <c r="AM20" s="13">
        <f ca="1">SUMIF($L$4:$AL$4,"SUBTOTAL",$L$20:$AL$20)</f>
        <v>-0.65091396879844809</v>
      </c>
      <c r="AO20" s="26">
        <f ca="1">+'TUSD BE'!$T$20+'TUSD BE'!$AB$20+'TUSD BE'!$AD$20+'TUSD BE'!$AL$20</f>
        <v>16.620292231008911</v>
      </c>
      <c r="AP20" s="26">
        <f ca="1">+'TUSD BE'!$T$20+'TUSD BE'!$AB$20+'TUSD BE'!$AD$20+'TUSD BE'!$AL$20</f>
        <v>16.620292231008911</v>
      </c>
    </row>
    <row r="21" spans="1:42" ht="11.25" customHeight="1" x14ac:dyDescent="0.3">
      <c r="A21" s="146" t="s">
        <v>22</v>
      </c>
      <c r="B21" s="146" t="s">
        <v>38</v>
      </c>
      <c r="C21" s="146" t="s">
        <v>24</v>
      </c>
      <c r="D21" s="146" t="s">
        <v>24</v>
      </c>
      <c r="E21" s="146" t="s">
        <v>25</v>
      </c>
      <c r="F21" s="146" t="s">
        <v>25</v>
      </c>
      <c r="G21" s="24" t="s">
        <v>79</v>
      </c>
      <c r="H21" s="24" t="s">
        <v>78</v>
      </c>
      <c r="I21" s="24">
        <f>'MERCADO TUSD'!$U$18</f>
        <v>0</v>
      </c>
      <c r="J21" s="15"/>
      <c r="L21" s="13">
        <f>'TUSD BE'!$L$21*'TUSD BE'!$L$62</f>
        <v>0.11582412398668746</v>
      </c>
      <c r="M21" s="13">
        <f>'TUSD BE'!$M$21*'TUSD BE'!$M$62</f>
        <v>3.1450776225263023E-2</v>
      </c>
      <c r="N21" s="13">
        <f ca="1">'TUSD BE'!$N$21*'TUSD BE'!$N$62</f>
        <v>1.1561708445232482E-5</v>
      </c>
      <c r="O21" s="13">
        <f>'TUSD BE'!$O$21*'TUSD BE'!$O$62</f>
        <v>0</v>
      </c>
      <c r="P21" s="13">
        <f>'TUSD BE'!$P$21*'TUSD BE'!$P$62</f>
        <v>0</v>
      </c>
      <c r="Q21" s="13">
        <f>'TUSD BE'!$Q$21*'TUSD BE'!$Q$62</f>
        <v>3.9920921295007172</v>
      </c>
      <c r="R21" s="13">
        <f>'TUSD BE'!$R$21*'TUSD BE'!$R$62</f>
        <v>0.46136832062853605</v>
      </c>
      <c r="S21" s="13">
        <f>'TUSD BE'!$R$21*'TUSD BE'!$S$62</f>
        <v>0</v>
      </c>
      <c r="T21" s="13">
        <f ca="1">SUM($L$21:$S$21)</f>
        <v>4.6007469120496491</v>
      </c>
      <c r="U21" s="13">
        <f>'TUSD BE'!$U$21*'TUSD BE'!$U$62</f>
        <v>0</v>
      </c>
      <c r="V21" s="13">
        <f>'TUSD BE'!$V$21*'TUSD BE'!$V$62</f>
        <v>0</v>
      </c>
      <c r="W21" s="13">
        <f>'TUSD BE'!$W$21*'TUSD BE'!$W$62</f>
        <v>0</v>
      </c>
      <c r="X21" s="13">
        <f>'TUSD BE'!$X$21*'TUSD BE'!$X$62</f>
        <v>0</v>
      </c>
      <c r="Y21" s="13">
        <f>'TUSD BE'!$Y$21*'TUSD BE'!$Y$62</f>
        <v>38.703915515451683</v>
      </c>
      <c r="Z21" s="13">
        <f>'TUSD BE'!$Z$21*'TUSD BE'!$Z$62</f>
        <v>0</v>
      </c>
      <c r="AA21" s="13">
        <f>'TUSD BE'!$AA$21*'TUSD BE'!$AA$62</f>
        <v>0</v>
      </c>
      <c r="AB21" s="13">
        <f>SUM($U$21:$AA$21)</f>
        <v>38.703915515451683</v>
      </c>
      <c r="AC21" s="13">
        <f>'TUSD BE'!$AC$21*'TUSD BE'!$AC$62</f>
        <v>4.3993322702749048E-2</v>
      </c>
      <c r="AD21" s="13">
        <f>SUM($AC$21:$AC$21)</f>
        <v>4.3993322702749048E-2</v>
      </c>
      <c r="AE21" s="13">
        <f ca="1">$AO$21*$AO$59</f>
        <v>-69.712700363016253</v>
      </c>
      <c r="AF21" s="13">
        <f ca="1">$AP$21*$AP$59</f>
        <v>0</v>
      </c>
      <c r="AG21" s="13">
        <f ca="1">SUM($AE$21:$AF$21)</f>
        <v>-69.712700363016253</v>
      </c>
      <c r="AH21" s="13">
        <f>'TUSD BE'!$AH$21*'TUSD BE'!$AH$62</f>
        <v>9.6817791535764128E-2</v>
      </c>
      <c r="AI21" s="13">
        <f>'TUSD BE'!$AI$21*'TUSD BE'!$AI$62</f>
        <v>0</v>
      </c>
      <c r="AJ21" s="13">
        <f ca="1">'TUSD BE'!$AJ$21*'TUSD BE'!$AJ$62</f>
        <v>5.679034148595657E-3</v>
      </c>
      <c r="AK21" s="13">
        <f ca="1">'TUSD BE'!$AK$21*'TUSD BE'!$AK$62</f>
        <v>1.3943273361419074E-2</v>
      </c>
      <c r="AL21" s="13">
        <f ca="1">SUM($AH$21:$AK$21)</f>
        <v>0.11644009904577887</v>
      </c>
      <c r="AM21" s="13">
        <f ca="1">SUMIF($L$4:$AL$4,"SUBTOTAL",$L$21:$AL$21)</f>
        <v>-26.247604513766394</v>
      </c>
      <c r="AO21" s="26">
        <f ca="1">+'TUSD BE'!$T$21+'TUSD BE'!$AB$21+'TUSD BE'!$AD$21+'TUSD BE'!$AL$21</f>
        <v>1774.5568832753813</v>
      </c>
      <c r="AP21" s="26">
        <f ca="1">+'TUSD BE'!$T$21+'TUSD BE'!$AB$21+'TUSD BE'!$AD$21+'TUSD BE'!$AL$21</f>
        <v>1774.5568832753813</v>
      </c>
    </row>
    <row r="22" spans="1:42" ht="11.25" customHeight="1" x14ac:dyDescent="0.3">
      <c r="A22" s="146"/>
      <c r="B22" s="146"/>
      <c r="C22" s="146"/>
      <c r="D22" s="146"/>
      <c r="E22" s="146"/>
      <c r="F22" s="146"/>
      <c r="G22" s="24" t="s">
        <v>89</v>
      </c>
      <c r="H22" s="24" t="s">
        <v>78</v>
      </c>
      <c r="I22" s="24">
        <f>'MERCADO TUSD'!$U$19</f>
        <v>0</v>
      </c>
      <c r="J22" s="15"/>
      <c r="L22" s="13">
        <f>'TUSD BE'!$L$22*'TUSD BE'!$L$62</f>
        <v>0.11582412398668746</v>
      </c>
      <c r="M22" s="13">
        <f>'TUSD BE'!$M$22*'TUSD BE'!$M$62</f>
        <v>3.1450776225263023E-2</v>
      </c>
      <c r="N22" s="13">
        <f ca="1">'TUSD BE'!$N$22*'TUSD BE'!$N$62</f>
        <v>1.7566311488906176E-6</v>
      </c>
      <c r="O22" s="13">
        <f>'TUSD BE'!$O$22*'TUSD BE'!$O$62</f>
        <v>0</v>
      </c>
      <c r="P22" s="13">
        <f>'TUSD BE'!$P$22*'TUSD BE'!$P$62</f>
        <v>0</v>
      </c>
      <c r="Q22" s="13">
        <f>'TUSD BE'!$Q$22*'TUSD BE'!$Q$62</f>
        <v>3.9920921295007172</v>
      </c>
      <c r="R22" s="13">
        <f>'TUSD BE'!$R$22*'TUSD BE'!$R$62</f>
        <v>0.46136832062853605</v>
      </c>
      <c r="S22" s="13">
        <f>'TUSD BE'!$R$22*'TUSD BE'!$S$62</f>
        <v>0</v>
      </c>
      <c r="T22" s="13">
        <f ca="1">SUM($L$22:$S$22)</f>
        <v>4.6007371069723533</v>
      </c>
      <c r="U22" s="13">
        <f>'TUSD BE'!$U$22*'TUSD BE'!$U$62</f>
        <v>0</v>
      </c>
      <c r="V22" s="13">
        <f>'TUSD BE'!$V$22*'TUSD BE'!$V$62</f>
        <v>0</v>
      </c>
      <c r="W22" s="13">
        <f>'TUSD BE'!$W$22*'TUSD BE'!$W$62</f>
        <v>0</v>
      </c>
      <c r="X22" s="13">
        <f>'TUSD BE'!$X$22*'TUSD BE'!$X$62</f>
        <v>0</v>
      </c>
      <c r="Y22" s="13">
        <f>'TUSD BE'!$Y$22*'TUSD BE'!$Y$62</f>
        <v>4.53508157316233</v>
      </c>
      <c r="Z22" s="13">
        <f>'TUSD BE'!$Z$22*'TUSD BE'!$Z$62</f>
        <v>0</v>
      </c>
      <c r="AA22" s="13">
        <f>'TUSD BE'!$AA$22*'TUSD BE'!$AA$62</f>
        <v>0</v>
      </c>
      <c r="AB22" s="13">
        <f>SUM($U$22:$AA$22)</f>
        <v>4.53508157316233</v>
      </c>
      <c r="AC22" s="13">
        <f>'TUSD BE'!$AC$22*'TUSD BE'!$AC$62</f>
        <v>5.1548688065996533E-3</v>
      </c>
      <c r="AD22" s="13">
        <f>SUM($AC$22:$AC$22)</f>
        <v>5.1548688065996533E-3</v>
      </c>
      <c r="AE22" s="13">
        <f ca="1">$AO$22*$AO$59</f>
        <v>-13.244436797598592</v>
      </c>
      <c r="AF22" s="13">
        <f ca="1">$AP$22*$AP$59</f>
        <v>0</v>
      </c>
      <c r="AG22" s="13">
        <f ca="1">SUM($AE$22:$AF$22)</f>
        <v>-13.244436797598592</v>
      </c>
      <c r="AH22" s="13">
        <f>'TUSD BE'!$AH$22*'TUSD BE'!$AH$62</f>
        <v>9.6817791535764128E-2</v>
      </c>
      <c r="AI22" s="13">
        <f>'TUSD BE'!$AI$22*'TUSD BE'!$AI$62</f>
        <v>0</v>
      </c>
      <c r="AJ22" s="13">
        <f ca="1">'TUSD BE'!$AJ$22*'TUSD BE'!$AJ$62</f>
        <v>5.679034148595657E-3</v>
      </c>
      <c r="AK22" s="13">
        <f ca="1">'TUSD BE'!$AK$22*'TUSD BE'!$AK$62</f>
        <v>1.3943273361419074E-2</v>
      </c>
      <c r="AL22" s="13">
        <f ca="1">SUM($AH$22:$AK$22)</f>
        <v>0.11644009904577887</v>
      </c>
      <c r="AM22" s="13">
        <f ca="1">SUMIF($L$4:$AL$4,"SUBTOTAL",$L$22:$AL$22)</f>
        <v>-3.9870231496115305</v>
      </c>
      <c r="AO22" s="26">
        <f ca="1">+'TUSD BE'!$T$22+'TUSD BE'!$AB$22+'TUSD BE'!$AD$22+'TUSD BE'!$AL$22</f>
        <v>337.14095655306249</v>
      </c>
      <c r="AP22" s="26">
        <f ca="1">+'TUSD BE'!$T$22+'TUSD BE'!$AB$22+'TUSD BE'!$AD$22+'TUSD BE'!$AL$22</f>
        <v>337.14095655306249</v>
      </c>
    </row>
    <row r="23" spans="1:42" ht="11.25" customHeight="1" x14ac:dyDescent="0.3">
      <c r="A23" s="146"/>
      <c r="B23" s="146"/>
      <c r="C23" s="146"/>
      <c r="D23" s="146"/>
      <c r="E23" s="146"/>
      <c r="F23" s="146"/>
      <c r="G23" s="24" t="s">
        <v>80</v>
      </c>
      <c r="H23" s="24" t="s">
        <v>78</v>
      </c>
      <c r="I23" s="24">
        <f>'MERCADO TUSD'!$U$20</f>
        <v>0</v>
      </c>
      <c r="J23" s="15"/>
      <c r="L23" s="13">
        <f>'TUSD BE'!$L$23*'TUSD BE'!$L$62</f>
        <v>0.11582412398668746</v>
      </c>
      <c r="M23" s="13">
        <f>'TUSD BE'!$M$23*'TUSD BE'!$M$62</f>
        <v>3.1450776225263023E-2</v>
      </c>
      <c r="N23" s="13">
        <f ca="1">'TUSD BE'!$N$23*'TUSD BE'!$N$62</f>
        <v>8.4371693392587052E-7</v>
      </c>
      <c r="O23" s="13">
        <f>'TUSD BE'!$O$23*'TUSD BE'!$O$62</f>
        <v>0</v>
      </c>
      <c r="P23" s="13">
        <f>'TUSD BE'!$P$23*'TUSD BE'!$P$62</f>
        <v>0</v>
      </c>
      <c r="Q23" s="13">
        <f>'TUSD BE'!$Q$23*'TUSD BE'!$Q$62</f>
        <v>3.9920921295007172</v>
      </c>
      <c r="R23" s="13">
        <f>'TUSD BE'!$R$23*'TUSD BE'!$R$62</f>
        <v>0.46136832062853605</v>
      </c>
      <c r="S23" s="13">
        <f>'TUSD BE'!$R$23*'TUSD BE'!$S$62</f>
        <v>0</v>
      </c>
      <c r="T23" s="13">
        <f ca="1">SUM($L$23:$S$23)</f>
        <v>4.6007361940581379</v>
      </c>
      <c r="U23" s="13">
        <f>'TUSD BE'!$U$23*'TUSD BE'!$U$62</f>
        <v>0</v>
      </c>
      <c r="V23" s="13">
        <f>'TUSD BE'!$V$23*'TUSD BE'!$V$62</f>
        <v>0</v>
      </c>
      <c r="W23" s="13">
        <f>'TUSD BE'!$W$23*'TUSD BE'!$W$62</f>
        <v>0</v>
      </c>
      <c r="X23" s="13">
        <f>'TUSD BE'!$X$23*'TUSD BE'!$X$62</f>
        <v>0</v>
      </c>
      <c r="Y23" s="13">
        <f>'TUSD BE'!$Y$23*'TUSD BE'!$Y$62</f>
        <v>1.3537515019373825</v>
      </c>
      <c r="Z23" s="13">
        <f>'TUSD BE'!$Z$23*'TUSD BE'!$Z$62</f>
        <v>0</v>
      </c>
      <c r="AA23" s="13">
        <f>'TUSD BE'!$AA$23*'TUSD BE'!$AA$62</f>
        <v>0</v>
      </c>
      <c r="AB23" s="13">
        <f>SUM($U$23:$AA$23)</f>
        <v>1.3537515019373825</v>
      </c>
      <c r="AC23" s="13">
        <f>'TUSD BE'!$AC$23*'TUSD BE'!$AC$62</f>
        <v>1.5387640579840392E-3</v>
      </c>
      <c r="AD23" s="13">
        <f>SUM($AC$23:$AC$23)</f>
        <v>1.5387640579840392E-3</v>
      </c>
      <c r="AE23" s="13">
        <f ca="1">$AO$23*$AO$59</f>
        <v>-7.9868876213635849</v>
      </c>
      <c r="AF23" s="13">
        <f ca="1">$AP$23*$AP$59</f>
        <v>0</v>
      </c>
      <c r="AG23" s="13">
        <f ca="1">SUM($AE$23:$AF$23)</f>
        <v>-7.9868876213635849</v>
      </c>
      <c r="AH23" s="13">
        <f>'TUSD BE'!$AH$23*'TUSD BE'!$AH$62</f>
        <v>9.6817791535764128E-2</v>
      </c>
      <c r="AI23" s="13">
        <f>'TUSD BE'!$AI$23*'TUSD BE'!$AI$62</f>
        <v>0</v>
      </c>
      <c r="AJ23" s="13">
        <f ca="1">'TUSD BE'!$AJ$23*'TUSD BE'!$AJ$62</f>
        <v>5.679034148595657E-3</v>
      </c>
      <c r="AK23" s="13">
        <f ca="1">'TUSD BE'!$AK$23*'TUSD BE'!$AK$62</f>
        <v>1.3943273361419074E-2</v>
      </c>
      <c r="AL23" s="13">
        <f ca="1">SUM($AH$23:$AK$23)</f>
        <v>0.11644009904577887</v>
      </c>
      <c r="AM23" s="13">
        <f ca="1">SUMIF($L$4:$AL$4,"SUBTOTAL",$L$23:$AL$23)</f>
        <v>-1.9144210622643019</v>
      </c>
      <c r="AO23" s="26">
        <f ca="1">+'TUSD BE'!$T$23+'TUSD BE'!$AB$23+'TUSD BE'!$AD$23+'TUSD BE'!$AL$23</f>
        <v>203.30852671942682</v>
      </c>
      <c r="AP23" s="26">
        <f ca="1">+'TUSD BE'!$T$23+'TUSD BE'!$AB$23+'TUSD BE'!$AD$23+'TUSD BE'!$AL$23</f>
        <v>203.30852671942682</v>
      </c>
    </row>
    <row r="24" spans="1:42" ht="11.25" customHeight="1" x14ac:dyDescent="0.3">
      <c r="A24" s="146"/>
      <c r="B24" s="146" t="s">
        <v>23</v>
      </c>
      <c r="C24" s="146" t="s">
        <v>24</v>
      </c>
      <c r="D24" s="23" t="s">
        <v>24</v>
      </c>
      <c r="E24" s="23" t="s">
        <v>25</v>
      </c>
      <c r="F24" s="23" t="s">
        <v>25</v>
      </c>
      <c r="G24" s="24" t="s">
        <v>84</v>
      </c>
      <c r="H24" s="24" t="s">
        <v>78</v>
      </c>
      <c r="I24" s="24">
        <f>'MERCADO TUSD'!$U$21</f>
        <v>11530.447999999999</v>
      </c>
      <c r="J24" s="15"/>
      <c r="L24" s="13">
        <f>'TUSD BE'!$L$24*'TUSD BE'!$L$62</f>
        <v>0.11582412398668746</v>
      </c>
      <c r="M24" s="13">
        <f>'TUSD BE'!$M$24*'TUSD BE'!$M$62</f>
        <v>3.1450776225263023E-2</v>
      </c>
      <c r="N24" s="13">
        <f ca="1">'TUSD BE'!$N$24*'TUSD BE'!$N$62</f>
        <v>2.4998425446476113E-6</v>
      </c>
      <c r="O24" s="13">
        <f>'TUSD BE'!$O$24*'TUSD BE'!$O$62</f>
        <v>0</v>
      </c>
      <c r="P24" s="13">
        <f>'TUSD BE'!$P$24*'TUSD BE'!$P$62</f>
        <v>0</v>
      </c>
      <c r="Q24" s="13">
        <f>'TUSD BE'!$Q$24*'TUSD BE'!$Q$62</f>
        <v>3.9920921295007172</v>
      </c>
      <c r="R24" s="13">
        <f>'TUSD BE'!$R$24*'TUSD BE'!$R$62</f>
        <v>0.46136832062853605</v>
      </c>
      <c r="S24" s="13">
        <f>'TUSD BE'!$R$24*'TUSD BE'!$S$62</f>
        <v>0</v>
      </c>
      <c r="T24" s="13">
        <f ca="1">SUM($L$24:$S$24)</f>
        <v>4.6007378501837488</v>
      </c>
      <c r="U24" s="13">
        <f>'TUSD BE'!$U$24*'TUSD BE'!$U$62</f>
        <v>0</v>
      </c>
      <c r="V24" s="13">
        <f>'TUSD BE'!$V$24*'TUSD BE'!$V$62</f>
        <v>0</v>
      </c>
      <c r="W24" s="13">
        <f>'TUSD BE'!$W$24*'TUSD BE'!$W$62</f>
        <v>0</v>
      </c>
      <c r="X24" s="13">
        <f>'TUSD BE'!$X$24*'TUSD BE'!$X$62</f>
        <v>0</v>
      </c>
      <c r="Y24" s="13">
        <f>'TUSD BE'!$Y$24*'TUSD BE'!$Y$62</f>
        <v>7.1250374663485365</v>
      </c>
      <c r="Z24" s="13">
        <f>'TUSD BE'!$Z$24*'TUSD BE'!$Z$62</f>
        <v>0</v>
      </c>
      <c r="AA24" s="13">
        <f>'TUSD BE'!$AA$24*'TUSD BE'!$AA$62</f>
        <v>0</v>
      </c>
      <c r="AB24" s="13">
        <f>SUM($U$24:$AA$24)</f>
        <v>7.1250374663485365</v>
      </c>
      <c r="AC24" s="13">
        <f>'TUSD BE'!$AC$24*'TUSD BE'!$AC$62</f>
        <v>8.0987683701646291E-3</v>
      </c>
      <c r="AD24" s="13">
        <f>SUM($AC$24:$AC$24)</f>
        <v>8.0987683701646291E-3</v>
      </c>
      <c r="AE24" s="13">
        <f ca="1">$AO$24*$AO$59</f>
        <v>-17.524654495650299</v>
      </c>
      <c r="AF24" s="13">
        <f ca="1">$AP$24*$AP$59</f>
        <v>0</v>
      </c>
      <c r="AG24" s="13">
        <f ca="1">SUM($AE$24:$AF$24)</f>
        <v>-17.524654495650299</v>
      </c>
      <c r="AH24" s="13">
        <f>'TUSD BE'!$AH$24*'TUSD BE'!$AH$62</f>
        <v>9.6817791535764128E-2</v>
      </c>
      <c r="AI24" s="13">
        <f>'TUSD BE'!$AI$24*'TUSD BE'!$AI$62</f>
        <v>0</v>
      </c>
      <c r="AJ24" s="13">
        <f ca="1">'TUSD BE'!$AJ$24*'TUSD BE'!$AJ$62</f>
        <v>5.679034148595657E-3</v>
      </c>
      <c r="AK24" s="13">
        <f ca="1">'TUSD BE'!$AK$24*'TUSD BE'!$AK$62</f>
        <v>1.3943273361419074E-2</v>
      </c>
      <c r="AL24" s="13">
        <f ca="1">SUM($AH$24:$AK$24)</f>
        <v>0.11644009904577887</v>
      </c>
      <c r="AM24" s="13">
        <f ca="1">SUMIF($L$4:$AL$4,"SUBTOTAL",$L$24:$AL$24)</f>
        <v>-5.6743403117020712</v>
      </c>
      <c r="AO24" s="26">
        <f ca="1">+'TUSD BE'!$T$24+'TUSD BE'!$AB$24+'TUSD BE'!$AD$24+'TUSD BE'!$AL$24</f>
        <v>446.09513188184229</v>
      </c>
      <c r="AP24" s="26">
        <f ca="1">+'TUSD BE'!$T$24+'TUSD BE'!$AB$24+'TUSD BE'!$AD$24+'TUSD BE'!$AL$24</f>
        <v>446.09513188184229</v>
      </c>
    </row>
    <row r="25" spans="1:42" ht="11.25" customHeight="1" x14ac:dyDescent="0.3">
      <c r="A25" s="146"/>
      <c r="B25" s="146"/>
      <c r="C25" s="146"/>
      <c r="D25" s="23" t="s">
        <v>28</v>
      </c>
      <c r="E25" s="23" t="s">
        <v>25</v>
      </c>
      <c r="F25" s="23" t="s">
        <v>25</v>
      </c>
      <c r="G25" s="24" t="s">
        <v>84</v>
      </c>
      <c r="H25" s="24" t="s">
        <v>78</v>
      </c>
      <c r="I25" s="24">
        <f>'MERCADO TUSD'!$U$22</f>
        <v>121.26</v>
      </c>
      <c r="J25" s="15"/>
      <c r="L25" s="13">
        <f>'TUSD BE'!$L$25*'TUSD BE'!$L$62</f>
        <v>0</v>
      </c>
      <c r="M25" s="13">
        <f>'TUSD BE'!$M$25*'TUSD BE'!$M$62</f>
        <v>3.1450776225263023E-2</v>
      </c>
      <c r="N25" s="13">
        <f ca="1">'TUSD BE'!$N$25*'TUSD BE'!$N$62</f>
        <v>2.4912724310105115E-6</v>
      </c>
      <c r="O25" s="13">
        <f>'TUSD BE'!$O$25*'TUSD BE'!$O$62</f>
        <v>0</v>
      </c>
      <c r="P25" s="13">
        <f>'TUSD BE'!$P$25*'TUSD BE'!$P$62</f>
        <v>0</v>
      </c>
      <c r="Q25" s="13">
        <f>'TUSD BE'!$Q$25*'TUSD BE'!$Q$62</f>
        <v>0</v>
      </c>
      <c r="R25" s="13">
        <f>'TUSD BE'!$R$25*'TUSD BE'!$R$62</f>
        <v>0</v>
      </c>
      <c r="S25" s="13">
        <f>'TUSD BE'!$R$25*'TUSD BE'!$S$62</f>
        <v>0</v>
      </c>
      <c r="T25" s="13">
        <f ca="1">SUM($L$25:$S$25)</f>
        <v>3.1453267497694032E-2</v>
      </c>
      <c r="U25" s="13">
        <f>'TUSD BE'!$U$25*'TUSD BE'!$U$62</f>
        <v>0</v>
      </c>
      <c r="V25" s="13">
        <f>'TUSD BE'!$V$25*'TUSD BE'!$V$62</f>
        <v>0</v>
      </c>
      <c r="W25" s="13">
        <f>'TUSD BE'!$W$25*'TUSD BE'!$W$62</f>
        <v>0</v>
      </c>
      <c r="X25" s="13">
        <f>'TUSD BE'!$X$25*'TUSD BE'!$X$62</f>
        <v>0</v>
      </c>
      <c r="Y25" s="13">
        <f>'TUSD BE'!$Y$25*'TUSD BE'!$Y$62</f>
        <v>7.1250374663485365</v>
      </c>
      <c r="Z25" s="13">
        <f>'TUSD BE'!$Z$25*'TUSD BE'!$Z$62</f>
        <v>0</v>
      </c>
      <c r="AA25" s="13">
        <f>'TUSD BE'!$AA$25*'TUSD BE'!$AA$62</f>
        <v>0</v>
      </c>
      <c r="AB25" s="13">
        <f>SUM($U$25:$AA$25)</f>
        <v>7.1250374663485365</v>
      </c>
      <c r="AC25" s="13">
        <f>'TUSD BE'!$AC$25*'TUSD BE'!$AC$62</f>
        <v>8.0987683701646291E-3</v>
      </c>
      <c r="AD25" s="13">
        <f>SUM($AC$25:$AC$25)</f>
        <v>8.0987683701646291E-3</v>
      </c>
      <c r="AE25" s="13">
        <f ca="1">$AO$25*$AO$59</f>
        <v>-12.78473148267854</v>
      </c>
      <c r="AF25" s="13">
        <f ca="1">$AP$25*$AP$59</f>
        <v>0</v>
      </c>
      <c r="AG25" s="13">
        <f ca="1">SUM($AE$25:$AF$25)</f>
        <v>-12.78473148267854</v>
      </c>
      <c r="AH25" s="13">
        <f>'TUSD BE'!$AH$25*'TUSD BE'!$AH$62</f>
        <v>9.6817791535764128E-2</v>
      </c>
      <c r="AI25" s="13">
        <f>'TUSD BE'!$AI$25*'TUSD BE'!$AI$62</f>
        <v>0</v>
      </c>
      <c r="AJ25" s="13">
        <f ca="1">'TUSD BE'!$AJ$25*'TUSD BE'!$AJ$62</f>
        <v>5.679034148595657E-3</v>
      </c>
      <c r="AK25" s="13">
        <f ca="1">'TUSD BE'!$AK$25*'TUSD BE'!$AK$62</f>
        <v>1.3943273361419074E-2</v>
      </c>
      <c r="AL25" s="13">
        <f ca="1">SUM($AH$25:$AK$25)</f>
        <v>0.11644009904577887</v>
      </c>
      <c r="AM25" s="13">
        <f ca="1">SUMIF($L$4:$AL$4,"SUBTOTAL",$L$25:$AL$25)</f>
        <v>-5.5037018814163661</v>
      </c>
      <c r="AO25" s="26">
        <f ca="1">+'TUSD BE'!$T$25+'TUSD BE'!$AB$25+'TUSD BE'!$AD$25+'TUSD BE'!$AL$25</f>
        <v>325.43902524611752</v>
      </c>
      <c r="AP25" s="26">
        <f ca="1">+'TUSD BE'!$T$25+'TUSD BE'!$AB$25+'TUSD BE'!$AD$25+'TUSD BE'!$AL$25</f>
        <v>325.43902524611752</v>
      </c>
    </row>
    <row r="26" spans="1:42" ht="11.25" customHeight="1" x14ac:dyDescent="0.3">
      <c r="A26" s="146"/>
      <c r="B26" s="146"/>
      <c r="C26" s="146"/>
      <c r="D26" s="23" t="s">
        <v>29</v>
      </c>
      <c r="E26" s="23" t="s">
        <v>25</v>
      </c>
      <c r="F26" s="23" t="s">
        <v>25</v>
      </c>
      <c r="G26" s="24" t="s">
        <v>84</v>
      </c>
      <c r="H26" s="24" t="s">
        <v>78</v>
      </c>
      <c r="I26" s="24">
        <f>'MERCADO TUSD'!$U$23</f>
        <v>254.32</v>
      </c>
      <c r="J26" s="15"/>
      <c r="L26" s="13">
        <f>'TUSD BE'!$L$26*'TUSD BE'!$L$62</f>
        <v>0</v>
      </c>
      <c r="M26" s="13">
        <f>'TUSD BE'!$M$26*'TUSD BE'!$M$62</f>
        <v>3.1450776225263023E-2</v>
      </c>
      <c r="N26" s="13">
        <f ca="1">'TUSD BE'!$N$26*'TUSD BE'!$N$62</f>
        <v>2.4912724310105115E-6</v>
      </c>
      <c r="O26" s="13">
        <f>'TUSD BE'!$O$26*'TUSD BE'!$O$62</f>
        <v>0</v>
      </c>
      <c r="P26" s="13">
        <f>'TUSD BE'!$P$26*'TUSD BE'!$P$62</f>
        <v>0</v>
      </c>
      <c r="Q26" s="13">
        <f>'TUSD BE'!$Q$26*'TUSD BE'!$Q$62</f>
        <v>0</v>
      </c>
      <c r="R26" s="13">
        <f>'TUSD BE'!$R$26*'TUSD BE'!$R$62</f>
        <v>0</v>
      </c>
      <c r="S26" s="13">
        <f>'TUSD BE'!$R$26*'TUSD BE'!$S$62</f>
        <v>0</v>
      </c>
      <c r="T26" s="13">
        <f ca="1">SUM($L$26:$S$26)</f>
        <v>3.1453267497694032E-2</v>
      </c>
      <c r="U26" s="13">
        <f>'TUSD BE'!$U$26*'TUSD BE'!$U$62</f>
        <v>0</v>
      </c>
      <c r="V26" s="13">
        <f>'TUSD BE'!$V$26*'TUSD BE'!$V$62</f>
        <v>0</v>
      </c>
      <c r="W26" s="13">
        <f>'TUSD BE'!$W$26*'TUSD BE'!$W$62</f>
        <v>0</v>
      </c>
      <c r="X26" s="13">
        <f>'TUSD BE'!$X$26*'TUSD BE'!$X$62</f>
        <v>0</v>
      </c>
      <c r="Y26" s="13">
        <f>'TUSD BE'!$Y$26*'TUSD BE'!$Y$62</f>
        <v>7.1250374663485365</v>
      </c>
      <c r="Z26" s="13">
        <f>'TUSD BE'!$Z$26*'TUSD BE'!$Z$62</f>
        <v>0</v>
      </c>
      <c r="AA26" s="13">
        <f>'TUSD BE'!$AA$26*'TUSD BE'!$AA$62</f>
        <v>0</v>
      </c>
      <c r="AB26" s="13">
        <f>SUM($U$26:$AA$26)</f>
        <v>7.1250374663485365</v>
      </c>
      <c r="AC26" s="13">
        <f>'TUSD BE'!$AC$26*'TUSD BE'!$AC$62</f>
        <v>8.0987683701646291E-3</v>
      </c>
      <c r="AD26" s="13">
        <f>SUM($AC$26:$AC$26)</f>
        <v>8.0987683701646291E-3</v>
      </c>
      <c r="AE26" s="13">
        <f ca="1">$AO$26*$AO$59</f>
        <v>-12.78473148267854</v>
      </c>
      <c r="AF26" s="13">
        <f ca="1">$AP$26*$AP$59</f>
        <v>0</v>
      </c>
      <c r="AG26" s="13">
        <f ca="1">SUM($AE$26:$AF$26)</f>
        <v>-12.78473148267854</v>
      </c>
      <c r="AH26" s="13">
        <f>'TUSD BE'!$AH$26*'TUSD BE'!$AH$62</f>
        <v>9.6817791535764128E-2</v>
      </c>
      <c r="AI26" s="13">
        <f>'TUSD BE'!$AI$26*'TUSD BE'!$AI$62</f>
        <v>0</v>
      </c>
      <c r="AJ26" s="13">
        <f ca="1">'TUSD BE'!$AJ$26*'TUSD BE'!$AJ$62</f>
        <v>5.679034148595657E-3</v>
      </c>
      <c r="AK26" s="13">
        <f ca="1">'TUSD BE'!$AK$26*'TUSD BE'!$AK$62</f>
        <v>1.3943273361419074E-2</v>
      </c>
      <c r="AL26" s="13">
        <f ca="1">SUM($AH$26:$AK$26)</f>
        <v>0.11644009904577887</v>
      </c>
      <c r="AM26" s="13">
        <f ca="1">SUMIF($L$4:$AL$4,"SUBTOTAL",$L$26:$AL$26)</f>
        <v>-5.5037018814163661</v>
      </c>
      <c r="AO26" s="26">
        <f ca="1">+'TUSD BE'!$T$26+'TUSD BE'!$AB$26+'TUSD BE'!$AD$26+'TUSD BE'!$AL$26</f>
        <v>325.43902524611752</v>
      </c>
      <c r="AP26" s="26">
        <f ca="1">+'TUSD BE'!$T$26+'TUSD BE'!$AB$26+'TUSD BE'!$AD$26+'TUSD BE'!$AL$26</f>
        <v>325.43902524611752</v>
      </c>
    </row>
    <row r="27" spans="1:42" ht="11.25" customHeight="1" x14ac:dyDescent="0.3">
      <c r="A27" s="146"/>
      <c r="B27" s="146"/>
      <c r="C27" s="146"/>
      <c r="D27" s="23" t="s">
        <v>30</v>
      </c>
      <c r="E27" s="23" t="s">
        <v>25</v>
      </c>
      <c r="F27" s="23" t="s">
        <v>25</v>
      </c>
      <c r="G27" s="24" t="s">
        <v>84</v>
      </c>
      <c r="H27" s="24" t="s">
        <v>78</v>
      </c>
      <c r="I27" s="24">
        <f>'MERCADO TUSD'!$U$24</f>
        <v>248.52100000000002</v>
      </c>
      <c r="J27" s="15"/>
      <c r="L27" s="13">
        <f>'TUSD BE'!$L$27*'TUSD BE'!$L$62</f>
        <v>0</v>
      </c>
      <c r="M27" s="13">
        <f>'TUSD BE'!$M$27*'TUSD BE'!$M$62</f>
        <v>3.1450776225263023E-2</v>
      </c>
      <c r="N27" s="13">
        <f ca="1">'TUSD BE'!$N$27*'TUSD BE'!$N$62</f>
        <v>2.4912724310105115E-6</v>
      </c>
      <c r="O27" s="13">
        <f>'TUSD BE'!$O$27*'TUSD BE'!$O$62</f>
        <v>0</v>
      </c>
      <c r="P27" s="13">
        <f>'TUSD BE'!$P$27*'TUSD BE'!$P$62</f>
        <v>0</v>
      </c>
      <c r="Q27" s="13">
        <f>'TUSD BE'!$Q$27*'TUSD BE'!$Q$62</f>
        <v>0</v>
      </c>
      <c r="R27" s="13">
        <f>'TUSD BE'!$R$27*'TUSD BE'!$R$62</f>
        <v>0</v>
      </c>
      <c r="S27" s="13">
        <f>'TUSD BE'!$R$27*'TUSD BE'!$S$62</f>
        <v>0</v>
      </c>
      <c r="T27" s="13">
        <f ca="1">SUM($L$27:$S$27)</f>
        <v>3.1453267497694032E-2</v>
      </c>
      <c r="U27" s="13">
        <f>'TUSD BE'!$U$27*'TUSD BE'!$U$62</f>
        <v>0</v>
      </c>
      <c r="V27" s="13">
        <f>'TUSD BE'!$V$27*'TUSD BE'!$V$62</f>
        <v>0</v>
      </c>
      <c r="W27" s="13">
        <f>'TUSD BE'!$W$27*'TUSD BE'!$W$62</f>
        <v>0</v>
      </c>
      <c r="X27" s="13">
        <f>'TUSD BE'!$X$27*'TUSD BE'!$X$62</f>
        <v>0</v>
      </c>
      <c r="Y27" s="13">
        <f>'TUSD BE'!$Y$27*'TUSD BE'!$Y$62</f>
        <v>7.1250374663485365</v>
      </c>
      <c r="Z27" s="13">
        <f>'TUSD BE'!$Z$27*'TUSD BE'!$Z$62</f>
        <v>0</v>
      </c>
      <c r="AA27" s="13">
        <f>'TUSD BE'!$AA$27*'TUSD BE'!$AA$62</f>
        <v>0</v>
      </c>
      <c r="AB27" s="13">
        <f>SUM($U$27:$AA$27)</f>
        <v>7.1250374663485365</v>
      </c>
      <c r="AC27" s="13">
        <f>'TUSD BE'!$AC$27*'TUSD BE'!$AC$62</f>
        <v>8.0987683701646291E-3</v>
      </c>
      <c r="AD27" s="13">
        <f>SUM($AC$27:$AC$27)</f>
        <v>8.0987683701646291E-3</v>
      </c>
      <c r="AE27" s="13">
        <f ca="1">$AO$27*$AO$59</f>
        <v>-12.78473148267854</v>
      </c>
      <c r="AF27" s="13">
        <f ca="1">$AP$27*$AP$59</f>
        <v>0</v>
      </c>
      <c r="AG27" s="13">
        <f ca="1">SUM($AE$27:$AF$27)</f>
        <v>-12.78473148267854</v>
      </c>
      <c r="AH27" s="13">
        <f>'TUSD BE'!$AH$27*'TUSD BE'!$AH$62</f>
        <v>9.6817791535764128E-2</v>
      </c>
      <c r="AI27" s="13">
        <f>'TUSD BE'!$AI$27*'TUSD BE'!$AI$62</f>
        <v>0</v>
      </c>
      <c r="AJ27" s="13">
        <f ca="1">'TUSD BE'!$AJ$27*'TUSD BE'!$AJ$62</f>
        <v>5.679034148595657E-3</v>
      </c>
      <c r="AK27" s="13">
        <f ca="1">'TUSD BE'!$AK$27*'TUSD BE'!$AK$62</f>
        <v>1.3943273361419074E-2</v>
      </c>
      <c r="AL27" s="13">
        <f ca="1">SUM($AH$27:$AK$27)</f>
        <v>0.11644009904577887</v>
      </c>
      <c r="AM27" s="13">
        <f ca="1">SUMIF($L$4:$AL$4,"SUBTOTAL",$L$27:$AL$27)</f>
        <v>-5.5037018814163661</v>
      </c>
      <c r="AO27" s="26">
        <f ca="1">+'TUSD BE'!$T$27+'TUSD BE'!$AB$27+'TUSD BE'!$AD$27+'TUSD BE'!$AL$27</f>
        <v>325.43902524611752</v>
      </c>
      <c r="AP27" s="26">
        <f ca="1">+'TUSD BE'!$T$27+'TUSD BE'!$AB$27+'TUSD BE'!$AD$27+'TUSD BE'!$AL$27</f>
        <v>325.43902524611752</v>
      </c>
    </row>
    <row r="28" spans="1:42" ht="11.25" customHeight="1" x14ac:dyDescent="0.3">
      <c r="A28" s="146"/>
      <c r="B28" s="146"/>
      <c r="C28" s="146"/>
      <c r="D28" s="23" t="s">
        <v>31</v>
      </c>
      <c r="E28" s="23" t="s">
        <v>25</v>
      </c>
      <c r="F28" s="23" t="s">
        <v>25</v>
      </c>
      <c r="G28" s="24" t="s">
        <v>84</v>
      </c>
      <c r="H28" s="24" t="s">
        <v>78</v>
      </c>
      <c r="I28" s="24">
        <f>'MERCADO TUSD'!$U$25</f>
        <v>91.992999999999995</v>
      </c>
      <c r="J28" s="15"/>
      <c r="L28" s="13">
        <f>'TUSD BE'!$L$28*'TUSD BE'!$L$62</f>
        <v>0</v>
      </c>
      <c r="M28" s="13">
        <f>'TUSD BE'!$M$28*'TUSD BE'!$M$62</f>
        <v>3.1450776225263023E-2</v>
      </c>
      <c r="N28" s="13">
        <f ca="1">'TUSD BE'!$N$28*'TUSD BE'!$N$62</f>
        <v>2.4912724310105115E-6</v>
      </c>
      <c r="O28" s="13">
        <f>'TUSD BE'!$O$28*'TUSD BE'!$O$62</f>
        <v>0</v>
      </c>
      <c r="P28" s="13">
        <f>'TUSD BE'!$P$28*'TUSD BE'!$P$62</f>
        <v>0</v>
      </c>
      <c r="Q28" s="13">
        <f>'TUSD BE'!$Q$28*'TUSD BE'!$Q$62</f>
        <v>0</v>
      </c>
      <c r="R28" s="13">
        <f>'TUSD BE'!$R$28*'TUSD BE'!$R$62</f>
        <v>0</v>
      </c>
      <c r="S28" s="13">
        <f>'TUSD BE'!$R$28*'TUSD BE'!$S$62</f>
        <v>0</v>
      </c>
      <c r="T28" s="13">
        <f ca="1">SUM($L$28:$S$28)</f>
        <v>3.1453267497694032E-2</v>
      </c>
      <c r="U28" s="13">
        <f>'TUSD BE'!$U$28*'TUSD BE'!$U$62</f>
        <v>0</v>
      </c>
      <c r="V28" s="13">
        <f>'TUSD BE'!$V$28*'TUSD BE'!$V$62</f>
        <v>0</v>
      </c>
      <c r="W28" s="13">
        <f>'TUSD BE'!$W$28*'TUSD BE'!$W$62</f>
        <v>0</v>
      </c>
      <c r="X28" s="13">
        <f>'TUSD BE'!$X$28*'TUSD BE'!$X$62</f>
        <v>0</v>
      </c>
      <c r="Y28" s="13">
        <f>'TUSD BE'!$Y$28*'TUSD BE'!$Y$62</f>
        <v>7.1250374663485365</v>
      </c>
      <c r="Z28" s="13">
        <f>'TUSD BE'!$Z$28*'TUSD BE'!$Z$62</f>
        <v>0</v>
      </c>
      <c r="AA28" s="13">
        <f>'TUSD BE'!$AA$28*'TUSD BE'!$AA$62</f>
        <v>0</v>
      </c>
      <c r="AB28" s="13">
        <f>SUM($U$28:$AA$28)</f>
        <v>7.1250374663485365</v>
      </c>
      <c r="AC28" s="13">
        <f>'TUSD BE'!$AC$28*'TUSD BE'!$AC$62</f>
        <v>8.0987683701646291E-3</v>
      </c>
      <c r="AD28" s="13">
        <f>SUM($AC$28:$AC$28)</f>
        <v>8.0987683701646291E-3</v>
      </c>
      <c r="AE28" s="13">
        <f ca="1">$AO$28*$AO$59</f>
        <v>-12.78473148267854</v>
      </c>
      <c r="AF28" s="13">
        <f ca="1">$AP$28*$AP$59</f>
        <v>0</v>
      </c>
      <c r="AG28" s="13">
        <f ca="1">SUM($AE$28:$AF$28)</f>
        <v>-12.78473148267854</v>
      </c>
      <c r="AH28" s="13">
        <f>'TUSD BE'!$AH$28*'TUSD BE'!$AH$62</f>
        <v>9.6817791535764128E-2</v>
      </c>
      <c r="AI28" s="13">
        <f>'TUSD BE'!$AI$28*'TUSD BE'!$AI$62</f>
        <v>0</v>
      </c>
      <c r="AJ28" s="13">
        <f ca="1">'TUSD BE'!$AJ$28*'TUSD BE'!$AJ$62</f>
        <v>5.679034148595657E-3</v>
      </c>
      <c r="AK28" s="13">
        <f ca="1">'TUSD BE'!$AK$28*'TUSD BE'!$AK$62</f>
        <v>1.3943273361419074E-2</v>
      </c>
      <c r="AL28" s="13">
        <f ca="1">SUM($AH$28:$AK$28)</f>
        <v>0.11644009904577887</v>
      </c>
      <c r="AM28" s="13">
        <f ca="1">SUMIF($L$4:$AL$4,"SUBTOTAL",$L$28:$AL$28)</f>
        <v>-5.5037018814163661</v>
      </c>
      <c r="AO28" s="26">
        <f ca="1">+'TUSD BE'!$T$28+'TUSD BE'!$AB$28+'TUSD BE'!$AD$28+'TUSD BE'!$AL$28</f>
        <v>325.43902524611752</v>
      </c>
      <c r="AP28" s="26">
        <f ca="1">+'TUSD BE'!$T$28+'TUSD BE'!$AB$28+'TUSD BE'!$AD$28+'TUSD BE'!$AL$28</f>
        <v>325.43902524611752</v>
      </c>
    </row>
    <row r="29" spans="1:42" ht="11.25" customHeight="1" x14ac:dyDescent="0.3">
      <c r="A29" s="146"/>
      <c r="B29" s="146" t="s">
        <v>92</v>
      </c>
      <c r="C29" s="146" t="s">
        <v>24</v>
      </c>
      <c r="D29" s="23" t="s">
        <v>24</v>
      </c>
      <c r="E29" s="23" t="s">
        <v>25</v>
      </c>
      <c r="F29" s="23" t="s">
        <v>25</v>
      </c>
      <c r="G29" s="24" t="s">
        <v>84</v>
      </c>
      <c r="H29" s="24" t="s">
        <v>78</v>
      </c>
      <c r="I29" s="24">
        <f>'MERCADO TUSD'!$U$26</f>
        <v>0</v>
      </c>
      <c r="J29" s="15"/>
      <c r="L29" s="13">
        <f>'TUSD BE'!$L$29*'TUSD BE'!$L$62</f>
        <v>0.11582412398668746</v>
      </c>
      <c r="M29" s="13">
        <f>'TUSD BE'!$M$29*'TUSD BE'!$M$62</f>
        <v>3.1450776225263023E-2</v>
      </c>
      <c r="N29" s="13">
        <f ca="1">'TUSD BE'!$N$29*'TUSD BE'!$N$62</f>
        <v>2.4998425446476113E-6</v>
      </c>
      <c r="O29" s="13">
        <f>'TUSD BE'!$O$29*'TUSD BE'!$O$62</f>
        <v>0</v>
      </c>
      <c r="P29" s="13">
        <f>'TUSD BE'!$P$29*'TUSD BE'!$P$62</f>
        <v>0</v>
      </c>
      <c r="Q29" s="13">
        <f>'TUSD BE'!$Q$29*'TUSD BE'!$Q$62</f>
        <v>3.9920921295007172</v>
      </c>
      <c r="R29" s="13">
        <f>'TUSD BE'!$R$29*'TUSD BE'!$R$62</f>
        <v>0.46136832062853605</v>
      </c>
      <c r="S29" s="13">
        <f>'TUSD BE'!$R$29*'TUSD BE'!$S$62</f>
        <v>0</v>
      </c>
      <c r="T29" s="13">
        <f ca="1">SUM($L$29:$S$29)</f>
        <v>4.6007378501837488</v>
      </c>
      <c r="U29" s="13">
        <f>'TUSD BE'!$U$29*'TUSD BE'!$U$62</f>
        <v>0</v>
      </c>
      <c r="V29" s="13">
        <f>'TUSD BE'!$V$29*'TUSD BE'!$V$62</f>
        <v>0</v>
      </c>
      <c r="W29" s="13">
        <f>'TUSD BE'!$W$29*'TUSD BE'!$W$62</f>
        <v>0</v>
      </c>
      <c r="X29" s="13">
        <f>'TUSD BE'!$X$29*'TUSD BE'!$X$62</f>
        <v>0</v>
      </c>
      <c r="Y29" s="13">
        <f>'TUSD BE'!$Y$29*'TUSD BE'!$Y$62</f>
        <v>7.1250374663485365</v>
      </c>
      <c r="Z29" s="13">
        <f>'TUSD BE'!$Z$29*'TUSD BE'!$Z$62</f>
        <v>0</v>
      </c>
      <c r="AA29" s="13">
        <f>'TUSD BE'!$AA$29*'TUSD BE'!$AA$62</f>
        <v>0</v>
      </c>
      <c r="AB29" s="13">
        <f>SUM($U$29:$AA$29)</f>
        <v>7.1250374663485365</v>
      </c>
      <c r="AC29" s="13">
        <f>'TUSD BE'!$AC$29*'TUSD BE'!$AC$62</f>
        <v>8.0987683701646291E-3</v>
      </c>
      <c r="AD29" s="13">
        <f>SUM($AC$29:$AC$29)</f>
        <v>8.0987683701646291E-3</v>
      </c>
      <c r="AE29" s="13">
        <f ca="1">$AO$29*$AO$59</f>
        <v>-17.524654495650299</v>
      </c>
      <c r="AF29" s="13">
        <f ca="1">$AP$29*$AP$59</f>
        <v>0</v>
      </c>
      <c r="AG29" s="13">
        <f ca="1">SUM($AE$29:$AF$29)</f>
        <v>-17.524654495650299</v>
      </c>
      <c r="AH29" s="13">
        <f>'TUSD BE'!$AH$29*'TUSD BE'!$AH$62</f>
        <v>9.6817791535764128E-2</v>
      </c>
      <c r="AI29" s="13">
        <f>'TUSD BE'!$AI$29*'TUSD BE'!$AI$62</f>
        <v>0</v>
      </c>
      <c r="AJ29" s="13">
        <f ca="1">'TUSD BE'!$AJ$29*'TUSD BE'!$AJ$62</f>
        <v>5.679034148595657E-3</v>
      </c>
      <c r="AK29" s="13">
        <f ca="1">'TUSD BE'!$AK$29*'TUSD BE'!$AK$62</f>
        <v>1.3943273361419074E-2</v>
      </c>
      <c r="AL29" s="13">
        <f ca="1">SUM($AH$29:$AK$29)</f>
        <v>0.11644009904577887</v>
      </c>
      <c r="AM29" s="13">
        <f ca="1">SUMIF($L$4:$AL$4,"SUBTOTAL",$L$29:$AL$29)</f>
        <v>-5.6743403117020712</v>
      </c>
      <c r="AO29" s="26">
        <f ca="1">+'TUSD BE'!$T$29+'TUSD BE'!$AB$29+'TUSD BE'!$AD$29+'TUSD BE'!$AL$29</f>
        <v>446.09513188184229</v>
      </c>
      <c r="AP29" s="26">
        <f ca="1">+'TUSD BE'!$T$29+'TUSD BE'!$AB$29+'TUSD BE'!$AD$29+'TUSD BE'!$AL$29</f>
        <v>446.09513188184229</v>
      </c>
    </row>
    <row r="30" spans="1:42" ht="11.25" customHeight="1" x14ac:dyDescent="0.3">
      <c r="A30" s="146"/>
      <c r="B30" s="146"/>
      <c r="C30" s="146"/>
      <c r="D30" s="23" t="s">
        <v>28</v>
      </c>
      <c r="E30" s="23" t="s">
        <v>25</v>
      </c>
      <c r="F30" s="23" t="s">
        <v>25</v>
      </c>
      <c r="G30" s="24" t="s">
        <v>84</v>
      </c>
      <c r="H30" s="24" t="s">
        <v>78</v>
      </c>
      <c r="I30" s="24">
        <f>'MERCADO TUSD'!$U$27</f>
        <v>0</v>
      </c>
      <c r="J30" s="15"/>
      <c r="L30" s="13">
        <f>'TUSD BE'!$L$30*'TUSD BE'!$L$62</f>
        <v>0</v>
      </c>
      <c r="M30" s="13">
        <f>'TUSD BE'!$M$30*'TUSD BE'!$M$62</f>
        <v>3.1450776225263023E-2</v>
      </c>
      <c r="N30" s="13">
        <f ca="1">'TUSD BE'!$N$30*'TUSD BE'!$N$62</f>
        <v>2.4912724310105115E-6</v>
      </c>
      <c r="O30" s="13">
        <f>'TUSD BE'!$O$30*'TUSD BE'!$O$62</f>
        <v>0</v>
      </c>
      <c r="P30" s="13">
        <f>'TUSD BE'!$P$30*'TUSD BE'!$P$62</f>
        <v>0</v>
      </c>
      <c r="Q30" s="13">
        <f>'TUSD BE'!$Q$30*'TUSD BE'!$Q$62</f>
        <v>0</v>
      </c>
      <c r="R30" s="13">
        <f>'TUSD BE'!$R$30*'TUSD BE'!$R$62</f>
        <v>0</v>
      </c>
      <c r="S30" s="13">
        <f>'TUSD BE'!$R$30*'TUSD BE'!$S$62</f>
        <v>0</v>
      </c>
      <c r="T30" s="13">
        <f ca="1">SUM($L$30:$S$30)</f>
        <v>3.1453267497694032E-2</v>
      </c>
      <c r="U30" s="13">
        <f>'TUSD BE'!$U$30*'TUSD BE'!$U$62</f>
        <v>0</v>
      </c>
      <c r="V30" s="13">
        <f>'TUSD BE'!$V$30*'TUSD BE'!$V$62</f>
        <v>0</v>
      </c>
      <c r="W30" s="13">
        <f>'TUSD BE'!$W$30*'TUSD BE'!$W$62</f>
        <v>0</v>
      </c>
      <c r="X30" s="13">
        <f>'TUSD BE'!$X$30*'TUSD BE'!$X$62</f>
        <v>0</v>
      </c>
      <c r="Y30" s="13">
        <f>'TUSD BE'!$Y$30*'TUSD BE'!$Y$62</f>
        <v>7.1250374663485365</v>
      </c>
      <c r="Z30" s="13">
        <f>'TUSD BE'!$Z$30*'TUSD BE'!$Z$62</f>
        <v>0</v>
      </c>
      <c r="AA30" s="13">
        <f>'TUSD BE'!$AA$30*'TUSD BE'!$AA$62</f>
        <v>0</v>
      </c>
      <c r="AB30" s="13">
        <f>SUM($U$30:$AA$30)</f>
        <v>7.1250374663485365</v>
      </c>
      <c r="AC30" s="13">
        <f>'TUSD BE'!$AC$30*'TUSD BE'!$AC$62</f>
        <v>8.0987683701646291E-3</v>
      </c>
      <c r="AD30" s="13">
        <f>SUM($AC$30:$AC$30)</f>
        <v>8.0987683701646291E-3</v>
      </c>
      <c r="AE30" s="13">
        <f ca="1">$AO$30*$AO$59</f>
        <v>-12.78473148267854</v>
      </c>
      <c r="AF30" s="13">
        <f ca="1">$AP$30*$AP$59</f>
        <v>0</v>
      </c>
      <c r="AG30" s="13">
        <f ca="1">SUM($AE$30:$AF$30)</f>
        <v>-12.78473148267854</v>
      </c>
      <c r="AH30" s="13">
        <f>'TUSD BE'!$AH$30*'TUSD BE'!$AH$62</f>
        <v>9.6817791535764128E-2</v>
      </c>
      <c r="AI30" s="13">
        <f>'TUSD BE'!$AI$30*'TUSD BE'!$AI$62</f>
        <v>0</v>
      </c>
      <c r="AJ30" s="13">
        <f ca="1">'TUSD BE'!$AJ$30*'TUSD BE'!$AJ$62</f>
        <v>5.679034148595657E-3</v>
      </c>
      <c r="AK30" s="13">
        <f ca="1">'TUSD BE'!$AK$30*'TUSD BE'!$AK$62</f>
        <v>1.3943273361419074E-2</v>
      </c>
      <c r="AL30" s="13">
        <f ca="1">SUM($AH$30:$AK$30)</f>
        <v>0.11644009904577887</v>
      </c>
      <c r="AM30" s="13">
        <f ca="1">SUMIF($L$4:$AL$4,"SUBTOTAL",$L$30:$AL$30)</f>
        <v>-5.5037018814163661</v>
      </c>
      <c r="AO30" s="26">
        <f ca="1">+'TUSD BE'!$T$30+'TUSD BE'!$AB$30+'TUSD BE'!$AD$30+'TUSD BE'!$AL$30</f>
        <v>325.43902524611752</v>
      </c>
      <c r="AP30" s="26">
        <f ca="1">+'TUSD BE'!$T$30+'TUSD BE'!$AB$30+'TUSD BE'!$AD$30+'TUSD BE'!$AL$30</f>
        <v>325.43902524611752</v>
      </c>
    </row>
    <row r="31" spans="1:42" ht="11.25" customHeight="1" x14ac:dyDescent="0.3">
      <c r="A31" s="146"/>
      <c r="B31" s="146"/>
      <c r="C31" s="146"/>
      <c r="D31" s="23" t="s">
        <v>29</v>
      </c>
      <c r="E31" s="23" t="s">
        <v>25</v>
      </c>
      <c r="F31" s="23" t="s">
        <v>25</v>
      </c>
      <c r="G31" s="24" t="s">
        <v>84</v>
      </c>
      <c r="H31" s="24" t="s">
        <v>78</v>
      </c>
      <c r="I31" s="24">
        <f>'MERCADO TUSD'!$U$28</f>
        <v>0</v>
      </c>
      <c r="J31" s="15"/>
      <c r="L31" s="13">
        <f>'TUSD BE'!$L$31*'TUSD BE'!$L$62</f>
        <v>0</v>
      </c>
      <c r="M31" s="13">
        <f>'TUSD BE'!$M$31*'TUSD BE'!$M$62</f>
        <v>3.1450776225263023E-2</v>
      </c>
      <c r="N31" s="13">
        <f ca="1">'TUSD BE'!$N$31*'TUSD BE'!$N$62</f>
        <v>2.4912724310105115E-6</v>
      </c>
      <c r="O31" s="13">
        <f>'TUSD BE'!$O$31*'TUSD BE'!$O$62</f>
        <v>0</v>
      </c>
      <c r="P31" s="13">
        <f>'TUSD BE'!$P$31*'TUSD BE'!$P$62</f>
        <v>0</v>
      </c>
      <c r="Q31" s="13">
        <f>'TUSD BE'!$Q$31*'TUSD BE'!$Q$62</f>
        <v>0</v>
      </c>
      <c r="R31" s="13">
        <f>'TUSD BE'!$R$31*'TUSD BE'!$R$62</f>
        <v>0</v>
      </c>
      <c r="S31" s="13">
        <f>'TUSD BE'!$R$31*'TUSD BE'!$S$62</f>
        <v>0</v>
      </c>
      <c r="T31" s="13">
        <f ca="1">SUM($L$31:$S$31)</f>
        <v>3.1453267497694032E-2</v>
      </c>
      <c r="U31" s="13">
        <f>'TUSD BE'!$U$31*'TUSD BE'!$U$62</f>
        <v>0</v>
      </c>
      <c r="V31" s="13">
        <f>'TUSD BE'!$V$31*'TUSD BE'!$V$62</f>
        <v>0</v>
      </c>
      <c r="W31" s="13">
        <f>'TUSD BE'!$W$31*'TUSD BE'!$W$62</f>
        <v>0</v>
      </c>
      <c r="X31" s="13">
        <f>'TUSD BE'!$X$31*'TUSD BE'!$X$62</f>
        <v>0</v>
      </c>
      <c r="Y31" s="13">
        <f>'TUSD BE'!$Y$31*'TUSD BE'!$Y$62</f>
        <v>7.1250374663485365</v>
      </c>
      <c r="Z31" s="13">
        <f>'TUSD BE'!$Z$31*'TUSD BE'!$Z$62</f>
        <v>0</v>
      </c>
      <c r="AA31" s="13">
        <f>'TUSD BE'!$AA$31*'TUSD BE'!$AA$62</f>
        <v>0</v>
      </c>
      <c r="AB31" s="13">
        <f>SUM($U$31:$AA$31)</f>
        <v>7.1250374663485365</v>
      </c>
      <c r="AC31" s="13">
        <f>'TUSD BE'!$AC$31*'TUSD BE'!$AC$62</f>
        <v>8.0987683701646291E-3</v>
      </c>
      <c r="AD31" s="13">
        <f>SUM($AC$31:$AC$31)</f>
        <v>8.0987683701646291E-3</v>
      </c>
      <c r="AE31" s="13">
        <f ca="1">$AO$31*$AO$59</f>
        <v>-12.78473148267854</v>
      </c>
      <c r="AF31" s="13">
        <f ca="1">$AP$31*$AP$59</f>
        <v>0</v>
      </c>
      <c r="AG31" s="13">
        <f ca="1">SUM($AE$31:$AF$31)</f>
        <v>-12.78473148267854</v>
      </c>
      <c r="AH31" s="13">
        <f>'TUSD BE'!$AH$31*'TUSD BE'!$AH$62</f>
        <v>9.6817791535764128E-2</v>
      </c>
      <c r="AI31" s="13">
        <f>'TUSD BE'!$AI$31*'TUSD BE'!$AI$62</f>
        <v>0</v>
      </c>
      <c r="AJ31" s="13">
        <f ca="1">'TUSD BE'!$AJ$31*'TUSD BE'!$AJ$62</f>
        <v>5.679034148595657E-3</v>
      </c>
      <c r="AK31" s="13">
        <f ca="1">'TUSD BE'!$AK$31*'TUSD BE'!$AK$62</f>
        <v>1.3943273361419074E-2</v>
      </c>
      <c r="AL31" s="13">
        <f ca="1">SUM($AH$31:$AK$31)</f>
        <v>0.11644009904577887</v>
      </c>
      <c r="AM31" s="13">
        <f ca="1">SUMIF($L$4:$AL$4,"SUBTOTAL",$L$31:$AL$31)</f>
        <v>-5.5037018814163661</v>
      </c>
      <c r="AO31" s="26">
        <f ca="1">+'TUSD BE'!$T$31+'TUSD BE'!$AB$31+'TUSD BE'!$AD$31+'TUSD BE'!$AL$31</f>
        <v>325.43902524611752</v>
      </c>
      <c r="AP31" s="26">
        <f ca="1">+'TUSD BE'!$T$31+'TUSD BE'!$AB$31+'TUSD BE'!$AD$31+'TUSD BE'!$AL$31</f>
        <v>325.43902524611752</v>
      </c>
    </row>
    <row r="32" spans="1:42" ht="11.25" customHeight="1" x14ac:dyDescent="0.3">
      <c r="A32" s="146"/>
      <c r="B32" s="146"/>
      <c r="C32" s="146"/>
      <c r="D32" s="23" t="s">
        <v>30</v>
      </c>
      <c r="E32" s="23" t="s">
        <v>25</v>
      </c>
      <c r="F32" s="23" t="s">
        <v>25</v>
      </c>
      <c r="G32" s="24" t="s">
        <v>84</v>
      </c>
      <c r="H32" s="24" t="s">
        <v>78</v>
      </c>
      <c r="I32" s="24">
        <f>'MERCADO TUSD'!$U$29</f>
        <v>0</v>
      </c>
      <c r="J32" s="15"/>
      <c r="L32" s="13">
        <f>'TUSD BE'!$L$32*'TUSD BE'!$L$62</f>
        <v>0</v>
      </c>
      <c r="M32" s="13">
        <f>'TUSD BE'!$M$32*'TUSD BE'!$M$62</f>
        <v>3.1450776225263023E-2</v>
      </c>
      <c r="N32" s="13">
        <f ca="1">'TUSD BE'!$N$32*'TUSD BE'!$N$62</f>
        <v>2.4912724310105115E-6</v>
      </c>
      <c r="O32" s="13">
        <f>'TUSD BE'!$O$32*'TUSD BE'!$O$62</f>
        <v>0</v>
      </c>
      <c r="P32" s="13">
        <f>'TUSD BE'!$P$32*'TUSD BE'!$P$62</f>
        <v>0</v>
      </c>
      <c r="Q32" s="13">
        <f>'TUSD BE'!$Q$32*'TUSD BE'!$Q$62</f>
        <v>0</v>
      </c>
      <c r="R32" s="13">
        <f>'TUSD BE'!$R$32*'TUSD BE'!$R$62</f>
        <v>0</v>
      </c>
      <c r="S32" s="13">
        <f>'TUSD BE'!$R$32*'TUSD BE'!$S$62</f>
        <v>0</v>
      </c>
      <c r="T32" s="13">
        <f ca="1">SUM($L$32:$S$32)</f>
        <v>3.1453267497694032E-2</v>
      </c>
      <c r="U32" s="13">
        <f>'TUSD BE'!$U$32*'TUSD BE'!$U$62</f>
        <v>0</v>
      </c>
      <c r="V32" s="13">
        <f>'TUSD BE'!$V$32*'TUSD BE'!$V$62</f>
        <v>0</v>
      </c>
      <c r="W32" s="13">
        <f>'TUSD BE'!$W$32*'TUSD BE'!$W$62</f>
        <v>0</v>
      </c>
      <c r="X32" s="13">
        <f>'TUSD BE'!$X$32*'TUSD BE'!$X$62</f>
        <v>0</v>
      </c>
      <c r="Y32" s="13">
        <f>'TUSD BE'!$Y$32*'TUSD BE'!$Y$62</f>
        <v>7.1250374663485365</v>
      </c>
      <c r="Z32" s="13">
        <f>'TUSD BE'!$Z$32*'TUSD BE'!$Z$62</f>
        <v>0</v>
      </c>
      <c r="AA32" s="13">
        <f>'TUSD BE'!$AA$32*'TUSD BE'!$AA$62</f>
        <v>0</v>
      </c>
      <c r="AB32" s="13">
        <f>SUM($U$32:$AA$32)</f>
        <v>7.1250374663485365</v>
      </c>
      <c r="AC32" s="13">
        <f>'TUSD BE'!$AC$32*'TUSD BE'!$AC$62</f>
        <v>8.0987683701646291E-3</v>
      </c>
      <c r="AD32" s="13">
        <f>SUM($AC$32:$AC$32)</f>
        <v>8.0987683701646291E-3</v>
      </c>
      <c r="AE32" s="13">
        <f ca="1">$AO$32*$AO$59</f>
        <v>-12.78473148267854</v>
      </c>
      <c r="AF32" s="13">
        <f ca="1">$AP$32*$AP$59</f>
        <v>0</v>
      </c>
      <c r="AG32" s="13">
        <f ca="1">SUM($AE$32:$AF$32)</f>
        <v>-12.78473148267854</v>
      </c>
      <c r="AH32" s="13">
        <f>'TUSD BE'!$AH$32*'TUSD BE'!$AH$62</f>
        <v>9.6817791535764128E-2</v>
      </c>
      <c r="AI32" s="13">
        <f>'TUSD BE'!$AI$32*'TUSD BE'!$AI$62</f>
        <v>0</v>
      </c>
      <c r="AJ32" s="13">
        <f ca="1">'TUSD BE'!$AJ$32*'TUSD BE'!$AJ$62</f>
        <v>5.679034148595657E-3</v>
      </c>
      <c r="AK32" s="13">
        <f ca="1">'TUSD BE'!$AK$32*'TUSD BE'!$AK$62</f>
        <v>1.3943273361419074E-2</v>
      </c>
      <c r="AL32" s="13">
        <f ca="1">SUM($AH$32:$AK$32)</f>
        <v>0.11644009904577887</v>
      </c>
      <c r="AM32" s="13">
        <f ca="1">SUMIF($L$4:$AL$4,"SUBTOTAL",$L$32:$AL$32)</f>
        <v>-5.5037018814163661</v>
      </c>
      <c r="AO32" s="26">
        <f ca="1">+'TUSD BE'!$T$32+'TUSD BE'!$AB$32+'TUSD BE'!$AD$32+'TUSD BE'!$AL$32</f>
        <v>325.43902524611752</v>
      </c>
      <c r="AP32" s="26">
        <f ca="1">+'TUSD BE'!$T$32+'TUSD BE'!$AB$32+'TUSD BE'!$AD$32+'TUSD BE'!$AL$32</f>
        <v>325.43902524611752</v>
      </c>
    </row>
    <row r="33" spans="1:42" ht="11.25" customHeight="1" x14ac:dyDescent="0.3">
      <c r="A33" s="146"/>
      <c r="B33" s="146"/>
      <c r="C33" s="146"/>
      <c r="D33" s="23" t="s">
        <v>31</v>
      </c>
      <c r="E33" s="23" t="s">
        <v>25</v>
      </c>
      <c r="F33" s="23" t="s">
        <v>25</v>
      </c>
      <c r="G33" s="24" t="s">
        <v>84</v>
      </c>
      <c r="H33" s="24" t="s">
        <v>78</v>
      </c>
      <c r="I33" s="24">
        <f>'MERCADO TUSD'!$U$30</f>
        <v>0</v>
      </c>
      <c r="J33" s="15"/>
      <c r="L33" s="13">
        <f>'TUSD BE'!$L$33*'TUSD BE'!$L$62</f>
        <v>0</v>
      </c>
      <c r="M33" s="13">
        <f>'TUSD BE'!$M$33*'TUSD BE'!$M$62</f>
        <v>3.1450776225263023E-2</v>
      </c>
      <c r="N33" s="13">
        <f ca="1">'TUSD BE'!$N$33*'TUSD BE'!$N$62</f>
        <v>2.4912724310105115E-6</v>
      </c>
      <c r="O33" s="13">
        <f>'TUSD BE'!$O$33*'TUSD BE'!$O$62</f>
        <v>0</v>
      </c>
      <c r="P33" s="13">
        <f>'TUSD BE'!$P$33*'TUSD BE'!$P$62</f>
        <v>0</v>
      </c>
      <c r="Q33" s="13">
        <f>'TUSD BE'!$Q$33*'TUSD BE'!$Q$62</f>
        <v>0</v>
      </c>
      <c r="R33" s="13">
        <f>'TUSD BE'!$R$33*'TUSD BE'!$R$62</f>
        <v>0</v>
      </c>
      <c r="S33" s="13">
        <f>'TUSD BE'!$R$33*'TUSD BE'!$S$62</f>
        <v>0</v>
      </c>
      <c r="T33" s="13">
        <f ca="1">SUM($L$33:$S$33)</f>
        <v>3.1453267497694032E-2</v>
      </c>
      <c r="U33" s="13">
        <f>'TUSD BE'!$U$33*'TUSD BE'!$U$62</f>
        <v>0</v>
      </c>
      <c r="V33" s="13">
        <f>'TUSD BE'!$V$33*'TUSD BE'!$V$62</f>
        <v>0</v>
      </c>
      <c r="W33" s="13">
        <f>'TUSD BE'!$W$33*'TUSD BE'!$W$62</f>
        <v>0</v>
      </c>
      <c r="X33" s="13">
        <f>'TUSD BE'!$X$33*'TUSD BE'!$X$62</f>
        <v>0</v>
      </c>
      <c r="Y33" s="13">
        <f>'TUSD BE'!$Y$33*'TUSD BE'!$Y$62</f>
        <v>7.1250374663485365</v>
      </c>
      <c r="Z33" s="13">
        <f>'TUSD BE'!$Z$33*'TUSD BE'!$Z$62</f>
        <v>0</v>
      </c>
      <c r="AA33" s="13">
        <f>'TUSD BE'!$AA$33*'TUSD BE'!$AA$62</f>
        <v>0</v>
      </c>
      <c r="AB33" s="13">
        <f>SUM($U$33:$AA$33)</f>
        <v>7.1250374663485365</v>
      </c>
      <c r="AC33" s="13">
        <f>'TUSD BE'!$AC$33*'TUSD BE'!$AC$62</f>
        <v>8.0987683701646291E-3</v>
      </c>
      <c r="AD33" s="13">
        <f>SUM($AC$33:$AC$33)</f>
        <v>8.0987683701646291E-3</v>
      </c>
      <c r="AE33" s="13">
        <f ca="1">$AO$33*$AO$59</f>
        <v>-12.78473148267854</v>
      </c>
      <c r="AF33" s="13">
        <f ca="1">$AP$33*$AP$59</f>
        <v>0</v>
      </c>
      <c r="AG33" s="13">
        <f ca="1">SUM($AE$33:$AF$33)</f>
        <v>-12.78473148267854</v>
      </c>
      <c r="AH33" s="13">
        <f>'TUSD BE'!$AH$33*'TUSD BE'!$AH$62</f>
        <v>9.6817791535764128E-2</v>
      </c>
      <c r="AI33" s="13">
        <f>'TUSD BE'!$AI$33*'TUSD BE'!$AI$62</f>
        <v>0</v>
      </c>
      <c r="AJ33" s="13">
        <f ca="1">'TUSD BE'!$AJ$33*'TUSD BE'!$AJ$62</f>
        <v>5.679034148595657E-3</v>
      </c>
      <c r="AK33" s="13">
        <f ca="1">'TUSD BE'!$AK$33*'TUSD BE'!$AK$62</f>
        <v>1.3943273361419074E-2</v>
      </c>
      <c r="AL33" s="13">
        <f ca="1">SUM($AH$33:$AK$33)</f>
        <v>0.11644009904577887</v>
      </c>
      <c r="AM33" s="13">
        <f ca="1">SUMIF($L$4:$AL$4,"SUBTOTAL",$L$33:$AL$33)</f>
        <v>-5.5037018814163661</v>
      </c>
      <c r="AO33" s="26">
        <f ca="1">+'TUSD BE'!$T$33+'TUSD BE'!$AB$33+'TUSD BE'!$AD$33+'TUSD BE'!$AL$33</f>
        <v>325.43902524611752</v>
      </c>
      <c r="AP33" s="26">
        <f ca="1">+'TUSD BE'!$T$33+'TUSD BE'!$AB$33+'TUSD BE'!$AD$33+'TUSD BE'!$AL$33</f>
        <v>325.43902524611752</v>
      </c>
    </row>
    <row r="34" spans="1:42" ht="11.25" customHeight="1" x14ac:dyDescent="0.3">
      <c r="A34" s="146" t="s">
        <v>41</v>
      </c>
      <c r="B34" s="146" t="s">
        <v>38</v>
      </c>
      <c r="C34" s="146" t="s">
        <v>42</v>
      </c>
      <c r="D34" s="146" t="s">
        <v>25</v>
      </c>
      <c r="E34" s="146" t="s">
        <v>25</v>
      </c>
      <c r="F34" s="146" t="s">
        <v>25</v>
      </c>
      <c r="G34" s="24" t="s">
        <v>79</v>
      </c>
      <c r="H34" s="24" t="s">
        <v>78</v>
      </c>
      <c r="I34" s="24">
        <f>'MERCADO TUSD'!$U$31</f>
        <v>0</v>
      </c>
      <c r="J34" s="15"/>
      <c r="L34" s="13">
        <f>'TUSD BE'!$L$34*'TUSD BE'!$L$62</f>
        <v>0.11582412398668746</v>
      </c>
      <c r="M34" s="13">
        <f>'TUSD BE'!$M$34*'TUSD BE'!$M$62</f>
        <v>3.1450776225263023E-2</v>
      </c>
      <c r="N34" s="13">
        <f ca="1">'TUSD BE'!$N$34*'TUSD BE'!$N$62</f>
        <v>1.2946925050783235E-5</v>
      </c>
      <c r="O34" s="13">
        <f>'TUSD BE'!$O$34*'TUSD BE'!$O$62</f>
        <v>0</v>
      </c>
      <c r="P34" s="13">
        <f>'TUSD BE'!$P$34*'TUSD BE'!$P$62</f>
        <v>0</v>
      </c>
      <c r="Q34" s="13">
        <f>'TUSD BE'!$Q$34*'TUSD BE'!$Q$62</f>
        <v>3.9920921295007172</v>
      </c>
      <c r="R34" s="13">
        <f>'TUSD BE'!$R$34*'TUSD BE'!$R$62</f>
        <v>0.46136832062853605</v>
      </c>
      <c r="S34" s="13">
        <f>'TUSD BE'!$R$34*'TUSD BE'!$S$62</f>
        <v>0</v>
      </c>
      <c r="T34" s="13">
        <f ca="1">SUM($L$34:$S$34)</f>
        <v>4.6007482972662546</v>
      </c>
      <c r="U34" s="13">
        <f>'TUSD BE'!$U$34*'TUSD BE'!$U$62</f>
        <v>0</v>
      </c>
      <c r="V34" s="13">
        <f>'TUSD BE'!$V$34*'TUSD BE'!$V$62</f>
        <v>0</v>
      </c>
      <c r="W34" s="13">
        <f>'TUSD BE'!$W$34*'TUSD BE'!$W$62</f>
        <v>0</v>
      </c>
      <c r="X34" s="13">
        <f>'TUSD BE'!$X$34*'TUSD BE'!$X$62</f>
        <v>0</v>
      </c>
      <c r="Y34" s="13">
        <f>'TUSD BE'!$Y$34*'TUSD BE'!$Y$62</f>
        <v>43.531137129159823</v>
      </c>
      <c r="Z34" s="13">
        <f>'TUSD BE'!$Z$34*'TUSD BE'!$Z$62</f>
        <v>0</v>
      </c>
      <c r="AA34" s="13">
        <f>'TUSD BE'!$AA$34*'TUSD BE'!$AA$62</f>
        <v>0</v>
      </c>
      <c r="AB34" s="13">
        <f>SUM($U$34:$AA$34)</f>
        <v>43.531137129159823</v>
      </c>
      <c r="AC34" s="13">
        <f>'TUSD BE'!$AC$34*'TUSD BE'!$AC$62</f>
        <v>4.9480240666500475E-2</v>
      </c>
      <c r="AD34" s="13">
        <f>SUM($AC$34:$AC$34)</f>
        <v>4.9480240666500475E-2</v>
      </c>
      <c r="AE34" s="13">
        <f ca="1">$AO$34*$AO$59</f>
        <v>-77.690279876750139</v>
      </c>
      <c r="AF34" s="13">
        <f ca="1">$AP$34*$AP$59</f>
        <v>0</v>
      </c>
      <c r="AG34" s="13">
        <f ca="1">SUM($AE$34:$AF$34)</f>
        <v>-77.690279876750139</v>
      </c>
      <c r="AH34" s="13">
        <f>'TUSD BE'!$AH$34*'TUSD BE'!$AH$62</f>
        <v>9.6817791535764128E-2</v>
      </c>
      <c r="AI34" s="13">
        <f>'TUSD BE'!$AI$34*'TUSD BE'!$AI$62</f>
        <v>0</v>
      </c>
      <c r="AJ34" s="13">
        <f ca="1">'TUSD BE'!$AJ$34*'TUSD BE'!$AJ$62</f>
        <v>5.679034148595657E-3</v>
      </c>
      <c r="AK34" s="13">
        <f ca="1">'TUSD BE'!$AK$34*'TUSD BE'!$AK$62</f>
        <v>1.3943273361419074E-2</v>
      </c>
      <c r="AL34" s="13">
        <f ca="1">SUM($AH$34:$AK$34)</f>
        <v>0.11644009904577887</v>
      </c>
      <c r="AM34" s="13">
        <f ca="1">SUMIF($L$4:$AL$4,"SUBTOTAL",$L$34:$AL$34)</f>
        <v>-29.392474110611783</v>
      </c>
      <c r="AO34" s="26">
        <f ca="1">+'TUSD BE'!$T$34+'TUSD BE'!$AB$34+'TUSD BE'!$AD$34+'TUSD BE'!$AL$34</f>
        <v>1977.6284694319186</v>
      </c>
      <c r="AP34" s="26">
        <f ca="1">+'TUSD BE'!$T$34+'TUSD BE'!$AB$34+'TUSD BE'!$AD$34+'TUSD BE'!$AL$34</f>
        <v>1977.6284694319186</v>
      </c>
    </row>
    <row r="35" spans="1:42" ht="11.25" customHeight="1" x14ac:dyDescent="0.3">
      <c r="A35" s="146"/>
      <c r="B35" s="146"/>
      <c r="C35" s="146"/>
      <c r="D35" s="146"/>
      <c r="E35" s="146"/>
      <c r="F35" s="146"/>
      <c r="G35" s="24" t="s">
        <v>89</v>
      </c>
      <c r="H35" s="24" t="s">
        <v>78</v>
      </c>
      <c r="I35" s="24">
        <f>'MERCADO TUSD'!$U$32</f>
        <v>0</v>
      </c>
      <c r="J35" s="15"/>
      <c r="L35" s="13">
        <f>'TUSD BE'!$L$35*'TUSD BE'!$L$62</f>
        <v>0.11582412398668746</v>
      </c>
      <c r="M35" s="13">
        <f>'TUSD BE'!$M$35*'TUSD BE'!$M$62</f>
        <v>3.1450776225263023E-2</v>
      </c>
      <c r="N35" s="13">
        <f ca="1">'TUSD BE'!$N$35*'TUSD BE'!$N$62</f>
        <v>3.9302442173386072E-6</v>
      </c>
      <c r="O35" s="13">
        <f>'TUSD BE'!$O$35*'TUSD BE'!$O$62</f>
        <v>0</v>
      </c>
      <c r="P35" s="13">
        <f>'TUSD BE'!$P$35*'TUSD BE'!$P$62</f>
        <v>0</v>
      </c>
      <c r="Q35" s="13">
        <f>'TUSD BE'!$Q$35*'TUSD BE'!$Q$62</f>
        <v>3.9920921295007172</v>
      </c>
      <c r="R35" s="13">
        <f>'TUSD BE'!$R$35*'TUSD BE'!$R$62</f>
        <v>0.46136832062853605</v>
      </c>
      <c r="S35" s="13">
        <f>'TUSD BE'!$R$35*'TUSD BE'!$S$62</f>
        <v>0</v>
      </c>
      <c r="T35" s="13">
        <f ca="1">SUM($L$35:$S$35)</f>
        <v>4.6007392805854215</v>
      </c>
      <c r="U35" s="13">
        <f>'TUSD BE'!$U$35*'TUSD BE'!$U$62</f>
        <v>0</v>
      </c>
      <c r="V35" s="13">
        <f>'TUSD BE'!$V$35*'TUSD BE'!$V$62</f>
        <v>0</v>
      </c>
      <c r="W35" s="13">
        <f>'TUSD BE'!$W$35*'TUSD BE'!$W$62</f>
        <v>0</v>
      </c>
      <c r="X35" s="13">
        <f>'TUSD BE'!$X$35*'TUSD BE'!$X$62</f>
        <v>0</v>
      </c>
      <c r="Y35" s="13">
        <f>'TUSD BE'!$Y$35*'TUSD BE'!$Y$62</f>
        <v>12.109721169953797</v>
      </c>
      <c r="Z35" s="13">
        <f>'TUSD BE'!$Z$35*'TUSD BE'!$Z$62</f>
        <v>0</v>
      </c>
      <c r="AA35" s="13">
        <f>'TUSD BE'!$AA$35*'TUSD BE'!$AA$62</f>
        <v>0</v>
      </c>
      <c r="AB35" s="13">
        <f>SUM($U$35:$AA$35)</f>
        <v>12.109721169953797</v>
      </c>
      <c r="AC35" s="13">
        <f>'TUSD BE'!$AC$35*'TUSD BE'!$AC$62</f>
        <v>1.376466662666259E-2</v>
      </c>
      <c r="AD35" s="13">
        <f>SUM($AC$35:$AC$35)</f>
        <v>1.376466662666259E-2</v>
      </c>
      <c r="AE35" s="13">
        <f ca="1">$AO$35*$AO$59</f>
        <v>-25.762458721649082</v>
      </c>
      <c r="AF35" s="13">
        <f ca="1">$AP$35*$AP$59</f>
        <v>0</v>
      </c>
      <c r="AG35" s="13">
        <f ca="1">SUM($AE$35:$AF$35)</f>
        <v>-25.762458721649082</v>
      </c>
      <c r="AH35" s="13">
        <f>'TUSD BE'!$AH$35*'TUSD BE'!$AH$62</f>
        <v>9.6817791535764128E-2</v>
      </c>
      <c r="AI35" s="13">
        <f>'TUSD BE'!$AI$35*'TUSD BE'!$AI$62</f>
        <v>0</v>
      </c>
      <c r="AJ35" s="13">
        <f ca="1">'TUSD BE'!$AJ$35*'TUSD BE'!$AJ$62</f>
        <v>5.679034148595657E-3</v>
      </c>
      <c r="AK35" s="13">
        <f ca="1">'TUSD BE'!$AK$35*'TUSD BE'!$AK$62</f>
        <v>1.3943273361419074E-2</v>
      </c>
      <c r="AL35" s="13">
        <f ca="1">SUM($AH$35:$AK$35)</f>
        <v>0.11644009904577887</v>
      </c>
      <c r="AM35" s="13">
        <f ca="1">SUMIF($L$4:$AL$4,"SUBTOTAL",$L$35:$AL$35)</f>
        <v>-8.9217935054374209</v>
      </c>
      <c r="AO35" s="26">
        <f ca="1">+'TUSD BE'!$T$35+'TUSD BE'!$AB$35+'TUSD BE'!$AD$35+'TUSD BE'!$AL$35</f>
        <v>655.79081310202491</v>
      </c>
      <c r="AP35" s="26">
        <f ca="1">+'TUSD BE'!$T$35+'TUSD BE'!$AB$35+'TUSD BE'!$AD$35+'TUSD BE'!$AL$35</f>
        <v>655.79081310202491</v>
      </c>
    </row>
    <row r="36" spans="1:42" ht="11.25" customHeight="1" x14ac:dyDescent="0.3">
      <c r="A36" s="146"/>
      <c r="B36" s="146"/>
      <c r="C36" s="146"/>
      <c r="D36" s="146"/>
      <c r="E36" s="146"/>
      <c r="F36" s="146"/>
      <c r="G36" s="24" t="s">
        <v>80</v>
      </c>
      <c r="H36" s="24" t="s">
        <v>78</v>
      </c>
      <c r="I36" s="24">
        <f>'MERCADO TUSD'!$U$33</f>
        <v>0</v>
      </c>
      <c r="J36" s="15"/>
      <c r="L36" s="13">
        <f>'TUSD BE'!$L$36*'TUSD BE'!$L$62</f>
        <v>0.11582412398668746</v>
      </c>
      <c r="M36" s="13">
        <f>'TUSD BE'!$M$36*'TUSD BE'!$M$62</f>
        <v>3.1450776225263023E-2</v>
      </c>
      <c r="N36" s="13">
        <f ca="1">'TUSD BE'!$N$36*'TUSD BE'!$N$62</f>
        <v>1.0277318429075793E-6</v>
      </c>
      <c r="O36" s="13">
        <f>'TUSD BE'!$O$36*'TUSD BE'!$O$62</f>
        <v>0</v>
      </c>
      <c r="P36" s="13">
        <f>'TUSD BE'!$P$36*'TUSD BE'!$P$62</f>
        <v>0</v>
      </c>
      <c r="Q36" s="13">
        <f>'TUSD BE'!$Q$36*'TUSD BE'!$Q$62</f>
        <v>3.9920921295007172</v>
      </c>
      <c r="R36" s="13">
        <f>'TUSD BE'!$R$36*'TUSD BE'!$R$62</f>
        <v>0.46136832062853605</v>
      </c>
      <c r="S36" s="13">
        <f>'TUSD BE'!$R$36*'TUSD BE'!$S$62</f>
        <v>0</v>
      </c>
      <c r="T36" s="13">
        <f ca="1">SUM($L$36:$S$36)</f>
        <v>4.600736378073047</v>
      </c>
      <c r="U36" s="13">
        <f>'TUSD BE'!$U$36*'TUSD BE'!$U$62</f>
        <v>0</v>
      </c>
      <c r="V36" s="13">
        <f>'TUSD BE'!$V$36*'TUSD BE'!$V$62</f>
        <v>0</v>
      </c>
      <c r="W36" s="13">
        <f>'TUSD BE'!$W$36*'TUSD BE'!$W$62</f>
        <v>0</v>
      </c>
      <c r="X36" s="13">
        <f>'TUSD BE'!$X$36*'TUSD BE'!$X$62</f>
        <v>0</v>
      </c>
      <c r="Y36" s="13">
        <f>'TUSD BE'!$Y$36*'TUSD BE'!$Y$62</f>
        <v>1.9950163514494224</v>
      </c>
      <c r="Z36" s="13">
        <f>'TUSD BE'!$Z$36*'TUSD BE'!$Z$62</f>
        <v>0</v>
      </c>
      <c r="AA36" s="13">
        <f>'TUSD BE'!$AA$36*'TUSD BE'!$AA$62</f>
        <v>0</v>
      </c>
      <c r="AB36" s="13">
        <f>SUM($U$36:$AA$36)</f>
        <v>1.9950163514494224</v>
      </c>
      <c r="AC36" s="13">
        <f>'TUSD BE'!$AC$36*'TUSD BE'!$AC$62</f>
        <v>2.2676544246331694E-3</v>
      </c>
      <c r="AD36" s="13">
        <f>SUM($AC$36:$AC$36)</f>
        <v>2.2676544246331694E-3</v>
      </c>
      <c r="AE36" s="13">
        <f ca="1">$AO$36*$AO$59</f>
        <v>-9.0466462214406427</v>
      </c>
      <c r="AF36" s="13">
        <f ca="1">$AP$36*$AP$59</f>
        <v>0</v>
      </c>
      <c r="AG36" s="13">
        <f ca="1">SUM($AE$36:$AF$36)</f>
        <v>-9.0466462214406427</v>
      </c>
      <c r="AH36" s="13">
        <f>'TUSD BE'!$AH$36*'TUSD BE'!$AH$62</f>
        <v>9.6817791535764128E-2</v>
      </c>
      <c r="AI36" s="13">
        <f>'TUSD BE'!$AI$36*'TUSD BE'!$AI$62</f>
        <v>0</v>
      </c>
      <c r="AJ36" s="13">
        <f ca="1">'TUSD BE'!$AJ$36*'TUSD BE'!$AJ$62</f>
        <v>5.679034148595657E-3</v>
      </c>
      <c r="AK36" s="13">
        <f ca="1">'TUSD BE'!$AK$36*'TUSD BE'!$AK$62</f>
        <v>1.3943273361419074E-2</v>
      </c>
      <c r="AL36" s="13">
        <f ca="1">SUM($AH$36:$AK$36)</f>
        <v>0.11644009904577887</v>
      </c>
      <c r="AM36" s="13">
        <f ca="1">SUMIF($L$4:$AL$4,"SUBTOTAL",$L$36:$AL$36)</f>
        <v>-2.3321857384477611</v>
      </c>
      <c r="AO36" s="26">
        <f ca="1">+'TUSD BE'!$T$36+'TUSD BE'!$AB$36+'TUSD BE'!$AD$36+'TUSD BE'!$AL$36</f>
        <v>230.28498737270996</v>
      </c>
      <c r="AP36" s="26">
        <f ca="1">+'TUSD BE'!$T$36+'TUSD BE'!$AB$36+'TUSD BE'!$AD$36+'TUSD BE'!$AL$36</f>
        <v>230.28498737270996</v>
      </c>
    </row>
    <row r="37" spans="1:42" ht="11.25" customHeight="1" x14ac:dyDescent="0.3">
      <c r="A37" s="146"/>
      <c r="B37" s="23" t="s">
        <v>23</v>
      </c>
      <c r="C37" s="23" t="s">
        <v>42</v>
      </c>
      <c r="D37" s="23" t="s">
        <v>25</v>
      </c>
      <c r="E37" s="23" t="s">
        <v>25</v>
      </c>
      <c r="F37" s="23" t="s">
        <v>25</v>
      </c>
      <c r="G37" s="24" t="s">
        <v>84</v>
      </c>
      <c r="H37" s="24" t="s">
        <v>78</v>
      </c>
      <c r="I37" s="24">
        <f>'MERCADO TUSD'!$U$34</f>
        <v>3112.8609999999999</v>
      </c>
      <c r="J37" s="15"/>
      <c r="L37" s="13">
        <f>'TUSD BE'!$L$37*'TUSD BE'!$L$62</f>
        <v>0.11582412398668746</v>
      </c>
      <c r="M37" s="13">
        <f>'TUSD BE'!$M$37*'TUSD BE'!$M$62</f>
        <v>3.1450776225263023E-2</v>
      </c>
      <c r="N37" s="13">
        <f ca="1">'TUSD BE'!$N$37*'TUSD BE'!$N$62</f>
        <v>2.4998425446476113E-6</v>
      </c>
      <c r="O37" s="13">
        <f>'TUSD BE'!$O$37*'TUSD BE'!$O$62</f>
        <v>0</v>
      </c>
      <c r="P37" s="13">
        <f>'TUSD BE'!$P$37*'TUSD BE'!$P$62</f>
        <v>0</v>
      </c>
      <c r="Q37" s="13">
        <f>'TUSD BE'!$Q$37*'TUSD BE'!$Q$62</f>
        <v>3.9920921295007172</v>
      </c>
      <c r="R37" s="13">
        <f>'TUSD BE'!$R$37*'TUSD BE'!$R$62</f>
        <v>0.46136832062853605</v>
      </c>
      <c r="S37" s="13">
        <f>'TUSD BE'!$R$37*'TUSD BE'!$S$62</f>
        <v>0</v>
      </c>
      <c r="T37" s="13">
        <f ca="1">SUM($L$37:$S$37)</f>
        <v>4.6007378501837488</v>
      </c>
      <c r="U37" s="13">
        <f>'TUSD BE'!$U$37*'TUSD BE'!$U$62</f>
        <v>0</v>
      </c>
      <c r="V37" s="13">
        <f>'TUSD BE'!$V$37*'TUSD BE'!$V$62</f>
        <v>0</v>
      </c>
      <c r="W37" s="13">
        <f>'TUSD BE'!$W$37*'TUSD BE'!$W$62</f>
        <v>0</v>
      </c>
      <c r="X37" s="13">
        <f>'TUSD BE'!$X$37*'TUSD BE'!$X$62</f>
        <v>0</v>
      </c>
      <c r="Y37" s="13">
        <f>'TUSD BE'!$Y$37*'TUSD BE'!$Y$62</f>
        <v>7.1250374663485365</v>
      </c>
      <c r="Z37" s="13">
        <f>'TUSD BE'!$Z$37*'TUSD BE'!$Z$62</f>
        <v>0</v>
      </c>
      <c r="AA37" s="13">
        <f>'TUSD BE'!$AA$37*'TUSD BE'!$AA$62</f>
        <v>0</v>
      </c>
      <c r="AB37" s="13">
        <f>SUM($U$37:$AA$37)</f>
        <v>7.1250374663485365</v>
      </c>
      <c r="AC37" s="13">
        <f>'TUSD BE'!$AC$37*'TUSD BE'!$AC$62</f>
        <v>8.0987683701646291E-3</v>
      </c>
      <c r="AD37" s="13">
        <f>SUM($AC$37:$AC$37)</f>
        <v>8.0987683701646291E-3</v>
      </c>
      <c r="AE37" s="13">
        <f ca="1">$AO$37*$AO$59</f>
        <v>-17.524654495650299</v>
      </c>
      <c r="AF37" s="13">
        <f ca="1">$AP$37*$AP$59</f>
        <v>0</v>
      </c>
      <c r="AG37" s="13">
        <f ca="1">SUM($AE$37:$AF$37)</f>
        <v>-17.524654495650299</v>
      </c>
      <c r="AH37" s="13">
        <f>'TUSD BE'!$AH$37*'TUSD BE'!$AH$62</f>
        <v>9.6817791535764128E-2</v>
      </c>
      <c r="AI37" s="13">
        <f>'TUSD BE'!$AI$37*'TUSD BE'!$AI$62</f>
        <v>0</v>
      </c>
      <c r="AJ37" s="13">
        <f ca="1">'TUSD BE'!$AJ$37*'TUSD BE'!$AJ$62</f>
        <v>5.679034148595657E-3</v>
      </c>
      <c r="AK37" s="13">
        <f ca="1">'TUSD BE'!$AK$37*'TUSD BE'!$AK$62</f>
        <v>1.3943273361419074E-2</v>
      </c>
      <c r="AL37" s="13">
        <f ca="1">SUM($AH$37:$AK$37)</f>
        <v>0.11644009904577887</v>
      </c>
      <c r="AM37" s="13">
        <f ca="1">SUMIF($L$4:$AL$4,"SUBTOTAL",$L$37:$AL$37)</f>
        <v>-5.6743403117020712</v>
      </c>
      <c r="AO37" s="26">
        <f ca="1">+'TUSD BE'!$T$37+'TUSD BE'!$AB$37+'TUSD BE'!$AD$37+'TUSD BE'!$AL$37</f>
        <v>446.09513188184229</v>
      </c>
      <c r="AP37" s="26">
        <f ca="1">+'TUSD BE'!$T$37+'TUSD BE'!$AB$37+'TUSD BE'!$AD$37+'TUSD BE'!$AL$37</f>
        <v>446.09513188184229</v>
      </c>
    </row>
    <row r="38" spans="1:42" ht="11.25" customHeight="1" x14ac:dyDescent="0.3">
      <c r="A38" s="146"/>
      <c r="B38" s="146" t="s">
        <v>38</v>
      </c>
      <c r="C38" s="146" t="s">
        <v>42</v>
      </c>
      <c r="D38" s="146" t="s">
        <v>93</v>
      </c>
      <c r="E38" s="146" t="s">
        <v>25</v>
      </c>
      <c r="F38" s="146" t="s">
        <v>25</v>
      </c>
      <c r="G38" s="24" t="s">
        <v>79</v>
      </c>
      <c r="H38" s="24" t="s">
        <v>78</v>
      </c>
      <c r="I38" s="24">
        <f>'MERCADO TUSD'!$U$35</f>
        <v>0</v>
      </c>
      <c r="J38" s="15"/>
      <c r="L38" s="13">
        <f>'TUSD BE'!$L$38*'TUSD BE'!$L$62</f>
        <v>0.11582412398668746</v>
      </c>
      <c r="M38" s="13">
        <f>'TUSD BE'!$M$38*'TUSD BE'!$M$62</f>
        <v>3.1450776225263023E-2</v>
      </c>
      <c r="N38" s="13">
        <f ca="1">'TUSD BE'!$N$38*'TUSD BE'!$N$62</f>
        <v>1.2946925050783235E-5</v>
      </c>
      <c r="O38" s="13">
        <f>'TUSD BE'!$O$38*'TUSD BE'!$O$62</f>
        <v>0</v>
      </c>
      <c r="P38" s="13">
        <f>'TUSD BE'!$P$38*'TUSD BE'!$P$62</f>
        <v>0</v>
      </c>
      <c r="Q38" s="13">
        <f>'TUSD BE'!$Q$38*'TUSD BE'!$Q$62</f>
        <v>3.9920921295007172</v>
      </c>
      <c r="R38" s="13">
        <f>'TUSD BE'!$R$38*'TUSD BE'!$R$62</f>
        <v>0.46136832062853605</v>
      </c>
      <c r="S38" s="13">
        <f>'TUSD BE'!$R$38*'TUSD BE'!$S$62</f>
        <v>0</v>
      </c>
      <c r="T38" s="13">
        <f ca="1">SUM($L$38:$S$38)</f>
        <v>4.6007482972662546</v>
      </c>
      <c r="U38" s="13">
        <f>'TUSD BE'!$U$38*'TUSD BE'!$U$62</f>
        <v>0</v>
      </c>
      <c r="V38" s="13">
        <f>'TUSD BE'!$V$38*'TUSD BE'!$V$62</f>
        <v>0</v>
      </c>
      <c r="W38" s="13">
        <f>'TUSD BE'!$W$38*'TUSD BE'!$W$62</f>
        <v>0</v>
      </c>
      <c r="X38" s="13">
        <f>'TUSD BE'!$X$38*'TUSD BE'!$X$62</f>
        <v>0</v>
      </c>
      <c r="Y38" s="13">
        <f>'TUSD BE'!$Y$38*'TUSD BE'!$Y$62</f>
        <v>43.531137129159823</v>
      </c>
      <c r="Z38" s="13">
        <f>'TUSD BE'!$Z$38*'TUSD BE'!$Z$62</f>
        <v>0</v>
      </c>
      <c r="AA38" s="13">
        <f>'TUSD BE'!$AA$38*'TUSD BE'!$AA$62</f>
        <v>0</v>
      </c>
      <c r="AB38" s="13">
        <f>SUM($U$38:$AA$38)</f>
        <v>43.531137129159823</v>
      </c>
      <c r="AC38" s="13">
        <f>'TUSD BE'!$AC$38*'TUSD BE'!$AC$62</f>
        <v>4.9480240666500475E-2</v>
      </c>
      <c r="AD38" s="13">
        <f>SUM($AC$38:$AC$38)</f>
        <v>4.9480240666500475E-2</v>
      </c>
      <c r="AE38" s="13">
        <f ca="1">$AO$38*$AO$59</f>
        <v>-77.690279876750139</v>
      </c>
      <c r="AF38" s="13">
        <f ca="1">$AP$38*$AP$59</f>
        <v>0</v>
      </c>
      <c r="AG38" s="13">
        <f ca="1">SUM($AE$38:$AF$38)</f>
        <v>-77.690279876750139</v>
      </c>
      <c r="AH38" s="13">
        <f>'TUSD BE'!$AH$38*'TUSD BE'!$AH$62</f>
        <v>9.6817791535764128E-2</v>
      </c>
      <c r="AI38" s="13">
        <f>'TUSD BE'!$AI$38*'TUSD BE'!$AI$62</f>
        <v>0</v>
      </c>
      <c r="AJ38" s="13">
        <f ca="1">'TUSD BE'!$AJ$38*'TUSD BE'!$AJ$62</f>
        <v>5.679034148595657E-3</v>
      </c>
      <c r="AK38" s="13">
        <f ca="1">'TUSD BE'!$AK$38*'TUSD BE'!$AK$62</f>
        <v>1.3943273361419074E-2</v>
      </c>
      <c r="AL38" s="13">
        <f ca="1">SUM($AH$38:$AK$38)</f>
        <v>0.11644009904577887</v>
      </c>
      <c r="AM38" s="13">
        <f ca="1">SUMIF($L$4:$AL$4,"SUBTOTAL",$L$38:$AL$38)</f>
        <v>-29.392474110611783</v>
      </c>
      <c r="AO38" s="26">
        <f ca="1">+'TUSD BE'!$T$38+'TUSD BE'!$AB$38+'TUSD BE'!$AD$38+'TUSD BE'!$AL$38</f>
        <v>1977.6284694319186</v>
      </c>
      <c r="AP38" s="26">
        <f ca="1">+'TUSD BE'!$T$38+'TUSD BE'!$AB$38+'TUSD BE'!$AD$38+'TUSD BE'!$AL$38</f>
        <v>1977.6284694319186</v>
      </c>
    </row>
    <row r="39" spans="1:42" ht="11.25" customHeight="1" x14ac:dyDescent="0.3">
      <c r="A39" s="146"/>
      <c r="B39" s="146"/>
      <c r="C39" s="146"/>
      <c r="D39" s="146"/>
      <c r="E39" s="146"/>
      <c r="F39" s="146"/>
      <c r="G39" s="24" t="s">
        <v>89</v>
      </c>
      <c r="H39" s="24" t="s">
        <v>78</v>
      </c>
      <c r="I39" s="24">
        <f>'MERCADO TUSD'!$U$36</f>
        <v>0</v>
      </c>
      <c r="J39" s="15"/>
      <c r="L39" s="13">
        <f>'TUSD BE'!$L$39*'TUSD BE'!$L$62</f>
        <v>0.11582412398668746</v>
      </c>
      <c r="M39" s="13">
        <f>'TUSD BE'!$M$39*'TUSD BE'!$M$62</f>
        <v>3.1450776225263023E-2</v>
      </c>
      <c r="N39" s="13">
        <f ca="1">'TUSD BE'!$N$39*'TUSD BE'!$N$62</f>
        <v>3.9302442173386072E-6</v>
      </c>
      <c r="O39" s="13">
        <f>'TUSD BE'!$O$39*'TUSD BE'!$O$62</f>
        <v>0</v>
      </c>
      <c r="P39" s="13">
        <f>'TUSD BE'!$P$39*'TUSD BE'!$P$62</f>
        <v>0</v>
      </c>
      <c r="Q39" s="13">
        <f>'TUSD BE'!$Q$39*'TUSD BE'!$Q$62</f>
        <v>3.9920921295007172</v>
      </c>
      <c r="R39" s="13">
        <f>'TUSD BE'!$R$39*'TUSD BE'!$R$62</f>
        <v>0.46136832062853605</v>
      </c>
      <c r="S39" s="13">
        <f>'TUSD BE'!$R$39*'TUSD BE'!$S$62</f>
        <v>0</v>
      </c>
      <c r="T39" s="13">
        <f ca="1">SUM($L$39:$S$39)</f>
        <v>4.6007392805854215</v>
      </c>
      <c r="U39" s="13">
        <f>'TUSD BE'!$U$39*'TUSD BE'!$U$62</f>
        <v>0</v>
      </c>
      <c r="V39" s="13">
        <f>'TUSD BE'!$V$39*'TUSD BE'!$V$62</f>
        <v>0</v>
      </c>
      <c r="W39" s="13">
        <f>'TUSD BE'!$W$39*'TUSD BE'!$W$62</f>
        <v>0</v>
      </c>
      <c r="X39" s="13">
        <f>'TUSD BE'!$X$39*'TUSD BE'!$X$62</f>
        <v>0</v>
      </c>
      <c r="Y39" s="13">
        <f>'TUSD BE'!$Y$39*'TUSD BE'!$Y$62</f>
        <v>12.109721169953797</v>
      </c>
      <c r="Z39" s="13">
        <f>'TUSD BE'!$Z$39*'TUSD BE'!$Z$62</f>
        <v>0</v>
      </c>
      <c r="AA39" s="13">
        <f>'TUSD BE'!$AA$39*'TUSD BE'!$AA$62</f>
        <v>0</v>
      </c>
      <c r="AB39" s="13">
        <f>SUM($U$39:$AA$39)</f>
        <v>12.109721169953797</v>
      </c>
      <c r="AC39" s="13">
        <f>'TUSD BE'!$AC$39*'TUSD BE'!$AC$62</f>
        <v>1.376466662666259E-2</v>
      </c>
      <c r="AD39" s="13">
        <f>SUM($AC$39:$AC$39)</f>
        <v>1.376466662666259E-2</v>
      </c>
      <c r="AE39" s="13">
        <f ca="1">$AO$39*$AO$59</f>
        <v>-25.762458721649082</v>
      </c>
      <c r="AF39" s="13">
        <f ca="1">$AP$39*$AP$59</f>
        <v>0</v>
      </c>
      <c r="AG39" s="13">
        <f ca="1">SUM($AE$39:$AF$39)</f>
        <v>-25.762458721649082</v>
      </c>
      <c r="AH39" s="13">
        <f>'TUSD BE'!$AH$39*'TUSD BE'!$AH$62</f>
        <v>9.6817791535764128E-2</v>
      </c>
      <c r="AI39" s="13">
        <f>'TUSD BE'!$AI$39*'TUSD BE'!$AI$62</f>
        <v>0</v>
      </c>
      <c r="AJ39" s="13">
        <f ca="1">'TUSD BE'!$AJ$39*'TUSD BE'!$AJ$62</f>
        <v>5.679034148595657E-3</v>
      </c>
      <c r="AK39" s="13">
        <f ca="1">'TUSD BE'!$AK$39*'TUSD BE'!$AK$62</f>
        <v>1.3943273361419074E-2</v>
      </c>
      <c r="AL39" s="13">
        <f ca="1">SUM($AH$39:$AK$39)</f>
        <v>0.11644009904577887</v>
      </c>
      <c r="AM39" s="13">
        <f ca="1">SUMIF($L$4:$AL$4,"SUBTOTAL",$L$39:$AL$39)</f>
        <v>-8.9217935054374209</v>
      </c>
      <c r="AO39" s="26">
        <f ca="1">+'TUSD BE'!$T$39+'TUSD BE'!$AB$39+'TUSD BE'!$AD$39+'TUSD BE'!$AL$39</f>
        <v>655.79081310202491</v>
      </c>
      <c r="AP39" s="26">
        <f ca="1">+'TUSD BE'!$T$39+'TUSD BE'!$AB$39+'TUSD BE'!$AD$39+'TUSD BE'!$AL$39</f>
        <v>655.79081310202491</v>
      </c>
    </row>
    <row r="40" spans="1:42" ht="11.25" customHeight="1" x14ac:dyDescent="0.3">
      <c r="A40" s="146"/>
      <c r="B40" s="146"/>
      <c r="C40" s="146"/>
      <c r="D40" s="146"/>
      <c r="E40" s="146"/>
      <c r="F40" s="146"/>
      <c r="G40" s="24" t="s">
        <v>80</v>
      </c>
      <c r="H40" s="24" t="s">
        <v>78</v>
      </c>
      <c r="I40" s="24">
        <f>'MERCADO TUSD'!$U$37</f>
        <v>0</v>
      </c>
      <c r="J40" s="15"/>
      <c r="L40" s="13">
        <f>'TUSD BE'!$L$40*'TUSD BE'!$L$62</f>
        <v>0.11582412398668746</v>
      </c>
      <c r="M40" s="13">
        <f>'TUSD BE'!$M$40*'TUSD BE'!$M$62</f>
        <v>3.1450776225263023E-2</v>
      </c>
      <c r="N40" s="13">
        <f ca="1">'TUSD BE'!$N$40*'TUSD BE'!$N$62</f>
        <v>1.0277318429075793E-6</v>
      </c>
      <c r="O40" s="13">
        <f>'TUSD BE'!$O$40*'TUSD BE'!$O$62</f>
        <v>0</v>
      </c>
      <c r="P40" s="13">
        <f>'TUSD BE'!$P$40*'TUSD BE'!$P$62</f>
        <v>0</v>
      </c>
      <c r="Q40" s="13">
        <f>'TUSD BE'!$Q$40*'TUSD BE'!$Q$62</f>
        <v>3.9920921295007172</v>
      </c>
      <c r="R40" s="13">
        <f>'TUSD BE'!$R$40*'TUSD BE'!$R$62</f>
        <v>0.46136832062853605</v>
      </c>
      <c r="S40" s="13">
        <f>'TUSD BE'!$R$40*'TUSD BE'!$S$62</f>
        <v>0</v>
      </c>
      <c r="T40" s="13">
        <f ca="1">SUM($L$40:$S$40)</f>
        <v>4.600736378073047</v>
      </c>
      <c r="U40" s="13">
        <f>'TUSD BE'!$U$40*'TUSD BE'!$U$62</f>
        <v>0</v>
      </c>
      <c r="V40" s="13">
        <f>'TUSD BE'!$V$40*'TUSD BE'!$V$62</f>
        <v>0</v>
      </c>
      <c r="W40" s="13">
        <f>'TUSD BE'!$W$40*'TUSD BE'!$W$62</f>
        <v>0</v>
      </c>
      <c r="X40" s="13">
        <f>'TUSD BE'!$X$40*'TUSD BE'!$X$62</f>
        <v>0</v>
      </c>
      <c r="Y40" s="13">
        <f>'TUSD BE'!$Y$40*'TUSD BE'!$Y$62</f>
        <v>1.9950163514494224</v>
      </c>
      <c r="Z40" s="13">
        <f>'TUSD BE'!$Z$40*'TUSD BE'!$Z$62</f>
        <v>0</v>
      </c>
      <c r="AA40" s="13">
        <f>'TUSD BE'!$AA$40*'TUSD BE'!$AA$62</f>
        <v>0</v>
      </c>
      <c r="AB40" s="13">
        <f>SUM($U$40:$AA$40)</f>
        <v>1.9950163514494224</v>
      </c>
      <c r="AC40" s="13">
        <f>'TUSD BE'!$AC$40*'TUSD BE'!$AC$62</f>
        <v>2.2676544246331694E-3</v>
      </c>
      <c r="AD40" s="13">
        <f>SUM($AC$40:$AC$40)</f>
        <v>2.2676544246331694E-3</v>
      </c>
      <c r="AE40" s="13">
        <f ca="1">$AO$40*$AO$59</f>
        <v>-9.0466462214406427</v>
      </c>
      <c r="AF40" s="13">
        <f ca="1">$AP$40*$AP$59</f>
        <v>0</v>
      </c>
      <c r="AG40" s="13">
        <f ca="1">SUM($AE$40:$AF$40)</f>
        <v>-9.0466462214406427</v>
      </c>
      <c r="AH40" s="13">
        <f>'TUSD BE'!$AH$40*'TUSD BE'!$AH$62</f>
        <v>9.6817791535764128E-2</v>
      </c>
      <c r="AI40" s="13">
        <f>'TUSD BE'!$AI$40*'TUSD BE'!$AI$62</f>
        <v>0</v>
      </c>
      <c r="AJ40" s="13">
        <f ca="1">'TUSD BE'!$AJ$40*'TUSD BE'!$AJ$62</f>
        <v>5.679034148595657E-3</v>
      </c>
      <c r="AK40" s="13">
        <f ca="1">'TUSD BE'!$AK$40*'TUSD BE'!$AK$62</f>
        <v>1.3943273361419074E-2</v>
      </c>
      <c r="AL40" s="13">
        <f ca="1">SUM($AH$40:$AK$40)</f>
        <v>0.11644009904577887</v>
      </c>
      <c r="AM40" s="13">
        <f ca="1">SUMIF($L$4:$AL$4,"SUBTOTAL",$L$40:$AL$40)</f>
        <v>-2.3321857384477611</v>
      </c>
      <c r="AO40" s="26">
        <f ca="1">+'TUSD BE'!$T$40+'TUSD BE'!$AB$40+'TUSD BE'!$AD$40+'TUSD BE'!$AL$40</f>
        <v>230.28498737270996</v>
      </c>
      <c r="AP40" s="26">
        <f ca="1">+'TUSD BE'!$T$40+'TUSD BE'!$AB$40+'TUSD BE'!$AD$40+'TUSD BE'!$AL$40</f>
        <v>230.28498737270996</v>
      </c>
    </row>
    <row r="41" spans="1:42" ht="11.25" customHeight="1" x14ac:dyDescent="0.3">
      <c r="A41" s="146"/>
      <c r="B41" s="23" t="s">
        <v>23</v>
      </c>
      <c r="C41" s="23" t="s">
        <v>42</v>
      </c>
      <c r="D41" s="23" t="s">
        <v>93</v>
      </c>
      <c r="E41" s="23" t="s">
        <v>25</v>
      </c>
      <c r="F41" s="23" t="s">
        <v>25</v>
      </c>
      <c r="G41" s="24" t="s">
        <v>84</v>
      </c>
      <c r="H41" s="24" t="s">
        <v>78</v>
      </c>
      <c r="I41" s="24">
        <f>'MERCADO TUSD'!$U$38</f>
        <v>0</v>
      </c>
      <c r="J41" s="15"/>
      <c r="L41" s="13">
        <f>'TUSD BE'!$L$41*'TUSD BE'!$L$62</f>
        <v>0.11582412398668746</v>
      </c>
      <c r="M41" s="13">
        <f>'TUSD BE'!$M$41*'TUSD BE'!$M$62</f>
        <v>3.1450776225263023E-2</v>
      </c>
      <c r="N41" s="13">
        <f ca="1">'TUSD BE'!$N$41*'TUSD BE'!$N$62</f>
        <v>2.4998425446476113E-6</v>
      </c>
      <c r="O41" s="13">
        <f>'TUSD BE'!$O$41*'TUSD BE'!$O$62</f>
        <v>0</v>
      </c>
      <c r="P41" s="13">
        <f>'TUSD BE'!$P$41*'TUSD BE'!$P$62</f>
        <v>0</v>
      </c>
      <c r="Q41" s="13">
        <f>'TUSD BE'!$Q$41*'TUSD BE'!$Q$62</f>
        <v>3.9920921295007172</v>
      </c>
      <c r="R41" s="13">
        <f>'TUSD BE'!$R$41*'TUSD BE'!$R$62</f>
        <v>0.46136832062853605</v>
      </c>
      <c r="S41" s="13">
        <f>'TUSD BE'!$R$41*'TUSD BE'!$S$62</f>
        <v>0</v>
      </c>
      <c r="T41" s="13">
        <f ca="1">SUM($L$41:$S$41)</f>
        <v>4.6007378501837488</v>
      </c>
      <c r="U41" s="13">
        <f>'TUSD BE'!$U$41*'TUSD BE'!$U$62</f>
        <v>0</v>
      </c>
      <c r="V41" s="13">
        <f>'TUSD BE'!$V$41*'TUSD BE'!$V$62</f>
        <v>0</v>
      </c>
      <c r="W41" s="13">
        <f>'TUSD BE'!$W$41*'TUSD BE'!$W$62</f>
        <v>0</v>
      </c>
      <c r="X41" s="13">
        <f>'TUSD BE'!$X$41*'TUSD BE'!$X$62</f>
        <v>0</v>
      </c>
      <c r="Y41" s="13">
        <f>'TUSD BE'!$Y$41*'TUSD BE'!$Y$62</f>
        <v>7.1250374663485365</v>
      </c>
      <c r="Z41" s="13">
        <f>'TUSD BE'!$Z$41*'TUSD BE'!$Z$62</f>
        <v>0</v>
      </c>
      <c r="AA41" s="13">
        <f>'TUSD BE'!$AA$41*'TUSD BE'!$AA$62</f>
        <v>0</v>
      </c>
      <c r="AB41" s="13">
        <f>SUM($U$41:$AA$41)</f>
        <v>7.1250374663485365</v>
      </c>
      <c r="AC41" s="13">
        <f>'TUSD BE'!$AC$41*'TUSD BE'!$AC$62</f>
        <v>8.0987683701646291E-3</v>
      </c>
      <c r="AD41" s="13">
        <f>SUM($AC$41:$AC$41)</f>
        <v>8.0987683701646291E-3</v>
      </c>
      <c r="AE41" s="13">
        <f ca="1">$AO$41*$AO$59</f>
        <v>-17.524654495650299</v>
      </c>
      <c r="AF41" s="13">
        <f ca="1">$AP$41*$AP$59</f>
        <v>0</v>
      </c>
      <c r="AG41" s="13">
        <f ca="1">SUM($AE$41:$AF$41)</f>
        <v>-17.524654495650299</v>
      </c>
      <c r="AH41" s="13">
        <f>'TUSD BE'!$AH$41*'TUSD BE'!$AH$62</f>
        <v>9.6817791535764128E-2</v>
      </c>
      <c r="AI41" s="13">
        <f>'TUSD BE'!$AI$41*'TUSD BE'!$AI$62</f>
        <v>0</v>
      </c>
      <c r="AJ41" s="13">
        <f ca="1">'TUSD BE'!$AJ$41*'TUSD BE'!$AJ$62</f>
        <v>5.679034148595657E-3</v>
      </c>
      <c r="AK41" s="13">
        <f ca="1">'TUSD BE'!$AK$41*'TUSD BE'!$AK$62</f>
        <v>1.3943273361419074E-2</v>
      </c>
      <c r="AL41" s="13">
        <f ca="1">SUM($AH$41:$AK$41)</f>
        <v>0.11644009904577887</v>
      </c>
      <c r="AM41" s="13">
        <f ca="1">SUMIF($L$4:$AL$4,"SUBTOTAL",$L$41:$AL$41)</f>
        <v>-5.6743403117020712</v>
      </c>
      <c r="AO41" s="26">
        <f ca="1">+'TUSD BE'!$T$41+'TUSD BE'!$AB$41+'TUSD BE'!$AD$41+'TUSD BE'!$AL$41</f>
        <v>446.09513188184229</v>
      </c>
      <c r="AP41" s="26">
        <f ca="1">+'TUSD BE'!$T$41+'TUSD BE'!$AB$41+'TUSD BE'!$AD$41+'TUSD BE'!$AL$41</f>
        <v>446.09513188184229</v>
      </c>
    </row>
    <row r="42" spans="1:42" ht="11.25" customHeight="1" x14ac:dyDescent="0.3">
      <c r="A42" s="146"/>
      <c r="B42" s="146" t="s">
        <v>38</v>
      </c>
      <c r="C42" s="146" t="s">
        <v>42</v>
      </c>
      <c r="D42" s="146" t="s">
        <v>94</v>
      </c>
      <c r="E42" s="146" t="s">
        <v>25</v>
      </c>
      <c r="F42" s="146" t="s">
        <v>25</v>
      </c>
      <c r="G42" s="24" t="s">
        <v>79</v>
      </c>
      <c r="H42" s="24" t="s">
        <v>78</v>
      </c>
      <c r="I42" s="24">
        <f>'MERCADO TUSD'!$U$39</f>
        <v>0</v>
      </c>
      <c r="J42" s="15"/>
      <c r="L42" s="13">
        <f>'TUSD BE'!$L$42*'TUSD BE'!$L$62</f>
        <v>0.11582412398668746</v>
      </c>
      <c r="M42" s="13">
        <f>'TUSD BE'!$M$42*'TUSD BE'!$M$62</f>
        <v>3.1450776225263023E-2</v>
      </c>
      <c r="N42" s="13">
        <f ca="1">'TUSD BE'!$N$42*'TUSD BE'!$N$62</f>
        <v>1.2946925050783235E-5</v>
      </c>
      <c r="O42" s="13">
        <f>'TUSD BE'!$O$42*'TUSD BE'!$O$62</f>
        <v>0</v>
      </c>
      <c r="P42" s="13">
        <f>'TUSD BE'!$P$42*'TUSD BE'!$P$62</f>
        <v>0</v>
      </c>
      <c r="Q42" s="13">
        <f>'TUSD BE'!$Q$42*'TUSD BE'!$Q$62</f>
        <v>3.9920921295007172</v>
      </c>
      <c r="R42" s="13">
        <f>'TUSD BE'!$R$42*'TUSD BE'!$R$62</f>
        <v>0.46136832062853605</v>
      </c>
      <c r="S42" s="13">
        <f>'TUSD BE'!$R$42*'TUSD BE'!$S$62</f>
        <v>0</v>
      </c>
      <c r="T42" s="13">
        <f ca="1">SUM($L$42:$S$42)</f>
        <v>4.6007482972662546</v>
      </c>
      <c r="U42" s="13">
        <f>'TUSD BE'!$U$42*'TUSD BE'!$U$62</f>
        <v>0</v>
      </c>
      <c r="V42" s="13">
        <f>'TUSD BE'!$V$42*'TUSD BE'!$V$62</f>
        <v>0</v>
      </c>
      <c r="W42" s="13">
        <f>'TUSD BE'!$W$42*'TUSD BE'!$W$62</f>
        <v>0</v>
      </c>
      <c r="X42" s="13">
        <f>'TUSD BE'!$X$42*'TUSD BE'!$X$62</f>
        <v>0</v>
      </c>
      <c r="Y42" s="13">
        <f>'TUSD BE'!$Y$42*'TUSD BE'!$Y$62</f>
        <v>43.531137129159823</v>
      </c>
      <c r="Z42" s="13">
        <f>'TUSD BE'!$Z$42*'TUSD BE'!$Z$62</f>
        <v>0</v>
      </c>
      <c r="AA42" s="13">
        <f>'TUSD BE'!$AA$42*'TUSD BE'!$AA$62</f>
        <v>0</v>
      </c>
      <c r="AB42" s="13">
        <f>SUM($U$42:$AA$42)</f>
        <v>43.531137129159823</v>
      </c>
      <c r="AC42" s="13">
        <f>'TUSD BE'!$AC$42*'TUSD BE'!$AC$62</f>
        <v>4.9480240666500475E-2</v>
      </c>
      <c r="AD42" s="13">
        <f>SUM($AC$42:$AC$42)</f>
        <v>4.9480240666500475E-2</v>
      </c>
      <c r="AE42" s="13">
        <f ca="1">$AO$42*$AO$59</f>
        <v>-77.690279876750139</v>
      </c>
      <c r="AF42" s="13">
        <f ca="1">$AP$42*$AP$59</f>
        <v>0</v>
      </c>
      <c r="AG42" s="13">
        <f ca="1">SUM($AE$42:$AF$42)</f>
        <v>-77.690279876750139</v>
      </c>
      <c r="AH42" s="13">
        <f>'TUSD BE'!$AH$42*'TUSD BE'!$AH$62</f>
        <v>9.6817791535764128E-2</v>
      </c>
      <c r="AI42" s="13">
        <f>'TUSD BE'!$AI$42*'TUSD BE'!$AI$62</f>
        <v>0</v>
      </c>
      <c r="AJ42" s="13">
        <f ca="1">'TUSD BE'!$AJ$42*'TUSD BE'!$AJ$62</f>
        <v>5.679034148595657E-3</v>
      </c>
      <c r="AK42" s="13">
        <f ca="1">'TUSD BE'!$AK$42*'TUSD BE'!$AK$62</f>
        <v>1.3943273361419074E-2</v>
      </c>
      <c r="AL42" s="13">
        <f ca="1">SUM($AH$42:$AK$42)</f>
        <v>0.11644009904577887</v>
      </c>
      <c r="AM42" s="13">
        <f ca="1">SUMIF($L$4:$AL$4,"SUBTOTAL",$L$42:$AL$42)</f>
        <v>-29.392474110611783</v>
      </c>
      <c r="AO42" s="26">
        <f ca="1">+'TUSD BE'!$T$42+'TUSD BE'!$AB$42+'TUSD BE'!$AD$42+'TUSD BE'!$AL$42</f>
        <v>1977.6284694319186</v>
      </c>
      <c r="AP42" s="26">
        <f ca="1">+'TUSD BE'!$T$42+'TUSD BE'!$AB$42+'TUSD BE'!$AD$42+'TUSD BE'!$AL$42</f>
        <v>1977.6284694319186</v>
      </c>
    </row>
    <row r="43" spans="1:42" ht="11.25" customHeight="1" x14ac:dyDescent="0.3">
      <c r="A43" s="146"/>
      <c r="B43" s="146"/>
      <c r="C43" s="146"/>
      <c r="D43" s="146"/>
      <c r="E43" s="146"/>
      <c r="F43" s="146"/>
      <c r="G43" s="24" t="s">
        <v>89</v>
      </c>
      <c r="H43" s="24" t="s">
        <v>78</v>
      </c>
      <c r="I43" s="24">
        <f>'MERCADO TUSD'!$U$40</f>
        <v>0</v>
      </c>
      <c r="J43" s="15"/>
      <c r="L43" s="13">
        <f>'TUSD BE'!$L$43*'TUSD BE'!$L$62</f>
        <v>0.11582412398668746</v>
      </c>
      <c r="M43" s="13">
        <f>'TUSD BE'!$M$43*'TUSD BE'!$M$62</f>
        <v>3.1450776225263023E-2</v>
      </c>
      <c r="N43" s="13">
        <f ca="1">'TUSD BE'!$N$43*'TUSD BE'!$N$62</f>
        <v>3.9302442173386072E-6</v>
      </c>
      <c r="O43" s="13">
        <f>'TUSD BE'!$O$43*'TUSD BE'!$O$62</f>
        <v>0</v>
      </c>
      <c r="P43" s="13">
        <f>'TUSD BE'!$P$43*'TUSD BE'!$P$62</f>
        <v>0</v>
      </c>
      <c r="Q43" s="13">
        <f>'TUSD BE'!$Q$43*'TUSD BE'!$Q$62</f>
        <v>3.9920921295007172</v>
      </c>
      <c r="R43" s="13">
        <f>'TUSD BE'!$R$43*'TUSD BE'!$R$62</f>
        <v>0.46136832062853605</v>
      </c>
      <c r="S43" s="13">
        <f>'TUSD BE'!$R$43*'TUSD BE'!$S$62</f>
        <v>0</v>
      </c>
      <c r="T43" s="13">
        <f ca="1">SUM($L$43:$S$43)</f>
        <v>4.6007392805854215</v>
      </c>
      <c r="U43" s="13">
        <f>'TUSD BE'!$U$43*'TUSD BE'!$U$62</f>
        <v>0</v>
      </c>
      <c r="V43" s="13">
        <f>'TUSD BE'!$V$43*'TUSD BE'!$V$62</f>
        <v>0</v>
      </c>
      <c r="W43" s="13">
        <f>'TUSD BE'!$W$43*'TUSD BE'!$W$62</f>
        <v>0</v>
      </c>
      <c r="X43" s="13">
        <f>'TUSD BE'!$X$43*'TUSD BE'!$X$62</f>
        <v>0</v>
      </c>
      <c r="Y43" s="13">
        <f>'TUSD BE'!$Y$43*'TUSD BE'!$Y$62</f>
        <v>12.109721169953797</v>
      </c>
      <c r="Z43" s="13">
        <f>'TUSD BE'!$Z$43*'TUSD BE'!$Z$62</f>
        <v>0</v>
      </c>
      <c r="AA43" s="13">
        <f>'TUSD BE'!$AA$43*'TUSD BE'!$AA$62</f>
        <v>0</v>
      </c>
      <c r="AB43" s="13">
        <f>SUM($U$43:$AA$43)</f>
        <v>12.109721169953797</v>
      </c>
      <c r="AC43" s="13">
        <f>'TUSD BE'!$AC$43*'TUSD BE'!$AC$62</f>
        <v>1.376466662666259E-2</v>
      </c>
      <c r="AD43" s="13">
        <f>SUM($AC$43:$AC$43)</f>
        <v>1.376466662666259E-2</v>
      </c>
      <c r="AE43" s="13">
        <f ca="1">$AO$43*$AO$59</f>
        <v>-25.762458721649082</v>
      </c>
      <c r="AF43" s="13">
        <f ca="1">$AP$43*$AP$59</f>
        <v>0</v>
      </c>
      <c r="AG43" s="13">
        <f ca="1">SUM($AE$43:$AF$43)</f>
        <v>-25.762458721649082</v>
      </c>
      <c r="AH43" s="13">
        <f>'TUSD BE'!$AH$43*'TUSD BE'!$AH$62</f>
        <v>9.6817791535764128E-2</v>
      </c>
      <c r="AI43" s="13">
        <f>'TUSD BE'!$AI$43*'TUSD BE'!$AI$62</f>
        <v>0</v>
      </c>
      <c r="AJ43" s="13">
        <f ca="1">'TUSD BE'!$AJ$43*'TUSD BE'!$AJ$62</f>
        <v>5.679034148595657E-3</v>
      </c>
      <c r="AK43" s="13">
        <f ca="1">'TUSD BE'!$AK$43*'TUSD BE'!$AK$62</f>
        <v>1.3943273361419074E-2</v>
      </c>
      <c r="AL43" s="13">
        <f ca="1">SUM($AH$43:$AK$43)</f>
        <v>0.11644009904577887</v>
      </c>
      <c r="AM43" s="13">
        <f ca="1">SUMIF($L$4:$AL$4,"SUBTOTAL",$L$43:$AL$43)</f>
        <v>-8.9217935054374209</v>
      </c>
      <c r="AO43" s="26">
        <f ca="1">+'TUSD BE'!$T$43+'TUSD BE'!$AB$43+'TUSD BE'!$AD$43+'TUSD BE'!$AL$43</f>
        <v>655.79081310202491</v>
      </c>
      <c r="AP43" s="26">
        <f ca="1">+'TUSD BE'!$T$43+'TUSD BE'!$AB$43+'TUSD BE'!$AD$43+'TUSD BE'!$AL$43</f>
        <v>655.79081310202491</v>
      </c>
    </row>
    <row r="44" spans="1:42" ht="11.25" customHeight="1" x14ac:dyDescent="0.3">
      <c r="A44" s="146"/>
      <c r="B44" s="146"/>
      <c r="C44" s="146"/>
      <c r="D44" s="146"/>
      <c r="E44" s="146"/>
      <c r="F44" s="146"/>
      <c r="G44" s="24" t="s">
        <v>80</v>
      </c>
      <c r="H44" s="24" t="s">
        <v>78</v>
      </c>
      <c r="I44" s="24">
        <f>'MERCADO TUSD'!$U$41</f>
        <v>0</v>
      </c>
      <c r="J44" s="15"/>
      <c r="L44" s="13">
        <f>'TUSD BE'!$L$44*'TUSD BE'!$L$62</f>
        <v>0.11582412398668746</v>
      </c>
      <c r="M44" s="13">
        <f>'TUSD BE'!$M$44*'TUSD BE'!$M$62</f>
        <v>3.1450776225263023E-2</v>
      </c>
      <c r="N44" s="13">
        <f ca="1">'TUSD BE'!$N$44*'TUSD BE'!$N$62</f>
        <v>1.0277318429075793E-6</v>
      </c>
      <c r="O44" s="13">
        <f>'TUSD BE'!$O$44*'TUSD BE'!$O$62</f>
        <v>0</v>
      </c>
      <c r="P44" s="13">
        <f>'TUSD BE'!$P$44*'TUSD BE'!$P$62</f>
        <v>0</v>
      </c>
      <c r="Q44" s="13">
        <f>'TUSD BE'!$Q$44*'TUSD BE'!$Q$62</f>
        <v>3.9920921295007172</v>
      </c>
      <c r="R44" s="13">
        <f>'TUSD BE'!$R$44*'TUSD BE'!$R$62</f>
        <v>0.46136832062853605</v>
      </c>
      <c r="S44" s="13">
        <f>'TUSD BE'!$R$44*'TUSD BE'!$S$62</f>
        <v>0</v>
      </c>
      <c r="T44" s="13">
        <f ca="1">SUM($L$44:$S$44)</f>
        <v>4.600736378073047</v>
      </c>
      <c r="U44" s="13">
        <f>'TUSD BE'!$U$44*'TUSD BE'!$U$62</f>
        <v>0</v>
      </c>
      <c r="V44" s="13">
        <f>'TUSD BE'!$V$44*'TUSD BE'!$V$62</f>
        <v>0</v>
      </c>
      <c r="W44" s="13">
        <f>'TUSD BE'!$W$44*'TUSD BE'!$W$62</f>
        <v>0</v>
      </c>
      <c r="X44" s="13">
        <f>'TUSD BE'!$X$44*'TUSD BE'!$X$62</f>
        <v>0</v>
      </c>
      <c r="Y44" s="13">
        <f>'TUSD BE'!$Y$44*'TUSD BE'!$Y$62</f>
        <v>1.9950163514494224</v>
      </c>
      <c r="Z44" s="13">
        <f>'TUSD BE'!$Z$44*'TUSD BE'!$Z$62</f>
        <v>0</v>
      </c>
      <c r="AA44" s="13">
        <f>'TUSD BE'!$AA$44*'TUSD BE'!$AA$62</f>
        <v>0</v>
      </c>
      <c r="AB44" s="13">
        <f>SUM($U$44:$AA$44)</f>
        <v>1.9950163514494224</v>
      </c>
      <c r="AC44" s="13">
        <f>'TUSD BE'!$AC$44*'TUSD BE'!$AC$62</f>
        <v>2.2676544246331694E-3</v>
      </c>
      <c r="AD44" s="13">
        <f>SUM($AC$44:$AC$44)</f>
        <v>2.2676544246331694E-3</v>
      </c>
      <c r="AE44" s="13">
        <f ca="1">$AO$44*$AO$59</f>
        <v>-9.0466462214406427</v>
      </c>
      <c r="AF44" s="13">
        <f ca="1">$AP$44*$AP$59</f>
        <v>0</v>
      </c>
      <c r="AG44" s="13">
        <f ca="1">SUM($AE$44:$AF$44)</f>
        <v>-9.0466462214406427</v>
      </c>
      <c r="AH44" s="13">
        <f>'TUSD BE'!$AH$44*'TUSD BE'!$AH$62</f>
        <v>9.6817791535764128E-2</v>
      </c>
      <c r="AI44" s="13">
        <f>'TUSD BE'!$AI$44*'TUSD BE'!$AI$62</f>
        <v>0</v>
      </c>
      <c r="AJ44" s="13">
        <f ca="1">'TUSD BE'!$AJ$44*'TUSD BE'!$AJ$62</f>
        <v>5.679034148595657E-3</v>
      </c>
      <c r="AK44" s="13">
        <f ca="1">'TUSD BE'!$AK$44*'TUSD BE'!$AK$62</f>
        <v>1.3943273361419074E-2</v>
      </c>
      <c r="AL44" s="13">
        <f ca="1">SUM($AH$44:$AK$44)</f>
        <v>0.11644009904577887</v>
      </c>
      <c r="AM44" s="13">
        <f ca="1">SUMIF($L$4:$AL$4,"SUBTOTAL",$L$44:$AL$44)</f>
        <v>-2.3321857384477611</v>
      </c>
      <c r="AO44" s="26">
        <f ca="1">+'TUSD BE'!$T$44+'TUSD BE'!$AB$44+'TUSD BE'!$AD$44+'TUSD BE'!$AL$44</f>
        <v>230.28498737270996</v>
      </c>
      <c r="AP44" s="26">
        <f ca="1">+'TUSD BE'!$T$44+'TUSD BE'!$AB$44+'TUSD BE'!$AD$44+'TUSD BE'!$AL$44</f>
        <v>230.28498737270996</v>
      </c>
    </row>
    <row r="45" spans="1:42" ht="11.25" customHeight="1" x14ac:dyDescent="0.3">
      <c r="A45" s="146"/>
      <c r="B45" s="23" t="s">
        <v>23</v>
      </c>
      <c r="C45" s="23" t="s">
        <v>42</v>
      </c>
      <c r="D45" s="23" t="s">
        <v>94</v>
      </c>
      <c r="E45" s="23" t="s">
        <v>25</v>
      </c>
      <c r="F45" s="23" t="s">
        <v>25</v>
      </c>
      <c r="G45" s="24" t="s">
        <v>84</v>
      </c>
      <c r="H45" s="24" t="s">
        <v>78</v>
      </c>
      <c r="I45" s="24">
        <f>'MERCADO TUSD'!$U$42</f>
        <v>0</v>
      </c>
      <c r="J45" s="15"/>
      <c r="L45" s="13">
        <f>'TUSD BE'!$L$45*'TUSD BE'!$L$62</f>
        <v>0.11582412398668746</v>
      </c>
      <c r="M45" s="13">
        <f>'TUSD BE'!$M$45*'TUSD BE'!$M$62</f>
        <v>3.1450776225263023E-2</v>
      </c>
      <c r="N45" s="13">
        <f ca="1">'TUSD BE'!$N$45*'TUSD BE'!$N$62</f>
        <v>2.4998425446476113E-6</v>
      </c>
      <c r="O45" s="13">
        <f>'TUSD BE'!$O$45*'TUSD BE'!$O$62</f>
        <v>0</v>
      </c>
      <c r="P45" s="13">
        <f>'TUSD BE'!$P$45*'TUSD BE'!$P$62</f>
        <v>0</v>
      </c>
      <c r="Q45" s="13">
        <f>'TUSD BE'!$Q$45*'TUSD BE'!$Q$62</f>
        <v>3.9920921295007172</v>
      </c>
      <c r="R45" s="13">
        <f>'TUSD BE'!$R$45*'TUSD BE'!$R$62</f>
        <v>0.46136832062853605</v>
      </c>
      <c r="S45" s="13">
        <f>'TUSD BE'!$R$45*'TUSD BE'!$S$62</f>
        <v>0</v>
      </c>
      <c r="T45" s="13">
        <f ca="1">SUM($L$45:$S$45)</f>
        <v>4.6007378501837488</v>
      </c>
      <c r="U45" s="13">
        <f>'TUSD BE'!$U$45*'TUSD BE'!$U$62</f>
        <v>0</v>
      </c>
      <c r="V45" s="13">
        <f>'TUSD BE'!$V$45*'TUSD BE'!$V$62</f>
        <v>0</v>
      </c>
      <c r="W45" s="13">
        <f>'TUSD BE'!$W$45*'TUSD BE'!$W$62</f>
        <v>0</v>
      </c>
      <c r="X45" s="13">
        <f>'TUSD BE'!$X$45*'TUSD BE'!$X$62</f>
        <v>0</v>
      </c>
      <c r="Y45" s="13">
        <f>'TUSD BE'!$Y$45*'TUSD BE'!$Y$62</f>
        <v>7.1250374663485365</v>
      </c>
      <c r="Z45" s="13">
        <f>'TUSD BE'!$Z$45*'TUSD BE'!$Z$62</f>
        <v>0</v>
      </c>
      <c r="AA45" s="13">
        <f>'TUSD BE'!$AA$45*'TUSD BE'!$AA$62</f>
        <v>0</v>
      </c>
      <c r="AB45" s="13">
        <f>SUM($U$45:$AA$45)</f>
        <v>7.1250374663485365</v>
      </c>
      <c r="AC45" s="13">
        <f>'TUSD BE'!$AC$45*'TUSD BE'!$AC$62</f>
        <v>8.0987683701646291E-3</v>
      </c>
      <c r="AD45" s="13">
        <f>SUM($AC$45:$AC$45)</f>
        <v>8.0987683701646291E-3</v>
      </c>
      <c r="AE45" s="13">
        <f ca="1">$AO$45*$AO$59</f>
        <v>-17.524654495650299</v>
      </c>
      <c r="AF45" s="13">
        <f ca="1">$AP$45*$AP$59</f>
        <v>0</v>
      </c>
      <c r="AG45" s="13">
        <f ca="1">SUM($AE$45:$AF$45)</f>
        <v>-17.524654495650299</v>
      </c>
      <c r="AH45" s="13">
        <f>'TUSD BE'!$AH$45*'TUSD BE'!$AH$62</f>
        <v>9.6817791535764128E-2</v>
      </c>
      <c r="AI45" s="13">
        <f>'TUSD BE'!$AI$45*'TUSD BE'!$AI$62</f>
        <v>0</v>
      </c>
      <c r="AJ45" s="13">
        <f ca="1">'TUSD BE'!$AJ$45*'TUSD BE'!$AJ$62</f>
        <v>5.679034148595657E-3</v>
      </c>
      <c r="AK45" s="13">
        <f ca="1">'TUSD BE'!$AK$45*'TUSD BE'!$AK$62</f>
        <v>1.3943273361419074E-2</v>
      </c>
      <c r="AL45" s="13">
        <f ca="1">SUM($AH$45:$AK$45)</f>
        <v>0.11644009904577887</v>
      </c>
      <c r="AM45" s="13">
        <f ca="1">SUMIF($L$4:$AL$4,"SUBTOTAL",$L$45:$AL$45)</f>
        <v>-5.6743403117020712</v>
      </c>
      <c r="AO45" s="26">
        <f ca="1">+'TUSD BE'!$T$45+'TUSD BE'!$AB$45+'TUSD BE'!$AD$45+'TUSD BE'!$AL$45</f>
        <v>446.09513188184229</v>
      </c>
      <c r="AP45" s="26">
        <f ca="1">+'TUSD BE'!$T$45+'TUSD BE'!$AB$45+'TUSD BE'!$AD$45+'TUSD BE'!$AL$45</f>
        <v>446.09513188184229</v>
      </c>
    </row>
    <row r="46" spans="1:42" ht="11.25" customHeight="1" x14ac:dyDescent="0.3">
      <c r="A46" s="146"/>
      <c r="B46" s="146" t="s">
        <v>92</v>
      </c>
      <c r="C46" s="146" t="s">
        <v>42</v>
      </c>
      <c r="D46" s="23" t="s">
        <v>25</v>
      </c>
      <c r="E46" s="23" t="s">
        <v>25</v>
      </c>
      <c r="F46" s="23" t="s">
        <v>25</v>
      </c>
      <c r="G46" s="24" t="s">
        <v>84</v>
      </c>
      <c r="H46" s="24" t="s">
        <v>78</v>
      </c>
      <c r="I46" s="24">
        <f>'MERCADO TUSD'!$U$43</f>
        <v>0</v>
      </c>
      <c r="J46" s="15"/>
      <c r="L46" s="13">
        <f>'TUSD BE'!$L$46*'TUSD BE'!$L$62</f>
        <v>0.11582412398668746</v>
      </c>
      <c r="M46" s="13">
        <f>'TUSD BE'!$M$46*'TUSD BE'!$M$62</f>
        <v>3.1450776225263023E-2</v>
      </c>
      <c r="N46" s="13">
        <f ca="1">'TUSD BE'!$N$46*'TUSD BE'!$N$62</f>
        <v>2.4998425446476113E-6</v>
      </c>
      <c r="O46" s="13">
        <f>'TUSD BE'!$O$46*'TUSD BE'!$O$62</f>
        <v>0</v>
      </c>
      <c r="P46" s="13">
        <f>'TUSD BE'!$P$46*'TUSD BE'!$P$62</f>
        <v>0</v>
      </c>
      <c r="Q46" s="13">
        <f>'TUSD BE'!$Q$46*'TUSD BE'!$Q$62</f>
        <v>3.9920921295007172</v>
      </c>
      <c r="R46" s="13">
        <f>'TUSD BE'!$R$46*'TUSD BE'!$R$62</f>
        <v>0.46136832062853605</v>
      </c>
      <c r="S46" s="13">
        <f>'TUSD BE'!$R$46*'TUSD BE'!$S$62</f>
        <v>0</v>
      </c>
      <c r="T46" s="13">
        <f ca="1">SUM($L$46:$S$46)</f>
        <v>4.6007378501837488</v>
      </c>
      <c r="U46" s="13">
        <f>'TUSD BE'!$U$46*'TUSD BE'!$U$62</f>
        <v>0</v>
      </c>
      <c r="V46" s="13">
        <f>'TUSD BE'!$V$46*'TUSD BE'!$V$62</f>
        <v>0</v>
      </c>
      <c r="W46" s="13">
        <f>'TUSD BE'!$W$46*'TUSD BE'!$W$62</f>
        <v>0</v>
      </c>
      <c r="X46" s="13">
        <f>'TUSD BE'!$X$46*'TUSD BE'!$X$62</f>
        <v>0</v>
      </c>
      <c r="Y46" s="13">
        <f>'TUSD BE'!$Y$46*'TUSD BE'!$Y$62</f>
        <v>7.1250374663485365</v>
      </c>
      <c r="Z46" s="13">
        <f>'TUSD BE'!$Z$46*'TUSD BE'!$Z$62</f>
        <v>0</v>
      </c>
      <c r="AA46" s="13">
        <f>'TUSD BE'!$AA$46*'TUSD BE'!$AA$62</f>
        <v>0</v>
      </c>
      <c r="AB46" s="13">
        <f>SUM($U$46:$AA$46)</f>
        <v>7.1250374663485365</v>
      </c>
      <c r="AC46" s="13">
        <f>'TUSD BE'!$AC$46*'TUSD BE'!$AC$62</f>
        <v>8.0987683701646291E-3</v>
      </c>
      <c r="AD46" s="13">
        <f>SUM($AC$46:$AC$46)</f>
        <v>8.0987683701646291E-3</v>
      </c>
      <c r="AE46" s="13">
        <f ca="1">$AO$46*$AO$59</f>
        <v>-17.524654495650299</v>
      </c>
      <c r="AF46" s="13">
        <f ca="1">$AP$46*$AP$59</f>
        <v>0</v>
      </c>
      <c r="AG46" s="13">
        <f ca="1">SUM($AE$46:$AF$46)</f>
        <v>-17.524654495650299</v>
      </c>
      <c r="AH46" s="13">
        <f>'TUSD BE'!$AH$46*'TUSD BE'!$AH$62</f>
        <v>9.6817791535764128E-2</v>
      </c>
      <c r="AI46" s="13">
        <f>'TUSD BE'!$AI$46*'TUSD BE'!$AI$62</f>
        <v>0</v>
      </c>
      <c r="AJ46" s="13">
        <f ca="1">'TUSD BE'!$AJ$46*'TUSD BE'!$AJ$62</f>
        <v>5.679034148595657E-3</v>
      </c>
      <c r="AK46" s="13">
        <f ca="1">'TUSD BE'!$AK$46*'TUSD BE'!$AK$62</f>
        <v>1.3943273361419074E-2</v>
      </c>
      <c r="AL46" s="13">
        <f ca="1">SUM($AH$46:$AK$46)</f>
        <v>0.11644009904577887</v>
      </c>
      <c r="AM46" s="13">
        <f ca="1">SUMIF($L$4:$AL$4,"SUBTOTAL",$L$46:$AL$46)</f>
        <v>-5.6743403117020712</v>
      </c>
      <c r="AO46" s="26">
        <f ca="1">+'TUSD BE'!$T$46+'TUSD BE'!$AB$46+'TUSD BE'!$AD$46+'TUSD BE'!$AL$46</f>
        <v>446.09513188184229</v>
      </c>
      <c r="AP46" s="26">
        <f ca="1">+'TUSD BE'!$T$46+'TUSD BE'!$AB$46+'TUSD BE'!$AD$46+'TUSD BE'!$AL$46</f>
        <v>446.09513188184229</v>
      </c>
    </row>
    <row r="47" spans="1:42" ht="11.25" customHeight="1" x14ac:dyDescent="0.3">
      <c r="A47" s="146"/>
      <c r="B47" s="146"/>
      <c r="C47" s="146"/>
      <c r="D47" s="23" t="s">
        <v>93</v>
      </c>
      <c r="E47" s="23" t="s">
        <v>25</v>
      </c>
      <c r="F47" s="23" t="s">
        <v>25</v>
      </c>
      <c r="G47" s="24" t="s">
        <v>84</v>
      </c>
      <c r="H47" s="24" t="s">
        <v>78</v>
      </c>
      <c r="I47" s="24">
        <f>'MERCADO TUSD'!$U$44</f>
        <v>0</v>
      </c>
      <c r="J47" s="15"/>
      <c r="L47" s="13">
        <f>'TUSD BE'!$L$47*'TUSD BE'!$L$62</f>
        <v>0.11582412398668746</v>
      </c>
      <c r="M47" s="13">
        <f>'TUSD BE'!$M$47*'TUSD BE'!$M$62</f>
        <v>3.1450776225263023E-2</v>
      </c>
      <c r="N47" s="13">
        <f ca="1">'TUSD BE'!$N$47*'TUSD BE'!$N$62</f>
        <v>2.4998425446476113E-6</v>
      </c>
      <c r="O47" s="13">
        <f>'TUSD BE'!$O$47*'TUSD BE'!$O$62</f>
        <v>0</v>
      </c>
      <c r="P47" s="13">
        <f>'TUSD BE'!$P$47*'TUSD BE'!$P$62</f>
        <v>0</v>
      </c>
      <c r="Q47" s="13">
        <f>'TUSD BE'!$Q$47*'TUSD BE'!$Q$62</f>
        <v>3.9920921295007172</v>
      </c>
      <c r="R47" s="13">
        <f>'TUSD BE'!$R$47*'TUSD BE'!$R$62</f>
        <v>0.46136832062853605</v>
      </c>
      <c r="S47" s="13">
        <f>'TUSD BE'!$R$47*'TUSD BE'!$S$62</f>
        <v>0</v>
      </c>
      <c r="T47" s="13">
        <f ca="1">SUM($L$47:$S$47)</f>
        <v>4.6007378501837488</v>
      </c>
      <c r="U47" s="13">
        <f>'TUSD BE'!$U$47*'TUSD BE'!$U$62</f>
        <v>0</v>
      </c>
      <c r="V47" s="13">
        <f>'TUSD BE'!$V$47*'TUSD BE'!$V$62</f>
        <v>0</v>
      </c>
      <c r="W47" s="13">
        <f>'TUSD BE'!$W$47*'TUSD BE'!$W$62</f>
        <v>0</v>
      </c>
      <c r="X47" s="13">
        <f>'TUSD BE'!$X$47*'TUSD BE'!$X$62</f>
        <v>0</v>
      </c>
      <c r="Y47" s="13">
        <f>'TUSD BE'!$Y$47*'TUSD BE'!$Y$62</f>
        <v>7.1250374663485365</v>
      </c>
      <c r="Z47" s="13">
        <f>'TUSD BE'!$Z$47*'TUSD BE'!$Z$62</f>
        <v>0</v>
      </c>
      <c r="AA47" s="13">
        <f>'TUSD BE'!$AA$47*'TUSD BE'!$AA$62</f>
        <v>0</v>
      </c>
      <c r="AB47" s="13">
        <f>SUM($U$47:$AA$47)</f>
        <v>7.1250374663485365</v>
      </c>
      <c r="AC47" s="13">
        <f>'TUSD BE'!$AC$47*'TUSD BE'!$AC$62</f>
        <v>8.0987683701646291E-3</v>
      </c>
      <c r="AD47" s="13">
        <f>SUM($AC$47:$AC$47)</f>
        <v>8.0987683701646291E-3</v>
      </c>
      <c r="AE47" s="13">
        <f ca="1">$AO$47*$AO$59</f>
        <v>-17.524654495650299</v>
      </c>
      <c r="AF47" s="13">
        <f ca="1">$AP$47*$AP$59</f>
        <v>0</v>
      </c>
      <c r="AG47" s="13">
        <f ca="1">SUM($AE$47:$AF$47)</f>
        <v>-17.524654495650299</v>
      </c>
      <c r="AH47" s="13">
        <f>'TUSD BE'!$AH$47*'TUSD BE'!$AH$62</f>
        <v>9.6817791535764128E-2</v>
      </c>
      <c r="AI47" s="13">
        <f>'TUSD BE'!$AI$47*'TUSD BE'!$AI$62</f>
        <v>0</v>
      </c>
      <c r="AJ47" s="13">
        <f ca="1">'TUSD BE'!$AJ$47*'TUSD BE'!$AJ$62</f>
        <v>5.679034148595657E-3</v>
      </c>
      <c r="AK47" s="13">
        <f ca="1">'TUSD BE'!$AK$47*'TUSD BE'!$AK$62</f>
        <v>1.3943273361419074E-2</v>
      </c>
      <c r="AL47" s="13">
        <f ca="1">SUM($AH$47:$AK$47)</f>
        <v>0.11644009904577887</v>
      </c>
      <c r="AM47" s="13">
        <f ca="1">SUMIF($L$4:$AL$4,"SUBTOTAL",$L$47:$AL$47)</f>
        <v>-5.6743403117020712</v>
      </c>
      <c r="AO47" s="26">
        <f ca="1">+'TUSD BE'!$T$47+'TUSD BE'!$AB$47+'TUSD BE'!$AD$47+'TUSD BE'!$AL$47</f>
        <v>446.09513188184229</v>
      </c>
      <c r="AP47" s="26">
        <f ca="1">+'TUSD BE'!$T$47+'TUSD BE'!$AB$47+'TUSD BE'!$AD$47+'TUSD BE'!$AL$47</f>
        <v>446.09513188184229</v>
      </c>
    </row>
    <row r="48" spans="1:42" ht="11.25" customHeight="1" x14ac:dyDescent="0.3">
      <c r="A48" s="146"/>
      <c r="B48" s="146"/>
      <c r="C48" s="146"/>
      <c r="D48" s="23" t="s">
        <v>94</v>
      </c>
      <c r="E48" s="23" t="s">
        <v>25</v>
      </c>
      <c r="F48" s="23" t="s">
        <v>25</v>
      </c>
      <c r="G48" s="24" t="s">
        <v>84</v>
      </c>
      <c r="H48" s="24" t="s">
        <v>78</v>
      </c>
      <c r="I48" s="24">
        <f>'MERCADO TUSD'!$U$45</f>
        <v>0</v>
      </c>
      <c r="J48" s="15"/>
      <c r="L48" s="13">
        <f>'TUSD BE'!$L$48*'TUSD BE'!$L$62</f>
        <v>0.11582412398668746</v>
      </c>
      <c r="M48" s="13">
        <f>'TUSD BE'!$M$48*'TUSD BE'!$M$62</f>
        <v>3.1450776225263023E-2</v>
      </c>
      <c r="N48" s="13">
        <f ca="1">'TUSD BE'!$N$48*'TUSD BE'!$N$62</f>
        <v>2.4998425446476113E-6</v>
      </c>
      <c r="O48" s="13">
        <f>'TUSD BE'!$O$48*'TUSD BE'!$O$62</f>
        <v>0</v>
      </c>
      <c r="P48" s="13">
        <f>'TUSD BE'!$P$48*'TUSD BE'!$P$62</f>
        <v>0</v>
      </c>
      <c r="Q48" s="13">
        <f>'TUSD BE'!$Q$48*'TUSD BE'!$Q$62</f>
        <v>3.9920921295007172</v>
      </c>
      <c r="R48" s="13">
        <f>'TUSD BE'!$R$48*'TUSD BE'!$R$62</f>
        <v>0.46136832062853605</v>
      </c>
      <c r="S48" s="13">
        <f>'TUSD BE'!$R$48*'TUSD BE'!$S$62</f>
        <v>0</v>
      </c>
      <c r="T48" s="13">
        <f ca="1">SUM($L$48:$S$48)</f>
        <v>4.6007378501837488</v>
      </c>
      <c r="U48" s="13">
        <f>'TUSD BE'!$U$48*'TUSD BE'!$U$62</f>
        <v>0</v>
      </c>
      <c r="V48" s="13">
        <f>'TUSD BE'!$V$48*'TUSD BE'!$V$62</f>
        <v>0</v>
      </c>
      <c r="W48" s="13">
        <f>'TUSD BE'!$W$48*'TUSD BE'!$W$62</f>
        <v>0</v>
      </c>
      <c r="X48" s="13">
        <f>'TUSD BE'!$X$48*'TUSD BE'!$X$62</f>
        <v>0</v>
      </c>
      <c r="Y48" s="13">
        <f>'TUSD BE'!$Y$48*'TUSD BE'!$Y$62</f>
        <v>7.1250374663485365</v>
      </c>
      <c r="Z48" s="13">
        <f>'TUSD BE'!$Z$48*'TUSD BE'!$Z$62</f>
        <v>0</v>
      </c>
      <c r="AA48" s="13">
        <f>'TUSD BE'!$AA$48*'TUSD BE'!$AA$62</f>
        <v>0</v>
      </c>
      <c r="AB48" s="13">
        <f>SUM($U$48:$AA$48)</f>
        <v>7.1250374663485365</v>
      </c>
      <c r="AC48" s="13">
        <f>'TUSD BE'!$AC$48*'TUSD BE'!$AC$62</f>
        <v>8.0987683701646291E-3</v>
      </c>
      <c r="AD48" s="13">
        <f>SUM($AC$48:$AC$48)</f>
        <v>8.0987683701646291E-3</v>
      </c>
      <c r="AE48" s="13">
        <f ca="1">$AO$48*$AO$59</f>
        <v>-17.524654495650299</v>
      </c>
      <c r="AF48" s="13">
        <f ca="1">$AP$48*$AP$59</f>
        <v>0</v>
      </c>
      <c r="AG48" s="13">
        <f ca="1">SUM($AE$48:$AF$48)</f>
        <v>-17.524654495650299</v>
      </c>
      <c r="AH48" s="13">
        <f>'TUSD BE'!$AH$48*'TUSD BE'!$AH$62</f>
        <v>9.6817791535764128E-2</v>
      </c>
      <c r="AI48" s="13">
        <f>'TUSD BE'!$AI$48*'TUSD BE'!$AI$62</f>
        <v>0</v>
      </c>
      <c r="AJ48" s="13">
        <f ca="1">'TUSD BE'!$AJ$48*'TUSD BE'!$AJ$62</f>
        <v>5.679034148595657E-3</v>
      </c>
      <c r="AK48" s="13">
        <f ca="1">'TUSD BE'!$AK$48*'TUSD BE'!$AK$62</f>
        <v>1.3943273361419074E-2</v>
      </c>
      <c r="AL48" s="13">
        <f ca="1">SUM($AH$48:$AK$48)</f>
        <v>0.11644009904577887</v>
      </c>
      <c r="AM48" s="13">
        <f ca="1">SUMIF($L$4:$AL$4,"SUBTOTAL",$L$48:$AL$48)</f>
        <v>-5.6743403117020712</v>
      </c>
      <c r="AO48" s="26">
        <f ca="1">+'TUSD BE'!$T$48+'TUSD BE'!$AB$48+'TUSD BE'!$AD$48+'TUSD BE'!$AL$48</f>
        <v>446.09513188184229</v>
      </c>
      <c r="AP48" s="26">
        <f ca="1">+'TUSD BE'!$T$48+'TUSD BE'!$AB$48+'TUSD BE'!$AD$48+'TUSD BE'!$AL$48</f>
        <v>446.09513188184229</v>
      </c>
    </row>
    <row r="49" spans="1:42" ht="11.25" customHeight="1" x14ac:dyDescent="0.3">
      <c r="A49" s="146" t="s">
        <v>32</v>
      </c>
      <c r="B49" s="146" t="s">
        <v>38</v>
      </c>
      <c r="C49" s="146" t="s">
        <v>25</v>
      </c>
      <c r="D49" s="146" t="s">
        <v>25</v>
      </c>
      <c r="E49" s="146" t="s">
        <v>25</v>
      </c>
      <c r="F49" s="146" t="s">
        <v>25</v>
      </c>
      <c r="G49" s="24" t="s">
        <v>79</v>
      </c>
      <c r="H49" s="24" t="s">
        <v>78</v>
      </c>
      <c r="I49" s="24">
        <f>'MERCADO TUSD'!$U$46</f>
        <v>4.4679999999999991</v>
      </c>
      <c r="J49" s="15"/>
      <c r="L49" s="13">
        <f>'TUSD BE'!$L$49*'TUSD BE'!$L$62</f>
        <v>0.11582412398668746</v>
      </c>
      <c r="M49" s="13">
        <f>'TUSD BE'!$M$49*'TUSD BE'!$M$62</f>
        <v>3.1450776225263023E-2</v>
      </c>
      <c r="N49" s="13">
        <f ca="1">'TUSD BE'!$N$49*'TUSD BE'!$N$62</f>
        <v>1.5520665583799671E-5</v>
      </c>
      <c r="O49" s="13">
        <f>'TUSD BE'!$O$49*'TUSD BE'!$O$62</f>
        <v>0</v>
      </c>
      <c r="P49" s="13">
        <f>'TUSD BE'!$P$49*'TUSD BE'!$P$62</f>
        <v>0</v>
      </c>
      <c r="Q49" s="13">
        <f>'TUSD BE'!$Q$49*'TUSD BE'!$Q$62</f>
        <v>3.9920921295007172</v>
      </c>
      <c r="R49" s="13">
        <f>'TUSD BE'!$R$49*'TUSD BE'!$R$62</f>
        <v>0.46136832062853605</v>
      </c>
      <c r="S49" s="13">
        <f>'TUSD BE'!$R$49*'TUSD BE'!$S$62</f>
        <v>0</v>
      </c>
      <c r="T49" s="13">
        <f ca="1">SUM($L$49:$S$49)</f>
        <v>4.6007508710067881</v>
      </c>
      <c r="U49" s="13">
        <f>'TUSD BE'!$U$49*'TUSD BE'!$U$62</f>
        <v>0</v>
      </c>
      <c r="V49" s="13">
        <f>'TUSD BE'!$V$49*'TUSD BE'!$V$62</f>
        <v>0</v>
      </c>
      <c r="W49" s="13">
        <f>'TUSD BE'!$W$49*'TUSD BE'!$W$62</f>
        <v>0</v>
      </c>
      <c r="X49" s="13">
        <f>'TUSD BE'!$X$49*'TUSD BE'!$X$62</f>
        <v>0</v>
      </c>
      <c r="Y49" s="13">
        <f>'TUSD BE'!$Y$49*'TUSD BE'!$Y$62</f>
        <v>52.500126975477684</v>
      </c>
      <c r="Z49" s="13">
        <f>'TUSD BE'!$Z$49*'TUSD BE'!$Z$62</f>
        <v>0</v>
      </c>
      <c r="AA49" s="13">
        <f>'TUSD BE'!$AA$49*'TUSD BE'!$AA$62</f>
        <v>0</v>
      </c>
      <c r="AB49" s="13">
        <f>SUM($U$49:$AA$49)</f>
        <v>52.500126975477684</v>
      </c>
      <c r="AC49" s="13">
        <f>'TUSD BE'!$AC$49*'TUSD BE'!$AC$62</f>
        <v>5.9674972162094851E-2</v>
      </c>
      <c r="AD49" s="13">
        <f>SUM($AC$49:$AC$49)</f>
        <v>5.9674972162094851E-2</v>
      </c>
      <c r="AE49" s="13">
        <f ca="1">$AO$49*$AO$59</f>
        <v>-92.512666499300352</v>
      </c>
      <c r="AF49" s="13">
        <f ca="1">$AP$49*$AP$59</f>
        <v>0</v>
      </c>
      <c r="AG49" s="13">
        <f ca="1">SUM($AE$49:$AF$49)</f>
        <v>-92.512666499300352</v>
      </c>
      <c r="AH49" s="13">
        <f>'TUSD BE'!$AH$49*'TUSD BE'!$AH$62</f>
        <v>9.6817791535764128E-2</v>
      </c>
      <c r="AI49" s="13">
        <f>'TUSD BE'!$AI$49*'TUSD BE'!$AI$62</f>
        <v>0</v>
      </c>
      <c r="AJ49" s="13">
        <f ca="1">'TUSD BE'!$AJ$49*'TUSD BE'!$AJ$62</f>
        <v>5.679034148595657E-3</v>
      </c>
      <c r="AK49" s="13">
        <f ca="1">'TUSD BE'!$AK$49*'TUSD BE'!$AK$62</f>
        <v>1.3943273361419074E-2</v>
      </c>
      <c r="AL49" s="13">
        <f ca="1">SUM($AH$49:$AK$49)</f>
        <v>0.11644009904577887</v>
      </c>
      <c r="AM49" s="13">
        <f ca="1">SUMIF($L$4:$AL$4,"SUBTOTAL",$L$49:$AL$49)</f>
        <v>-35.235673581608005</v>
      </c>
      <c r="AO49" s="26">
        <f ca="1">+'TUSD BE'!$T$49+'TUSD BE'!$AB$49+'TUSD BE'!$AD$49+'TUSD BE'!$AL$49</f>
        <v>2354.9365936423769</v>
      </c>
      <c r="AP49" s="26">
        <f ca="1">+'TUSD BE'!$T$49+'TUSD BE'!$AB$49+'TUSD BE'!$AD$49+'TUSD BE'!$AL$49</f>
        <v>2354.9365936423769</v>
      </c>
    </row>
    <row r="50" spans="1:42" ht="11.25" customHeight="1" x14ac:dyDescent="0.3">
      <c r="A50" s="146"/>
      <c r="B50" s="146"/>
      <c r="C50" s="146"/>
      <c r="D50" s="146"/>
      <c r="E50" s="146"/>
      <c r="F50" s="146"/>
      <c r="G50" s="24" t="s">
        <v>89</v>
      </c>
      <c r="H50" s="24" t="s">
        <v>78</v>
      </c>
      <c r="I50" s="24">
        <f>'MERCADO TUSD'!$U$47</f>
        <v>4.7860000000000005</v>
      </c>
      <c r="J50" s="15"/>
      <c r="L50" s="13">
        <f>'TUSD BE'!$L$50*'TUSD BE'!$L$62</f>
        <v>0.11582412398668746</v>
      </c>
      <c r="M50" s="13">
        <f>'TUSD BE'!$M$50*'TUSD BE'!$M$62</f>
        <v>3.1450776225263023E-2</v>
      </c>
      <c r="N50" s="13">
        <f ca="1">'TUSD BE'!$N$50*'TUSD BE'!$N$62</f>
        <v>4.165781792495195E-6</v>
      </c>
      <c r="O50" s="13">
        <f>'TUSD BE'!$O$50*'TUSD BE'!$O$62</f>
        <v>0</v>
      </c>
      <c r="P50" s="13">
        <f>'TUSD BE'!$P$50*'TUSD BE'!$P$62</f>
        <v>0</v>
      </c>
      <c r="Q50" s="13">
        <f>'TUSD BE'!$Q$50*'TUSD BE'!$Q$62</f>
        <v>3.9920921295007172</v>
      </c>
      <c r="R50" s="13">
        <f>'TUSD BE'!$R$50*'TUSD BE'!$R$62</f>
        <v>0.46136832062853605</v>
      </c>
      <c r="S50" s="13">
        <f>'TUSD BE'!$R$50*'TUSD BE'!$S$62</f>
        <v>0</v>
      </c>
      <c r="T50" s="13">
        <f ca="1">SUM($L$50:$S$50)</f>
        <v>4.6007395161229967</v>
      </c>
      <c r="U50" s="13">
        <f>'TUSD BE'!$U$50*'TUSD BE'!$U$62</f>
        <v>0</v>
      </c>
      <c r="V50" s="13">
        <f>'TUSD BE'!$V$50*'TUSD BE'!$V$62</f>
        <v>0</v>
      </c>
      <c r="W50" s="13">
        <f>'TUSD BE'!$W$50*'TUSD BE'!$W$62</f>
        <v>0</v>
      </c>
      <c r="X50" s="13">
        <f>'TUSD BE'!$X$50*'TUSD BE'!$X$62</f>
        <v>0</v>
      </c>
      <c r="Y50" s="13">
        <f>'TUSD BE'!$Y$50*'TUSD BE'!$Y$62</f>
        <v>12.93052405993167</v>
      </c>
      <c r="Z50" s="13">
        <f>'TUSD BE'!$Z$50*'TUSD BE'!$Z$62</f>
        <v>0</v>
      </c>
      <c r="AA50" s="13">
        <f>'TUSD BE'!$AA$50*'TUSD BE'!$AA$62</f>
        <v>0</v>
      </c>
      <c r="AB50" s="13">
        <f>SUM($U$50:$AA$50)</f>
        <v>12.93052405993167</v>
      </c>
      <c r="AC50" s="13">
        <f>'TUSD BE'!$AC$50*'TUSD BE'!$AC$62</f>
        <v>1.4697644318687928E-2</v>
      </c>
      <c r="AD50" s="13">
        <f>SUM($AC$50:$AC$50)</f>
        <v>1.4697644318687928E-2</v>
      </c>
      <c r="AE50" s="13">
        <f ca="1">$AO$50*$AO$59</f>
        <v>-27.118939254086747</v>
      </c>
      <c r="AF50" s="13">
        <f ca="1">$AP$50*$AP$59</f>
        <v>0</v>
      </c>
      <c r="AG50" s="13">
        <f ca="1">SUM($AE$50:$AF$50)</f>
        <v>-27.118939254086747</v>
      </c>
      <c r="AH50" s="13">
        <f>'TUSD BE'!$AH$50*'TUSD BE'!$AH$62</f>
        <v>9.6817791535764128E-2</v>
      </c>
      <c r="AI50" s="13">
        <f>'TUSD BE'!$AI$50*'TUSD BE'!$AI$62</f>
        <v>0</v>
      </c>
      <c r="AJ50" s="13">
        <f ca="1">'TUSD BE'!$AJ$50*'TUSD BE'!$AJ$62</f>
        <v>5.679034148595657E-3</v>
      </c>
      <c r="AK50" s="13">
        <f ca="1">'TUSD BE'!$AK$50*'TUSD BE'!$AK$62</f>
        <v>1.3943273361419074E-2</v>
      </c>
      <c r="AL50" s="13">
        <f ca="1">SUM($AH$50:$AK$50)</f>
        <v>0.11644009904577887</v>
      </c>
      <c r="AM50" s="13">
        <f ca="1">SUMIF($L$4:$AL$4,"SUBTOTAL",$L$50:$AL$50)</f>
        <v>-9.4565379346676153</v>
      </c>
      <c r="AO50" s="26">
        <f ca="1">+'TUSD BE'!$T$50+'TUSD BE'!$AB$50+'TUSD BE'!$AD$50+'TUSD BE'!$AL$50</f>
        <v>690.32041607725762</v>
      </c>
      <c r="AP50" s="26">
        <f ca="1">+'TUSD BE'!$T$50+'TUSD BE'!$AB$50+'TUSD BE'!$AD$50+'TUSD BE'!$AL$50</f>
        <v>690.32041607725762</v>
      </c>
    </row>
    <row r="51" spans="1:42" ht="11.25" customHeight="1" x14ac:dyDescent="0.3">
      <c r="A51" s="146"/>
      <c r="B51" s="146"/>
      <c r="C51" s="146"/>
      <c r="D51" s="146"/>
      <c r="E51" s="146"/>
      <c r="F51" s="146"/>
      <c r="G51" s="24" t="s">
        <v>80</v>
      </c>
      <c r="H51" s="24" t="s">
        <v>78</v>
      </c>
      <c r="I51" s="24">
        <f>'MERCADO TUSD'!$U$48</f>
        <v>153.63399999999999</v>
      </c>
      <c r="J51" s="15"/>
      <c r="L51" s="13">
        <f>'TUSD BE'!$L$51*'TUSD BE'!$L$62</f>
        <v>0.11582412398668746</v>
      </c>
      <c r="M51" s="13">
        <f>'TUSD BE'!$M$51*'TUSD BE'!$M$62</f>
        <v>3.1450776225263023E-2</v>
      </c>
      <c r="N51" s="13">
        <f ca="1">'TUSD BE'!$N$51*'TUSD BE'!$N$62</f>
        <v>1.5184359814951656E-6</v>
      </c>
      <c r="O51" s="13">
        <f>'TUSD BE'!$O$51*'TUSD BE'!$O$62</f>
        <v>0</v>
      </c>
      <c r="P51" s="13">
        <f>'TUSD BE'!$P$51*'TUSD BE'!$P$62</f>
        <v>0</v>
      </c>
      <c r="Q51" s="13">
        <f>'TUSD BE'!$Q$51*'TUSD BE'!$Q$62</f>
        <v>3.9920921295007172</v>
      </c>
      <c r="R51" s="13">
        <f>'TUSD BE'!$R$51*'TUSD BE'!$R$62</f>
        <v>0.46136832062853605</v>
      </c>
      <c r="S51" s="13">
        <f>'TUSD BE'!$R$51*'TUSD BE'!$S$62</f>
        <v>0</v>
      </c>
      <c r="T51" s="13">
        <f ca="1">SUM($L$51:$S$51)</f>
        <v>4.6007368687771857</v>
      </c>
      <c r="U51" s="13">
        <f>'TUSD BE'!$U$51*'TUSD BE'!$U$62</f>
        <v>0</v>
      </c>
      <c r="V51" s="13">
        <f>'TUSD BE'!$V$51*'TUSD BE'!$V$62</f>
        <v>0</v>
      </c>
      <c r="W51" s="13">
        <f>'TUSD BE'!$W$51*'TUSD BE'!$W$62</f>
        <v>0</v>
      </c>
      <c r="X51" s="13">
        <f>'TUSD BE'!$X$51*'TUSD BE'!$X$62</f>
        <v>0</v>
      </c>
      <c r="Y51" s="13">
        <f>'TUSD BE'!$Y$51*'TUSD BE'!$Y$62</f>
        <v>3.7050233897491274</v>
      </c>
      <c r="Z51" s="13">
        <f>'TUSD BE'!$Z$51*'TUSD BE'!$Z$62</f>
        <v>0</v>
      </c>
      <c r="AA51" s="13">
        <f>'TUSD BE'!$AA$51*'TUSD BE'!$AA$62</f>
        <v>0</v>
      </c>
      <c r="AB51" s="13">
        <f>SUM($U$51:$AA$51)</f>
        <v>3.7050233897491274</v>
      </c>
      <c r="AC51" s="13">
        <f>'TUSD BE'!$AC$51*'TUSD BE'!$AC$62</f>
        <v>4.2113620690308494E-3</v>
      </c>
      <c r="AD51" s="13">
        <f>SUM($AC$51:$AC$51)</f>
        <v>4.2113620690308494E-3</v>
      </c>
      <c r="AE51" s="13">
        <f ca="1">$AO$51*$AO$59</f>
        <v>-11.872651941958067</v>
      </c>
      <c r="AF51" s="13">
        <f ca="1">$AP$51*$AP$59</f>
        <v>0</v>
      </c>
      <c r="AG51" s="13">
        <f ca="1">SUM($AE$51:$AF$51)</f>
        <v>-11.872651941958067</v>
      </c>
      <c r="AH51" s="13">
        <f>'TUSD BE'!$AH$51*'TUSD BE'!$AH$62</f>
        <v>9.6817791535764128E-2</v>
      </c>
      <c r="AI51" s="13">
        <f>'TUSD BE'!$AI$51*'TUSD BE'!$AI$62</f>
        <v>0</v>
      </c>
      <c r="AJ51" s="13">
        <f ca="1">'TUSD BE'!$AJ$51*'TUSD BE'!$AJ$62</f>
        <v>5.679034148595657E-3</v>
      </c>
      <c r="AK51" s="13">
        <f ca="1">'TUSD BE'!$AK$51*'TUSD BE'!$AK$62</f>
        <v>1.3943273361419074E-2</v>
      </c>
      <c r="AL51" s="13">
        <f ca="1">SUM($AH$51:$AK$51)</f>
        <v>0.11644009904577887</v>
      </c>
      <c r="AM51" s="13">
        <f ca="1">SUMIF($L$4:$AL$4,"SUBTOTAL",$L$51:$AL$51)</f>
        <v>-3.4462402223169444</v>
      </c>
      <c r="AO51" s="26">
        <f ca="1">+'TUSD BE'!$T$51+'TUSD BE'!$AB$51+'TUSD BE'!$AD$51+'TUSD BE'!$AL$51</f>
        <v>302.22177761904345</v>
      </c>
      <c r="AP51" s="26">
        <f ca="1">+'TUSD BE'!$T$51+'TUSD BE'!$AB$51+'TUSD BE'!$AD$51+'TUSD BE'!$AL$51</f>
        <v>302.22177761904345</v>
      </c>
    </row>
    <row r="52" spans="1:42" ht="11.25" customHeight="1" x14ac:dyDescent="0.3">
      <c r="A52" s="146"/>
      <c r="B52" s="23" t="s">
        <v>23</v>
      </c>
      <c r="C52" s="23" t="s">
        <v>25</v>
      </c>
      <c r="D52" s="23" t="s">
        <v>25</v>
      </c>
      <c r="E52" s="23" t="s">
        <v>25</v>
      </c>
      <c r="F52" s="23" t="s">
        <v>25</v>
      </c>
      <c r="G52" s="24" t="s">
        <v>84</v>
      </c>
      <c r="H52" s="24" t="s">
        <v>78</v>
      </c>
      <c r="I52" s="24">
        <f>'MERCADO TUSD'!$U$49</f>
        <v>6434.8159999999998</v>
      </c>
      <c r="J52" s="15"/>
      <c r="L52" s="13">
        <f>'TUSD BE'!$L$52*'TUSD BE'!$L$62</f>
        <v>0.11582412398668746</v>
      </c>
      <c r="M52" s="13">
        <f>'TUSD BE'!$M$52*'TUSD BE'!$M$62</f>
        <v>3.1450776225263023E-2</v>
      </c>
      <c r="N52" s="13">
        <f ca="1">'TUSD BE'!$N$52*'TUSD BE'!$N$62</f>
        <v>2.4998425446476113E-6</v>
      </c>
      <c r="O52" s="13">
        <f>'TUSD BE'!$O$52*'TUSD BE'!$O$62</f>
        <v>0</v>
      </c>
      <c r="P52" s="13">
        <f>'TUSD BE'!$P$52*'TUSD BE'!$P$62</f>
        <v>0</v>
      </c>
      <c r="Q52" s="13">
        <f>'TUSD BE'!$Q$52*'TUSD BE'!$Q$62</f>
        <v>3.9920921295007172</v>
      </c>
      <c r="R52" s="13">
        <f>'TUSD BE'!$R$52*'TUSD BE'!$R$62</f>
        <v>0.46136832062853605</v>
      </c>
      <c r="S52" s="13">
        <f>'TUSD BE'!$R$52*'TUSD BE'!$S$62</f>
        <v>0</v>
      </c>
      <c r="T52" s="13">
        <f ca="1">SUM($L$52:$S$52)</f>
        <v>4.6007378501837488</v>
      </c>
      <c r="U52" s="13">
        <f>'TUSD BE'!$U$52*'TUSD BE'!$U$62</f>
        <v>0</v>
      </c>
      <c r="V52" s="13">
        <f>'TUSD BE'!$V$52*'TUSD BE'!$V$62</f>
        <v>0</v>
      </c>
      <c r="W52" s="13">
        <f>'TUSD BE'!$W$52*'TUSD BE'!$W$62</f>
        <v>0</v>
      </c>
      <c r="X52" s="13">
        <f>'TUSD BE'!$X$52*'TUSD BE'!$X$62</f>
        <v>0</v>
      </c>
      <c r="Y52" s="13">
        <f>'TUSD BE'!$Y$52*'TUSD BE'!$Y$62</f>
        <v>7.1250374663485365</v>
      </c>
      <c r="Z52" s="13">
        <f>'TUSD BE'!$Z$52*'TUSD BE'!$Z$62</f>
        <v>0</v>
      </c>
      <c r="AA52" s="13">
        <f>'TUSD BE'!$AA$52*'TUSD BE'!$AA$62</f>
        <v>0</v>
      </c>
      <c r="AB52" s="13">
        <f>SUM($U$52:$AA$52)</f>
        <v>7.1250374663485365</v>
      </c>
      <c r="AC52" s="13">
        <f>'TUSD BE'!$AC$52*'TUSD BE'!$AC$62</f>
        <v>8.0987683701646291E-3</v>
      </c>
      <c r="AD52" s="13">
        <f>SUM($AC$52:$AC$52)</f>
        <v>8.0987683701646291E-3</v>
      </c>
      <c r="AE52" s="13">
        <f ca="1">$AO$52*$AO$59</f>
        <v>-17.524654495650299</v>
      </c>
      <c r="AF52" s="13">
        <f ca="1">$AP$52*$AP$59</f>
        <v>0</v>
      </c>
      <c r="AG52" s="13">
        <f ca="1">SUM($AE$52:$AF$52)</f>
        <v>-17.524654495650299</v>
      </c>
      <c r="AH52" s="13">
        <f>'TUSD BE'!$AH$52*'TUSD BE'!$AH$62</f>
        <v>9.6817791535764128E-2</v>
      </c>
      <c r="AI52" s="13">
        <f>'TUSD BE'!$AI$52*'TUSD BE'!$AI$62</f>
        <v>0</v>
      </c>
      <c r="AJ52" s="13">
        <f ca="1">'TUSD BE'!$AJ$52*'TUSD BE'!$AJ$62</f>
        <v>5.679034148595657E-3</v>
      </c>
      <c r="AK52" s="13">
        <f ca="1">'TUSD BE'!$AK$52*'TUSD BE'!$AK$62</f>
        <v>1.3943273361419074E-2</v>
      </c>
      <c r="AL52" s="13">
        <f ca="1">SUM($AH$52:$AK$52)</f>
        <v>0.11644009904577887</v>
      </c>
      <c r="AM52" s="13">
        <f ca="1">SUMIF($L$4:$AL$4,"SUBTOTAL",$L$52:$AL$52)</f>
        <v>-5.6743403117020712</v>
      </c>
      <c r="AO52" s="26">
        <f ca="1">+'TUSD BE'!$T$52+'TUSD BE'!$AB$52+'TUSD BE'!$AD$52+'TUSD BE'!$AL$52</f>
        <v>446.09513188184229</v>
      </c>
      <c r="AP52" s="26">
        <f ca="1">+'TUSD BE'!$T$52+'TUSD BE'!$AB$52+'TUSD BE'!$AD$52+'TUSD BE'!$AL$52</f>
        <v>446.09513188184229</v>
      </c>
    </row>
    <row r="53" spans="1:42" ht="11.25" customHeight="1" x14ac:dyDescent="0.3">
      <c r="A53" s="146"/>
      <c r="B53" s="23" t="s">
        <v>92</v>
      </c>
      <c r="C53" s="23" t="s">
        <v>25</v>
      </c>
      <c r="D53" s="23" t="s">
        <v>25</v>
      </c>
      <c r="E53" s="23" t="s">
        <v>25</v>
      </c>
      <c r="F53" s="23" t="s">
        <v>25</v>
      </c>
      <c r="G53" s="24" t="s">
        <v>84</v>
      </c>
      <c r="H53" s="24" t="s">
        <v>78</v>
      </c>
      <c r="I53" s="24">
        <f>'MERCADO TUSD'!$U$50</f>
        <v>0</v>
      </c>
      <c r="J53" s="15"/>
      <c r="L53" s="13">
        <f>'TUSD BE'!$L$53*'TUSD BE'!$L$62</f>
        <v>0.11582412398668746</v>
      </c>
      <c r="M53" s="13">
        <f>'TUSD BE'!$M$53*'TUSD BE'!$M$62</f>
        <v>3.1450776225263023E-2</v>
      </c>
      <c r="N53" s="13">
        <f ca="1">'TUSD BE'!$N$53*'TUSD BE'!$N$62</f>
        <v>2.4998425446476113E-6</v>
      </c>
      <c r="O53" s="13">
        <f>'TUSD BE'!$O$53*'TUSD BE'!$O$62</f>
        <v>0</v>
      </c>
      <c r="P53" s="13">
        <f>'TUSD BE'!$P$53*'TUSD BE'!$P$62</f>
        <v>0</v>
      </c>
      <c r="Q53" s="13">
        <f>'TUSD BE'!$Q$53*'TUSD BE'!$Q$62</f>
        <v>3.9920921295007172</v>
      </c>
      <c r="R53" s="13">
        <f>'TUSD BE'!$R$53*'TUSD BE'!$R$62</f>
        <v>0.46136832062853605</v>
      </c>
      <c r="S53" s="13">
        <f>'TUSD BE'!$R$53*'TUSD BE'!$S$62</f>
        <v>0</v>
      </c>
      <c r="T53" s="13">
        <f ca="1">SUM($L$53:$S$53)</f>
        <v>4.6007378501837488</v>
      </c>
      <c r="U53" s="13">
        <f>'TUSD BE'!$U$53*'TUSD BE'!$U$62</f>
        <v>0</v>
      </c>
      <c r="V53" s="13">
        <f>'TUSD BE'!$V$53*'TUSD BE'!$V$62</f>
        <v>0</v>
      </c>
      <c r="W53" s="13">
        <f>'TUSD BE'!$W$53*'TUSD BE'!$W$62</f>
        <v>0</v>
      </c>
      <c r="X53" s="13">
        <f>'TUSD BE'!$X$53*'TUSD BE'!$X$62</f>
        <v>0</v>
      </c>
      <c r="Y53" s="13">
        <f>'TUSD BE'!$Y$53*'TUSD BE'!$Y$62</f>
        <v>7.1250374663485365</v>
      </c>
      <c r="Z53" s="13">
        <f>'TUSD BE'!$Z$53*'TUSD BE'!$Z$62</f>
        <v>0</v>
      </c>
      <c r="AA53" s="13">
        <f>'TUSD BE'!$AA$53*'TUSD BE'!$AA$62</f>
        <v>0</v>
      </c>
      <c r="AB53" s="13">
        <f>SUM($U$53:$AA$53)</f>
        <v>7.1250374663485365</v>
      </c>
      <c r="AC53" s="13">
        <f>'TUSD BE'!$AC$53*'TUSD BE'!$AC$62</f>
        <v>8.0987683701646291E-3</v>
      </c>
      <c r="AD53" s="13">
        <f>SUM($AC$53:$AC$53)</f>
        <v>8.0987683701646291E-3</v>
      </c>
      <c r="AE53" s="13">
        <f ca="1">$AO$53*$AO$59</f>
        <v>-17.524654495650299</v>
      </c>
      <c r="AF53" s="13">
        <f ca="1">$AP$53*$AP$59</f>
        <v>0</v>
      </c>
      <c r="AG53" s="13">
        <f ca="1">SUM($AE$53:$AF$53)</f>
        <v>-17.524654495650299</v>
      </c>
      <c r="AH53" s="13">
        <f>'TUSD BE'!$AH$53*'TUSD BE'!$AH$62</f>
        <v>9.6817791535764128E-2</v>
      </c>
      <c r="AI53" s="13">
        <f>'TUSD BE'!$AI$53*'TUSD BE'!$AI$62</f>
        <v>0</v>
      </c>
      <c r="AJ53" s="13">
        <f ca="1">'TUSD BE'!$AJ$53*'TUSD BE'!$AJ$62</f>
        <v>5.679034148595657E-3</v>
      </c>
      <c r="AK53" s="13">
        <f ca="1">'TUSD BE'!$AK$53*'TUSD BE'!$AK$62</f>
        <v>1.3943273361419074E-2</v>
      </c>
      <c r="AL53" s="13">
        <f ca="1">SUM($AH$53:$AK$53)</f>
        <v>0.11644009904577887</v>
      </c>
      <c r="AM53" s="13">
        <f ca="1">SUMIF($L$4:$AL$4,"SUBTOTAL",$L$53:$AL$53)</f>
        <v>-5.6743403117020712</v>
      </c>
      <c r="AO53" s="26">
        <f ca="1">+'TUSD BE'!$T$53+'TUSD BE'!$AB$53+'TUSD BE'!$AD$53+'TUSD BE'!$AL$53</f>
        <v>446.09513188184229</v>
      </c>
      <c r="AP53" s="26">
        <f ca="1">+'TUSD BE'!$T$53+'TUSD BE'!$AB$53+'TUSD BE'!$AD$53+'TUSD BE'!$AL$53</f>
        <v>446.09513188184229</v>
      </c>
    </row>
    <row r="54" spans="1:42" ht="11.25" customHeight="1" x14ac:dyDescent="0.3">
      <c r="A54" s="146" t="s">
        <v>44</v>
      </c>
      <c r="B54" s="146" t="s">
        <v>23</v>
      </c>
      <c r="C54" s="146" t="s">
        <v>45</v>
      </c>
      <c r="D54" s="23" t="s">
        <v>46</v>
      </c>
      <c r="E54" s="23" t="s">
        <v>25</v>
      </c>
      <c r="F54" s="23" t="s">
        <v>25</v>
      </c>
      <c r="G54" s="24" t="s">
        <v>84</v>
      </c>
      <c r="H54" s="24" t="s">
        <v>78</v>
      </c>
      <c r="I54" s="24">
        <f>'MERCADO TUSD'!$U$51</f>
        <v>2415.7070000000003</v>
      </c>
      <c r="J54" s="15"/>
      <c r="L54" s="13">
        <f>'TUSD BE'!$L$54*'TUSD BE'!$L$62</f>
        <v>6.3703268192678103E-2</v>
      </c>
      <c r="M54" s="13">
        <f>'TUSD BE'!$M$54*'TUSD BE'!$M$62</f>
        <v>1.7297926923894664E-2</v>
      </c>
      <c r="N54" s="13">
        <f ca="1">'TUSD BE'!$N$54*'TUSD BE'!$N$62</f>
        <v>1.3749133995561861E-6</v>
      </c>
      <c r="O54" s="13">
        <f>'TUSD BE'!$O$54*'TUSD BE'!$O$62</f>
        <v>0</v>
      </c>
      <c r="P54" s="13">
        <f>'TUSD BE'!$P$54*'TUSD BE'!$P$62</f>
        <v>0</v>
      </c>
      <c r="Q54" s="13">
        <f>'TUSD BE'!$Q$54*'TUSD BE'!$Q$62</f>
        <v>2.1956506712253945</v>
      </c>
      <c r="R54" s="13">
        <f>'TUSD BE'!$R$54*'TUSD BE'!$R$62</f>
        <v>0.25375257634569487</v>
      </c>
      <c r="S54" s="13">
        <f>'TUSD BE'!$R$54*'TUSD BE'!$S$62</f>
        <v>0</v>
      </c>
      <c r="T54" s="13">
        <f ca="1">SUM($L$54:$S$54)</f>
        <v>2.5304058176010615</v>
      </c>
      <c r="U54" s="13">
        <f>'TUSD BE'!$U$54*'TUSD BE'!$U$62</f>
        <v>0</v>
      </c>
      <c r="V54" s="13">
        <f>'TUSD BE'!$V$54*'TUSD BE'!$V$62</f>
        <v>0</v>
      </c>
      <c r="W54" s="13">
        <f>'TUSD BE'!$W$54*'TUSD BE'!$W$62</f>
        <v>0</v>
      </c>
      <c r="X54" s="13">
        <f>'TUSD BE'!$X$54*'TUSD BE'!$X$62</f>
        <v>0</v>
      </c>
      <c r="Y54" s="13">
        <f>'TUSD BE'!$Y$54*'TUSD BE'!$Y$62</f>
        <v>3.9187706064916958</v>
      </c>
      <c r="Z54" s="13">
        <f>'TUSD BE'!$Z$54*'TUSD BE'!$Z$62</f>
        <v>0</v>
      </c>
      <c r="AA54" s="13">
        <f>'TUSD BE'!$AA$54*'TUSD BE'!$AA$62</f>
        <v>0</v>
      </c>
      <c r="AB54" s="13">
        <f>SUM($U$54:$AA$54)</f>
        <v>3.9187706064916958</v>
      </c>
      <c r="AC54" s="13">
        <f>'TUSD BE'!$AC$54*'TUSD BE'!$AC$62</f>
        <v>4.4543226035905457E-3</v>
      </c>
      <c r="AD54" s="13">
        <f>SUM($AC$54:$AC$54)</f>
        <v>4.4543226035905457E-3</v>
      </c>
      <c r="AE54" s="13">
        <f ca="1">$AO$54*$AO$59</f>
        <v>-9.6385599726076645</v>
      </c>
      <c r="AF54" s="13">
        <f ca="1">$AP$54*$AP$59</f>
        <v>0</v>
      </c>
      <c r="AG54" s="13">
        <f ca="1">SUM($AE$54:$AF$54)</f>
        <v>-9.6385599726076645</v>
      </c>
      <c r="AH54" s="13">
        <f>'TUSD BE'!$AH$54*'TUSD BE'!$AH$62</f>
        <v>5.3249785344670279E-2</v>
      </c>
      <c r="AI54" s="13">
        <f>'TUSD BE'!$AI$54*'TUSD BE'!$AI$62</f>
        <v>0</v>
      </c>
      <c r="AJ54" s="13">
        <f ca="1">'TUSD BE'!$AJ$54*'TUSD BE'!$AJ$62</f>
        <v>3.1234687817276118E-3</v>
      </c>
      <c r="AK54" s="13">
        <f ca="1">'TUSD BE'!$AK$54*'TUSD BE'!$AK$62</f>
        <v>7.6688003487804923E-3</v>
      </c>
      <c r="AL54" s="13">
        <f ca="1">SUM($AH$54:$AK$54)</f>
        <v>6.4042054475178384E-2</v>
      </c>
      <c r="AM54" s="13">
        <f ca="1">SUMIF($L$4:$AL$4,"SUBTOTAL",$L$54:$AL$54)</f>
        <v>-3.1208871714361384</v>
      </c>
      <c r="AO54" s="26">
        <f ca="1">+'TUSD BE'!$T$54+'TUSD BE'!$AB$54+'TUSD BE'!$AD$54+'TUSD BE'!$AL$54</f>
        <v>245.35232253501329</v>
      </c>
      <c r="AP54" s="26">
        <f ca="1">+'TUSD BE'!$T$54+'TUSD BE'!$AB$54+'TUSD BE'!$AD$54+'TUSD BE'!$AL$54</f>
        <v>245.35232253501329</v>
      </c>
    </row>
    <row r="55" spans="1:42" ht="11.25" customHeight="1" x14ac:dyDescent="0.3">
      <c r="A55" s="146"/>
      <c r="B55" s="146"/>
      <c r="C55" s="146"/>
      <c r="D55" s="24" t="s">
        <v>95</v>
      </c>
      <c r="E55" s="24" t="s">
        <v>25</v>
      </c>
      <c r="F55" s="24" t="s">
        <v>25</v>
      </c>
      <c r="G55" s="24" t="s">
        <v>84</v>
      </c>
      <c r="H55" s="24" t="s">
        <v>78</v>
      </c>
      <c r="I55" s="24">
        <f>'MERCADO TUSD'!$U$52</f>
        <v>0</v>
      </c>
      <c r="J55" s="15"/>
      <c r="L55" s="13">
        <f>'TUSD BE'!$L$55*'TUSD BE'!$L$62</f>
        <v>6.9494474392012465E-2</v>
      </c>
      <c r="M55" s="13">
        <f>'TUSD BE'!$M$55*'TUSD BE'!$M$62</f>
        <v>1.8870465735157813E-2</v>
      </c>
      <c r="N55" s="13">
        <f ca="1">'TUSD BE'!$N$55*'TUSD BE'!$N$62</f>
        <v>1.4999055267885669E-6</v>
      </c>
      <c r="O55" s="13">
        <f>'TUSD BE'!$O$55*'TUSD BE'!$O$62</f>
        <v>0</v>
      </c>
      <c r="P55" s="13">
        <f>'TUSD BE'!$P$55*'TUSD BE'!$P$62</f>
        <v>0</v>
      </c>
      <c r="Q55" s="13">
        <f>'TUSD BE'!$Q$55*'TUSD BE'!$Q$62</f>
        <v>2.3952552777004303</v>
      </c>
      <c r="R55" s="13">
        <f>'TUSD BE'!$R$55*'TUSD BE'!$R$62</f>
        <v>0.27682099237712166</v>
      </c>
      <c r="S55" s="13">
        <f>'TUSD BE'!$R$55*'TUSD BE'!$S$62</f>
        <v>0</v>
      </c>
      <c r="T55" s="13">
        <f ca="1">SUM($L$55:$S$55)</f>
        <v>2.7604427101102491</v>
      </c>
      <c r="U55" s="13">
        <f>'TUSD BE'!$U$55*'TUSD BE'!$U$62</f>
        <v>0</v>
      </c>
      <c r="V55" s="13">
        <f>'TUSD BE'!$V$55*'TUSD BE'!$V$62</f>
        <v>0</v>
      </c>
      <c r="W55" s="13">
        <f>'TUSD BE'!$W$55*'TUSD BE'!$W$62</f>
        <v>0</v>
      </c>
      <c r="X55" s="13">
        <f>'TUSD BE'!$X$55*'TUSD BE'!$X$62</f>
        <v>0</v>
      </c>
      <c r="Y55" s="13">
        <f>'TUSD BE'!$Y$55*'TUSD BE'!$Y$62</f>
        <v>4.2750224798091212</v>
      </c>
      <c r="Z55" s="13">
        <f>'TUSD BE'!$Z$55*'TUSD BE'!$Z$62</f>
        <v>0</v>
      </c>
      <c r="AA55" s="13">
        <f>'TUSD BE'!$AA$55*'TUSD BE'!$AA$62</f>
        <v>0</v>
      </c>
      <c r="AB55" s="13">
        <f>SUM($U$55:$AA$55)</f>
        <v>4.2750224798091212</v>
      </c>
      <c r="AC55" s="13">
        <f>'TUSD BE'!$AC$55*'TUSD BE'!$AC$62</f>
        <v>4.8592610220987769E-3</v>
      </c>
      <c r="AD55" s="13">
        <f>SUM($AC$55:$AC$55)</f>
        <v>4.8592610220987769E-3</v>
      </c>
      <c r="AE55" s="13">
        <f ca="1">$AO$55*$AO$59</f>
        <v>-10.514792697390178</v>
      </c>
      <c r="AF55" s="13">
        <f ca="1">$AP$55*$AP$59</f>
        <v>0</v>
      </c>
      <c r="AG55" s="13">
        <f ca="1">SUM($AE$55:$AF$55)</f>
        <v>-10.514792697390178</v>
      </c>
      <c r="AH55" s="13">
        <f>'TUSD BE'!$AH$55*'TUSD BE'!$AH$62</f>
        <v>5.8090674921458474E-2</v>
      </c>
      <c r="AI55" s="13">
        <f>'TUSD BE'!$AI$55*'TUSD BE'!$AI$62</f>
        <v>0</v>
      </c>
      <c r="AJ55" s="13">
        <f ca="1">'TUSD BE'!$AJ$55*'TUSD BE'!$AJ$62</f>
        <v>3.4074204891573943E-3</v>
      </c>
      <c r="AK55" s="13">
        <f ca="1">'TUSD BE'!$AK$55*'TUSD BE'!$AK$62</f>
        <v>8.3659640168514456E-3</v>
      </c>
      <c r="AL55" s="13">
        <f ca="1">SUM($AH$55:$AK$55)</f>
        <v>6.9864059427467318E-2</v>
      </c>
      <c r="AM55" s="13">
        <f ca="1">SUMIF($L$4:$AL$4,"SUBTOTAL",$L$55:$AL$55)</f>
        <v>-3.4046041870212411</v>
      </c>
      <c r="AO55" s="26">
        <f ca="1">+'TUSD BE'!$T$55+'TUSD BE'!$AB$55+'TUSD BE'!$AD$55+'TUSD BE'!$AL$55</f>
        <v>267.65707912910534</v>
      </c>
      <c r="AP55" s="26">
        <f ca="1">+'TUSD BE'!$T$55+'TUSD BE'!$AB$55+'TUSD BE'!$AD$55+'TUSD BE'!$AL$55</f>
        <v>267.65707912910534</v>
      </c>
    </row>
    <row r="57" spans="1:42" ht="11.25" customHeight="1" x14ac:dyDescent="0.3">
      <c r="K57" s="16" t="s">
        <v>597</v>
      </c>
      <c r="L57" s="13">
        <f>SUMPRODUCT($I$5:$I55,$L$5:$L55)</f>
        <v>10378.311592162872</v>
      </c>
      <c r="M57" s="13">
        <f>SUMPRODUCT($I$5:$I55,$M$5:$M55)</f>
        <v>1324.1358760511278</v>
      </c>
      <c r="N57" s="13">
        <f ca="1">SUMPRODUCT($I$5:$I55,$N$5:$N55)</f>
        <v>9.258024713289667E-2</v>
      </c>
      <c r="O57" s="13">
        <f>SUMPRODUCT($I$5:$I55,$O$5:$O55)</f>
        <v>0</v>
      </c>
      <c r="P57" s="13">
        <f>SUMPRODUCT($I$5:$I55,$P$5:$P55)</f>
        <v>0</v>
      </c>
      <c r="Q57" s="13">
        <f>SUMPRODUCT($I$5:$I55,$Q$5:$Q55)</f>
        <v>357707.65707963798</v>
      </c>
      <c r="R57" s="13">
        <f>SUMPRODUCT($I$5:$I55,$R$5:$R55)</f>
        <v>48154.83858257212</v>
      </c>
      <c r="S57" s="13">
        <f>SUMPRODUCT($I$5:$I55,$S$5:$S55)</f>
        <v>0</v>
      </c>
      <c r="T57" s="13">
        <f ca="1">SUMPRODUCT($I$5:$I55,$T$5:$T55)</f>
        <v>417565.03571067122</v>
      </c>
      <c r="U57" s="13">
        <f>SUMPRODUCT($I$5:$I55,$U$5:$U55)</f>
        <v>0</v>
      </c>
      <c r="V57" s="13">
        <f>SUMPRODUCT($I$5:$I55,$V$5:$V55)</f>
        <v>0</v>
      </c>
      <c r="W57" s="13">
        <f>SUMPRODUCT($I$5:$I55,$W$5:$W55)</f>
        <v>0</v>
      </c>
      <c r="X57" s="13">
        <f>SUMPRODUCT($I$5:$I55,$X$5:$X55)</f>
        <v>0</v>
      </c>
      <c r="Y57" s="13">
        <f>SUMPRODUCT($I$5:$I55,$Y$5:$Y55)</f>
        <v>819327.43694699625</v>
      </c>
      <c r="Z57" s="13">
        <f>SUMPRODUCT($I$5:$I55,$Z$5:$Z55)</f>
        <v>0</v>
      </c>
      <c r="AA57" s="13">
        <f>SUMPRODUCT($I$5:$I55,$AA$5:$AA55)</f>
        <v>0</v>
      </c>
      <c r="AB57" s="13">
        <f>SUMPRODUCT($I$5:$I55,$AB$5:$AB55)</f>
        <v>819327.43694699625</v>
      </c>
      <c r="AC57" s="13">
        <f>SUMPRODUCT($I$5:$I55,$AC$5:$AC55)</f>
        <v>342.52470297332911</v>
      </c>
      <c r="AD57" s="13">
        <f>SUMPRODUCT($I$5:$I55,$AD$5:$AD55)</f>
        <v>342.52470297332911</v>
      </c>
      <c r="AE57" s="13">
        <f ca="1">SUMPRODUCT($I$5:$I55,$AE$5:$AE55)</f>
        <v>-1253845.4490363223</v>
      </c>
      <c r="AF57" s="13">
        <f ca="1">SUMPRODUCT($I$5:$I55,$AF$5:$AF55)</f>
        <v>0</v>
      </c>
      <c r="AG57" s="13">
        <f ca="1">SUMPRODUCT($I$5:$I55,$AG$5:$AG55)</f>
        <v>-1253845.4490363223</v>
      </c>
      <c r="AH57" s="13">
        <f>SUMPRODUCT($I$5:$I55,$AH$5:$AH55)</f>
        <v>5035.640284308497</v>
      </c>
      <c r="AI57" s="13">
        <f>SUMPRODUCT($I$5:$I55,$AI$5:$AI55)</f>
        <v>0</v>
      </c>
      <c r="AJ57" s="13">
        <f ca="1">SUMPRODUCT($I$5:$I55,$AJ$5:$AJ55)</f>
        <v>419.32490635744443</v>
      </c>
      <c r="AK57" s="13">
        <f ca="1">SUMPRODUCT($I$5:$I55,$AK$5:$AK55)</f>
        <v>1029.5345376711853</v>
      </c>
      <c r="AL57" s="13">
        <f ca="1">SUMPRODUCT($I$5:$I55,$AL$5:$AL55)</f>
        <v>6484.4997283371267</v>
      </c>
      <c r="AM57" s="13">
        <f ca="1">SUMPRODUCT($I$5:$I55,$AM$5:$AM55)</f>
        <v>-10125.951947344489</v>
      </c>
      <c r="AO57" s="24">
        <f ca="1">SUMPRODUCT($I$5:$I55,$AO$5:$AO55)</f>
        <v>31916997.341438912</v>
      </c>
      <c r="AP57" s="24">
        <f ca="1">SUMPRODUCT($I$5:$I55,$AP$5:$AP55)</f>
        <v>31916997.341438912</v>
      </c>
    </row>
    <row r="58" spans="1:42" ht="11.25" customHeight="1" x14ac:dyDescent="0.3">
      <c r="K58" s="16" t="s">
        <v>529</v>
      </c>
      <c r="L58" s="13">
        <f>'TR TUSD'!$L$60</f>
        <v>223863.69726668682</v>
      </c>
      <c r="M58" s="13">
        <f>'TR TUSD'!$M$60</f>
        <v>37401.046408800925</v>
      </c>
      <c r="N58" s="13">
        <f>'TR TUSD'!$N$60</f>
        <v>215481.70395079016</v>
      </c>
      <c r="O58" s="13">
        <f>'TR TUSD'!$O$60</f>
        <v>0</v>
      </c>
      <c r="P58" s="13">
        <f>'TR TUSD'!$P$60</f>
        <v>0</v>
      </c>
      <c r="Q58" s="13">
        <f>'TR TUSD'!$Q$60</f>
        <v>9226276.0333921351</v>
      </c>
      <c r="R58" s="13">
        <f>'TR TUSD'!$R$60</f>
        <v>1583418.4495755318</v>
      </c>
      <c r="S58" s="13">
        <f>'TR TUSD'!$S$60</f>
        <v>0</v>
      </c>
      <c r="T58" s="13">
        <f>'TR TUSD'!$T$60</f>
        <v>11286440.930593945</v>
      </c>
      <c r="U58" s="13">
        <f>'TR TUSD'!$U$60</f>
        <v>0</v>
      </c>
      <c r="V58" s="13">
        <f>'TR TUSD'!$V$60</f>
        <v>0</v>
      </c>
      <c r="W58" s="13">
        <f>'TR TUSD'!$W$60</f>
        <v>0</v>
      </c>
      <c r="X58" s="13">
        <f>'TR TUSD'!$X$60</f>
        <v>0</v>
      </c>
      <c r="Y58" s="13">
        <f>'TR TUSD'!$Y$60</f>
        <v>10891768.12284</v>
      </c>
      <c r="Z58" s="13">
        <f>'TR TUSD'!$Z$60</f>
        <v>0</v>
      </c>
      <c r="AA58" s="13">
        <f>'TR TUSD'!$AA$60</f>
        <v>0</v>
      </c>
      <c r="AB58" s="13">
        <f>'TR TUSD'!$AB$60</f>
        <v>10891768.12284</v>
      </c>
      <c r="AC58" s="13">
        <f>'TR TUSD'!$AC$60</f>
        <v>8469705.5289164912</v>
      </c>
      <c r="AD58" s="13">
        <f>'TR TUSD'!$AD$60</f>
        <v>8469705.5289164912</v>
      </c>
      <c r="AE58" s="13">
        <f>'TR TUSD'!$AE$60</f>
        <v>0</v>
      </c>
      <c r="AF58" s="13">
        <f>'TR TUSD'!$AF$60</f>
        <v>0</v>
      </c>
      <c r="AG58" s="13">
        <f>'TR TUSD'!$AG$60</f>
        <v>0</v>
      </c>
      <c r="AH58" s="13">
        <f>'TR TUSD'!$AH$60</f>
        <v>1159041.4804804064</v>
      </c>
      <c r="AI58" s="13">
        <f>'TR TUSD'!$AI$60</f>
        <v>0</v>
      </c>
      <c r="AJ58" s="13">
        <f>'TR TUSD'!$AJ$60</f>
        <v>96515.027449698071</v>
      </c>
      <c r="AK58" s="13">
        <f>'TR TUSD'!$AK$60</f>
        <v>13526.251158373994</v>
      </c>
      <c r="AL58" s="13">
        <f>'TR TUSD'!$AL$60</f>
        <v>1269082.7590884785</v>
      </c>
      <c r="AM58" s="13">
        <f>'TUSD BE'!$AM$58</f>
        <v>31916997.341438919</v>
      </c>
      <c r="AO58" s="24">
        <f>$AE$59</f>
        <v>-1253845.4490363225</v>
      </c>
      <c r="AP58" s="24">
        <f>$AF$59</f>
        <v>0</v>
      </c>
    </row>
    <row r="59" spans="1:42" ht="11.25" customHeight="1" x14ac:dyDescent="0.3">
      <c r="K59" s="16" t="s">
        <v>530</v>
      </c>
      <c r="L59" s="13">
        <f>CUSTOS!$E$2</f>
        <v>10378.311592162874</v>
      </c>
      <c r="M59" s="13">
        <f>CUSTOS!$E$3</f>
        <v>1324.1358760511275</v>
      </c>
      <c r="N59" s="13">
        <f>CUSTOS!$E$4</f>
        <v>9.2580247132896643E-2</v>
      </c>
      <c r="O59" s="13">
        <f>CUSTOS!$E$5</f>
        <v>0</v>
      </c>
      <c r="P59" s="13">
        <f>CUSTOS!$E$6</f>
        <v>0</v>
      </c>
      <c r="Q59" s="13">
        <f>CUSTOS!$E$7</f>
        <v>357707.65707963798</v>
      </c>
      <c r="R59" s="13">
        <f>CUSTOS!$E$8</f>
        <v>48154.83858257212</v>
      </c>
      <c r="S59" s="13">
        <f>CUSTOS!$E$9</f>
        <v>0</v>
      </c>
      <c r="T59" s="13">
        <f>CUSTOS!$E$10</f>
        <v>417565.03571067122</v>
      </c>
      <c r="U59" s="13">
        <f>CUSTOS!$E$11</f>
        <v>0</v>
      </c>
      <c r="V59" s="13">
        <f>CUSTOS!$E$12</f>
        <v>0</v>
      </c>
      <c r="W59" s="13">
        <f>CUSTOS!$E$13</f>
        <v>0</v>
      </c>
      <c r="X59" s="13">
        <f>CUSTOS!$E$14</f>
        <v>0</v>
      </c>
      <c r="Y59" s="13">
        <f>CUSTOS!$E$15</f>
        <v>819327.43694699625</v>
      </c>
      <c r="Z59" s="13">
        <f>CUSTOS!$E$16</f>
        <v>0</v>
      </c>
      <c r="AA59" s="13">
        <f>CUSTOS!$E$17</f>
        <v>0</v>
      </c>
      <c r="AB59" s="13">
        <f>CUSTOS!$E$18</f>
        <v>819327.43694699625</v>
      </c>
      <c r="AC59" s="13">
        <f>CUSTOS!$E$19</f>
        <v>342.52470297332911</v>
      </c>
      <c r="AD59" s="13">
        <f>CUSTOS!$E$20</f>
        <v>342.52470297332911</v>
      </c>
      <c r="AE59" s="13">
        <f>CUSTOS!$E$21</f>
        <v>-1253845.4490363225</v>
      </c>
      <c r="AF59" s="13">
        <f>CUSTOS!$E$22</f>
        <v>0</v>
      </c>
      <c r="AG59" s="13">
        <f>CUSTOS!$E$23</f>
        <v>-1253845.4490363225</v>
      </c>
      <c r="AH59" s="13">
        <f>CUSTOS!$E$24</f>
        <v>5035.6402843084979</v>
      </c>
      <c r="AI59" s="13">
        <f>CUSTOS!$E$25</f>
        <v>0</v>
      </c>
      <c r="AJ59" s="13">
        <f>CUSTOS!$E$26</f>
        <v>419.32490635744438</v>
      </c>
      <c r="AK59" s="13">
        <f>CUSTOS!$E$27</f>
        <v>1029.5345376711853</v>
      </c>
      <c r="AL59" s="13">
        <f>CUSTOS!$E$28</f>
        <v>6484.4997283371267</v>
      </c>
      <c r="AM59" s="13">
        <f>CUSTOS!$E$29</f>
        <v>-10125.951947344503</v>
      </c>
      <c r="AO59" s="24">
        <f ca="1">IF(AO57&lt;&gt;0,AO58/AO57,0)</f>
        <v>-3.9284567894123698E-2</v>
      </c>
      <c r="AP59" s="24">
        <f ca="1">IF(AP57&lt;&gt;0,AP58/AP57,0)</f>
        <v>0</v>
      </c>
    </row>
    <row r="60" spans="1:42" ht="11.25" customHeight="1" x14ac:dyDescent="0.3">
      <c r="K60" s="16" t="s">
        <v>531</v>
      </c>
      <c r="L60" s="13">
        <f>CUSTOS!$F$2</f>
        <v>19749.453488121715</v>
      </c>
      <c r="M60" s="13">
        <f>CUSTOS!$F$3</f>
        <v>0</v>
      </c>
      <c r="N60" s="13">
        <f>CUSTOS!$F$4</f>
        <v>0</v>
      </c>
      <c r="O60" s="13">
        <f>CUSTOS!$F$5</f>
        <v>0</v>
      </c>
      <c r="P60" s="13">
        <f>CUSTOS!$F$6</f>
        <v>0</v>
      </c>
      <c r="Q60" s="13">
        <f>CUSTOS!$F$7</f>
        <v>2382613.2393999998</v>
      </c>
      <c r="R60" s="13">
        <f>CUSTOS!$F$8</f>
        <v>485196.48460000003</v>
      </c>
      <c r="S60" s="13">
        <f>CUSTOS!$F$9</f>
        <v>0</v>
      </c>
      <c r="T60" s="13">
        <f>CUSTOS!$F$10</f>
        <v>2887559.1774881217</v>
      </c>
      <c r="U60" s="13">
        <f>CUSTOS!$F$11</f>
        <v>0</v>
      </c>
      <c r="V60" s="13">
        <f>CUSTOS!$F$12</f>
        <v>0</v>
      </c>
      <c r="W60" s="13">
        <f>CUSTOS!$F$13</f>
        <v>0</v>
      </c>
      <c r="X60" s="13">
        <f>CUSTOS!$F$14</f>
        <v>0</v>
      </c>
      <c r="Y60" s="13">
        <f>CUSTOS!$F$15</f>
        <v>0</v>
      </c>
      <c r="Z60" s="13">
        <f>CUSTOS!$F$16</f>
        <v>0</v>
      </c>
      <c r="AA60" s="13">
        <f>CUSTOS!$F$17</f>
        <v>0</v>
      </c>
      <c r="AB60" s="13">
        <f>CUSTOS!$F$18</f>
        <v>0</v>
      </c>
      <c r="AC60" s="13">
        <f>CUSTOS!$F$19</f>
        <v>0</v>
      </c>
      <c r="AD60" s="13">
        <f>CUSTOS!$F$20</f>
        <v>0</v>
      </c>
      <c r="AE60" s="13">
        <f>CUSTOS!$F$21</f>
        <v>0</v>
      </c>
      <c r="AF60" s="13">
        <f>CUSTOS!$F$22</f>
        <v>0</v>
      </c>
      <c r="AG60" s="13">
        <f>CUSTOS!$F$23</f>
        <v>0</v>
      </c>
      <c r="AH60" s="13">
        <f>CUSTOS!$F$24</f>
        <v>-4873.4265082228922</v>
      </c>
      <c r="AI60" s="13">
        <f>CUSTOS!$F$25</f>
        <v>0</v>
      </c>
      <c r="AJ60" s="13">
        <f>CUSTOS!$F$26</f>
        <v>-405.8171352247561</v>
      </c>
      <c r="AK60" s="13">
        <f>CUSTOS!$F$27</f>
        <v>0</v>
      </c>
      <c r="AL60" s="13">
        <f>CUSTOS!$F$28</f>
        <v>-5279.2436434476485</v>
      </c>
      <c r="AM60" s="13">
        <f>CUSTOS!$F$29</f>
        <v>2882279.9338446739</v>
      </c>
    </row>
    <row r="61" spans="1:42" ht="11.25" customHeight="1" x14ac:dyDescent="0.3">
      <c r="K61" s="16" t="s">
        <v>594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f>SUM($L$61:$S$61)</f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f>SUM($U$61:$AA$61)</f>
        <v>0</v>
      </c>
      <c r="AC61" s="13">
        <v>0</v>
      </c>
      <c r="AD61" s="13">
        <f>SUM($AC$61:$AC$61)</f>
        <v>0</v>
      </c>
      <c r="AE61" s="13">
        <v>0</v>
      </c>
      <c r="AF61" s="13">
        <v>0</v>
      </c>
      <c r="AG61" s="13">
        <f>SUM($AE$61:$AF$61)</f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f>SUM($AH$61:$AK$61)</f>
        <v>0</v>
      </c>
      <c r="AM61" s="13"/>
    </row>
    <row r="62" spans="1:42" ht="11.25" customHeight="1" x14ac:dyDescent="0.3">
      <c r="K62" s="16" t="s">
        <v>606</v>
      </c>
      <c r="L62" s="13">
        <f t="shared" ref="L62:R62" si="0">IF((L58-(0))&lt;&gt;0,(L60)/(L58-(0)),0)</f>
        <v>8.8220884981607212E-2</v>
      </c>
      <c r="M62" s="13">
        <f t="shared" si="0"/>
        <v>0</v>
      </c>
      <c r="N62" s="13">
        <f t="shared" si="0"/>
        <v>0</v>
      </c>
      <c r="O62" s="13">
        <f t="shared" si="0"/>
        <v>0</v>
      </c>
      <c r="P62" s="13">
        <f t="shared" si="0"/>
        <v>0</v>
      </c>
      <c r="Q62" s="13">
        <f t="shared" si="0"/>
        <v>0.25824213699836679</v>
      </c>
      <c r="R62" s="13">
        <f t="shared" si="0"/>
        <v>0.30642341241512439</v>
      </c>
      <c r="S62" s="13">
        <f>IF((R57-(0)&lt;&gt;0),(S59)/(R57-(0)),0)</f>
        <v>0</v>
      </c>
      <c r="T62" s="13"/>
      <c r="U62" s="13">
        <f t="shared" ref="U62:AA62" si="1">IF((U58-(0))&lt;&gt;0,(U60)/(U58-(0)),0)</f>
        <v>0</v>
      </c>
      <c r="V62" s="13">
        <f t="shared" si="1"/>
        <v>0</v>
      </c>
      <c r="W62" s="13">
        <f t="shared" si="1"/>
        <v>0</v>
      </c>
      <c r="X62" s="13">
        <f t="shared" si="1"/>
        <v>0</v>
      </c>
      <c r="Y62" s="13">
        <f t="shared" si="1"/>
        <v>0</v>
      </c>
      <c r="Z62" s="13">
        <f t="shared" si="1"/>
        <v>0</v>
      </c>
      <c r="AA62" s="13">
        <f t="shared" si="1"/>
        <v>0</v>
      </c>
      <c r="AB62" s="13"/>
      <c r="AC62" s="13">
        <f>IF((AC58-(0))&lt;&gt;0,(AC60)/(AC58-(0)),0)</f>
        <v>0</v>
      </c>
      <c r="AD62" s="13"/>
      <c r="AE62" s="13">
        <f ca="1">IF(($AM57-(0))&lt;&gt;0,(AE59)/($AM57-(0)),0)</f>
        <v>123.82494560080754</v>
      </c>
      <c r="AF62" s="13">
        <f ca="1">IF(($AM57-(0))&lt;&gt;0,(AF59)/($AM57-(0)),0)</f>
        <v>0</v>
      </c>
      <c r="AG62" s="13"/>
      <c r="AH62" s="13">
        <f>IF((AH58-(0))&lt;&gt;0,(AH60)/(AH58-(0)),0)</f>
        <v>-4.2047041372522105E-3</v>
      </c>
      <c r="AI62" s="13">
        <f>IF((AI58-(0))&lt;&gt;0,(AI60)/(AI58-(0)),0)</f>
        <v>0</v>
      </c>
      <c r="AJ62" s="13">
        <f>IF((AJ58-(0))&lt;&gt;0,(AJ60)/(AJ58-(0)),0)</f>
        <v>-4.2047041372522097E-3</v>
      </c>
      <c r="AK62" s="13">
        <f>IF((AK58-(0))&lt;&gt;0,(AK60)/(AK58-(0)),0)</f>
        <v>0</v>
      </c>
      <c r="AL62" s="13"/>
      <c r="AM62" s="13"/>
    </row>
  </sheetData>
  <mergeCells count="79">
    <mergeCell ref="B1:B4"/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E14:E16"/>
    <mergeCell ref="AE3:AG3"/>
    <mergeCell ref="AH3:AL3"/>
    <mergeCell ref="AM3:AM4"/>
    <mergeCell ref="A5:A8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M1"/>
    <mergeCell ref="A1:A4"/>
    <mergeCell ref="F14:F16"/>
    <mergeCell ref="E17:E18"/>
    <mergeCell ref="F17:F18"/>
    <mergeCell ref="A19:A20"/>
    <mergeCell ref="B19:B20"/>
    <mergeCell ref="C19:C20"/>
    <mergeCell ref="D19:D20"/>
    <mergeCell ref="A9:A18"/>
    <mergeCell ref="B9:B12"/>
    <mergeCell ref="C9:C12"/>
    <mergeCell ref="D9:D12"/>
    <mergeCell ref="E9:E11"/>
    <mergeCell ref="F9:F11"/>
    <mergeCell ref="B14:B18"/>
    <mergeCell ref="C14:C18"/>
    <mergeCell ref="D14:D18"/>
    <mergeCell ref="F21:F23"/>
    <mergeCell ref="B24:B28"/>
    <mergeCell ref="C24:C28"/>
    <mergeCell ref="B29:B33"/>
    <mergeCell ref="C29:C33"/>
    <mergeCell ref="A21:A33"/>
    <mergeCell ref="B21:B23"/>
    <mergeCell ref="C21:C23"/>
    <mergeCell ref="D21:D23"/>
    <mergeCell ref="E21:E23"/>
    <mergeCell ref="D42:D44"/>
    <mergeCell ref="E42:E44"/>
    <mergeCell ref="F42:F44"/>
    <mergeCell ref="D34:D36"/>
    <mergeCell ref="E34:E36"/>
    <mergeCell ref="F34:F36"/>
    <mergeCell ref="D38:D40"/>
    <mergeCell ref="E38:E40"/>
    <mergeCell ref="F38:F40"/>
    <mergeCell ref="B46:B48"/>
    <mergeCell ref="C46:C48"/>
    <mergeCell ref="A49:A53"/>
    <mergeCell ref="B49:B51"/>
    <mergeCell ref="C49:C51"/>
    <mergeCell ref="A34:A48"/>
    <mergeCell ref="B34:B36"/>
    <mergeCell ref="C34:C36"/>
    <mergeCell ref="B42:B44"/>
    <mergeCell ref="C42:C44"/>
    <mergeCell ref="B38:B40"/>
    <mergeCell ref="C38:C40"/>
    <mergeCell ref="E49:E51"/>
    <mergeCell ref="F49:F51"/>
    <mergeCell ref="A54:A55"/>
    <mergeCell ref="B54:B55"/>
    <mergeCell ref="C54:C55"/>
    <mergeCell ref="D49:D51"/>
  </mergeCells>
  <conditionalFormatting sqref="L57">
    <cfRule type="cellIs" dxfId="1126" priority="55" operator="notEqual">
      <formula>$L$59</formula>
    </cfRule>
    <cfRule type="cellIs" dxfId="1125" priority="56" operator="equal">
      <formula>$L$59</formula>
    </cfRule>
  </conditionalFormatting>
  <conditionalFormatting sqref="M57">
    <cfRule type="cellIs" dxfId="1124" priority="53" operator="notEqual">
      <formula>$M$59</formula>
    </cfRule>
    <cfRule type="cellIs" dxfId="1123" priority="54" operator="equal">
      <formula>$M$59</formula>
    </cfRule>
  </conditionalFormatting>
  <conditionalFormatting sqref="N57">
    <cfRule type="cellIs" dxfId="1122" priority="51" operator="notEqual">
      <formula>$N$59</formula>
    </cfRule>
    <cfRule type="cellIs" dxfId="1121" priority="52" operator="equal">
      <formula>$N$59</formula>
    </cfRule>
  </conditionalFormatting>
  <conditionalFormatting sqref="O57">
    <cfRule type="cellIs" dxfId="1120" priority="49" operator="notEqual">
      <formula>$O$59</formula>
    </cfRule>
    <cfRule type="cellIs" dxfId="1119" priority="50" operator="equal">
      <formula>$O$59</formula>
    </cfRule>
  </conditionalFormatting>
  <conditionalFormatting sqref="P57">
    <cfRule type="cellIs" dxfId="1118" priority="47" operator="notEqual">
      <formula>$P$59</formula>
    </cfRule>
    <cfRule type="cellIs" dxfId="1117" priority="48" operator="equal">
      <formula>$P$59</formula>
    </cfRule>
  </conditionalFormatting>
  <conditionalFormatting sqref="Q57">
    <cfRule type="cellIs" dxfId="1116" priority="45" operator="notEqual">
      <formula>$Q$59</formula>
    </cfRule>
    <cfRule type="cellIs" dxfId="1115" priority="46" operator="equal">
      <formula>$Q$59</formula>
    </cfRule>
  </conditionalFormatting>
  <conditionalFormatting sqref="R57">
    <cfRule type="cellIs" dxfId="1114" priority="43" operator="notEqual">
      <formula>$R$59</formula>
    </cfRule>
    <cfRule type="cellIs" dxfId="1113" priority="44" operator="equal">
      <formula>$R$59</formula>
    </cfRule>
  </conditionalFormatting>
  <conditionalFormatting sqref="S57">
    <cfRule type="cellIs" dxfId="1112" priority="41" operator="notEqual">
      <formula>$S$59</formula>
    </cfRule>
    <cfRule type="cellIs" dxfId="1111" priority="42" operator="equal">
      <formula>$S$59</formula>
    </cfRule>
  </conditionalFormatting>
  <conditionalFormatting sqref="T57">
    <cfRule type="cellIs" dxfId="1110" priority="39" operator="notEqual">
      <formula>$T$59</formula>
    </cfRule>
    <cfRule type="cellIs" dxfId="1109" priority="40" operator="equal">
      <formula>$T$59</formula>
    </cfRule>
  </conditionalFormatting>
  <conditionalFormatting sqref="U57">
    <cfRule type="cellIs" dxfId="1108" priority="37" operator="notEqual">
      <formula>$U$59</formula>
    </cfRule>
    <cfRule type="cellIs" dxfId="1107" priority="38" operator="equal">
      <formula>$U$59</formula>
    </cfRule>
  </conditionalFormatting>
  <conditionalFormatting sqref="V57">
    <cfRule type="cellIs" dxfId="1106" priority="35" operator="notEqual">
      <formula>$V$59</formula>
    </cfRule>
    <cfRule type="cellIs" dxfId="1105" priority="36" operator="equal">
      <formula>$V$59</formula>
    </cfRule>
  </conditionalFormatting>
  <conditionalFormatting sqref="W57">
    <cfRule type="cellIs" dxfId="1104" priority="33" operator="notEqual">
      <formula>$W$59</formula>
    </cfRule>
    <cfRule type="cellIs" dxfId="1103" priority="34" operator="equal">
      <formula>$W$59</formula>
    </cfRule>
  </conditionalFormatting>
  <conditionalFormatting sqref="X57">
    <cfRule type="cellIs" dxfId="1102" priority="31" operator="notEqual">
      <formula>$X$59</formula>
    </cfRule>
    <cfRule type="cellIs" dxfId="1101" priority="32" operator="equal">
      <formula>$X$59</formula>
    </cfRule>
  </conditionalFormatting>
  <conditionalFormatting sqref="Y57">
    <cfRule type="cellIs" dxfId="1100" priority="29" operator="notEqual">
      <formula>$Y$59</formula>
    </cfRule>
    <cfRule type="cellIs" dxfId="1099" priority="30" operator="equal">
      <formula>$Y$59</formula>
    </cfRule>
  </conditionalFormatting>
  <conditionalFormatting sqref="Z57">
    <cfRule type="cellIs" dxfId="1098" priority="27" operator="notEqual">
      <formula>$Z$59</formula>
    </cfRule>
    <cfRule type="cellIs" dxfId="1097" priority="28" operator="equal">
      <formula>$Z$59</formula>
    </cfRule>
  </conditionalFormatting>
  <conditionalFormatting sqref="AA57">
    <cfRule type="cellIs" dxfId="1096" priority="25" operator="notEqual">
      <formula>$AA$59</formula>
    </cfRule>
    <cfRule type="cellIs" dxfId="1095" priority="26" operator="equal">
      <formula>$AA$59</formula>
    </cfRule>
  </conditionalFormatting>
  <conditionalFormatting sqref="AB57">
    <cfRule type="cellIs" dxfId="1094" priority="23" operator="notEqual">
      <formula>$AB$59</formula>
    </cfRule>
    <cfRule type="cellIs" dxfId="1093" priority="24" operator="equal">
      <formula>$AB$59</formula>
    </cfRule>
  </conditionalFormatting>
  <conditionalFormatting sqref="AC57">
    <cfRule type="cellIs" dxfId="1092" priority="21" operator="notEqual">
      <formula>$AC$59</formula>
    </cfRule>
    <cfRule type="cellIs" dxfId="1091" priority="22" operator="equal">
      <formula>$AC$59</formula>
    </cfRule>
  </conditionalFormatting>
  <conditionalFormatting sqref="AD57">
    <cfRule type="cellIs" dxfId="1090" priority="19" operator="notEqual">
      <formula>$AD$59</formula>
    </cfRule>
    <cfRule type="cellIs" dxfId="1089" priority="20" operator="equal">
      <formula>$AD$59</formula>
    </cfRule>
  </conditionalFormatting>
  <conditionalFormatting sqref="AE57">
    <cfRule type="cellIs" dxfId="1088" priority="17" operator="notEqual">
      <formula>$AE$59</formula>
    </cfRule>
    <cfRule type="cellIs" dxfId="1087" priority="18" operator="equal">
      <formula>$AE$59</formula>
    </cfRule>
  </conditionalFormatting>
  <conditionalFormatting sqref="AF57">
    <cfRule type="cellIs" dxfId="1086" priority="16" operator="equal">
      <formula>$AF$59</formula>
    </cfRule>
  </conditionalFormatting>
  <conditionalFormatting sqref="AF57">
    <cfRule type="cellIs" dxfId="1085" priority="15" operator="notEqual">
      <formula>$AF$59</formula>
    </cfRule>
  </conditionalFormatting>
  <conditionalFormatting sqref="AG57">
    <cfRule type="cellIs" dxfId="1084" priority="14" operator="equal">
      <formula>$AG$59</formula>
    </cfRule>
  </conditionalFormatting>
  <conditionalFormatting sqref="AG57">
    <cfRule type="cellIs" dxfId="1083" priority="13" operator="notEqual">
      <formula>$AG$59</formula>
    </cfRule>
  </conditionalFormatting>
  <conditionalFormatting sqref="AH57">
    <cfRule type="cellIs" dxfId="1082" priority="12" operator="equal">
      <formula>$AH$59</formula>
    </cfRule>
  </conditionalFormatting>
  <conditionalFormatting sqref="AH57">
    <cfRule type="cellIs" dxfId="1081" priority="11" operator="notEqual">
      <formula>$AH$59</formula>
    </cfRule>
  </conditionalFormatting>
  <conditionalFormatting sqref="AI57">
    <cfRule type="cellIs" dxfId="1080" priority="10" operator="equal">
      <formula>$AI$59</formula>
    </cfRule>
  </conditionalFormatting>
  <conditionalFormatting sqref="AI57">
    <cfRule type="cellIs" dxfId="1079" priority="9" operator="notEqual">
      <formula>$AI$59</formula>
    </cfRule>
  </conditionalFormatting>
  <conditionalFormatting sqref="AJ57">
    <cfRule type="cellIs" dxfId="1078" priority="8" operator="equal">
      <formula>$AJ$59</formula>
    </cfRule>
  </conditionalFormatting>
  <conditionalFormatting sqref="AJ57">
    <cfRule type="cellIs" dxfId="1077" priority="7" operator="notEqual">
      <formula>$AJ$59</formula>
    </cfRule>
  </conditionalFormatting>
  <conditionalFormatting sqref="AK57">
    <cfRule type="cellIs" dxfId="1076" priority="6" operator="equal">
      <formula>$AK$59</formula>
    </cfRule>
  </conditionalFormatting>
  <conditionalFormatting sqref="AK57">
    <cfRule type="cellIs" dxfId="1075" priority="5" operator="notEqual">
      <formula>$AK$59</formula>
    </cfRule>
  </conditionalFormatting>
  <conditionalFormatting sqref="AL57">
    <cfRule type="cellIs" dxfId="1074" priority="4" operator="equal">
      <formula>$AL$59</formula>
    </cfRule>
  </conditionalFormatting>
  <conditionalFormatting sqref="AL57">
    <cfRule type="cellIs" dxfId="1073" priority="3" operator="notEqual">
      <formula>$AL$59</formula>
    </cfRule>
  </conditionalFormatting>
  <conditionalFormatting sqref="AM57">
    <cfRule type="cellIs" dxfId="1072" priority="2" operator="equal">
      <formula>$AM$59</formula>
    </cfRule>
  </conditionalFormatting>
  <conditionalFormatting sqref="AM57">
    <cfRule type="cellIs" dxfId="1071" priority="1" operator="notEqual">
      <formula>$AM$59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05795-4567-42AB-A5DE-30CEFB0BD17B}">
  <dimension ref="A1:AP61"/>
  <sheetViews>
    <sheetView showGridLines="0" topLeftCell="AA40" workbookViewId="0">
      <selection activeCell="AO57" sqref="AO57:AP59"/>
    </sheetView>
  </sheetViews>
  <sheetFormatPr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3" width="7.109375" style="9" bestFit="1" customWidth="1"/>
    <col min="14" max="14" width="7.88671875" style="9" bestFit="1" customWidth="1"/>
    <col min="15" max="16" width="4.77734375" style="9" bestFit="1" customWidth="1"/>
    <col min="17" max="18" width="9.109375" style="9" bestFit="1" customWidth="1"/>
    <col min="19" max="19" width="8" style="9" bestFit="1" customWidth="1"/>
    <col min="20" max="20" width="9.88671875" style="9" bestFit="1" customWidth="1"/>
    <col min="21" max="21" width="7.109375" style="9" bestFit="1" customWidth="1"/>
    <col min="22" max="22" width="7" style="9" bestFit="1" customWidth="1"/>
    <col min="23" max="23" width="9.21875" style="9" bestFit="1" customWidth="1"/>
    <col min="24" max="24" width="9.33203125" style="9" bestFit="1" customWidth="1"/>
    <col min="25" max="25" width="7.886718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9.109375" style="9" bestFit="1" customWidth="1"/>
    <col min="31" max="31" width="9.5546875" style="9" bestFit="1" customWidth="1"/>
    <col min="32" max="32" width="6.88671875" style="9" bestFit="1" customWidth="1"/>
    <col min="33" max="33" width="9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7.109375" style="9" bestFit="1" customWidth="1"/>
    <col min="38" max="38" width="9.109375" style="9" bestFit="1" customWidth="1"/>
    <col min="39" max="39" width="9.88671875" style="9" bestFit="1" customWidth="1"/>
    <col min="40" max="40" width="8.88671875" style="9"/>
    <col min="41" max="42" width="9.88671875" style="9" bestFit="1" customWidth="1"/>
    <col min="43" max="16384" width="8.88671875" style="9"/>
  </cols>
  <sheetData>
    <row r="1" spans="1:42" ht="11.25" customHeight="1" x14ac:dyDescent="0.3">
      <c r="A1" s="143" t="s">
        <v>68</v>
      </c>
      <c r="B1" s="143" t="s">
        <v>69</v>
      </c>
      <c r="C1" s="143" t="s">
        <v>70</v>
      </c>
      <c r="D1" s="143" t="s">
        <v>71</v>
      </c>
      <c r="E1" s="143" t="s">
        <v>72</v>
      </c>
      <c r="F1" s="143" t="s">
        <v>15</v>
      </c>
      <c r="G1" s="143" t="s">
        <v>74</v>
      </c>
      <c r="H1" s="143" t="s">
        <v>75</v>
      </c>
      <c r="I1" s="143" t="s">
        <v>588</v>
      </c>
      <c r="J1" s="134"/>
      <c r="L1" s="144" t="s">
        <v>608</v>
      </c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O1" s="26"/>
      <c r="AP1" s="148" t="s">
        <v>590</v>
      </c>
    </row>
    <row r="2" spans="1:42" ht="11.25" customHeight="1" x14ac:dyDescent="0.3">
      <c r="A2" s="143"/>
      <c r="B2" s="143"/>
      <c r="C2" s="143"/>
      <c r="D2" s="143"/>
      <c r="E2" s="143"/>
      <c r="F2" s="143"/>
      <c r="G2" s="143"/>
      <c r="H2" s="143"/>
      <c r="I2" s="143"/>
      <c r="J2" s="134"/>
      <c r="L2" s="144" t="s">
        <v>487</v>
      </c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4"/>
      <c r="AM2" s="144"/>
      <c r="AO2" s="26"/>
      <c r="AP2" s="149"/>
    </row>
    <row r="3" spans="1:42" ht="11.25" customHeight="1" x14ac:dyDescent="0.3">
      <c r="A3" s="143"/>
      <c r="B3" s="143"/>
      <c r="C3" s="143"/>
      <c r="D3" s="143"/>
      <c r="E3" s="143"/>
      <c r="F3" s="143"/>
      <c r="G3" s="143"/>
      <c r="H3" s="143"/>
      <c r="I3" s="143"/>
      <c r="J3" s="134"/>
      <c r="L3" s="144" t="s">
        <v>488</v>
      </c>
      <c r="M3" s="144"/>
      <c r="N3" s="144"/>
      <c r="O3" s="144"/>
      <c r="P3" s="144"/>
      <c r="Q3" s="144"/>
      <c r="R3" s="144"/>
      <c r="S3" s="144"/>
      <c r="T3" s="144"/>
      <c r="U3" s="144" t="s">
        <v>497</v>
      </c>
      <c r="V3" s="144"/>
      <c r="W3" s="144"/>
      <c r="X3" s="144"/>
      <c r="Y3" s="144"/>
      <c r="Z3" s="144"/>
      <c r="AA3" s="144"/>
      <c r="AB3" s="144"/>
      <c r="AC3" s="144" t="s">
        <v>505</v>
      </c>
      <c r="AD3" s="144"/>
      <c r="AE3" s="144" t="s">
        <v>507</v>
      </c>
      <c r="AF3" s="144"/>
      <c r="AG3" s="144"/>
      <c r="AH3" s="144" t="s">
        <v>510</v>
      </c>
      <c r="AI3" s="144"/>
      <c r="AJ3" s="144"/>
      <c r="AK3" s="144"/>
      <c r="AL3" s="144"/>
      <c r="AM3" s="144" t="s">
        <v>496</v>
      </c>
      <c r="AO3" s="26"/>
      <c r="AP3" s="149"/>
    </row>
    <row r="4" spans="1:42" ht="11.25" customHeight="1" x14ac:dyDescent="0.3">
      <c r="A4" s="143"/>
      <c r="B4" s="143"/>
      <c r="C4" s="143"/>
      <c r="D4" s="143"/>
      <c r="E4" s="143"/>
      <c r="F4" s="143"/>
      <c r="G4" s="143"/>
      <c r="H4" s="143"/>
      <c r="I4" s="143"/>
      <c r="J4" s="134"/>
      <c r="L4" s="10" t="s">
        <v>573</v>
      </c>
      <c r="M4" s="10" t="s">
        <v>489</v>
      </c>
      <c r="N4" s="10" t="s">
        <v>490</v>
      </c>
      <c r="O4" s="10" t="s">
        <v>491</v>
      </c>
      <c r="P4" s="10" t="s">
        <v>492</v>
      </c>
      <c r="Q4" s="10" t="s">
        <v>493</v>
      </c>
      <c r="R4" s="10" t="s">
        <v>494</v>
      </c>
      <c r="S4" s="10" t="s">
        <v>495</v>
      </c>
      <c r="T4" s="10" t="s">
        <v>496</v>
      </c>
      <c r="U4" s="10" t="s">
        <v>498</v>
      </c>
      <c r="V4" s="10" t="s">
        <v>499</v>
      </c>
      <c r="W4" s="10" t="s">
        <v>500</v>
      </c>
      <c r="X4" s="10" t="s">
        <v>501</v>
      </c>
      <c r="Y4" s="10" t="s">
        <v>502</v>
      </c>
      <c r="Z4" s="10" t="s">
        <v>503</v>
      </c>
      <c r="AA4" s="10" t="s">
        <v>504</v>
      </c>
      <c r="AB4" s="10" t="s">
        <v>496</v>
      </c>
      <c r="AC4" s="10" t="s">
        <v>506</v>
      </c>
      <c r="AD4" s="10" t="s">
        <v>496</v>
      </c>
      <c r="AE4" s="10" t="s">
        <v>508</v>
      </c>
      <c r="AF4" s="10" t="s">
        <v>509</v>
      </c>
      <c r="AG4" s="10" t="s">
        <v>496</v>
      </c>
      <c r="AH4" s="10" t="s">
        <v>511</v>
      </c>
      <c r="AI4" s="10" t="s">
        <v>512</v>
      </c>
      <c r="AJ4" s="10" t="s">
        <v>513</v>
      </c>
      <c r="AK4" s="10" t="s">
        <v>514</v>
      </c>
      <c r="AL4" s="10" t="s">
        <v>496</v>
      </c>
      <c r="AM4" s="147"/>
      <c r="AO4" s="27" t="s">
        <v>607</v>
      </c>
      <c r="AP4" s="150"/>
    </row>
    <row r="5" spans="1:42" ht="11.25" customHeight="1" x14ac:dyDescent="0.3">
      <c r="A5" s="146" t="s">
        <v>61</v>
      </c>
      <c r="B5" s="146" t="s">
        <v>54</v>
      </c>
      <c r="C5" s="146" t="s">
        <v>25</v>
      </c>
      <c r="D5" s="146" t="s">
        <v>25</v>
      </c>
      <c r="E5" s="146" t="s">
        <v>25</v>
      </c>
      <c r="F5" s="146" t="s">
        <v>25</v>
      </c>
      <c r="G5" s="24" t="s">
        <v>82</v>
      </c>
      <c r="H5" s="24" t="s">
        <v>81</v>
      </c>
      <c r="I5" s="24">
        <f>'MERCADO TUSD'!$U$2</f>
        <v>14877.2</v>
      </c>
      <c r="J5" s="15"/>
      <c r="L5" s="13">
        <f>'TUSD BE'!$L$5*'TUSD BF'!$L$62</f>
        <v>0</v>
      </c>
      <c r="M5" s="13">
        <f>'TUSD BE'!$M$5*'TUSD BF'!$M$62</f>
        <v>0</v>
      </c>
      <c r="N5" s="13">
        <f ca="1">'TUSD BE'!$N$5*'TUSD BF'!$N$62</f>
        <v>0</v>
      </c>
      <c r="O5" s="13">
        <f>'TUSD BE'!$O$5*'TUSD BF'!$O$62</f>
        <v>0</v>
      </c>
      <c r="P5" s="13">
        <f>'TUSD BE'!$P$5*'TUSD BF'!$P$62</f>
        <v>0</v>
      </c>
      <c r="Q5" s="13">
        <f>'TUSD BE'!$Q$5*'TUSD BF'!$Q$62</f>
        <v>0</v>
      </c>
      <c r="R5" s="13">
        <f>'TUSD BE'!$R$5*'TUSD BF'!$R$62</f>
        <v>0</v>
      </c>
      <c r="S5" s="13">
        <f>'TUSD BE'!$R$5*'TUSD BF'!$S$62</f>
        <v>0</v>
      </c>
      <c r="T5" s="13">
        <f ca="1">SUM($L$5:$S$5)</f>
        <v>0</v>
      </c>
      <c r="U5" s="13">
        <f>'TUSD BE'!$U$5*'TUSD BF'!$U$62</f>
        <v>0</v>
      </c>
      <c r="V5" s="13">
        <f>'TUSD BE'!$V$5*'TUSD BF'!$V$62</f>
        <v>0</v>
      </c>
      <c r="W5" s="13">
        <f>'TUSD BE'!$W$5*'TUSD BF'!$W$62</f>
        <v>0</v>
      </c>
      <c r="X5" s="13">
        <f>'TUSD BE'!$X$5*'TUSD BF'!$X$62</f>
        <v>0</v>
      </c>
      <c r="Y5" s="13">
        <f>'TUSD BE'!$Y$5*'TUSD BF'!$Y$62</f>
        <v>0</v>
      </c>
      <c r="Z5" s="13">
        <f>'TUSD BE'!$Z$5*'TUSD BF'!$Z$62</f>
        <v>0</v>
      </c>
      <c r="AA5" s="13">
        <f>'TUSD BE'!$AA$5*'TUSD BF'!$AA$62</f>
        <v>0</v>
      </c>
      <c r="AB5" s="13">
        <f>SUM($U$5:$AA$5)</f>
        <v>0</v>
      </c>
      <c r="AC5" s="13">
        <f>'TUSD BE'!$AC$5*'TUSD BF'!$AC$62</f>
        <v>0</v>
      </c>
      <c r="AD5" s="13">
        <f>SUM($AC$5:$AC$5)</f>
        <v>0</v>
      </c>
      <c r="AE5" s="13">
        <f ca="1">$AO$5*$AO$59</f>
        <v>0</v>
      </c>
      <c r="AF5" s="13">
        <f ca="1">$AP$5*$AP$59</f>
        <v>0</v>
      </c>
      <c r="AG5" s="13">
        <f ca="1">SUM($AE$5:$AF$5)</f>
        <v>0</v>
      </c>
      <c r="AH5" s="13">
        <f>'TUSD BE'!$AH$5*'TUSD BF'!$AH$62</f>
        <v>0</v>
      </c>
      <c r="AI5" s="13">
        <f>'TUSD BE'!$AI$5*'TUSD BF'!$AI$62</f>
        <v>0</v>
      </c>
      <c r="AJ5" s="13">
        <f ca="1">'TUSD BE'!$AJ$5*'TUSD BF'!$AJ$62</f>
        <v>0</v>
      </c>
      <c r="AK5" s="13">
        <f ca="1">'TUSD BE'!$AK$5*'TUSD BF'!$AK$62</f>
        <v>0</v>
      </c>
      <c r="AL5" s="13">
        <f ca="1">SUM($AH$5:$AK$5)</f>
        <v>0</v>
      </c>
      <c r="AM5" s="13">
        <f ca="1">SUMIF($L$4:$AL$4,"SUBTOTAL",$L$5:$AL$5)</f>
        <v>0</v>
      </c>
      <c r="AO5" s="26">
        <f ca="1">+'TUSD BE'!$T$5+'TUSD BE'!$AB$5+'TUSD BE'!$AD$5+'TUSD BE'!$AL$5</f>
        <v>28.408530892690727</v>
      </c>
      <c r="AP5" s="26">
        <f ca="1">+'TUSD BE'!$T$5+'TUSD BE'!$AB$5+'TUSD BE'!$AD$5+'TUSD BE'!$AL$5</f>
        <v>28.408530892690727</v>
      </c>
    </row>
    <row r="6" spans="1:42" ht="11.25" customHeight="1" x14ac:dyDescent="0.3">
      <c r="A6" s="146"/>
      <c r="B6" s="146"/>
      <c r="C6" s="146"/>
      <c r="D6" s="146"/>
      <c r="E6" s="146"/>
      <c r="F6" s="146"/>
      <c r="G6" s="24" t="s">
        <v>83</v>
      </c>
      <c r="H6" s="24" t="s">
        <v>81</v>
      </c>
      <c r="I6" s="24">
        <f>'MERCADO TUSD'!$U$3</f>
        <v>15070.4</v>
      </c>
      <c r="J6" s="15"/>
      <c r="L6" s="13">
        <f>'TUSD BE'!$L$6*'TUSD BF'!$L$62</f>
        <v>0</v>
      </c>
      <c r="M6" s="13">
        <f>'TUSD BE'!$M$6*'TUSD BF'!$M$62</f>
        <v>0</v>
      </c>
      <c r="N6" s="13">
        <f ca="1">'TUSD BE'!$N$6*'TUSD BF'!$N$62</f>
        <v>0</v>
      </c>
      <c r="O6" s="13">
        <f>'TUSD BE'!$O$6*'TUSD BF'!$O$62</f>
        <v>0</v>
      </c>
      <c r="P6" s="13">
        <f>'TUSD BE'!$P$6*'TUSD BF'!$P$62</f>
        <v>0</v>
      </c>
      <c r="Q6" s="13">
        <f>'TUSD BE'!$Q$6*'TUSD BF'!$Q$62</f>
        <v>0</v>
      </c>
      <c r="R6" s="13">
        <f>'TUSD BE'!$R$6*'TUSD BF'!$R$62</f>
        <v>0</v>
      </c>
      <c r="S6" s="13">
        <f>'TUSD BE'!$R$6*'TUSD BF'!$S$62</f>
        <v>0</v>
      </c>
      <c r="T6" s="13">
        <f ca="1">SUM($L$6:$S$6)</f>
        <v>0</v>
      </c>
      <c r="U6" s="13">
        <f>'TUSD BE'!$U$6*'TUSD BF'!$U$62</f>
        <v>0</v>
      </c>
      <c r="V6" s="13">
        <f>'TUSD BE'!$V$6*'TUSD BF'!$V$62</f>
        <v>0</v>
      </c>
      <c r="W6" s="13">
        <f>'TUSD BE'!$W$6*'TUSD BF'!$W$62</f>
        <v>0</v>
      </c>
      <c r="X6" s="13">
        <f>'TUSD BE'!$X$6*'TUSD BF'!$X$62</f>
        <v>0</v>
      </c>
      <c r="Y6" s="13">
        <f>'TUSD BE'!$Y$6*'TUSD BF'!$Y$62</f>
        <v>0</v>
      </c>
      <c r="Z6" s="13">
        <f>'TUSD BE'!$Z$6*'TUSD BF'!$Z$62</f>
        <v>0</v>
      </c>
      <c r="AA6" s="13">
        <f>'TUSD BE'!$AA$6*'TUSD BF'!$AA$62</f>
        <v>0</v>
      </c>
      <c r="AB6" s="13">
        <f>SUM($U$6:$AA$6)</f>
        <v>0</v>
      </c>
      <c r="AC6" s="13">
        <f>'TUSD BE'!$AC$6*'TUSD BF'!$AC$62</f>
        <v>0</v>
      </c>
      <c r="AD6" s="13">
        <f>SUM($AC$6:$AC$6)</f>
        <v>0</v>
      </c>
      <c r="AE6" s="13">
        <f ca="1">$AO$6*$AO$59</f>
        <v>0</v>
      </c>
      <c r="AF6" s="13">
        <f ca="1">$AP$6*$AP$59</f>
        <v>0</v>
      </c>
      <c r="AG6" s="13">
        <f ca="1">SUM($AE$6:$AF$6)</f>
        <v>0</v>
      </c>
      <c r="AH6" s="13">
        <f>'TUSD BE'!$AH$6*'TUSD BF'!$AH$62</f>
        <v>0</v>
      </c>
      <c r="AI6" s="13">
        <f>'TUSD BE'!$AI$6*'TUSD BF'!$AI$62</f>
        <v>0</v>
      </c>
      <c r="AJ6" s="13">
        <f ca="1">'TUSD BE'!$AJ$6*'TUSD BF'!$AJ$62</f>
        <v>0</v>
      </c>
      <c r="AK6" s="13">
        <f ca="1">'TUSD BE'!$AK$6*'TUSD BF'!$AK$62</f>
        <v>0</v>
      </c>
      <c r="AL6" s="13">
        <f ca="1">SUM($AH$6:$AK$6)</f>
        <v>0</v>
      </c>
      <c r="AM6" s="13">
        <f ca="1">SUMIF($L$4:$AL$4,"SUBTOTAL",$L$6:$AL$6)</f>
        <v>0</v>
      </c>
      <c r="AO6" s="26">
        <f ca="1">+'TUSD BE'!$T$6+'TUSD BE'!$AB$6+'TUSD BE'!$AD$6+'TUSD BE'!$AL$6</f>
        <v>17.577170653218829</v>
      </c>
      <c r="AP6" s="26">
        <f ca="1">+'TUSD BE'!$T$6+'TUSD BE'!$AB$6+'TUSD BE'!$AD$6+'TUSD BE'!$AL$6</f>
        <v>17.577170653218829</v>
      </c>
    </row>
    <row r="7" spans="1:42" ht="11.25" customHeight="1" x14ac:dyDescent="0.3">
      <c r="A7" s="146"/>
      <c r="B7" s="146"/>
      <c r="C7" s="146"/>
      <c r="D7" s="146"/>
      <c r="E7" s="146"/>
      <c r="F7" s="146"/>
      <c r="G7" s="24" t="s">
        <v>84</v>
      </c>
      <c r="H7" s="24" t="s">
        <v>78</v>
      </c>
      <c r="I7" s="24">
        <f>'MERCADO TUSD'!$U$4</f>
        <v>7641.8726999999999</v>
      </c>
      <c r="J7" s="15"/>
      <c r="L7" s="13">
        <f>'TUSD BE'!$L$7*'TUSD BF'!$L$62</f>
        <v>0.13665297481981872</v>
      </c>
      <c r="M7" s="13">
        <f>'TUSD BE'!$M$7*'TUSD BF'!$M$62</f>
        <v>0</v>
      </c>
      <c r="N7" s="13">
        <f ca="1">'TUSD BE'!$N$7*'TUSD BF'!$N$62</f>
        <v>0</v>
      </c>
      <c r="O7" s="13">
        <f>'TUSD BE'!$O$7*'TUSD BF'!$O$62</f>
        <v>0</v>
      </c>
      <c r="P7" s="13">
        <f>'TUSD BE'!$P$7*'TUSD BF'!$P$62</f>
        <v>0</v>
      </c>
      <c r="Q7" s="13">
        <f>'TUSD BE'!$Q$7*'TUSD BF'!$Q$62</f>
        <v>16.486085916499984</v>
      </c>
      <c r="R7" s="13">
        <f>'TUSD BE'!$R$7*'TUSD BF'!$R$62</f>
        <v>4.6486353991390432</v>
      </c>
      <c r="S7" s="13">
        <f>'TUSD BE'!$R$7*'TUSD BF'!$S$62</f>
        <v>0</v>
      </c>
      <c r="T7" s="13">
        <f ca="1">SUM($L$7:$S$7)</f>
        <v>21.271374290458844</v>
      </c>
      <c r="U7" s="13">
        <f>'TUSD BE'!$U$7*'TUSD BF'!$U$62</f>
        <v>0</v>
      </c>
      <c r="V7" s="13">
        <f>'TUSD BE'!$V$7*'TUSD BF'!$V$62</f>
        <v>0</v>
      </c>
      <c r="W7" s="13">
        <f>'TUSD BE'!$W$7*'TUSD BF'!$W$62</f>
        <v>0</v>
      </c>
      <c r="X7" s="13">
        <f>'TUSD BE'!$X$7*'TUSD BF'!$X$62</f>
        <v>0</v>
      </c>
      <c r="Y7" s="13">
        <f>'TUSD BE'!$Y$7*'TUSD BF'!$Y$62</f>
        <v>0</v>
      </c>
      <c r="Z7" s="13">
        <f>'TUSD BE'!$Z$7*'TUSD BF'!$Z$62</f>
        <v>0</v>
      </c>
      <c r="AA7" s="13">
        <f>'TUSD BE'!$AA$7*'TUSD BF'!$AA$62</f>
        <v>0</v>
      </c>
      <c r="AB7" s="13">
        <f>SUM($U$7:$AA$7)</f>
        <v>0</v>
      </c>
      <c r="AC7" s="13">
        <f>'TUSD BE'!$AC$7*'TUSD BF'!$AC$62</f>
        <v>0</v>
      </c>
      <c r="AD7" s="13">
        <f>SUM($AC$7:$AC$7)</f>
        <v>0</v>
      </c>
      <c r="AE7" s="13">
        <f ca="1">$AO$7*$AO$59</f>
        <v>0</v>
      </c>
      <c r="AF7" s="13">
        <f ca="1">$AP$7*$AP$59</f>
        <v>0</v>
      </c>
      <c r="AG7" s="13">
        <f ca="1">SUM($AE$7:$AF$7)</f>
        <v>0</v>
      </c>
      <c r="AH7" s="13">
        <f>'TUSD BE'!$AH$7*'TUSD BF'!$AH$62</f>
        <v>-2.5264341155743362E-2</v>
      </c>
      <c r="AI7" s="13">
        <f>'TUSD BE'!$AI$7*'TUSD BF'!$AI$62</f>
        <v>0</v>
      </c>
      <c r="AJ7" s="13">
        <f ca="1">'TUSD BE'!$AJ$7*'TUSD BF'!$AJ$62</f>
        <v>-2.3118187993249558E-3</v>
      </c>
      <c r="AK7" s="13">
        <f ca="1">'TUSD BE'!$AK$7*'TUSD BF'!$AK$62</f>
        <v>0</v>
      </c>
      <c r="AL7" s="13">
        <f ca="1">SUM($AH$7:$AK$7)</f>
        <v>-2.7576159955068319E-2</v>
      </c>
      <c r="AM7" s="13">
        <f ca="1">SUMIF($L$4:$AL$4,"SUBTOTAL",$L$7:$AL$7)</f>
        <v>21.243798130503777</v>
      </c>
      <c r="AO7" s="26">
        <f ca="1">+'TUSD BE'!$T$7+'TUSD BE'!$AB$7+'TUSD BE'!$AD$7+'TUSD BE'!$AL$7</f>
        <v>87.624992652224222</v>
      </c>
      <c r="AP7" s="26">
        <f ca="1">+'TUSD BE'!$T$7+'TUSD BE'!$AB$7+'TUSD BE'!$AD$7+'TUSD BE'!$AL$7</f>
        <v>87.624992652224222</v>
      </c>
    </row>
    <row r="8" spans="1:42" ht="11.25" customHeight="1" x14ac:dyDescent="0.3">
      <c r="A8" s="146"/>
      <c r="B8" s="146"/>
      <c r="C8" s="146"/>
      <c r="D8" s="146"/>
      <c r="E8" s="23" t="s">
        <v>85</v>
      </c>
      <c r="F8" s="23" t="s">
        <v>25</v>
      </c>
      <c r="G8" s="24" t="s">
        <v>84</v>
      </c>
      <c r="H8" s="24" t="s">
        <v>78</v>
      </c>
      <c r="I8" s="24">
        <f>'MERCADO TUSD'!$U$5</f>
        <v>0</v>
      </c>
      <c r="J8" s="15"/>
      <c r="L8" s="13">
        <f>'TUSD BE'!$L$8*'TUSD BF'!$L$62</f>
        <v>0</v>
      </c>
      <c r="M8" s="13">
        <f>'TUSD BE'!$M$8*'TUSD BF'!$M$62</f>
        <v>0</v>
      </c>
      <c r="N8" s="13">
        <f ca="1">'TUSD BE'!$N$8*'TUSD BF'!$N$62</f>
        <v>0</v>
      </c>
      <c r="O8" s="13">
        <f>'TUSD BE'!$O$8*'TUSD BF'!$O$62</f>
        <v>0</v>
      </c>
      <c r="P8" s="13">
        <f>'TUSD BE'!$P$8*'TUSD BF'!$P$62</f>
        <v>0</v>
      </c>
      <c r="Q8" s="13">
        <f>'TUSD BE'!$Q$8*'TUSD BF'!$Q$62</f>
        <v>0</v>
      </c>
      <c r="R8" s="13">
        <f>'TUSD BE'!$R$8*'TUSD BF'!$R$62</f>
        <v>0</v>
      </c>
      <c r="S8" s="13">
        <f>'TUSD BE'!$R$8*'TUSD BF'!$S$62</f>
        <v>0</v>
      </c>
      <c r="T8" s="13">
        <f ca="1">SUM($L$8:$S$8)</f>
        <v>0</v>
      </c>
      <c r="U8" s="13">
        <f>'TUSD BE'!$U$8*'TUSD BF'!$U$62</f>
        <v>0</v>
      </c>
      <c r="V8" s="13">
        <f>'TUSD BE'!$V$8*'TUSD BF'!$V$62</f>
        <v>0</v>
      </c>
      <c r="W8" s="13">
        <f>'TUSD BE'!$W$8*'TUSD BF'!$W$62</f>
        <v>0</v>
      </c>
      <c r="X8" s="13">
        <f>'TUSD BE'!$X$8*'TUSD BF'!$X$62</f>
        <v>0</v>
      </c>
      <c r="Y8" s="13">
        <f>'TUSD BE'!$Y$8*'TUSD BF'!$Y$62</f>
        <v>0</v>
      </c>
      <c r="Z8" s="13">
        <f>'TUSD BE'!$Z$8*'TUSD BF'!$Z$62</f>
        <v>0</v>
      </c>
      <c r="AA8" s="13">
        <f>'TUSD BE'!$AA$8*'TUSD BF'!$AA$62</f>
        <v>0</v>
      </c>
      <c r="AB8" s="13">
        <f>SUM($U$8:$AA$8)</f>
        <v>0</v>
      </c>
      <c r="AC8" s="13">
        <f>'TUSD BE'!$AC$8*'TUSD BF'!$AC$62</f>
        <v>0</v>
      </c>
      <c r="AD8" s="13">
        <f>SUM($AC$8:$AC$8)</f>
        <v>0</v>
      </c>
      <c r="AE8" s="13">
        <f ca="1">$AO$8*$AO$59</f>
        <v>0</v>
      </c>
      <c r="AF8" s="13">
        <f ca="1">$AP$8*$AP$59</f>
        <v>0</v>
      </c>
      <c r="AG8" s="13">
        <f ca="1">SUM($AE$8:$AF$8)</f>
        <v>0</v>
      </c>
      <c r="AH8" s="13">
        <f>'TUSD BE'!$AH$8*'TUSD BF'!$AH$62</f>
        <v>-2.5264341155743362E-2</v>
      </c>
      <c r="AI8" s="13">
        <f>'TUSD BE'!$AI$8*'TUSD BF'!$AI$62</f>
        <v>0</v>
      </c>
      <c r="AJ8" s="13">
        <f ca="1">'TUSD BE'!$AJ$8*'TUSD BF'!$AJ$62</f>
        <v>-2.3118187993249558E-3</v>
      </c>
      <c r="AK8" s="13">
        <f ca="1">'TUSD BE'!$AK$8*'TUSD BF'!$AK$62</f>
        <v>0</v>
      </c>
      <c r="AL8" s="13">
        <f ca="1">SUM($AH$8:$AK$8)</f>
        <v>-2.7576159955068319E-2</v>
      </c>
      <c r="AM8" s="13">
        <f ca="1">SUMIF($L$4:$AL$4,"SUBTOTAL",$L$8:$AL$8)</f>
        <v>-2.7576159955068319E-2</v>
      </c>
      <c r="AO8" s="26">
        <f ca="1">+'TUSD BE'!$T$8+'TUSD BE'!$AB$8+'TUSD BE'!$AD$8+'TUSD BE'!$AL$8</f>
        <v>7.0457882689930047</v>
      </c>
      <c r="AP8" s="26">
        <f ca="1">+'TUSD BE'!$T$8+'TUSD BE'!$AB$8+'TUSD BE'!$AD$8+'TUSD BE'!$AL$8</f>
        <v>7.0457882689930047</v>
      </c>
    </row>
    <row r="9" spans="1:42" ht="11.25" customHeight="1" x14ac:dyDescent="0.3">
      <c r="A9" s="146" t="s">
        <v>34</v>
      </c>
      <c r="B9" s="146" t="s">
        <v>54</v>
      </c>
      <c r="C9" s="146" t="s">
        <v>25</v>
      </c>
      <c r="D9" s="146" t="s">
        <v>25</v>
      </c>
      <c r="E9" s="146" t="s">
        <v>25</v>
      </c>
      <c r="F9" s="146" t="s">
        <v>25</v>
      </c>
      <c r="G9" s="24" t="s">
        <v>82</v>
      </c>
      <c r="H9" s="24" t="s">
        <v>81</v>
      </c>
      <c r="I9" s="24">
        <f>'MERCADO TUSD'!$U$6</f>
        <v>74447</v>
      </c>
      <c r="J9" s="15"/>
      <c r="L9" s="13">
        <f>'TUSD BE'!$L$9*'TUSD BF'!$L$62</f>
        <v>0</v>
      </c>
      <c r="M9" s="13">
        <f>'TUSD BE'!$M$9*'TUSD BF'!$M$62</f>
        <v>0</v>
      </c>
      <c r="N9" s="13">
        <f ca="1">'TUSD BE'!$N$9*'TUSD BF'!$N$62</f>
        <v>0</v>
      </c>
      <c r="O9" s="13">
        <f>'TUSD BE'!$O$9*'TUSD BF'!$O$62</f>
        <v>0</v>
      </c>
      <c r="P9" s="13">
        <f>'TUSD BE'!$P$9*'TUSD BF'!$P$62</f>
        <v>0</v>
      </c>
      <c r="Q9" s="13">
        <f>'TUSD BE'!$Q$9*'TUSD BF'!$Q$62</f>
        <v>0</v>
      </c>
      <c r="R9" s="13">
        <f>'TUSD BE'!$R$9*'TUSD BF'!$R$62</f>
        <v>0</v>
      </c>
      <c r="S9" s="13">
        <f>'TUSD BE'!$R$9*'TUSD BF'!$S$62</f>
        <v>0</v>
      </c>
      <c r="T9" s="13">
        <f ca="1">SUM($L$9:$S$9)</f>
        <v>0</v>
      </c>
      <c r="U9" s="13">
        <f>'TUSD BE'!$U$9*'TUSD BF'!$U$62</f>
        <v>0</v>
      </c>
      <c r="V9" s="13">
        <f>'TUSD BE'!$V$9*'TUSD BF'!$V$62</f>
        <v>0</v>
      </c>
      <c r="W9" s="13">
        <f>'TUSD BE'!$W$9*'TUSD BF'!$W$62</f>
        <v>0</v>
      </c>
      <c r="X9" s="13">
        <f>'TUSD BE'!$X$9*'TUSD BF'!$X$62</f>
        <v>0</v>
      </c>
      <c r="Y9" s="13">
        <f>'TUSD BE'!$Y$9*'TUSD BF'!$Y$62</f>
        <v>0</v>
      </c>
      <c r="Z9" s="13">
        <f>'TUSD BE'!$Z$9*'TUSD BF'!$Z$62</f>
        <v>0</v>
      </c>
      <c r="AA9" s="13">
        <f>'TUSD BE'!$AA$9*'TUSD BF'!$AA$62</f>
        <v>0</v>
      </c>
      <c r="AB9" s="13">
        <f>SUM($U$9:$AA$9)</f>
        <v>0</v>
      </c>
      <c r="AC9" s="13">
        <f>'TUSD BE'!$AC$9*'TUSD BF'!$AC$62</f>
        <v>0</v>
      </c>
      <c r="AD9" s="13">
        <f>SUM($AC$9:$AC$9)</f>
        <v>0</v>
      </c>
      <c r="AE9" s="13">
        <f ca="1">$AO$9*$AO$59</f>
        <v>0</v>
      </c>
      <c r="AF9" s="13">
        <f ca="1">$AP$9*$AP$59</f>
        <v>0</v>
      </c>
      <c r="AG9" s="13">
        <f ca="1">SUM($AE$9:$AF$9)</f>
        <v>0</v>
      </c>
      <c r="AH9" s="13">
        <f>'TUSD BE'!$AH$9*'TUSD BF'!$AH$62</f>
        <v>0</v>
      </c>
      <c r="AI9" s="13">
        <f>'TUSD BE'!$AI$9*'TUSD BF'!$AI$62</f>
        <v>0</v>
      </c>
      <c r="AJ9" s="13">
        <f ca="1">'TUSD BE'!$AJ$9*'TUSD BF'!$AJ$62</f>
        <v>0</v>
      </c>
      <c r="AK9" s="13">
        <f ca="1">'TUSD BE'!$AK$9*'TUSD BF'!$AK$62</f>
        <v>0</v>
      </c>
      <c r="AL9" s="13">
        <f ca="1">SUM($AH$9:$AK$9)</f>
        <v>0</v>
      </c>
      <c r="AM9" s="13">
        <f ca="1">SUMIF($L$4:$AL$4,"SUBTOTAL",$L$9:$AL$9)</f>
        <v>0</v>
      </c>
      <c r="AO9" s="26">
        <f ca="1">+'TUSD BE'!$T$9+'TUSD BE'!$AB$9+'TUSD BE'!$AD$9+'TUSD BE'!$AL$9</f>
        <v>37.878078230330694</v>
      </c>
      <c r="AP9" s="26">
        <f ca="1">+'TUSD BE'!$T$9+'TUSD BE'!$AB$9+'TUSD BE'!$AD$9+'TUSD BE'!$AL$9</f>
        <v>37.878078230330694</v>
      </c>
    </row>
    <row r="10" spans="1:42" ht="11.25" customHeight="1" x14ac:dyDescent="0.3">
      <c r="A10" s="146"/>
      <c r="B10" s="146"/>
      <c r="C10" s="146"/>
      <c r="D10" s="146"/>
      <c r="E10" s="146"/>
      <c r="F10" s="146"/>
      <c r="G10" s="24" t="s">
        <v>83</v>
      </c>
      <c r="H10" s="24" t="s">
        <v>81</v>
      </c>
      <c r="I10" s="24">
        <f>'MERCADO TUSD'!$U$7</f>
        <v>79182</v>
      </c>
      <c r="J10" s="15"/>
      <c r="L10" s="13">
        <f>'TUSD BE'!$L$10*'TUSD BF'!$L$62</f>
        <v>0</v>
      </c>
      <c r="M10" s="13">
        <f>'TUSD BE'!$M$10*'TUSD BF'!$M$62</f>
        <v>0</v>
      </c>
      <c r="N10" s="13">
        <f ca="1">'TUSD BE'!$N$10*'TUSD BF'!$N$62</f>
        <v>0</v>
      </c>
      <c r="O10" s="13">
        <f>'TUSD BE'!$O$10*'TUSD BF'!$O$62</f>
        <v>0</v>
      </c>
      <c r="P10" s="13">
        <f>'TUSD BE'!$P$10*'TUSD BF'!$P$62</f>
        <v>0</v>
      </c>
      <c r="Q10" s="13">
        <f>'TUSD BE'!$Q$10*'TUSD BF'!$Q$62</f>
        <v>0</v>
      </c>
      <c r="R10" s="13">
        <f>'TUSD BE'!$R$10*'TUSD BF'!$R$62</f>
        <v>0</v>
      </c>
      <c r="S10" s="13">
        <f>'TUSD BE'!$R$10*'TUSD BF'!$S$62</f>
        <v>0</v>
      </c>
      <c r="T10" s="13">
        <f ca="1">SUM($L$10:$S$10)</f>
        <v>0</v>
      </c>
      <c r="U10" s="13">
        <f>'TUSD BE'!$U$10*'TUSD BF'!$U$62</f>
        <v>0</v>
      </c>
      <c r="V10" s="13">
        <f>'TUSD BE'!$V$10*'TUSD BF'!$V$62</f>
        <v>0</v>
      </c>
      <c r="W10" s="13">
        <f>'TUSD BE'!$W$10*'TUSD BF'!$W$62</f>
        <v>0</v>
      </c>
      <c r="X10" s="13">
        <f>'TUSD BE'!$X$10*'TUSD BF'!$X$62</f>
        <v>0</v>
      </c>
      <c r="Y10" s="13">
        <f>'TUSD BE'!$Y$10*'TUSD BF'!$Y$62</f>
        <v>0</v>
      </c>
      <c r="Z10" s="13">
        <f>'TUSD BE'!$Z$10*'TUSD BF'!$Z$62</f>
        <v>0</v>
      </c>
      <c r="AA10" s="13">
        <f>'TUSD BE'!$AA$10*'TUSD BF'!$AA$62</f>
        <v>0</v>
      </c>
      <c r="AB10" s="13">
        <f>SUM($U$10:$AA$10)</f>
        <v>0</v>
      </c>
      <c r="AC10" s="13">
        <f>'TUSD BE'!$AC$10*'TUSD BF'!$AC$62</f>
        <v>0</v>
      </c>
      <c r="AD10" s="13">
        <f>SUM($AC$10:$AC$10)</f>
        <v>0</v>
      </c>
      <c r="AE10" s="13">
        <f ca="1">$AO$10*$AO$59</f>
        <v>0</v>
      </c>
      <c r="AF10" s="13">
        <f ca="1">$AP$10*$AP$59</f>
        <v>0</v>
      </c>
      <c r="AG10" s="13">
        <f ca="1">SUM($AE$10:$AF$10)</f>
        <v>0</v>
      </c>
      <c r="AH10" s="13">
        <f>'TUSD BE'!$AH$10*'TUSD BF'!$AH$62</f>
        <v>0</v>
      </c>
      <c r="AI10" s="13">
        <f>'TUSD BE'!$AI$10*'TUSD BF'!$AI$62</f>
        <v>0</v>
      </c>
      <c r="AJ10" s="13">
        <f ca="1">'TUSD BE'!$AJ$10*'TUSD BF'!$AJ$62</f>
        <v>0</v>
      </c>
      <c r="AK10" s="13">
        <f ca="1">'TUSD BE'!$AK$10*'TUSD BF'!$AK$62</f>
        <v>0</v>
      </c>
      <c r="AL10" s="13">
        <f ca="1">SUM($AH$10:$AK$10)</f>
        <v>0</v>
      </c>
      <c r="AM10" s="13">
        <f ca="1">SUMIF($L$4:$AL$4,"SUBTOTAL",$L$10:$AL$10)</f>
        <v>0</v>
      </c>
      <c r="AO10" s="26">
        <f ca="1">+'TUSD BE'!$T$10+'TUSD BE'!$AB$10+'TUSD BE'!$AD$10+'TUSD BE'!$AL$10</f>
        <v>23.43631868310257</v>
      </c>
      <c r="AP10" s="26">
        <f ca="1">+'TUSD BE'!$T$10+'TUSD BE'!$AB$10+'TUSD BE'!$AD$10+'TUSD BE'!$AL$10</f>
        <v>23.43631868310257</v>
      </c>
    </row>
    <row r="11" spans="1:42" ht="11.25" customHeight="1" x14ac:dyDescent="0.3">
      <c r="A11" s="146"/>
      <c r="B11" s="146"/>
      <c r="C11" s="146"/>
      <c r="D11" s="146"/>
      <c r="E11" s="146"/>
      <c r="F11" s="146"/>
      <c r="G11" s="24" t="s">
        <v>84</v>
      </c>
      <c r="H11" s="24" t="s">
        <v>78</v>
      </c>
      <c r="I11" s="24">
        <f>'MERCADO TUSD'!$U$8</f>
        <v>33099.82804</v>
      </c>
      <c r="J11" s="15"/>
      <c r="L11" s="13">
        <f>'TUSD BE'!$L$11*'TUSD BF'!$L$62</f>
        <v>0.18514274007846407</v>
      </c>
      <c r="M11" s="13">
        <f>'TUSD BE'!$M$11*'TUSD BF'!$M$62</f>
        <v>0</v>
      </c>
      <c r="N11" s="13">
        <f ca="1">'TUSD BE'!$N$11*'TUSD BF'!$N$62</f>
        <v>0</v>
      </c>
      <c r="O11" s="13">
        <f>'TUSD BE'!$O$11*'TUSD BF'!$O$62</f>
        <v>0</v>
      </c>
      <c r="P11" s="13">
        <f>'TUSD BE'!$P$11*'TUSD BF'!$P$62</f>
        <v>0</v>
      </c>
      <c r="Q11" s="13">
        <f>'TUSD BE'!$Q$11*'TUSD BF'!$Q$62</f>
        <v>22.335987370741918</v>
      </c>
      <c r="R11" s="13">
        <f>'TUSD BE'!$R$11*'TUSD BF'!$R$62</f>
        <v>4.6486353991390432</v>
      </c>
      <c r="S11" s="13">
        <f>'TUSD BE'!$R$11*'TUSD BF'!$S$62</f>
        <v>0</v>
      </c>
      <c r="T11" s="13">
        <f ca="1">SUM($L$11:$S$11)</f>
        <v>27.169765509959426</v>
      </c>
      <c r="U11" s="13">
        <f>'TUSD BE'!$U$11*'TUSD BF'!$U$62</f>
        <v>0</v>
      </c>
      <c r="V11" s="13">
        <f>'TUSD BE'!$V$11*'TUSD BF'!$V$62</f>
        <v>0</v>
      </c>
      <c r="W11" s="13">
        <f>'TUSD BE'!$W$11*'TUSD BF'!$W$62</f>
        <v>0</v>
      </c>
      <c r="X11" s="13">
        <f>'TUSD BE'!$X$11*'TUSD BF'!$X$62</f>
        <v>0</v>
      </c>
      <c r="Y11" s="13">
        <f>'TUSD BE'!$Y$11*'TUSD BF'!$Y$62</f>
        <v>0</v>
      </c>
      <c r="Z11" s="13">
        <f>'TUSD BE'!$Z$11*'TUSD BF'!$Z$62</f>
        <v>0</v>
      </c>
      <c r="AA11" s="13">
        <f>'TUSD BE'!$AA$11*'TUSD BF'!$AA$62</f>
        <v>0</v>
      </c>
      <c r="AB11" s="13">
        <f>SUM($U$11:$AA$11)</f>
        <v>0</v>
      </c>
      <c r="AC11" s="13">
        <f>'TUSD BE'!$AC$11*'TUSD BF'!$AC$62</f>
        <v>0</v>
      </c>
      <c r="AD11" s="13">
        <f>SUM($AC$11:$AC$11)</f>
        <v>0</v>
      </c>
      <c r="AE11" s="13">
        <f ca="1">$AO$11*$AO$59</f>
        <v>0</v>
      </c>
      <c r="AF11" s="13">
        <f ca="1">$AP$11*$AP$59</f>
        <v>0</v>
      </c>
      <c r="AG11" s="13">
        <f ca="1">SUM($AE$11:$AF$11)</f>
        <v>0</v>
      </c>
      <c r="AH11" s="13">
        <f>'TUSD BE'!$AH$11*'TUSD BF'!$AH$62</f>
        <v>-3.3685657126391245E-2</v>
      </c>
      <c r="AI11" s="13">
        <f>'TUSD BE'!$AI$11*'TUSD BF'!$AI$62</f>
        <v>0</v>
      </c>
      <c r="AJ11" s="13">
        <f ca="1">'TUSD BE'!$AJ$11*'TUSD BF'!$AJ$62</f>
        <v>-3.5081081985183075E-3</v>
      </c>
      <c r="AK11" s="13">
        <f ca="1">'TUSD BE'!$AK$11*'TUSD BF'!$AK$62</f>
        <v>0</v>
      </c>
      <c r="AL11" s="13">
        <f ca="1">SUM($AH$11:$AK$11)</f>
        <v>-3.7193765324909554E-2</v>
      </c>
      <c r="AM11" s="13">
        <f ca="1">SUMIF($L$4:$AL$4,"SUBTOTAL",$L$11:$AL$11)</f>
        <v>27.132571744634514</v>
      </c>
      <c r="AO11" s="26">
        <f ca="1">+'TUSD BE'!$T$11+'TUSD BE'!$AB$11+'TUSD BE'!$AD$11+'TUSD BE'!$AL$11</f>
        <v>113.34330165494234</v>
      </c>
      <c r="AP11" s="26">
        <f ca="1">+'TUSD BE'!$T$11+'TUSD BE'!$AB$11+'TUSD BE'!$AD$11+'TUSD BE'!$AL$11</f>
        <v>113.34330165494234</v>
      </c>
    </row>
    <row r="12" spans="1:42" ht="11.25" customHeight="1" x14ac:dyDescent="0.3">
      <c r="A12" s="146"/>
      <c r="B12" s="146"/>
      <c r="C12" s="146"/>
      <c r="D12" s="146"/>
      <c r="E12" s="23" t="s">
        <v>85</v>
      </c>
      <c r="F12" s="23" t="s">
        <v>25</v>
      </c>
      <c r="G12" s="24" t="s">
        <v>84</v>
      </c>
      <c r="H12" s="24" t="s">
        <v>78</v>
      </c>
      <c r="I12" s="24">
        <f>'MERCADO TUSD'!$U$9</f>
        <v>0</v>
      </c>
      <c r="J12" s="15"/>
      <c r="L12" s="13">
        <f>'TUSD BE'!$L$12*'TUSD BF'!$L$62</f>
        <v>0</v>
      </c>
      <c r="M12" s="13">
        <f>'TUSD BE'!$M$12*'TUSD BF'!$M$62</f>
        <v>0</v>
      </c>
      <c r="N12" s="13">
        <f ca="1">'TUSD BE'!$N$12*'TUSD BF'!$N$62</f>
        <v>0</v>
      </c>
      <c r="O12" s="13">
        <f>'TUSD BE'!$O$12*'TUSD BF'!$O$62</f>
        <v>0</v>
      </c>
      <c r="P12" s="13">
        <f>'TUSD BE'!$P$12*'TUSD BF'!$P$62</f>
        <v>0</v>
      </c>
      <c r="Q12" s="13">
        <f>'TUSD BE'!$Q$12*'TUSD BF'!$Q$62</f>
        <v>0</v>
      </c>
      <c r="R12" s="13">
        <f>'TUSD BE'!$R$12*'TUSD BF'!$R$62</f>
        <v>0</v>
      </c>
      <c r="S12" s="13">
        <f>'TUSD BE'!$R$12*'TUSD BF'!$S$62</f>
        <v>0</v>
      </c>
      <c r="T12" s="13">
        <f ca="1">SUM($L$12:$S$12)</f>
        <v>0</v>
      </c>
      <c r="U12" s="13">
        <f>'TUSD BE'!$U$12*'TUSD BF'!$U$62</f>
        <v>0</v>
      </c>
      <c r="V12" s="13">
        <f>'TUSD BE'!$V$12*'TUSD BF'!$V$62</f>
        <v>0</v>
      </c>
      <c r="W12" s="13">
        <f>'TUSD BE'!$W$12*'TUSD BF'!$W$62</f>
        <v>0</v>
      </c>
      <c r="X12" s="13">
        <f>'TUSD BE'!$X$12*'TUSD BF'!$X$62</f>
        <v>0</v>
      </c>
      <c r="Y12" s="13">
        <f>'TUSD BE'!$Y$12*'TUSD BF'!$Y$62</f>
        <v>0</v>
      </c>
      <c r="Z12" s="13">
        <f>'TUSD BE'!$Z$12*'TUSD BF'!$Z$62</f>
        <v>0</v>
      </c>
      <c r="AA12" s="13">
        <f>'TUSD BE'!$AA$12*'TUSD BF'!$AA$62</f>
        <v>0</v>
      </c>
      <c r="AB12" s="13">
        <f>SUM($U$12:$AA$12)</f>
        <v>0</v>
      </c>
      <c r="AC12" s="13">
        <f>'TUSD BE'!$AC$12*'TUSD BF'!$AC$62</f>
        <v>0</v>
      </c>
      <c r="AD12" s="13">
        <f>SUM($AC$12:$AC$12)</f>
        <v>0</v>
      </c>
      <c r="AE12" s="13">
        <f ca="1">$AO$12*$AO$59</f>
        <v>0</v>
      </c>
      <c r="AF12" s="13">
        <f ca="1">$AP$12*$AP$59</f>
        <v>0</v>
      </c>
      <c r="AG12" s="13">
        <f ca="1">SUM($AE$12:$AF$12)</f>
        <v>0</v>
      </c>
      <c r="AH12" s="13">
        <f>'TUSD BE'!$AH$12*'TUSD BF'!$AH$62</f>
        <v>-3.3685657126391245E-2</v>
      </c>
      <c r="AI12" s="13">
        <f>'TUSD BE'!$AI$12*'TUSD BF'!$AI$62</f>
        <v>0</v>
      </c>
      <c r="AJ12" s="13">
        <f ca="1">'TUSD BE'!$AJ$12*'TUSD BF'!$AJ$62</f>
        <v>-3.5081081985183075E-3</v>
      </c>
      <c r="AK12" s="13">
        <f ca="1">'TUSD BE'!$AK$12*'TUSD BF'!$AK$62</f>
        <v>0</v>
      </c>
      <c r="AL12" s="13">
        <f ca="1">SUM($AH$12:$AK$12)</f>
        <v>-3.7193765324909554E-2</v>
      </c>
      <c r="AM12" s="13">
        <f ca="1">SUMIF($L$4:$AL$4,"SUBTOTAL",$L$12:$AL$12)</f>
        <v>-3.7193765324909554E-2</v>
      </c>
      <c r="AO12" s="26">
        <f ca="1">+'TUSD BE'!$T$12+'TUSD BE'!$AB$12+'TUSD BE'!$AD$12+'TUSD BE'!$AL$12</f>
        <v>9.5616801781622289</v>
      </c>
      <c r="AP12" s="26">
        <f ca="1">+'TUSD BE'!$T$12+'TUSD BE'!$AB$12+'TUSD BE'!$AD$12+'TUSD BE'!$AL$12</f>
        <v>9.5616801781622289</v>
      </c>
    </row>
    <row r="13" spans="1:42" ht="11.25" customHeight="1" x14ac:dyDescent="0.3">
      <c r="A13" s="146"/>
      <c r="B13" s="23" t="s">
        <v>57</v>
      </c>
      <c r="C13" s="23" t="s">
        <v>25</v>
      </c>
      <c r="D13" s="23" t="s">
        <v>25</v>
      </c>
      <c r="E13" s="23" t="s">
        <v>25</v>
      </c>
      <c r="F13" s="23" t="s">
        <v>25</v>
      </c>
      <c r="G13" s="24" t="s">
        <v>9</v>
      </c>
      <c r="H13" s="24" t="s">
        <v>81</v>
      </c>
      <c r="I13" s="24">
        <f>'MERCADO TUSD'!$U$10</f>
        <v>33000</v>
      </c>
      <c r="J13" s="15"/>
      <c r="L13" s="13">
        <f>'TUSD BE'!$L$13*'TUSD BF'!$L$62</f>
        <v>0</v>
      </c>
      <c r="M13" s="13">
        <f>'TUSD BE'!$M$13*'TUSD BF'!$M$62</f>
        <v>0</v>
      </c>
      <c r="N13" s="13">
        <f ca="1">'TUSD BE'!$N$13*'TUSD BF'!$N$62</f>
        <v>0</v>
      </c>
      <c r="O13" s="13">
        <f>'TUSD BE'!$O$13*'TUSD BF'!$O$62</f>
        <v>0</v>
      </c>
      <c r="P13" s="13">
        <f>'TUSD BE'!$P$13*'TUSD BF'!$P$62</f>
        <v>0</v>
      </c>
      <c r="Q13" s="13">
        <f>'TUSD BE'!$Q$13*'TUSD BF'!$Q$62</f>
        <v>0</v>
      </c>
      <c r="R13" s="13">
        <f>'TUSD BE'!$R$13*'TUSD BF'!$R$62</f>
        <v>0</v>
      </c>
      <c r="S13" s="13">
        <f>'TUSD BE'!$R$13*'TUSD BF'!$S$62</f>
        <v>0</v>
      </c>
      <c r="T13" s="13">
        <f ca="1">SUM($L$13:$S$13)</f>
        <v>0</v>
      </c>
      <c r="U13" s="13">
        <f>'TUSD BE'!$U$13*'TUSD BF'!$U$62</f>
        <v>0</v>
      </c>
      <c r="V13" s="13">
        <f>'TUSD BE'!$V$13*'TUSD BF'!$V$62</f>
        <v>0</v>
      </c>
      <c r="W13" s="13">
        <f>'TUSD BE'!$W$13*'TUSD BF'!$W$62</f>
        <v>0</v>
      </c>
      <c r="X13" s="13">
        <f>'TUSD BE'!$X$13*'TUSD BF'!$X$62</f>
        <v>0</v>
      </c>
      <c r="Y13" s="13">
        <f>'TUSD BE'!$Y$13*'TUSD BF'!$Y$62</f>
        <v>0</v>
      </c>
      <c r="Z13" s="13">
        <f>'TUSD BE'!$Z$13*'TUSD BF'!$Z$62</f>
        <v>0</v>
      </c>
      <c r="AA13" s="13">
        <f>'TUSD BE'!$AA$13*'TUSD BF'!$AA$62</f>
        <v>0</v>
      </c>
      <c r="AB13" s="13">
        <f>SUM($U$13:$AA$13)</f>
        <v>0</v>
      </c>
      <c r="AC13" s="13">
        <f>'TUSD BE'!$AC$13*'TUSD BF'!$AC$62</f>
        <v>0</v>
      </c>
      <c r="AD13" s="13">
        <f>SUM($AC$13:$AC$13)</f>
        <v>0</v>
      </c>
      <c r="AE13" s="13">
        <f ca="1">$AO$13*$AO$59</f>
        <v>0</v>
      </c>
      <c r="AF13" s="13">
        <f ca="1">$AP$13*$AP$59</f>
        <v>0</v>
      </c>
      <c r="AG13" s="13">
        <f ca="1">SUM($AE$13:$AF$13)</f>
        <v>0</v>
      </c>
      <c r="AH13" s="13">
        <f>'TUSD BE'!$AH$13*'TUSD BF'!$AH$62</f>
        <v>-9.0446073931777429E-6</v>
      </c>
      <c r="AI13" s="13">
        <f>'TUSD BE'!$AI$13*'TUSD BF'!$AI$62</f>
        <v>0</v>
      </c>
      <c r="AJ13" s="13">
        <f ca="1">'TUSD BE'!$AJ$13*'TUSD BF'!$AJ$62</f>
        <v>0</v>
      </c>
      <c r="AK13" s="13">
        <f ca="1">'TUSD BE'!$AK$13*'TUSD BF'!$AK$62</f>
        <v>0</v>
      </c>
      <c r="AL13" s="13">
        <f ca="1">SUM($AH$13:$AK$13)</f>
        <v>-9.0446073931777429E-6</v>
      </c>
      <c r="AM13" s="13">
        <f ca="1">SUMIF($L$4:$AL$4,"SUBTOTAL",$L$13:$AL$13)</f>
        <v>-9.0446073931777429E-6</v>
      </c>
      <c r="AO13" s="26">
        <f ca="1">+'TUSD BE'!$T$13+'TUSD BE'!$AB$13+'TUSD BE'!$AD$13+'TUSD BE'!$AL$13</f>
        <v>8.6271878930672212</v>
      </c>
      <c r="AP13" s="26">
        <f ca="1">+'TUSD BE'!$T$13+'TUSD BE'!$AB$13+'TUSD BE'!$AD$13+'TUSD BE'!$AL$13</f>
        <v>8.6271878930672212</v>
      </c>
    </row>
    <row r="14" spans="1:42" ht="11.25" customHeight="1" x14ac:dyDescent="0.3">
      <c r="A14" s="146"/>
      <c r="B14" s="146" t="s">
        <v>35</v>
      </c>
      <c r="C14" s="146" t="s">
        <v>25</v>
      </c>
      <c r="D14" s="146" t="s">
        <v>25</v>
      </c>
      <c r="E14" s="146" t="s">
        <v>25</v>
      </c>
      <c r="F14" s="146" t="s">
        <v>25</v>
      </c>
      <c r="G14" s="24" t="s">
        <v>9</v>
      </c>
      <c r="H14" s="24" t="s">
        <v>81</v>
      </c>
      <c r="I14" s="24">
        <f>'MERCADO TUSD'!$U$11</f>
        <v>161517.14000000001</v>
      </c>
      <c r="J14" s="15"/>
      <c r="L14" s="13">
        <f>'TUSD BE'!$L$14*'TUSD BF'!$L$62</f>
        <v>0</v>
      </c>
      <c r="M14" s="13">
        <f>'TUSD BE'!$M$14*'TUSD BF'!$M$62</f>
        <v>0</v>
      </c>
      <c r="N14" s="13">
        <f ca="1">'TUSD BE'!$N$14*'TUSD BF'!$N$62</f>
        <v>0</v>
      </c>
      <c r="O14" s="13">
        <f>'TUSD BE'!$O$14*'TUSD BF'!$O$62</f>
        <v>0</v>
      </c>
      <c r="P14" s="13">
        <f>'TUSD BE'!$P$14*'TUSD BF'!$P$62</f>
        <v>0</v>
      </c>
      <c r="Q14" s="13">
        <f>'TUSD BE'!$Q$14*'TUSD BF'!$Q$62</f>
        <v>0</v>
      </c>
      <c r="R14" s="13">
        <f>'TUSD BE'!$R$14*'TUSD BF'!$R$62</f>
        <v>0</v>
      </c>
      <c r="S14" s="13">
        <f>'TUSD BE'!$R$14*'TUSD BF'!$S$62</f>
        <v>0</v>
      </c>
      <c r="T14" s="13">
        <f ca="1">SUM($L$14:$S$14)</f>
        <v>0</v>
      </c>
      <c r="U14" s="13">
        <f>'TUSD BE'!$U$14*'TUSD BF'!$U$62</f>
        <v>0</v>
      </c>
      <c r="V14" s="13">
        <f>'TUSD BE'!$V$14*'TUSD BF'!$V$62</f>
        <v>0</v>
      </c>
      <c r="W14" s="13">
        <f>'TUSD BE'!$W$14*'TUSD BF'!$W$62</f>
        <v>0</v>
      </c>
      <c r="X14" s="13">
        <f>'TUSD BE'!$X$14*'TUSD BF'!$X$62</f>
        <v>0</v>
      </c>
      <c r="Y14" s="13">
        <f>'TUSD BE'!$Y$14*'TUSD BF'!$Y$62</f>
        <v>0</v>
      </c>
      <c r="Z14" s="13">
        <f>'TUSD BE'!$Z$14*'TUSD BF'!$Z$62</f>
        <v>0</v>
      </c>
      <c r="AA14" s="13">
        <f>'TUSD BE'!$AA$14*'TUSD BF'!$AA$62</f>
        <v>0</v>
      </c>
      <c r="AB14" s="13">
        <f>SUM($U$14:$AA$14)</f>
        <v>0</v>
      </c>
      <c r="AC14" s="13">
        <f>'TUSD BE'!$AC$14*'TUSD BF'!$AC$62</f>
        <v>0</v>
      </c>
      <c r="AD14" s="13">
        <f>SUM($AC$14:$AC$14)</f>
        <v>0</v>
      </c>
      <c r="AE14" s="13">
        <f ca="1">$AO$14*$AO$59</f>
        <v>0</v>
      </c>
      <c r="AF14" s="13">
        <f ca="1">$AP$14*$AP$59</f>
        <v>0</v>
      </c>
      <c r="AG14" s="13">
        <f ca="1">SUM($AE$14:$AF$14)</f>
        <v>0</v>
      </c>
      <c r="AH14" s="13">
        <f>'TUSD BE'!$AH$14*'TUSD BF'!$AH$62</f>
        <v>0</v>
      </c>
      <c r="AI14" s="13">
        <f>'TUSD BE'!$AI$14*'TUSD BF'!$AI$62</f>
        <v>0</v>
      </c>
      <c r="AJ14" s="13">
        <f ca="1">'TUSD BE'!$AJ$14*'TUSD BF'!$AJ$62</f>
        <v>0</v>
      </c>
      <c r="AK14" s="13">
        <f ca="1">'TUSD BE'!$AK$14*'TUSD BF'!$AK$62</f>
        <v>0</v>
      </c>
      <c r="AL14" s="13">
        <f ca="1">SUM($AH$14:$AK$14)</f>
        <v>0</v>
      </c>
      <c r="AM14" s="13">
        <f ca="1">SUMIF($L$4:$AL$4,"SUBTOTAL",$L$14:$AL$14)</f>
        <v>0</v>
      </c>
      <c r="AO14" s="26">
        <f ca="1">+'TUSD BE'!$T$14+'TUSD BE'!$AB$14+'TUSD BE'!$AD$14+'TUSD BE'!$AL$14</f>
        <v>23.43631868310257</v>
      </c>
      <c r="AP14" s="26">
        <f ca="1">+'TUSD BE'!$T$14+'TUSD BE'!$AB$14+'TUSD BE'!$AD$14+'TUSD BE'!$AL$14</f>
        <v>23.43631868310257</v>
      </c>
    </row>
    <row r="15" spans="1:42" ht="11.25" customHeight="1" x14ac:dyDescent="0.3">
      <c r="A15" s="146"/>
      <c r="B15" s="146"/>
      <c r="C15" s="146"/>
      <c r="D15" s="146"/>
      <c r="E15" s="146"/>
      <c r="F15" s="146"/>
      <c r="G15" s="24" t="s">
        <v>79</v>
      </c>
      <c r="H15" s="24" t="s">
        <v>78</v>
      </c>
      <c r="I15" s="24">
        <f>'MERCADO TUSD'!$U$12</f>
        <v>3378.5688100000007</v>
      </c>
      <c r="J15" s="15"/>
      <c r="L15" s="13">
        <f>'TUSD BE'!$L$15*'TUSD BF'!$L$62</f>
        <v>0.18514274007846407</v>
      </c>
      <c r="M15" s="13">
        <f>'TUSD BE'!$M$15*'TUSD BF'!$M$62</f>
        <v>0</v>
      </c>
      <c r="N15" s="13">
        <f ca="1">'TUSD BE'!$N$15*'TUSD BF'!$N$62</f>
        <v>0</v>
      </c>
      <c r="O15" s="13">
        <f>'TUSD BE'!$O$15*'TUSD BF'!$O$62</f>
        <v>0</v>
      </c>
      <c r="P15" s="13">
        <f>'TUSD BE'!$P$15*'TUSD BF'!$P$62</f>
        <v>0</v>
      </c>
      <c r="Q15" s="13">
        <f>'TUSD BE'!$Q$15*'TUSD BF'!$Q$62</f>
        <v>22.335987370741918</v>
      </c>
      <c r="R15" s="13">
        <f>'TUSD BE'!$R$15*'TUSD BF'!$R$62</f>
        <v>4.6486353991390432</v>
      </c>
      <c r="S15" s="13">
        <f>'TUSD BE'!$R$15*'TUSD BF'!$S$62</f>
        <v>0</v>
      </c>
      <c r="T15" s="13">
        <f ca="1">SUM($L$15:$S$15)</f>
        <v>27.169765509959426</v>
      </c>
      <c r="U15" s="13">
        <f>'TUSD BE'!$U$15*'TUSD BF'!$U$62</f>
        <v>0</v>
      </c>
      <c r="V15" s="13">
        <f>'TUSD BE'!$V$15*'TUSD BF'!$V$62</f>
        <v>0</v>
      </c>
      <c r="W15" s="13">
        <f>'TUSD BE'!$W$15*'TUSD BF'!$W$62</f>
        <v>0</v>
      </c>
      <c r="X15" s="13">
        <f>'TUSD BE'!$X$15*'TUSD BF'!$X$62</f>
        <v>0</v>
      </c>
      <c r="Y15" s="13">
        <f>'TUSD BE'!$Y$15*'TUSD BF'!$Y$62</f>
        <v>0</v>
      </c>
      <c r="Z15" s="13">
        <f>'TUSD BE'!$Z$15*'TUSD BF'!$Z$62</f>
        <v>0</v>
      </c>
      <c r="AA15" s="13">
        <f>'TUSD BE'!$AA$15*'TUSD BF'!$AA$62</f>
        <v>0</v>
      </c>
      <c r="AB15" s="13">
        <f>SUM($U$15:$AA$15)</f>
        <v>0</v>
      </c>
      <c r="AC15" s="13">
        <f>'TUSD BE'!$AC$15*'TUSD BF'!$AC$62</f>
        <v>0</v>
      </c>
      <c r="AD15" s="13">
        <f>SUM($AC$15:$AC$15)</f>
        <v>0</v>
      </c>
      <c r="AE15" s="13">
        <f ca="1">$AO$15*$AO$59</f>
        <v>0</v>
      </c>
      <c r="AF15" s="13">
        <f ca="1">$AP$15*$AP$59</f>
        <v>0</v>
      </c>
      <c r="AG15" s="13">
        <f ca="1">SUM($AE$15:$AF$15)</f>
        <v>0</v>
      </c>
      <c r="AH15" s="13">
        <f>'TUSD BE'!$AH$15*'TUSD BF'!$AH$62</f>
        <v>-3.3685657126391245E-2</v>
      </c>
      <c r="AI15" s="13">
        <f>'TUSD BE'!$AI$15*'TUSD BF'!$AI$62</f>
        <v>0</v>
      </c>
      <c r="AJ15" s="13">
        <f ca="1">'TUSD BE'!$AJ$15*'TUSD BF'!$AJ$62</f>
        <v>-3.5081081985183075E-3</v>
      </c>
      <c r="AK15" s="13">
        <f ca="1">'TUSD BE'!$AK$15*'TUSD BF'!$AK$62</f>
        <v>0</v>
      </c>
      <c r="AL15" s="13">
        <f ca="1">SUM($AH$15:$AK$15)</f>
        <v>-3.7193765324909554E-2</v>
      </c>
      <c r="AM15" s="13">
        <f ca="1">SUMIF($L$4:$AL$4,"SUBTOTAL",$L$15:$AL$15)</f>
        <v>27.132571744634514</v>
      </c>
      <c r="AO15" s="26">
        <f ca="1">+'TUSD BE'!$T$15+'TUSD BE'!$AB$15+'TUSD BE'!$AD$15+'TUSD BE'!$AL$15</f>
        <v>1036.6543514540183</v>
      </c>
      <c r="AP15" s="26">
        <f ca="1">+'TUSD BE'!$T$15+'TUSD BE'!$AB$15+'TUSD BE'!$AD$15+'TUSD BE'!$AL$15</f>
        <v>1036.6543514540183</v>
      </c>
    </row>
    <row r="16" spans="1:42" ht="11.25" customHeight="1" x14ac:dyDescent="0.3">
      <c r="A16" s="146"/>
      <c r="B16" s="146"/>
      <c r="C16" s="146"/>
      <c r="D16" s="146"/>
      <c r="E16" s="146"/>
      <c r="F16" s="146"/>
      <c r="G16" s="24" t="s">
        <v>80</v>
      </c>
      <c r="H16" s="24" t="s">
        <v>78</v>
      </c>
      <c r="I16" s="24">
        <f>'MERCADO TUSD'!$U$13</f>
        <v>37684.03847</v>
      </c>
      <c r="J16" s="15"/>
      <c r="L16" s="13">
        <f>'TUSD BE'!$L$16*'TUSD BF'!$L$62</f>
        <v>0.18514274007846407</v>
      </c>
      <c r="M16" s="13">
        <f>'TUSD BE'!$M$16*'TUSD BF'!$M$62</f>
        <v>0</v>
      </c>
      <c r="N16" s="13">
        <f ca="1">'TUSD BE'!$N$16*'TUSD BF'!$N$62</f>
        <v>0</v>
      </c>
      <c r="O16" s="13">
        <f>'TUSD BE'!$O$16*'TUSD BF'!$O$62</f>
        <v>0</v>
      </c>
      <c r="P16" s="13">
        <f>'TUSD BE'!$P$16*'TUSD BF'!$P$62</f>
        <v>0</v>
      </c>
      <c r="Q16" s="13">
        <f>'TUSD BE'!$Q$16*'TUSD BF'!$Q$62</f>
        <v>22.335987370741918</v>
      </c>
      <c r="R16" s="13">
        <f>'TUSD BE'!$R$16*'TUSD BF'!$R$62</f>
        <v>4.6486353991390432</v>
      </c>
      <c r="S16" s="13">
        <f>'TUSD BE'!$R$16*'TUSD BF'!$S$62</f>
        <v>0</v>
      </c>
      <c r="T16" s="13">
        <f ca="1">SUM($L$16:$S$16)</f>
        <v>27.169765509959426</v>
      </c>
      <c r="U16" s="13">
        <f>'TUSD BE'!$U$16*'TUSD BF'!$U$62</f>
        <v>0</v>
      </c>
      <c r="V16" s="13">
        <f>'TUSD BE'!$V$16*'TUSD BF'!$V$62</f>
        <v>0</v>
      </c>
      <c r="W16" s="13">
        <f>'TUSD BE'!$W$16*'TUSD BF'!$W$62</f>
        <v>0</v>
      </c>
      <c r="X16" s="13">
        <f>'TUSD BE'!$X$16*'TUSD BF'!$X$62</f>
        <v>0</v>
      </c>
      <c r="Y16" s="13">
        <f>'TUSD BE'!$Y$16*'TUSD BF'!$Y$62</f>
        <v>0</v>
      </c>
      <c r="Z16" s="13">
        <f>'TUSD BE'!$Z$16*'TUSD BF'!$Z$62</f>
        <v>0</v>
      </c>
      <c r="AA16" s="13">
        <f>'TUSD BE'!$AA$16*'TUSD BF'!$AA$62</f>
        <v>0</v>
      </c>
      <c r="AB16" s="13">
        <f>SUM($U$16:$AA$16)</f>
        <v>0</v>
      </c>
      <c r="AC16" s="13">
        <f>'TUSD BE'!$AC$16*'TUSD BF'!$AC$62</f>
        <v>0</v>
      </c>
      <c r="AD16" s="13">
        <f>SUM($AC$16:$AC$16)</f>
        <v>0</v>
      </c>
      <c r="AE16" s="13">
        <f ca="1">$AO$16*$AO$59</f>
        <v>0</v>
      </c>
      <c r="AF16" s="13">
        <f ca="1">$AP$16*$AP$59</f>
        <v>0</v>
      </c>
      <c r="AG16" s="13">
        <f ca="1">SUM($AE$16:$AF$16)</f>
        <v>0</v>
      </c>
      <c r="AH16" s="13">
        <f>'TUSD BE'!$AH$16*'TUSD BF'!$AH$62</f>
        <v>-3.3685657126391245E-2</v>
      </c>
      <c r="AI16" s="13">
        <f>'TUSD BE'!$AI$16*'TUSD BF'!$AI$62</f>
        <v>0</v>
      </c>
      <c r="AJ16" s="13">
        <f ca="1">'TUSD BE'!$AJ$16*'TUSD BF'!$AJ$62</f>
        <v>-3.5081081985183075E-3</v>
      </c>
      <c r="AK16" s="13">
        <f ca="1">'TUSD BE'!$AK$16*'TUSD BF'!$AK$62</f>
        <v>0</v>
      </c>
      <c r="AL16" s="13">
        <f ca="1">SUM($AH$16:$AK$16)</f>
        <v>-3.7193765324909554E-2</v>
      </c>
      <c r="AM16" s="13">
        <f ca="1">SUMIF($L$4:$AL$4,"SUBTOTAL",$L$16:$AL$16)</f>
        <v>27.132571744634514</v>
      </c>
      <c r="AO16" s="26">
        <f ca="1">+'TUSD BE'!$T$16+'TUSD BE'!$AB$16+'TUSD BE'!$AD$16+'TUSD BE'!$AL$16</f>
        <v>113.34330165494234</v>
      </c>
      <c r="AP16" s="26">
        <f ca="1">+'TUSD BE'!$T$16+'TUSD BE'!$AB$16+'TUSD BE'!$AD$16+'TUSD BE'!$AL$16</f>
        <v>113.34330165494234</v>
      </c>
    </row>
    <row r="17" spans="1:42" ht="11.25" customHeight="1" x14ac:dyDescent="0.3">
      <c r="A17" s="146"/>
      <c r="B17" s="146"/>
      <c r="C17" s="146"/>
      <c r="D17" s="146"/>
      <c r="E17" s="146" t="s">
        <v>85</v>
      </c>
      <c r="F17" s="146" t="s">
        <v>25</v>
      </c>
      <c r="G17" s="24" t="s">
        <v>79</v>
      </c>
      <c r="H17" s="24" t="s">
        <v>78</v>
      </c>
      <c r="I17" s="24">
        <f>'MERCADO TUSD'!$U$14</f>
        <v>0</v>
      </c>
      <c r="J17" s="15"/>
      <c r="L17" s="13">
        <f>'TUSD BE'!$L$17*'TUSD BF'!$L$62</f>
        <v>0</v>
      </c>
      <c r="M17" s="13">
        <f>'TUSD BE'!$M$17*'TUSD BF'!$M$62</f>
        <v>0</v>
      </c>
      <c r="N17" s="13">
        <f ca="1">'TUSD BE'!$N$17*'TUSD BF'!$N$62</f>
        <v>0</v>
      </c>
      <c r="O17" s="13">
        <f>'TUSD BE'!$O$17*'TUSD BF'!$O$62</f>
        <v>0</v>
      </c>
      <c r="P17" s="13">
        <f>'TUSD BE'!$P$17*'TUSD BF'!$P$62</f>
        <v>0</v>
      </c>
      <c r="Q17" s="13">
        <f>'TUSD BE'!$Q$17*'TUSD BF'!$Q$62</f>
        <v>0</v>
      </c>
      <c r="R17" s="13">
        <f>'TUSD BE'!$R$17*'TUSD BF'!$R$62</f>
        <v>0</v>
      </c>
      <c r="S17" s="13">
        <f>'TUSD BE'!$R$17*'TUSD BF'!$S$62</f>
        <v>0</v>
      </c>
      <c r="T17" s="13">
        <f ca="1">SUM($L$17:$S$17)</f>
        <v>0</v>
      </c>
      <c r="U17" s="13">
        <f>'TUSD BE'!$U$17*'TUSD BF'!$U$62</f>
        <v>0</v>
      </c>
      <c r="V17" s="13">
        <f>'TUSD BE'!$V$17*'TUSD BF'!$V$62</f>
        <v>0</v>
      </c>
      <c r="W17" s="13">
        <f>'TUSD BE'!$W$17*'TUSD BF'!$W$62</f>
        <v>0</v>
      </c>
      <c r="X17" s="13">
        <f>'TUSD BE'!$X$17*'TUSD BF'!$X$62</f>
        <v>0</v>
      </c>
      <c r="Y17" s="13">
        <f>'TUSD BE'!$Y$17*'TUSD BF'!$Y$62</f>
        <v>0</v>
      </c>
      <c r="Z17" s="13">
        <f>'TUSD BE'!$Z$17*'TUSD BF'!$Z$62</f>
        <v>0</v>
      </c>
      <c r="AA17" s="13">
        <f>'TUSD BE'!$AA$17*'TUSD BF'!$AA$62</f>
        <v>0</v>
      </c>
      <c r="AB17" s="13">
        <f>SUM($U$17:$AA$17)</f>
        <v>0</v>
      </c>
      <c r="AC17" s="13">
        <f>'TUSD BE'!$AC$17*'TUSD BF'!$AC$62</f>
        <v>0</v>
      </c>
      <c r="AD17" s="13">
        <f>SUM($AC$17:$AC$17)</f>
        <v>0</v>
      </c>
      <c r="AE17" s="13">
        <f ca="1">$AO$17*$AO$59</f>
        <v>0</v>
      </c>
      <c r="AF17" s="13">
        <f ca="1">$AP$17*$AP$59</f>
        <v>0</v>
      </c>
      <c r="AG17" s="13">
        <f ca="1">SUM($AE$17:$AF$17)</f>
        <v>0</v>
      </c>
      <c r="AH17" s="13">
        <f>'TUSD BE'!$AH$17*'TUSD BF'!$AH$62</f>
        <v>-3.3685657126391245E-2</v>
      </c>
      <c r="AI17" s="13">
        <f>'TUSD BE'!$AI$17*'TUSD BF'!$AI$62</f>
        <v>0</v>
      </c>
      <c r="AJ17" s="13">
        <f ca="1">'TUSD BE'!$AJ$17*'TUSD BF'!$AJ$62</f>
        <v>-3.5081081985183075E-3</v>
      </c>
      <c r="AK17" s="13">
        <f ca="1">'TUSD BE'!$AK$17*'TUSD BF'!$AK$62</f>
        <v>0</v>
      </c>
      <c r="AL17" s="13">
        <f ca="1">SUM($AH$17:$AK$17)</f>
        <v>-3.7193765324909554E-2</v>
      </c>
      <c r="AM17" s="13">
        <f ca="1">SUMIF($L$4:$AL$4,"SUBTOTAL",$L$17:$AL$17)</f>
        <v>-3.7193765324909554E-2</v>
      </c>
      <c r="AO17" s="26">
        <f ca="1">+'TUSD BE'!$T$17+'TUSD BE'!$AB$17+'TUSD BE'!$AD$17+'TUSD BE'!$AL$17</f>
        <v>932.87272997723812</v>
      </c>
      <c r="AP17" s="26">
        <f ca="1">+'TUSD BE'!$T$17+'TUSD BE'!$AB$17+'TUSD BE'!$AD$17+'TUSD BE'!$AL$17</f>
        <v>932.87272997723812</v>
      </c>
    </row>
    <row r="18" spans="1:42" ht="11.25" customHeight="1" x14ac:dyDescent="0.3">
      <c r="A18" s="146"/>
      <c r="B18" s="146"/>
      <c r="C18" s="146"/>
      <c r="D18" s="146"/>
      <c r="E18" s="146"/>
      <c r="F18" s="146"/>
      <c r="G18" s="24" t="s">
        <v>80</v>
      </c>
      <c r="H18" s="24" t="s">
        <v>78</v>
      </c>
      <c r="I18" s="24">
        <f>'MERCADO TUSD'!$U$15</f>
        <v>0</v>
      </c>
      <c r="J18" s="15"/>
      <c r="L18" s="13">
        <f>'TUSD BE'!$L$18*'TUSD BF'!$L$62</f>
        <v>0</v>
      </c>
      <c r="M18" s="13">
        <f>'TUSD BE'!$M$18*'TUSD BF'!$M$62</f>
        <v>0</v>
      </c>
      <c r="N18" s="13">
        <f ca="1">'TUSD BE'!$N$18*'TUSD BF'!$N$62</f>
        <v>0</v>
      </c>
      <c r="O18" s="13">
        <f>'TUSD BE'!$O$18*'TUSD BF'!$O$62</f>
        <v>0</v>
      </c>
      <c r="P18" s="13">
        <f>'TUSD BE'!$P$18*'TUSD BF'!$P$62</f>
        <v>0</v>
      </c>
      <c r="Q18" s="13">
        <f>'TUSD BE'!$Q$18*'TUSD BF'!$Q$62</f>
        <v>0</v>
      </c>
      <c r="R18" s="13">
        <f>'TUSD BE'!$R$18*'TUSD BF'!$R$62</f>
        <v>0</v>
      </c>
      <c r="S18" s="13">
        <f>'TUSD BE'!$R$18*'TUSD BF'!$S$62</f>
        <v>0</v>
      </c>
      <c r="T18" s="13">
        <f ca="1">SUM($L$18:$S$18)</f>
        <v>0</v>
      </c>
      <c r="U18" s="13">
        <f>'TUSD BE'!$U$18*'TUSD BF'!$U$62</f>
        <v>0</v>
      </c>
      <c r="V18" s="13">
        <f>'TUSD BE'!$V$18*'TUSD BF'!$V$62</f>
        <v>0</v>
      </c>
      <c r="W18" s="13">
        <f>'TUSD BE'!$W$18*'TUSD BF'!$W$62</f>
        <v>0</v>
      </c>
      <c r="X18" s="13">
        <f>'TUSD BE'!$X$18*'TUSD BF'!$X$62</f>
        <v>0</v>
      </c>
      <c r="Y18" s="13">
        <f>'TUSD BE'!$Y$18*'TUSD BF'!$Y$62</f>
        <v>0</v>
      </c>
      <c r="Z18" s="13">
        <f>'TUSD BE'!$Z$18*'TUSD BF'!$Z$62</f>
        <v>0</v>
      </c>
      <c r="AA18" s="13">
        <f>'TUSD BE'!$AA$18*'TUSD BF'!$AA$62</f>
        <v>0</v>
      </c>
      <c r="AB18" s="13">
        <f>SUM($U$18:$AA$18)</f>
        <v>0</v>
      </c>
      <c r="AC18" s="13">
        <f>'TUSD BE'!$AC$18*'TUSD BF'!$AC$62</f>
        <v>0</v>
      </c>
      <c r="AD18" s="13">
        <f>SUM($AC$18:$AC$18)</f>
        <v>0</v>
      </c>
      <c r="AE18" s="13">
        <f ca="1">$AO$18*$AO$59</f>
        <v>0</v>
      </c>
      <c r="AF18" s="13">
        <f ca="1">$AP$18*$AP$59</f>
        <v>0</v>
      </c>
      <c r="AG18" s="13">
        <f ca="1">SUM($AE$18:$AF$18)</f>
        <v>0</v>
      </c>
      <c r="AH18" s="13">
        <f>'TUSD BE'!$AH$18*'TUSD BF'!$AH$62</f>
        <v>-3.3685657126391245E-2</v>
      </c>
      <c r="AI18" s="13">
        <f>'TUSD BE'!$AI$18*'TUSD BF'!$AI$62</f>
        <v>0</v>
      </c>
      <c r="AJ18" s="13">
        <f ca="1">'TUSD BE'!$AJ$18*'TUSD BF'!$AJ$62</f>
        <v>-3.5081081985183075E-3</v>
      </c>
      <c r="AK18" s="13">
        <f ca="1">'TUSD BE'!$AK$18*'TUSD BF'!$AK$62</f>
        <v>0</v>
      </c>
      <c r="AL18" s="13">
        <f ca="1">SUM($AH$18:$AK$18)</f>
        <v>-3.7193765324909554E-2</v>
      </c>
      <c r="AM18" s="13">
        <f ca="1">SUMIF($L$4:$AL$4,"SUBTOTAL",$L$18:$AL$18)</f>
        <v>-3.7193765324909554E-2</v>
      </c>
      <c r="AO18" s="26">
        <f ca="1">+'TUSD BE'!$T$18+'TUSD BE'!$AB$18+'TUSD BE'!$AD$18+'TUSD BE'!$AL$18</f>
        <v>9.5616801781622289</v>
      </c>
      <c r="AP18" s="26">
        <f ca="1">+'TUSD BE'!$T$18+'TUSD BE'!$AB$18+'TUSD BE'!$AD$18+'TUSD BE'!$AL$18</f>
        <v>9.5616801781622289</v>
      </c>
    </row>
    <row r="19" spans="1:42" ht="11.25" customHeight="1" x14ac:dyDescent="0.3">
      <c r="A19" s="146" t="s">
        <v>86</v>
      </c>
      <c r="B19" s="146" t="s">
        <v>57</v>
      </c>
      <c r="C19" s="146" t="s">
        <v>25</v>
      </c>
      <c r="D19" s="146" t="s">
        <v>25</v>
      </c>
      <c r="E19" s="23" t="s">
        <v>87</v>
      </c>
      <c r="F19" s="23" t="s">
        <v>25</v>
      </c>
      <c r="G19" s="24" t="s">
        <v>9</v>
      </c>
      <c r="H19" s="24" t="s">
        <v>81</v>
      </c>
      <c r="I19" s="24">
        <f>'MERCADO TUSD'!$U$16+0.00000001</f>
        <v>1E-8</v>
      </c>
      <c r="J19" s="15"/>
      <c r="L19" s="13">
        <f>'TUSD BE'!$L$19*'TUSD BF'!$L$62</f>
        <v>0</v>
      </c>
      <c r="M19" s="13">
        <f>'TUSD BE'!$M$19*'TUSD BF'!$M$62</f>
        <v>0</v>
      </c>
      <c r="N19" s="13">
        <f ca="1">'TUSD BE'!$N$19*'TUSD BF'!$N$62</f>
        <v>0</v>
      </c>
      <c r="O19" s="13">
        <f>'TUSD BE'!$O$19*'TUSD BF'!$O$62</f>
        <v>0</v>
      </c>
      <c r="P19" s="13">
        <f>'TUSD BE'!$P$19*'TUSD BF'!$P$62</f>
        <v>0</v>
      </c>
      <c r="Q19" s="13">
        <f>'TUSD BE'!$Q$19*'TUSD BF'!$Q$62</f>
        <v>0</v>
      </c>
      <c r="R19" s="13">
        <f>'TUSD BE'!$R$19*'TUSD BF'!$R$62</f>
        <v>0</v>
      </c>
      <c r="S19" s="13">
        <f>'TUSD BE'!$R$19*'TUSD BF'!$S$62</f>
        <v>0</v>
      </c>
      <c r="T19" s="13">
        <f ca="1">SUM($L$19:$S$19)</f>
        <v>0</v>
      </c>
      <c r="U19" s="13">
        <f>'TUSD BE'!$U$19*'TUSD BF'!$U$62</f>
        <v>0</v>
      </c>
      <c r="V19" s="13">
        <f>'TUSD BE'!$V$19*'TUSD BF'!$V$62</f>
        <v>0</v>
      </c>
      <c r="W19" s="13">
        <f>'TUSD BE'!$W$19*'TUSD BF'!$W$62</f>
        <v>0</v>
      </c>
      <c r="X19" s="13">
        <f>'TUSD BE'!$X$19*'TUSD BF'!$X$62</f>
        <v>0</v>
      </c>
      <c r="Y19" s="13">
        <f>'TUSD BE'!$Y$19*'TUSD BF'!$Y$62</f>
        <v>0</v>
      </c>
      <c r="Z19" s="13">
        <f>'TUSD BE'!$Z$19*'TUSD BF'!$Z$62</f>
        <v>0</v>
      </c>
      <c r="AA19" s="13">
        <f>'TUSD BE'!$AA$19*'TUSD BF'!$AA$62</f>
        <v>0</v>
      </c>
      <c r="AB19" s="13">
        <f>SUM($U$19:$AA$19)</f>
        <v>0</v>
      </c>
      <c r="AC19" s="13">
        <f>'TUSD BE'!$AC$19*'TUSD BF'!$AC$62</f>
        <v>0</v>
      </c>
      <c r="AD19" s="13">
        <f>SUM($AC$19:$AC$19)</f>
        <v>0</v>
      </c>
      <c r="AE19" s="13">
        <f ca="1">$AO$19*$AO$59</f>
        <v>0</v>
      </c>
      <c r="AF19" s="13">
        <f ca="1">$AP$19*$AP$59</f>
        <v>0</v>
      </c>
      <c r="AG19" s="13">
        <f ca="1">SUM($AE$19:$AF$19)</f>
        <v>0</v>
      </c>
      <c r="AH19" s="13">
        <f>'TUSD BE'!$AH$19*'TUSD BF'!$AH$62</f>
        <v>0</v>
      </c>
      <c r="AI19" s="13">
        <f>'TUSD BE'!$AI$19*'TUSD BF'!$AI$62</f>
        <v>0</v>
      </c>
      <c r="AJ19" s="13">
        <f ca="1">'TUSD BE'!$AJ$19*'TUSD BF'!$AJ$62</f>
        <v>0</v>
      </c>
      <c r="AK19" s="13">
        <f ca="1">'TUSD BE'!$AK$19*'TUSD BF'!$AK$62</f>
        <v>0</v>
      </c>
      <c r="AL19" s="13">
        <f ca="1">SUM($AH$19:$AK$19)</f>
        <v>0</v>
      </c>
      <c r="AM19" s="13">
        <f ca="1">SUMIF($L$4:$AL$4,"SUBTOTAL",$L$19:$AL$19)</f>
        <v>0</v>
      </c>
      <c r="AO19" s="26">
        <f ca="1">+'TUSD BE'!$T$19+'TUSD BE'!$AB$19+'TUSD BE'!$AD$19+'TUSD BE'!$AL$19</f>
        <v>10.774812574551316</v>
      </c>
      <c r="AP19" s="26">
        <f ca="1">+'TUSD BE'!$T$19+'TUSD BE'!$AB$19+'TUSD BE'!$AD$19+'TUSD BE'!$AL$19</f>
        <v>10.774812574551316</v>
      </c>
    </row>
    <row r="20" spans="1:42" ht="11.25" customHeight="1" x14ac:dyDescent="0.3">
      <c r="A20" s="146"/>
      <c r="B20" s="146"/>
      <c r="C20" s="146"/>
      <c r="D20" s="146"/>
      <c r="E20" s="23" t="s">
        <v>88</v>
      </c>
      <c r="F20" s="23" t="s">
        <v>25</v>
      </c>
      <c r="G20" s="24" t="s">
        <v>9</v>
      </c>
      <c r="H20" s="24" t="s">
        <v>81</v>
      </c>
      <c r="I20" s="24">
        <f>'MERCADO TUSD'!$U$17+0.00000001</f>
        <v>1E-8</v>
      </c>
      <c r="J20" s="15"/>
      <c r="L20" s="13">
        <f>'TUSD BE'!$L$20*'TUSD BF'!$L$62</f>
        <v>0</v>
      </c>
      <c r="M20" s="13">
        <f>'TUSD BE'!$M$20*'TUSD BF'!$M$62</f>
        <v>0</v>
      </c>
      <c r="N20" s="13">
        <f ca="1">'TUSD BE'!$N$20*'TUSD BF'!$N$62</f>
        <v>0</v>
      </c>
      <c r="O20" s="13">
        <f>'TUSD BE'!$O$20*'TUSD BF'!$O$62</f>
        <v>0</v>
      </c>
      <c r="P20" s="13">
        <f>'TUSD BE'!$P$20*'TUSD BF'!$P$62</f>
        <v>0</v>
      </c>
      <c r="Q20" s="13">
        <f>'TUSD BE'!$Q$20*'TUSD BF'!$Q$62</f>
        <v>0</v>
      </c>
      <c r="R20" s="13">
        <f>'TUSD BE'!$R$20*'TUSD BF'!$R$62</f>
        <v>0</v>
      </c>
      <c r="S20" s="13">
        <f>'TUSD BE'!$R$20*'TUSD BF'!$S$62</f>
        <v>0</v>
      </c>
      <c r="T20" s="13">
        <f ca="1">SUM($L$20:$S$20)</f>
        <v>0</v>
      </c>
      <c r="U20" s="13">
        <f>'TUSD BE'!$U$20*'TUSD BF'!$U$62</f>
        <v>0</v>
      </c>
      <c r="V20" s="13">
        <f>'TUSD BE'!$V$20*'TUSD BF'!$V$62</f>
        <v>0</v>
      </c>
      <c r="W20" s="13">
        <f>'TUSD BE'!$W$20*'TUSD BF'!$W$62</f>
        <v>0</v>
      </c>
      <c r="X20" s="13">
        <f>'TUSD BE'!$X$20*'TUSD BF'!$X$62</f>
        <v>0</v>
      </c>
      <c r="Y20" s="13">
        <f>'TUSD BE'!$Y$20*'TUSD BF'!$Y$62</f>
        <v>0</v>
      </c>
      <c r="Z20" s="13">
        <f>'TUSD BE'!$Z$20*'TUSD BF'!$Z$62</f>
        <v>0</v>
      </c>
      <c r="AA20" s="13">
        <f>'TUSD BE'!$AA$20*'TUSD BF'!$AA$62</f>
        <v>0</v>
      </c>
      <c r="AB20" s="13">
        <f>SUM($U$20:$AA$20)</f>
        <v>0</v>
      </c>
      <c r="AC20" s="13">
        <f>'TUSD BE'!$AC$20*'TUSD BF'!$AC$62</f>
        <v>0</v>
      </c>
      <c r="AD20" s="13">
        <f>SUM($AC$20:$AC$20)</f>
        <v>0</v>
      </c>
      <c r="AE20" s="13">
        <f ca="1">$AO$20*$AO$59</f>
        <v>0</v>
      </c>
      <c r="AF20" s="13">
        <f ca="1">$AP$20*$AP$59</f>
        <v>0</v>
      </c>
      <c r="AG20" s="13">
        <f ca="1">SUM($AE$20:$AF$20)</f>
        <v>0</v>
      </c>
      <c r="AH20" s="13">
        <f>'TUSD BE'!$AH$20*'TUSD BF'!$AH$62</f>
        <v>0</v>
      </c>
      <c r="AI20" s="13">
        <f>'TUSD BE'!$AI$20*'TUSD BF'!$AI$62</f>
        <v>0</v>
      </c>
      <c r="AJ20" s="13">
        <f ca="1">'TUSD BE'!$AJ$20*'TUSD BF'!$AJ$62</f>
        <v>0</v>
      </c>
      <c r="AK20" s="13">
        <f ca="1">'TUSD BE'!$AK$20*'TUSD BF'!$AK$62</f>
        <v>0</v>
      </c>
      <c r="AL20" s="13">
        <f ca="1">SUM($AH$20:$AK$20)</f>
        <v>0</v>
      </c>
      <c r="AM20" s="13">
        <f ca="1">SUMIF($L$4:$AL$4,"SUBTOTAL",$L$20:$AL$20)</f>
        <v>0</v>
      </c>
      <c r="AO20" s="26">
        <f ca="1">+'TUSD BE'!$T$20+'TUSD BE'!$AB$20+'TUSD BE'!$AD$20+'TUSD BE'!$AL$20</f>
        <v>16.620292231008911</v>
      </c>
      <c r="AP20" s="26">
        <f ca="1">+'TUSD BE'!$T$20+'TUSD BE'!$AB$20+'TUSD BE'!$AD$20+'TUSD BE'!$AL$20</f>
        <v>16.620292231008911</v>
      </c>
    </row>
    <row r="21" spans="1:42" ht="11.25" customHeight="1" x14ac:dyDescent="0.3">
      <c r="A21" s="146" t="s">
        <v>22</v>
      </c>
      <c r="B21" s="146" t="s">
        <v>38</v>
      </c>
      <c r="C21" s="146" t="s">
        <v>24</v>
      </c>
      <c r="D21" s="146" t="s">
        <v>24</v>
      </c>
      <c r="E21" s="146" t="s">
        <v>25</v>
      </c>
      <c r="F21" s="146" t="s">
        <v>25</v>
      </c>
      <c r="G21" s="24" t="s">
        <v>79</v>
      </c>
      <c r="H21" s="24" t="s">
        <v>78</v>
      </c>
      <c r="I21" s="24">
        <f>'MERCADO TUSD'!$U$18</f>
        <v>0</v>
      </c>
      <c r="J21" s="15"/>
      <c r="L21" s="13">
        <f>'TUSD BE'!$L$21*'TUSD BF'!$L$62</f>
        <v>0.22040802390293343</v>
      </c>
      <c r="M21" s="13">
        <f>'TUSD BE'!$M$21*'TUSD BF'!$M$62</f>
        <v>0</v>
      </c>
      <c r="N21" s="13">
        <f ca="1">'TUSD BE'!$N$21*'TUSD BF'!$N$62</f>
        <v>0</v>
      </c>
      <c r="O21" s="13">
        <f>'TUSD BE'!$O$21*'TUSD BF'!$O$62</f>
        <v>0</v>
      </c>
      <c r="P21" s="13">
        <f>'TUSD BE'!$P$21*'TUSD BF'!$P$62</f>
        <v>0</v>
      </c>
      <c r="Q21" s="13">
        <f>'TUSD BE'!$Q$21*'TUSD BF'!$Q$62</f>
        <v>26.590461155645137</v>
      </c>
      <c r="R21" s="13">
        <f>'TUSD BE'!$R$21*'TUSD BF'!$R$62</f>
        <v>4.6486353991390432</v>
      </c>
      <c r="S21" s="13">
        <f>'TUSD BE'!$R$21*'TUSD BF'!$S$62</f>
        <v>0</v>
      </c>
      <c r="T21" s="13">
        <f ca="1">SUM($L$21:$S$21)</f>
        <v>31.459504578687113</v>
      </c>
      <c r="U21" s="13">
        <f>'TUSD BE'!$U$21*'TUSD BF'!$U$62</f>
        <v>0</v>
      </c>
      <c r="V21" s="13">
        <f>'TUSD BE'!$V$21*'TUSD BF'!$V$62</f>
        <v>0</v>
      </c>
      <c r="W21" s="13">
        <f>'TUSD BE'!$W$21*'TUSD BF'!$W$62</f>
        <v>0</v>
      </c>
      <c r="X21" s="13">
        <f>'TUSD BE'!$X$21*'TUSD BF'!$X$62</f>
        <v>0</v>
      </c>
      <c r="Y21" s="13">
        <f>'TUSD BE'!$Y$21*'TUSD BF'!$Y$62</f>
        <v>0</v>
      </c>
      <c r="Z21" s="13">
        <f>'TUSD BE'!$Z$21*'TUSD BF'!$Z$62</f>
        <v>0</v>
      </c>
      <c r="AA21" s="13">
        <f>'TUSD BE'!$AA$21*'TUSD BF'!$AA$62</f>
        <v>0</v>
      </c>
      <c r="AB21" s="13">
        <f>SUM($U$21:$AA$21)</f>
        <v>0</v>
      </c>
      <c r="AC21" s="13">
        <f>'TUSD BE'!$AC$21*'TUSD BF'!$AC$62</f>
        <v>0</v>
      </c>
      <c r="AD21" s="13">
        <f>SUM($AC$21:$AC$21)</f>
        <v>0</v>
      </c>
      <c r="AE21" s="13">
        <f ca="1">$AO$21*$AO$59</f>
        <v>0</v>
      </c>
      <c r="AF21" s="13">
        <f ca="1">$AP$21*$AP$59</f>
        <v>0</v>
      </c>
      <c r="AG21" s="13">
        <f ca="1">SUM($AE$21:$AF$21)</f>
        <v>0</v>
      </c>
      <c r="AH21" s="13">
        <f>'TUSD BE'!$AH$21*'TUSD BF'!$AH$62</f>
        <v>-9.3698986642923796E-2</v>
      </c>
      <c r="AI21" s="13">
        <f>'TUSD BE'!$AI$21*'TUSD BF'!$AI$62</f>
        <v>0</v>
      </c>
      <c r="AJ21" s="13">
        <f ca="1">'TUSD BE'!$AJ$21*'TUSD BF'!$AJ$62</f>
        <v>-5.4960946370834042E-3</v>
      </c>
      <c r="AK21" s="13">
        <f ca="1">'TUSD BE'!$AK$21*'TUSD BF'!$AK$62</f>
        <v>0</v>
      </c>
      <c r="AL21" s="13">
        <f ca="1">SUM($AH$21:$AK$21)</f>
        <v>-9.9195081280007202E-2</v>
      </c>
      <c r="AM21" s="13">
        <f ca="1">SUMIF($L$4:$AL$4,"SUBTOTAL",$L$21:$AL$21)</f>
        <v>31.360309497407105</v>
      </c>
      <c r="AO21" s="26">
        <f ca="1">+'TUSD BE'!$T$21+'TUSD BE'!$AB$21+'TUSD BE'!$AD$21+'TUSD BE'!$AL$21</f>
        <v>1774.5568832753813</v>
      </c>
      <c r="AP21" s="26">
        <f ca="1">+'TUSD BE'!$T$21+'TUSD BE'!$AB$21+'TUSD BE'!$AD$21+'TUSD BE'!$AL$21</f>
        <v>1774.5568832753813</v>
      </c>
    </row>
    <row r="22" spans="1:42" ht="11.25" customHeight="1" x14ac:dyDescent="0.3">
      <c r="A22" s="146"/>
      <c r="B22" s="146"/>
      <c r="C22" s="146"/>
      <c r="D22" s="146"/>
      <c r="E22" s="146"/>
      <c r="F22" s="146"/>
      <c r="G22" s="24" t="s">
        <v>89</v>
      </c>
      <c r="H22" s="24" t="s">
        <v>78</v>
      </c>
      <c r="I22" s="24">
        <f>'MERCADO TUSD'!$U$19</f>
        <v>0</v>
      </c>
      <c r="J22" s="15"/>
      <c r="L22" s="13">
        <f>'TUSD BE'!$L$22*'TUSD BF'!$L$62</f>
        <v>0.22040802390293343</v>
      </c>
      <c r="M22" s="13">
        <f>'TUSD BE'!$M$22*'TUSD BF'!$M$62</f>
        <v>0</v>
      </c>
      <c r="N22" s="13">
        <f ca="1">'TUSD BE'!$N$22*'TUSD BF'!$N$62</f>
        <v>0</v>
      </c>
      <c r="O22" s="13">
        <f>'TUSD BE'!$O$22*'TUSD BF'!$O$62</f>
        <v>0</v>
      </c>
      <c r="P22" s="13">
        <f>'TUSD BE'!$P$22*'TUSD BF'!$P$62</f>
        <v>0</v>
      </c>
      <c r="Q22" s="13">
        <f>'TUSD BE'!$Q$22*'TUSD BF'!$Q$62</f>
        <v>26.590461155645137</v>
      </c>
      <c r="R22" s="13">
        <f>'TUSD BE'!$R$22*'TUSD BF'!$R$62</f>
        <v>4.6486353991390432</v>
      </c>
      <c r="S22" s="13">
        <f>'TUSD BE'!$R$22*'TUSD BF'!$S$62</f>
        <v>0</v>
      </c>
      <c r="T22" s="13">
        <f ca="1">SUM($L$22:$S$22)</f>
        <v>31.459504578687113</v>
      </c>
      <c r="U22" s="13">
        <f>'TUSD BE'!$U$22*'TUSD BF'!$U$62</f>
        <v>0</v>
      </c>
      <c r="V22" s="13">
        <f>'TUSD BE'!$V$22*'TUSD BF'!$V$62</f>
        <v>0</v>
      </c>
      <c r="W22" s="13">
        <f>'TUSD BE'!$W$22*'TUSD BF'!$W$62</f>
        <v>0</v>
      </c>
      <c r="X22" s="13">
        <f>'TUSD BE'!$X$22*'TUSD BF'!$X$62</f>
        <v>0</v>
      </c>
      <c r="Y22" s="13">
        <f>'TUSD BE'!$Y$22*'TUSD BF'!$Y$62</f>
        <v>0</v>
      </c>
      <c r="Z22" s="13">
        <f>'TUSD BE'!$Z$22*'TUSD BF'!$Z$62</f>
        <v>0</v>
      </c>
      <c r="AA22" s="13">
        <f>'TUSD BE'!$AA$22*'TUSD BF'!$AA$62</f>
        <v>0</v>
      </c>
      <c r="AB22" s="13">
        <f>SUM($U$22:$AA$22)</f>
        <v>0</v>
      </c>
      <c r="AC22" s="13">
        <f>'TUSD BE'!$AC$22*'TUSD BF'!$AC$62</f>
        <v>0</v>
      </c>
      <c r="AD22" s="13">
        <f>SUM($AC$22:$AC$22)</f>
        <v>0</v>
      </c>
      <c r="AE22" s="13">
        <f ca="1">$AO$22*$AO$59</f>
        <v>0</v>
      </c>
      <c r="AF22" s="13">
        <f ca="1">$AP$22*$AP$59</f>
        <v>0</v>
      </c>
      <c r="AG22" s="13">
        <f ca="1">SUM($AE$22:$AF$22)</f>
        <v>0</v>
      </c>
      <c r="AH22" s="13">
        <f>'TUSD BE'!$AH$22*'TUSD BF'!$AH$62</f>
        <v>-9.3698986642923796E-2</v>
      </c>
      <c r="AI22" s="13">
        <f>'TUSD BE'!$AI$22*'TUSD BF'!$AI$62</f>
        <v>0</v>
      </c>
      <c r="AJ22" s="13">
        <f ca="1">'TUSD BE'!$AJ$22*'TUSD BF'!$AJ$62</f>
        <v>-5.4960946370834042E-3</v>
      </c>
      <c r="AK22" s="13">
        <f ca="1">'TUSD BE'!$AK$22*'TUSD BF'!$AK$62</f>
        <v>0</v>
      </c>
      <c r="AL22" s="13">
        <f ca="1">SUM($AH$22:$AK$22)</f>
        <v>-9.9195081280007202E-2</v>
      </c>
      <c r="AM22" s="13">
        <f ca="1">SUMIF($L$4:$AL$4,"SUBTOTAL",$L$22:$AL$22)</f>
        <v>31.360309497407105</v>
      </c>
      <c r="AO22" s="26">
        <f ca="1">+'TUSD BE'!$T$22+'TUSD BE'!$AB$22+'TUSD BE'!$AD$22+'TUSD BE'!$AL$22</f>
        <v>337.14095655306249</v>
      </c>
      <c r="AP22" s="26">
        <f ca="1">+'TUSD BE'!$T$22+'TUSD BE'!$AB$22+'TUSD BE'!$AD$22+'TUSD BE'!$AL$22</f>
        <v>337.14095655306249</v>
      </c>
    </row>
    <row r="23" spans="1:42" ht="11.25" customHeight="1" x14ac:dyDescent="0.3">
      <c r="A23" s="146"/>
      <c r="B23" s="146"/>
      <c r="C23" s="146"/>
      <c r="D23" s="146"/>
      <c r="E23" s="146"/>
      <c r="F23" s="146"/>
      <c r="G23" s="24" t="s">
        <v>80</v>
      </c>
      <c r="H23" s="24" t="s">
        <v>78</v>
      </c>
      <c r="I23" s="24">
        <f>'MERCADO TUSD'!$U$20</f>
        <v>0</v>
      </c>
      <c r="J23" s="15"/>
      <c r="L23" s="13">
        <f>'TUSD BE'!$L$23*'TUSD BF'!$L$62</f>
        <v>0.22040802390293343</v>
      </c>
      <c r="M23" s="13">
        <f>'TUSD BE'!$M$23*'TUSD BF'!$M$62</f>
        <v>0</v>
      </c>
      <c r="N23" s="13">
        <f ca="1">'TUSD BE'!$N$23*'TUSD BF'!$N$62</f>
        <v>0</v>
      </c>
      <c r="O23" s="13">
        <f>'TUSD BE'!$O$23*'TUSD BF'!$O$62</f>
        <v>0</v>
      </c>
      <c r="P23" s="13">
        <f>'TUSD BE'!$P$23*'TUSD BF'!$P$62</f>
        <v>0</v>
      </c>
      <c r="Q23" s="13">
        <f>'TUSD BE'!$Q$23*'TUSD BF'!$Q$62</f>
        <v>26.590461155645137</v>
      </c>
      <c r="R23" s="13">
        <f>'TUSD BE'!$R$23*'TUSD BF'!$R$62</f>
        <v>4.6486353991390432</v>
      </c>
      <c r="S23" s="13">
        <f>'TUSD BE'!$R$23*'TUSD BF'!$S$62</f>
        <v>0</v>
      </c>
      <c r="T23" s="13">
        <f ca="1">SUM($L$23:$S$23)</f>
        <v>31.459504578687113</v>
      </c>
      <c r="U23" s="13">
        <f>'TUSD BE'!$U$23*'TUSD BF'!$U$62</f>
        <v>0</v>
      </c>
      <c r="V23" s="13">
        <f>'TUSD BE'!$V$23*'TUSD BF'!$V$62</f>
        <v>0</v>
      </c>
      <c r="W23" s="13">
        <f>'TUSD BE'!$W$23*'TUSD BF'!$W$62</f>
        <v>0</v>
      </c>
      <c r="X23" s="13">
        <f>'TUSD BE'!$X$23*'TUSD BF'!$X$62</f>
        <v>0</v>
      </c>
      <c r="Y23" s="13">
        <f>'TUSD BE'!$Y$23*'TUSD BF'!$Y$62</f>
        <v>0</v>
      </c>
      <c r="Z23" s="13">
        <f>'TUSD BE'!$Z$23*'TUSD BF'!$Z$62</f>
        <v>0</v>
      </c>
      <c r="AA23" s="13">
        <f>'TUSD BE'!$AA$23*'TUSD BF'!$AA$62</f>
        <v>0</v>
      </c>
      <c r="AB23" s="13">
        <f>SUM($U$23:$AA$23)</f>
        <v>0</v>
      </c>
      <c r="AC23" s="13">
        <f>'TUSD BE'!$AC$23*'TUSD BF'!$AC$62</f>
        <v>0</v>
      </c>
      <c r="AD23" s="13">
        <f>SUM($AC$23:$AC$23)</f>
        <v>0</v>
      </c>
      <c r="AE23" s="13">
        <f ca="1">$AO$23*$AO$59</f>
        <v>0</v>
      </c>
      <c r="AF23" s="13">
        <f ca="1">$AP$23*$AP$59</f>
        <v>0</v>
      </c>
      <c r="AG23" s="13">
        <f ca="1">SUM($AE$23:$AF$23)</f>
        <v>0</v>
      </c>
      <c r="AH23" s="13">
        <f>'TUSD BE'!$AH$23*'TUSD BF'!$AH$62</f>
        <v>-9.3698986642923796E-2</v>
      </c>
      <c r="AI23" s="13">
        <f>'TUSD BE'!$AI$23*'TUSD BF'!$AI$62</f>
        <v>0</v>
      </c>
      <c r="AJ23" s="13">
        <f ca="1">'TUSD BE'!$AJ$23*'TUSD BF'!$AJ$62</f>
        <v>-5.4960946370834042E-3</v>
      </c>
      <c r="AK23" s="13">
        <f ca="1">'TUSD BE'!$AK$23*'TUSD BF'!$AK$62</f>
        <v>0</v>
      </c>
      <c r="AL23" s="13">
        <f ca="1">SUM($AH$23:$AK$23)</f>
        <v>-9.9195081280007202E-2</v>
      </c>
      <c r="AM23" s="13">
        <f ca="1">SUMIF($L$4:$AL$4,"SUBTOTAL",$L$23:$AL$23)</f>
        <v>31.360309497407105</v>
      </c>
      <c r="AO23" s="26">
        <f ca="1">+'TUSD BE'!$T$23+'TUSD BE'!$AB$23+'TUSD BE'!$AD$23+'TUSD BE'!$AL$23</f>
        <v>203.30852671942682</v>
      </c>
      <c r="AP23" s="26">
        <f ca="1">+'TUSD BE'!$T$23+'TUSD BE'!$AB$23+'TUSD BE'!$AD$23+'TUSD BE'!$AL$23</f>
        <v>203.30852671942682</v>
      </c>
    </row>
    <row r="24" spans="1:42" ht="11.25" customHeight="1" x14ac:dyDescent="0.3">
      <c r="A24" s="146"/>
      <c r="B24" s="146" t="s">
        <v>23</v>
      </c>
      <c r="C24" s="146" t="s">
        <v>24</v>
      </c>
      <c r="D24" s="23" t="s">
        <v>24</v>
      </c>
      <c r="E24" s="23" t="s">
        <v>25</v>
      </c>
      <c r="F24" s="23" t="s">
        <v>25</v>
      </c>
      <c r="G24" s="24" t="s">
        <v>84</v>
      </c>
      <c r="H24" s="24" t="s">
        <v>78</v>
      </c>
      <c r="I24" s="24">
        <f>'MERCADO TUSD'!$U$21</f>
        <v>11530.447999999999</v>
      </c>
      <c r="J24" s="15"/>
      <c r="L24" s="13">
        <f>'TUSD BE'!$L$24*'TUSD BF'!$L$62</f>
        <v>0.22040802390293343</v>
      </c>
      <c r="M24" s="13">
        <f>'TUSD BE'!$M$24*'TUSD BF'!$M$62</f>
        <v>0</v>
      </c>
      <c r="N24" s="13">
        <f ca="1">'TUSD BE'!$N$24*'TUSD BF'!$N$62</f>
        <v>0</v>
      </c>
      <c r="O24" s="13">
        <f>'TUSD BE'!$O$24*'TUSD BF'!$O$62</f>
        <v>0</v>
      </c>
      <c r="P24" s="13">
        <f>'TUSD BE'!$P$24*'TUSD BF'!$P$62</f>
        <v>0</v>
      </c>
      <c r="Q24" s="13">
        <f>'TUSD BE'!$Q$24*'TUSD BF'!$Q$62</f>
        <v>26.590461155645137</v>
      </c>
      <c r="R24" s="13">
        <f>'TUSD BE'!$R$24*'TUSD BF'!$R$62</f>
        <v>4.6486353991390432</v>
      </c>
      <c r="S24" s="13">
        <f>'TUSD BE'!$R$24*'TUSD BF'!$S$62</f>
        <v>0</v>
      </c>
      <c r="T24" s="13">
        <f ca="1">SUM($L$24:$S$24)</f>
        <v>31.459504578687113</v>
      </c>
      <c r="U24" s="13">
        <f>'TUSD BE'!$U$24*'TUSD BF'!$U$62</f>
        <v>0</v>
      </c>
      <c r="V24" s="13">
        <f>'TUSD BE'!$V$24*'TUSD BF'!$V$62</f>
        <v>0</v>
      </c>
      <c r="W24" s="13">
        <f>'TUSD BE'!$W$24*'TUSD BF'!$W$62</f>
        <v>0</v>
      </c>
      <c r="X24" s="13">
        <f>'TUSD BE'!$X$24*'TUSD BF'!$X$62</f>
        <v>0</v>
      </c>
      <c r="Y24" s="13">
        <f>'TUSD BE'!$Y$24*'TUSD BF'!$Y$62</f>
        <v>0</v>
      </c>
      <c r="Z24" s="13">
        <f>'TUSD BE'!$Z$24*'TUSD BF'!$Z$62</f>
        <v>0</v>
      </c>
      <c r="AA24" s="13">
        <f>'TUSD BE'!$AA$24*'TUSD BF'!$AA$62</f>
        <v>0</v>
      </c>
      <c r="AB24" s="13">
        <f>SUM($U$24:$AA$24)</f>
        <v>0</v>
      </c>
      <c r="AC24" s="13">
        <f>'TUSD BE'!$AC$24*'TUSD BF'!$AC$62</f>
        <v>0</v>
      </c>
      <c r="AD24" s="13">
        <f>SUM($AC$24:$AC$24)</f>
        <v>0</v>
      </c>
      <c r="AE24" s="13">
        <f ca="1">$AO$24*$AO$59</f>
        <v>0</v>
      </c>
      <c r="AF24" s="13">
        <f ca="1">$AP$24*$AP$59</f>
        <v>0</v>
      </c>
      <c r="AG24" s="13">
        <f ca="1">SUM($AE$24:$AF$24)</f>
        <v>0</v>
      </c>
      <c r="AH24" s="13">
        <f>'TUSD BE'!$AH$24*'TUSD BF'!$AH$62</f>
        <v>-9.3698986642923796E-2</v>
      </c>
      <c r="AI24" s="13">
        <f>'TUSD BE'!$AI$24*'TUSD BF'!$AI$62</f>
        <v>0</v>
      </c>
      <c r="AJ24" s="13">
        <f ca="1">'TUSD BE'!$AJ$24*'TUSD BF'!$AJ$62</f>
        <v>-5.4960946370834042E-3</v>
      </c>
      <c r="AK24" s="13">
        <f ca="1">'TUSD BE'!$AK$24*'TUSD BF'!$AK$62</f>
        <v>0</v>
      </c>
      <c r="AL24" s="13">
        <f ca="1">SUM($AH$24:$AK$24)</f>
        <v>-9.9195081280007202E-2</v>
      </c>
      <c r="AM24" s="13">
        <f ca="1">SUMIF($L$4:$AL$4,"SUBTOTAL",$L$24:$AL$24)</f>
        <v>31.360309497407105</v>
      </c>
      <c r="AO24" s="26">
        <f ca="1">+'TUSD BE'!$T$24+'TUSD BE'!$AB$24+'TUSD BE'!$AD$24+'TUSD BE'!$AL$24</f>
        <v>446.09513188184229</v>
      </c>
      <c r="AP24" s="26">
        <f ca="1">+'TUSD BE'!$T$24+'TUSD BE'!$AB$24+'TUSD BE'!$AD$24+'TUSD BE'!$AL$24</f>
        <v>446.09513188184229</v>
      </c>
    </row>
    <row r="25" spans="1:42" ht="11.25" customHeight="1" x14ac:dyDescent="0.3">
      <c r="A25" s="146"/>
      <c r="B25" s="146"/>
      <c r="C25" s="146"/>
      <c r="D25" s="23" t="s">
        <v>28</v>
      </c>
      <c r="E25" s="23" t="s">
        <v>25</v>
      </c>
      <c r="F25" s="23" t="s">
        <v>25</v>
      </c>
      <c r="G25" s="24" t="s">
        <v>84</v>
      </c>
      <c r="H25" s="24" t="s">
        <v>78</v>
      </c>
      <c r="I25" s="24">
        <f>'MERCADO TUSD'!$U$22</f>
        <v>121.26</v>
      </c>
      <c r="J25" s="15"/>
      <c r="L25" s="13">
        <f>'TUSD BE'!$L$25*'TUSD BF'!$L$62</f>
        <v>0</v>
      </c>
      <c r="M25" s="13">
        <f>'TUSD BE'!$M$25*'TUSD BF'!$M$62</f>
        <v>0</v>
      </c>
      <c r="N25" s="13">
        <f ca="1">'TUSD BE'!$N$25*'TUSD BF'!$N$62</f>
        <v>0</v>
      </c>
      <c r="O25" s="13">
        <f>'TUSD BE'!$O$25*'TUSD BF'!$O$62</f>
        <v>0</v>
      </c>
      <c r="P25" s="13">
        <f>'TUSD BE'!$P$25*'TUSD BF'!$P$62</f>
        <v>0</v>
      </c>
      <c r="Q25" s="13">
        <f>'TUSD BE'!$Q$25*'TUSD BF'!$Q$62</f>
        <v>0</v>
      </c>
      <c r="R25" s="13">
        <f>'TUSD BE'!$R$25*'TUSD BF'!$R$62</f>
        <v>0</v>
      </c>
      <c r="S25" s="13">
        <f>'TUSD BE'!$R$25*'TUSD BF'!$S$62</f>
        <v>0</v>
      </c>
      <c r="T25" s="13">
        <f ca="1">SUM($L$25:$S$25)</f>
        <v>0</v>
      </c>
      <c r="U25" s="13">
        <f>'TUSD BE'!$U$25*'TUSD BF'!$U$62</f>
        <v>0</v>
      </c>
      <c r="V25" s="13">
        <f>'TUSD BE'!$V$25*'TUSD BF'!$V$62</f>
        <v>0</v>
      </c>
      <c r="W25" s="13">
        <f>'TUSD BE'!$W$25*'TUSD BF'!$W$62</f>
        <v>0</v>
      </c>
      <c r="X25" s="13">
        <f>'TUSD BE'!$X$25*'TUSD BF'!$X$62</f>
        <v>0</v>
      </c>
      <c r="Y25" s="13">
        <f>'TUSD BE'!$Y$25*'TUSD BF'!$Y$62</f>
        <v>0</v>
      </c>
      <c r="Z25" s="13">
        <f>'TUSD BE'!$Z$25*'TUSD BF'!$Z$62</f>
        <v>0</v>
      </c>
      <c r="AA25" s="13">
        <f>'TUSD BE'!$AA$25*'TUSD BF'!$AA$62</f>
        <v>0</v>
      </c>
      <c r="AB25" s="13">
        <f>SUM($U$25:$AA$25)</f>
        <v>0</v>
      </c>
      <c r="AC25" s="13">
        <f>'TUSD BE'!$AC$25*'TUSD BF'!$AC$62</f>
        <v>0</v>
      </c>
      <c r="AD25" s="13">
        <f>SUM($AC$25:$AC$25)</f>
        <v>0</v>
      </c>
      <c r="AE25" s="13">
        <f ca="1">$AO$25*$AO$59</f>
        <v>0</v>
      </c>
      <c r="AF25" s="13">
        <f ca="1">$AP$25*$AP$59</f>
        <v>0</v>
      </c>
      <c r="AG25" s="13">
        <f ca="1">SUM($AE$25:$AF$25)</f>
        <v>0</v>
      </c>
      <c r="AH25" s="13">
        <f>'TUSD BE'!$AH$25*'TUSD BF'!$AH$62</f>
        <v>-9.3698986642923796E-2</v>
      </c>
      <c r="AI25" s="13">
        <f>'TUSD BE'!$AI$25*'TUSD BF'!$AI$62</f>
        <v>0</v>
      </c>
      <c r="AJ25" s="13">
        <f ca="1">'TUSD BE'!$AJ$25*'TUSD BF'!$AJ$62</f>
        <v>-5.4960946370834042E-3</v>
      </c>
      <c r="AK25" s="13">
        <f ca="1">'TUSD BE'!$AK$25*'TUSD BF'!$AK$62</f>
        <v>0</v>
      </c>
      <c r="AL25" s="13">
        <f ca="1">SUM($AH$25:$AK$25)</f>
        <v>-9.9195081280007202E-2</v>
      </c>
      <c r="AM25" s="13">
        <f ca="1">SUMIF($L$4:$AL$4,"SUBTOTAL",$L$25:$AL$25)</f>
        <v>-9.9195081280007202E-2</v>
      </c>
      <c r="AO25" s="26">
        <f ca="1">+'TUSD BE'!$T$25+'TUSD BE'!$AB$25+'TUSD BE'!$AD$25+'TUSD BE'!$AL$25</f>
        <v>325.43902524611752</v>
      </c>
      <c r="AP25" s="26">
        <f ca="1">+'TUSD BE'!$T$25+'TUSD BE'!$AB$25+'TUSD BE'!$AD$25+'TUSD BE'!$AL$25</f>
        <v>325.43902524611752</v>
      </c>
    </row>
    <row r="26" spans="1:42" ht="11.25" customHeight="1" x14ac:dyDescent="0.3">
      <c r="A26" s="146"/>
      <c r="B26" s="146"/>
      <c r="C26" s="146"/>
      <c r="D26" s="23" t="s">
        <v>29</v>
      </c>
      <c r="E26" s="23" t="s">
        <v>25</v>
      </c>
      <c r="F26" s="23" t="s">
        <v>25</v>
      </c>
      <c r="G26" s="24" t="s">
        <v>84</v>
      </c>
      <c r="H26" s="24" t="s">
        <v>78</v>
      </c>
      <c r="I26" s="24">
        <f>'MERCADO TUSD'!$U$23</f>
        <v>254.32</v>
      </c>
      <c r="J26" s="15"/>
      <c r="L26" s="13">
        <f>'TUSD BE'!$L$26*'TUSD BF'!$L$62</f>
        <v>0</v>
      </c>
      <c r="M26" s="13">
        <f>'TUSD BE'!$M$26*'TUSD BF'!$M$62</f>
        <v>0</v>
      </c>
      <c r="N26" s="13">
        <f ca="1">'TUSD BE'!$N$26*'TUSD BF'!$N$62</f>
        <v>0</v>
      </c>
      <c r="O26" s="13">
        <f>'TUSD BE'!$O$26*'TUSD BF'!$O$62</f>
        <v>0</v>
      </c>
      <c r="P26" s="13">
        <f>'TUSD BE'!$P$26*'TUSD BF'!$P$62</f>
        <v>0</v>
      </c>
      <c r="Q26" s="13">
        <f>'TUSD BE'!$Q$26*'TUSD BF'!$Q$62</f>
        <v>0</v>
      </c>
      <c r="R26" s="13">
        <f>'TUSD BE'!$R$26*'TUSD BF'!$R$62</f>
        <v>0</v>
      </c>
      <c r="S26" s="13">
        <f>'TUSD BE'!$R$26*'TUSD BF'!$S$62</f>
        <v>0</v>
      </c>
      <c r="T26" s="13">
        <f ca="1">SUM($L$26:$S$26)</f>
        <v>0</v>
      </c>
      <c r="U26" s="13">
        <f>'TUSD BE'!$U$26*'TUSD BF'!$U$62</f>
        <v>0</v>
      </c>
      <c r="V26" s="13">
        <f>'TUSD BE'!$V$26*'TUSD BF'!$V$62</f>
        <v>0</v>
      </c>
      <c r="W26" s="13">
        <f>'TUSD BE'!$W$26*'TUSD BF'!$W$62</f>
        <v>0</v>
      </c>
      <c r="X26" s="13">
        <f>'TUSD BE'!$X$26*'TUSD BF'!$X$62</f>
        <v>0</v>
      </c>
      <c r="Y26" s="13">
        <f>'TUSD BE'!$Y$26*'TUSD BF'!$Y$62</f>
        <v>0</v>
      </c>
      <c r="Z26" s="13">
        <f>'TUSD BE'!$Z$26*'TUSD BF'!$Z$62</f>
        <v>0</v>
      </c>
      <c r="AA26" s="13">
        <f>'TUSD BE'!$AA$26*'TUSD BF'!$AA$62</f>
        <v>0</v>
      </c>
      <c r="AB26" s="13">
        <f>SUM($U$26:$AA$26)</f>
        <v>0</v>
      </c>
      <c r="AC26" s="13">
        <f>'TUSD BE'!$AC$26*'TUSD BF'!$AC$62</f>
        <v>0</v>
      </c>
      <c r="AD26" s="13">
        <f>SUM($AC$26:$AC$26)</f>
        <v>0</v>
      </c>
      <c r="AE26" s="13">
        <f ca="1">$AO$26*$AO$59</f>
        <v>0</v>
      </c>
      <c r="AF26" s="13">
        <f ca="1">$AP$26*$AP$59</f>
        <v>0</v>
      </c>
      <c r="AG26" s="13">
        <f ca="1">SUM($AE$26:$AF$26)</f>
        <v>0</v>
      </c>
      <c r="AH26" s="13">
        <f>'TUSD BE'!$AH$26*'TUSD BF'!$AH$62</f>
        <v>-9.3698986642923796E-2</v>
      </c>
      <c r="AI26" s="13">
        <f>'TUSD BE'!$AI$26*'TUSD BF'!$AI$62</f>
        <v>0</v>
      </c>
      <c r="AJ26" s="13">
        <f ca="1">'TUSD BE'!$AJ$26*'TUSD BF'!$AJ$62</f>
        <v>-5.4960946370834042E-3</v>
      </c>
      <c r="AK26" s="13">
        <f ca="1">'TUSD BE'!$AK$26*'TUSD BF'!$AK$62</f>
        <v>0</v>
      </c>
      <c r="AL26" s="13">
        <f ca="1">SUM($AH$26:$AK$26)</f>
        <v>-9.9195081280007202E-2</v>
      </c>
      <c r="AM26" s="13">
        <f ca="1">SUMIF($L$4:$AL$4,"SUBTOTAL",$L$26:$AL$26)</f>
        <v>-9.9195081280007202E-2</v>
      </c>
      <c r="AO26" s="26">
        <f ca="1">+'TUSD BE'!$T$26+'TUSD BE'!$AB$26+'TUSD BE'!$AD$26+'TUSD BE'!$AL$26</f>
        <v>325.43902524611752</v>
      </c>
      <c r="AP26" s="26">
        <f ca="1">+'TUSD BE'!$T$26+'TUSD BE'!$AB$26+'TUSD BE'!$AD$26+'TUSD BE'!$AL$26</f>
        <v>325.43902524611752</v>
      </c>
    </row>
    <row r="27" spans="1:42" ht="11.25" customHeight="1" x14ac:dyDescent="0.3">
      <c r="A27" s="146"/>
      <c r="B27" s="146"/>
      <c r="C27" s="146"/>
      <c r="D27" s="23" t="s">
        <v>30</v>
      </c>
      <c r="E27" s="23" t="s">
        <v>25</v>
      </c>
      <c r="F27" s="23" t="s">
        <v>25</v>
      </c>
      <c r="G27" s="24" t="s">
        <v>84</v>
      </c>
      <c r="H27" s="24" t="s">
        <v>78</v>
      </c>
      <c r="I27" s="24">
        <f>'MERCADO TUSD'!$U$24</f>
        <v>248.52100000000002</v>
      </c>
      <c r="J27" s="15"/>
      <c r="L27" s="13">
        <f>'TUSD BE'!$L$27*'TUSD BF'!$L$62</f>
        <v>0</v>
      </c>
      <c r="M27" s="13">
        <f>'TUSD BE'!$M$27*'TUSD BF'!$M$62</f>
        <v>0</v>
      </c>
      <c r="N27" s="13">
        <f ca="1">'TUSD BE'!$N$27*'TUSD BF'!$N$62</f>
        <v>0</v>
      </c>
      <c r="O27" s="13">
        <f>'TUSD BE'!$O$27*'TUSD BF'!$O$62</f>
        <v>0</v>
      </c>
      <c r="P27" s="13">
        <f>'TUSD BE'!$P$27*'TUSD BF'!$P$62</f>
        <v>0</v>
      </c>
      <c r="Q27" s="13">
        <f>'TUSD BE'!$Q$27*'TUSD BF'!$Q$62</f>
        <v>0</v>
      </c>
      <c r="R27" s="13">
        <f>'TUSD BE'!$R$27*'TUSD BF'!$R$62</f>
        <v>0</v>
      </c>
      <c r="S27" s="13">
        <f>'TUSD BE'!$R$27*'TUSD BF'!$S$62</f>
        <v>0</v>
      </c>
      <c r="T27" s="13">
        <f ca="1">SUM($L$27:$S$27)</f>
        <v>0</v>
      </c>
      <c r="U27" s="13">
        <f>'TUSD BE'!$U$27*'TUSD BF'!$U$62</f>
        <v>0</v>
      </c>
      <c r="V27" s="13">
        <f>'TUSD BE'!$V$27*'TUSD BF'!$V$62</f>
        <v>0</v>
      </c>
      <c r="W27" s="13">
        <f>'TUSD BE'!$W$27*'TUSD BF'!$W$62</f>
        <v>0</v>
      </c>
      <c r="X27" s="13">
        <f>'TUSD BE'!$X$27*'TUSD BF'!$X$62</f>
        <v>0</v>
      </c>
      <c r="Y27" s="13">
        <f>'TUSD BE'!$Y$27*'TUSD BF'!$Y$62</f>
        <v>0</v>
      </c>
      <c r="Z27" s="13">
        <f>'TUSD BE'!$Z$27*'TUSD BF'!$Z$62</f>
        <v>0</v>
      </c>
      <c r="AA27" s="13">
        <f>'TUSD BE'!$AA$27*'TUSD BF'!$AA$62</f>
        <v>0</v>
      </c>
      <c r="AB27" s="13">
        <f>SUM($U$27:$AA$27)</f>
        <v>0</v>
      </c>
      <c r="AC27" s="13">
        <f>'TUSD BE'!$AC$27*'TUSD BF'!$AC$62</f>
        <v>0</v>
      </c>
      <c r="AD27" s="13">
        <f>SUM($AC$27:$AC$27)</f>
        <v>0</v>
      </c>
      <c r="AE27" s="13">
        <f ca="1">$AO$27*$AO$59</f>
        <v>0</v>
      </c>
      <c r="AF27" s="13">
        <f ca="1">$AP$27*$AP$59</f>
        <v>0</v>
      </c>
      <c r="AG27" s="13">
        <f ca="1">SUM($AE$27:$AF$27)</f>
        <v>0</v>
      </c>
      <c r="AH27" s="13">
        <f>'TUSD BE'!$AH$27*'TUSD BF'!$AH$62</f>
        <v>-9.3698986642923796E-2</v>
      </c>
      <c r="AI27" s="13">
        <f>'TUSD BE'!$AI$27*'TUSD BF'!$AI$62</f>
        <v>0</v>
      </c>
      <c r="AJ27" s="13">
        <f ca="1">'TUSD BE'!$AJ$27*'TUSD BF'!$AJ$62</f>
        <v>-5.4960946370834042E-3</v>
      </c>
      <c r="AK27" s="13">
        <f ca="1">'TUSD BE'!$AK$27*'TUSD BF'!$AK$62</f>
        <v>0</v>
      </c>
      <c r="AL27" s="13">
        <f ca="1">SUM($AH$27:$AK$27)</f>
        <v>-9.9195081280007202E-2</v>
      </c>
      <c r="AM27" s="13">
        <f ca="1">SUMIF($L$4:$AL$4,"SUBTOTAL",$L$27:$AL$27)</f>
        <v>-9.9195081280007202E-2</v>
      </c>
      <c r="AO27" s="26">
        <f ca="1">+'TUSD BE'!$T$27+'TUSD BE'!$AB$27+'TUSD BE'!$AD$27+'TUSD BE'!$AL$27</f>
        <v>325.43902524611752</v>
      </c>
      <c r="AP27" s="26">
        <f ca="1">+'TUSD BE'!$T$27+'TUSD BE'!$AB$27+'TUSD BE'!$AD$27+'TUSD BE'!$AL$27</f>
        <v>325.43902524611752</v>
      </c>
    </row>
    <row r="28" spans="1:42" ht="11.25" customHeight="1" x14ac:dyDescent="0.3">
      <c r="A28" s="146"/>
      <c r="B28" s="146"/>
      <c r="C28" s="146"/>
      <c r="D28" s="23" t="s">
        <v>31</v>
      </c>
      <c r="E28" s="23" t="s">
        <v>25</v>
      </c>
      <c r="F28" s="23" t="s">
        <v>25</v>
      </c>
      <c r="G28" s="24" t="s">
        <v>84</v>
      </c>
      <c r="H28" s="24" t="s">
        <v>78</v>
      </c>
      <c r="I28" s="24">
        <f>'MERCADO TUSD'!$U$25</f>
        <v>91.992999999999995</v>
      </c>
      <c r="J28" s="15"/>
      <c r="L28" s="13">
        <f>'TUSD BE'!$L$28*'TUSD BF'!$L$62</f>
        <v>0</v>
      </c>
      <c r="M28" s="13">
        <f>'TUSD BE'!$M$28*'TUSD BF'!$M$62</f>
        <v>0</v>
      </c>
      <c r="N28" s="13">
        <f ca="1">'TUSD BE'!$N$28*'TUSD BF'!$N$62</f>
        <v>0</v>
      </c>
      <c r="O28" s="13">
        <f>'TUSD BE'!$O$28*'TUSD BF'!$O$62</f>
        <v>0</v>
      </c>
      <c r="P28" s="13">
        <f>'TUSD BE'!$P$28*'TUSD BF'!$P$62</f>
        <v>0</v>
      </c>
      <c r="Q28" s="13">
        <f>'TUSD BE'!$Q$28*'TUSD BF'!$Q$62</f>
        <v>0</v>
      </c>
      <c r="R28" s="13">
        <f>'TUSD BE'!$R$28*'TUSD BF'!$R$62</f>
        <v>0</v>
      </c>
      <c r="S28" s="13">
        <f>'TUSD BE'!$R$28*'TUSD BF'!$S$62</f>
        <v>0</v>
      </c>
      <c r="T28" s="13">
        <f ca="1">SUM($L$28:$S$28)</f>
        <v>0</v>
      </c>
      <c r="U28" s="13">
        <f>'TUSD BE'!$U$28*'TUSD BF'!$U$62</f>
        <v>0</v>
      </c>
      <c r="V28" s="13">
        <f>'TUSD BE'!$V$28*'TUSD BF'!$V$62</f>
        <v>0</v>
      </c>
      <c r="W28" s="13">
        <f>'TUSD BE'!$W$28*'TUSD BF'!$W$62</f>
        <v>0</v>
      </c>
      <c r="X28" s="13">
        <f>'TUSD BE'!$X$28*'TUSD BF'!$X$62</f>
        <v>0</v>
      </c>
      <c r="Y28" s="13">
        <f>'TUSD BE'!$Y$28*'TUSD BF'!$Y$62</f>
        <v>0</v>
      </c>
      <c r="Z28" s="13">
        <f>'TUSD BE'!$Z$28*'TUSD BF'!$Z$62</f>
        <v>0</v>
      </c>
      <c r="AA28" s="13">
        <f>'TUSD BE'!$AA$28*'TUSD BF'!$AA$62</f>
        <v>0</v>
      </c>
      <c r="AB28" s="13">
        <f>SUM($U$28:$AA$28)</f>
        <v>0</v>
      </c>
      <c r="AC28" s="13">
        <f>'TUSD BE'!$AC$28*'TUSD BF'!$AC$62</f>
        <v>0</v>
      </c>
      <c r="AD28" s="13">
        <f>SUM($AC$28:$AC$28)</f>
        <v>0</v>
      </c>
      <c r="AE28" s="13">
        <f ca="1">$AO$28*$AO$59</f>
        <v>0</v>
      </c>
      <c r="AF28" s="13">
        <f ca="1">$AP$28*$AP$59</f>
        <v>0</v>
      </c>
      <c r="AG28" s="13">
        <f ca="1">SUM($AE$28:$AF$28)</f>
        <v>0</v>
      </c>
      <c r="AH28" s="13">
        <f>'TUSD BE'!$AH$28*'TUSD BF'!$AH$62</f>
        <v>-9.3698986642923796E-2</v>
      </c>
      <c r="AI28" s="13">
        <f>'TUSD BE'!$AI$28*'TUSD BF'!$AI$62</f>
        <v>0</v>
      </c>
      <c r="AJ28" s="13">
        <f ca="1">'TUSD BE'!$AJ$28*'TUSD BF'!$AJ$62</f>
        <v>-5.4960946370834042E-3</v>
      </c>
      <c r="AK28" s="13">
        <f ca="1">'TUSD BE'!$AK$28*'TUSD BF'!$AK$62</f>
        <v>0</v>
      </c>
      <c r="AL28" s="13">
        <f ca="1">SUM($AH$28:$AK$28)</f>
        <v>-9.9195081280007202E-2</v>
      </c>
      <c r="AM28" s="13">
        <f ca="1">SUMIF($L$4:$AL$4,"SUBTOTAL",$L$28:$AL$28)</f>
        <v>-9.9195081280007202E-2</v>
      </c>
      <c r="AO28" s="26">
        <f ca="1">+'TUSD BE'!$T$28+'TUSD BE'!$AB$28+'TUSD BE'!$AD$28+'TUSD BE'!$AL$28</f>
        <v>325.43902524611752</v>
      </c>
      <c r="AP28" s="26">
        <f ca="1">+'TUSD BE'!$T$28+'TUSD BE'!$AB$28+'TUSD BE'!$AD$28+'TUSD BE'!$AL$28</f>
        <v>325.43902524611752</v>
      </c>
    </row>
    <row r="29" spans="1:42" ht="11.25" customHeight="1" x14ac:dyDescent="0.3">
      <c r="A29" s="146"/>
      <c r="B29" s="146" t="s">
        <v>92</v>
      </c>
      <c r="C29" s="146" t="s">
        <v>24</v>
      </c>
      <c r="D29" s="23" t="s">
        <v>24</v>
      </c>
      <c r="E29" s="23" t="s">
        <v>25</v>
      </c>
      <c r="F29" s="23" t="s">
        <v>25</v>
      </c>
      <c r="G29" s="24" t="s">
        <v>84</v>
      </c>
      <c r="H29" s="24" t="s">
        <v>78</v>
      </c>
      <c r="I29" s="24">
        <f>'MERCADO TUSD'!$U$26</f>
        <v>0</v>
      </c>
      <c r="J29" s="15"/>
      <c r="L29" s="13">
        <f>'TUSD BE'!$L$29*'TUSD BF'!$L$62</f>
        <v>0.22040802390293343</v>
      </c>
      <c r="M29" s="13">
        <f>'TUSD BE'!$M$29*'TUSD BF'!$M$62</f>
        <v>0</v>
      </c>
      <c r="N29" s="13">
        <f ca="1">'TUSD BE'!$N$29*'TUSD BF'!$N$62</f>
        <v>0</v>
      </c>
      <c r="O29" s="13">
        <f>'TUSD BE'!$O$29*'TUSD BF'!$O$62</f>
        <v>0</v>
      </c>
      <c r="P29" s="13">
        <f>'TUSD BE'!$P$29*'TUSD BF'!$P$62</f>
        <v>0</v>
      </c>
      <c r="Q29" s="13">
        <f>'TUSD BE'!$Q$29*'TUSD BF'!$Q$62</f>
        <v>26.590461155645137</v>
      </c>
      <c r="R29" s="13">
        <f>'TUSD BE'!$R$29*'TUSD BF'!$R$62</f>
        <v>4.6486353991390432</v>
      </c>
      <c r="S29" s="13">
        <f>'TUSD BE'!$R$29*'TUSD BF'!$S$62</f>
        <v>0</v>
      </c>
      <c r="T29" s="13">
        <f ca="1">SUM($L$29:$S$29)</f>
        <v>31.459504578687113</v>
      </c>
      <c r="U29" s="13">
        <f>'TUSD BE'!$U$29*'TUSD BF'!$U$62</f>
        <v>0</v>
      </c>
      <c r="V29" s="13">
        <f>'TUSD BE'!$V$29*'TUSD BF'!$V$62</f>
        <v>0</v>
      </c>
      <c r="W29" s="13">
        <f>'TUSD BE'!$W$29*'TUSD BF'!$W$62</f>
        <v>0</v>
      </c>
      <c r="X29" s="13">
        <f>'TUSD BE'!$X$29*'TUSD BF'!$X$62</f>
        <v>0</v>
      </c>
      <c r="Y29" s="13">
        <f>'TUSD BE'!$Y$29*'TUSD BF'!$Y$62</f>
        <v>0</v>
      </c>
      <c r="Z29" s="13">
        <f>'TUSD BE'!$Z$29*'TUSD BF'!$Z$62</f>
        <v>0</v>
      </c>
      <c r="AA29" s="13">
        <f>'TUSD BE'!$AA$29*'TUSD BF'!$AA$62</f>
        <v>0</v>
      </c>
      <c r="AB29" s="13">
        <f>SUM($U$29:$AA$29)</f>
        <v>0</v>
      </c>
      <c r="AC29" s="13">
        <f>'TUSD BE'!$AC$29*'TUSD BF'!$AC$62</f>
        <v>0</v>
      </c>
      <c r="AD29" s="13">
        <f>SUM($AC$29:$AC$29)</f>
        <v>0</v>
      </c>
      <c r="AE29" s="13">
        <f ca="1">$AO$29*$AO$59</f>
        <v>0</v>
      </c>
      <c r="AF29" s="13">
        <f ca="1">$AP$29*$AP$59</f>
        <v>0</v>
      </c>
      <c r="AG29" s="13">
        <f ca="1">SUM($AE$29:$AF$29)</f>
        <v>0</v>
      </c>
      <c r="AH29" s="13">
        <f>'TUSD BE'!$AH$29*'TUSD BF'!$AH$62</f>
        <v>-9.3698986642923796E-2</v>
      </c>
      <c r="AI29" s="13">
        <f>'TUSD BE'!$AI$29*'TUSD BF'!$AI$62</f>
        <v>0</v>
      </c>
      <c r="AJ29" s="13">
        <f ca="1">'TUSD BE'!$AJ$29*'TUSD BF'!$AJ$62</f>
        <v>-5.4960946370834042E-3</v>
      </c>
      <c r="AK29" s="13">
        <f ca="1">'TUSD BE'!$AK$29*'TUSD BF'!$AK$62</f>
        <v>0</v>
      </c>
      <c r="AL29" s="13">
        <f ca="1">SUM($AH$29:$AK$29)</f>
        <v>-9.9195081280007202E-2</v>
      </c>
      <c r="AM29" s="13">
        <f ca="1">SUMIF($L$4:$AL$4,"SUBTOTAL",$L$29:$AL$29)</f>
        <v>31.360309497407105</v>
      </c>
      <c r="AO29" s="26">
        <f ca="1">+'TUSD BE'!$T$29+'TUSD BE'!$AB$29+'TUSD BE'!$AD$29+'TUSD BE'!$AL$29</f>
        <v>446.09513188184229</v>
      </c>
      <c r="AP29" s="26">
        <f ca="1">+'TUSD BE'!$T$29+'TUSD BE'!$AB$29+'TUSD BE'!$AD$29+'TUSD BE'!$AL$29</f>
        <v>446.09513188184229</v>
      </c>
    </row>
    <row r="30" spans="1:42" ht="11.25" customHeight="1" x14ac:dyDescent="0.3">
      <c r="A30" s="146"/>
      <c r="B30" s="146"/>
      <c r="C30" s="146"/>
      <c r="D30" s="23" t="s">
        <v>28</v>
      </c>
      <c r="E30" s="23" t="s">
        <v>25</v>
      </c>
      <c r="F30" s="23" t="s">
        <v>25</v>
      </c>
      <c r="G30" s="24" t="s">
        <v>84</v>
      </c>
      <c r="H30" s="24" t="s">
        <v>78</v>
      </c>
      <c r="I30" s="24">
        <f>'MERCADO TUSD'!$U$27</f>
        <v>0</v>
      </c>
      <c r="J30" s="15"/>
      <c r="L30" s="13">
        <f>'TUSD BE'!$L$30*'TUSD BF'!$L$62</f>
        <v>0</v>
      </c>
      <c r="M30" s="13">
        <f>'TUSD BE'!$M$30*'TUSD BF'!$M$62</f>
        <v>0</v>
      </c>
      <c r="N30" s="13">
        <f ca="1">'TUSD BE'!$N$30*'TUSD BF'!$N$62</f>
        <v>0</v>
      </c>
      <c r="O30" s="13">
        <f>'TUSD BE'!$O$30*'TUSD BF'!$O$62</f>
        <v>0</v>
      </c>
      <c r="P30" s="13">
        <f>'TUSD BE'!$P$30*'TUSD BF'!$P$62</f>
        <v>0</v>
      </c>
      <c r="Q30" s="13">
        <f>'TUSD BE'!$Q$30*'TUSD BF'!$Q$62</f>
        <v>0</v>
      </c>
      <c r="R30" s="13">
        <f>'TUSD BE'!$R$30*'TUSD BF'!$R$62</f>
        <v>0</v>
      </c>
      <c r="S30" s="13">
        <f>'TUSD BE'!$R$30*'TUSD BF'!$S$62</f>
        <v>0</v>
      </c>
      <c r="T30" s="13">
        <f ca="1">SUM($L$30:$S$30)</f>
        <v>0</v>
      </c>
      <c r="U30" s="13">
        <f>'TUSD BE'!$U$30*'TUSD BF'!$U$62</f>
        <v>0</v>
      </c>
      <c r="V30" s="13">
        <f>'TUSD BE'!$V$30*'TUSD BF'!$V$62</f>
        <v>0</v>
      </c>
      <c r="W30" s="13">
        <f>'TUSD BE'!$W$30*'TUSD BF'!$W$62</f>
        <v>0</v>
      </c>
      <c r="X30" s="13">
        <f>'TUSD BE'!$X$30*'TUSD BF'!$X$62</f>
        <v>0</v>
      </c>
      <c r="Y30" s="13">
        <f>'TUSD BE'!$Y$30*'TUSD BF'!$Y$62</f>
        <v>0</v>
      </c>
      <c r="Z30" s="13">
        <f>'TUSD BE'!$Z$30*'TUSD BF'!$Z$62</f>
        <v>0</v>
      </c>
      <c r="AA30" s="13">
        <f>'TUSD BE'!$AA$30*'TUSD BF'!$AA$62</f>
        <v>0</v>
      </c>
      <c r="AB30" s="13">
        <f>SUM($U$30:$AA$30)</f>
        <v>0</v>
      </c>
      <c r="AC30" s="13">
        <f>'TUSD BE'!$AC$30*'TUSD BF'!$AC$62</f>
        <v>0</v>
      </c>
      <c r="AD30" s="13">
        <f>SUM($AC$30:$AC$30)</f>
        <v>0</v>
      </c>
      <c r="AE30" s="13">
        <f ca="1">$AO$30*$AO$59</f>
        <v>0</v>
      </c>
      <c r="AF30" s="13">
        <f ca="1">$AP$30*$AP$59</f>
        <v>0</v>
      </c>
      <c r="AG30" s="13">
        <f ca="1">SUM($AE$30:$AF$30)</f>
        <v>0</v>
      </c>
      <c r="AH30" s="13">
        <f>'TUSD BE'!$AH$30*'TUSD BF'!$AH$62</f>
        <v>-9.3698986642923796E-2</v>
      </c>
      <c r="AI30" s="13">
        <f>'TUSD BE'!$AI$30*'TUSD BF'!$AI$62</f>
        <v>0</v>
      </c>
      <c r="AJ30" s="13">
        <f ca="1">'TUSD BE'!$AJ$30*'TUSD BF'!$AJ$62</f>
        <v>-5.4960946370834042E-3</v>
      </c>
      <c r="AK30" s="13">
        <f ca="1">'TUSD BE'!$AK$30*'TUSD BF'!$AK$62</f>
        <v>0</v>
      </c>
      <c r="AL30" s="13">
        <f ca="1">SUM($AH$30:$AK$30)</f>
        <v>-9.9195081280007202E-2</v>
      </c>
      <c r="AM30" s="13">
        <f ca="1">SUMIF($L$4:$AL$4,"SUBTOTAL",$L$30:$AL$30)</f>
        <v>-9.9195081280007202E-2</v>
      </c>
      <c r="AO30" s="26">
        <f ca="1">+'TUSD BE'!$T$30+'TUSD BE'!$AB$30+'TUSD BE'!$AD$30+'TUSD BE'!$AL$30</f>
        <v>325.43902524611752</v>
      </c>
      <c r="AP30" s="26">
        <f ca="1">+'TUSD BE'!$T$30+'TUSD BE'!$AB$30+'TUSD BE'!$AD$30+'TUSD BE'!$AL$30</f>
        <v>325.43902524611752</v>
      </c>
    </row>
    <row r="31" spans="1:42" ht="11.25" customHeight="1" x14ac:dyDescent="0.3">
      <c r="A31" s="146"/>
      <c r="B31" s="146"/>
      <c r="C31" s="146"/>
      <c r="D31" s="23" t="s">
        <v>29</v>
      </c>
      <c r="E31" s="23" t="s">
        <v>25</v>
      </c>
      <c r="F31" s="23" t="s">
        <v>25</v>
      </c>
      <c r="G31" s="24" t="s">
        <v>84</v>
      </c>
      <c r="H31" s="24" t="s">
        <v>78</v>
      </c>
      <c r="I31" s="24">
        <f>'MERCADO TUSD'!$U$28</f>
        <v>0</v>
      </c>
      <c r="J31" s="15"/>
      <c r="L31" s="13">
        <f>'TUSD BE'!$L$31*'TUSD BF'!$L$62</f>
        <v>0</v>
      </c>
      <c r="M31" s="13">
        <f>'TUSD BE'!$M$31*'TUSD BF'!$M$62</f>
        <v>0</v>
      </c>
      <c r="N31" s="13">
        <f ca="1">'TUSD BE'!$N$31*'TUSD BF'!$N$62</f>
        <v>0</v>
      </c>
      <c r="O31" s="13">
        <f>'TUSD BE'!$O$31*'TUSD BF'!$O$62</f>
        <v>0</v>
      </c>
      <c r="P31" s="13">
        <f>'TUSD BE'!$P$31*'TUSD BF'!$P$62</f>
        <v>0</v>
      </c>
      <c r="Q31" s="13">
        <f>'TUSD BE'!$Q$31*'TUSD BF'!$Q$62</f>
        <v>0</v>
      </c>
      <c r="R31" s="13">
        <f>'TUSD BE'!$R$31*'TUSD BF'!$R$62</f>
        <v>0</v>
      </c>
      <c r="S31" s="13">
        <f>'TUSD BE'!$R$31*'TUSD BF'!$S$62</f>
        <v>0</v>
      </c>
      <c r="T31" s="13">
        <f ca="1">SUM($L$31:$S$31)</f>
        <v>0</v>
      </c>
      <c r="U31" s="13">
        <f>'TUSD BE'!$U$31*'TUSD BF'!$U$62</f>
        <v>0</v>
      </c>
      <c r="V31" s="13">
        <f>'TUSD BE'!$V$31*'TUSD BF'!$V$62</f>
        <v>0</v>
      </c>
      <c r="W31" s="13">
        <f>'TUSD BE'!$W$31*'TUSD BF'!$W$62</f>
        <v>0</v>
      </c>
      <c r="X31" s="13">
        <f>'TUSD BE'!$X$31*'TUSD BF'!$X$62</f>
        <v>0</v>
      </c>
      <c r="Y31" s="13">
        <f>'TUSD BE'!$Y$31*'TUSD BF'!$Y$62</f>
        <v>0</v>
      </c>
      <c r="Z31" s="13">
        <f>'TUSD BE'!$Z$31*'TUSD BF'!$Z$62</f>
        <v>0</v>
      </c>
      <c r="AA31" s="13">
        <f>'TUSD BE'!$AA$31*'TUSD BF'!$AA$62</f>
        <v>0</v>
      </c>
      <c r="AB31" s="13">
        <f>SUM($U$31:$AA$31)</f>
        <v>0</v>
      </c>
      <c r="AC31" s="13">
        <f>'TUSD BE'!$AC$31*'TUSD BF'!$AC$62</f>
        <v>0</v>
      </c>
      <c r="AD31" s="13">
        <f>SUM($AC$31:$AC$31)</f>
        <v>0</v>
      </c>
      <c r="AE31" s="13">
        <f ca="1">$AO$31*$AO$59</f>
        <v>0</v>
      </c>
      <c r="AF31" s="13">
        <f ca="1">$AP$31*$AP$59</f>
        <v>0</v>
      </c>
      <c r="AG31" s="13">
        <f ca="1">SUM($AE$31:$AF$31)</f>
        <v>0</v>
      </c>
      <c r="AH31" s="13">
        <f>'TUSD BE'!$AH$31*'TUSD BF'!$AH$62</f>
        <v>-9.3698986642923796E-2</v>
      </c>
      <c r="AI31" s="13">
        <f>'TUSD BE'!$AI$31*'TUSD BF'!$AI$62</f>
        <v>0</v>
      </c>
      <c r="AJ31" s="13">
        <f ca="1">'TUSD BE'!$AJ$31*'TUSD BF'!$AJ$62</f>
        <v>-5.4960946370834042E-3</v>
      </c>
      <c r="AK31" s="13">
        <f ca="1">'TUSD BE'!$AK$31*'TUSD BF'!$AK$62</f>
        <v>0</v>
      </c>
      <c r="AL31" s="13">
        <f ca="1">SUM($AH$31:$AK$31)</f>
        <v>-9.9195081280007202E-2</v>
      </c>
      <c r="AM31" s="13">
        <f ca="1">SUMIF($L$4:$AL$4,"SUBTOTAL",$L$31:$AL$31)</f>
        <v>-9.9195081280007202E-2</v>
      </c>
      <c r="AO31" s="26">
        <f ca="1">+'TUSD BE'!$T$31+'TUSD BE'!$AB$31+'TUSD BE'!$AD$31+'TUSD BE'!$AL$31</f>
        <v>325.43902524611752</v>
      </c>
      <c r="AP31" s="26">
        <f ca="1">+'TUSD BE'!$T$31+'TUSD BE'!$AB$31+'TUSD BE'!$AD$31+'TUSD BE'!$AL$31</f>
        <v>325.43902524611752</v>
      </c>
    </row>
    <row r="32" spans="1:42" ht="11.25" customHeight="1" x14ac:dyDescent="0.3">
      <c r="A32" s="146"/>
      <c r="B32" s="146"/>
      <c r="C32" s="146"/>
      <c r="D32" s="23" t="s">
        <v>30</v>
      </c>
      <c r="E32" s="23" t="s">
        <v>25</v>
      </c>
      <c r="F32" s="23" t="s">
        <v>25</v>
      </c>
      <c r="G32" s="24" t="s">
        <v>84</v>
      </c>
      <c r="H32" s="24" t="s">
        <v>78</v>
      </c>
      <c r="I32" s="24">
        <f>'MERCADO TUSD'!$U$29</f>
        <v>0</v>
      </c>
      <c r="J32" s="15"/>
      <c r="L32" s="13">
        <f>'TUSD BE'!$L$32*'TUSD BF'!$L$62</f>
        <v>0</v>
      </c>
      <c r="M32" s="13">
        <f>'TUSD BE'!$M$32*'TUSD BF'!$M$62</f>
        <v>0</v>
      </c>
      <c r="N32" s="13">
        <f ca="1">'TUSD BE'!$N$32*'TUSD BF'!$N$62</f>
        <v>0</v>
      </c>
      <c r="O32" s="13">
        <f>'TUSD BE'!$O$32*'TUSD BF'!$O$62</f>
        <v>0</v>
      </c>
      <c r="P32" s="13">
        <f>'TUSD BE'!$P$32*'TUSD BF'!$P$62</f>
        <v>0</v>
      </c>
      <c r="Q32" s="13">
        <f>'TUSD BE'!$Q$32*'TUSD BF'!$Q$62</f>
        <v>0</v>
      </c>
      <c r="R32" s="13">
        <f>'TUSD BE'!$R$32*'TUSD BF'!$R$62</f>
        <v>0</v>
      </c>
      <c r="S32" s="13">
        <f>'TUSD BE'!$R$32*'TUSD BF'!$S$62</f>
        <v>0</v>
      </c>
      <c r="T32" s="13">
        <f ca="1">SUM($L$32:$S$32)</f>
        <v>0</v>
      </c>
      <c r="U32" s="13">
        <f>'TUSD BE'!$U$32*'TUSD BF'!$U$62</f>
        <v>0</v>
      </c>
      <c r="V32" s="13">
        <f>'TUSD BE'!$V$32*'TUSD BF'!$V$62</f>
        <v>0</v>
      </c>
      <c r="W32" s="13">
        <f>'TUSD BE'!$W$32*'TUSD BF'!$W$62</f>
        <v>0</v>
      </c>
      <c r="X32" s="13">
        <f>'TUSD BE'!$X$32*'TUSD BF'!$X$62</f>
        <v>0</v>
      </c>
      <c r="Y32" s="13">
        <f>'TUSD BE'!$Y$32*'TUSD BF'!$Y$62</f>
        <v>0</v>
      </c>
      <c r="Z32" s="13">
        <f>'TUSD BE'!$Z$32*'TUSD BF'!$Z$62</f>
        <v>0</v>
      </c>
      <c r="AA32" s="13">
        <f>'TUSD BE'!$AA$32*'TUSD BF'!$AA$62</f>
        <v>0</v>
      </c>
      <c r="AB32" s="13">
        <f>SUM($U$32:$AA$32)</f>
        <v>0</v>
      </c>
      <c r="AC32" s="13">
        <f>'TUSD BE'!$AC$32*'TUSD BF'!$AC$62</f>
        <v>0</v>
      </c>
      <c r="AD32" s="13">
        <f>SUM($AC$32:$AC$32)</f>
        <v>0</v>
      </c>
      <c r="AE32" s="13">
        <f ca="1">$AO$32*$AO$59</f>
        <v>0</v>
      </c>
      <c r="AF32" s="13">
        <f ca="1">$AP$32*$AP$59</f>
        <v>0</v>
      </c>
      <c r="AG32" s="13">
        <f ca="1">SUM($AE$32:$AF$32)</f>
        <v>0</v>
      </c>
      <c r="AH32" s="13">
        <f>'TUSD BE'!$AH$32*'TUSD BF'!$AH$62</f>
        <v>-9.3698986642923796E-2</v>
      </c>
      <c r="AI32" s="13">
        <f>'TUSD BE'!$AI$32*'TUSD BF'!$AI$62</f>
        <v>0</v>
      </c>
      <c r="AJ32" s="13">
        <f ca="1">'TUSD BE'!$AJ$32*'TUSD BF'!$AJ$62</f>
        <v>-5.4960946370834042E-3</v>
      </c>
      <c r="AK32" s="13">
        <f ca="1">'TUSD BE'!$AK$32*'TUSD BF'!$AK$62</f>
        <v>0</v>
      </c>
      <c r="AL32" s="13">
        <f ca="1">SUM($AH$32:$AK$32)</f>
        <v>-9.9195081280007202E-2</v>
      </c>
      <c r="AM32" s="13">
        <f ca="1">SUMIF($L$4:$AL$4,"SUBTOTAL",$L$32:$AL$32)</f>
        <v>-9.9195081280007202E-2</v>
      </c>
      <c r="AO32" s="26">
        <f ca="1">+'TUSD BE'!$T$32+'TUSD BE'!$AB$32+'TUSD BE'!$AD$32+'TUSD BE'!$AL$32</f>
        <v>325.43902524611752</v>
      </c>
      <c r="AP32" s="26">
        <f ca="1">+'TUSD BE'!$T$32+'TUSD BE'!$AB$32+'TUSD BE'!$AD$32+'TUSD BE'!$AL$32</f>
        <v>325.43902524611752</v>
      </c>
    </row>
    <row r="33" spans="1:42" ht="11.25" customHeight="1" x14ac:dyDescent="0.3">
      <c r="A33" s="146"/>
      <c r="B33" s="146"/>
      <c r="C33" s="146"/>
      <c r="D33" s="23" t="s">
        <v>31</v>
      </c>
      <c r="E33" s="23" t="s">
        <v>25</v>
      </c>
      <c r="F33" s="23" t="s">
        <v>25</v>
      </c>
      <c r="G33" s="24" t="s">
        <v>84</v>
      </c>
      <c r="H33" s="24" t="s">
        <v>78</v>
      </c>
      <c r="I33" s="24">
        <f>'MERCADO TUSD'!$U$30</f>
        <v>0</v>
      </c>
      <c r="J33" s="15"/>
      <c r="L33" s="13">
        <f>'TUSD BE'!$L$33*'TUSD BF'!$L$62</f>
        <v>0</v>
      </c>
      <c r="M33" s="13">
        <f>'TUSD BE'!$M$33*'TUSD BF'!$M$62</f>
        <v>0</v>
      </c>
      <c r="N33" s="13">
        <f ca="1">'TUSD BE'!$N$33*'TUSD BF'!$N$62</f>
        <v>0</v>
      </c>
      <c r="O33" s="13">
        <f>'TUSD BE'!$O$33*'TUSD BF'!$O$62</f>
        <v>0</v>
      </c>
      <c r="P33" s="13">
        <f>'TUSD BE'!$P$33*'TUSD BF'!$P$62</f>
        <v>0</v>
      </c>
      <c r="Q33" s="13">
        <f>'TUSD BE'!$Q$33*'TUSD BF'!$Q$62</f>
        <v>0</v>
      </c>
      <c r="R33" s="13">
        <f>'TUSD BE'!$R$33*'TUSD BF'!$R$62</f>
        <v>0</v>
      </c>
      <c r="S33" s="13">
        <f>'TUSD BE'!$R$33*'TUSD BF'!$S$62</f>
        <v>0</v>
      </c>
      <c r="T33" s="13">
        <f ca="1">SUM($L$33:$S$33)</f>
        <v>0</v>
      </c>
      <c r="U33" s="13">
        <f>'TUSD BE'!$U$33*'TUSD BF'!$U$62</f>
        <v>0</v>
      </c>
      <c r="V33" s="13">
        <f>'TUSD BE'!$V$33*'TUSD BF'!$V$62</f>
        <v>0</v>
      </c>
      <c r="W33" s="13">
        <f>'TUSD BE'!$W$33*'TUSD BF'!$W$62</f>
        <v>0</v>
      </c>
      <c r="X33" s="13">
        <f>'TUSD BE'!$X$33*'TUSD BF'!$X$62</f>
        <v>0</v>
      </c>
      <c r="Y33" s="13">
        <f>'TUSD BE'!$Y$33*'TUSD BF'!$Y$62</f>
        <v>0</v>
      </c>
      <c r="Z33" s="13">
        <f>'TUSD BE'!$Z$33*'TUSD BF'!$Z$62</f>
        <v>0</v>
      </c>
      <c r="AA33" s="13">
        <f>'TUSD BE'!$AA$33*'TUSD BF'!$AA$62</f>
        <v>0</v>
      </c>
      <c r="AB33" s="13">
        <f>SUM($U$33:$AA$33)</f>
        <v>0</v>
      </c>
      <c r="AC33" s="13">
        <f>'TUSD BE'!$AC$33*'TUSD BF'!$AC$62</f>
        <v>0</v>
      </c>
      <c r="AD33" s="13">
        <f>SUM($AC$33:$AC$33)</f>
        <v>0</v>
      </c>
      <c r="AE33" s="13">
        <f ca="1">$AO$33*$AO$59</f>
        <v>0</v>
      </c>
      <c r="AF33" s="13">
        <f ca="1">$AP$33*$AP$59</f>
        <v>0</v>
      </c>
      <c r="AG33" s="13">
        <f ca="1">SUM($AE$33:$AF$33)</f>
        <v>0</v>
      </c>
      <c r="AH33" s="13">
        <f>'TUSD BE'!$AH$33*'TUSD BF'!$AH$62</f>
        <v>-9.3698986642923796E-2</v>
      </c>
      <c r="AI33" s="13">
        <f>'TUSD BE'!$AI$33*'TUSD BF'!$AI$62</f>
        <v>0</v>
      </c>
      <c r="AJ33" s="13">
        <f ca="1">'TUSD BE'!$AJ$33*'TUSD BF'!$AJ$62</f>
        <v>-5.4960946370834042E-3</v>
      </c>
      <c r="AK33" s="13">
        <f ca="1">'TUSD BE'!$AK$33*'TUSD BF'!$AK$62</f>
        <v>0</v>
      </c>
      <c r="AL33" s="13">
        <f ca="1">SUM($AH$33:$AK$33)</f>
        <v>-9.9195081280007202E-2</v>
      </c>
      <c r="AM33" s="13">
        <f ca="1">SUMIF($L$4:$AL$4,"SUBTOTAL",$L$33:$AL$33)</f>
        <v>-9.9195081280007202E-2</v>
      </c>
      <c r="AO33" s="26">
        <f ca="1">+'TUSD BE'!$T$33+'TUSD BE'!$AB$33+'TUSD BE'!$AD$33+'TUSD BE'!$AL$33</f>
        <v>325.43902524611752</v>
      </c>
      <c r="AP33" s="26">
        <f ca="1">+'TUSD BE'!$T$33+'TUSD BE'!$AB$33+'TUSD BE'!$AD$33+'TUSD BE'!$AL$33</f>
        <v>325.43902524611752</v>
      </c>
    </row>
    <row r="34" spans="1:42" ht="11.25" customHeight="1" x14ac:dyDescent="0.3">
      <c r="A34" s="146" t="s">
        <v>41</v>
      </c>
      <c r="B34" s="146" t="s">
        <v>38</v>
      </c>
      <c r="C34" s="146" t="s">
        <v>42</v>
      </c>
      <c r="D34" s="146" t="s">
        <v>25</v>
      </c>
      <c r="E34" s="146" t="s">
        <v>25</v>
      </c>
      <c r="F34" s="146" t="s">
        <v>25</v>
      </c>
      <c r="G34" s="24" t="s">
        <v>79</v>
      </c>
      <c r="H34" s="24" t="s">
        <v>78</v>
      </c>
      <c r="I34" s="24">
        <f>'MERCADO TUSD'!$U$31</f>
        <v>0</v>
      </c>
      <c r="J34" s="15"/>
      <c r="L34" s="13">
        <f>'TUSD BE'!$L$34*'TUSD BF'!$L$62</f>
        <v>0.22040802390293343</v>
      </c>
      <c r="M34" s="13">
        <f>'TUSD BE'!$M$34*'TUSD BF'!$M$62</f>
        <v>0</v>
      </c>
      <c r="N34" s="13">
        <f ca="1">'TUSD BE'!$N$34*'TUSD BF'!$N$62</f>
        <v>0</v>
      </c>
      <c r="O34" s="13">
        <f>'TUSD BE'!$O$34*'TUSD BF'!$O$62</f>
        <v>0</v>
      </c>
      <c r="P34" s="13">
        <f>'TUSD BE'!$P$34*'TUSD BF'!$P$62</f>
        <v>0</v>
      </c>
      <c r="Q34" s="13">
        <f>'TUSD BE'!$Q$34*'TUSD BF'!$Q$62</f>
        <v>26.590461155645137</v>
      </c>
      <c r="R34" s="13">
        <f>'TUSD BE'!$R$34*'TUSD BF'!$R$62</f>
        <v>4.6486353991390432</v>
      </c>
      <c r="S34" s="13">
        <f>'TUSD BE'!$R$34*'TUSD BF'!$S$62</f>
        <v>0</v>
      </c>
      <c r="T34" s="13">
        <f ca="1">SUM($L$34:$S$34)</f>
        <v>31.459504578687113</v>
      </c>
      <c r="U34" s="13">
        <f>'TUSD BE'!$U$34*'TUSD BF'!$U$62</f>
        <v>0</v>
      </c>
      <c r="V34" s="13">
        <f>'TUSD BE'!$V$34*'TUSD BF'!$V$62</f>
        <v>0</v>
      </c>
      <c r="W34" s="13">
        <f>'TUSD BE'!$W$34*'TUSD BF'!$W$62</f>
        <v>0</v>
      </c>
      <c r="X34" s="13">
        <f>'TUSD BE'!$X$34*'TUSD BF'!$X$62</f>
        <v>0</v>
      </c>
      <c r="Y34" s="13">
        <f>'TUSD BE'!$Y$34*'TUSD BF'!$Y$62</f>
        <v>0</v>
      </c>
      <c r="Z34" s="13">
        <f>'TUSD BE'!$Z$34*'TUSD BF'!$Z$62</f>
        <v>0</v>
      </c>
      <c r="AA34" s="13">
        <f>'TUSD BE'!$AA$34*'TUSD BF'!$AA$62</f>
        <v>0</v>
      </c>
      <c r="AB34" s="13">
        <f>SUM($U$34:$AA$34)</f>
        <v>0</v>
      </c>
      <c r="AC34" s="13">
        <f>'TUSD BE'!$AC$34*'TUSD BF'!$AC$62</f>
        <v>0</v>
      </c>
      <c r="AD34" s="13">
        <f>SUM($AC$34:$AC$34)</f>
        <v>0</v>
      </c>
      <c r="AE34" s="13">
        <f ca="1">$AO$34*$AO$59</f>
        <v>0</v>
      </c>
      <c r="AF34" s="13">
        <f ca="1">$AP$34*$AP$59</f>
        <v>0</v>
      </c>
      <c r="AG34" s="13">
        <f ca="1">SUM($AE$34:$AF$34)</f>
        <v>0</v>
      </c>
      <c r="AH34" s="13">
        <f>'TUSD BE'!$AH$34*'TUSD BF'!$AH$62</f>
        <v>-9.3698986642923796E-2</v>
      </c>
      <c r="AI34" s="13">
        <f>'TUSD BE'!$AI$34*'TUSD BF'!$AI$62</f>
        <v>0</v>
      </c>
      <c r="AJ34" s="13">
        <f ca="1">'TUSD BE'!$AJ$34*'TUSD BF'!$AJ$62</f>
        <v>-5.4960946370834042E-3</v>
      </c>
      <c r="AK34" s="13">
        <f ca="1">'TUSD BE'!$AK$34*'TUSD BF'!$AK$62</f>
        <v>0</v>
      </c>
      <c r="AL34" s="13">
        <f ca="1">SUM($AH$34:$AK$34)</f>
        <v>-9.9195081280007202E-2</v>
      </c>
      <c r="AM34" s="13">
        <f ca="1">SUMIF($L$4:$AL$4,"SUBTOTAL",$L$34:$AL$34)</f>
        <v>31.360309497407105</v>
      </c>
      <c r="AO34" s="26">
        <f ca="1">+'TUSD BE'!$T$34+'TUSD BE'!$AB$34+'TUSD BE'!$AD$34+'TUSD BE'!$AL$34</f>
        <v>1977.6284694319186</v>
      </c>
      <c r="AP34" s="26">
        <f ca="1">+'TUSD BE'!$T$34+'TUSD BE'!$AB$34+'TUSD BE'!$AD$34+'TUSD BE'!$AL$34</f>
        <v>1977.6284694319186</v>
      </c>
    </row>
    <row r="35" spans="1:42" ht="11.25" customHeight="1" x14ac:dyDescent="0.3">
      <c r="A35" s="146"/>
      <c r="B35" s="146"/>
      <c r="C35" s="146"/>
      <c r="D35" s="146"/>
      <c r="E35" s="146"/>
      <c r="F35" s="146"/>
      <c r="G35" s="24" t="s">
        <v>89</v>
      </c>
      <c r="H35" s="24" t="s">
        <v>78</v>
      </c>
      <c r="I35" s="24">
        <f>'MERCADO TUSD'!$U$32</f>
        <v>0</v>
      </c>
      <c r="J35" s="15"/>
      <c r="L35" s="13">
        <f>'TUSD BE'!$L$35*'TUSD BF'!$L$62</f>
        <v>0.22040802390293343</v>
      </c>
      <c r="M35" s="13">
        <f>'TUSD BE'!$M$35*'TUSD BF'!$M$62</f>
        <v>0</v>
      </c>
      <c r="N35" s="13">
        <f ca="1">'TUSD BE'!$N$35*'TUSD BF'!$N$62</f>
        <v>0</v>
      </c>
      <c r="O35" s="13">
        <f>'TUSD BE'!$O$35*'TUSD BF'!$O$62</f>
        <v>0</v>
      </c>
      <c r="P35" s="13">
        <f>'TUSD BE'!$P$35*'TUSD BF'!$P$62</f>
        <v>0</v>
      </c>
      <c r="Q35" s="13">
        <f>'TUSD BE'!$Q$35*'TUSD BF'!$Q$62</f>
        <v>26.590461155645137</v>
      </c>
      <c r="R35" s="13">
        <f>'TUSD BE'!$R$35*'TUSD BF'!$R$62</f>
        <v>4.6486353991390432</v>
      </c>
      <c r="S35" s="13">
        <f>'TUSD BE'!$R$35*'TUSD BF'!$S$62</f>
        <v>0</v>
      </c>
      <c r="T35" s="13">
        <f ca="1">SUM($L$35:$S$35)</f>
        <v>31.459504578687113</v>
      </c>
      <c r="U35" s="13">
        <f>'TUSD BE'!$U$35*'TUSD BF'!$U$62</f>
        <v>0</v>
      </c>
      <c r="V35" s="13">
        <f>'TUSD BE'!$V$35*'TUSD BF'!$V$62</f>
        <v>0</v>
      </c>
      <c r="W35" s="13">
        <f>'TUSD BE'!$W$35*'TUSD BF'!$W$62</f>
        <v>0</v>
      </c>
      <c r="X35" s="13">
        <f>'TUSD BE'!$X$35*'TUSD BF'!$X$62</f>
        <v>0</v>
      </c>
      <c r="Y35" s="13">
        <f>'TUSD BE'!$Y$35*'TUSD BF'!$Y$62</f>
        <v>0</v>
      </c>
      <c r="Z35" s="13">
        <f>'TUSD BE'!$Z$35*'TUSD BF'!$Z$62</f>
        <v>0</v>
      </c>
      <c r="AA35" s="13">
        <f>'TUSD BE'!$AA$35*'TUSD BF'!$AA$62</f>
        <v>0</v>
      </c>
      <c r="AB35" s="13">
        <f>SUM($U$35:$AA$35)</f>
        <v>0</v>
      </c>
      <c r="AC35" s="13">
        <f>'TUSD BE'!$AC$35*'TUSD BF'!$AC$62</f>
        <v>0</v>
      </c>
      <c r="AD35" s="13">
        <f>SUM($AC$35:$AC$35)</f>
        <v>0</v>
      </c>
      <c r="AE35" s="13">
        <f ca="1">$AO$35*$AO$59</f>
        <v>0</v>
      </c>
      <c r="AF35" s="13">
        <f ca="1">$AP$35*$AP$59</f>
        <v>0</v>
      </c>
      <c r="AG35" s="13">
        <f ca="1">SUM($AE$35:$AF$35)</f>
        <v>0</v>
      </c>
      <c r="AH35" s="13">
        <f>'TUSD BE'!$AH$35*'TUSD BF'!$AH$62</f>
        <v>-9.3698986642923796E-2</v>
      </c>
      <c r="AI35" s="13">
        <f>'TUSD BE'!$AI$35*'TUSD BF'!$AI$62</f>
        <v>0</v>
      </c>
      <c r="AJ35" s="13">
        <f ca="1">'TUSD BE'!$AJ$35*'TUSD BF'!$AJ$62</f>
        <v>-5.4960946370834042E-3</v>
      </c>
      <c r="AK35" s="13">
        <f ca="1">'TUSD BE'!$AK$35*'TUSD BF'!$AK$62</f>
        <v>0</v>
      </c>
      <c r="AL35" s="13">
        <f ca="1">SUM($AH$35:$AK$35)</f>
        <v>-9.9195081280007202E-2</v>
      </c>
      <c r="AM35" s="13">
        <f ca="1">SUMIF($L$4:$AL$4,"SUBTOTAL",$L$35:$AL$35)</f>
        <v>31.360309497407105</v>
      </c>
      <c r="AO35" s="26">
        <f ca="1">+'TUSD BE'!$T$35+'TUSD BE'!$AB$35+'TUSD BE'!$AD$35+'TUSD BE'!$AL$35</f>
        <v>655.79081310202491</v>
      </c>
      <c r="AP35" s="26">
        <f ca="1">+'TUSD BE'!$T$35+'TUSD BE'!$AB$35+'TUSD BE'!$AD$35+'TUSD BE'!$AL$35</f>
        <v>655.79081310202491</v>
      </c>
    </row>
    <row r="36" spans="1:42" ht="11.25" customHeight="1" x14ac:dyDescent="0.3">
      <c r="A36" s="146"/>
      <c r="B36" s="146"/>
      <c r="C36" s="146"/>
      <c r="D36" s="146"/>
      <c r="E36" s="146"/>
      <c r="F36" s="146"/>
      <c r="G36" s="24" t="s">
        <v>80</v>
      </c>
      <c r="H36" s="24" t="s">
        <v>78</v>
      </c>
      <c r="I36" s="24">
        <f>'MERCADO TUSD'!$U$33</f>
        <v>0</v>
      </c>
      <c r="J36" s="15"/>
      <c r="L36" s="13">
        <f>'TUSD BE'!$L$36*'TUSD BF'!$L$62</f>
        <v>0.22040802390293343</v>
      </c>
      <c r="M36" s="13">
        <f>'TUSD BE'!$M$36*'TUSD BF'!$M$62</f>
        <v>0</v>
      </c>
      <c r="N36" s="13">
        <f ca="1">'TUSD BE'!$N$36*'TUSD BF'!$N$62</f>
        <v>0</v>
      </c>
      <c r="O36" s="13">
        <f>'TUSD BE'!$O$36*'TUSD BF'!$O$62</f>
        <v>0</v>
      </c>
      <c r="P36" s="13">
        <f>'TUSD BE'!$P$36*'TUSD BF'!$P$62</f>
        <v>0</v>
      </c>
      <c r="Q36" s="13">
        <f>'TUSD BE'!$Q$36*'TUSD BF'!$Q$62</f>
        <v>26.590461155645137</v>
      </c>
      <c r="R36" s="13">
        <f>'TUSD BE'!$R$36*'TUSD BF'!$R$62</f>
        <v>4.6486353991390432</v>
      </c>
      <c r="S36" s="13">
        <f>'TUSD BE'!$R$36*'TUSD BF'!$S$62</f>
        <v>0</v>
      </c>
      <c r="T36" s="13">
        <f ca="1">SUM($L$36:$S$36)</f>
        <v>31.459504578687113</v>
      </c>
      <c r="U36" s="13">
        <f>'TUSD BE'!$U$36*'TUSD BF'!$U$62</f>
        <v>0</v>
      </c>
      <c r="V36" s="13">
        <f>'TUSD BE'!$V$36*'TUSD BF'!$V$62</f>
        <v>0</v>
      </c>
      <c r="W36" s="13">
        <f>'TUSD BE'!$W$36*'TUSD BF'!$W$62</f>
        <v>0</v>
      </c>
      <c r="X36" s="13">
        <f>'TUSD BE'!$X$36*'TUSD BF'!$X$62</f>
        <v>0</v>
      </c>
      <c r="Y36" s="13">
        <f>'TUSD BE'!$Y$36*'TUSD BF'!$Y$62</f>
        <v>0</v>
      </c>
      <c r="Z36" s="13">
        <f>'TUSD BE'!$Z$36*'TUSD BF'!$Z$62</f>
        <v>0</v>
      </c>
      <c r="AA36" s="13">
        <f>'TUSD BE'!$AA$36*'TUSD BF'!$AA$62</f>
        <v>0</v>
      </c>
      <c r="AB36" s="13">
        <f>SUM($U$36:$AA$36)</f>
        <v>0</v>
      </c>
      <c r="AC36" s="13">
        <f>'TUSD BE'!$AC$36*'TUSD BF'!$AC$62</f>
        <v>0</v>
      </c>
      <c r="AD36" s="13">
        <f>SUM($AC$36:$AC$36)</f>
        <v>0</v>
      </c>
      <c r="AE36" s="13">
        <f ca="1">$AO$36*$AO$59</f>
        <v>0</v>
      </c>
      <c r="AF36" s="13">
        <f ca="1">$AP$36*$AP$59</f>
        <v>0</v>
      </c>
      <c r="AG36" s="13">
        <f ca="1">SUM($AE$36:$AF$36)</f>
        <v>0</v>
      </c>
      <c r="AH36" s="13">
        <f>'TUSD BE'!$AH$36*'TUSD BF'!$AH$62</f>
        <v>-9.3698986642923796E-2</v>
      </c>
      <c r="AI36" s="13">
        <f>'TUSD BE'!$AI$36*'TUSD BF'!$AI$62</f>
        <v>0</v>
      </c>
      <c r="AJ36" s="13">
        <f ca="1">'TUSD BE'!$AJ$36*'TUSD BF'!$AJ$62</f>
        <v>-5.4960946370834042E-3</v>
      </c>
      <c r="AK36" s="13">
        <f ca="1">'TUSD BE'!$AK$36*'TUSD BF'!$AK$62</f>
        <v>0</v>
      </c>
      <c r="AL36" s="13">
        <f ca="1">SUM($AH$36:$AK$36)</f>
        <v>-9.9195081280007202E-2</v>
      </c>
      <c r="AM36" s="13">
        <f ca="1">SUMIF($L$4:$AL$4,"SUBTOTAL",$L$36:$AL$36)</f>
        <v>31.360309497407105</v>
      </c>
      <c r="AO36" s="26">
        <f ca="1">+'TUSD BE'!$T$36+'TUSD BE'!$AB$36+'TUSD BE'!$AD$36+'TUSD BE'!$AL$36</f>
        <v>230.28498737270996</v>
      </c>
      <c r="AP36" s="26">
        <f ca="1">+'TUSD BE'!$T$36+'TUSD BE'!$AB$36+'TUSD BE'!$AD$36+'TUSD BE'!$AL$36</f>
        <v>230.28498737270996</v>
      </c>
    </row>
    <row r="37" spans="1:42" ht="11.25" customHeight="1" x14ac:dyDescent="0.3">
      <c r="A37" s="146"/>
      <c r="B37" s="23" t="s">
        <v>23</v>
      </c>
      <c r="C37" s="23" t="s">
        <v>42</v>
      </c>
      <c r="D37" s="23" t="s">
        <v>25</v>
      </c>
      <c r="E37" s="23" t="s">
        <v>25</v>
      </c>
      <c r="F37" s="23" t="s">
        <v>25</v>
      </c>
      <c r="G37" s="24" t="s">
        <v>84</v>
      </c>
      <c r="H37" s="24" t="s">
        <v>78</v>
      </c>
      <c r="I37" s="24">
        <f>'MERCADO TUSD'!$U$34</f>
        <v>3112.8609999999999</v>
      </c>
      <c r="J37" s="15"/>
      <c r="L37" s="13">
        <f>'TUSD BE'!$L$37*'TUSD BF'!$L$62</f>
        <v>0.22040802390293343</v>
      </c>
      <c r="M37" s="13">
        <f>'TUSD BE'!$M$37*'TUSD BF'!$M$62</f>
        <v>0</v>
      </c>
      <c r="N37" s="13">
        <f ca="1">'TUSD BE'!$N$37*'TUSD BF'!$N$62</f>
        <v>0</v>
      </c>
      <c r="O37" s="13">
        <f>'TUSD BE'!$O$37*'TUSD BF'!$O$62</f>
        <v>0</v>
      </c>
      <c r="P37" s="13">
        <f>'TUSD BE'!$P$37*'TUSD BF'!$P$62</f>
        <v>0</v>
      </c>
      <c r="Q37" s="13">
        <f>'TUSD BE'!$Q$37*'TUSD BF'!$Q$62</f>
        <v>26.590461155645137</v>
      </c>
      <c r="R37" s="13">
        <f>'TUSD BE'!$R$37*'TUSD BF'!$R$62</f>
        <v>4.6486353991390432</v>
      </c>
      <c r="S37" s="13">
        <f>'TUSD BE'!$R$37*'TUSD BF'!$S$62</f>
        <v>0</v>
      </c>
      <c r="T37" s="13">
        <f ca="1">SUM($L$37:$S$37)</f>
        <v>31.459504578687113</v>
      </c>
      <c r="U37" s="13">
        <f>'TUSD BE'!$U$37*'TUSD BF'!$U$62</f>
        <v>0</v>
      </c>
      <c r="V37" s="13">
        <f>'TUSD BE'!$V$37*'TUSD BF'!$V$62</f>
        <v>0</v>
      </c>
      <c r="W37" s="13">
        <f>'TUSD BE'!$W$37*'TUSD BF'!$W$62</f>
        <v>0</v>
      </c>
      <c r="X37" s="13">
        <f>'TUSD BE'!$X$37*'TUSD BF'!$X$62</f>
        <v>0</v>
      </c>
      <c r="Y37" s="13">
        <f>'TUSD BE'!$Y$37*'TUSD BF'!$Y$62</f>
        <v>0</v>
      </c>
      <c r="Z37" s="13">
        <f>'TUSD BE'!$Z$37*'TUSD BF'!$Z$62</f>
        <v>0</v>
      </c>
      <c r="AA37" s="13">
        <f>'TUSD BE'!$AA$37*'TUSD BF'!$AA$62</f>
        <v>0</v>
      </c>
      <c r="AB37" s="13">
        <f>SUM($U$37:$AA$37)</f>
        <v>0</v>
      </c>
      <c r="AC37" s="13">
        <f>'TUSD BE'!$AC$37*'TUSD BF'!$AC$62</f>
        <v>0</v>
      </c>
      <c r="AD37" s="13">
        <f>SUM($AC$37:$AC$37)</f>
        <v>0</v>
      </c>
      <c r="AE37" s="13">
        <f ca="1">$AO$37*$AO$59</f>
        <v>0</v>
      </c>
      <c r="AF37" s="13">
        <f ca="1">$AP$37*$AP$59</f>
        <v>0</v>
      </c>
      <c r="AG37" s="13">
        <f ca="1">SUM($AE$37:$AF$37)</f>
        <v>0</v>
      </c>
      <c r="AH37" s="13">
        <f>'TUSD BE'!$AH$37*'TUSD BF'!$AH$62</f>
        <v>-9.3698986642923796E-2</v>
      </c>
      <c r="AI37" s="13">
        <f>'TUSD BE'!$AI$37*'TUSD BF'!$AI$62</f>
        <v>0</v>
      </c>
      <c r="AJ37" s="13">
        <f ca="1">'TUSD BE'!$AJ$37*'TUSD BF'!$AJ$62</f>
        <v>-5.4960946370834042E-3</v>
      </c>
      <c r="AK37" s="13">
        <f ca="1">'TUSD BE'!$AK$37*'TUSD BF'!$AK$62</f>
        <v>0</v>
      </c>
      <c r="AL37" s="13">
        <f ca="1">SUM($AH$37:$AK$37)</f>
        <v>-9.9195081280007202E-2</v>
      </c>
      <c r="AM37" s="13">
        <f ca="1">SUMIF($L$4:$AL$4,"SUBTOTAL",$L$37:$AL$37)</f>
        <v>31.360309497407105</v>
      </c>
      <c r="AO37" s="26">
        <f ca="1">+'TUSD BE'!$T$37+'TUSD BE'!$AB$37+'TUSD BE'!$AD$37+'TUSD BE'!$AL$37</f>
        <v>446.09513188184229</v>
      </c>
      <c r="AP37" s="26">
        <f ca="1">+'TUSD BE'!$T$37+'TUSD BE'!$AB$37+'TUSD BE'!$AD$37+'TUSD BE'!$AL$37</f>
        <v>446.09513188184229</v>
      </c>
    </row>
    <row r="38" spans="1:42" ht="11.25" customHeight="1" x14ac:dyDescent="0.3">
      <c r="A38" s="146"/>
      <c r="B38" s="146" t="s">
        <v>38</v>
      </c>
      <c r="C38" s="146" t="s">
        <v>42</v>
      </c>
      <c r="D38" s="146" t="s">
        <v>93</v>
      </c>
      <c r="E38" s="146" t="s">
        <v>25</v>
      </c>
      <c r="F38" s="146" t="s">
        <v>25</v>
      </c>
      <c r="G38" s="24" t="s">
        <v>79</v>
      </c>
      <c r="H38" s="24" t="s">
        <v>78</v>
      </c>
      <c r="I38" s="24">
        <f>'MERCADO TUSD'!$U$35</f>
        <v>0</v>
      </c>
      <c r="J38" s="15"/>
      <c r="L38" s="13">
        <f>'TUSD BE'!$L$38*'TUSD BF'!$L$62</f>
        <v>0.22040802390293343</v>
      </c>
      <c r="M38" s="13">
        <f>'TUSD BE'!$M$38*'TUSD BF'!$M$62</f>
        <v>0</v>
      </c>
      <c r="N38" s="13">
        <f ca="1">'TUSD BE'!$N$38*'TUSD BF'!$N$62</f>
        <v>0</v>
      </c>
      <c r="O38" s="13">
        <f>'TUSD BE'!$O$38*'TUSD BF'!$O$62</f>
        <v>0</v>
      </c>
      <c r="P38" s="13">
        <f>'TUSD BE'!$P$38*'TUSD BF'!$P$62</f>
        <v>0</v>
      </c>
      <c r="Q38" s="13">
        <f>'TUSD BE'!$Q$38*'TUSD BF'!$Q$62</f>
        <v>26.590461155645137</v>
      </c>
      <c r="R38" s="13">
        <f>'TUSD BE'!$R$38*'TUSD BF'!$R$62</f>
        <v>4.6486353991390432</v>
      </c>
      <c r="S38" s="13">
        <f>'TUSD BE'!$R$38*'TUSD BF'!$S$62</f>
        <v>0</v>
      </c>
      <c r="T38" s="13">
        <f ca="1">SUM($L$38:$S$38)</f>
        <v>31.459504578687113</v>
      </c>
      <c r="U38" s="13">
        <f>'TUSD BE'!$U$38*'TUSD BF'!$U$62</f>
        <v>0</v>
      </c>
      <c r="V38" s="13">
        <f>'TUSD BE'!$V$38*'TUSD BF'!$V$62</f>
        <v>0</v>
      </c>
      <c r="W38" s="13">
        <f>'TUSD BE'!$W$38*'TUSD BF'!$W$62</f>
        <v>0</v>
      </c>
      <c r="X38" s="13">
        <f>'TUSD BE'!$X$38*'TUSD BF'!$X$62</f>
        <v>0</v>
      </c>
      <c r="Y38" s="13">
        <f>'TUSD BE'!$Y$38*'TUSD BF'!$Y$62</f>
        <v>0</v>
      </c>
      <c r="Z38" s="13">
        <f>'TUSD BE'!$Z$38*'TUSD BF'!$Z$62</f>
        <v>0</v>
      </c>
      <c r="AA38" s="13">
        <f>'TUSD BE'!$AA$38*'TUSD BF'!$AA$62</f>
        <v>0</v>
      </c>
      <c r="AB38" s="13">
        <f>SUM($U$38:$AA$38)</f>
        <v>0</v>
      </c>
      <c r="AC38" s="13">
        <f>'TUSD BE'!$AC$38*'TUSD BF'!$AC$62</f>
        <v>0</v>
      </c>
      <c r="AD38" s="13">
        <f>SUM($AC$38:$AC$38)</f>
        <v>0</v>
      </c>
      <c r="AE38" s="13">
        <f ca="1">$AO$38*$AO$59</f>
        <v>0</v>
      </c>
      <c r="AF38" s="13">
        <f ca="1">$AP$38*$AP$59</f>
        <v>0</v>
      </c>
      <c r="AG38" s="13">
        <f ca="1">SUM($AE$38:$AF$38)</f>
        <v>0</v>
      </c>
      <c r="AH38" s="13">
        <f>'TUSD BE'!$AH$38*'TUSD BF'!$AH$62</f>
        <v>-9.3698986642923796E-2</v>
      </c>
      <c r="AI38" s="13">
        <f>'TUSD BE'!$AI$38*'TUSD BF'!$AI$62</f>
        <v>0</v>
      </c>
      <c r="AJ38" s="13">
        <f ca="1">'TUSD BE'!$AJ$38*'TUSD BF'!$AJ$62</f>
        <v>-5.4960946370834042E-3</v>
      </c>
      <c r="AK38" s="13">
        <f ca="1">'TUSD BE'!$AK$38*'TUSD BF'!$AK$62</f>
        <v>0</v>
      </c>
      <c r="AL38" s="13">
        <f ca="1">SUM($AH$38:$AK$38)</f>
        <v>-9.9195081280007202E-2</v>
      </c>
      <c r="AM38" s="13">
        <f ca="1">SUMIF($L$4:$AL$4,"SUBTOTAL",$L$38:$AL$38)</f>
        <v>31.360309497407105</v>
      </c>
      <c r="AO38" s="26">
        <f ca="1">+'TUSD BE'!$T$38+'TUSD BE'!$AB$38+'TUSD BE'!$AD$38+'TUSD BE'!$AL$38</f>
        <v>1977.6284694319186</v>
      </c>
      <c r="AP38" s="26">
        <f ca="1">+'TUSD BE'!$T$38+'TUSD BE'!$AB$38+'TUSD BE'!$AD$38+'TUSD BE'!$AL$38</f>
        <v>1977.6284694319186</v>
      </c>
    </row>
    <row r="39" spans="1:42" ht="11.25" customHeight="1" x14ac:dyDescent="0.3">
      <c r="A39" s="146"/>
      <c r="B39" s="146"/>
      <c r="C39" s="146"/>
      <c r="D39" s="146"/>
      <c r="E39" s="146"/>
      <c r="F39" s="146"/>
      <c r="G39" s="24" t="s">
        <v>89</v>
      </c>
      <c r="H39" s="24" t="s">
        <v>78</v>
      </c>
      <c r="I39" s="24">
        <f>'MERCADO TUSD'!$U$36</f>
        <v>0</v>
      </c>
      <c r="J39" s="15"/>
      <c r="L39" s="13">
        <f>'TUSD BE'!$L$39*'TUSD BF'!$L$62</f>
        <v>0.22040802390293343</v>
      </c>
      <c r="M39" s="13">
        <f>'TUSD BE'!$M$39*'TUSD BF'!$M$62</f>
        <v>0</v>
      </c>
      <c r="N39" s="13">
        <f ca="1">'TUSD BE'!$N$39*'TUSD BF'!$N$62</f>
        <v>0</v>
      </c>
      <c r="O39" s="13">
        <f>'TUSD BE'!$O$39*'TUSD BF'!$O$62</f>
        <v>0</v>
      </c>
      <c r="P39" s="13">
        <f>'TUSD BE'!$P$39*'TUSD BF'!$P$62</f>
        <v>0</v>
      </c>
      <c r="Q39" s="13">
        <f>'TUSD BE'!$Q$39*'TUSD BF'!$Q$62</f>
        <v>26.590461155645137</v>
      </c>
      <c r="R39" s="13">
        <f>'TUSD BE'!$R$39*'TUSD BF'!$R$62</f>
        <v>4.6486353991390432</v>
      </c>
      <c r="S39" s="13">
        <f>'TUSD BE'!$R$39*'TUSD BF'!$S$62</f>
        <v>0</v>
      </c>
      <c r="T39" s="13">
        <f ca="1">SUM($L$39:$S$39)</f>
        <v>31.459504578687113</v>
      </c>
      <c r="U39" s="13">
        <f>'TUSD BE'!$U$39*'TUSD BF'!$U$62</f>
        <v>0</v>
      </c>
      <c r="V39" s="13">
        <f>'TUSD BE'!$V$39*'TUSD BF'!$V$62</f>
        <v>0</v>
      </c>
      <c r="W39" s="13">
        <f>'TUSD BE'!$W$39*'TUSD BF'!$W$62</f>
        <v>0</v>
      </c>
      <c r="X39" s="13">
        <f>'TUSD BE'!$X$39*'TUSD BF'!$X$62</f>
        <v>0</v>
      </c>
      <c r="Y39" s="13">
        <f>'TUSD BE'!$Y$39*'TUSD BF'!$Y$62</f>
        <v>0</v>
      </c>
      <c r="Z39" s="13">
        <f>'TUSD BE'!$Z$39*'TUSD BF'!$Z$62</f>
        <v>0</v>
      </c>
      <c r="AA39" s="13">
        <f>'TUSD BE'!$AA$39*'TUSD BF'!$AA$62</f>
        <v>0</v>
      </c>
      <c r="AB39" s="13">
        <f>SUM($U$39:$AA$39)</f>
        <v>0</v>
      </c>
      <c r="AC39" s="13">
        <f>'TUSD BE'!$AC$39*'TUSD BF'!$AC$62</f>
        <v>0</v>
      </c>
      <c r="AD39" s="13">
        <f>SUM($AC$39:$AC$39)</f>
        <v>0</v>
      </c>
      <c r="AE39" s="13">
        <f ca="1">$AO$39*$AO$59</f>
        <v>0</v>
      </c>
      <c r="AF39" s="13">
        <f ca="1">$AP$39*$AP$59</f>
        <v>0</v>
      </c>
      <c r="AG39" s="13">
        <f ca="1">SUM($AE$39:$AF$39)</f>
        <v>0</v>
      </c>
      <c r="AH39" s="13">
        <f>'TUSD BE'!$AH$39*'TUSD BF'!$AH$62</f>
        <v>-9.3698986642923796E-2</v>
      </c>
      <c r="AI39" s="13">
        <f>'TUSD BE'!$AI$39*'TUSD BF'!$AI$62</f>
        <v>0</v>
      </c>
      <c r="AJ39" s="13">
        <f ca="1">'TUSD BE'!$AJ$39*'TUSD BF'!$AJ$62</f>
        <v>-5.4960946370834042E-3</v>
      </c>
      <c r="AK39" s="13">
        <f ca="1">'TUSD BE'!$AK$39*'TUSD BF'!$AK$62</f>
        <v>0</v>
      </c>
      <c r="AL39" s="13">
        <f ca="1">SUM($AH$39:$AK$39)</f>
        <v>-9.9195081280007202E-2</v>
      </c>
      <c r="AM39" s="13">
        <f ca="1">SUMIF($L$4:$AL$4,"SUBTOTAL",$L$39:$AL$39)</f>
        <v>31.360309497407105</v>
      </c>
      <c r="AO39" s="26">
        <f ca="1">+'TUSD BE'!$T$39+'TUSD BE'!$AB$39+'TUSD BE'!$AD$39+'TUSD BE'!$AL$39</f>
        <v>655.79081310202491</v>
      </c>
      <c r="AP39" s="26">
        <f ca="1">+'TUSD BE'!$T$39+'TUSD BE'!$AB$39+'TUSD BE'!$AD$39+'TUSD BE'!$AL$39</f>
        <v>655.79081310202491</v>
      </c>
    </row>
    <row r="40" spans="1:42" ht="11.25" customHeight="1" x14ac:dyDescent="0.3">
      <c r="A40" s="146"/>
      <c r="B40" s="146"/>
      <c r="C40" s="146"/>
      <c r="D40" s="146"/>
      <c r="E40" s="146"/>
      <c r="F40" s="146"/>
      <c r="G40" s="24" t="s">
        <v>80</v>
      </c>
      <c r="H40" s="24" t="s">
        <v>78</v>
      </c>
      <c r="I40" s="24">
        <f>'MERCADO TUSD'!$U$37</f>
        <v>0</v>
      </c>
      <c r="J40" s="15"/>
      <c r="L40" s="13">
        <f>'TUSD BE'!$L$40*'TUSD BF'!$L$62</f>
        <v>0.22040802390293343</v>
      </c>
      <c r="M40" s="13">
        <f>'TUSD BE'!$M$40*'TUSD BF'!$M$62</f>
        <v>0</v>
      </c>
      <c r="N40" s="13">
        <f ca="1">'TUSD BE'!$N$40*'TUSD BF'!$N$62</f>
        <v>0</v>
      </c>
      <c r="O40" s="13">
        <f>'TUSD BE'!$O$40*'TUSD BF'!$O$62</f>
        <v>0</v>
      </c>
      <c r="P40" s="13">
        <f>'TUSD BE'!$P$40*'TUSD BF'!$P$62</f>
        <v>0</v>
      </c>
      <c r="Q40" s="13">
        <f>'TUSD BE'!$Q$40*'TUSD BF'!$Q$62</f>
        <v>26.590461155645137</v>
      </c>
      <c r="R40" s="13">
        <f>'TUSD BE'!$R$40*'TUSD BF'!$R$62</f>
        <v>4.6486353991390432</v>
      </c>
      <c r="S40" s="13">
        <f>'TUSD BE'!$R$40*'TUSD BF'!$S$62</f>
        <v>0</v>
      </c>
      <c r="T40" s="13">
        <f ca="1">SUM($L$40:$S$40)</f>
        <v>31.459504578687113</v>
      </c>
      <c r="U40" s="13">
        <f>'TUSD BE'!$U$40*'TUSD BF'!$U$62</f>
        <v>0</v>
      </c>
      <c r="V40" s="13">
        <f>'TUSD BE'!$V$40*'TUSD BF'!$V$62</f>
        <v>0</v>
      </c>
      <c r="W40" s="13">
        <f>'TUSD BE'!$W$40*'TUSD BF'!$W$62</f>
        <v>0</v>
      </c>
      <c r="X40" s="13">
        <f>'TUSD BE'!$X$40*'TUSD BF'!$X$62</f>
        <v>0</v>
      </c>
      <c r="Y40" s="13">
        <f>'TUSD BE'!$Y$40*'TUSD BF'!$Y$62</f>
        <v>0</v>
      </c>
      <c r="Z40" s="13">
        <f>'TUSD BE'!$Z$40*'TUSD BF'!$Z$62</f>
        <v>0</v>
      </c>
      <c r="AA40" s="13">
        <f>'TUSD BE'!$AA$40*'TUSD BF'!$AA$62</f>
        <v>0</v>
      </c>
      <c r="AB40" s="13">
        <f>SUM($U$40:$AA$40)</f>
        <v>0</v>
      </c>
      <c r="AC40" s="13">
        <f>'TUSD BE'!$AC$40*'TUSD BF'!$AC$62</f>
        <v>0</v>
      </c>
      <c r="AD40" s="13">
        <f>SUM($AC$40:$AC$40)</f>
        <v>0</v>
      </c>
      <c r="AE40" s="13">
        <f ca="1">$AO$40*$AO$59</f>
        <v>0</v>
      </c>
      <c r="AF40" s="13">
        <f ca="1">$AP$40*$AP$59</f>
        <v>0</v>
      </c>
      <c r="AG40" s="13">
        <f ca="1">SUM($AE$40:$AF$40)</f>
        <v>0</v>
      </c>
      <c r="AH40" s="13">
        <f>'TUSD BE'!$AH$40*'TUSD BF'!$AH$62</f>
        <v>-9.3698986642923796E-2</v>
      </c>
      <c r="AI40" s="13">
        <f>'TUSD BE'!$AI$40*'TUSD BF'!$AI$62</f>
        <v>0</v>
      </c>
      <c r="AJ40" s="13">
        <f ca="1">'TUSD BE'!$AJ$40*'TUSD BF'!$AJ$62</f>
        <v>-5.4960946370834042E-3</v>
      </c>
      <c r="AK40" s="13">
        <f ca="1">'TUSD BE'!$AK$40*'TUSD BF'!$AK$62</f>
        <v>0</v>
      </c>
      <c r="AL40" s="13">
        <f ca="1">SUM($AH$40:$AK$40)</f>
        <v>-9.9195081280007202E-2</v>
      </c>
      <c r="AM40" s="13">
        <f ca="1">SUMIF($L$4:$AL$4,"SUBTOTAL",$L$40:$AL$40)</f>
        <v>31.360309497407105</v>
      </c>
      <c r="AO40" s="26">
        <f ca="1">+'TUSD BE'!$T$40+'TUSD BE'!$AB$40+'TUSD BE'!$AD$40+'TUSD BE'!$AL$40</f>
        <v>230.28498737270996</v>
      </c>
      <c r="AP40" s="26">
        <f ca="1">+'TUSD BE'!$T$40+'TUSD BE'!$AB$40+'TUSD BE'!$AD$40+'TUSD BE'!$AL$40</f>
        <v>230.28498737270996</v>
      </c>
    </row>
    <row r="41" spans="1:42" ht="11.25" customHeight="1" x14ac:dyDescent="0.3">
      <c r="A41" s="146"/>
      <c r="B41" s="23" t="s">
        <v>23</v>
      </c>
      <c r="C41" s="23" t="s">
        <v>42</v>
      </c>
      <c r="D41" s="23" t="s">
        <v>93</v>
      </c>
      <c r="E41" s="23" t="s">
        <v>25</v>
      </c>
      <c r="F41" s="23" t="s">
        <v>25</v>
      </c>
      <c r="G41" s="24" t="s">
        <v>84</v>
      </c>
      <c r="H41" s="24" t="s">
        <v>78</v>
      </c>
      <c r="I41" s="24">
        <f>'MERCADO TUSD'!$U$38</f>
        <v>0</v>
      </c>
      <c r="J41" s="15"/>
      <c r="L41" s="13">
        <f>'TUSD BE'!$L$41*'TUSD BF'!$L$62</f>
        <v>0.22040802390293343</v>
      </c>
      <c r="M41" s="13">
        <f>'TUSD BE'!$M$41*'TUSD BF'!$M$62</f>
        <v>0</v>
      </c>
      <c r="N41" s="13">
        <f ca="1">'TUSD BE'!$N$41*'TUSD BF'!$N$62</f>
        <v>0</v>
      </c>
      <c r="O41" s="13">
        <f>'TUSD BE'!$O$41*'TUSD BF'!$O$62</f>
        <v>0</v>
      </c>
      <c r="P41" s="13">
        <f>'TUSD BE'!$P$41*'TUSD BF'!$P$62</f>
        <v>0</v>
      </c>
      <c r="Q41" s="13">
        <f>'TUSD BE'!$Q$41*'TUSD BF'!$Q$62</f>
        <v>26.590461155645137</v>
      </c>
      <c r="R41" s="13">
        <f>'TUSD BE'!$R$41*'TUSD BF'!$R$62</f>
        <v>4.6486353991390432</v>
      </c>
      <c r="S41" s="13">
        <f>'TUSD BE'!$R$41*'TUSD BF'!$S$62</f>
        <v>0</v>
      </c>
      <c r="T41" s="13">
        <f ca="1">SUM($L$41:$S$41)</f>
        <v>31.459504578687113</v>
      </c>
      <c r="U41" s="13">
        <f>'TUSD BE'!$U$41*'TUSD BF'!$U$62</f>
        <v>0</v>
      </c>
      <c r="V41" s="13">
        <f>'TUSD BE'!$V$41*'TUSD BF'!$V$62</f>
        <v>0</v>
      </c>
      <c r="W41" s="13">
        <f>'TUSD BE'!$W$41*'TUSD BF'!$W$62</f>
        <v>0</v>
      </c>
      <c r="X41" s="13">
        <f>'TUSD BE'!$X$41*'TUSD BF'!$X$62</f>
        <v>0</v>
      </c>
      <c r="Y41" s="13">
        <f>'TUSD BE'!$Y$41*'TUSD BF'!$Y$62</f>
        <v>0</v>
      </c>
      <c r="Z41" s="13">
        <f>'TUSD BE'!$Z$41*'TUSD BF'!$Z$62</f>
        <v>0</v>
      </c>
      <c r="AA41" s="13">
        <f>'TUSD BE'!$AA$41*'TUSD BF'!$AA$62</f>
        <v>0</v>
      </c>
      <c r="AB41" s="13">
        <f>SUM($U$41:$AA$41)</f>
        <v>0</v>
      </c>
      <c r="AC41" s="13">
        <f>'TUSD BE'!$AC$41*'TUSD BF'!$AC$62</f>
        <v>0</v>
      </c>
      <c r="AD41" s="13">
        <f>SUM($AC$41:$AC$41)</f>
        <v>0</v>
      </c>
      <c r="AE41" s="13">
        <f ca="1">$AO$41*$AO$59</f>
        <v>0</v>
      </c>
      <c r="AF41" s="13">
        <f ca="1">$AP$41*$AP$59</f>
        <v>0</v>
      </c>
      <c r="AG41" s="13">
        <f ca="1">SUM($AE$41:$AF$41)</f>
        <v>0</v>
      </c>
      <c r="AH41" s="13">
        <f>'TUSD BE'!$AH$41*'TUSD BF'!$AH$62</f>
        <v>-9.3698986642923796E-2</v>
      </c>
      <c r="AI41" s="13">
        <f>'TUSD BE'!$AI$41*'TUSD BF'!$AI$62</f>
        <v>0</v>
      </c>
      <c r="AJ41" s="13">
        <f ca="1">'TUSD BE'!$AJ$41*'TUSD BF'!$AJ$62</f>
        <v>-5.4960946370834042E-3</v>
      </c>
      <c r="AK41" s="13">
        <f ca="1">'TUSD BE'!$AK$41*'TUSD BF'!$AK$62</f>
        <v>0</v>
      </c>
      <c r="AL41" s="13">
        <f ca="1">SUM($AH$41:$AK$41)</f>
        <v>-9.9195081280007202E-2</v>
      </c>
      <c r="AM41" s="13">
        <f ca="1">SUMIF($L$4:$AL$4,"SUBTOTAL",$L$41:$AL$41)</f>
        <v>31.360309497407105</v>
      </c>
      <c r="AO41" s="26">
        <f ca="1">+'TUSD BE'!$T$41+'TUSD BE'!$AB$41+'TUSD BE'!$AD$41+'TUSD BE'!$AL$41</f>
        <v>446.09513188184229</v>
      </c>
      <c r="AP41" s="26">
        <f ca="1">+'TUSD BE'!$T$41+'TUSD BE'!$AB$41+'TUSD BE'!$AD$41+'TUSD BE'!$AL$41</f>
        <v>446.09513188184229</v>
      </c>
    </row>
    <row r="42" spans="1:42" ht="11.25" customHeight="1" x14ac:dyDescent="0.3">
      <c r="A42" s="146"/>
      <c r="B42" s="146" t="s">
        <v>38</v>
      </c>
      <c r="C42" s="146" t="s">
        <v>42</v>
      </c>
      <c r="D42" s="146" t="s">
        <v>94</v>
      </c>
      <c r="E42" s="146" t="s">
        <v>25</v>
      </c>
      <c r="F42" s="146" t="s">
        <v>25</v>
      </c>
      <c r="G42" s="24" t="s">
        <v>79</v>
      </c>
      <c r="H42" s="24" t="s">
        <v>78</v>
      </c>
      <c r="I42" s="24">
        <f>'MERCADO TUSD'!$U$39</f>
        <v>0</v>
      </c>
      <c r="J42" s="15"/>
      <c r="L42" s="13">
        <f>'TUSD BE'!$L$42*'TUSD BF'!$L$62</f>
        <v>0.22040802390293343</v>
      </c>
      <c r="M42" s="13">
        <f>'TUSD BE'!$M$42*'TUSD BF'!$M$62</f>
        <v>0</v>
      </c>
      <c r="N42" s="13">
        <f ca="1">'TUSD BE'!$N$42*'TUSD BF'!$N$62</f>
        <v>0</v>
      </c>
      <c r="O42" s="13">
        <f>'TUSD BE'!$O$42*'TUSD BF'!$O$62</f>
        <v>0</v>
      </c>
      <c r="P42" s="13">
        <f>'TUSD BE'!$P$42*'TUSD BF'!$P$62</f>
        <v>0</v>
      </c>
      <c r="Q42" s="13">
        <f>'TUSD BE'!$Q$42*'TUSD BF'!$Q$62</f>
        <v>26.590461155645137</v>
      </c>
      <c r="R42" s="13">
        <f>'TUSD BE'!$R$42*'TUSD BF'!$R$62</f>
        <v>4.6486353991390432</v>
      </c>
      <c r="S42" s="13">
        <f>'TUSD BE'!$R$42*'TUSD BF'!$S$62</f>
        <v>0</v>
      </c>
      <c r="T42" s="13">
        <f ca="1">SUM($L$42:$S$42)</f>
        <v>31.459504578687113</v>
      </c>
      <c r="U42" s="13">
        <f>'TUSD BE'!$U$42*'TUSD BF'!$U$62</f>
        <v>0</v>
      </c>
      <c r="V42" s="13">
        <f>'TUSD BE'!$V$42*'TUSD BF'!$V$62</f>
        <v>0</v>
      </c>
      <c r="W42" s="13">
        <f>'TUSD BE'!$W$42*'TUSD BF'!$W$62</f>
        <v>0</v>
      </c>
      <c r="X42" s="13">
        <f>'TUSD BE'!$X$42*'TUSD BF'!$X$62</f>
        <v>0</v>
      </c>
      <c r="Y42" s="13">
        <f>'TUSD BE'!$Y$42*'TUSD BF'!$Y$62</f>
        <v>0</v>
      </c>
      <c r="Z42" s="13">
        <f>'TUSD BE'!$Z$42*'TUSD BF'!$Z$62</f>
        <v>0</v>
      </c>
      <c r="AA42" s="13">
        <f>'TUSD BE'!$AA$42*'TUSD BF'!$AA$62</f>
        <v>0</v>
      </c>
      <c r="AB42" s="13">
        <f>SUM($U$42:$AA$42)</f>
        <v>0</v>
      </c>
      <c r="AC42" s="13">
        <f>'TUSD BE'!$AC$42*'TUSD BF'!$AC$62</f>
        <v>0</v>
      </c>
      <c r="AD42" s="13">
        <f>SUM($AC$42:$AC$42)</f>
        <v>0</v>
      </c>
      <c r="AE42" s="13">
        <f ca="1">$AO$42*$AO$59</f>
        <v>0</v>
      </c>
      <c r="AF42" s="13">
        <f ca="1">$AP$42*$AP$59</f>
        <v>0</v>
      </c>
      <c r="AG42" s="13">
        <f ca="1">SUM($AE$42:$AF$42)</f>
        <v>0</v>
      </c>
      <c r="AH42" s="13">
        <f>'TUSD BE'!$AH$42*'TUSD BF'!$AH$62</f>
        <v>-9.3698986642923796E-2</v>
      </c>
      <c r="AI42" s="13">
        <f>'TUSD BE'!$AI$42*'TUSD BF'!$AI$62</f>
        <v>0</v>
      </c>
      <c r="AJ42" s="13">
        <f ca="1">'TUSD BE'!$AJ$42*'TUSD BF'!$AJ$62</f>
        <v>-5.4960946370834042E-3</v>
      </c>
      <c r="AK42" s="13">
        <f ca="1">'TUSD BE'!$AK$42*'TUSD BF'!$AK$62</f>
        <v>0</v>
      </c>
      <c r="AL42" s="13">
        <f ca="1">SUM($AH$42:$AK$42)</f>
        <v>-9.9195081280007202E-2</v>
      </c>
      <c r="AM42" s="13">
        <f ca="1">SUMIF($L$4:$AL$4,"SUBTOTAL",$L$42:$AL$42)</f>
        <v>31.360309497407105</v>
      </c>
      <c r="AO42" s="26">
        <f ca="1">+'TUSD BE'!$T$42+'TUSD BE'!$AB$42+'TUSD BE'!$AD$42+'TUSD BE'!$AL$42</f>
        <v>1977.6284694319186</v>
      </c>
      <c r="AP42" s="26">
        <f ca="1">+'TUSD BE'!$T$42+'TUSD BE'!$AB$42+'TUSD BE'!$AD$42+'TUSD BE'!$AL$42</f>
        <v>1977.6284694319186</v>
      </c>
    </row>
    <row r="43" spans="1:42" ht="11.25" customHeight="1" x14ac:dyDescent="0.3">
      <c r="A43" s="146"/>
      <c r="B43" s="146"/>
      <c r="C43" s="146"/>
      <c r="D43" s="146"/>
      <c r="E43" s="146"/>
      <c r="F43" s="146"/>
      <c r="G43" s="24" t="s">
        <v>89</v>
      </c>
      <c r="H43" s="24" t="s">
        <v>78</v>
      </c>
      <c r="I43" s="24">
        <f>'MERCADO TUSD'!$U$40</f>
        <v>0</v>
      </c>
      <c r="J43" s="15"/>
      <c r="L43" s="13">
        <f>'TUSD BE'!$L$43*'TUSD BF'!$L$62</f>
        <v>0.22040802390293343</v>
      </c>
      <c r="M43" s="13">
        <f>'TUSD BE'!$M$43*'TUSD BF'!$M$62</f>
        <v>0</v>
      </c>
      <c r="N43" s="13">
        <f ca="1">'TUSD BE'!$N$43*'TUSD BF'!$N$62</f>
        <v>0</v>
      </c>
      <c r="O43" s="13">
        <f>'TUSD BE'!$O$43*'TUSD BF'!$O$62</f>
        <v>0</v>
      </c>
      <c r="P43" s="13">
        <f>'TUSD BE'!$P$43*'TUSD BF'!$P$62</f>
        <v>0</v>
      </c>
      <c r="Q43" s="13">
        <f>'TUSD BE'!$Q$43*'TUSD BF'!$Q$62</f>
        <v>26.590461155645137</v>
      </c>
      <c r="R43" s="13">
        <f>'TUSD BE'!$R$43*'TUSD BF'!$R$62</f>
        <v>4.6486353991390432</v>
      </c>
      <c r="S43" s="13">
        <f>'TUSD BE'!$R$43*'TUSD BF'!$S$62</f>
        <v>0</v>
      </c>
      <c r="T43" s="13">
        <f ca="1">SUM($L$43:$S$43)</f>
        <v>31.459504578687113</v>
      </c>
      <c r="U43" s="13">
        <f>'TUSD BE'!$U$43*'TUSD BF'!$U$62</f>
        <v>0</v>
      </c>
      <c r="V43" s="13">
        <f>'TUSD BE'!$V$43*'TUSD BF'!$V$62</f>
        <v>0</v>
      </c>
      <c r="W43" s="13">
        <f>'TUSD BE'!$W$43*'TUSD BF'!$W$62</f>
        <v>0</v>
      </c>
      <c r="X43" s="13">
        <f>'TUSD BE'!$X$43*'TUSD BF'!$X$62</f>
        <v>0</v>
      </c>
      <c r="Y43" s="13">
        <f>'TUSD BE'!$Y$43*'TUSD BF'!$Y$62</f>
        <v>0</v>
      </c>
      <c r="Z43" s="13">
        <f>'TUSD BE'!$Z$43*'TUSD BF'!$Z$62</f>
        <v>0</v>
      </c>
      <c r="AA43" s="13">
        <f>'TUSD BE'!$AA$43*'TUSD BF'!$AA$62</f>
        <v>0</v>
      </c>
      <c r="AB43" s="13">
        <f>SUM($U$43:$AA$43)</f>
        <v>0</v>
      </c>
      <c r="AC43" s="13">
        <f>'TUSD BE'!$AC$43*'TUSD BF'!$AC$62</f>
        <v>0</v>
      </c>
      <c r="AD43" s="13">
        <f>SUM($AC$43:$AC$43)</f>
        <v>0</v>
      </c>
      <c r="AE43" s="13">
        <f ca="1">$AO$43*$AO$59</f>
        <v>0</v>
      </c>
      <c r="AF43" s="13">
        <f ca="1">$AP$43*$AP$59</f>
        <v>0</v>
      </c>
      <c r="AG43" s="13">
        <f ca="1">SUM($AE$43:$AF$43)</f>
        <v>0</v>
      </c>
      <c r="AH43" s="13">
        <f>'TUSD BE'!$AH$43*'TUSD BF'!$AH$62</f>
        <v>-9.3698986642923796E-2</v>
      </c>
      <c r="AI43" s="13">
        <f>'TUSD BE'!$AI$43*'TUSD BF'!$AI$62</f>
        <v>0</v>
      </c>
      <c r="AJ43" s="13">
        <f ca="1">'TUSD BE'!$AJ$43*'TUSD BF'!$AJ$62</f>
        <v>-5.4960946370834042E-3</v>
      </c>
      <c r="AK43" s="13">
        <f ca="1">'TUSD BE'!$AK$43*'TUSD BF'!$AK$62</f>
        <v>0</v>
      </c>
      <c r="AL43" s="13">
        <f ca="1">SUM($AH$43:$AK$43)</f>
        <v>-9.9195081280007202E-2</v>
      </c>
      <c r="AM43" s="13">
        <f ca="1">SUMIF($L$4:$AL$4,"SUBTOTAL",$L$43:$AL$43)</f>
        <v>31.360309497407105</v>
      </c>
      <c r="AO43" s="26">
        <f ca="1">+'TUSD BE'!$T$43+'TUSD BE'!$AB$43+'TUSD BE'!$AD$43+'TUSD BE'!$AL$43</f>
        <v>655.79081310202491</v>
      </c>
      <c r="AP43" s="26">
        <f ca="1">+'TUSD BE'!$T$43+'TUSD BE'!$AB$43+'TUSD BE'!$AD$43+'TUSD BE'!$AL$43</f>
        <v>655.79081310202491</v>
      </c>
    </row>
    <row r="44" spans="1:42" ht="11.25" customHeight="1" x14ac:dyDescent="0.3">
      <c r="A44" s="146"/>
      <c r="B44" s="146"/>
      <c r="C44" s="146"/>
      <c r="D44" s="146"/>
      <c r="E44" s="146"/>
      <c r="F44" s="146"/>
      <c r="G44" s="24" t="s">
        <v>80</v>
      </c>
      <c r="H44" s="24" t="s">
        <v>78</v>
      </c>
      <c r="I44" s="24">
        <f>'MERCADO TUSD'!$U$41</f>
        <v>0</v>
      </c>
      <c r="J44" s="15"/>
      <c r="L44" s="13">
        <f>'TUSD BE'!$L$44*'TUSD BF'!$L$62</f>
        <v>0.22040802390293343</v>
      </c>
      <c r="M44" s="13">
        <f>'TUSD BE'!$M$44*'TUSD BF'!$M$62</f>
        <v>0</v>
      </c>
      <c r="N44" s="13">
        <f ca="1">'TUSD BE'!$N$44*'TUSD BF'!$N$62</f>
        <v>0</v>
      </c>
      <c r="O44" s="13">
        <f>'TUSD BE'!$O$44*'TUSD BF'!$O$62</f>
        <v>0</v>
      </c>
      <c r="P44" s="13">
        <f>'TUSD BE'!$P$44*'TUSD BF'!$P$62</f>
        <v>0</v>
      </c>
      <c r="Q44" s="13">
        <f>'TUSD BE'!$Q$44*'TUSD BF'!$Q$62</f>
        <v>26.590461155645137</v>
      </c>
      <c r="R44" s="13">
        <f>'TUSD BE'!$R$44*'TUSD BF'!$R$62</f>
        <v>4.6486353991390432</v>
      </c>
      <c r="S44" s="13">
        <f>'TUSD BE'!$R$44*'TUSD BF'!$S$62</f>
        <v>0</v>
      </c>
      <c r="T44" s="13">
        <f ca="1">SUM($L$44:$S$44)</f>
        <v>31.459504578687113</v>
      </c>
      <c r="U44" s="13">
        <f>'TUSD BE'!$U$44*'TUSD BF'!$U$62</f>
        <v>0</v>
      </c>
      <c r="V44" s="13">
        <f>'TUSD BE'!$V$44*'TUSD BF'!$V$62</f>
        <v>0</v>
      </c>
      <c r="W44" s="13">
        <f>'TUSD BE'!$W$44*'TUSD BF'!$W$62</f>
        <v>0</v>
      </c>
      <c r="X44" s="13">
        <f>'TUSD BE'!$X$44*'TUSD BF'!$X$62</f>
        <v>0</v>
      </c>
      <c r="Y44" s="13">
        <f>'TUSD BE'!$Y$44*'TUSD BF'!$Y$62</f>
        <v>0</v>
      </c>
      <c r="Z44" s="13">
        <f>'TUSD BE'!$Z$44*'TUSD BF'!$Z$62</f>
        <v>0</v>
      </c>
      <c r="AA44" s="13">
        <f>'TUSD BE'!$AA$44*'TUSD BF'!$AA$62</f>
        <v>0</v>
      </c>
      <c r="AB44" s="13">
        <f>SUM($U$44:$AA$44)</f>
        <v>0</v>
      </c>
      <c r="AC44" s="13">
        <f>'TUSD BE'!$AC$44*'TUSD BF'!$AC$62</f>
        <v>0</v>
      </c>
      <c r="AD44" s="13">
        <f>SUM($AC$44:$AC$44)</f>
        <v>0</v>
      </c>
      <c r="AE44" s="13">
        <f ca="1">$AO$44*$AO$59</f>
        <v>0</v>
      </c>
      <c r="AF44" s="13">
        <f ca="1">$AP$44*$AP$59</f>
        <v>0</v>
      </c>
      <c r="AG44" s="13">
        <f ca="1">SUM($AE$44:$AF$44)</f>
        <v>0</v>
      </c>
      <c r="AH44" s="13">
        <f>'TUSD BE'!$AH$44*'TUSD BF'!$AH$62</f>
        <v>-9.3698986642923796E-2</v>
      </c>
      <c r="AI44" s="13">
        <f>'TUSD BE'!$AI$44*'TUSD BF'!$AI$62</f>
        <v>0</v>
      </c>
      <c r="AJ44" s="13">
        <f ca="1">'TUSD BE'!$AJ$44*'TUSD BF'!$AJ$62</f>
        <v>-5.4960946370834042E-3</v>
      </c>
      <c r="AK44" s="13">
        <f ca="1">'TUSD BE'!$AK$44*'TUSD BF'!$AK$62</f>
        <v>0</v>
      </c>
      <c r="AL44" s="13">
        <f ca="1">SUM($AH$44:$AK$44)</f>
        <v>-9.9195081280007202E-2</v>
      </c>
      <c r="AM44" s="13">
        <f ca="1">SUMIF($L$4:$AL$4,"SUBTOTAL",$L$44:$AL$44)</f>
        <v>31.360309497407105</v>
      </c>
      <c r="AO44" s="26">
        <f ca="1">+'TUSD BE'!$T$44+'TUSD BE'!$AB$44+'TUSD BE'!$AD$44+'TUSD BE'!$AL$44</f>
        <v>230.28498737270996</v>
      </c>
      <c r="AP44" s="26">
        <f ca="1">+'TUSD BE'!$T$44+'TUSD BE'!$AB$44+'TUSD BE'!$AD$44+'TUSD BE'!$AL$44</f>
        <v>230.28498737270996</v>
      </c>
    </row>
    <row r="45" spans="1:42" ht="11.25" customHeight="1" x14ac:dyDescent="0.3">
      <c r="A45" s="146"/>
      <c r="B45" s="23" t="s">
        <v>23</v>
      </c>
      <c r="C45" s="23" t="s">
        <v>42</v>
      </c>
      <c r="D45" s="23" t="s">
        <v>94</v>
      </c>
      <c r="E45" s="23" t="s">
        <v>25</v>
      </c>
      <c r="F45" s="23" t="s">
        <v>25</v>
      </c>
      <c r="G45" s="24" t="s">
        <v>84</v>
      </c>
      <c r="H45" s="24" t="s">
        <v>78</v>
      </c>
      <c r="I45" s="24">
        <f>'MERCADO TUSD'!$U$42</f>
        <v>0</v>
      </c>
      <c r="J45" s="15"/>
      <c r="L45" s="13">
        <f>'TUSD BE'!$L$45*'TUSD BF'!$L$62</f>
        <v>0.22040802390293343</v>
      </c>
      <c r="M45" s="13">
        <f>'TUSD BE'!$M$45*'TUSD BF'!$M$62</f>
        <v>0</v>
      </c>
      <c r="N45" s="13">
        <f ca="1">'TUSD BE'!$N$45*'TUSD BF'!$N$62</f>
        <v>0</v>
      </c>
      <c r="O45" s="13">
        <f>'TUSD BE'!$O$45*'TUSD BF'!$O$62</f>
        <v>0</v>
      </c>
      <c r="P45" s="13">
        <f>'TUSD BE'!$P$45*'TUSD BF'!$P$62</f>
        <v>0</v>
      </c>
      <c r="Q45" s="13">
        <f>'TUSD BE'!$Q$45*'TUSD BF'!$Q$62</f>
        <v>26.590461155645137</v>
      </c>
      <c r="R45" s="13">
        <f>'TUSD BE'!$R$45*'TUSD BF'!$R$62</f>
        <v>4.6486353991390432</v>
      </c>
      <c r="S45" s="13">
        <f>'TUSD BE'!$R$45*'TUSD BF'!$S$62</f>
        <v>0</v>
      </c>
      <c r="T45" s="13">
        <f ca="1">SUM($L$45:$S$45)</f>
        <v>31.459504578687113</v>
      </c>
      <c r="U45" s="13">
        <f>'TUSD BE'!$U$45*'TUSD BF'!$U$62</f>
        <v>0</v>
      </c>
      <c r="V45" s="13">
        <f>'TUSD BE'!$V$45*'TUSD BF'!$V$62</f>
        <v>0</v>
      </c>
      <c r="W45" s="13">
        <f>'TUSD BE'!$W$45*'TUSD BF'!$W$62</f>
        <v>0</v>
      </c>
      <c r="X45" s="13">
        <f>'TUSD BE'!$X$45*'TUSD BF'!$X$62</f>
        <v>0</v>
      </c>
      <c r="Y45" s="13">
        <f>'TUSD BE'!$Y$45*'TUSD BF'!$Y$62</f>
        <v>0</v>
      </c>
      <c r="Z45" s="13">
        <f>'TUSD BE'!$Z$45*'TUSD BF'!$Z$62</f>
        <v>0</v>
      </c>
      <c r="AA45" s="13">
        <f>'TUSD BE'!$AA$45*'TUSD BF'!$AA$62</f>
        <v>0</v>
      </c>
      <c r="AB45" s="13">
        <f>SUM($U$45:$AA$45)</f>
        <v>0</v>
      </c>
      <c r="AC45" s="13">
        <f>'TUSD BE'!$AC$45*'TUSD BF'!$AC$62</f>
        <v>0</v>
      </c>
      <c r="AD45" s="13">
        <f>SUM($AC$45:$AC$45)</f>
        <v>0</v>
      </c>
      <c r="AE45" s="13">
        <f ca="1">$AO$45*$AO$59</f>
        <v>0</v>
      </c>
      <c r="AF45" s="13">
        <f ca="1">$AP$45*$AP$59</f>
        <v>0</v>
      </c>
      <c r="AG45" s="13">
        <f ca="1">SUM($AE$45:$AF$45)</f>
        <v>0</v>
      </c>
      <c r="AH45" s="13">
        <f>'TUSD BE'!$AH$45*'TUSD BF'!$AH$62</f>
        <v>-9.3698986642923796E-2</v>
      </c>
      <c r="AI45" s="13">
        <f>'TUSD BE'!$AI$45*'TUSD BF'!$AI$62</f>
        <v>0</v>
      </c>
      <c r="AJ45" s="13">
        <f ca="1">'TUSD BE'!$AJ$45*'TUSD BF'!$AJ$62</f>
        <v>-5.4960946370834042E-3</v>
      </c>
      <c r="AK45" s="13">
        <f ca="1">'TUSD BE'!$AK$45*'TUSD BF'!$AK$62</f>
        <v>0</v>
      </c>
      <c r="AL45" s="13">
        <f ca="1">SUM($AH$45:$AK$45)</f>
        <v>-9.9195081280007202E-2</v>
      </c>
      <c r="AM45" s="13">
        <f ca="1">SUMIF($L$4:$AL$4,"SUBTOTAL",$L$45:$AL$45)</f>
        <v>31.360309497407105</v>
      </c>
      <c r="AO45" s="26">
        <f ca="1">+'TUSD BE'!$T$45+'TUSD BE'!$AB$45+'TUSD BE'!$AD$45+'TUSD BE'!$AL$45</f>
        <v>446.09513188184229</v>
      </c>
      <c r="AP45" s="26">
        <f ca="1">+'TUSD BE'!$T$45+'TUSD BE'!$AB$45+'TUSD BE'!$AD$45+'TUSD BE'!$AL$45</f>
        <v>446.09513188184229</v>
      </c>
    </row>
    <row r="46" spans="1:42" ht="11.25" customHeight="1" x14ac:dyDescent="0.3">
      <c r="A46" s="146"/>
      <c r="B46" s="146" t="s">
        <v>92</v>
      </c>
      <c r="C46" s="146" t="s">
        <v>42</v>
      </c>
      <c r="D46" s="23" t="s">
        <v>25</v>
      </c>
      <c r="E46" s="23" t="s">
        <v>25</v>
      </c>
      <c r="F46" s="23" t="s">
        <v>25</v>
      </c>
      <c r="G46" s="24" t="s">
        <v>84</v>
      </c>
      <c r="H46" s="24" t="s">
        <v>78</v>
      </c>
      <c r="I46" s="24">
        <f>'MERCADO TUSD'!$U$43</f>
        <v>0</v>
      </c>
      <c r="J46" s="15"/>
      <c r="L46" s="13">
        <f>'TUSD BE'!$L$46*'TUSD BF'!$L$62</f>
        <v>0.22040802390293343</v>
      </c>
      <c r="M46" s="13">
        <f>'TUSD BE'!$M$46*'TUSD BF'!$M$62</f>
        <v>0</v>
      </c>
      <c r="N46" s="13">
        <f ca="1">'TUSD BE'!$N$46*'TUSD BF'!$N$62</f>
        <v>0</v>
      </c>
      <c r="O46" s="13">
        <f>'TUSD BE'!$O$46*'TUSD BF'!$O$62</f>
        <v>0</v>
      </c>
      <c r="P46" s="13">
        <f>'TUSD BE'!$P$46*'TUSD BF'!$P$62</f>
        <v>0</v>
      </c>
      <c r="Q46" s="13">
        <f>'TUSD BE'!$Q$46*'TUSD BF'!$Q$62</f>
        <v>26.590461155645137</v>
      </c>
      <c r="R46" s="13">
        <f>'TUSD BE'!$R$46*'TUSD BF'!$R$62</f>
        <v>4.6486353991390432</v>
      </c>
      <c r="S46" s="13">
        <f>'TUSD BE'!$R$46*'TUSD BF'!$S$62</f>
        <v>0</v>
      </c>
      <c r="T46" s="13">
        <f ca="1">SUM($L$46:$S$46)</f>
        <v>31.459504578687113</v>
      </c>
      <c r="U46" s="13">
        <f>'TUSD BE'!$U$46*'TUSD BF'!$U$62</f>
        <v>0</v>
      </c>
      <c r="V46" s="13">
        <f>'TUSD BE'!$V$46*'TUSD BF'!$V$62</f>
        <v>0</v>
      </c>
      <c r="W46" s="13">
        <f>'TUSD BE'!$W$46*'TUSD BF'!$W$62</f>
        <v>0</v>
      </c>
      <c r="X46" s="13">
        <f>'TUSD BE'!$X$46*'TUSD BF'!$X$62</f>
        <v>0</v>
      </c>
      <c r="Y46" s="13">
        <f>'TUSD BE'!$Y$46*'TUSD BF'!$Y$62</f>
        <v>0</v>
      </c>
      <c r="Z46" s="13">
        <f>'TUSD BE'!$Z$46*'TUSD BF'!$Z$62</f>
        <v>0</v>
      </c>
      <c r="AA46" s="13">
        <f>'TUSD BE'!$AA$46*'TUSD BF'!$AA$62</f>
        <v>0</v>
      </c>
      <c r="AB46" s="13">
        <f>SUM($U$46:$AA$46)</f>
        <v>0</v>
      </c>
      <c r="AC46" s="13">
        <f>'TUSD BE'!$AC$46*'TUSD BF'!$AC$62</f>
        <v>0</v>
      </c>
      <c r="AD46" s="13">
        <f>SUM($AC$46:$AC$46)</f>
        <v>0</v>
      </c>
      <c r="AE46" s="13">
        <f ca="1">$AO$46*$AO$59</f>
        <v>0</v>
      </c>
      <c r="AF46" s="13">
        <f ca="1">$AP$46*$AP$59</f>
        <v>0</v>
      </c>
      <c r="AG46" s="13">
        <f ca="1">SUM($AE$46:$AF$46)</f>
        <v>0</v>
      </c>
      <c r="AH46" s="13">
        <f>'TUSD BE'!$AH$46*'TUSD BF'!$AH$62</f>
        <v>-9.3698986642923796E-2</v>
      </c>
      <c r="AI46" s="13">
        <f>'TUSD BE'!$AI$46*'TUSD BF'!$AI$62</f>
        <v>0</v>
      </c>
      <c r="AJ46" s="13">
        <f ca="1">'TUSD BE'!$AJ$46*'TUSD BF'!$AJ$62</f>
        <v>-5.4960946370834042E-3</v>
      </c>
      <c r="AK46" s="13">
        <f ca="1">'TUSD BE'!$AK$46*'TUSD BF'!$AK$62</f>
        <v>0</v>
      </c>
      <c r="AL46" s="13">
        <f ca="1">SUM($AH$46:$AK$46)</f>
        <v>-9.9195081280007202E-2</v>
      </c>
      <c r="AM46" s="13">
        <f ca="1">SUMIF($L$4:$AL$4,"SUBTOTAL",$L$46:$AL$46)</f>
        <v>31.360309497407105</v>
      </c>
      <c r="AO46" s="26">
        <f ca="1">+'TUSD BE'!$T$46+'TUSD BE'!$AB$46+'TUSD BE'!$AD$46+'TUSD BE'!$AL$46</f>
        <v>446.09513188184229</v>
      </c>
      <c r="AP46" s="26">
        <f ca="1">+'TUSD BE'!$T$46+'TUSD BE'!$AB$46+'TUSD BE'!$AD$46+'TUSD BE'!$AL$46</f>
        <v>446.09513188184229</v>
      </c>
    </row>
    <row r="47" spans="1:42" ht="11.25" customHeight="1" x14ac:dyDescent="0.3">
      <c r="A47" s="146"/>
      <c r="B47" s="146"/>
      <c r="C47" s="146"/>
      <c r="D47" s="23" t="s">
        <v>93</v>
      </c>
      <c r="E47" s="23" t="s">
        <v>25</v>
      </c>
      <c r="F47" s="23" t="s">
        <v>25</v>
      </c>
      <c r="G47" s="24" t="s">
        <v>84</v>
      </c>
      <c r="H47" s="24" t="s">
        <v>78</v>
      </c>
      <c r="I47" s="24">
        <f>'MERCADO TUSD'!$U$44</f>
        <v>0</v>
      </c>
      <c r="J47" s="15"/>
      <c r="L47" s="13">
        <f>'TUSD BE'!$L$47*'TUSD BF'!$L$62</f>
        <v>0.22040802390293343</v>
      </c>
      <c r="M47" s="13">
        <f>'TUSD BE'!$M$47*'TUSD BF'!$M$62</f>
        <v>0</v>
      </c>
      <c r="N47" s="13">
        <f ca="1">'TUSD BE'!$N$47*'TUSD BF'!$N$62</f>
        <v>0</v>
      </c>
      <c r="O47" s="13">
        <f>'TUSD BE'!$O$47*'TUSD BF'!$O$62</f>
        <v>0</v>
      </c>
      <c r="P47" s="13">
        <f>'TUSD BE'!$P$47*'TUSD BF'!$P$62</f>
        <v>0</v>
      </c>
      <c r="Q47" s="13">
        <f>'TUSD BE'!$Q$47*'TUSD BF'!$Q$62</f>
        <v>26.590461155645137</v>
      </c>
      <c r="R47" s="13">
        <f>'TUSD BE'!$R$47*'TUSD BF'!$R$62</f>
        <v>4.6486353991390432</v>
      </c>
      <c r="S47" s="13">
        <f>'TUSD BE'!$R$47*'TUSD BF'!$S$62</f>
        <v>0</v>
      </c>
      <c r="T47" s="13">
        <f ca="1">SUM($L$47:$S$47)</f>
        <v>31.459504578687113</v>
      </c>
      <c r="U47" s="13">
        <f>'TUSD BE'!$U$47*'TUSD BF'!$U$62</f>
        <v>0</v>
      </c>
      <c r="V47" s="13">
        <f>'TUSD BE'!$V$47*'TUSD BF'!$V$62</f>
        <v>0</v>
      </c>
      <c r="W47" s="13">
        <f>'TUSD BE'!$W$47*'TUSD BF'!$W$62</f>
        <v>0</v>
      </c>
      <c r="X47" s="13">
        <f>'TUSD BE'!$X$47*'TUSD BF'!$X$62</f>
        <v>0</v>
      </c>
      <c r="Y47" s="13">
        <f>'TUSD BE'!$Y$47*'TUSD BF'!$Y$62</f>
        <v>0</v>
      </c>
      <c r="Z47" s="13">
        <f>'TUSD BE'!$Z$47*'TUSD BF'!$Z$62</f>
        <v>0</v>
      </c>
      <c r="AA47" s="13">
        <f>'TUSD BE'!$AA$47*'TUSD BF'!$AA$62</f>
        <v>0</v>
      </c>
      <c r="AB47" s="13">
        <f>SUM($U$47:$AA$47)</f>
        <v>0</v>
      </c>
      <c r="AC47" s="13">
        <f>'TUSD BE'!$AC$47*'TUSD BF'!$AC$62</f>
        <v>0</v>
      </c>
      <c r="AD47" s="13">
        <f>SUM($AC$47:$AC$47)</f>
        <v>0</v>
      </c>
      <c r="AE47" s="13">
        <f ca="1">$AO$47*$AO$59</f>
        <v>0</v>
      </c>
      <c r="AF47" s="13">
        <f ca="1">$AP$47*$AP$59</f>
        <v>0</v>
      </c>
      <c r="AG47" s="13">
        <f ca="1">SUM($AE$47:$AF$47)</f>
        <v>0</v>
      </c>
      <c r="AH47" s="13">
        <f>'TUSD BE'!$AH$47*'TUSD BF'!$AH$62</f>
        <v>-9.3698986642923796E-2</v>
      </c>
      <c r="AI47" s="13">
        <f>'TUSD BE'!$AI$47*'TUSD BF'!$AI$62</f>
        <v>0</v>
      </c>
      <c r="AJ47" s="13">
        <f ca="1">'TUSD BE'!$AJ$47*'TUSD BF'!$AJ$62</f>
        <v>-5.4960946370834042E-3</v>
      </c>
      <c r="AK47" s="13">
        <f ca="1">'TUSD BE'!$AK$47*'TUSD BF'!$AK$62</f>
        <v>0</v>
      </c>
      <c r="AL47" s="13">
        <f ca="1">SUM($AH$47:$AK$47)</f>
        <v>-9.9195081280007202E-2</v>
      </c>
      <c r="AM47" s="13">
        <f ca="1">SUMIF($L$4:$AL$4,"SUBTOTAL",$L$47:$AL$47)</f>
        <v>31.360309497407105</v>
      </c>
      <c r="AO47" s="26">
        <f ca="1">+'TUSD BE'!$T$47+'TUSD BE'!$AB$47+'TUSD BE'!$AD$47+'TUSD BE'!$AL$47</f>
        <v>446.09513188184229</v>
      </c>
      <c r="AP47" s="26">
        <f ca="1">+'TUSD BE'!$T$47+'TUSD BE'!$AB$47+'TUSD BE'!$AD$47+'TUSD BE'!$AL$47</f>
        <v>446.09513188184229</v>
      </c>
    </row>
    <row r="48" spans="1:42" ht="11.25" customHeight="1" x14ac:dyDescent="0.3">
      <c r="A48" s="146"/>
      <c r="B48" s="146"/>
      <c r="C48" s="146"/>
      <c r="D48" s="23" t="s">
        <v>94</v>
      </c>
      <c r="E48" s="23" t="s">
        <v>25</v>
      </c>
      <c r="F48" s="23" t="s">
        <v>25</v>
      </c>
      <c r="G48" s="24" t="s">
        <v>84</v>
      </c>
      <c r="H48" s="24" t="s">
        <v>78</v>
      </c>
      <c r="I48" s="24">
        <f>'MERCADO TUSD'!$U$45</f>
        <v>0</v>
      </c>
      <c r="J48" s="15"/>
      <c r="L48" s="13">
        <f>'TUSD BE'!$L$48*'TUSD BF'!$L$62</f>
        <v>0.22040802390293343</v>
      </c>
      <c r="M48" s="13">
        <f>'TUSD BE'!$M$48*'TUSD BF'!$M$62</f>
        <v>0</v>
      </c>
      <c r="N48" s="13">
        <f ca="1">'TUSD BE'!$N$48*'TUSD BF'!$N$62</f>
        <v>0</v>
      </c>
      <c r="O48" s="13">
        <f>'TUSD BE'!$O$48*'TUSD BF'!$O$62</f>
        <v>0</v>
      </c>
      <c r="P48" s="13">
        <f>'TUSD BE'!$P$48*'TUSD BF'!$P$62</f>
        <v>0</v>
      </c>
      <c r="Q48" s="13">
        <f>'TUSD BE'!$Q$48*'TUSD BF'!$Q$62</f>
        <v>26.590461155645137</v>
      </c>
      <c r="R48" s="13">
        <f>'TUSD BE'!$R$48*'TUSD BF'!$R$62</f>
        <v>4.6486353991390432</v>
      </c>
      <c r="S48" s="13">
        <f>'TUSD BE'!$R$48*'TUSD BF'!$S$62</f>
        <v>0</v>
      </c>
      <c r="T48" s="13">
        <f ca="1">SUM($L$48:$S$48)</f>
        <v>31.459504578687113</v>
      </c>
      <c r="U48" s="13">
        <f>'TUSD BE'!$U$48*'TUSD BF'!$U$62</f>
        <v>0</v>
      </c>
      <c r="V48" s="13">
        <f>'TUSD BE'!$V$48*'TUSD BF'!$V$62</f>
        <v>0</v>
      </c>
      <c r="W48" s="13">
        <f>'TUSD BE'!$W$48*'TUSD BF'!$W$62</f>
        <v>0</v>
      </c>
      <c r="X48" s="13">
        <f>'TUSD BE'!$X$48*'TUSD BF'!$X$62</f>
        <v>0</v>
      </c>
      <c r="Y48" s="13">
        <f>'TUSD BE'!$Y$48*'TUSD BF'!$Y$62</f>
        <v>0</v>
      </c>
      <c r="Z48" s="13">
        <f>'TUSD BE'!$Z$48*'TUSD BF'!$Z$62</f>
        <v>0</v>
      </c>
      <c r="AA48" s="13">
        <f>'TUSD BE'!$AA$48*'TUSD BF'!$AA$62</f>
        <v>0</v>
      </c>
      <c r="AB48" s="13">
        <f>SUM($U$48:$AA$48)</f>
        <v>0</v>
      </c>
      <c r="AC48" s="13">
        <f>'TUSD BE'!$AC$48*'TUSD BF'!$AC$62</f>
        <v>0</v>
      </c>
      <c r="AD48" s="13">
        <f>SUM($AC$48:$AC$48)</f>
        <v>0</v>
      </c>
      <c r="AE48" s="13">
        <f ca="1">$AO$48*$AO$59</f>
        <v>0</v>
      </c>
      <c r="AF48" s="13">
        <f ca="1">$AP$48*$AP$59</f>
        <v>0</v>
      </c>
      <c r="AG48" s="13">
        <f ca="1">SUM($AE$48:$AF$48)</f>
        <v>0</v>
      </c>
      <c r="AH48" s="13">
        <f>'TUSD BE'!$AH$48*'TUSD BF'!$AH$62</f>
        <v>-9.3698986642923796E-2</v>
      </c>
      <c r="AI48" s="13">
        <f>'TUSD BE'!$AI$48*'TUSD BF'!$AI$62</f>
        <v>0</v>
      </c>
      <c r="AJ48" s="13">
        <f ca="1">'TUSD BE'!$AJ$48*'TUSD BF'!$AJ$62</f>
        <v>-5.4960946370834042E-3</v>
      </c>
      <c r="AK48" s="13">
        <f ca="1">'TUSD BE'!$AK$48*'TUSD BF'!$AK$62</f>
        <v>0</v>
      </c>
      <c r="AL48" s="13">
        <f ca="1">SUM($AH$48:$AK$48)</f>
        <v>-9.9195081280007202E-2</v>
      </c>
      <c r="AM48" s="13">
        <f ca="1">SUMIF($L$4:$AL$4,"SUBTOTAL",$L$48:$AL$48)</f>
        <v>31.360309497407105</v>
      </c>
      <c r="AO48" s="26">
        <f ca="1">+'TUSD BE'!$T$48+'TUSD BE'!$AB$48+'TUSD BE'!$AD$48+'TUSD BE'!$AL$48</f>
        <v>446.09513188184229</v>
      </c>
      <c r="AP48" s="26">
        <f ca="1">+'TUSD BE'!$T$48+'TUSD BE'!$AB$48+'TUSD BE'!$AD$48+'TUSD BE'!$AL$48</f>
        <v>446.09513188184229</v>
      </c>
    </row>
    <row r="49" spans="1:42" ht="11.25" customHeight="1" x14ac:dyDescent="0.3">
      <c r="A49" s="146" t="s">
        <v>32</v>
      </c>
      <c r="B49" s="146" t="s">
        <v>38</v>
      </c>
      <c r="C49" s="146" t="s">
        <v>25</v>
      </c>
      <c r="D49" s="146" t="s">
        <v>25</v>
      </c>
      <c r="E49" s="146" t="s">
        <v>25</v>
      </c>
      <c r="F49" s="146" t="s">
        <v>25</v>
      </c>
      <c r="G49" s="24" t="s">
        <v>79</v>
      </c>
      <c r="H49" s="24" t="s">
        <v>78</v>
      </c>
      <c r="I49" s="24">
        <f>'MERCADO TUSD'!$U$46</f>
        <v>4.4679999999999991</v>
      </c>
      <c r="J49" s="15"/>
      <c r="L49" s="13">
        <f>'TUSD BE'!$L$49*'TUSD BF'!$L$62</f>
        <v>0.22040802390293343</v>
      </c>
      <c r="M49" s="13">
        <f>'TUSD BE'!$M$49*'TUSD BF'!$M$62</f>
        <v>0</v>
      </c>
      <c r="N49" s="13">
        <f ca="1">'TUSD BE'!$N$49*'TUSD BF'!$N$62</f>
        <v>0</v>
      </c>
      <c r="O49" s="13">
        <f>'TUSD BE'!$O$49*'TUSD BF'!$O$62</f>
        <v>0</v>
      </c>
      <c r="P49" s="13">
        <f>'TUSD BE'!$P$49*'TUSD BF'!$P$62</f>
        <v>0</v>
      </c>
      <c r="Q49" s="13">
        <f>'TUSD BE'!$Q$49*'TUSD BF'!$Q$62</f>
        <v>26.590461155645137</v>
      </c>
      <c r="R49" s="13">
        <f>'TUSD BE'!$R$49*'TUSD BF'!$R$62</f>
        <v>4.6486353991390432</v>
      </c>
      <c r="S49" s="13">
        <f>'TUSD BE'!$R$49*'TUSD BF'!$S$62</f>
        <v>0</v>
      </c>
      <c r="T49" s="13">
        <f ca="1">SUM($L$49:$S$49)</f>
        <v>31.459504578687113</v>
      </c>
      <c r="U49" s="13">
        <f>'TUSD BE'!$U$49*'TUSD BF'!$U$62</f>
        <v>0</v>
      </c>
      <c r="V49" s="13">
        <f>'TUSD BE'!$V$49*'TUSD BF'!$V$62</f>
        <v>0</v>
      </c>
      <c r="W49" s="13">
        <f>'TUSD BE'!$W$49*'TUSD BF'!$W$62</f>
        <v>0</v>
      </c>
      <c r="X49" s="13">
        <f>'TUSD BE'!$X$49*'TUSD BF'!$X$62</f>
        <v>0</v>
      </c>
      <c r="Y49" s="13">
        <f>'TUSD BE'!$Y$49*'TUSD BF'!$Y$62</f>
        <v>0</v>
      </c>
      <c r="Z49" s="13">
        <f>'TUSD BE'!$Z$49*'TUSD BF'!$Z$62</f>
        <v>0</v>
      </c>
      <c r="AA49" s="13">
        <f>'TUSD BE'!$AA$49*'TUSD BF'!$AA$62</f>
        <v>0</v>
      </c>
      <c r="AB49" s="13">
        <f>SUM($U$49:$AA$49)</f>
        <v>0</v>
      </c>
      <c r="AC49" s="13">
        <f>'TUSD BE'!$AC$49*'TUSD BF'!$AC$62</f>
        <v>0</v>
      </c>
      <c r="AD49" s="13">
        <f>SUM($AC$49:$AC$49)</f>
        <v>0</v>
      </c>
      <c r="AE49" s="13">
        <f ca="1">$AO$49*$AO$59</f>
        <v>0</v>
      </c>
      <c r="AF49" s="13">
        <f ca="1">$AP$49*$AP$59</f>
        <v>0</v>
      </c>
      <c r="AG49" s="13">
        <f ca="1">SUM($AE$49:$AF$49)</f>
        <v>0</v>
      </c>
      <c r="AH49" s="13">
        <f>'TUSD BE'!$AH$49*'TUSD BF'!$AH$62</f>
        <v>-9.3698986642923796E-2</v>
      </c>
      <c r="AI49" s="13">
        <f>'TUSD BE'!$AI$49*'TUSD BF'!$AI$62</f>
        <v>0</v>
      </c>
      <c r="AJ49" s="13">
        <f ca="1">'TUSD BE'!$AJ$49*'TUSD BF'!$AJ$62</f>
        <v>-5.4960946370834042E-3</v>
      </c>
      <c r="AK49" s="13">
        <f ca="1">'TUSD BE'!$AK$49*'TUSD BF'!$AK$62</f>
        <v>0</v>
      </c>
      <c r="AL49" s="13">
        <f ca="1">SUM($AH$49:$AK$49)</f>
        <v>-9.9195081280007202E-2</v>
      </c>
      <c r="AM49" s="13">
        <f ca="1">SUMIF($L$4:$AL$4,"SUBTOTAL",$L$49:$AL$49)</f>
        <v>31.360309497407105</v>
      </c>
      <c r="AO49" s="26">
        <f ca="1">+'TUSD BE'!$T$49+'TUSD BE'!$AB$49+'TUSD BE'!$AD$49+'TUSD BE'!$AL$49</f>
        <v>2354.9365936423769</v>
      </c>
      <c r="AP49" s="26">
        <f ca="1">+'TUSD BE'!$T$49+'TUSD BE'!$AB$49+'TUSD BE'!$AD$49+'TUSD BE'!$AL$49</f>
        <v>2354.9365936423769</v>
      </c>
    </row>
    <row r="50" spans="1:42" ht="11.25" customHeight="1" x14ac:dyDescent="0.3">
      <c r="A50" s="146"/>
      <c r="B50" s="146"/>
      <c r="C50" s="146"/>
      <c r="D50" s="146"/>
      <c r="E50" s="146"/>
      <c r="F50" s="146"/>
      <c r="G50" s="24" t="s">
        <v>89</v>
      </c>
      <c r="H50" s="24" t="s">
        <v>78</v>
      </c>
      <c r="I50" s="24">
        <f>'MERCADO TUSD'!$U$47</f>
        <v>4.7860000000000005</v>
      </c>
      <c r="J50" s="15"/>
      <c r="L50" s="13">
        <f>'TUSD BE'!$L$50*'TUSD BF'!$L$62</f>
        <v>0.22040802390293343</v>
      </c>
      <c r="M50" s="13">
        <f>'TUSD BE'!$M$50*'TUSD BF'!$M$62</f>
        <v>0</v>
      </c>
      <c r="N50" s="13">
        <f ca="1">'TUSD BE'!$N$50*'TUSD BF'!$N$62</f>
        <v>0</v>
      </c>
      <c r="O50" s="13">
        <f>'TUSD BE'!$O$50*'TUSD BF'!$O$62</f>
        <v>0</v>
      </c>
      <c r="P50" s="13">
        <f>'TUSD BE'!$P$50*'TUSD BF'!$P$62</f>
        <v>0</v>
      </c>
      <c r="Q50" s="13">
        <f>'TUSD BE'!$Q$50*'TUSD BF'!$Q$62</f>
        <v>26.590461155645137</v>
      </c>
      <c r="R50" s="13">
        <f>'TUSD BE'!$R$50*'TUSD BF'!$R$62</f>
        <v>4.6486353991390432</v>
      </c>
      <c r="S50" s="13">
        <f>'TUSD BE'!$R$50*'TUSD BF'!$S$62</f>
        <v>0</v>
      </c>
      <c r="T50" s="13">
        <f ca="1">SUM($L$50:$S$50)</f>
        <v>31.459504578687113</v>
      </c>
      <c r="U50" s="13">
        <f>'TUSD BE'!$U$50*'TUSD BF'!$U$62</f>
        <v>0</v>
      </c>
      <c r="V50" s="13">
        <f>'TUSD BE'!$V$50*'TUSD BF'!$V$62</f>
        <v>0</v>
      </c>
      <c r="W50" s="13">
        <f>'TUSD BE'!$W$50*'TUSD BF'!$W$62</f>
        <v>0</v>
      </c>
      <c r="X50" s="13">
        <f>'TUSD BE'!$X$50*'TUSD BF'!$X$62</f>
        <v>0</v>
      </c>
      <c r="Y50" s="13">
        <f>'TUSD BE'!$Y$50*'TUSD BF'!$Y$62</f>
        <v>0</v>
      </c>
      <c r="Z50" s="13">
        <f>'TUSD BE'!$Z$50*'TUSD BF'!$Z$62</f>
        <v>0</v>
      </c>
      <c r="AA50" s="13">
        <f>'TUSD BE'!$AA$50*'TUSD BF'!$AA$62</f>
        <v>0</v>
      </c>
      <c r="AB50" s="13">
        <f>SUM($U$50:$AA$50)</f>
        <v>0</v>
      </c>
      <c r="AC50" s="13">
        <f>'TUSD BE'!$AC$50*'TUSD BF'!$AC$62</f>
        <v>0</v>
      </c>
      <c r="AD50" s="13">
        <f>SUM($AC$50:$AC$50)</f>
        <v>0</v>
      </c>
      <c r="AE50" s="13">
        <f ca="1">$AO$50*$AO$59</f>
        <v>0</v>
      </c>
      <c r="AF50" s="13">
        <f ca="1">$AP$50*$AP$59</f>
        <v>0</v>
      </c>
      <c r="AG50" s="13">
        <f ca="1">SUM($AE$50:$AF$50)</f>
        <v>0</v>
      </c>
      <c r="AH50" s="13">
        <f>'TUSD BE'!$AH$50*'TUSD BF'!$AH$62</f>
        <v>-9.3698986642923796E-2</v>
      </c>
      <c r="AI50" s="13">
        <f>'TUSD BE'!$AI$50*'TUSD BF'!$AI$62</f>
        <v>0</v>
      </c>
      <c r="AJ50" s="13">
        <f ca="1">'TUSD BE'!$AJ$50*'TUSD BF'!$AJ$62</f>
        <v>-5.4960946370834042E-3</v>
      </c>
      <c r="AK50" s="13">
        <f ca="1">'TUSD BE'!$AK$50*'TUSD BF'!$AK$62</f>
        <v>0</v>
      </c>
      <c r="AL50" s="13">
        <f ca="1">SUM($AH$50:$AK$50)</f>
        <v>-9.9195081280007202E-2</v>
      </c>
      <c r="AM50" s="13">
        <f ca="1">SUMIF($L$4:$AL$4,"SUBTOTAL",$L$50:$AL$50)</f>
        <v>31.360309497407105</v>
      </c>
      <c r="AO50" s="26">
        <f ca="1">+'TUSD BE'!$T$50+'TUSD BE'!$AB$50+'TUSD BE'!$AD$50+'TUSD BE'!$AL$50</f>
        <v>690.32041607725762</v>
      </c>
      <c r="AP50" s="26">
        <f ca="1">+'TUSD BE'!$T$50+'TUSD BE'!$AB$50+'TUSD BE'!$AD$50+'TUSD BE'!$AL$50</f>
        <v>690.32041607725762</v>
      </c>
    </row>
    <row r="51" spans="1:42" ht="11.25" customHeight="1" x14ac:dyDescent="0.3">
      <c r="A51" s="146"/>
      <c r="B51" s="146"/>
      <c r="C51" s="146"/>
      <c r="D51" s="146"/>
      <c r="E51" s="146"/>
      <c r="F51" s="146"/>
      <c r="G51" s="24" t="s">
        <v>80</v>
      </c>
      <c r="H51" s="24" t="s">
        <v>78</v>
      </c>
      <c r="I51" s="24">
        <f>'MERCADO TUSD'!$U$48</f>
        <v>153.63399999999999</v>
      </c>
      <c r="J51" s="15"/>
      <c r="L51" s="13">
        <f>'TUSD BE'!$L$51*'TUSD BF'!$L$62</f>
        <v>0.22040802390293343</v>
      </c>
      <c r="M51" s="13">
        <f>'TUSD BE'!$M$51*'TUSD BF'!$M$62</f>
        <v>0</v>
      </c>
      <c r="N51" s="13">
        <f ca="1">'TUSD BE'!$N$51*'TUSD BF'!$N$62</f>
        <v>0</v>
      </c>
      <c r="O51" s="13">
        <f>'TUSD BE'!$O$51*'TUSD BF'!$O$62</f>
        <v>0</v>
      </c>
      <c r="P51" s="13">
        <f>'TUSD BE'!$P$51*'TUSD BF'!$P$62</f>
        <v>0</v>
      </c>
      <c r="Q51" s="13">
        <f>'TUSD BE'!$Q$51*'TUSD BF'!$Q$62</f>
        <v>26.590461155645137</v>
      </c>
      <c r="R51" s="13">
        <f>'TUSD BE'!$R$51*'TUSD BF'!$R$62</f>
        <v>4.6486353991390432</v>
      </c>
      <c r="S51" s="13">
        <f>'TUSD BE'!$R$51*'TUSD BF'!$S$62</f>
        <v>0</v>
      </c>
      <c r="T51" s="13">
        <f ca="1">SUM($L$51:$S$51)</f>
        <v>31.459504578687113</v>
      </c>
      <c r="U51" s="13">
        <f>'TUSD BE'!$U$51*'TUSD BF'!$U$62</f>
        <v>0</v>
      </c>
      <c r="V51" s="13">
        <f>'TUSD BE'!$V$51*'TUSD BF'!$V$62</f>
        <v>0</v>
      </c>
      <c r="W51" s="13">
        <f>'TUSD BE'!$W$51*'TUSD BF'!$W$62</f>
        <v>0</v>
      </c>
      <c r="X51" s="13">
        <f>'TUSD BE'!$X$51*'TUSD BF'!$X$62</f>
        <v>0</v>
      </c>
      <c r="Y51" s="13">
        <f>'TUSD BE'!$Y$51*'TUSD BF'!$Y$62</f>
        <v>0</v>
      </c>
      <c r="Z51" s="13">
        <f>'TUSD BE'!$Z$51*'TUSD BF'!$Z$62</f>
        <v>0</v>
      </c>
      <c r="AA51" s="13">
        <f>'TUSD BE'!$AA$51*'TUSD BF'!$AA$62</f>
        <v>0</v>
      </c>
      <c r="AB51" s="13">
        <f>SUM($U$51:$AA$51)</f>
        <v>0</v>
      </c>
      <c r="AC51" s="13">
        <f>'TUSD BE'!$AC$51*'TUSD BF'!$AC$62</f>
        <v>0</v>
      </c>
      <c r="AD51" s="13">
        <f>SUM($AC$51:$AC$51)</f>
        <v>0</v>
      </c>
      <c r="AE51" s="13">
        <f ca="1">$AO$51*$AO$59</f>
        <v>0</v>
      </c>
      <c r="AF51" s="13">
        <f ca="1">$AP$51*$AP$59</f>
        <v>0</v>
      </c>
      <c r="AG51" s="13">
        <f ca="1">SUM($AE$51:$AF$51)</f>
        <v>0</v>
      </c>
      <c r="AH51" s="13">
        <f>'TUSD BE'!$AH$51*'TUSD BF'!$AH$62</f>
        <v>-9.3698986642923796E-2</v>
      </c>
      <c r="AI51" s="13">
        <f>'TUSD BE'!$AI$51*'TUSD BF'!$AI$62</f>
        <v>0</v>
      </c>
      <c r="AJ51" s="13">
        <f ca="1">'TUSD BE'!$AJ$51*'TUSD BF'!$AJ$62</f>
        <v>-5.4960946370834042E-3</v>
      </c>
      <c r="AK51" s="13">
        <f ca="1">'TUSD BE'!$AK$51*'TUSD BF'!$AK$62</f>
        <v>0</v>
      </c>
      <c r="AL51" s="13">
        <f ca="1">SUM($AH$51:$AK$51)</f>
        <v>-9.9195081280007202E-2</v>
      </c>
      <c r="AM51" s="13">
        <f ca="1">SUMIF($L$4:$AL$4,"SUBTOTAL",$L$51:$AL$51)</f>
        <v>31.360309497407105</v>
      </c>
      <c r="AO51" s="26">
        <f ca="1">+'TUSD BE'!$T$51+'TUSD BE'!$AB$51+'TUSD BE'!$AD$51+'TUSD BE'!$AL$51</f>
        <v>302.22177761904345</v>
      </c>
      <c r="AP51" s="26">
        <f ca="1">+'TUSD BE'!$T$51+'TUSD BE'!$AB$51+'TUSD BE'!$AD$51+'TUSD BE'!$AL$51</f>
        <v>302.22177761904345</v>
      </c>
    </row>
    <row r="52" spans="1:42" ht="11.25" customHeight="1" x14ac:dyDescent="0.3">
      <c r="A52" s="146"/>
      <c r="B52" s="23" t="s">
        <v>23</v>
      </c>
      <c r="C52" s="23" t="s">
        <v>25</v>
      </c>
      <c r="D52" s="23" t="s">
        <v>25</v>
      </c>
      <c r="E52" s="23" t="s">
        <v>25</v>
      </c>
      <c r="F52" s="23" t="s">
        <v>25</v>
      </c>
      <c r="G52" s="24" t="s">
        <v>84</v>
      </c>
      <c r="H52" s="24" t="s">
        <v>78</v>
      </c>
      <c r="I52" s="24">
        <f>'MERCADO TUSD'!$U$49</f>
        <v>6434.8159999999998</v>
      </c>
      <c r="J52" s="15"/>
      <c r="L52" s="13">
        <f>'TUSD BE'!$L$52*'TUSD BF'!$L$62</f>
        <v>0.22040802390293343</v>
      </c>
      <c r="M52" s="13">
        <f>'TUSD BE'!$M$52*'TUSD BF'!$M$62</f>
        <v>0</v>
      </c>
      <c r="N52" s="13">
        <f ca="1">'TUSD BE'!$N$52*'TUSD BF'!$N$62</f>
        <v>0</v>
      </c>
      <c r="O52" s="13">
        <f>'TUSD BE'!$O$52*'TUSD BF'!$O$62</f>
        <v>0</v>
      </c>
      <c r="P52" s="13">
        <f>'TUSD BE'!$P$52*'TUSD BF'!$P$62</f>
        <v>0</v>
      </c>
      <c r="Q52" s="13">
        <f>'TUSD BE'!$Q$52*'TUSD BF'!$Q$62</f>
        <v>26.590461155645137</v>
      </c>
      <c r="R52" s="13">
        <f>'TUSD BE'!$R$52*'TUSD BF'!$R$62</f>
        <v>4.6486353991390432</v>
      </c>
      <c r="S52" s="13">
        <f>'TUSD BE'!$R$52*'TUSD BF'!$S$62</f>
        <v>0</v>
      </c>
      <c r="T52" s="13">
        <f ca="1">SUM($L$52:$S$52)</f>
        <v>31.459504578687113</v>
      </c>
      <c r="U52" s="13">
        <f>'TUSD BE'!$U$52*'TUSD BF'!$U$62</f>
        <v>0</v>
      </c>
      <c r="V52" s="13">
        <f>'TUSD BE'!$V$52*'TUSD BF'!$V$62</f>
        <v>0</v>
      </c>
      <c r="W52" s="13">
        <f>'TUSD BE'!$W$52*'TUSD BF'!$W$62</f>
        <v>0</v>
      </c>
      <c r="X52" s="13">
        <f>'TUSD BE'!$X$52*'TUSD BF'!$X$62</f>
        <v>0</v>
      </c>
      <c r="Y52" s="13">
        <f>'TUSD BE'!$Y$52*'TUSD BF'!$Y$62</f>
        <v>0</v>
      </c>
      <c r="Z52" s="13">
        <f>'TUSD BE'!$Z$52*'TUSD BF'!$Z$62</f>
        <v>0</v>
      </c>
      <c r="AA52" s="13">
        <f>'TUSD BE'!$AA$52*'TUSD BF'!$AA$62</f>
        <v>0</v>
      </c>
      <c r="AB52" s="13">
        <f>SUM($U$52:$AA$52)</f>
        <v>0</v>
      </c>
      <c r="AC52" s="13">
        <f>'TUSD BE'!$AC$52*'TUSD BF'!$AC$62</f>
        <v>0</v>
      </c>
      <c r="AD52" s="13">
        <f>SUM($AC$52:$AC$52)</f>
        <v>0</v>
      </c>
      <c r="AE52" s="13">
        <f ca="1">$AO$52*$AO$59</f>
        <v>0</v>
      </c>
      <c r="AF52" s="13">
        <f ca="1">$AP$52*$AP$59</f>
        <v>0</v>
      </c>
      <c r="AG52" s="13">
        <f ca="1">SUM($AE$52:$AF$52)</f>
        <v>0</v>
      </c>
      <c r="AH52" s="13">
        <f>'TUSD BE'!$AH$52*'TUSD BF'!$AH$62</f>
        <v>-9.3698986642923796E-2</v>
      </c>
      <c r="AI52" s="13">
        <f>'TUSD BE'!$AI$52*'TUSD BF'!$AI$62</f>
        <v>0</v>
      </c>
      <c r="AJ52" s="13">
        <f ca="1">'TUSD BE'!$AJ$52*'TUSD BF'!$AJ$62</f>
        <v>-5.4960946370834042E-3</v>
      </c>
      <c r="AK52" s="13">
        <f ca="1">'TUSD BE'!$AK$52*'TUSD BF'!$AK$62</f>
        <v>0</v>
      </c>
      <c r="AL52" s="13">
        <f ca="1">SUM($AH$52:$AK$52)</f>
        <v>-9.9195081280007202E-2</v>
      </c>
      <c r="AM52" s="13">
        <f ca="1">SUMIF($L$4:$AL$4,"SUBTOTAL",$L$52:$AL$52)</f>
        <v>31.360309497407105</v>
      </c>
      <c r="AO52" s="26">
        <f ca="1">+'TUSD BE'!$T$52+'TUSD BE'!$AB$52+'TUSD BE'!$AD$52+'TUSD BE'!$AL$52</f>
        <v>446.09513188184229</v>
      </c>
      <c r="AP52" s="26">
        <f ca="1">+'TUSD BE'!$T$52+'TUSD BE'!$AB$52+'TUSD BE'!$AD$52+'TUSD BE'!$AL$52</f>
        <v>446.09513188184229</v>
      </c>
    </row>
    <row r="53" spans="1:42" ht="11.25" customHeight="1" x14ac:dyDescent="0.3">
      <c r="A53" s="146"/>
      <c r="B53" s="23" t="s">
        <v>92</v>
      </c>
      <c r="C53" s="23" t="s">
        <v>25</v>
      </c>
      <c r="D53" s="23" t="s">
        <v>25</v>
      </c>
      <c r="E53" s="23" t="s">
        <v>25</v>
      </c>
      <c r="F53" s="23" t="s">
        <v>25</v>
      </c>
      <c r="G53" s="24" t="s">
        <v>84</v>
      </c>
      <c r="H53" s="24" t="s">
        <v>78</v>
      </c>
      <c r="I53" s="24">
        <f>'MERCADO TUSD'!$U$50</f>
        <v>0</v>
      </c>
      <c r="J53" s="15"/>
      <c r="L53" s="13">
        <f>'TUSD BE'!$L$53*'TUSD BF'!$L$62</f>
        <v>0.22040802390293343</v>
      </c>
      <c r="M53" s="13">
        <f>'TUSD BE'!$M$53*'TUSD BF'!$M$62</f>
        <v>0</v>
      </c>
      <c r="N53" s="13">
        <f ca="1">'TUSD BE'!$N$53*'TUSD BF'!$N$62</f>
        <v>0</v>
      </c>
      <c r="O53" s="13">
        <f>'TUSD BE'!$O$53*'TUSD BF'!$O$62</f>
        <v>0</v>
      </c>
      <c r="P53" s="13">
        <f>'TUSD BE'!$P$53*'TUSD BF'!$P$62</f>
        <v>0</v>
      </c>
      <c r="Q53" s="13">
        <f>'TUSD BE'!$Q$53*'TUSD BF'!$Q$62</f>
        <v>26.590461155645137</v>
      </c>
      <c r="R53" s="13">
        <f>'TUSD BE'!$R$53*'TUSD BF'!$R$62</f>
        <v>4.6486353991390432</v>
      </c>
      <c r="S53" s="13">
        <f>'TUSD BE'!$R$53*'TUSD BF'!$S$62</f>
        <v>0</v>
      </c>
      <c r="T53" s="13">
        <f ca="1">SUM($L$53:$S$53)</f>
        <v>31.459504578687113</v>
      </c>
      <c r="U53" s="13">
        <f>'TUSD BE'!$U$53*'TUSD BF'!$U$62</f>
        <v>0</v>
      </c>
      <c r="V53" s="13">
        <f>'TUSD BE'!$V$53*'TUSD BF'!$V$62</f>
        <v>0</v>
      </c>
      <c r="W53" s="13">
        <f>'TUSD BE'!$W$53*'TUSD BF'!$W$62</f>
        <v>0</v>
      </c>
      <c r="X53" s="13">
        <f>'TUSD BE'!$X$53*'TUSD BF'!$X$62</f>
        <v>0</v>
      </c>
      <c r="Y53" s="13">
        <f>'TUSD BE'!$Y$53*'TUSD BF'!$Y$62</f>
        <v>0</v>
      </c>
      <c r="Z53" s="13">
        <f>'TUSD BE'!$Z$53*'TUSD BF'!$Z$62</f>
        <v>0</v>
      </c>
      <c r="AA53" s="13">
        <f>'TUSD BE'!$AA$53*'TUSD BF'!$AA$62</f>
        <v>0</v>
      </c>
      <c r="AB53" s="13">
        <f>SUM($U$53:$AA$53)</f>
        <v>0</v>
      </c>
      <c r="AC53" s="13">
        <f>'TUSD BE'!$AC$53*'TUSD BF'!$AC$62</f>
        <v>0</v>
      </c>
      <c r="AD53" s="13">
        <f>SUM($AC$53:$AC$53)</f>
        <v>0</v>
      </c>
      <c r="AE53" s="13">
        <f ca="1">$AO$53*$AO$59</f>
        <v>0</v>
      </c>
      <c r="AF53" s="13">
        <f ca="1">$AP$53*$AP$59</f>
        <v>0</v>
      </c>
      <c r="AG53" s="13">
        <f ca="1">SUM($AE$53:$AF$53)</f>
        <v>0</v>
      </c>
      <c r="AH53" s="13">
        <f>'TUSD BE'!$AH$53*'TUSD BF'!$AH$62</f>
        <v>-9.3698986642923796E-2</v>
      </c>
      <c r="AI53" s="13">
        <f>'TUSD BE'!$AI$53*'TUSD BF'!$AI$62</f>
        <v>0</v>
      </c>
      <c r="AJ53" s="13">
        <f ca="1">'TUSD BE'!$AJ$53*'TUSD BF'!$AJ$62</f>
        <v>-5.4960946370834042E-3</v>
      </c>
      <c r="AK53" s="13">
        <f ca="1">'TUSD BE'!$AK$53*'TUSD BF'!$AK$62</f>
        <v>0</v>
      </c>
      <c r="AL53" s="13">
        <f ca="1">SUM($AH$53:$AK$53)</f>
        <v>-9.9195081280007202E-2</v>
      </c>
      <c r="AM53" s="13">
        <f ca="1">SUMIF($L$4:$AL$4,"SUBTOTAL",$L$53:$AL$53)</f>
        <v>31.360309497407105</v>
      </c>
      <c r="AO53" s="26">
        <f ca="1">+'TUSD BE'!$T$53+'TUSD BE'!$AB$53+'TUSD BE'!$AD$53+'TUSD BE'!$AL$53</f>
        <v>446.09513188184229</v>
      </c>
      <c r="AP53" s="26">
        <f ca="1">+'TUSD BE'!$T$53+'TUSD BE'!$AB$53+'TUSD BE'!$AD$53+'TUSD BE'!$AL$53</f>
        <v>446.09513188184229</v>
      </c>
    </row>
    <row r="54" spans="1:42" ht="11.25" customHeight="1" x14ac:dyDescent="0.3">
      <c r="A54" s="146" t="s">
        <v>44</v>
      </c>
      <c r="B54" s="146" t="s">
        <v>23</v>
      </c>
      <c r="C54" s="146" t="s">
        <v>45</v>
      </c>
      <c r="D54" s="23" t="s">
        <v>46</v>
      </c>
      <c r="E54" s="23" t="s">
        <v>25</v>
      </c>
      <c r="F54" s="23" t="s">
        <v>25</v>
      </c>
      <c r="G54" s="24" t="s">
        <v>84</v>
      </c>
      <c r="H54" s="24" t="s">
        <v>78</v>
      </c>
      <c r="I54" s="24">
        <f>'MERCADO TUSD'!$U$51</f>
        <v>2415.7070000000003</v>
      </c>
      <c r="J54" s="15"/>
      <c r="L54" s="13">
        <f>'TUSD BE'!$L$54*'TUSD BF'!$L$62</f>
        <v>0.12122441314661338</v>
      </c>
      <c r="M54" s="13">
        <f>'TUSD BE'!$M$54*'TUSD BF'!$M$62</f>
        <v>0</v>
      </c>
      <c r="N54" s="13">
        <f ca="1">'TUSD BE'!$N$54*'TUSD BF'!$N$62</f>
        <v>0</v>
      </c>
      <c r="O54" s="13">
        <f>'TUSD BE'!$O$54*'TUSD BF'!$O$62</f>
        <v>0</v>
      </c>
      <c r="P54" s="13">
        <f>'TUSD BE'!$P$54*'TUSD BF'!$P$62</f>
        <v>0</v>
      </c>
      <c r="Q54" s="13">
        <f>'TUSD BE'!$Q$54*'TUSD BF'!$Q$62</f>
        <v>14.624753635604828</v>
      </c>
      <c r="R54" s="13">
        <f>'TUSD BE'!$R$54*'TUSD BF'!$R$62</f>
        <v>2.5567494695264741</v>
      </c>
      <c r="S54" s="13">
        <f>'TUSD BE'!$R$54*'TUSD BF'!$S$62</f>
        <v>0</v>
      </c>
      <c r="T54" s="13">
        <f ca="1">SUM($L$54:$S$54)</f>
        <v>17.302727518277916</v>
      </c>
      <c r="U54" s="13">
        <f>'TUSD BE'!$U$54*'TUSD BF'!$U$62</f>
        <v>0</v>
      </c>
      <c r="V54" s="13">
        <f>'TUSD BE'!$V$54*'TUSD BF'!$V$62</f>
        <v>0</v>
      </c>
      <c r="W54" s="13">
        <f>'TUSD BE'!$W$54*'TUSD BF'!$W$62</f>
        <v>0</v>
      </c>
      <c r="X54" s="13">
        <f>'TUSD BE'!$X$54*'TUSD BF'!$X$62</f>
        <v>0</v>
      </c>
      <c r="Y54" s="13">
        <f>'TUSD BE'!$Y$54*'TUSD BF'!$Y$62</f>
        <v>0</v>
      </c>
      <c r="Z54" s="13">
        <f>'TUSD BE'!$Z$54*'TUSD BF'!$Z$62</f>
        <v>0</v>
      </c>
      <c r="AA54" s="13">
        <f>'TUSD BE'!$AA$54*'TUSD BF'!$AA$62</f>
        <v>0</v>
      </c>
      <c r="AB54" s="13">
        <f>SUM($U$54:$AA$54)</f>
        <v>0</v>
      </c>
      <c r="AC54" s="13">
        <f>'TUSD BE'!$AC$54*'TUSD BF'!$AC$62</f>
        <v>0</v>
      </c>
      <c r="AD54" s="13">
        <f>SUM($AC$54:$AC$54)</f>
        <v>0</v>
      </c>
      <c r="AE54" s="13">
        <f ca="1">$AO$54*$AO$59</f>
        <v>0</v>
      </c>
      <c r="AF54" s="13">
        <f ca="1">$AP$54*$AP$59</f>
        <v>0</v>
      </c>
      <c r="AG54" s="13">
        <f ca="1">SUM($AE$54:$AF$54)</f>
        <v>0</v>
      </c>
      <c r="AH54" s="13">
        <f>'TUSD BE'!$AH$54*'TUSD BF'!$AH$62</f>
        <v>-5.1534442653608098E-2</v>
      </c>
      <c r="AI54" s="13">
        <f>'TUSD BE'!$AI$54*'TUSD BF'!$AI$62</f>
        <v>0</v>
      </c>
      <c r="AJ54" s="13">
        <f ca="1">'TUSD BE'!$AJ$54*'TUSD BF'!$AJ$62</f>
        <v>-3.0228520503958727E-3</v>
      </c>
      <c r="AK54" s="13">
        <f ca="1">'TUSD BE'!$AK$54*'TUSD BF'!$AK$62</f>
        <v>0</v>
      </c>
      <c r="AL54" s="13">
        <f ca="1">SUM($AH$54:$AK$54)</f>
        <v>-5.4557294704003972E-2</v>
      </c>
      <c r="AM54" s="13">
        <f ca="1">SUMIF($L$4:$AL$4,"SUBTOTAL",$L$54:$AL$54)</f>
        <v>17.248170223573911</v>
      </c>
      <c r="AO54" s="26">
        <f ca="1">+'TUSD BE'!$T$54+'TUSD BE'!$AB$54+'TUSD BE'!$AD$54+'TUSD BE'!$AL$54</f>
        <v>245.35232253501329</v>
      </c>
      <c r="AP54" s="26">
        <f ca="1">+'TUSD BE'!$T$54+'TUSD BE'!$AB$54+'TUSD BE'!$AD$54+'TUSD BE'!$AL$54</f>
        <v>245.35232253501329</v>
      </c>
    </row>
    <row r="55" spans="1:42" ht="11.25" customHeight="1" x14ac:dyDescent="0.3">
      <c r="A55" s="146"/>
      <c r="B55" s="146"/>
      <c r="C55" s="146"/>
      <c r="D55" s="24" t="s">
        <v>95</v>
      </c>
      <c r="E55" s="24" t="s">
        <v>25</v>
      </c>
      <c r="F55" s="24" t="s">
        <v>25</v>
      </c>
      <c r="G55" s="24" t="s">
        <v>84</v>
      </c>
      <c r="H55" s="24" t="s">
        <v>78</v>
      </c>
      <c r="I55" s="24">
        <f>'MERCADO TUSD'!$U$52</f>
        <v>0</v>
      </c>
      <c r="J55" s="15"/>
      <c r="L55" s="13">
        <f>'TUSD BE'!$L$55*'TUSD BF'!$L$62</f>
        <v>0.13224481434176005</v>
      </c>
      <c r="M55" s="13">
        <f>'TUSD BE'!$M$55*'TUSD BF'!$M$62</f>
        <v>0</v>
      </c>
      <c r="N55" s="13">
        <f ca="1">'TUSD BE'!$N$55*'TUSD BF'!$N$62</f>
        <v>0</v>
      </c>
      <c r="O55" s="13">
        <f>'TUSD BE'!$O$55*'TUSD BF'!$O$62</f>
        <v>0</v>
      </c>
      <c r="P55" s="13">
        <f>'TUSD BE'!$P$55*'TUSD BF'!$P$62</f>
        <v>0</v>
      </c>
      <c r="Q55" s="13">
        <f>'TUSD BE'!$Q$55*'TUSD BF'!$Q$62</f>
        <v>15.954276693387083</v>
      </c>
      <c r="R55" s="13">
        <f>'TUSD BE'!$R$55*'TUSD BF'!$R$62</f>
        <v>2.7891812394834261</v>
      </c>
      <c r="S55" s="13">
        <f>'TUSD BE'!$R$55*'TUSD BF'!$S$62</f>
        <v>0</v>
      </c>
      <c r="T55" s="13">
        <f ca="1">SUM($L$55:$S$55)</f>
        <v>18.875702747212269</v>
      </c>
      <c r="U55" s="13">
        <f>'TUSD BE'!$U$55*'TUSD BF'!$U$62</f>
        <v>0</v>
      </c>
      <c r="V55" s="13">
        <f>'TUSD BE'!$V$55*'TUSD BF'!$V$62</f>
        <v>0</v>
      </c>
      <c r="W55" s="13">
        <f>'TUSD BE'!$W$55*'TUSD BF'!$W$62</f>
        <v>0</v>
      </c>
      <c r="X55" s="13">
        <f>'TUSD BE'!$X$55*'TUSD BF'!$X$62</f>
        <v>0</v>
      </c>
      <c r="Y55" s="13">
        <f>'TUSD BE'!$Y$55*'TUSD BF'!$Y$62</f>
        <v>0</v>
      </c>
      <c r="Z55" s="13">
        <f>'TUSD BE'!$Z$55*'TUSD BF'!$Z$62</f>
        <v>0</v>
      </c>
      <c r="AA55" s="13">
        <f>'TUSD BE'!$AA$55*'TUSD BF'!$AA$62</f>
        <v>0</v>
      </c>
      <c r="AB55" s="13">
        <f>SUM($U$55:$AA$55)</f>
        <v>0</v>
      </c>
      <c r="AC55" s="13">
        <f>'TUSD BE'!$AC$55*'TUSD BF'!$AC$62</f>
        <v>0</v>
      </c>
      <c r="AD55" s="13">
        <f>SUM($AC$55:$AC$55)</f>
        <v>0</v>
      </c>
      <c r="AE55" s="13">
        <f ca="1">$AO$55*$AO$59</f>
        <v>0</v>
      </c>
      <c r="AF55" s="13">
        <f ca="1">$AP$55*$AP$59</f>
        <v>0</v>
      </c>
      <c r="AG55" s="13">
        <f ca="1">SUM($AE$55:$AF$55)</f>
        <v>0</v>
      </c>
      <c r="AH55" s="13">
        <f>'TUSD BE'!$AH$55*'TUSD BF'!$AH$62</f>
        <v>-5.621939198575427E-2</v>
      </c>
      <c r="AI55" s="13">
        <f>'TUSD BE'!$AI$55*'TUSD BF'!$AI$62</f>
        <v>0</v>
      </c>
      <c r="AJ55" s="13">
        <f ca="1">'TUSD BE'!$AJ$55*'TUSD BF'!$AJ$62</f>
        <v>-3.2976567822500425E-3</v>
      </c>
      <c r="AK55" s="13">
        <f ca="1">'TUSD BE'!$AK$55*'TUSD BF'!$AK$62</f>
        <v>0</v>
      </c>
      <c r="AL55" s="13">
        <f ca="1">SUM($AH$55:$AK$55)</f>
        <v>-5.9517048768004316E-2</v>
      </c>
      <c r="AM55" s="13">
        <f ca="1">SUMIF($L$4:$AL$4,"SUBTOTAL",$L$55:$AL$55)</f>
        <v>18.816185698444265</v>
      </c>
      <c r="AO55" s="26">
        <f ca="1">+'TUSD BE'!$T$55+'TUSD BE'!$AB$55+'TUSD BE'!$AD$55+'TUSD BE'!$AL$55</f>
        <v>267.65707912910534</v>
      </c>
      <c r="AP55" s="26">
        <f ca="1">+'TUSD BE'!$T$55+'TUSD BE'!$AB$55+'TUSD BE'!$AD$55+'TUSD BE'!$AL$55</f>
        <v>267.65707912910534</v>
      </c>
    </row>
    <row r="57" spans="1:42" ht="11.25" customHeight="1" x14ac:dyDescent="0.3">
      <c r="K57" s="16" t="s">
        <v>597</v>
      </c>
      <c r="L57" s="13">
        <f>SUMPRODUCT($I$5:$I55,$L$5:$L55)</f>
        <v>19749.453488121711</v>
      </c>
      <c r="M57" s="13">
        <f>SUMPRODUCT($I$5:$I55,$M$5:$M55)</f>
        <v>0</v>
      </c>
      <c r="N57" s="13">
        <f ca="1">SUMPRODUCT($I$5:$I55,$N$5:$N55)</f>
        <v>0</v>
      </c>
      <c r="O57" s="13">
        <f>SUMPRODUCT($I$5:$I55,$O$5:$O55)</f>
        <v>0</v>
      </c>
      <c r="P57" s="13">
        <f>SUMPRODUCT($I$5:$I55,$P$5:$P55)</f>
        <v>0</v>
      </c>
      <c r="Q57" s="13">
        <f>SUMPRODUCT($I$5:$I55,$Q$5:$Q55)</f>
        <v>2382613.2393999994</v>
      </c>
      <c r="R57" s="13">
        <f>SUMPRODUCT($I$5:$I55,$R$5:$R55)</f>
        <v>485196.48459999991</v>
      </c>
      <c r="S57" s="13">
        <f>SUMPRODUCT($I$5:$I55,$S$5:$S55)</f>
        <v>0</v>
      </c>
      <c r="T57" s="13">
        <f ca="1">SUMPRODUCT($I$5:$I55,$T$5:$T55)</f>
        <v>2887559.1774881212</v>
      </c>
      <c r="U57" s="13">
        <f>SUMPRODUCT($I$5:$I55,$U$5:$U55)</f>
        <v>0</v>
      </c>
      <c r="V57" s="13">
        <f>SUMPRODUCT($I$5:$I55,$V$5:$V55)</f>
        <v>0</v>
      </c>
      <c r="W57" s="13">
        <f>SUMPRODUCT($I$5:$I55,$W$5:$W55)</f>
        <v>0</v>
      </c>
      <c r="X57" s="13">
        <f>SUMPRODUCT($I$5:$I55,$X$5:$X55)</f>
        <v>0</v>
      </c>
      <c r="Y57" s="13">
        <f>SUMPRODUCT($I$5:$I55,$Y$5:$Y55)</f>
        <v>0</v>
      </c>
      <c r="Z57" s="13">
        <f>SUMPRODUCT($I$5:$I55,$Z$5:$Z55)</f>
        <v>0</v>
      </c>
      <c r="AA57" s="13">
        <f>SUMPRODUCT($I$5:$I55,$AA$5:$AA55)</f>
        <v>0</v>
      </c>
      <c r="AB57" s="13">
        <f>SUMPRODUCT($I$5:$I55,$AB$5:$AB55)</f>
        <v>0</v>
      </c>
      <c r="AC57" s="13">
        <f>SUMPRODUCT($I$5:$I55,$AC$5:$AC55)</f>
        <v>0</v>
      </c>
      <c r="AD57" s="13">
        <f>SUMPRODUCT($I$5:$I55,$AD$5:$AD55)</f>
        <v>0</v>
      </c>
      <c r="AE57" s="13">
        <f ca="1">SUMPRODUCT($I$5:$I55,$AE$5:$AE55)</f>
        <v>0</v>
      </c>
      <c r="AF57" s="13">
        <f ca="1">SUMPRODUCT($I$5:$I55,$AF$5:$AF55)</f>
        <v>0</v>
      </c>
      <c r="AG57" s="13">
        <f ca="1">SUMPRODUCT($I$5:$I55,$AG$5:$AG55)</f>
        <v>0</v>
      </c>
      <c r="AH57" s="13">
        <f>SUMPRODUCT($I$5:$I55,$AH$5:$AH55)</f>
        <v>-4873.4265082228931</v>
      </c>
      <c r="AI57" s="13">
        <f>SUMPRODUCT($I$5:$I55,$AI$5:$AI55)</f>
        <v>0</v>
      </c>
      <c r="AJ57" s="13">
        <f ca="1">SUMPRODUCT($I$5:$I55,$AJ$5:$AJ55)</f>
        <v>-405.81713522475604</v>
      </c>
      <c r="AK57" s="13">
        <f ca="1">SUMPRODUCT($I$5:$I55,$AK$5:$AK55)</f>
        <v>0</v>
      </c>
      <c r="AL57" s="13">
        <f ca="1">SUMPRODUCT($I$5:$I55,$AL$5:$AL55)</f>
        <v>-5279.2436434476494</v>
      </c>
      <c r="AM57" s="13">
        <f ca="1">SUMPRODUCT($I$5:$I55,$AM$5:$AM55)</f>
        <v>2882279.9338446739</v>
      </c>
      <c r="AO57" s="24">
        <f ca="1">SUMPRODUCT($I$5:$I55,$AO$5:$AO55)</f>
        <v>31916997.341438912</v>
      </c>
      <c r="AP57" s="24">
        <f ca="1">SUMPRODUCT($I$5:$I55,$AP$5:$AP55)</f>
        <v>31916997.341438912</v>
      </c>
    </row>
    <row r="58" spans="1:42" ht="11.25" customHeight="1" x14ac:dyDescent="0.3">
      <c r="K58" s="16" t="s">
        <v>529</v>
      </c>
      <c r="L58" s="13">
        <f>'TR TUSD'!$L$60</f>
        <v>223863.69726668682</v>
      </c>
      <c r="M58" s="13">
        <f>'TR TUSD'!$M$60</f>
        <v>37401.046408800925</v>
      </c>
      <c r="N58" s="13">
        <f>'TR TUSD'!$N$60</f>
        <v>215481.70395079016</v>
      </c>
      <c r="O58" s="13">
        <f>'TR TUSD'!$O$60</f>
        <v>0</v>
      </c>
      <c r="P58" s="13">
        <f>'TR TUSD'!$P$60</f>
        <v>0</v>
      </c>
      <c r="Q58" s="13">
        <f>'TR TUSD'!$Q$60</f>
        <v>9226276.0333921351</v>
      </c>
      <c r="R58" s="13">
        <f>'TR TUSD'!$R$60</f>
        <v>1583418.4495755318</v>
      </c>
      <c r="S58" s="13">
        <f>'TR TUSD'!$S$60</f>
        <v>0</v>
      </c>
      <c r="T58" s="13">
        <f>'TR TUSD'!$T$60</f>
        <v>11286440.930593945</v>
      </c>
      <c r="U58" s="13">
        <f>'TR TUSD'!$U$60</f>
        <v>0</v>
      </c>
      <c r="V58" s="13">
        <f>'TR TUSD'!$V$60</f>
        <v>0</v>
      </c>
      <c r="W58" s="13">
        <f>'TR TUSD'!$W$60</f>
        <v>0</v>
      </c>
      <c r="X58" s="13">
        <f>'TR TUSD'!$X$60</f>
        <v>0</v>
      </c>
      <c r="Y58" s="13">
        <f>'TR TUSD'!$Y$60</f>
        <v>10891768.12284</v>
      </c>
      <c r="Z58" s="13">
        <f>'TR TUSD'!$Z$60</f>
        <v>0</v>
      </c>
      <c r="AA58" s="13">
        <f>'TR TUSD'!$AA$60</f>
        <v>0</v>
      </c>
      <c r="AB58" s="13">
        <f>'TR TUSD'!$AB$60</f>
        <v>10891768.12284</v>
      </c>
      <c r="AC58" s="13">
        <f>'TR TUSD'!$AC$60</f>
        <v>8469705.5289164912</v>
      </c>
      <c r="AD58" s="13">
        <f>'TR TUSD'!$AD$60</f>
        <v>8469705.5289164912</v>
      </c>
      <c r="AE58" s="13">
        <f>'TR TUSD'!$AE$60</f>
        <v>0</v>
      </c>
      <c r="AF58" s="13">
        <f>'TR TUSD'!$AF$60</f>
        <v>0</v>
      </c>
      <c r="AG58" s="13">
        <f>'TR TUSD'!$AG$60</f>
        <v>0</v>
      </c>
      <c r="AH58" s="13">
        <f>'TR TUSD'!$AH$60</f>
        <v>1159041.4804804064</v>
      </c>
      <c r="AI58" s="13">
        <f>'TR TUSD'!$AI$60</f>
        <v>0</v>
      </c>
      <c r="AJ58" s="13">
        <f>'TR TUSD'!$AJ$60</f>
        <v>96515.027449698071</v>
      </c>
      <c r="AK58" s="13">
        <f>'TR TUSD'!$AK$60</f>
        <v>13526.251158373994</v>
      </c>
      <c r="AL58" s="13">
        <f>'TR TUSD'!$AL$60</f>
        <v>1269082.7590884785</v>
      </c>
      <c r="AM58" s="13">
        <f>CUSTOS!$D$29</f>
        <v>31916997.341438919</v>
      </c>
      <c r="AO58" s="24">
        <f>$AE$60</f>
        <v>0</v>
      </c>
      <c r="AP58" s="24">
        <f>$AF$60</f>
        <v>0</v>
      </c>
    </row>
    <row r="59" spans="1:42" ht="11.25" customHeight="1" x14ac:dyDescent="0.3">
      <c r="K59" s="16" t="s">
        <v>530</v>
      </c>
      <c r="L59" s="13">
        <f>CUSTOS!$E$2</f>
        <v>10378.311592162874</v>
      </c>
      <c r="M59" s="13">
        <f>CUSTOS!$E$3</f>
        <v>1324.1358760511275</v>
      </c>
      <c r="N59" s="13">
        <f>CUSTOS!$E$4</f>
        <v>9.2580247132896643E-2</v>
      </c>
      <c r="O59" s="13">
        <f>CUSTOS!$E$5</f>
        <v>0</v>
      </c>
      <c r="P59" s="13">
        <f>CUSTOS!$E$6</f>
        <v>0</v>
      </c>
      <c r="Q59" s="13">
        <f>CUSTOS!$E$7</f>
        <v>357707.65707963798</v>
      </c>
      <c r="R59" s="13">
        <f>CUSTOS!$E$8</f>
        <v>48154.83858257212</v>
      </c>
      <c r="S59" s="13">
        <f>CUSTOS!$E$9</f>
        <v>0</v>
      </c>
      <c r="T59" s="13">
        <f>CUSTOS!$E$10</f>
        <v>417565.03571067122</v>
      </c>
      <c r="U59" s="13">
        <f>CUSTOS!$E$11</f>
        <v>0</v>
      </c>
      <c r="V59" s="13">
        <f>CUSTOS!$E$12</f>
        <v>0</v>
      </c>
      <c r="W59" s="13">
        <f>CUSTOS!$E$13</f>
        <v>0</v>
      </c>
      <c r="X59" s="13">
        <f>CUSTOS!$E$14</f>
        <v>0</v>
      </c>
      <c r="Y59" s="13">
        <f>CUSTOS!$E$15</f>
        <v>819327.43694699625</v>
      </c>
      <c r="Z59" s="13">
        <f>CUSTOS!$E$16</f>
        <v>0</v>
      </c>
      <c r="AA59" s="13">
        <f>CUSTOS!$E$17</f>
        <v>0</v>
      </c>
      <c r="AB59" s="13">
        <f>CUSTOS!$E$18</f>
        <v>819327.43694699625</v>
      </c>
      <c r="AC59" s="13">
        <f>CUSTOS!$E$19</f>
        <v>342.52470297332911</v>
      </c>
      <c r="AD59" s="13">
        <f>CUSTOS!$E$20</f>
        <v>342.52470297332911</v>
      </c>
      <c r="AE59" s="13">
        <f>CUSTOS!$E$21</f>
        <v>-1253845.4490363225</v>
      </c>
      <c r="AF59" s="13">
        <f>CUSTOS!$E$22</f>
        <v>0</v>
      </c>
      <c r="AG59" s="13">
        <f>CUSTOS!$E$23</f>
        <v>-1253845.4490363225</v>
      </c>
      <c r="AH59" s="13">
        <f>CUSTOS!$E$24</f>
        <v>5035.6402843084979</v>
      </c>
      <c r="AI59" s="13">
        <f>CUSTOS!$E$25</f>
        <v>0</v>
      </c>
      <c r="AJ59" s="13">
        <f>CUSTOS!$E$26</f>
        <v>419.32490635744438</v>
      </c>
      <c r="AK59" s="13">
        <f>CUSTOS!$E$27</f>
        <v>1029.5345376711853</v>
      </c>
      <c r="AL59" s="13">
        <f>CUSTOS!$E$28</f>
        <v>6484.4997283371267</v>
      </c>
      <c r="AM59" s="13">
        <f>CUSTOS!$E$29</f>
        <v>-10125.951947344503</v>
      </c>
      <c r="AO59" s="24">
        <f ca="1">IF(AO57&lt;&gt;0,AO58/AO57,0)</f>
        <v>0</v>
      </c>
      <c r="AP59" s="24">
        <f ca="1">IF(AP57&lt;&gt;0,AP58/AP57,0)</f>
        <v>0</v>
      </c>
    </row>
    <row r="60" spans="1:42" ht="11.25" customHeight="1" x14ac:dyDescent="0.3">
      <c r="K60" s="16" t="s">
        <v>531</v>
      </c>
      <c r="L60" s="13">
        <f>CUSTOS!$F$2</f>
        <v>19749.453488121715</v>
      </c>
      <c r="M60" s="13">
        <f>CUSTOS!$F$3</f>
        <v>0</v>
      </c>
      <c r="N60" s="13">
        <f>CUSTOS!$F$4</f>
        <v>0</v>
      </c>
      <c r="O60" s="13">
        <f>CUSTOS!$F$5</f>
        <v>0</v>
      </c>
      <c r="P60" s="13">
        <f>CUSTOS!$F$6</f>
        <v>0</v>
      </c>
      <c r="Q60" s="13">
        <f>CUSTOS!$F$7</f>
        <v>2382613.2393999998</v>
      </c>
      <c r="R60" s="13">
        <f>CUSTOS!$F$8</f>
        <v>485196.48460000003</v>
      </c>
      <c r="S60" s="13">
        <f>CUSTOS!$F$9</f>
        <v>0</v>
      </c>
      <c r="T60" s="13">
        <f>CUSTOS!$F$10</f>
        <v>2887559.1774881217</v>
      </c>
      <c r="U60" s="13">
        <f>CUSTOS!$F$11</f>
        <v>0</v>
      </c>
      <c r="V60" s="13">
        <f>CUSTOS!$F$12</f>
        <v>0</v>
      </c>
      <c r="W60" s="13">
        <f>CUSTOS!$F$13</f>
        <v>0</v>
      </c>
      <c r="X60" s="13">
        <f>CUSTOS!$F$14</f>
        <v>0</v>
      </c>
      <c r="Y60" s="13">
        <f>CUSTOS!$F$15</f>
        <v>0</v>
      </c>
      <c r="Z60" s="13">
        <f>CUSTOS!$F$16</f>
        <v>0</v>
      </c>
      <c r="AA60" s="13">
        <f>CUSTOS!$F$17</f>
        <v>0</v>
      </c>
      <c r="AB60" s="13">
        <f>CUSTOS!$F$18</f>
        <v>0</v>
      </c>
      <c r="AC60" s="13">
        <f>CUSTOS!$F$19</f>
        <v>0</v>
      </c>
      <c r="AD60" s="13">
        <f>CUSTOS!$F$20</f>
        <v>0</v>
      </c>
      <c r="AE60" s="13">
        <f>CUSTOS!$F$21</f>
        <v>0</v>
      </c>
      <c r="AF60" s="13">
        <f>CUSTOS!$F$22</f>
        <v>0</v>
      </c>
      <c r="AG60" s="13">
        <f>CUSTOS!$F$23</f>
        <v>0</v>
      </c>
      <c r="AH60" s="13">
        <f>CUSTOS!$F$24</f>
        <v>-4873.4265082228922</v>
      </c>
      <c r="AI60" s="13">
        <f>CUSTOS!$F$25</f>
        <v>0</v>
      </c>
      <c r="AJ60" s="13">
        <f>CUSTOS!$F$26</f>
        <v>-405.8171352247561</v>
      </c>
      <c r="AK60" s="13">
        <f>CUSTOS!$F$27</f>
        <v>0</v>
      </c>
      <c r="AL60" s="13">
        <f>CUSTOS!$F$28</f>
        <v>-5279.2436434476485</v>
      </c>
      <c r="AM60" s="13">
        <f>CUSTOS!$F$29</f>
        <v>2882279.9338446739</v>
      </c>
    </row>
    <row r="61" spans="1:42" ht="11.25" customHeight="1" x14ac:dyDescent="0.3">
      <c r="K61" s="16" t="s">
        <v>594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/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/>
      <c r="AC61" s="13">
        <v>0</v>
      </c>
      <c r="AD61" s="13"/>
      <c r="AE61" s="13">
        <v>0</v>
      </c>
      <c r="AF61" s="13">
        <v>0</v>
      </c>
      <c r="AG61" s="13"/>
      <c r="AH61" s="13">
        <v>0</v>
      </c>
      <c r="AI61" s="13">
        <v>0</v>
      </c>
      <c r="AJ61" s="13">
        <v>0</v>
      </c>
      <c r="AK61" s="13">
        <v>0</v>
      </c>
      <c r="AL61" s="13"/>
      <c r="AM61" s="13"/>
    </row>
  </sheetData>
  <mergeCells count="79">
    <mergeCell ref="B1:B4"/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E14:E16"/>
    <mergeCell ref="AE3:AG3"/>
    <mergeCell ref="AH3:AL3"/>
    <mergeCell ref="AM3:AM4"/>
    <mergeCell ref="A5:A8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M1"/>
    <mergeCell ref="A1:A4"/>
    <mergeCell ref="F14:F16"/>
    <mergeCell ref="E17:E18"/>
    <mergeCell ref="F17:F18"/>
    <mergeCell ref="A19:A20"/>
    <mergeCell ref="B19:B20"/>
    <mergeCell ref="C19:C20"/>
    <mergeCell ref="D19:D20"/>
    <mergeCell ref="A9:A18"/>
    <mergeCell ref="B9:B12"/>
    <mergeCell ref="C9:C12"/>
    <mergeCell ref="D9:D12"/>
    <mergeCell ref="E9:E11"/>
    <mergeCell ref="F9:F11"/>
    <mergeCell ref="B14:B18"/>
    <mergeCell ref="C14:C18"/>
    <mergeCell ref="D14:D18"/>
    <mergeCell ref="F21:F23"/>
    <mergeCell ref="B24:B28"/>
    <mergeCell ref="C24:C28"/>
    <mergeCell ref="B29:B33"/>
    <mergeCell ref="C29:C33"/>
    <mergeCell ref="A21:A33"/>
    <mergeCell ref="B21:B23"/>
    <mergeCell ref="C21:C23"/>
    <mergeCell ref="D21:D23"/>
    <mergeCell ref="E21:E23"/>
    <mergeCell ref="D42:D44"/>
    <mergeCell ref="E42:E44"/>
    <mergeCell ref="F42:F44"/>
    <mergeCell ref="D34:D36"/>
    <mergeCell ref="E34:E36"/>
    <mergeCell ref="F34:F36"/>
    <mergeCell ref="D38:D40"/>
    <mergeCell ref="E38:E40"/>
    <mergeCell ref="F38:F40"/>
    <mergeCell ref="B46:B48"/>
    <mergeCell ref="C46:C48"/>
    <mergeCell ref="A49:A53"/>
    <mergeCell ref="B49:B51"/>
    <mergeCell ref="C49:C51"/>
    <mergeCell ref="A34:A48"/>
    <mergeCell ref="B34:B36"/>
    <mergeCell ref="C34:C36"/>
    <mergeCell ref="B42:B44"/>
    <mergeCell ref="C42:C44"/>
    <mergeCell ref="B38:B40"/>
    <mergeCell ref="C38:C40"/>
    <mergeCell ref="E49:E51"/>
    <mergeCell ref="F49:F51"/>
    <mergeCell ref="A54:A55"/>
    <mergeCell ref="B54:B55"/>
    <mergeCell ref="C54:C55"/>
    <mergeCell ref="D49:D51"/>
  </mergeCells>
  <conditionalFormatting sqref="L57">
    <cfRule type="cellIs" dxfId="1070" priority="55" operator="notEqual">
      <formula>$L$60</formula>
    </cfRule>
    <cfRule type="cellIs" dxfId="1069" priority="56" operator="equal">
      <formula>$L$60</formula>
    </cfRule>
  </conditionalFormatting>
  <conditionalFormatting sqref="M57">
    <cfRule type="cellIs" dxfId="1068" priority="53" operator="notEqual">
      <formula>$M$60</formula>
    </cfRule>
    <cfRule type="cellIs" dxfId="1067" priority="54" operator="equal">
      <formula>$M$60</formula>
    </cfRule>
  </conditionalFormatting>
  <conditionalFormatting sqref="N57">
    <cfRule type="cellIs" dxfId="1066" priority="51" operator="notEqual">
      <formula>$N$60</formula>
    </cfRule>
    <cfRule type="cellIs" dxfId="1065" priority="52" operator="equal">
      <formula>$N$60</formula>
    </cfRule>
  </conditionalFormatting>
  <conditionalFormatting sqref="O57">
    <cfRule type="cellIs" dxfId="1064" priority="49" operator="notEqual">
      <formula>$O$60</formula>
    </cfRule>
    <cfRule type="cellIs" dxfId="1063" priority="50" operator="equal">
      <formula>$O$60</formula>
    </cfRule>
  </conditionalFormatting>
  <conditionalFormatting sqref="P57">
    <cfRule type="cellIs" dxfId="1062" priority="47" operator="notEqual">
      <formula>$P$60</formula>
    </cfRule>
    <cfRule type="cellIs" dxfId="1061" priority="48" operator="equal">
      <formula>$P$60</formula>
    </cfRule>
  </conditionalFormatting>
  <conditionalFormatting sqref="Q57">
    <cfRule type="cellIs" dxfId="1060" priority="45" operator="notEqual">
      <formula>$Q$60</formula>
    </cfRule>
    <cfRule type="cellIs" dxfId="1059" priority="46" operator="equal">
      <formula>$Q$60</formula>
    </cfRule>
  </conditionalFormatting>
  <conditionalFormatting sqref="R57">
    <cfRule type="cellIs" dxfId="1058" priority="43" operator="notEqual">
      <formula>$R$60</formula>
    </cfRule>
    <cfRule type="cellIs" dxfId="1057" priority="44" operator="equal">
      <formula>$R$60</formula>
    </cfRule>
  </conditionalFormatting>
  <conditionalFormatting sqref="S57">
    <cfRule type="cellIs" dxfId="1056" priority="41" operator="notEqual">
      <formula>$S$60</formula>
    </cfRule>
    <cfRule type="cellIs" dxfId="1055" priority="42" operator="equal">
      <formula>$S$60</formula>
    </cfRule>
  </conditionalFormatting>
  <conditionalFormatting sqref="T57">
    <cfRule type="cellIs" dxfId="1054" priority="39" operator="notEqual">
      <formula>$T$60</formula>
    </cfRule>
    <cfRule type="cellIs" dxfId="1053" priority="40" operator="equal">
      <formula>$T$60</formula>
    </cfRule>
  </conditionalFormatting>
  <conditionalFormatting sqref="U57">
    <cfRule type="cellIs" dxfId="1052" priority="37" operator="notEqual">
      <formula>$U$60</formula>
    </cfRule>
    <cfRule type="cellIs" dxfId="1051" priority="38" operator="equal">
      <formula>$U$60</formula>
    </cfRule>
  </conditionalFormatting>
  <conditionalFormatting sqref="V57">
    <cfRule type="cellIs" dxfId="1050" priority="35" operator="notEqual">
      <formula>$V$60</formula>
    </cfRule>
    <cfRule type="cellIs" dxfId="1049" priority="36" operator="equal">
      <formula>$V$60</formula>
    </cfRule>
  </conditionalFormatting>
  <conditionalFormatting sqref="W57">
    <cfRule type="cellIs" dxfId="1048" priority="33" operator="notEqual">
      <formula>$W$60</formula>
    </cfRule>
    <cfRule type="cellIs" dxfId="1047" priority="34" operator="equal">
      <formula>$W$60</formula>
    </cfRule>
  </conditionalFormatting>
  <conditionalFormatting sqref="X57">
    <cfRule type="cellIs" dxfId="1046" priority="31" operator="notEqual">
      <formula>$X$60</formula>
    </cfRule>
    <cfRule type="cellIs" dxfId="1045" priority="32" operator="equal">
      <formula>$X$60</formula>
    </cfRule>
  </conditionalFormatting>
  <conditionalFormatting sqref="Y57">
    <cfRule type="cellIs" dxfId="1044" priority="29" operator="notEqual">
      <formula>$Y$60</formula>
    </cfRule>
    <cfRule type="cellIs" dxfId="1043" priority="30" operator="equal">
      <formula>$Y$60</formula>
    </cfRule>
  </conditionalFormatting>
  <conditionalFormatting sqref="Z57">
    <cfRule type="cellIs" dxfId="1042" priority="27" operator="notEqual">
      <formula>$Z$60</formula>
    </cfRule>
    <cfRule type="cellIs" dxfId="1041" priority="28" operator="equal">
      <formula>$Z$60</formula>
    </cfRule>
  </conditionalFormatting>
  <conditionalFormatting sqref="AA57">
    <cfRule type="cellIs" dxfId="1040" priority="25" operator="notEqual">
      <formula>$AA$60</formula>
    </cfRule>
    <cfRule type="cellIs" dxfId="1039" priority="26" operator="equal">
      <formula>$AA$60</formula>
    </cfRule>
  </conditionalFormatting>
  <conditionalFormatting sqref="AB57">
    <cfRule type="cellIs" dxfId="1038" priority="23" operator="notEqual">
      <formula>$AB$60</formula>
    </cfRule>
    <cfRule type="cellIs" dxfId="1037" priority="24" operator="equal">
      <formula>$AB$60</formula>
    </cfRule>
  </conditionalFormatting>
  <conditionalFormatting sqref="AC57">
    <cfRule type="cellIs" dxfId="1036" priority="21" operator="notEqual">
      <formula>$AC$60</formula>
    </cfRule>
    <cfRule type="cellIs" dxfId="1035" priority="22" operator="equal">
      <formula>$AC$60</formula>
    </cfRule>
  </conditionalFormatting>
  <conditionalFormatting sqref="AD57">
    <cfRule type="cellIs" dxfId="1034" priority="19" operator="notEqual">
      <formula>$AD$60</formula>
    </cfRule>
    <cfRule type="cellIs" dxfId="1033" priority="20" operator="equal">
      <formula>$AD$60</formula>
    </cfRule>
  </conditionalFormatting>
  <conditionalFormatting sqref="AE57">
    <cfRule type="cellIs" dxfId="1032" priority="17" operator="notEqual">
      <formula>$AE$60</formula>
    </cfRule>
    <cfRule type="cellIs" dxfId="1031" priority="18" operator="equal">
      <formula>$AE$60</formula>
    </cfRule>
  </conditionalFormatting>
  <conditionalFormatting sqref="AF57">
    <cfRule type="cellIs" dxfId="1030" priority="16" operator="equal">
      <formula>$AF$60</formula>
    </cfRule>
  </conditionalFormatting>
  <conditionalFormatting sqref="AF57">
    <cfRule type="cellIs" dxfId="1029" priority="15" operator="notEqual">
      <formula>$AF$60</formula>
    </cfRule>
  </conditionalFormatting>
  <conditionalFormatting sqref="AG57">
    <cfRule type="cellIs" dxfId="1028" priority="14" operator="equal">
      <formula>$AG$60</formula>
    </cfRule>
  </conditionalFormatting>
  <conditionalFormatting sqref="AG57">
    <cfRule type="cellIs" dxfId="1027" priority="13" operator="notEqual">
      <formula>$AG$60</formula>
    </cfRule>
  </conditionalFormatting>
  <conditionalFormatting sqref="AH57">
    <cfRule type="cellIs" dxfId="1026" priority="12" operator="equal">
      <formula>$AH$60</formula>
    </cfRule>
  </conditionalFormatting>
  <conditionalFormatting sqref="AH57">
    <cfRule type="cellIs" dxfId="1025" priority="11" operator="notEqual">
      <formula>$AH$60</formula>
    </cfRule>
  </conditionalFormatting>
  <conditionalFormatting sqref="AI57">
    <cfRule type="cellIs" dxfId="1024" priority="10" operator="equal">
      <formula>$AI$60</formula>
    </cfRule>
  </conditionalFormatting>
  <conditionalFormatting sqref="AI57">
    <cfRule type="cellIs" dxfId="1023" priority="9" operator="notEqual">
      <formula>$AI$60</formula>
    </cfRule>
  </conditionalFormatting>
  <conditionalFormatting sqref="AJ57">
    <cfRule type="cellIs" dxfId="1022" priority="8" operator="equal">
      <formula>$AJ$60</formula>
    </cfRule>
  </conditionalFormatting>
  <conditionalFormatting sqref="AJ57">
    <cfRule type="cellIs" dxfId="1021" priority="7" operator="notEqual">
      <formula>$AJ$60</formula>
    </cfRule>
  </conditionalFormatting>
  <conditionalFormatting sqref="AK57">
    <cfRule type="cellIs" dxfId="1020" priority="6" operator="equal">
      <formula>$AK$60</formula>
    </cfRule>
  </conditionalFormatting>
  <conditionalFormatting sqref="AK57">
    <cfRule type="cellIs" dxfId="1019" priority="5" operator="notEqual">
      <formula>$AK$60</formula>
    </cfRule>
  </conditionalFormatting>
  <conditionalFormatting sqref="AL57">
    <cfRule type="cellIs" dxfId="1018" priority="4" operator="equal">
      <formula>$AL$60</formula>
    </cfRule>
  </conditionalFormatting>
  <conditionalFormatting sqref="AL57">
    <cfRule type="cellIs" dxfId="1017" priority="3" operator="notEqual">
      <formula>$AL$60</formula>
    </cfRule>
  </conditionalFormatting>
  <conditionalFormatting sqref="AM57">
    <cfRule type="cellIs" dxfId="1016" priority="2" operator="equal">
      <formula>$AM$60</formula>
    </cfRule>
  </conditionalFormatting>
  <conditionalFormatting sqref="AM57">
    <cfRule type="cellIs" dxfId="1015" priority="1" operator="notEqual">
      <formula>$AM$60</formula>
    </cfRule>
  </conditionalFormatting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4CC49-ABF7-43F5-B53E-4AABD9FBD44C}">
  <dimension ref="A1:AB51"/>
  <sheetViews>
    <sheetView showGridLines="0" topLeftCell="A28" workbookViewId="0">
      <selection activeCell="K45" sqref="K45:AB51"/>
    </sheetView>
  </sheetViews>
  <sheetFormatPr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9" width="7.109375" style="9" bestFit="1" customWidth="1"/>
    <col min="10" max="10" width="8.88671875" style="9"/>
    <col min="11" max="11" width="19.88671875" style="9" bestFit="1" customWidth="1"/>
    <col min="12" max="14" width="7.109375" style="9" bestFit="1" customWidth="1"/>
    <col min="15" max="15" width="10.33203125" style="9" bestFit="1" customWidth="1"/>
    <col min="16" max="16" width="7.6640625" style="9" bestFit="1" customWidth="1"/>
    <col min="17" max="17" width="8.5546875" style="9" bestFit="1" customWidth="1"/>
    <col min="18" max="18" width="14.44140625" style="9" bestFit="1" customWidth="1"/>
    <col min="19" max="19" width="9.109375" style="9" bestFit="1" customWidth="1"/>
    <col min="20" max="20" width="7.109375" style="9" bestFit="1" customWidth="1"/>
    <col min="21" max="21" width="9.77734375" style="9" bestFit="1" customWidth="1"/>
    <col min="22" max="22" width="7.109375" style="9" bestFit="1" customWidth="1"/>
    <col min="23" max="23" width="8.5546875" style="9" bestFit="1" customWidth="1"/>
    <col min="24" max="24" width="8.33203125" style="9" bestFit="1" customWidth="1"/>
    <col min="25" max="25" width="8.5546875" style="9" bestFit="1" customWidth="1"/>
    <col min="26" max="26" width="10.5546875" style="9" bestFit="1" customWidth="1"/>
    <col min="27" max="27" width="8.5546875" style="9" bestFit="1" customWidth="1"/>
    <col min="28" max="28" width="9.109375" style="9" bestFit="1" customWidth="1"/>
    <col min="29" max="16384" width="8.88671875" style="9"/>
  </cols>
  <sheetData>
    <row r="1" spans="1:28" ht="11.25" customHeight="1" x14ac:dyDescent="0.3">
      <c r="A1" s="152" t="s">
        <v>68</v>
      </c>
      <c r="B1" s="152" t="s">
        <v>69</v>
      </c>
      <c r="C1" s="152" t="s">
        <v>70</v>
      </c>
      <c r="D1" s="152" t="s">
        <v>71</v>
      </c>
      <c r="E1" s="152" t="s">
        <v>72</v>
      </c>
      <c r="F1" s="152" t="s">
        <v>15</v>
      </c>
      <c r="G1" s="152" t="s">
        <v>74</v>
      </c>
      <c r="H1" s="152" t="s">
        <v>75</v>
      </c>
      <c r="I1" s="152" t="s">
        <v>588</v>
      </c>
      <c r="J1" s="134"/>
      <c r="L1" s="153" t="s">
        <v>609</v>
      </c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153"/>
      <c r="AB1" s="153"/>
    </row>
    <row r="2" spans="1:28" ht="11.25" customHeight="1" x14ac:dyDescent="0.3">
      <c r="A2" s="152"/>
      <c r="B2" s="152"/>
      <c r="C2" s="152"/>
      <c r="D2" s="152"/>
      <c r="E2" s="152"/>
      <c r="F2" s="152"/>
      <c r="G2" s="152"/>
      <c r="H2" s="152"/>
      <c r="I2" s="152"/>
      <c r="J2" s="134"/>
      <c r="L2" s="153" t="s">
        <v>515</v>
      </c>
      <c r="M2" s="153"/>
      <c r="N2" s="153"/>
      <c r="O2" s="153"/>
      <c r="P2" s="153"/>
      <c r="Q2" s="153"/>
      <c r="R2" s="153"/>
      <c r="S2" s="153"/>
      <c r="T2" s="153"/>
      <c r="U2" s="153"/>
      <c r="V2" s="153"/>
      <c r="W2" s="153"/>
      <c r="X2" s="153"/>
      <c r="Y2" s="153"/>
      <c r="Z2" s="153"/>
      <c r="AA2" s="153"/>
      <c r="AB2" s="153"/>
    </row>
    <row r="3" spans="1:28" ht="11.25" customHeight="1" x14ac:dyDescent="0.3">
      <c r="A3" s="152"/>
      <c r="B3" s="152"/>
      <c r="C3" s="152"/>
      <c r="D3" s="152"/>
      <c r="E3" s="152"/>
      <c r="F3" s="152"/>
      <c r="G3" s="152"/>
      <c r="H3" s="152"/>
      <c r="I3" s="152"/>
      <c r="J3" s="134"/>
      <c r="L3" s="153" t="s">
        <v>488</v>
      </c>
      <c r="M3" s="153"/>
      <c r="N3" s="153"/>
      <c r="O3" s="153"/>
      <c r="P3" s="153"/>
      <c r="Q3" s="153"/>
      <c r="R3" s="153" t="s">
        <v>519</v>
      </c>
      <c r="S3" s="153"/>
      <c r="T3" s="153" t="s">
        <v>497</v>
      </c>
      <c r="U3" s="153"/>
      <c r="V3" s="153"/>
      <c r="W3" s="153"/>
      <c r="X3" s="153" t="s">
        <v>507</v>
      </c>
      <c r="Y3" s="153"/>
      <c r="Z3" s="153" t="s">
        <v>510</v>
      </c>
      <c r="AA3" s="153"/>
      <c r="AB3" s="153" t="s">
        <v>496</v>
      </c>
    </row>
    <row r="4" spans="1:28" ht="11.25" customHeight="1" x14ac:dyDescent="0.3">
      <c r="A4" s="152"/>
      <c r="B4" s="152"/>
      <c r="C4" s="152"/>
      <c r="D4" s="152"/>
      <c r="E4" s="152"/>
      <c r="F4" s="152"/>
      <c r="G4" s="152"/>
      <c r="H4" s="152"/>
      <c r="I4" s="152"/>
      <c r="J4" s="134"/>
      <c r="L4" s="30" t="s">
        <v>490</v>
      </c>
      <c r="M4" s="30" t="s">
        <v>516</v>
      </c>
      <c r="N4" s="30" t="s">
        <v>517</v>
      </c>
      <c r="O4" s="30" t="s">
        <v>576</v>
      </c>
      <c r="P4" s="30" t="s">
        <v>518</v>
      </c>
      <c r="Q4" s="30" t="s">
        <v>496</v>
      </c>
      <c r="R4" s="30" t="s">
        <v>520</v>
      </c>
      <c r="S4" s="30" t="s">
        <v>496</v>
      </c>
      <c r="T4" s="30" t="s">
        <v>521</v>
      </c>
      <c r="U4" s="30" t="s">
        <v>522</v>
      </c>
      <c r="V4" s="30" t="s">
        <v>523</v>
      </c>
      <c r="W4" s="30" t="s">
        <v>496</v>
      </c>
      <c r="X4" s="30" t="s">
        <v>508</v>
      </c>
      <c r="Y4" s="30" t="s">
        <v>496</v>
      </c>
      <c r="Z4" s="30" t="s">
        <v>524</v>
      </c>
      <c r="AA4" s="30" t="s">
        <v>496</v>
      </c>
      <c r="AB4" s="154"/>
    </row>
    <row r="5" spans="1:28" ht="11.25" customHeight="1" x14ac:dyDescent="0.3">
      <c r="A5" s="151" t="s">
        <v>61</v>
      </c>
      <c r="B5" s="151" t="s">
        <v>77</v>
      </c>
      <c r="C5" s="151" t="s">
        <v>25</v>
      </c>
      <c r="D5" s="151" t="s">
        <v>25</v>
      </c>
      <c r="E5" s="151" t="s">
        <v>25</v>
      </c>
      <c r="F5" s="151" t="s">
        <v>25</v>
      </c>
      <c r="G5" s="29" t="s">
        <v>79</v>
      </c>
      <c r="H5" s="29" t="s">
        <v>78</v>
      </c>
      <c r="I5" s="29">
        <f>'MERCADO TE'!$U$2</f>
        <v>0</v>
      </c>
      <c r="J5" s="15"/>
      <c r="L5" s="26">
        <v>1</v>
      </c>
      <c r="M5" s="26">
        <v>1</v>
      </c>
      <c r="N5" s="26">
        <v>1</v>
      </c>
      <c r="O5" s="26">
        <v>1</v>
      </c>
      <c r="P5" s="26">
        <v>1</v>
      </c>
      <c r="Q5" s="26"/>
      <c r="R5" s="26">
        <v>1.72</v>
      </c>
      <c r="S5" s="26"/>
      <c r="T5" s="26">
        <v>1</v>
      </c>
      <c r="U5" s="26">
        <v>1</v>
      </c>
      <c r="V5" s="26">
        <v>1</v>
      </c>
      <c r="W5" s="26"/>
      <c r="X5" s="26"/>
      <c r="Y5" s="26"/>
      <c r="Z5" s="26">
        <v>1</v>
      </c>
      <c r="AA5" s="26"/>
      <c r="AB5" s="26"/>
    </row>
    <row r="6" spans="1:28" ht="11.25" customHeight="1" x14ac:dyDescent="0.3">
      <c r="A6" s="151"/>
      <c r="B6" s="151"/>
      <c r="C6" s="151"/>
      <c r="D6" s="151"/>
      <c r="E6" s="151"/>
      <c r="F6" s="151"/>
      <c r="G6" s="29" t="s">
        <v>80</v>
      </c>
      <c r="H6" s="29" t="s">
        <v>78</v>
      </c>
      <c r="I6" s="29">
        <f>'MERCADO TE'!$U$3</f>
        <v>0</v>
      </c>
      <c r="J6" s="15"/>
      <c r="L6" s="26">
        <v>1</v>
      </c>
      <c r="M6" s="26">
        <v>1</v>
      </c>
      <c r="N6" s="26">
        <v>1</v>
      </c>
      <c r="O6" s="26">
        <v>1</v>
      </c>
      <c r="P6" s="26">
        <v>1</v>
      </c>
      <c r="Q6" s="26"/>
      <c r="R6" s="26">
        <v>1</v>
      </c>
      <c r="S6" s="26"/>
      <c r="T6" s="26">
        <v>1</v>
      </c>
      <c r="U6" s="26">
        <v>1</v>
      </c>
      <c r="V6" s="26">
        <v>1</v>
      </c>
      <c r="W6" s="26"/>
      <c r="X6" s="26"/>
      <c r="Y6" s="26"/>
      <c r="Z6" s="26">
        <v>1</v>
      </c>
      <c r="AA6" s="26"/>
      <c r="AB6" s="26"/>
    </row>
    <row r="7" spans="1:28" ht="11.25" customHeight="1" x14ac:dyDescent="0.3">
      <c r="A7" s="151" t="s">
        <v>34</v>
      </c>
      <c r="B7" s="151" t="s">
        <v>77</v>
      </c>
      <c r="C7" s="151" t="s">
        <v>25</v>
      </c>
      <c r="D7" s="151" t="s">
        <v>25</v>
      </c>
      <c r="E7" s="151" t="s">
        <v>25</v>
      </c>
      <c r="F7" s="151" t="s">
        <v>25</v>
      </c>
      <c r="G7" s="29" t="s">
        <v>79</v>
      </c>
      <c r="H7" s="29" t="s">
        <v>78</v>
      </c>
      <c r="I7" s="29">
        <f>'MERCADO TE'!$U$4</f>
        <v>256.69644</v>
      </c>
      <c r="J7" s="15"/>
      <c r="L7" s="26">
        <v>1</v>
      </c>
      <c r="M7" s="26">
        <v>1</v>
      </c>
      <c r="N7" s="26">
        <v>1</v>
      </c>
      <c r="O7" s="26">
        <v>1</v>
      </c>
      <c r="P7" s="26">
        <v>1</v>
      </c>
      <c r="Q7" s="26"/>
      <c r="R7" s="26">
        <v>1.72</v>
      </c>
      <c r="S7" s="26"/>
      <c r="T7" s="26">
        <v>1</v>
      </c>
      <c r="U7" s="26">
        <v>1</v>
      </c>
      <c r="V7" s="26">
        <v>1</v>
      </c>
      <c r="W7" s="26"/>
      <c r="X7" s="26"/>
      <c r="Y7" s="26"/>
      <c r="Z7" s="26">
        <v>1</v>
      </c>
      <c r="AA7" s="26"/>
      <c r="AB7" s="26"/>
    </row>
    <row r="8" spans="1:28" ht="11.25" customHeight="1" x14ac:dyDescent="0.3">
      <c r="A8" s="151"/>
      <c r="B8" s="151"/>
      <c r="C8" s="151"/>
      <c r="D8" s="151"/>
      <c r="E8" s="151"/>
      <c r="F8" s="151"/>
      <c r="G8" s="29" t="s">
        <v>80</v>
      </c>
      <c r="H8" s="29" t="s">
        <v>78</v>
      </c>
      <c r="I8" s="29">
        <f>'MERCADO TE'!$U$5</f>
        <v>3077.9313500000003</v>
      </c>
      <c r="J8" s="15"/>
      <c r="L8" s="26">
        <v>1</v>
      </c>
      <c r="M8" s="26">
        <v>1</v>
      </c>
      <c r="N8" s="26">
        <v>1</v>
      </c>
      <c r="O8" s="26">
        <v>1</v>
      </c>
      <c r="P8" s="26">
        <v>1</v>
      </c>
      <c r="Q8" s="26"/>
      <c r="R8" s="26">
        <v>1</v>
      </c>
      <c r="S8" s="26"/>
      <c r="T8" s="26">
        <v>1</v>
      </c>
      <c r="U8" s="26">
        <v>1</v>
      </c>
      <c r="V8" s="26">
        <v>1</v>
      </c>
      <c r="W8" s="26"/>
      <c r="X8" s="26"/>
      <c r="Y8" s="26"/>
      <c r="Z8" s="26">
        <v>1</v>
      </c>
      <c r="AA8" s="26"/>
      <c r="AB8" s="26"/>
    </row>
    <row r="9" spans="1:28" ht="11.25" customHeight="1" x14ac:dyDescent="0.3">
      <c r="A9" s="151" t="s">
        <v>22</v>
      </c>
      <c r="B9" s="151" t="s">
        <v>77</v>
      </c>
      <c r="C9" s="151" t="s">
        <v>24</v>
      </c>
      <c r="D9" s="151" t="s">
        <v>24</v>
      </c>
      <c r="E9" s="151" t="s">
        <v>25</v>
      </c>
      <c r="F9" s="151" t="s">
        <v>25</v>
      </c>
      <c r="G9" s="29" t="s">
        <v>79</v>
      </c>
      <c r="H9" s="29" t="s">
        <v>78</v>
      </c>
      <c r="I9" s="29">
        <f>'MERCADO TE'!$U$6</f>
        <v>0</v>
      </c>
      <c r="J9" s="15"/>
      <c r="L9" s="26">
        <v>1</v>
      </c>
      <c r="M9" s="26">
        <v>1</v>
      </c>
      <c r="N9" s="26">
        <v>1</v>
      </c>
      <c r="O9" s="26">
        <v>1</v>
      </c>
      <c r="P9" s="26">
        <v>1</v>
      </c>
      <c r="Q9" s="26"/>
      <c r="R9" s="26">
        <v>1.72</v>
      </c>
      <c r="S9" s="26"/>
      <c r="T9" s="26">
        <v>1</v>
      </c>
      <c r="U9" s="26">
        <v>1</v>
      </c>
      <c r="V9" s="26">
        <v>1</v>
      </c>
      <c r="W9" s="26"/>
      <c r="X9" s="26"/>
      <c r="Y9" s="26"/>
      <c r="Z9" s="26">
        <v>1</v>
      </c>
      <c r="AA9" s="26"/>
      <c r="AB9" s="26"/>
    </row>
    <row r="10" spans="1:28" ht="11.25" customHeight="1" x14ac:dyDescent="0.3">
      <c r="A10" s="151"/>
      <c r="B10" s="151"/>
      <c r="C10" s="151"/>
      <c r="D10" s="151"/>
      <c r="E10" s="151"/>
      <c r="F10" s="151"/>
      <c r="G10" s="29" t="s">
        <v>89</v>
      </c>
      <c r="H10" s="29" t="s">
        <v>78</v>
      </c>
      <c r="I10" s="29">
        <f>'MERCADO TE'!$U$7</f>
        <v>0</v>
      </c>
      <c r="J10" s="15"/>
      <c r="L10" s="26">
        <v>1</v>
      </c>
      <c r="M10" s="26">
        <v>1</v>
      </c>
      <c r="N10" s="26">
        <v>1</v>
      </c>
      <c r="O10" s="26">
        <v>1</v>
      </c>
      <c r="P10" s="26">
        <v>1</v>
      </c>
      <c r="Q10" s="26"/>
      <c r="R10" s="26">
        <v>1</v>
      </c>
      <c r="S10" s="26"/>
      <c r="T10" s="26">
        <v>1</v>
      </c>
      <c r="U10" s="26">
        <v>1</v>
      </c>
      <c r="V10" s="26">
        <v>1</v>
      </c>
      <c r="W10" s="26"/>
      <c r="X10" s="26"/>
      <c r="Y10" s="26"/>
      <c r="Z10" s="26">
        <v>1</v>
      </c>
      <c r="AA10" s="26"/>
      <c r="AB10" s="26"/>
    </row>
    <row r="11" spans="1:28" ht="11.25" customHeight="1" x14ac:dyDescent="0.3">
      <c r="A11" s="151"/>
      <c r="B11" s="151"/>
      <c r="C11" s="151"/>
      <c r="D11" s="151"/>
      <c r="E11" s="151"/>
      <c r="F11" s="151"/>
      <c r="G11" s="29" t="s">
        <v>80</v>
      </c>
      <c r="H11" s="29" t="s">
        <v>78</v>
      </c>
      <c r="I11" s="29">
        <f>'MERCADO TE'!$U$8</f>
        <v>0</v>
      </c>
      <c r="J11" s="15"/>
      <c r="L11" s="26">
        <v>1</v>
      </c>
      <c r="M11" s="26">
        <v>1</v>
      </c>
      <c r="N11" s="26">
        <v>1</v>
      </c>
      <c r="O11" s="26">
        <v>1</v>
      </c>
      <c r="P11" s="26">
        <v>1</v>
      </c>
      <c r="Q11" s="26"/>
      <c r="R11" s="26">
        <v>1</v>
      </c>
      <c r="S11" s="26"/>
      <c r="T11" s="26">
        <v>1</v>
      </c>
      <c r="U11" s="26">
        <v>1</v>
      </c>
      <c r="V11" s="26">
        <v>1</v>
      </c>
      <c r="W11" s="26"/>
      <c r="X11" s="26"/>
      <c r="Y11" s="26"/>
      <c r="Z11" s="26">
        <v>1</v>
      </c>
      <c r="AA11" s="26"/>
      <c r="AB11" s="26"/>
    </row>
    <row r="12" spans="1:28" ht="11.25" customHeight="1" x14ac:dyDescent="0.3">
      <c r="A12" s="151"/>
      <c r="B12" s="151" t="s">
        <v>90</v>
      </c>
      <c r="C12" s="151" t="s">
        <v>24</v>
      </c>
      <c r="D12" s="28" t="s">
        <v>24</v>
      </c>
      <c r="E12" s="28" t="s">
        <v>25</v>
      </c>
      <c r="F12" s="28" t="s">
        <v>25</v>
      </c>
      <c r="G12" s="29" t="s">
        <v>84</v>
      </c>
      <c r="H12" s="29" t="s">
        <v>78</v>
      </c>
      <c r="I12" s="29">
        <f>'MERCADO TE'!$U$9</f>
        <v>11530.447999999999</v>
      </c>
      <c r="J12" s="15"/>
      <c r="L12" s="26">
        <v>1</v>
      </c>
      <c r="M12" s="26">
        <v>1</v>
      </c>
      <c r="N12" s="26">
        <v>1</v>
      </c>
      <c r="O12" s="26">
        <v>1</v>
      </c>
      <c r="P12" s="26">
        <v>1</v>
      </c>
      <c r="Q12" s="26"/>
      <c r="R12" s="26">
        <v>1.06</v>
      </c>
      <c r="S12" s="26"/>
      <c r="T12" s="26">
        <v>1</v>
      </c>
      <c r="U12" s="26">
        <v>1</v>
      </c>
      <c r="V12" s="26">
        <v>1</v>
      </c>
      <c r="W12" s="26"/>
      <c r="X12" s="26"/>
      <c r="Y12" s="26"/>
      <c r="Z12" s="26">
        <v>1</v>
      </c>
      <c r="AA12" s="26"/>
      <c r="AB12" s="26"/>
    </row>
    <row r="13" spans="1:28" ht="11.25" customHeight="1" x14ac:dyDescent="0.3">
      <c r="A13" s="151"/>
      <c r="B13" s="151"/>
      <c r="C13" s="151"/>
      <c r="D13" s="28" t="s">
        <v>28</v>
      </c>
      <c r="E13" s="28" t="s">
        <v>25</v>
      </c>
      <c r="F13" s="28" t="s">
        <v>25</v>
      </c>
      <c r="G13" s="29" t="s">
        <v>84</v>
      </c>
      <c r="H13" s="29" t="s">
        <v>78</v>
      </c>
      <c r="I13" s="29">
        <f>'MERCADO TE'!$U$10</f>
        <v>121.26</v>
      </c>
      <c r="J13" s="15"/>
      <c r="L13" s="26">
        <f>1 - CUSTOS!$M$24</f>
        <v>1</v>
      </c>
      <c r="M13" s="26">
        <f>1 - CUSTOS!$M$24</f>
        <v>1</v>
      </c>
      <c r="N13" s="26">
        <f>1 - CUSTOS!$M$24</f>
        <v>1</v>
      </c>
      <c r="O13" s="26">
        <f>1 - CUSTOS!$M$24</f>
        <v>1</v>
      </c>
      <c r="P13" s="26">
        <f>1 - CUSTOS!$M$24</f>
        <v>1</v>
      </c>
      <c r="Q13" s="26"/>
      <c r="R13" s="26">
        <f>(1 - CUSTOS!$M$24)*1.06</f>
        <v>1.06</v>
      </c>
      <c r="S13" s="26"/>
      <c r="T13" s="26">
        <f>1 - CUSTOS!$M$24</f>
        <v>1</v>
      </c>
      <c r="U13" s="26">
        <f>1 - CUSTOS!$M$24</f>
        <v>1</v>
      </c>
      <c r="V13" s="26">
        <f>1 - CUSTOS!$M$24</f>
        <v>1</v>
      </c>
      <c r="W13" s="26"/>
      <c r="X13" s="26"/>
      <c r="Y13" s="26"/>
      <c r="Z13" s="26">
        <f>1 - CUSTOS!$M$24</f>
        <v>1</v>
      </c>
      <c r="AA13" s="26"/>
      <c r="AB13" s="26"/>
    </row>
    <row r="14" spans="1:28" ht="11.25" customHeight="1" x14ac:dyDescent="0.3">
      <c r="A14" s="151"/>
      <c r="B14" s="151"/>
      <c r="C14" s="151"/>
      <c r="D14" s="28" t="s">
        <v>29</v>
      </c>
      <c r="E14" s="28" t="s">
        <v>25</v>
      </c>
      <c r="F14" s="28" t="s">
        <v>25</v>
      </c>
      <c r="G14" s="29" t="s">
        <v>84</v>
      </c>
      <c r="H14" s="29" t="s">
        <v>78</v>
      </c>
      <c r="I14" s="29">
        <f>'MERCADO TE'!$U$11</f>
        <v>254.32</v>
      </c>
      <c r="J14" s="15"/>
      <c r="L14" s="26">
        <f>1 - CUSTOS!$M$25</f>
        <v>1</v>
      </c>
      <c r="M14" s="26">
        <f>1 - CUSTOS!$M$25</f>
        <v>1</v>
      </c>
      <c r="N14" s="26">
        <f>1 - CUSTOS!$M$25</f>
        <v>1</v>
      </c>
      <c r="O14" s="26">
        <f>1 - CUSTOS!$M$25</f>
        <v>1</v>
      </c>
      <c r="P14" s="26">
        <f>1 - CUSTOS!$M$25</f>
        <v>1</v>
      </c>
      <c r="Q14" s="26"/>
      <c r="R14" s="26">
        <f>(1 - CUSTOS!$M$25)*1.06</f>
        <v>1.06</v>
      </c>
      <c r="S14" s="26"/>
      <c r="T14" s="26">
        <f>1 - CUSTOS!$M$25</f>
        <v>1</v>
      </c>
      <c r="U14" s="26">
        <f>1 - CUSTOS!$M$25</f>
        <v>1</v>
      </c>
      <c r="V14" s="26">
        <f>1 - CUSTOS!$M$25</f>
        <v>1</v>
      </c>
      <c r="W14" s="26"/>
      <c r="X14" s="26"/>
      <c r="Y14" s="26"/>
      <c r="Z14" s="26">
        <f>1 - CUSTOS!$M$25</f>
        <v>1</v>
      </c>
      <c r="AA14" s="26"/>
      <c r="AB14" s="26"/>
    </row>
    <row r="15" spans="1:28" ht="11.25" customHeight="1" x14ac:dyDescent="0.3">
      <c r="A15" s="151"/>
      <c r="B15" s="151"/>
      <c r="C15" s="151"/>
      <c r="D15" s="28" t="s">
        <v>30</v>
      </c>
      <c r="E15" s="28" t="s">
        <v>25</v>
      </c>
      <c r="F15" s="28" t="s">
        <v>25</v>
      </c>
      <c r="G15" s="29" t="s">
        <v>84</v>
      </c>
      <c r="H15" s="29" t="s">
        <v>78</v>
      </c>
      <c r="I15" s="29">
        <f>'MERCADO TE'!$U$12</f>
        <v>248.52100000000002</v>
      </c>
      <c r="J15" s="15"/>
      <c r="L15" s="26">
        <f>1 - CUSTOS!$M$26</f>
        <v>1</v>
      </c>
      <c r="M15" s="26">
        <f>1 - CUSTOS!$M$26</f>
        <v>1</v>
      </c>
      <c r="N15" s="26">
        <f>1 - CUSTOS!$M$26</f>
        <v>1</v>
      </c>
      <c r="O15" s="26">
        <f>1 - CUSTOS!$M$26</f>
        <v>1</v>
      </c>
      <c r="P15" s="26">
        <f>1 - CUSTOS!$M$26</f>
        <v>1</v>
      </c>
      <c r="Q15" s="26"/>
      <c r="R15" s="26">
        <f>(1 - CUSTOS!$M$26)*1.06</f>
        <v>1.06</v>
      </c>
      <c r="S15" s="26"/>
      <c r="T15" s="26">
        <f>1 - CUSTOS!$M$26</f>
        <v>1</v>
      </c>
      <c r="U15" s="26">
        <f>1 - CUSTOS!$M$26</f>
        <v>1</v>
      </c>
      <c r="V15" s="26">
        <f>1 - CUSTOS!$M$26</f>
        <v>1</v>
      </c>
      <c r="W15" s="26"/>
      <c r="X15" s="26"/>
      <c r="Y15" s="26"/>
      <c r="Z15" s="26">
        <f>1 - CUSTOS!$M$26</f>
        <v>1</v>
      </c>
      <c r="AA15" s="26"/>
      <c r="AB15" s="26"/>
    </row>
    <row r="16" spans="1:28" ht="11.25" customHeight="1" x14ac:dyDescent="0.3">
      <c r="A16" s="151"/>
      <c r="B16" s="151"/>
      <c r="C16" s="151"/>
      <c r="D16" s="28" t="s">
        <v>31</v>
      </c>
      <c r="E16" s="28" t="s">
        <v>25</v>
      </c>
      <c r="F16" s="28" t="s">
        <v>25</v>
      </c>
      <c r="G16" s="29" t="s">
        <v>84</v>
      </c>
      <c r="H16" s="29" t="s">
        <v>78</v>
      </c>
      <c r="I16" s="29">
        <f>'MERCADO TE'!$U$13</f>
        <v>91.992999999999995</v>
      </c>
      <c r="J16" s="15"/>
      <c r="L16" s="26">
        <f>1 - CUSTOS!$M$27</f>
        <v>1</v>
      </c>
      <c r="M16" s="26">
        <f>1 - CUSTOS!$M$27</f>
        <v>1</v>
      </c>
      <c r="N16" s="26">
        <f>1 - CUSTOS!$M$27</f>
        <v>1</v>
      </c>
      <c r="O16" s="26">
        <f>1 - CUSTOS!$M$27</f>
        <v>1</v>
      </c>
      <c r="P16" s="26">
        <f>1 - CUSTOS!$M$27</f>
        <v>1</v>
      </c>
      <c r="Q16" s="26"/>
      <c r="R16" s="26">
        <f>(1 - CUSTOS!$M$27)*1.06</f>
        <v>1.06</v>
      </c>
      <c r="S16" s="26"/>
      <c r="T16" s="26">
        <f>1 - CUSTOS!$M$27</f>
        <v>1</v>
      </c>
      <c r="U16" s="26">
        <f>1 - CUSTOS!$M$27</f>
        <v>1</v>
      </c>
      <c r="V16" s="26">
        <f>1 - CUSTOS!$M$27</f>
        <v>1</v>
      </c>
      <c r="W16" s="26"/>
      <c r="X16" s="26"/>
      <c r="Y16" s="26"/>
      <c r="Z16" s="26">
        <f>1 - CUSTOS!$M$27</f>
        <v>1</v>
      </c>
      <c r="AA16" s="26"/>
      <c r="AB16" s="26"/>
    </row>
    <row r="17" spans="1:28" ht="11.25" customHeight="1" x14ac:dyDescent="0.3">
      <c r="A17" s="151"/>
      <c r="B17" s="151" t="s">
        <v>91</v>
      </c>
      <c r="C17" s="151" t="s">
        <v>24</v>
      </c>
      <c r="D17" s="28" t="s">
        <v>24</v>
      </c>
      <c r="E17" s="28" t="s">
        <v>25</v>
      </c>
      <c r="F17" s="28" t="s">
        <v>25</v>
      </c>
      <c r="G17" s="29" t="s">
        <v>84</v>
      </c>
      <c r="H17" s="29" t="s">
        <v>78</v>
      </c>
      <c r="I17" s="29">
        <f>'MERCADO TE'!$U$14</f>
        <v>0</v>
      </c>
      <c r="J17" s="15"/>
      <c r="L17" s="26">
        <v>1</v>
      </c>
      <c r="M17" s="26">
        <v>1</v>
      </c>
      <c r="N17" s="26">
        <v>1</v>
      </c>
      <c r="O17" s="26">
        <v>1</v>
      </c>
      <c r="P17" s="26">
        <v>1</v>
      </c>
      <c r="Q17" s="26"/>
      <c r="R17" s="26">
        <v>1.06</v>
      </c>
      <c r="S17" s="26"/>
      <c r="T17" s="26">
        <v>1</v>
      </c>
      <c r="U17" s="26">
        <v>1</v>
      </c>
      <c r="V17" s="26">
        <v>1</v>
      </c>
      <c r="W17" s="26"/>
      <c r="X17" s="26"/>
      <c r="Y17" s="26"/>
      <c r="Z17" s="26">
        <v>1</v>
      </c>
      <c r="AA17" s="26"/>
      <c r="AB17" s="26"/>
    </row>
    <row r="18" spans="1:28" ht="11.25" customHeight="1" x14ac:dyDescent="0.3">
      <c r="A18" s="151"/>
      <c r="B18" s="151"/>
      <c r="C18" s="151"/>
      <c r="D18" s="28" t="s">
        <v>28</v>
      </c>
      <c r="E18" s="28" t="s">
        <v>25</v>
      </c>
      <c r="F18" s="28" t="s">
        <v>25</v>
      </c>
      <c r="G18" s="29" t="s">
        <v>84</v>
      </c>
      <c r="H18" s="29" t="s">
        <v>78</v>
      </c>
      <c r="I18" s="29">
        <f>'MERCADO TE'!$U$15</f>
        <v>0</v>
      </c>
      <c r="J18" s="15"/>
      <c r="L18" s="26">
        <f>1 - CUSTOS!$M$24</f>
        <v>1</v>
      </c>
      <c r="M18" s="26">
        <f>1 - CUSTOS!$M$24</f>
        <v>1</v>
      </c>
      <c r="N18" s="26">
        <f>1 - CUSTOS!$M$24</f>
        <v>1</v>
      </c>
      <c r="O18" s="26">
        <f>1 - CUSTOS!$M$24</f>
        <v>1</v>
      </c>
      <c r="P18" s="26">
        <f>1 - CUSTOS!$M$24</f>
        <v>1</v>
      </c>
      <c r="Q18" s="26"/>
      <c r="R18" s="26">
        <f>(1 - CUSTOS!$M$24)*1.06</f>
        <v>1.06</v>
      </c>
      <c r="S18" s="26"/>
      <c r="T18" s="26">
        <f>1 - CUSTOS!$M$24</f>
        <v>1</v>
      </c>
      <c r="U18" s="26">
        <f>1 - CUSTOS!$M$24</f>
        <v>1</v>
      </c>
      <c r="V18" s="26">
        <f>1 - CUSTOS!$M$24</f>
        <v>1</v>
      </c>
      <c r="W18" s="26"/>
      <c r="X18" s="26"/>
      <c r="Y18" s="26"/>
      <c r="Z18" s="26">
        <f>1 - CUSTOS!$M$24</f>
        <v>1</v>
      </c>
      <c r="AA18" s="26"/>
      <c r="AB18" s="26"/>
    </row>
    <row r="19" spans="1:28" ht="11.25" customHeight="1" x14ac:dyDescent="0.3">
      <c r="A19" s="151"/>
      <c r="B19" s="151"/>
      <c r="C19" s="151"/>
      <c r="D19" s="28" t="s">
        <v>29</v>
      </c>
      <c r="E19" s="28" t="s">
        <v>25</v>
      </c>
      <c r="F19" s="28" t="s">
        <v>25</v>
      </c>
      <c r="G19" s="29" t="s">
        <v>84</v>
      </c>
      <c r="H19" s="29" t="s">
        <v>78</v>
      </c>
      <c r="I19" s="29">
        <f>'MERCADO TE'!$U$16</f>
        <v>0</v>
      </c>
      <c r="J19" s="15"/>
      <c r="L19" s="26">
        <f>1 - CUSTOS!$M$25</f>
        <v>1</v>
      </c>
      <c r="M19" s="26">
        <f>1 - CUSTOS!$M$25</f>
        <v>1</v>
      </c>
      <c r="N19" s="26">
        <f>1 - CUSTOS!$M$25</f>
        <v>1</v>
      </c>
      <c r="O19" s="26">
        <f>1 - CUSTOS!$M$25</f>
        <v>1</v>
      </c>
      <c r="P19" s="26">
        <f>1 - CUSTOS!$M$25</f>
        <v>1</v>
      </c>
      <c r="Q19" s="26"/>
      <c r="R19" s="26">
        <f>(1 - CUSTOS!$M$25)*1.06</f>
        <v>1.06</v>
      </c>
      <c r="S19" s="26"/>
      <c r="T19" s="26">
        <f>1 - CUSTOS!$M$25</f>
        <v>1</v>
      </c>
      <c r="U19" s="26">
        <f>1 - CUSTOS!$M$25</f>
        <v>1</v>
      </c>
      <c r="V19" s="26">
        <f>1 - CUSTOS!$M$25</f>
        <v>1</v>
      </c>
      <c r="W19" s="26"/>
      <c r="X19" s="26"/>
      <c r="Y19" s="26"/>
      <c r="Z19" s="26">
        <f>1 - CUSTOS!$M$25</f>
        <v>1</v>
      </c>
      <c r="AA19" s="26"/>
      <c r="AB19" s="26"/>
    </row>
    <row r="20" spans="1:28" ht="11.25" customHeight="1" x14ac:dyDescent="0.3">
      <c r="A20" s="151"/>
      <c r="B20" s="151"/>
      <c r="C20" s="151"/>
      <c r="D20" s="28" t="s">
        <v>30</v>
      </c>
      <c r="E20" s="28" t="s">
        <v>25</v>
      </c>
      <c r="F20" s="28" t="s">
        <v>25</v>
      </c>
      <c r="G20" s="29" t="s">
        <v>84</v>
      </c>
      <c r="H20" s="29" t="s">
        <v>78</v>
      </c>
      <c r="I20" s="29">
        <f>'MERCADO TE'!$U$17</f>
        <v>0</v>
      </c>
      <c r="J20" s="15"/>
      <c r="L20" s="26">
        <f>1 - CUSTOS!$M$26</f>
        <v>1</v>
      </c>
      <c r="M20" s="26">
        <f>1 - CUSTOS!$M$26</f>
        <v>1</v>
      </c>
      <c r="N20" s="26">
        <f>1 - CUSTOS!$M$26</f>
        <v>1</v>
      </c>
      <c r="O20" s="26">
        <f>1 - CUSTOS!$M$26</f>
        <v>1</v>
      </c>
      <c r="P20" s="26">
        <f>1 - CUSTOS!$M$26</f>
        <v>1</v>
      </c>
      <c r="Q20" s="26"/>
      <c r="R20" s="26">
        <f>(1 - CUSTOS!$M$26)*1.06</f>
        <v>1.06</v>
      </c>
      <c r="S20" s="26"/>
      <c r="T20" s="26">
        <f>1 - CUSTOS!$M$26</f>
        <v>1</v>
      </c>
      <c r="U20" s="26">
        <f>1 - CUSTOS!$M$26</f>
        <v>1</v>
      </c>
      <c r="V20" s="26">
        <f>1 - CUSTOS!$M$26</f>
        <v>1</v>
      </c>
      <c r="W20" s="26"/>
      <c r="X20" s="26"/>
      <c r="Y20" s="26"/>
      <c r="Z20" s="26">
        <f>1 - CUSTOS!$M$26</f>
        <v>1</v>
      </c>
      <c r="AA20" s="26"/>
      <c r="AB20" s="26"/>
    </row>
    <row r="21" spans="1:28" ht="11.25" customHeight="1" x14ac:dyDescent="0.3">
      <c r="A21" s="151"/>
      <c r="B21" s="151"/>
      <c r="C21" s="151"/>
      <c r="D21" s="28" t="s">
        <v>31</v>
      </c>
      <c r="E21" s="28" t="s">
        <v>25</v>
      </c>
      <c r="F21" s="28" t="s">
        <v>25</v>
      </c>
      <c r="G21" s="29" t="s">
        <v>84</v>
      </c>
      <c r="H21" s="29" t="s">
        <v>78</v>
      </c>
      <c r="I21" s="29">
        <f>'MERCADO TE'!$U$18</f>
        <v>0</v>
      </c>
      <c r="J21" s="15"/>
      <c r="L21" s="26">
        <f>1 - CUSTOS!$M$27</f>
        <v>1</v>
      </c>
      <c r="M21" s="26">
        <f>1 - CUSTOS!$M$27</f>
        <v>1</v>
      </c>
      <c r="N21" s="26">
        <f>1 - CUSTOS!$M$27</f>
        <v>1</v>
      </c>
      <c r="O21" s="26">
        <f>1 - CUSTOS!$M$27</f>
        <v>1</v>
      </c>
      <c r="P21" s="26">
        <f>1 - CUSTOS!$M$27</f>
        <v>1</v>
      </c>
      <c r="Q21" s="26"/>
      <c r="R21" s="26">
        <f>(1 - CUSTOS!$M$27)*1.06</f>
        <v>1.06</v>
      </c>
      <c r="S21" s="26"/>
      <c r="T21" s="26">
        <f>1 - CUSTOS!$M$27</f>
        <v>1</v>
      </c>
      <c r="U21" s="26">
        <f>1 - CUSTOS!$M$27</f>
        <v>1</v>
      </c>
      <c r="V21" s="26">
        <f>1 - CUSTOS!$M$27</f>
        <v>1</v>
      </c>
      <c r="W21" s="26"/>
      <c r="X21" s="26"/>
      <c r="Y21" s="26"/>
      <c r="Z21" s="26">
        <f>1 - CUSTOS!$M$27</f>
        <v>1</v>
      </c>
      <c r="AA21" s="26"/>
      <c r="AB21" s="26"/>
    </row>
    <row r="22" spans="1:28" ht="11.25" customHeight="1" x14ac:dyDescent="0.3">
      <c r="A22" s="151" t="s">
        <v>41</v>
      </c>
      <c r="B22" s="151" t="s">
        <v>77</v>
      </c>
      <c r="C22" s="151" t="s">
        <v>42</v>
      </c>
      <c r="D22" s="151" t="s">
        <v>25</v>
      </c>
      <c r="E22" s="151" t="s">
        <v>25</v>
      </c>
      <c r="F22" s="151" t="s">
        <v>25</v>
      </c>
      <c r="G22" s="29" t="s">
        <v>79</v>
      </c>
      <c r="H22" s="29" t="s">
        <v>78</v>
      </c>
      <c r="I22" s="29">
        <f>'MERCADO TE'!$U$19</f>
        <v>0</v>
      </c>
      <c r="J22" s="15"/>
      <c r="L22" s="26">
        <f>1 - CUSTOS!$M$28</f>
        <v>1</v>
      </c>
      <c r="M22" s="26">
        <f>1 - CUSTOS!$M$28</f>
        <v>1</v>
      </c>
      <c r="N22" s="26">
        <f>1 - CUSTOS!$M$28</f>
        <v>1</v>
      </c>
      <c r="O22" s="26">
        <f>1 - CUSTOS!$M$28</f>
        <v>1</v>
      </c>
      <c r="P22" s="26">
        <f>1 - CUSTOS!$M$28</f>
        <v>1</v>
      </c>
      <c r="Q22" s="26"/>
      <c r="R22" s="26">
        <f>(1 - CUSTOS!$M$28)*1.72</f>
        <v>1.72</v>
      </c>
      <c r="S22" s="26"/>
      <c r="T22" s="26">
        <f>1 - CUSTOS!$M$28</f>
        <v>1</v>
      </c>
      <c r="U22" s="26">
        <f>1 - CUSTOS!$M$28</f>
        <v>1</v>
      </c>
      <c r="V22" s="26">
        <f>1 - CUSTOS!$M$28</f>
        <v>1</v>
      </c>
      <c r="W22" s="26"/>
      <c r="X22" s="26"/>
      <c r="Y22" s="26"/>
      <c r="Z22" s="26">
        <f>1 - CUSTOS!$M$28</f>
        <v>1</v>
      </c>
      <c r="AA22" s="26"/>
      <c r="AB22" s="26"/>
    </row>
    <row r="23" spans="1:28" ht="11.25" customHeight="1" x14ac:dyDescent="0.3">
      <c r="A23" s="151"/>
      <c r="B23" s="151"/>
      <c r="C23" s="151"/>
      <c r="D23" s="151"/>
      <c r="E23" s="151"/>
      <c r="F23" s="151"/>
      <c r="G23" s="29" t="s">
        <v>89</v>
      </c>
      <c r="H23" s="29" t="s">
        <v>78</v>
      </c>
      <c r="I23" s="29">
        <f>'MERCADO TE'!$U$20</f>
        <v>0</v>
      </c>
      <c r="J23" s="15"/>
      <c r="L23" s="26">
        <f>1 - CUSTOS!$M$28</f>
        <v>1</v>
      </c>
      <c r="M23" s="26">
        <f>1 - CUSTOS!$M$28</f>
        <v>1</v>
      </c>
      <c r="N23" s="26">
        <f>1 - CUSTOS!$M$28</f>
        <v>1</v>
      </c>
      <c r="O23" s="26">
        <f>1 - CUSTOS!$M$28</f>
        <v>1</v>
      </c>
      <c r="P23" s="26">
        <f>1 - CUSTOS!$M$28</f>
        <v>1</v>
      </c>
      <c r="Q23" s="26"/>
      <c r="R23" s="26">
        <f>(1 - CUSTOS!$M$28)*1</f>
        <v>1</v>
      </c>
      <c r="S23" s="26"/>
      <c r="T23" s="26">
        <f>1 - CUSTOS!$M$28</f>
        <v>1</v>
      </c>
      <c r="U23" s="26">
        <f>1 - CUSTOS!$M$28</f>
        <v>1</v>
      </c>
      <c r="V23" s="26">
        <f>1 - CUSTOS!$M$28</f>
        <v>1</v>
      </c>
      <c r="W23" s="26"/>
      <c r="X23" s="26"/>
      <c r="Y23" s="26"/>
      <c r="Z23" s="26">
        <f>1 - CUSTOS!$M$28</f>
        <v>1</v>
      </c>
      <c r="AA23" s="26"/>
      <c r="AB23" s="26"/>
    </row>
    <row r="24" spans="1:28" ht="11.25" customHeight="1" x14ac:dyDescent="0.3">
      <c r="A24" s="151"/>
      <c r="B24" s="151"/>
      <c r="C24" s="151"/>
      <c r="D24" s="151"/>
      <c r="E24" s="151"/>
      <c r="F24" s="151"/>
      <c r="G24" s="29" t="s">
        <v>80</v>
      </c>
      <c r="H24" s="29" t="s">
        <v>78</v>
      </c>
      <c r="I24" s="29">
        <f>'MERCADO TE'!$U$21</f>
        <v>0</v>
      </c>
      <c r="J24" s="15"/>
      <c r="L24" s="26">
        <f>1 - CUSTOS!$M$28</f>
        <v>1</v>
      </c>
      <c r="M24" s="26">
        <f>1 - CUSTOS!$M$28</f>
        <v>1</v>
      </c>
      <c r="N24" s="26">
        <f>1 - CUSTOS!$M$28</f>
        <v>1</v>
      </c>
      <c r="O24" s="26">
        <f>1 - CUSTOS!$M$28</f>
        <v>1</v>
      </c>
      <c r="P24" s="26">
        <f>1 - CUSTOS!$M$28</f>
        <v>1</v>
      </c>
      <c r="Q24" s="26"/>
      <c r="R24" s="26">
        <f>(1 - CUSTOS!$M$28)*1</f>
        <v>1</v>
      </c>
      <c r="S24" s="26"/>
      <c r="T24" s="26">
        <f>1 - CUSTOS!$M$28</f>
        <v>1</v>
      </c>
      <c r="U24" s="26">
        <f>1 - CUSTOS!$M$28</f>
        <v>1</v>
      </c>
      <c r="V24" s="26">
        <f>1 - CUSTOS!$M$28</f>
        <v>1</v>
      </c>
      <c r="W24" s="26"/>
      <c r="X24" s="26"/>
      <c r="Y24" s="26"/>
      <c r="Z24" s="26">
        <f>1 - CUSTOS!$M$28</f>
        <v>1</v>
      </c>
      <c r="AA24" s="26"/>
      <c r="AB24" s="26"/>
    </row>
    <row r="25" spans="1:28" ht="11.25" customHeight="1" x14ac:dyDescent="0.3">
      <c r="A25" s="151"/>
      <c r="B25" s="28" t="s">
        <v>90</v>
      </c>
      <c r="C25" s="28" t="s">
        <v>42</v>
      </c>
      <c r="D25" s="28" t="s">
        <v>25</v>
      </c>
      <c r="E25" s="28" t="s">
        <v>25</v>
      </c>
      <c r="F25" s="28" t="s">
        <v>25</v>
      </c>
      <c r="G25" s="29" t="s">
        <v>84</v>
      </c>
      <c r="H25" s="29" t="s">
        <v>78</v>
      </c>
      <c r="I25" s="29">
        <f>'MERCADO TE'!$U$22</f>
        <v>3112.8609999999999</v>
      </c>
      <c r="J25" s="15"/>
      <c r="L25" s="26">
        <f>1 - CUSTOS!$M$28</f>
        <v>1</v>
      </c>
      <c r="M25" s="26">
        <f>1 - CUSTOS!$M$28</f>
        <v>1</v>
      </c>
      <c r="N25" s="26">
        <f>1 - CUSTOS!$M$28</f>
        <v>1</v>
      </c>
      <c r="O25" s="26">
        <f>1 - CUSTOS!$M$28</f>
        <v>1</v>
      </c>
      <c r="P25" s="26">
        <f>1 - CUSTOS!$M$28</f>
        <v>1</v>
      </c>
      <c r="Q25" s="26"/>
      <c r="R25" s="26">
        <f>(1 - CUSTOS!$M$28)*1.06</f>
        <v>1.06</v>
      </c>
      <c r="S25" s="26"/>
      <c r="T25" s="26">
        <f>1 - CUSTOS!$M$28</f>
        <v>1</v>
      </c>
      <c r="U25" s="26">
        <f>1 - CUSTOS!$M$28</f>
        <v>1</v>
      </c>
      <c r="V25" s="26">
        <f>1 - CUSTOS!$M$28</f>
        <v>1</v>
      </c>
      <c r="W25" s="26"/>
      <c r="X25" s="26"/>
      <c r="Y25" s="26"/>
      <c r="Z25" s="26">
        <f>1 - CUSTOS!$M$28</f>
        <v>1</v>
      </c>
      <c r="AA25" s="26"/>
      <c r="AB25" s="26"/>
    </row>
    <row r="26" spans="1:28" ht="11.25" customHeight="1" x14ac:dyDescent="0.3">
      <c r="A26" s="151"/>
      <c r="B26" s="151" t="s">
        <v>77</v>
      </c>
      <c r="C26" s="151" t="s">
        <v>42</v>
      </c>
      <c r="D26" s="151" t="s">
        <v>93</v>
      </c>
      <c r="E26" s="151" t="s">
        <v>25</v>
      </c>
      <c r="F26" s="151" t="s">
        <v>25</v>
      </c>
      <c r="G26" s="29" t="s">
        <v>79</v>
      </c>
      <c r="H26" s="29" t="s">
        <v>78</v>
      </c>
      <c r="I26" s="29">
        <f>'MERCADO TE'!$U$23</f>
        <v>0</v>
      </c>
      <c r="J26" s="15"/>
      <c r="L26" s="26">
        <f>1 - CUSTOS!$M$29</f>
        <v>1</v>
      </c>
      <c r="M26" s="26">
        <f>1 - CUSTOS!$M$29</f>
        <v>1</v>
      </c>
      <c r="N26" s="26">
        <f>1 - CUSTOS!$M$29</f>
        <v>1</v>
      </c>
      <c r="O26" s="26">
        <f>1 - CUSTOS!$M$29</f>
        <v>1</v>
      </c>
      <c r="P26" s="26">
        <f>1 - CUSTOS!$M$29</f>
        <v>1</v>
      </c>
      <c r="Q26" s="26"/>
      <c r="R26" s="26">
        <f>(1 - CUSTOS!$M$29)*1.72</f>
        <v>1.72</v>
      </c>
      <c r="S26" s="26"/>
      <c r="T26" s="26">
        <f>1 - CUSTOS!$M$29</f>
        <v>1</v>
      </c>
      <c r="U26" s="26">
        <f>1 - CUSTOS!$M$29</f>
        <v>1</v>
      </c>
      <c r="V26" s="26">
        <f>1 - CUSTOS!$M$29</f>
        <v>1</v>
      </c>
      <c r="W26" s="26"/>
      <c r="X26" s="26"/>
      <c r="Y26" s="26"/>
      <c r="Z26" s="26">
        <f>1 - CUSTOS!$M$29</f>
        <v>1</v>
      </c>
      <c r="AA26" s="26"/>
      <c r="AB26" s="26"/>
    </row>
    <row r="27" spans="1:28" ht="11.25" customHeight="1" x14ac:dyDescent="0.3">
      <c r="A27" s="151"/>
      <c r="B27" s="151"/>
      <c r="C27" s="151"/>
      <c r="D27" s="151"/>
      <c r="E27" s="151"/>
      <c r="F27" s="151"/>
      <c r="G27" s="29" t="s">
        <v>89</v>
      </c>
      <c r="H27" s="29" t="s">
        <v>78</v>
      </c>
      <c r="I27" s="29">
        <f>'MERCADO TE'!$U$24</f>
        <v>0</v>
      </c>
      <c r="J27" s="15"/>
      <c r="L27" s="26">
        <f>1 - CUSTOS!$M$29</f>
        <v>1</v>
      </c>
      <c r="M27" s="26">
        <f>1 - CUSTOS!$M$29</f>
        <v>1</v>
      </c>
      <c r="N27" s="26">
        <f>1 - CUSTOS!$M$29</f>
        <v>1</v>
      </c>
      <c r="O27" s="26">
        <f>1 - CUSTOS!$M$29</f>
        <v>1</v>
      </c>
      <c r="P27" s="26">
        <f>1 - CUSTOS!$M$29</f>
        <v>1</v>
      </c>
      <c r="Q27" s="26"/>
      <c r="R27" s="26">
        <f>(1 - CUSTOS!$M$29)*1</f>
        <v>1</v>
      </c>
      <c r="S27" s="26"/>
      <c r="T27" s="26">
        <f>1 - CUSTOS!$M$29</f>
        <v>1</v>
      </c>
      <c r="U27" s="26">
        <f>1 - CUSTOS!$M$29</f>
        <v>1</v>
      </c>
      <c r="V27" s="26">
        <f>1 - CUSTOS!$M$29</f>
        <v>1</v>
      </c>
      <c r="W27" s="26"/>
      <c r="X27" s="26"/>
      <c r="Y27" s="26"/>
      <c r="Z27" s="26">
        <f>1 - CUSTOS!$M$29</f>
        <v>1</v>
      </c>
      <c r="AA27" s="26"/>
      <c r="AB27" s="26"/>
    </row>
    <row r="28" spans="1:28" ht="11.25" customHeight="1" x14ac:dyDescent="0.3">
      <c r="A28" s="151"/>
      <c r="B28" s="151"/>
      <c r="C28" s="151"/>
      <c r="D28" s="151"/>
      <c r="E28" s="151"/>
      <c r="F28" s="151"/>
      <c r="G28" s="29" t="s">
        <v>80</v>
      </c>
      <c r="H28" s="29" t="s">
        <v>78</v>
      </c>
      <c r="I28" s="29">
        <f>'MERCADO TE'!$U$25</f>
        <v>0</v>
      </c>
      <c r="J28" s="15"/>
      <c r="L28" s="26">
        <f>1 - CUSTOS!$M$29</f>
        <v>1</v>
      </c>
      <c r="M28" s="26">
        <f>1 - CUSTOS!$M$29</f>
        <v>1</v>
      </c>
      <c r="N28" s="26">
        <f>1 - CUSTOS!$M$29</f>
        <v>1</v>
      </c>
      <c r="O28" s="26">
        <f>1 - CUSTOS!$M$29</f>
        <v>1</v>
      </c>
      <c r="P28" s="26">
        <f>1 - CUSTOS!$M$29</f>
        <v>1</v>
      </c>
      <c r="Q28" s="26"/>
      <c r="R28" s="26">
        <f>(1 - CUSTOS!$M$29)*1</f>
        <v>1</v>
      </c>
      <c r="S28" s="26"/>
      <c r="T28" s="26">
        <f>1 - CUSTOS!$M$29</f>
        <v>1</v>
      </c>
      <c r="U28" s="26">
        <f>1 - CUSTOS!$M$29</f>
        <v>1</v>
      </c>
      <c r="V28" s="26">
        <f>1 - CUSTOS!$M$29</f>
        <v>1</v>
      </c>
      <c r="W28" s="26"/>
      <c r="X28" s="26"/>
      <c r="Y28" s="26"/>
      <c r="Z28" s="26">
        <f>1 - CUSTOS!$M$29</f>
        <v>1</v>
      </c>
      <c r="AA28" s="26"/>
      <c r="AB28" s="26"/>
    </row>
    <row r="29" spans="1:28" ht="11.25" customHeight="1" x14ac:dyDescent="0.3">
      <c r="A29" s="151"/>
      <c r="B29" s="28" t="s">
        <v>90</v>
      </c>
      <c r="C29" s="28" t="s">
        <v>42</v>
      </c>
      <c r="D29" s="28" t="s">
        <v>93</v>
      </c>
      <c r="E29" s="28" t="s">
        <v>25</v>
      </c>
      <c r="F29" s="28" t="s">
        <v>25</v>
      </c>
      <c r="G29" s="29" t="s">
        <v>84</v>
      </c>
      <c r="H29" s="29" t="s">
        <v>78</v>
      </c>
      <c r="I29" s="29">
        <f>'MERCADO TE'!$U$26</f>
        <v>0</v>
      </c>
      <c r="J29" s="15"/>
      <c r="L29" s="26">
        <f>1 - CUSTOS!$M$29</f>
        <v>1</v>
      </c>
      <c r="M29" s="26">
        <f>1 - CUSTOS!$M$29</f>
        <v>1</v>
      </c>
      <c r="N29" s="26">
        <f>1 - CUSTOS!$M$29</f>
        <v>1</v>
      </c>
      <c r="O29" s="26">
        <f>1 - CUSTOS!$M$29</f>
        <v>1</v>
      </c>
      <c r="P29" s="26">
        <f>1 - CUSTOS!$M$29</f>
        <v>1</v>
      </c>
      <c r="Q29" s="26"/>
      <c r="R29" s="26">
        <f>(1 - CUSTOS!$M$29)*1.06</f>
        <v>1.06</v>
      </c>
      <c r="S29" s="26"/>
      <c r="T29" s="26">
        <f>1 - CUSTOS!$M$29</f>
        <v>1</v>
      </c>
      <c r="U29" s="26">
        <f>1 - CUSTOS!$M$29</f>
        <v>1</v>
      </c>
      <c r="V29" s="26">
        <f>1 - CUSTOS!$M$29</f>
        <v>1</v>
      </c>
      <c r="W29" s="26"/>
      <c r="X29" s="26"/>
      <c r="Y29" s="26"/>
      <c r="Z29" s="26">
        <f>1 - CUSTOS!$M$29</f>
        <v>1</v>
      </c>
      <c r="AA29" s="26"/>
      <c r="AB29" s="26"/>
    </row>
    <row r="30" spans="1:28" ht="11.25" customHeight="1" x14ac:dyDescent="0.3">
      <c r="A30" s="151"/>
      <c r="B30" s="151" t="s">
        <v>77</v>
      </c>
      <c r="C30" s="151" t="s">
        <v>42</v>
      </c>
      <c r="D30" s="151" t="s">
        <v>94</v>
      </c>
      <c r="E30" s="151" t="s">
        <v>25</v>
      </c>
      <c r="F30" s="151" t="s">
        <v>25</v>
      </c>
      <c r="G30" s="29" t="s">
        <v>79</v>
      </c>
      <c r="H30" s="29" t="s">
        <v>78</v>
      </c>
      <c r="I30" s="29">
        <f>'MERCADO TE'!$U$27</f>
        <v>0</v>
      </c>
      <c r="J30" s="15"/>
      <c r="L30" s="26">
        <f>1 - CUSTOS!$M$30</f>
        <v>1</v>
      </c>
      <c r="M30" s="26">
        <f>1 - CUSTOS!$M$30</f>
        <v>1</v>
      </c>
      <c r="N30" s="26">
        <f>1 - CUSTOS!$M$30</f>
        <v>1</v>
      </c>
      <c r="O30" s="26">
        <f>1 - CUSTOS!$M$30</f>
        <v>1</v>
      </c>
      <c r="P30" s="26">
        <f>1 - CUSTOS!$M$30</f>
        <v>1</v>
      </c>
      <c r="Q30" s="26"/>
      <c r="R30" s="26">
        <f>(1 - CUSTOS!$M$30)*1.72</f>
        <v>1.72</v>
      </c>
      <c r="S30" s="26"/>
      <c r="T30" s="26">
        <f>1 - CUSTOS!$M$30</f>
        <v>1</v>
      </c>
      <c r="U30" s="26">
        <f>1 - CUSTOS!$M$30</f>
        <v>1</v>
      </c>
      <c r="V30" s="26">
        <f>1 - CUSTOS!$M$30</f>
        <v>1</v>
      </c>
      <c r="W30" s="26"/>
      <c r="X30" s="26"/>
      <c r="Y30" s="26"/>
      <c r="Z30" s="26">
        <f>1 - CUSTOS!$M$30</f>
        <v>1</v>
      </c>
      <c r="AA30" s="26"/>
      <c r="AB30" s="26"/>
    </row>
    <row r="31" spans="1:28" ht="11.25" customHeight="1" x14ac:dyDescent="0.3">
      <c r="A31" s="151"/>
      <c r="B31" s="151"/>
      <c r="C31" s="151"/>
      <c r="D31" s="151"/>
      <c r="E31" s="151"/>
      <c r="F31" s="151"/>
      <c r="G31" s="29" t="s">
        <v>89</v>
      </c>
      <c r="H31" s="29" t="s">
        <v>78</v>
      </c>
      <c r="I31" s="29">
        <f>'MERCADO TE'!$U$28</f>
        <v>0</v>
      </c>
      <c r="J31" s="15"/>
      <c r="L31" s="26">
        <f>1 - CUSTOS!$M$30</f>
        <v>1</v>
      </c>
      <c r="M31" s="26">
        <f>1 - CUSTOS!$M$30</f>
        <v>1</v>
      </c>
      <c r="N31" s="26">
        <f>1 - CUSTOS!$M$30</f>
        <v>1</v>
      </c>
      <c r="O31" s="26">
        <f>1 - CUSTOS!$M$30</f>
        <v>1</v>
      </c>
      <c r="P31" s="26">
        <f>1 - CUSTOS!$M$30</f>
        <v>1</v>
      </c>
      <c r="Q31" s="26"/>
      <c r="R31" s="26">
        <f>(1 - CUSTOS!$M$30)*1</f>
        <v>1</v>
      </c>
      <c r="S31" s="26"/>
      <c r="T31" s="26">
        <f>1 - CUSTOS!$M$30</f>
        <v>1</v>
      </c>
      <c r="U31" s="26">
        <f>1 - CUSTOS!$M$30</f>
        <v>1</v>
      </c>
      <c r="V31" s="26">
        <f>1 - CUSTOS!$M$30</f>
        <v>1</v>
      </c>
      <c r="W31" s="26"/>
      <c r="X31" s="26"/>
      <c r="Y31" s="26"/>
      <c r="Z31" s="26">
        <f>1 - CUSTOS!$M$30</f>
        <v>1</v>
      </c>
      <c r="AA31" s="26"/>
      <c r="AB31" s="26"/>
    </row>
    <row r="32" spans="1:28" ht="11.25" customHeight="1" x14ac:dyDescent="0.3">
      <c r="A32" s="151"/>
      <c r="B32" s="151"/>
      <c r="C32" s="151"/>
      <c r="D32" s="151"/>
      <c r="E32" s="151"/>
      <c r="F32" s="151"/>
      <c r="G32" s="29" t="s">
        <v>80</v>
      </c>
      <c r="H32" s="29" t="s">
        <v>78</v>
      </c>
      <c r="I32" s="29">
        <f>'MERCADO TE'!$U$29</f>
        <v>0</v>
      </c>
      <c r="J32" s="15"/>
      <c r="L32" s="26">
        <f>1 - CUSTOS!$M$30</f>
        <v>1</v>
      </c>
      <c r="M32" s="26">
        <f>1 - CUSTOS!$M$30</f>
        <v>1</v>
      </c>
      <c r="N32" s="26">
        <f>1 - CUSTOS!$M$30</f>
        <v>1</v>
      </c>
      <c r="O32" s="26">
        <f>1 - CUSTOS!$M$30</f>
        <v>1</v>
      </c>
      <c r="P32" s="26">
        <f>1 - CUSTOS!$M$30</f>
        <v>1</v>
      </c>
      <c r="Q32" s="26"/>
      <c r="R32" s="26">
        <f>(1 - CUSTOS!$M$30)*1</f>
        <v>1</v>
      </c>
      <c r="S32" s="26"/>
      <c r="T32" s="26">
        <f>1 - CUSTOS!$M$30</f>
        <v>1</v>
      </c>
      <c r="U32" s="26">
        <f>1 - CUSTOS!$M$30</f>
        <v>1</v>
      </c>
      <c r="V32" s="26">
        <f>1 - CUSTOS!$M$30</f>
        <v>1</v>
      </c>
      <c r="W32" s="26"/>
      <c r="X32" s="26"/>
      <c r="Y32" s="26"/>
      <c r="Z32" s="26">
        <f>1 - CUSTOS!$M$30</f>
        <v>1</v>
      </c>
      <c r="AA32" s="26"/>
      <c r="AB32" s="26"/>
    </row>
    <row r="33" spans="1:28" ht="11.25" customHeight="1" x14ac:dyDescent="0.3">
      <c r="A33" s="151"/>
      <c r="B33" s="28" t="s">
        <v>90</v>
      </c>
      <c r="C33" s="28" t="s">
        <v>42</v>
      </c>
      <c r="D33" s="28" t="s">
        <v>94</v>
      </c>
      <c r="E33" s="28" t="s">
        <v>25</v>
      </c>
      <c r="F33" s="28" t="s">
        <v>25</v>
      </c>
      <c r="G33" s="29" t="s">
        <v>84</v>
      </c>
      <c r="H33" s="29" t="s">
        <v>78</v>
      </c>
      <c r="I33" s="29">
        <f>'MERCADO TE'!$U$30</f>
        <v>0</v>
      </c>
      <c r="J33" s="15"/>
      <c r="L33" s="26">
        <f>1 - CUSTOS!$M$30</f>
        <v>1</v>
      </c>
      <c r="M33" s="26">
        <f>1 - CUSTOS!$M$30</f>
        <v>1</v>
      </c>
      <c r="N33" s="26">
        <f>1 - CUSTOS!$M$30</f>
        <v>1</v>
      </c>
      <c r="O33" s="26">
        <f>1 - CUSTOS!$M$30</f>
        <v>1</v>
      </c>
      <c r="P33" s="26">
        <f>1 - CUSTOS!$M$30</f>
        <v>1</v>
      </c>
      <c r="Q33" s="26"/>
      <c r="R33" s="26">
        <f>(1 - CUSTOS!$M$30)*1.06</f>
        <v>1.06</v>
      </c>
      <c r="S33" s="26"/>
      <c r="T33" s="26">
        <f>1 - CUSTOS!$M$30</f>
        <v>1</v>
      </c>
      <c r="U33" s="26">
        <f>1 - CUSTOS!$M$30</f>
        <v>1</v>
      </c>
      <c r="V33" s="26">
        <f>1 - CUSTOS!$M$30</f>
        <v>1</v>
      </c>
      <c r="W33" s="26"/>
      <c r="X33" s="26"/>
      <c r="Y33" s="26"/>
      <c r="Z33" s="26">
        <f>1 - CUSTOS!$M$30</f>
        <v>1</v>
      </c>
      <c r="AA33" s="26"/>
      <c r="AB33" s="26"/>
    </row>
    <row r="34" spans="1:28" ht="11.25" customHeight="1" x14ac:dyDescent="0.3">
      <c r="A34" s="151"/>
      <c r="B34" s="151" t="s">
        <v>91</v>
      </c>
      <c r="C34" s="151" t="s">
        <v>42</v>
      </c>
      <c r="D34" s="28" t="s">
        <v>25</v>
      </c>
      <c r="E34" s="28" t="s">
        <v>25</v>
      </c>
      <c r="F34" s="28" t="s">
        <v>25</v>
      </c>
      <c r="G34" s="29" t="s">
        <v>84</v>
      </c>
      <c r="H34" s="29" t="s">
        <v>78</v>
      </c>
      <c r="I34" s="29">
        <f>'MERCADO TE'!$U$31</f>
        <v>0</v>
      </c>
      <c r="J34" s="15"/>
      <c r="L34" s="26">
        <f>1 - CUSTOS!$M$28</f>
        <v>1</v>
      </c>
      <c r="M34" s="26">
        <f>1 - CUSTOS!$M$28</f>
        <v>1</v>
      </c>
      <c r="N34" s="26">
        <f>1 - CUSTOS!$M$28</f>
        <v>1</v>
      </c>
      <c r="O34" s="26">
        <f>1 - CUSTOS!$M$28</f>
        <v>1</v>
      </c>
      <c r="P34" s="26">
        <f>1 - CUSTOS!$M$28</f>
        <v>1</v>
      </c>
      <c r="Q34" s="26"/>
      <c r="R34" s="26">
        <f>(1 - CUSTOS!$M$28)*1.06</f>
        <v>1.06</v>
      </c>
      <c r="S34" s="26"/>
      <c r="T34" s="26">
        <f>1 - CUSTOS!$M$28</f>
        <v>1</v>
      </c>
      <c r="U34" s="26">
        <f>1 - CUSTOS!$M$28</f>
        <v>1</v>
      </c>
      <c r="V34" s="26">
        <f>1 - CUSTOS!$M$28</f>
        <v>1</v>
      </c>
      <c r="W34" s="26"/>
      <c r="X34" s="26"/>
      <c r="Y34" s="26"/>
      <c r="Z34" s="26">
        <f>1 - CUSTOS!$M$28</f>
        <v>1</v>
      </c>
      <c r="AA34" s="26"/>
      <c r="AB34" s="26"/>
    </row>
    <row r="35" spans="1:28" ht="11.25" customHeight="1" x14ac:dyDescent="0.3">
      <c r="A35" s="151"/>
      <c r="B35" s="151"/>
      <c r="C35" s="151"/>
      <c r="D35" s="28" t="s">
        <v>93</v>
      </c>
      <c r="E35" s="28" t="s">
        <v>25</v>
      </c>
      <c r="F35" s="28" t="s">
        <v>25</v>
      </c>
      <c r="G35" s="29" t="s">
        <v>84</v>
      </c>
      <c r="H35" s="29" t="s">
        <v>78</v>
      </c>
      <c r="I35" s="29">
        <f>'MERCADO TE'!$U$32</f>
        <v>0</v>
      </c>
      <c r="J35" s="15"/>
      <c r="L35" s="26">
        <f>1 - CUSTOS!$M$29</f>
        <v>1</v>
      </c>
      <c r="M35" s="26">
        <f>1 - CUSTOS!$M$29</f>
        <v>1</v>
      </c>
      <c r="N35" s="26">
        <f>1 - CUSTOS!$M$29</f>
        <v>1</v>
      </c>
      <c r="O35" s="26">
        <f>1 - CUSTOS!$M$29</f>
        <v>1</v>
      </c>
      <c r="P35" s="26">
        <f>1 - CUSTOS!$M$29</f>
        <v>1</v>
      </c>
      <c r="Q35" s="26"/>
      <c r="R35" s="26">
        <f>(1 - CUSTOS!$M$29)*1.06</f>
        <v>1.06</v>
      </c>
      <c r="S35" s="26"/>
      <c r="T35" s="26">
        <f>1 - CUSTOS!$M$29</f>
        <v>1</v>
      </c>
      <c r="U35" s="26">
        <f>1 - CUSTOS!$M$29</f>
        <v>1</v>
      </c>
      <c r="V35" s="26">
        <f>1 - CUSTOS!$M$29</f>
        <v>1</v>
      </c>
      <c r="W35" s="26"/>
      <c r="X35" s="26"/>
      <c r="Y35" s="26"/>
      <c r="Z35" s="26">
        <f>1 - CUSTOS!$M$29</f>
        <v>1</v>
      </c>
      <c r="AA35" s="26"/>
      <c r="AB35" s="26"/>
    </row>
    <row r="36" spans="1:28" ht="11.25" customHeight="1" x14ac:dyDescent="0.3">
      <c r="A36" s="151"/>
      <c r="B36" s="151"/>
      <c r="C36" s="151"/>
      <c r="D36" s="28" t="s">
        <v>94</v>
      </c>
      <c r="E36" s="28" t="s">
        <v>25</v>
      </c>
      <c r="F36" s="28" t="s">
        <v>25</v>
      </c>
      <c r="G36" s="29" t="s">
        <v>84</v>
      </c>
      <c r="H36" s="29" t="s">
        <v>78</v>
      </c>
      <c r="I36" s="29">
        <f>'MERCADO TE'!$U$33</f>
        <v>0</v>
      </c>
      <c r="J36" s="15"/>
      <c r="L36" s="26">
        <f>1 - CUSTOS!$M$30</f>
        <v>1</v>
      </c>
      <c r="M36" s="26">
        <f>1 - CUSTOS!$M$30</f>
        <v>1</v>
      </c>
      <c r="N36" s="26">
        <f>1 - CUSTOS!$M$30</f>
        <v>1</v>
      </c>
      <c r="O36" s="26">
        <f>1 - CUSTOS!$M$30</f>
        <v>1</v>
      </c>
      <c r="P36" s="26">
        <f>1 - CUSTOS!$M$30</f>
        <v>1</v>
      </c>
      <c r="Q36" s="26"/>
      <c r="R36" s="26">
        <f>(1 - CUSTOS!$M$30)*1.06</f>
        <v>1.06</v>
      </c>
      <c r="S36" s="26"/>
      <c r="T36" s="26">
        <f>1 - CUSTOS!$M$30</f>
        <v>1</v>
      </c>
      <c r="U36" s="26">
        <f>1 - CUSTOS!$M$30</f>
        <v>1</v>
      </c>
      <c r="V36" s="26">
        <f>1 - CUSTOS!$M$30</f>
        <v>1</v>
      </c>
      <c r="W36" s="26"/>
      <c r="X36" s="26"/>
      <c r="Y36" s="26"/>
      <c r="Z36" s="26">
        <f>1 - CUSTOS!$M$30</f>
        <v>1</v>
      </c>
      <c r="AA36" s="26"/>
      <c r="AB36" s="26"/>
    </row>
    <row r="37" spans="1:28" ht="11.25" customHeight="1" x14ac:dyDescent="0.3">
      <c r="A37" s="151" t="s">
        <v>32</v>
      </c>
      <c r="B37" s="151" t="s">
        <v>77</v>
      </c>
      <c r="C37" s="151" t="s">
        <v>25</v>
      </c>
      <c r="D37" s="151" t="s">
        <v>25</v>
      </c>
      <c r="E37" s="151" t="s">
        <v>25</v>
      </c>
      <c r="F37" s="151" t="s">
        <v>25</v>
      </c>
      <c r="G37" s="29" t="s">
        <v>79</v>
      </c>
      <c r="H37" s="29" t="s">
        <v>78</v>
      </c>
      <c r="I37" s="29">
        <f>'MERCADO TE'!$U$34</f>
        <v>4.4679999999999991</v>
      </c>
      <c r="J37" s="15"/>
      <c r="L37" s="26">
        <f>1 - CUSTOS!$M$31</f>
        <v>1</v>
      </c>
      <c r="M37" s="26">
        <f>1 - CUSTOS!$M$31</f>
        <v>1</v>
      </c>
      <c r="N37" s="26">
        <f>1 - CUSTOS!$M$31</f>
        <v>1</v>
      </c>
      <c r="O37" s="26">
        <f>1 - CUSTOS!$M$31</f>
        <v>1</v>
      </c>
      <c r="P37" s="26">
        <f>1 - CUSTOS!$M$31</f>
        <v>1</v>
      </c>
      <c r="Q37" s="26"/>
      <c r="R37" s="26">
        <f>(1 - CUSTOS!$M$31)*1.72</f>
        <v>1.72</v>
      </c>
      <c r="S37" s="26"/>
      <c r="T37" s="26">
        <f>1 - CUSTOS!$M$31</f>
        <v>1</v>
      </c>
      <c r="U37" s="26">
        <f>1 - CUSTOS!$M$31</f>
        <v>1</v>
      </c>
      <c r="V37" s="26">
        <f>1 - CUSTOS!$M$31</f>
        <v>1</v>
      </c>
      <c r="W37" s="26"/>
      <c r="X37" s="26"/>
      <c r="Y37" s="26"/>
      <c r="Z37" s="26">
        <f>1 - CUSTOS!$M$31</f>
        <v>1</v>
      </c>
      <c r="AA37" s="26"/>
      <c r="AB37" s="26"/>
    </row>
    <row r="38" spans="1:28" ht="11.25" customHeight="1" x14ac:dyDescent="0.3">
      <c r="A38" s="151"/>
      <c r="B38" s="151"/>
      <c r="C38" s="151"/>
      <c r="D38" s="151"/>
      <c r="E38" s="151"/>
      <c r="F38" s="151"/>
      <c r="G38" s="29" t="s">
        <v>89</v>
      </c>
      <c r="H38" s="29" t="s">
        <v>78</v>
      </c>
      <c r="I38" s="29">
        <f>'MERCADO TE'!$U$35</f>
        <v>4.7860000000000005</v>
      </c>
      <c r="J38" s="15"/>
      <c r="L38" s="26">
        <f>1 - CUSTOS!$M$31</f>
        <v>1</v>
      </c>
      <c r="M38" s="26">
        <f>1 - CUSTOS!$M$31</f>
        <v>1</v>
      </c>
      <c r="N38" s="26">
        <f>1 - CUSTOS!$M$31</f>
        <v>1</v>
      </c>
      <c r="O38" s="26">
        <f>1 - CUSTOS!$M$31</f>
        <v>1</v>
      </c>
      <c r="P38" s="26">
        <f>1 - CUSTOS!$M$31</f>
        <v>1</v>
      </c>
      <c r="Q38" s="26"/>
      <c r="R38" s="26">
        <f>(1 - CUSTOS!$M$31)*1</f>
        <v>1</v>
      </c>
      <c r="S38" s="26"/>
      <c r="T38" s="26">
        <f>1 - CUSTOS!$M$31</f>
        <v>1</v>
      </c>
      <c r="U38" s="26">
        <f>1 - CUSTOS!$M$31</f>
        <v>1</v>
      </c>
      <c r="V38" s="26">
        <f>1 - CUSTOS!$M$31</f>
        <v>1</v>
      </c>
      <c r="W38" s="26"/>
      <c r="X38" s="26"/>
      <c r="Y38" s="26"/>
      <c r="Z38" s="26">
        <f>1 - CUSTOS!$M$31</f>
        <v>1</v>
      </c>
      <c r="AA38" s="26"/>
      <c r="AB38" s="26"/>
    </row>
    <row r="39" spans="1:28" ht="11.25" customHeight="1" x14ac:dyDescent="0.3">
      <c r="A39" s="151"/>
      <c r="B39" s="151"/>
      <c r="C39" s="151"/>
      <c r="D39" s="151"/>
      <c r="E39" s="151"/>
      <c r="F39" s="151"/>
      <c r="G39" s="29" t="s">
        <v>80</v>
      </c>
      <c r="H39" s="29" t="s">
        <v>78</v>
      </c>
      <c r="I39" s="29">
        <f>'MERCADO TE'!$U$36</f>
        <v>153.63399999999999</v>
      </c>
      <c r="J39" s="15"/>
      <c r="L39" s="26">
        <f>1 - CUSTOS!$M$31</f>
        <v>1</v>
      </c>
      <c r="M39" s="26">
        <f>1 - CUSTOS!$M$31</f>
        <v>1</v>
      </c>
      <c r="N39" s="26">
        <f>1 - CUSTOS!$M$31</f>
        <v>1</v>
      </c>
      <c r="O39" s="26">
        <f>1 - CUSTOS!$M$31</f>
        <v>1</v>
      </c>
      <c r="P39" s="26">
        <f>1 - CUSTOS!$M$31</f>
        <v>1</v>
      </c>
      <c r="Q39" s="26"/>
      <c r="R39" s="26">
        <f>(1 - CUSTOS!$M$31)*1</f>
        <v>1</v>
      </c>
      <c r="S39" s="26"/>
      <c r="T39" s="26">
        <f>1 - CUSTOS!$M$31</f>
        <v>1</v>
      </c>
      <c r="U39" s="26">
        <f>1 - CUSTOS!$M$31</f>
        <v>1</v>
      </c>
      <c r="V39" s="26">
        <f>1 - CUSTOS!$M$31</f>
        <v>1</v>
      </c>
      <c r="W39" s="26"/>
      <c r="X39" s="26"/>
      <c r="Y39" s="26"/>
      <c r="Z39" s="26">
        <f>1 - CUSTOS!$M$31</f>
        <v>1</v>
      </c>
      <c r="AA39" s="26"/>
      <c r="AB39" s="26"/>
    </row>
    <row r="40" spans="1:28" ht="11.25" customHeight="1" x14ac:dyDescent="0.3">
      <c r="A40" s="151"/>
      <c r="B40" s="28" t="s">
        <v>90</v>
      </c>
      <c r="C40" s="28" t="s">
        <v>25</v>
      </c>
      <c r="D40" s="28" t="s">
        <v>25</v>
      </c>
      <c r="E40" s="28" t="s">
        <v>25</v>
      </c>
      <c r="F40" s="28" t="s">
        <v>25</v>
      </c>
      <c r="G40" s="29" t="s">
        <v>84</v>
      </c>
      <c r="H40" s="29" t="s">
        <v>78</v>
      </c>
      <c r="I40" s="29">
        <f>'MERCADO TE'!$U$37</f>
        <v>6434.8159999999998</v>
      </c>
      <c r="J40" s="15"/>
      <c r="L40" s="26">
        <f>1 - CUSTOS!$M$31</f>
        <v>1</v>
      </c>
      <c r="M40" s="26">
        <f>1 - CUSTOS!$M$31</f>
        <v>1</v>
      </c>
      <c r="N40" s="26">
        <f>1 - CUSTOS!$M$31</f>
        <v>1</v>
      </c>
      <c r="O40" s="26">
        <f>1 - CUSTOS!$M$31</f>
        <v>1</v>
      </c>
      <c r="P40" s="26">
        <f>1 - CUSTOS!$M$31</f>
        <v>1</v>
      </c>
      <c r="Q40" s="26"/>
      <c r="R40" s="26">
        <f>(1 - CUSTOS!$M$31)*1.06</f>
        <v>1.06</v>
      </c>
      <c r="S40" s="26"/>
      <c r="T40" s="26">
        <f>1 - CUSTOS!$M$31</f>
        <v>1</v>
      </c>
      <c r="U40" s="26">
        <f>1 - CUSTOS!$M$31</f>
        <v>1</v>
      </c>
      <c r="V40" s="26">
        <f>1 - CUSTOS!$M$31</f>
        <v>1</v>
      </c>
      <c r="W40" s="26"/>
      <c r="X40" s="26"/>
      <c r="Y40" s="26"/>
      <c r="Z40" s="26">
        <f>1 - CUSTOS!$M$31</f>
        <v>1</v>
      </c>
      <c r="AA40" s="26"/>
      <c r="AB40" s="26"/>
    </row>
    <row r="41" spans="1:28" ht="11.25" customHeight="1" x14ac:dyDescent="0.3">
      <c r="A41" s="151"/>
      <c r="B41" s="28" t="s">
        <v>91</v>
      </c>
      <c r="C41" s="28" t="s">
        <v>25</v>
      </c>
      <c r="D41" s="28" t="s">
        <v>25</v>
      </c>
      <c r="E41" s="28" t="s">
        <v>25</v>
      </c>
      <c r="F41" s="28" t="s">
        <v>25</v>
      </c>
      <c r="G41" s="29" t="s">
        <v>84</v>
      </c>
      <c r="H41" s="29" t="s">
        <v>78</v>
      </c>
      <c r="I41" s="29">
        <f>'MERCADO TE'!$U$38</f>
        <v>0</v>
      </c>
      <c r="J41" s="15"/>
      <c r="L41" s="26">
        <f>1 - CUSTOS!$M$31</f>
        <v>1</v>
      </c>
      <c r="M41" s="26">
        <f>1 - CUSTOS!$M$31</f>
        <v>1</v>
      </c>
      <c r="N41" s="26">
        <f>1 - CUSTOS!$M$31</f>
        <v>1</v>
      </c>
      <c r="O41" s="26">
        <f>1 - CUSTOS!$M$31</f>
        <v>1</v>
      </c>
      <c r="P41" s="26">
        <f>1 - CUSTOS!$M$31</f>
        <v>1</v>
      </c>
      <c r="Q41" s="26"/>
      <c r="R41" s="26">
        <f>(1 - CUSTOS!$M$31)*1.06</f>
        <v>1.06</v>
      </c>
      <c r="S41" s="26"/>
      <c r="T41" s="26">
        <f>1 - CUSTOS!$M$31</f>
        <v>1</v>
      </c>
      <c r="U41" s="26">
        <f>1 - CUSTOS!$M$31</f>
        <v>1</v>
      </c>
      <c r="V41" s="26">
        <f>1 - CUSTOS!$M$31</f>
        <v>1</v>
      </c>
      <c r="W41" s="26"/>
      <c r="X41" s="26"/>
      <c r="Y41" s="26"/>
      <c r="Z41" s="26">
        <f>1 - CUSTOS!$M$31</f>
        <v>1</v>
      </c>
      <c r="AA41" s="26"/>
      <c r="AB41" s="26"/>
    </row>
    <row r="42" spans="1:28" ht="11.25" customHeight="1" x14ac:dyDescent="0.3">
      <c r="A42" s="151" t="s">
        <v>44</v>
      </c>
      <c r="B42" s="151" t="s">
        <v>90</v>
      </c>
      <c r="C42" s="151" t="s">
        <v>45</v>
      </c>
      <c r="D42" s="28" t="s">
        <v>46</v>
      </c>
      <c r="E42" s="28" t="s">
        <v>25</v>
      </c>
      <c r="F42" s="28" t="s">
        <v>25</v>
      </c>
      <c r="G42" s="29" t="s">
        <v>84</v>
      </c>
      <c r="H42" s="29" t="s">
        <v>78</v>
      </c>
      <c r="I42" s="29">
        <f>'MERCADO TE'!$U$39</f>
        <v>2415.7070000000003</v>
      </c>
      <c r="J42" s="15"/>
      <c r="L42" s="26">
        <f>1 - CUSTOS!$M$32</f>
        <v>0.55000000000000004</v>
      </c>
      <c r="M42" s="26">
        <f>1 - CUSTOS!$M$32</f>
        <v>0.55000000000000004</v>
      </c>
      <c r="N42" s="26">
        <f>1 - CUSTOS!$M$32</f>
        <v>0.55000000000000004</v>
      </c>
      <c r="O42" s="26">
        <f>1 - CUSTOS!$M$32</f>
        <v>0.55000000000000004</v>
      </c>
      <c r="P42" s="26">
        <f>1 - CUSTOS!$M$32</f>
        <v>0.55000000000000004</v>
      </c>
      <c r="Q42" s="26"/>
      <c r="R42" s="26">
        <f>(1 - CUSTOS!$M$32)*1.06</f>
        <v>0.58300000000000007</v>
      </c>
      <c r="S42" s="26"/>
      <c r="T42" s="26">
        <f>1 - CUSTOS!$M$32</f>
        <v>0.55000000000000004</v>
      </c>
      <c r="U42" s="26">
        <f>1 - CUSTOS!$M$32</f>
        <v>0.55000000000000004</v>
      </c>
      <c r="V42" s="26">
        <f>1 - CUSTOS!$M$32</f>
        <v>0.55000000000000004</v>
      </c>
      <c r="W42" s="26"/>
      <c r="X42" s="26"/>
      <c r="Y42" s="26"/>
      <c r="Z42" s="26">
        <f>1 - CUSTOS!$M$32</f>
        <v>0.55000000000000004</v>
      </c>
      <c r="AA42" s="26"/>
      <c r="AB42" s="26"/>
    </row>
    <row r="43" spans="1:28" ht="11.25" customHeight="1" x14ac:dyDescent="0.3">
      <c r="A43" s="151"/>
      <c r="B43" s="151"/>
      <c r="C43" s="151"/>
      <c r="D43" s="29" t="s">
        <v>95</v>
      </c>
      <c r="E43" s="29" t="s">
        <v>25</v>
      </c>
      <c r="F43" s="29" t="s">
        <v>25</v>
      </c>
      <c r="G43" s="29" t="s">
        <v>84</v>
      </c>
      <c r="H43" s="29" t="s">
        <v>78</v>
      </c>
      <c r="I43" s="29">
        <f>'MERCADO TE'!$U$40</f>
        <v>0</v>
      </c>
      <c r="J43" s="15"/>
      <c r="L43" s="26">
        <f>1 - CUSTOS!$M$33</f>
        <v>0.6</v>
      </c>
      <c r="M43" s="26">
        <f>1 - CUSTOS!$M$33</f>
        <v>0.6</v>
      </c>
      <c r="N43" s="26">
        <f>1 - CUSTOS!$M$33</f>
        <v>0.6</v>
      </c>
      <c r="O43" s="26">
        <f>1 - CUSTOS!$M$33</f>
        <v>0.6</v>
      </c>
      <c r="P43" s="26">
        <f>1 - CUSTOS!$M$33</f>
        <v>0.6</v>
      </c>
      <c r="Q43" s="26"/>
      <c r="R43" s="26">
        <f>(1 - CUSTOS!$M$33)*1.06</f>
        <v>0.63600000000000001</v>
      </c>
      <c r="S43" s="26"/>
      <c r="T43" s="26">
        <f>1 - CUSTOS!$M$33</f>
        <v>0.6</v>
      </c>
      <c r="U43" s="26">
        <f>1 - CUSTOS!$M$33</f>
        <v>0.6</v>
      </c>
      <c r="V43" s="26">
        <f>1 - CUSTOS!$M$33</f>
        <v>0.6</v>
      </c>
      <c r="W43" s="26"/>
      <c r="X43" s="26"/>
      <c r="Y43" s="26"/>
      <c r="Z43" s="26">
        <f>1 - CUSTOS!$M$33</f>
        <v>0.6</v>
      </c>
      <c r="AA43" s="26"/>
      <c r="AB43" s="26"/>
    </row>
    <row r="45" spans="1:28" ht="11.25" customHeight="1" x14ac:dyDescent="0.3">
      <c r="K45" s="31" t="s">
        <v>610</v>
      </c>
      <c r="L45" s="26">
        <f t="shared" ref="L45:AB45" si="0">SUMPRODUCT($I$5:$I$43,L$5:L$43)</f>
        <v>26620.373639999998</v>
      </c>
      <c r="M45" s="26">
        <f t="shared" si="0"/>
        <v>26620.373639999998</v>
      </c>
      <c r="N45" s="26">
        <f t="shared" si="0"/>
        <v>26620.373639999998</v>
      </c>
      <c r="O45" s="26">
        <f t="shared" si="0"/>
        <v>26620.373639999998</v>
      </c>
      <c r="P45" s="26">
        <f t="shared" si="0"/>
        <v>26620.373639999998</v>
      </c>
      <c r="Q45" s="26">
        <f t="shared" si="0"/>
        <v>0</v>
      </c>
      <c r="R45" s="26">
        <f t="shared" si="0"/>
        <v>28195.783507799995</v>
      </c>
      <c r="S45" s="26">
        <f t="shared" si="0"/>
        <v>0</v>
      </c>
      <c r="T45" s="26">
        <f t="shared" si="0"/>
        <v>26620.373639999998</v>
      </c>
      <c r="U45" s="26">
        <f t="shared" si="0"/>
        <v>26620.373639999998</v>
      </c>
      <c r="V45" s="26">
        <f t="shared" si="0"/>
        <v>26620.373639999998</v>
      </c>
      <c r="W45" s="26">
        <f t="shared" si="0"/>
        <v>0</v>
      </c>
      <c r="X45" s="26">
        <f t="shared" si="0"/>
        <v>0</v>
      </c>
      <c r="Y45" s="26">
        <f t="shared" si="0"/>
        <v>0</v>
      </c>
      <c r="Z45" s="26">
        <f t="shared" si="0"/>
        <v>26620.373639999998</v>
      </c>
      <c r="AA45" s="26">
        <f t="shared" si="0"/>
        <v>0</v>
      </c>
      <c r="AB45" s="26">
        <f t="shared" si="0"/>
        <v>0</v>
      </c>
    </row>
    <row r="46" spans="1:28" ht="11.25" customHeight="1" x14ac:dyDescent="0.3">
      <c r="K46" s="31" t="s">
        <v>529</v>
      </c>
      <c r="L46" s="26">
        <f>CUSTOS!$D$30</f>
        <v>82257.56100855222</v>
      </c>
      <c r="M46" s="26">
        <f>CUSTOS!$D$31</f>
        <v>0</v>
      </c>
      <c r="N46" s="26">
        <f>CUSTOS!$D$32</f>
        <v>0</v>
      </c>
      <c r="O46" s="26">
        <f>CUSTOS!$D$33</f>
        <v>125479.99392871892</v>
      </c>
      <c r="P46" s="26">
        <f>CUSTOS!$D$34</f>
        <v>0</v>
      </c>
      <c r="Q46" s="26">
        <f>CUSTOS!$D$35</f>
        <v>207737.55493727114</v>
      </c>
      <c r="R46" s="26">
        <f>CUSTOS!$D$36</f>
        <v>7731659.0407707803</v>
      </c>
      <c r="S46" s="26">
        <f>CUSTOS!$D$37</f>
        <v>7731659.0407707803</v>
      </c>
      <c r="T46" s="26">
        <f>CUSTOS!$D$38</f>
        <v>0</v>
      </c>
      <c r="U46" s="26">
        <f>CUSTOS!$D$39</f>
        <v>0</v>
      </c>
      <c r="V46" s="26">
        <f>CUSTOS!$D$40</f>
        <v>0</v>
      </c>
      <c r="W46" s="26">
        <f>CUSTOS!$D$41</f>
        <v>0</v>
      </c>
      <c r="X46" s="26">
        <f>CUSTOS!$D$42</f>
        <v>0</v>
      </c>
      <c r="Y46" s="26">
        <f>CUSTOS!$D$43</f>
        <v>0</v>
      </c>
      <c r="Z46" s="26">
        <f>CUSTOS!$D$44</f>
        <v>0</v>
      </c>
      <c r="AA46" s="26">
        <f>CUSTOS!$D$45</f>
        <v>0</v>
      </c>
      <c r="AB46" s="26">
        <f>CUSTOS!$D$46</f>
        <v>7939396.5957080517</v>
      </c>
    </row>
    <row r="47" spans="1:28" ht="11.25" customHeight="1" x14ac:dyDescent="0.3">
      <c r="K47" s="31" t="s">
        <v>530</v>
      </c>
      <c r="L47" s="26">
        <f>CUSTOS!$E$30</f>
        <v>3.53414010892555E-2</v>
      </c>
      <c r="M47" s="26">
        <f>CUSTOS!$E$31</f>
        <v>0</v>
      </c>
      <c r="N47" s="26">
        <f>CUSTOS!$E$32</f>
        <v>0</v>
      </c>
      <c r="O47" s="26">
        <f>CUSTOS!$E$33</f>
        <v>-989.03942869072853</v>
      </c>
      <c r="P47" s="26">
        <f>CUSTOS!$E$34</f>
        <v>0</v>
      </c>
      <c r="Q47" s="26">
        <f>CUSTOS!$E$35</f>
        <v>-989.0040872896393</v>
      </c>
      <c r="R47" s="26">
        <f>CUSTOS!$E$36</f>
        <v>33591.423936014617</v>
      </c>
      <c r="S47" s="26">
        <f>CUSTOS!$E$37</f>
        <v>33591.423936014617</v>
      </c>
      <c r="T47" s="26">
        <f>CUSTOS!$E$38</f>
        <v>0</v>
      </c>
      <c r="U47" s="26">
        <f>CUSTOS!$E$39</f>
        <v>0</v>
      </c>
      <c r="V47" s="26">
        <f>CUSTOS!$E$40</f>
        <v>0</v>
      </c>
      <c r="W47" s="26">
        <f>CUSTOS!$E$41</f>
        <v>0</v>
      </c>
      <c r="X47" s="26">
        <f>CUSTOS!$E$42</f>
        <v>-311895.76460246748</v>
      </c>
      <c r="Y47" s="26">
        <f>CUSTOS!$E$43</f>
        <v>-311895.76460246748</v>
      </c>
      <c r="Z47" s="26">
        <f>CUSTOS!$E$44</f>
        <v>0</v>
      </c>
      <c r="AA47" s="26">
        <f>CUSTOS!$E$45</f>
        <v>0</v>
      </c>
      <c r="AB47" s="26">
        <f>CUSTOS!$E$46</f>
        <v>-279293.34475374251</v>
      </c>
    </row>
    <row r="48" spans="1:28" ht="11.25" customHeight="1" x14ac:dyDescent="0.3">
      <c r="K48" s="31" t="s">
        <v>531</v>
      </c>
      <c r="L48" s="26">
        <f>CUSTOS!$F$30</f>
        <v>0</v>
      </c>
      <c r="M48" s="26">
        <f>CUSTOS!$F$31</f>
        <v>0</v>
      </c>
      <c r="N48" s="26">
        <f>CUSTOS!$F$32</f>
        <v>0</v>
      </c>
      <c r="O48" s="26">
        <f>CUSTOS!$F$33</f>
        <v>11069.956111878282</v>
      </c>
      <c r="P48" s="26">
        <f>CUSTOS!$F$34</f>
        <v>0</v>
      </c>
      <c r="Q48" s="26">
        <f>CUSTOS!$F$35</f>
        <v>11069.956111878282</v>
      </c>
      <c r="R48" s="26">
        <f>CUSTOS!$F$36</f>
        <v>-32509.338756552352</v>
      </c>
      <c r="S48" s="26">
        <f>CUSTOS!$F$37</f>
        <v>-32509.338756552352</v>
      </c>
      <c r="T48" s="26">
        <f>CUSTOS!$F$38</f>
        <v>0</v>
      </c>
      <c r="U48" s="26">
        <f>CUSTOS!$F$39</f>
        <v>0</v>
      </c>
      <c r="V48" s="26">
        <f>CUSTOS!$F$40</f>
        <v>0</v>
      </c>
      <c r="W48" s="26">
        <f>CUSTOS!$F$41</f>
        <v>0</v>
      </c>
      <c r="X48" s="26">
        <f>CUSTOS!$F$42</f>
        <v>0</v>
      </c>
      <c r="Y48" s="26">
        <f>CUSTOS!$F$43</f>
        <v>0</v>
      </c>
      <c r="Z48" s="26">
        <f>CUSTOS!$F$44</f>
        <v>0</v>
      </c>
      <c r="AA48" s="26">
        <f>CUSTOS!$F$45</f>
        <v>0</v>
      </c>
      <c r="AB48" s="26">
        <f>CUSTOS!$F$46</f>
        <v>-21439.382644674071</v>
      </c>
    </row>
    <row r="49" spans="11:28" ht="11.25" customHeight="1" x14ac:dyDescent="0.3">
      <c r="K49" s="31" t="s">
        <v>611</v>
      </c>
      <c r="L49" s="26">
        <f>IF(SUMPRODUCT($I$5:$I$43,$L$5:$L$43)&lt;&gt;0,L46/SUMPRODUCT($I$5:$I$43,$L$5:$L$43),0)</f>
        <v>3.0900227818347115</v>
      </c>
      <c r="M49" s="26">
        <f>IF(SUMPRODUCT($I$5:$I$43,$M$5:$M$43)&lt;&gt;0,M46/SUMPRODUCT($I$5:$I$43,$M$5:$M$43),0)</f>
        <v>0</v>
      </c>
      <c r="N49" s="26">
        <f>IF(SUMPRODUCT($I$5:$I$43,$N$5:$N$43)&lt;&gt;0,N46/SUMPRODUCT($I$5:$I$43,$N$5:$N$43),0)</f>
        <v>0</v>
      </c>
      <c r="O49" s="26">
        <f>IF(SUMPRODUCT($I$5:$I$43,$O$5:$O$43)&lt;&gt;0,O46/SUMPRODUCT($I$5:$I$43,$O$5:$O$43),0)</f>
        <v>4.7136826712368762</v>
      </c>
      <c r="P49" s="26">
        <f>IF(SUMPRODUCT($I$5:$I$43,$P$5:$P$43)&lt;&gt;0,P46/SUMPRODUCT($I$5:$I$43,$P$5:$P$43),0)</f>
        <v>0</v>
      </c>
      <c r="Q49" s="26"/>
      <c r="R49" s="26">
        <f>IF((CUSTOS!$M$12-CUSTOS!$M$13)&lt;&gt;0,(CUSTOS!$M$12*CUSTOS!$M$14)/(CUSTOS!$M$12-CUSTOS!$M$13),0)</f>
        <v>284.99</v>
      </c>
      <c r="S49" s="26"/>
      <c r="T49" s="26">
        <f>IF(SUMPRODUCT($I$5:$I$43,$T$5:$T$43)&lt;&gt;0,T46/SUMPRODUCT($I$5:$I$43,$T$5:$T$43),0)</f>
        <v>0</v>
      </c>
      <c r="U49" s="26">
        <f>IF(SUMPRODUCT($I$5:$I$43,$U$5:$U$43)&lt;&gt;0,U46/SUMPRODUCT($I$5:$I$43,$U$5:$U$43),0)</f>
        <v>0</v>
      </c>
      <c r="V49" s="26">
        <f>IF(SUMPRODUCT($I$5:$I$43,$V$5:$V$43)&lt;&gt;0,V46/SUMPRODUCT($I$5:$I$43,$V$5:$V$43),0)</f>
        <v>0</v>
      </c>
      <c r="W49" s="26"/>
      <c r="X49" s="26">
        <f>IF(SUMPRODUCT($I$5:$I$43,$X$5:$X$43)&lt;&gt;0,X46/SUMPRODUCT($I$5:$I$43,$X$5:$X$43),0)</f>
        <v>0</v>
      </c>
      <c r="Y49" s="26"/>
      <c r="Z49" s="26">
        <f>IF(SUMPRODUCT($I$5:$I$43,$Z$5:$Z$43)&lt;&gt;0,Z46/SUMPRODUCT($I$5:$I$43,$Z$5:$Z$43),0)</f>
        <v>0</v>
      </c>
      <c r="AA49" s="26"/>
      <c r="AB49" s="26"/>
    </row>
    <row r="50" spans="11:28" ht="11.25" customHeight="1" x14ac:dyDescent="0.3">
      <c r="K50" s="31" t="s">
        <v>612</v>
      </c>
      <c r="L50" s="26">
        <f>IF(L45&lt;&gt;0,(L46-L49*0)/(L45-0),0)</f>
        <v>3.0900227818347115</v>
      </c>
      <c r="M50" s="26">
        <f>IF(M45&lt;&gt;0,(M46-M49*0)/(M45-0),0)</f>
        <v>0</v>
      </c>
      <c r="N50" s="26">
        <f>IF(N45&lt;&gt;0,(N46-N49*0)/(N45-0),0)</f>
        <v>0</v>
      </c>
      <c r="O50" s="26">
        <f>IF(O45&lt;&gt;0,(O46-O49*0)/(O45-0),0)</f>
        <v>4.7136826712368762</v>
      </c>
      <c r="P50" s="26">
        <f>IF(P45&lt;&gt;0,(P46-P49*0)/(P45-0),0)</f>
        <v>0</v>
      </c>
      <c r="Q50" s="26"/>
      <c r="R50" s="26">
        <f>IF(R45&lt;&gt;0,(R46-R49*0)/(R45-0),0)</f>
        <v>274.21330705819605</v>
      </c>
      <c r="S50" s="26"/>
      <c r="T50" s="26">
        <f>IF(T45&lt;&gt;0,(T46-T49*0)/(T45-0),0)</f>
        <v>0</v>
      </c>
      <c r="U50" s="26">
        <f>IF(U45&lt;&gt;0,(U46-U49*0)/(U45-0),0)</f>
        <v>0</v>
      </c>
      <c r="V50" s="26">
        <f>IF(V45&lt;&gt;0,(V46-V49*0)/(V45-0),0)</f>
        <v>0</v>
      </c>
      <c r="W50" s="26"/>
      <c r="X50" s="26">
        <f>IF(X45&lt;&gt;0,(X46-X49*0)/(X45-0),0)</f>
        <v>0</v>
      </c>
      <c r="Y50" s="26"/>
      <c r="Z50" s="26">
        <f>IF(Z45&lt;&gt;0,(Z46-Z49*0)/(Z45-0),0)</f>
        <v>0</v>
      </c>
      <c r="AA50" s="26"/>
      <c r="AB50" s="26"/>
    </row>
    <row r="51" spans="11:28" ht="11.25" customHeight="1" x14ac:dyDescent="0.3">
      <c r="K51" s="31" t="s">
        <v>613</v>
      </c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</row>
  </sheetData>
  <mergeCells count="67"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  <mergeCell ref="E37:E39"/>
    <mergeCell ref="F37:F39"/>
    <mergeCell ref="A42:A43"/>
    <mergeCell ref="B42:B43"/>
    <mergeCell ref="C42:C43"/>
    <mergeCell ref="B34:B36"/>
    <mergeCell ref="C34:C36"/>
    <mergeCell ref="A37:A41"/>
    <mergeCell ref="B37:B39"/>
    <mergeCell ref="C37:C39"/>
    <mergeCell ref="D37:D39"/>
    <mergeCell ref="F26:F28"/>
    <mergeCell ref="B30:B32"/>
    <mergeCell ref="C30:C32"/>
    <mergeCell ref="D30:D32"/>
    <mergeCell ref="E30:E32"/>
    <mergeCell ref="F30:F32"/>
    <mergeCell ref="A22:A36"/>
    <mergeCell ref="B22:B24"/>
    <mergeCell ref="C22:C24"/>
    <mergeCell ref="D22:D24"/>
    <mergeCell ref="E22:E24"/>
    <mergeCell ref="F22:F24"/>
    <mergeCell ref="B26:B28"/>
    <mergeCell ref="C26:C28"/>
    <mergeCell ref="D26:D28"/>
    <mergeCell ref="E26:E28"/>
    <mergeCell ref="A9:A21"/>
    <mergeCell ref="B9:B11"/>
    <mergeCell ref="C9:C11"/>
    <mergeCell ref="D9:D11"/>
    <mergeCell ref="E9:E11"/>
    <mergeCell ref="F9:F11"/>
    <mergeCell ref="B12:B16"/>
    <mergeCell ref="C12:C16"/>
    <mergeCell ref="B17:B21"/>
    <mergeCell ref="C17:C21"/>
    <mergeCell ref="F7:F8"/>
    <mergeCell ref="A5:A6"/>
    <mergeCell ref="B5:B6"/>
    <mergeCell ref="C5:C6"/>
    <mergeCell ref="D5:D6"/>
    <mergeCell ref="E5:E6"/>
    <mergeCell ref="F5:F6"/>
    <mergeCell ref="A7:A8"/>
    <mergeCell ref="B7:B8"/>
    <mergeCell ref="C7:C8"/>
    <mergeCell ref="D7:D8"/>
    <mergeCell ref="E7:E8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464BB-8345-49E1-97F6-643595C24059}">
  <dimension ref="A1:AB51"/>
  <sheetViews>
    <sheetView showGridLines="0" topLeftCell="I28" workbookViewId="0">
      <selection activeCell="AB45" sqref="AB45"/>
    </sheetView>
  </sheetViews>
  <sheetFormatPr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9" width="7.109375" style="9" bestFit="1" customWidth="1"/>
    <col min="10" max="10" width="8.88671875" style="9"/>
    <col min="11" max="11" width="19.88671875" style="9" bestFit="1" customWidth="1"/>
    <col min="12" max="14" width="7.109375" style="9" bestFit="1" customWidth="1"/>
    <col min="15" max="15" width="10.33203125" style="9" bestFit="1" customWidth="1"/>
    <col min="16" max="16" width="7.6640625" style="9" bestFit="1" customWidth="1"/>
    <col min="17" max="17" width="8.5546875" style="9" bestFit="1" customWidth="1"/>
    <col min="18" max="18" width="14.44140625" style="9" bestFit="1" customWidth="1"/>
    <col min="19" max="19" width="9.109375" style="9" bestFit="1" customWidth="1"/>
    <col min="20" max="20" width="7.109375" style="9" bestFit="1" customWidth="1"/>
    <col min="21" max="21" width="9.77734375" style="9" bestFit="1" customWidth="1"/>
    <col min="22" max="22" width="7.109375" style="9" bestFit="1" customWidth="1"/>
    <col min="23" max="23" width="8.5546875" style="9" bestFit="1" customWidth="1"/>
    <col min="24" max="24" width="8.33203125" style="9" bestFit="1" customWidth="1"/>
    <col min="25" max="25" width="8.5546875" style="9" bestFit="1" customWidth="1"/>
    <col min="26" max="26" width="10.5546875" style="9" bestFit="1" customWidth="1"/>
    <col min="27" max="27" width="8.5546875" style="9" bestFit="1" customWidth="1"/>
    <col min="28" max="28" width="9.109375" style="9" bestFit="1" customWidth="1"/>
    <col min="29" max="16384" width="8.88671875" style="9"/>
  </cols>
  <sheetData>
    <row r="1" spans="1:28" ht="11.25" customHeight="1" x14ac:dyDescent="0.3">
      <c r="A1" s="152" t="s">
        <v>68</v>
      </c>
      <c r="B1" s="152" t="s">
        <v>69</v>
      </c>
      <c r="C1" s="152" t="s">
        <v>70</v>
      </c>
      <c r="D1" s="152" t="s">
        <v>71</v>
      </c>
      <c r="E1" s="152" t="s">
        <v>72</v>
      </c>
      <c r="F1" s="152" t="s">
        <v>15</v>
      </c>
      <c r="G1" s="152" t="s">
        <v>74</v>
      </c>
      <c r="H1" s="152" t="s">
        <v>75</v>
      </c>
      <c r="I1" s="152" t="s">
        <v>588</v>
      </c>
      <c r="J1" s="134"/>
      <c r="L1" s="153" t="s">
        <v>614</v>
      </c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153"/>
      <c r="AB1" s="153"/>
    </row>
    <row r="2" spans="1:28" ht="11.25" customHeight="1" x14ac:dyDescent="0.3">
      <c r="A2" s="152"/>
      <c r="B2" s="152"/>
      <c r="C2" s="152"/>
      <c r="D2" s="152"/>
      <c r="E2" s="152"/>
      <c r="F2" s="152"/>
      <c r="G2" s="152"/>
      <c r="H2" s="152"/>
      <c r="I2" s="152"/>
      <c r="J2" s="134"/>
      <c r="L2" s="153" t="s">
        <v>515</v>
      </c>
      <c r="M2" s="153"/>
      <c r="N2" s="153"/>
      <c r="O2" s="153"/>
      <c r="P2" s="153"/>
      <c r="Q2" s="153"/>
      <c r="R2" s="153"/>
      <c r="S2" s="153"/>
      <c r="T2" s="153"/>
      <c r="U2" s="153"/>
      <c r="V2" s="153"/>
      <c r="W2" s="153"/>
      <c r="X2" s="153"/>
      <c r="Y2" s="153"/>
      <c r="Z2" s="153"/>
      <c r="AA2" s="153"/>
      <c r="AB2" s="153"/>
    </row>
    <row r="3" spans="1:28" ht="11.25" customHeight="1" x14ac:dyDescent="0.3">
      <c r="A3" s="152"/>
      <c r="B3" s="152"/>
      <c r="C3" s="152"/>
      <c r="D3" s="152"/>
      <c r="E3" s="152"/>
      <c r="F3" s="152"/>
      <c r="G3" s="152"/>
      <c r="H3" s="152"/>
      <c r="I3" s="152"/>
      <c r="J3" s="134"/>
      <c r="L3" s="153" t="s">
        <v>488</v>
      </c>
      <c r="M3" s="153"/>
      <c r="N3" s="153"/>
      <c r="O3" s="153"/>
      <c r="P3" s="153"/>
      <c r="Q3" s="153"/>
      <c r="R3" s="153" t="s">
        <v>519</v>
      </c>
      <c r="S3" s="153"/>
      <c r="T3" s="153" t="s">
        <v>497</v>
      </c>
      <c r="U3" s="153"/>
      <c r="V3" s="153"/>
      <c r="W3" s="153"/>
      <c r="X3" s="153" t="s">
        <v>507</v>
      </c>
      <c r="Y3" s="153"/>
      <c r="Z3" s="153" t="s">
        <v>510</v>
      </c>
      <c r="AA3" s="153"/>
      <c r="AB3" s="153" t="s">
        <v>496</v>
      </c>
    </row>
    <row r="4" spans="1:28" ht="11.25" customHeight="1" x14ac:dyDescent="0.3">
      <c r="A4" s="152"/>
      <c r="B4" s="152"/>
      <c r="C4" s="152"/>
      <c r="D4" s="152"/>
      <c r="E4" s="152"/>
      <c r="F4" s="152"/>
      <c r="G4" s="152"/>
      <c r="H4" s="152"/>
      <c r="I4" s="152"/>
      <c r="J4" s="134"/>
      <c r="L4" s="30" t="s">
        <v>490</v>
      </c>
      <c r="M4" s="30" t="s">
        <v>516</v>
      </c>
      <c r="N4" s="30" t="s">
        <v>517</v>
      </c>
      <c r="O4" s="30" t="s">
        <v>576</v>
      </c>
      <c r="P4" s="30" t="s">
        <v>518</v>
      </c>
      <c r="Q4" s="30" t="s">
        <v>496</v>
      </c>
      <c r="R4" s="30" t="s">
        <v>520</v>
      </c>
      <c r="S4" s="30" t="s">
        <v>496</v>
      </c>
      <c r="T4" s="30" t="s">
        <v>521</v>
      </c>
      <c r="U4" s="30" t="s">
        <v>522</v>
      </c>
      <c r="V4" s="30" t="s">
        <v>523</v>
      </c>
      <c r="W4" s="30" t="s">
        <v>496</v>
      </c>
      <c r="X4" s="30" t="s">
        <v>508</v>
      </c>
      <c r="Y4" s="30" t="s">
        <v>496</v>
      </c>
      <c r="Z4" s="30" t="s">
        <v>524</v>
      </c>
      <c r="AA4" s="30" t="s">
        <v>496</v>
      </c>
      <c r="AB4" s="154"/>
    </row>
    <row r="5" spans="1:28" ht="11.25" customHeight="1" x14ac:dyDescent="0.3">
      <c r="A5" s="151" t="s">
        <v>61</v>
      </c>
      <c r="B5" s="151" t="s">
        <v>77</v>
      </c>
      <c r="C5" s="151" t="s">
        <v>25</v>
      </c>
      <c r="D5" s="151" t="s">
        <v>25</v>
      </c>
      <c r="E5" s="151" t="s">
        <v>25</v>
      </c>
      <c r="F5" s="151" t="s">
        <v>25</v>
      </c>
      <c r="G5" s="29" t="s">
        <v>79</v>
      </c>
      <c r="H5" s="29" t="s">
        <v>78</v>
      </c>
      <c r="I5" s="29">
        <f>'MERCADO TE'!$U$2</f>
        <v>0</v>
      </c>
      <c r="J5" s="15"/>
      <c r="L5" s="26">
        <f>'TR TE'!$L$5*'TR TE'!$L$50</f>
        <v>3.0900227818347115</v>
      </c>
      <c r="M5" s="26">
        <f>'TR TE'!$M$5*'TR TE'!$M$50</f>
        <v>0</v>
      </c>
      <c r="N5" s="26">
        <f>'TR TE'!$N$5*'TR TE'!$N$50</f>
        <v>0</v>
      </c>
      <c r="O5" s="26">
        <f>'TR TE'!$O$5*'TR TE'!$O$50</f>
        <v>4.7136826712368762</v>
      </c>
      <c r="P5" s="26">
        <f>'TR TE'!$P$5*'TR TE'!$P$50</f>
        <v>0</v>
      </c>
      <c r="Q5" s="26">
        <f>SUM($L$5:$P$5)</f>
        <v>7.8037054530715881</v>
      </c>
      <c r="R5" s="26">
        <f>'TR TE'!$R$5*'TR TE'!$R$50</f>
        <v>471.64688814009719</v>
      </c>
      <c r="S5" s="26">
        <f>SUM($R$5:$R$5)</f>
        <v>471.64688814009719</v>
      </c>
      <c r="T5" s="26">
        <f>'TR TE'!$T$5*'TR TE'!$T$50</f>
        <v>0</v>
      </c>
      <c r="U5" s="26">
        <f>'TR TE'!$U$5*'TR TE'!$U$50</f>
        <v>0</v>
      </c>
      <c r="V5" s="26">
        <f>'TR TE'!$V$5*'TR TE'!$V$50</f>
        <v>0</v>
      </c>
      <c r="W5" s="26">
        <f>SUM($T$5:$V$5)</f>
        <v>0</v>
      </c>
      <c r="X5" s="26"/>
      <c r="Y5" s="26">
        <f>SUM($X$5:$X$5)</f>
        <v>0</v>
      </c>
      <c r="Z5" s="26">
        <f>'TR TE'!$Z$5*'TR TE'!$Z$50</f>
        <v>0</v>
      </c>
      <c r="AA5" s="26">
        <f>SUM($Z$5:$Z$5)</f>
        <v>0</v>
      </c>
      <c r="AB5" s="26">
        <f>SUMIF($L$4:$AA$4,"SUBTOTAL",$L$5:$AA$5)</f>
        <v>479.45059359316878</v>
      </c>
    </row>
    <row r="6" spans="1:28" ht="11.25" customHeight="1" x14ac:dyDescent="0.3">
      <c r="A6" s="151"/>
      <c r="B6" s="151"/>
      <c r="C6" s="151"/>
      <c r="D6" s="151"/>
      <c r="E6" s="151"/>
      <c r="F6" s="151"/>
      <c r="G6" s="29" t="s">
        <v>80</v>
      </c>
      <c r="H6" s="29" t="s">
        <v>78</v>
      </c>
      <c r="I6" s="29">
        <f>'MERCADO TE'!$U$3</f>
        <v>0</v>
      </c>
      <c r="J6" s="15"/>
      <c r="L6" s="26">
        <f>'TR TE'!$L$6*'TR TE'!$L$50</f>
        <v>3.0900227818347115</v>
      </c>
      <c r="M6" s="26">
        <f>'TR TE'!$M$6*'TR TE'!$M$50</f>
        <v>0</v>
      </c>
      <c r="N6" s="26">
        <f>'TR TE'!$N$6*'TR TE'!$N$50</f>
        <v>0</v>
      </c>
      <c r="O6" s="26">
        <f>'TR TE'!$O$6*'TR TE'!$O$50</f>
        <v>4.7136826712368762</v>
      </c>
      <c r="P6" s="26">
        <f>'TR TE'!$P$6*'TR TE'!$P$50</f>
        <v>0</v>
      </c>
      <c r="Q6" s="26">
        <f>SUM($L$6:$P$6)</f>
        <v>7.8037054530715881</v>
      </c>
      <c r="R6" s="26">
        <f>'TR TE'!$R$6*'TR TE'!$R$50</f>
        <v>274.21330705819605</v>
      </c>
      <c r="S6" s="26">
        <f>SUM($R$6:$R$6)</f>
        <v>274.21330705819605</v>
      </c>
      <c r="T6" s="26">
        <f>'TR TE'!$T$6*'TR TE'!$T$50</f>
        <v>0</v>
      </c>
      <c r="U6" s="26">
        <f>'TR TE'!$U$6*'TR TE'!$U$50</f>
        <v>0</v>
      </c>
      <c r="V6" s="26">
        <f>'TR TE'!$V$6*'TR TE'!$V$50</f>
        <v>0</v>
      </c>
      <c r="W6" s="26">
        <f>SUM($T$6:$V$6)</f>
        <v>0</v>
      </c>
      <c r="X6" s="26"/>
      <c r="Y6" s="26">
        <f>SUM($X$6:$X$6)</f>
        <v>0</v>
      </c>
      <c r="Z6" s="26">
        <f>'TR TE'!$Z$6*'TR TE'!$Z$50</f>
        <v>0</v>
      </c>
      <c r="AA6" s="26">
        <f>SUM($Z$6:$Z$6)</f>
        <v>0</v>
      </c>
      <c r="AB6" s="26">
        <f>SUMIF($L$4:$AA$4,"SUBTOTAL",$L$6:$AA$6)</f>
        <v>282.01701251126764</v>
      </c>
    </row>
    <row r="7" spans="1:28" ht="11.25" customHeight="1" x14ac:dyDescent="0.3">
      <c r="A7" s="151" t="s">
        <v>34</v>
      </c>
      <c r="B7" s="151" t="s">
        <v>77</v>
      </c>
      <c r="C7" s="151" t="s">
        <v>25</v>
      </c>
      <c r="D7" s="151" t="s">
        <v>25</v>
      </c>
      <c r="E7" s="151" t="s">
        <v>25</v>
      </c>
      <c r="F7" s="151" t="s">
        <v>25</v>
      </c>
      <c r="G7" s="29" t="s">
        <v>79</v>
      </c>
      <c r="H7" s="29" t="s">
        <v>78</v>
      </c>
      <c r="I7" s="29">
        <f>'MERCADO TE'!$U$4</f>
        <v>256.69644</v>
      </c>
      <c r="J7" s="15"/>
      <c r="L7" s="26">
        <f>'TR TE'!$L$7*'TR TE'!$L$50</f>
        <v>3.0900227818347115</v>
      </c>
      <c r="M7" s="26">
        <f>'TR TE'!$M$7*'TR TE'!$M$50</f>
        <v>0</v>
      </c>
      <c r="N7" s="26">
        <f>'TR TE'!$N$7*'TR TE'!$N$50</f>
        <v>0</v>
      </c>
      <c r="O7" s="26">
        <f>'TR TE'!$O$7*'TR TE'!$O$50</f>
        <v>4.7136826712368762</v>
      </c>
      <c r="P7" s="26">
        <f>'TR TE'!$P$7*'TR TE'!$P$50</f>
        <v>0</v>
      </c>
      <c r="Q7" s="26">
        <f>SUM($L$7:$P$7)</f>
        <v>7.8037054530715881</v>
      </c>
      <c r="R7" s="26">
        <f>'TR TE'!$R$7*'TR TE'!$R$50</f>
        <v>471.64688814009719</v>
      </c>
      <c r="S7" s="26">
        <f>SUM($R$7:$R$7)</f>
        <v>471.64688814009719</v>
      </c>
      <c r="T7" s="26">
        <f>'TR TE'!$T$7*'TR TE'!$T$50</f>
        <v>0</v>
      </c>
      <c r="U7" s="26">
        <f>'TR TE'!$U$7*'TR TE'!$U$50</f>
        <v>0</v>
      </c>
      <c r="V7" s="26">
        <f>'TR TE'!$V$7*'TR TE'!$V$50</f>
        <v>0</v>
      </c>
      <c r="W7" s="26">
        <f>SUM($T$7:$V$7)</f>
        <v>0</v>
      </c>
      <c r="X7" s="26"/>
      <c r="Y7" s="26">
        <f>SUM($X$7:$X$7)</f>
        <v>0</v>
      </c>
      <c r="Z7" s="26">
        <f>'TR TE'!$Z$7*'TR TE'!$Z$50</f>
        <v>0</v>
      </c>
      <c r="AA7" s="26">
        <f>SUM($Z$7:$Z$7)</f>
        <v>0</v>
      </c>
      <c r="AB7" s="26">
        <f>SUMIF($L$4:$AA$4,"SUBTOTAL",$L$7:$AA$7)</f>
        <v>479.45059359316878</v>
      </c>
    </row>
    <row r="8" spans="1:28" ht="11.25" customHeight="1" x14ac:dyDescent="0.3">
      <c r="A8" s="151"/>
      <c r="B8" s="151"/>
      <c r="C8" s="151"/>
      <c r="D8" s="151"/>
      <c r="E8" s="151"/>
      <c r="F8" s="151"/>
      <c r="G8" s="29" t="s">
        <v>80</v>
      </c>
      <c r="H8" s="29" t="s">
        <v>78</v>
      </c>
      <c r="I8" s="29">
        <f>'MERCADO TE'!$U$5</f>
        <v>3077.9313500000003</v>
      </c>
      <c r="J8" s="15"/>
      <c r="L8" s="26">
        <f>'TR TE'!$L$8*'TR TE'!$L$50</f>
        <v>3.0900227818347115</v>
      </c>
      <c r="M8" s="26">
        <f>'TR TE'!$M$8*'TR TE'!$M$50</f>
        <v>0</v>
      </c>
      <c r="N8" s="26">
        <f>'TR TE'!$N$8*'TR TE'!$N$50</f>
        <v>0</v>
      </c>
      <c r="O8" s="26">
        <f>'TR TE'!$O$8*'TR TE'!$O$50</f>
        <v>4.7136826712368762</v>
      </c>
      <c r="P8" s="26">
        <f>'TR TE'!$P$8*'TR TE'!$P$50</f>
        <v>0</v>
      </c>
      <c r="Q8" s="26">
        <f>SUM($L$8:$P$8)</f>
        <v>7.8037054530715881</v>
      </c>
      <c r="R8" s="26">
        <f>'TR TE'!$R$8*'TR TE'!$R$50</f>
        <v>274.21330705819605</v>
      </c>
      <c r="S8" s="26">
        <f>SUM($R$8:$R$8)</f>
        <v>274.21330705819605</v>
      </c>
      <c r="T8" s="26">
        <f>'TR TE'!$T$8*'TR TE'!$T$50</f>
        <v>0</v>
      </c>
      <c r="U8" s="26">
        <f>'TR TE'!$U$8*'TR TE'!$U$50</f>
        <v>0</v>
      </c>
      <c r="V8" s="26">
        <f>'TR TE'!$V$8*'TR TE'!$V$50</f>
        <v>0</v>
      </c>
      <c r="W8" s="26">
        <f>SUM($T$8:$V$8)</f>
        <v>0</v>
      </c>
      <c r="X8" s="26"/>
      <c r="Y8" s="26">
        <f>SUM($X$8:$X$8)</f>
        <v>0</v>
      </c>
      <c r="Z8" s="26">
        <f>'TR TE'!$Z$8*'TR TE'!$Z$50</f>
        <v>0</v>
      </c>
      <c r="AA8" s="26">
        <f>SUM($Z$8:$Z$8)</f>
        <v>0</v>
      </c>
      <c r="AB8" s="26">
        <f>SUMIF($L$4:$AA$4,"SUBTOTAL",$L$8:$AA$8)</f>
        <v>282.01701251126764</v>
      </c>
    </row>
    <row r="9" spans="1:28" ht="11.25" customHeight="1" x14ac:dyDescent="0.3">
      <c r="A9" s="151" t="s">
        <v>22</v>
      </c>
      <c r="B9" s="151" t="s">
        <v>77</v>
      </c>
      <c r="C9" s="151" t="s">
        <v>24</v>
      </c>
      <c r="D9" s="151" t="s">
        <v>24</v>
      </c>
      <c r="E9" s="151" t="s">
        <v>25</v>
      </c>
      <c r="F9" s="151" t="s">
        <v>25</v>
      </c>
      <c r="G9" s="29" t="s">
        <v>79</v>
      </c>
      <c r="H9" s="29" t="s">
        <v>78</v>
      </c>
      <c r="I9" s="29">
        <f>'MERCADO TE'!$U$6</f>
        <v>0</v>
      </c>
      <c r="J9" s="15"/>
      <c r="L9" s="26">
        <f>'TR TE'!$L$9*'TR TE'!$L$50</f>
        <v>3.0900227818347115</v>
      </c>
      <c r="M9" s="26">
        <f>'TR TE'!$M$9*'TR TE'!$M$50</f>
        <v>0</v>
      </c>
      <c r="N9" s="26">
        <f>'TR TE'!$N$9*'TR TE'!$N$50</f>
        <v>0</v>
      </c>
      <c r="O9" s="26">
        <f>'TR TE'!$O$9*'TR TE'!$O$50</f>
        <v>4.7136826712368762</v>
      </c>
      <c r="P9" s="26">
        <f>'TR TE'!$P$9*'TR TE'!$P$50</f>
        <v>0</v>
      </c>
      <c r="Q9" s="26">
        <f>SUM($L$9:$P$9)</f>
        <v>7.8037054530715881</v>
      </c>
      <c r="R9" s="26">
        <f>'TR TE'!$R$9*'TR TE'!$R$50</f>
        <v>471.64688814009719</v>
      </c>
      <c r="S9" s="26">
        <f>SUM($R$9:$R$9)</f>
        <v>471.64688814009719</v>
      </c>
      <c r="T9" s="26">
        <f>'TR TE'!$T$9*'TR TE'!$T$50</f>
        <v>0</v>
      </c>
      <c r="U9" s="26">
        <f>'TR TE'!$U$9*'TR TE'!$U$50</f>
        <v>0</v>
      </c>
      <c r="V9" s="26">
        <f>'TR TE'!$V$9*'TR TE'!$V$50</f>
        <v>0</v>
      </c>
      <c r="W9" s="26">
        <f>SUM($T$9:$V$9)</f>
        <v>0</v>
      </c>
      <c r="X9" s="26"/>
      <c r="Y9" s="26">
        <f>SUM($X$9:$X$9)</f>
        <v>0</v>
      </c>
      <c r="Z9" s="26">
        <f>'TR TE'!$Z$9*'TR TE'!$Z$50</f>
        <v>0</v>
      </c>
      <c r="AA9" s="26">
        <f>SUM($Z$9:$Z$9)</f>
        <v>0</v>
      </c>
      <c r="AB9" s="26">
        <f>SUMIF($L$4:$AA$4,"SUBTOTAL",$L$9:$AA$9)</f>
        <v>479.45059359316878</v>
      </c>
    </row>
    <row r="10" spans="1:28" ht="11.25" customHeight="1" x14ac:dyDescent="0.3">
      <c r="A10" s="151"/>
      <c r="B10" s="151"/>
      <c r="C10" s="151"/>
      <c r="D10" s="151"/>
      <c r="E10" s="151"/>
      <c r="F10" s="151"/>
      <c r="G10" s="29" t="s">
        <v>89</v>
      </c>
      <c r="H10" s="29" t="s">
        <v>78</v>
      </c>
      <c r="I10" s="29">
        <f>'MERCADO TE'!$U$7</f>
        <v>0</v>
      </c>
      <c r="J10" s="15"/>
      <c r="L10" s="26">
        <f>'TR TE'!$L$10*'TR TE'!$L$50</f>
        <v>3.0900227818347115</v>
      </c>
      <c r="M10" s="26">
        <f>'TR TE'!$M$10*'TR TE'!$M$50</f>
        <v>0</v>
      </c>
      <c r="N10" s="26">
        <f>'TR TE'!$N$10*'TR TE'!$N$50</f>
        <v>0</v>
      </c>
      <c r="O10" s="26">
        <f>'TR TE'!$O$10*'TR TE'!$O$50</f>
        <v>4.7136826712368762</v>
      </c>
      <c r="P10" s="26">
        <f>'TR TE'!$P$10*'TR TE'!$P$50</f>
        <v>0</v>
      </c>
      <c r="Q10" s="26">
        <f>SUM($L$10:$P$10)</f>
        <v>7.8037054530715881</v>
      </c>
      <c r="R10" s="26">
        <f>'TR TE'!$R$10*'TR TE'!$R$50</f>
        <v>274.21330705819605</v>
      </c>
      <c r="S10" s="26">
        <f>SUM($R$10:$R$10)</f>
        <v>274.21330705819605</v>
      </c>
      <c r="T10" s="26">
        <f>'TR TE'!$T$10*'TR TE'!$T$50</f>
        <v>0</v>
      </c>
      <c r="U10" s="26">
        <f>'TR TE'!$U$10*'TR TE'!$U$50</f>
        <v>0</v>
      </c>
      <c r="V10" s="26">
        <f>'TR TE'!$V$10*'TR TE'!$V$50</f>
        <v>0</v>
      </c>
      <c r="W10" s="26">
        <f>SUM($T$10:$V$10)</f>
        <v>0</v>
      </c>
      <c r="X10" s="26"/>
      <c r="Y10" s="26">
        <f>SUM($X$10:$X$10)</f>
        <v>0</v>
      </c>
      <c r="Z10" s="26">
        <f>'TR TE'!$Z$10*'TR TE'!$Z$50</f>
        <v>0</v>
      </c>
      <c r="AA10" s="26">
        <f>SUM($Z$10:$Z$10)</f>
        <v>0</v>
      </c>
      <c r="AB10" s="26">
        <f>SUMIF($L$4:$AA$4,"SUBTOTAL",$L$10:$AA$10)</f>
        <v>282.01701251126764</v>
      </c>
    </row>
    <row r="11" spans="1:28" ht="11.25" customHeight="1" x14ac:dyDescent="0.3">
      <c r="A11" s="151"/>
      <c r="B11" s="151"/>
      <c r="C11" s="151"/>
      <c r="D11" s="151"/>
      <c r="E11" s="151"/>
      <c r="F11" s="151"/>
      <c r="G11" s="29" t="s">
        <v>80</v>
      </c>
      <c r="H11" s="29" t="s">
        <v>78</v>
      </c>
      <c r="I11" s="29">
        <f>'MERCADO TE'!$U$8</f>
        <v>0</v>
      </c>
      <c r="J11" s="15"/>
      <c r="L11" s="26">
        <f>'TR TE'!$L$11*'TR TE'!$L$50</f>
        <v>3.0900227818347115</v>
      </c>
      <c r="M11" s="26">
        <f>'TR TE'!$M$11*'TR TE'!$M$50</f>
        <v>0</v>
      </c>
      <c r="N11" s="26">
        <f>'TR TE'!$N$11*'TR TE'!$N$50</f>
        <v>0</v>
      </c>
      <c r="O11" s="26">
        <f>'TR TE'!$O$11*'TR TE'!$O$50</f>
        <v>4.7136826712368762</v>
      </c>
      <c r="P11" s="26">
        <f>'TR TE'!$P$11*'TR TE'!$P$50</f>
        <v>0</v>
      </c>
      <c r="Q11" s="26">
        <f>SUM($L$11:$P$11)</f>
        <v>7.8037054530715881</v>
      </c>
      <c r="R11" s="26">
        <f>'TR TE'!$R$11*'TR TE'!$R$50</f>
        <v>274.21330705819605</v>
      </c>
      <c r="S11" s="26">
        <f>SUM($R$11:$R$11)</f>
        <v>274.21330705819605</v>
      </c>
      <c r="T11" s="26">
        <f>'TR TE'!$T$11*'TR TE'!$T$50</f>
        <v>0</v>
      </c>
      <c r="U11" s="26">
        <f>'TR TE'!$U$11*'TR TE'!$U$50</f>
        <v>0</v>
      </c>
      <c r="V11" s="26">
        <f>'TR TE'!$V$11*'TR TE'!$V$50</f>
        <v>0</v>
      </c>
      <c r="W11" s="26">
        <f>SUM($T$11:$V$11)</f>
        <v>0</v>
      </c>
      <c r="X11" s="26"/>
      <c r="Y11" s="26">
        <f>SUM($X$11:$X$11)</f>
        <v>0</v>
      </c>
      <c r="Z11" s="26">
        <f>'TR TE'!$Z$11*'TR TE'!$Z$50</f>
        <v>0</v>
      </c>
      <c r="AA11" s="26">
        <f>SUM($Z$11:$Z$11)</f>
        <v>0</v>
      </c>
      <c r="AB11" s="26">
        <f>SUMIF($L$4:$AA$4,"SUBTOTAL",$L$11:$AA$11)</f>
        <v>282.01701251126764</v>
      </c>
    </row>
    <row r="12" spans="1:28" ht="11.25" customHeight="1" x14ac:dyDescent="0.3">
      <c r="A12" s="151"/>
      <c r="B12" s="151" t="s">
        <v>90</v>
      </c>
      <c r="C12" s="151" t="s">
        <v>24</v>
      </c>
      <c r="D12" s="28" t="s">
        <v>24</v>
      </c>
      <c r="E12" s="28" t="s">
        <v>25</v>
      </c>
      <c r="F12" s="28" t="s">
        <v>25</v>
      </c>
      <c r="G12" s="29" t="s">
        <v>84</v>
      </c>
      <c r="H12" s="29" t="s">
        <v>78</v>
      </c>
      <c r="I12" s="29">
        <f>'MERCADO TE'!$U$9</f>
        <v>11530.447999999999</v>
      </c>
      <c r="J12" s="15"/>
      <c r="L12" s="26">
        <f>'TR TE'!$L$12*'TR TE'!$L$50</f>
        <v>3.0900227818347115</v>
      </c>
      <c r="M12" s="26">
        <f>'TR TE'!$M$12*'TR TE'!$M$50</f>
        <v>0</v>
      </c>
      <c r="N12" s="26">
        <f>'TR TE'!$N$12*'TR TE'!$N$50</f>
        <v>0</v>
      </c>
      <c r="O12" s="26">
        <f>'TR TE'!$O$12*'TR TE'!$O$50</f>
        <v>4.7136826712368762</v>
      </c>
      <c r="P12" s="26">
        <f>'TR TE'!$P$12*'TR TE'!$P$50</f>
        <v>0</v>
      </c>
      <c r="Q12" s="26">
        <f>SUM($L$12:$P$12)</f>
        <v>7.8037054530715881</v>
      </c>
      <c r="R12" s="26">
        <f>'TR TE'!$R$12*'TR TE'!$R$50</f>
        <v>290.66610548168785</v>
      </c>
      <c r="S12" s="26">
        <f>SUM($R$12:$R$12)</f>
        <v>290.66610548168785</v>
      </c>
      <c r="T12" s="26">
        <f>'TR TE'!$T$12*'TR TE'!$T$50</f>
        <v>0</v>
      </c>
      <c r="U12" s="26">
        <f>'TR TE'!$U$12*'TR TE'!$U$50</f>
        <v>0</v>
      </c>
      <c r="V12" s="26">
        <f>'TR TE'!$V$12*'TR TE'!$V$50</f>
        <v>0</v>
      </c>
      <c r="W12" s="26">
        <f>SUM($T$12:$V$12)</f>
        <v>0</v>
      </c>
      <c r="X12" s="26"/>
      <c r="Y12" s="26">
        <f>SUM($X$12:$X$12)</f>
        <v>0</v>
      </c>
      <c r="Z12" s="26">
        <f>'TR TE'!$Z$12*'TR TE'!$Z$50</f>
        <v>0</v>
      </c>
      <c r="AA12" s="26">
        <f>SUM($Z$12:$Z$12)</f>
        <v>0</v>
      </c>
      <c r="AB12" s="26">
        <f>SUMIF($L$4:$AA$4,"SUBTOTAL",$L$12:$AA$12)</f>
        <v>298.46981093475944</v>
      </c>
    </row>
    <row r="13" spans="1:28" ht="11.25" customHeight="1" x14ac:dyDescent="0.3">
      <c r="A13" s="151"/>
      <c r="B13" s="151"/>
      <c r="C13" s="151"/>
      <c r="D13" s="28" t="s">
        <v>28</v>
      </c>
      <c r="E13" s="28" t="s">
        <v>25</v>
      </c>
      <c r="F13" s="28" t="s">
        <v>25</v>
      </c>
      <c r="G13" s="29" t="s">
        <v>84</v>
      </c>
      <c r="H13" s="29" t="s">
        <v>78</v>
      </c>
      <c r="I13" s="29">
        <f>'MERCADO TE'!$U$10</f>
        <v>121.26</v>
      </c>
      <c r="J13" s="15"/>
      <c r="L13" s="26">
        <f>'TR TE'!$L$13*'TR TE'!$L$50</f>
        <v>3.0900227818347115</v>
      </c>
      <c r="M13" s="26">
        <f>'TR TE'!$M$13*'TR TE'!$M$50</f>
        <v>0</v>
      </c>
      <c r="N13" s="26">
        <f>'TR TE'!$N$13*'TR TE'!$N$50</f>
        <v>0</v>
      </c>
      <c r="O13" s="26">
        <f>'TR TE'!$O$13*'TR TE'!$O$50</f>
        <v>4.7136826712368762</v>
      </c>
      <c r="P13" s="26">
        <f>'TR TE'!$P$13*'TR TE'!$P$50</f>
        <v>0</v>
      </c>
      <c r="Q13" s="26">
        <f>SUM($L$13:$P$13)</f>
        <v>7.8037054530715881</v>
      </c>
      <c r="R13" s="26">
        <f>'TR TE'!$R$13*'TR TE'!$R$50</f>
        <v>290.66610548168785</v>
      </c>
      <c r="S13" s="26">
        <f>SUM($R$13:$R$13)</f>
        <v>290.66610548168785</v>
      </c>
      <c r="T13" s="26">
        <f>'TR TE'!$T$13*'TR TE'!$T$50</f>
        <v>0</v>
      </c>
      <c r="U13" s="26">
        <f>'TR TE'!$U$13*'TR TE'!$U$50</f>
        <v>0</v>
      </c>
      <c r="V13" s="26">
        <f>'TR TE'!$V$13*'TR TE'!$V$50</f>
        <v>0</v>
      </c>
      <c r="W13" s="26">
        <f>SUM($T$13:$V$13)</f>
        <v>0</v>
      </c>
      <c r="X13" s="26"/>
      <c r="Y13" s="26">
        <f>SUM($X$13:$X$13)</f>
        <v>0</v>
      </c>
      <c r="Z13" s="26">
        <f>'TR TE'!$Z$13*'TR TE'!$Z$50</f>
        <v>0</v>
      </c>
      <c r="AA13" s="26">
        <f>SUM($Z$13:$Z$13)</f>
        <v>0</v>
      </c>
      <c r="AB13" s="26">
        <f>SUMIF($L$4:$AA$4,"SUBTOTAL",$L$13:$AA$13)</f>
        <v>298.46981093475944</v>
      </c>
    </row>
    <row r="14" spans="1:28" ht="11.25" customHeight="1" x14ac:dyDescent="0.3">
      <c r="A14" s="151"/>
      <c r="B14" s="151"/>
      <c r="C14" s="151"/>
      <c r="D14" s="28" t="s">
        <v>29</v>
      </c>
      <c r="E14" s="28" t="s">
        <v>25</v>
      </c>
      <c r="F14" s="28" t="s">
        <v>25</v>
      </c>
      <c r="G14" s="29" t="s">
        <v>84</v>
      </c>
      <c r="H14" s="29" t="s">
        <v>78</v>
      </c>
      <c r="I14" s="29">
        <f>'MERCADO TE'!$U$11</f>
        <v>254.32</v>
      </c>
      <c r="J14" s="15"/>
      <c r="L14" s="26">
        <f>'TR TE'!$L$14*'TR TE'!$L$50</f>
        <v>3.0900227818347115</v>
      </c>
      <c r="M14" s="26">
        <f>'TR TE'!$M$14*'TR TE'!$M$50</f>
        <v>0</v>
      </c>
      <c r="N14" s="26">
        <f>'TR TE'!$N$14*'TR TE'!$N$50</f>
        <v>0</v>
      </c>
      <c r="O14" s="26">
        <f>'TR TE'!$O$14*'TR TE'!$O$50</f>
        <v>4.7136826712368762</v>
      </c>
      <c r="P14" s="26">
        <f>'TR TE'!$P$14*'TR TE'!$P$50</f>
        <v>0</v>
      </c>
      <c r="Q14" s="26">
        <f>SUM($L$14:$P$14)</f>
        <v>7.8037054530715881</v>
      </c>
      <c r="R14" s="26">
        <f>'TR TE'!$R$14*'TR TE'!$R$50</f>
        <v>290.66610548168785</v>
      </c>
      <c r="S14" s="26">
        <f>SUM($R$14:$R$14)</f>
        <v>290.66610548168785</v>
      </c>
      <c r="T14" s="26">
        <f>'TR TE'!$T$14*'TR TE'!$T$50</f>
        <v>0</v>
      </c>
      <c r="U14" s="26">
        <f>'TR TE'!$U$14*'TR TE'!$U$50</f>
        <v>0</v>
      </c>
      <c r="V14" s="26">
        <f>'TR TE'!$V$14*'TR TE'!$V$50</f>
        <v>0</v>
      </c>
      <c r="W14" s="26">
        <f>SUM($T$14:$V$14)</f>
        <v>0</v>
      </c>
      <c r="X14" s="26"/>
      <c r="Y14" s="26">
        <f>SUM($X$14:$X$14)</f>
        <v>0</v>
      </c>
      <c r="Z14" s="26">
        <f>'TR TE'!$Z$14*'TR TE'!$Z$50</f>
        <v>0</v>
      </c>
      <c r="AA14" s="26">
        <f>SUM($Z$14:$Z$14)</f>
        <v>0</v>
      </c>
      <c r="AB14" s="26">
        <f>SUMIF($L$4:$AA$4,"SUBTOTAL",$L$14:$AA$14)</f>
        <v>298.46981093475944</v>
      </c>
    </row>
    <row r="15" spans="1:28" ht="11.25" customHeight="1" x14ac:dyDescent="0.3">
      <c r="A15" s="151"/>
      <c r="B15" s="151"/>
      <c r="C15" s="151"/>
      <c r="D15" s="28" t="s">
        <v>30</v>
      </c>
      <c r="E15" s="28" t="s">
        <v>25</v>
      </c>
      <c r="F15" s="28" t="s">
        <v>25</v>
      </c>
      <c r="G15" s="29" t="s">
        <v>84</v>
      </c>
      <c r="H15" s="29" t="s">
        <v>78</v>
      </c>
      <c r="I15" s="29">
        <f>'MERCADO TE'!$U$12</f>
        <v>248.52100000000002</v>
      </c>
      <c r="J15" s="15"/>
      <c r="L15" s="26">
        <f>'TR TE'!$L$15*'TR TE'!$L$50</f>
        <v>3.0900227818347115</v>
      </c>
      <c r="M15" s="26">
        <f>'TR TE'!$M$15*'TR TE'!$M$50</f>
        <v>0</v>
      </c>
      <c r="N15" s="26">
        <f>'TR TE'!$N$15*'TR TE'!$N$50</f>
        <v>0</v>
      </c>
      <c r="O15" s="26">
        <f>'TR TE'!$O$15*'TR TE'!$O$50</f>
        <v>4.7136826712368762</v>
      </c>
      <c r="P15" s="26">
        <f>'TR TE'!$P$15*'TR TE'!$P$50</f>
        <v>0</v>
      </c>
      <c r="Q15" s="26">
        <f>SUM($L$15:$P$15)</f>
        <v>7.8037054530715881</v>
      </c>
      <c r="R15" s="26">
        <f>'TR TE'!$R$15*'TR TE'!$R$50</f>
        <v>290.66610548168785</v>
      </c>
      <c r="S15" s="26">
        <f>SUM($R$15:$R$15)</f>
        <v>290.66610548168785</v>
      </c>
      <c r="T15" s="26">
        <f>'TR TE'!$T$15*'TR TE'!$T$50</f>
        <v>0</v>
      </c>
      <c r="U15" s="26">
        <f>'TR TE'!$U$15*'TR TE'!$U$50</f>
        <v>0</v>
      </c>
      <c r="V15" s="26">
        <f>'TR TE'!$V$15*'TR TE'!$V$50</f>
        <v>0</v>
      </c>
      <c r="W15" s="26">
        <f>SUM($T$15:$V$15)</f>
        <v>0</v>
      </c>
      <c r="X15" s="26"/>
      <c r="Y15" s="26">
        <f>SUM($X$15:$X$15)</f>
        <v>0</v>
      </c>
      <c r="Z15" s="26">
        <f>'TR TE'!$Z$15*'TR TE'!$Z$50</f>
        <v>0</v>
      </c>
      <c r="AA15" s="26">
        <f>SUM($Z$15:$Z$15)</f>
        <v>0</v>
      </c>
      <c r="AB15" s="26">
        <f>SUMIF($L$4:$AA$4,"SUBTOTAL",$L$15:$AA$15)</f>
        <v>298.46981093475944</v>
      </c>
    </row>
    <row r="16" spans="1:28" ht="11.25" customHeight="1" x14ac:dyDescent="0.3">
      <c r="A16" s="151"/>
      <c r="B16" s="151"/>
      <c r="C16" s="151"/>
      <c r="D16" s="28" t="s">
        <v>31</v>
      </c>
      <c r="E16" s="28" t="s">
        <v>25</v>
      </c>
      <c r="F16" s="28" t="s">
        <v>25</v>
      </c>
      <c r="G16" s="29" t="s">
        <v>84</v>
      </c>
      <c r="H16" s="29" t="s">
        <v>78</v>
      </c>
      <c r="I16" s="29">
        <f>'MERCADO TE'!$U$13</f>
        <v>91.992999999999995</v>
      </c>
      <c r="J16" s="15"/>
      <c r="L16" s="26">
        <f>'TR TE'!$L$16*'TR TE'!$L$50</f>
        <v>3.0900227818347115</v>
      </c>
      <c r="M16" s="26">
        <f>'TR TE'!$M$16*'TR TE'!$M$50</f>
        <v>0</v>
      </c>
      <c r="N16" s="26">
        <f>'TR TE'!$N$16*'TR TE'!$N$50</f>
        <v>0</v>
      </c>
      <c r="O16" s="26">
        <f>'TR TE'!$O$16*'TR TE'!$O$50</f>
        <v>4.7136826712368762</v>
      </c>
      <c r="P16" s="26">
        <f>'TR TE'!$P$16*'TR TE'!$P$50</f>
        <v>0</v>
      </c>
      <c r="Q16" s="26">
        <f>SUM($L$16:$P$16)</f>
        <v>7.8037054530715881</v>
      </c>
      <c r="R16" s="26">
        <f>'TR TE'!$R$16*'TR TE'!$R$50</f>
        <v>290.66610548168785</v>
      </c>
      <c r="S16" s="26">
        <f>SUM($R$16:$R$16)</f>
        <v>290.66610548168785</v>
      </c>
      <c r="T16" s="26">
        <f>'TR TE'!$T$16*'TR TE'!$T$50</f>
        <v>0</v>
      </c>
      <c r="U16" s="26">
        <f>'TR TE'!$U$16*'TR TE'!$U$50</f>
        <v>0</v>
      </c>
      <c r="V16" s="26">
        <f>'TR TE'!$V$16*'TR TE'!$V$50</f>
        <v>0</v>
      </c>
      <c r="W16" s="26">
        <f>SUM($T$16:$V$16)</f>
        <v>0</v>
      </c>
      <c r="X16" s="26"/>
      <c r="Y16" s="26">
        <f>SUM($X$16:$X$16)</f>
        <v>0</v>
      </c>
      <c r="Z16" s="26">
        <f>'TR TE'!$Z$16*'TR TE'!$Z$50</f>
        <v>0</v>
      </c>
      <c r="AA16" s="26">
        <f>SUM($Z$16:$Z$16)</f>
        <v>0</v>
      </c>
      <c r="AB16" s="26">
        <f>SUMIF($L$4:$AA$4,"SUBTOTAL",$L$16:$AA$16)</f>
        <v>298.46981093475944</v>
      </c>
    </row>
    <row r="17" spans="1:28" ht="11.25" customHeight="1" x14ac:dyDescent="0.3">
      <c r="A17" s="151"/>
      <c r="B17" s="151" t="s">
        <v>91</v>
      </c>
      <c r="C17" s="151" t="s">
        <v>24</v>
      </c>
      <c r="D17" s="28" t="s">
        <v>24</v>
      </c>
      <c r="E17" s="28" t="s">
        <v>25</v>
      </c>
      <c r="F17" s="28" t="s">
        <v>25</v>
      </c>
      <c r="G17" s="29" t="s">
        <v>84</v>
      </c>
      <c r="H17" s="29" t="s">
        <v>78</v>
      </c>
      <c r="I17" s="29">
        <f>'MERCADO TE'!$U$14</f>
        <v>0</v>
      </c>
      <c r="J17" s="15"/>
      <c r="L17" s="26">
        <f>'TR TE'!$L$17*'TR TE'!$L$50</f>
        <v>3.0900227818347115</v>
      </c>
      <c r="M17" s="26">
        <f>'TR TE'!$M$17*'TR TE'!$M$50</f>
        <v>0</v>
      </c>
      <c r="N17" s="26">
        <f>'TR TE'!$N$17*'TR TE'!$N$50</f>
        <v>0</v>
      </c>
      <c r="O17" s="26">
        <f>'TR TE'!$O$17*'TR TE'!$O$50</f>
        <v>4.7136826712368762</v>
      </c>
      <c r="P17" s="26">
        <f>'TR TE'!$P$17*'TR TE'!$P$50</f>
        <v>0</v>
      </c>
      <c r="Q17" s="26">
        <f>SUM($L$17:$P$17)</f>
        <v>7.8037054530715881</v>
      </c>
      <c r="R17" s="26">
        <f>'TR TE'!$R$17*'TR TE'!$R$50</f>
        <v>290.66610548168785</v>
      </c>
      <c r="S17" s="26">
        <f>SUM($R$17:$R$17)</f>
        <v>290.66610548168785</v>
      </c>
      <c r="T17" s="26">
        <f>'TR TE'!$T$17*'TR TE'!$T$50</f>
        <v>0</v>
      </c>
      <c r="U17" s="26">
        <f>'TR TE'!$U$17*'TR TE'!$U$50</f>
        <v>0</v>
      </c>
      <c r="V17" s="26">
        <f>'TR TE'!$V$17*'TR TE'!$V$50</f>
        <v>0</v>
      </c>
      <c r="W17" s="26">
        <f>SUM($T$17:$V$17)</f>
        <v>0</v>
      </c>
      <c r="X17" s="26"/>
      <c r="Y17" s="26">
        <f>SUM($X$17:$X$17)</f>
        <v>0</v>
      </c>
      <c r="Z17" s="26">
        <f>'TR TE'!$Z$17*'TR TE'!$Z$50</f>
        <v>0</v>
      </c>
      <c r="AA17" s="26">
        <f>SUM($Z$17:$Z$17)</f>
        <v>0</v>
      </c>
      <c r="AB17" s="26">
        <f>SUMIF($L$4:$AA$4,"SUBTOTAL",$L$17:$AA$17)</f>
        <v>298.46981093475944</v>
      </c>
    </row>
    <row r="18" spans="1:28" ht="11.25" customHeight="1" x14ac:dyDescent="0.3">
      <c r="A18" s="151"/>
      <c r="B18" s="151"/>
      <c r="C18" s="151"/>
      <c r="D18" s="28" t="s">
        <v>28</v>
      </c>
      <c r="E18" s="28" t="s">
        <v>25</v>
      </c>
      <c r="F18" s="28" t="s">
        <v>25</v>
      </c>
      <c r="G18" s="29" t="s">
        <v>84</v>
      </c>
      <c r="H18" s="29" t="s">
        <v>78</v>
      </c>
      <c r="I18" s="29">
        <f>'MERCADO TE'!$U$15</f>
        <v>0</v>
      </c>
      <c r="J18" s="15"/>
      <c r="L18" s="26">
        <f>'TR TE'!$L$18*'TR TE'!$L$50</f>
        <v>3.0900227818347115</v>
      </c>
      <c r="M18" s="26">
        <f>'TR TE'!$M$18*'TR TE'!$M$50</f>
        <v>0</v>
      </c>
      <c r="N18" s="26">
        <f>'TR TE'!$N$18*'TR TE'!$N$50</f>
        <v>0</v>
      </c>
      <c r="O18" s="26">
        <f>'TR TE'!$O$18*'TR TE'!$O$50</f>
        <v>4.7136826712368762</v>
      </c>
      <c r="P18" s="26">
        <f>'TR TE'!$P$18*'TR TE'!$P$50</f>
        <v>0</v>
      </c>
      <c r="Q18" s="26">
        <f>SUM($L$18:$P$18)</f>
        <v>7.8037054530715881</v>
      </c>
      <c r="R18" s="26">
        <f>'TR TE'!$R$18*'TR TE'!$R$50</f>
        <v>290.66610548168785</v>
      </c>
      <c r="S18" s="26">
        <f>SUM($R$18:$R$18)</f>
        <v>290.66610548168785</v>
      </c>
      <c r="T18" s="26">
        <f>'TR TE'!$T$18*'TR TE'!$T$50</f>
        <v>0</v>
      </c>
      <c r="U18" s="26">
        <f>'TR TE'!$U$18*'TR TE'!$U$50</f>
        <v>0</v>
      </c>
      <c r="V18" s="26">
        <f>'TR TE'!$V$18*'TR TE'!$V$50</f>
        <v>0</v>
      </c>
      <c r="W18" s="26">
        <f>SUM($T$18:$V$18)</f>
        <v>0</v>
      </c>
      <c r="X18" s="26"/>
      <c r="Y18" s="26">
        <f>SUM($X$18:$X$18)</f>
        <v>0</v>
      </c>
      <c r="Z18" s="26">
        <f>'TR TE'!$Z$18*'TR TE'!$Z$50</f>
        <v>0</v>
      </c>
      <c r="AA18" s="26">
        <f>SUM($Z$18:$Z$18)</f>
        <v>0</v>
      </c>
      <c r="AB18" s="26">
        <f>SUMIF($L$4:$AA$4,"SUBTOTAL",$L$18:$AA$18)</f>
        <v>298.46981093475944</v>
      </c>
    </row>
    <row r="19" spans="1:28" ht="11.25" customHeight="1" x14ac:dyDescent="0.3">
      <c r="A19" s="151"/>
      <c r="B19" s="151"/>
      <c r="C19" s="151"/>
      <c r="D19" s="28" t="s">
        <v>29</v>
      </c>
      <c r="E19" s="28" t="s">
        <v>25</v>
      </c>
      <c r="F19" s="28" t="s">
        <v>25</v>
      </c>
      <c r="G19" s="29" t="s">
        <v>84</v>
      </c>
      <c r="H19" s="29" t="s">
        <v>78</v>
      </c>
      <c r="I19" s="29">
        <f>'MERCADO TE'!$U$16</f>
        <v>0</v>
      </c>
      <c r="J19" s="15"/>
      <c r="L19" s="26">
        <f>'TR TE'!$L$19*'TR TE'!$L$50</f>
        <v>3.0900227818347115</v>
      </c>
      <c r="M19" s="26">
        <f>'TR TE'!$M$19*'TR TE'!$M$50</f>
        <v>0</v>
      </c>
      <c r="N19" s="26">
        <f>'TR TE'!$N$19*'TR TE'!$N$50</f>
        <v>0</v>
      </c>
      <c r="O19" s="26">
        <f>'TR TE'!$O$19*'TR TE'!$O$50</f>
        <v>4.7136826712368762</v>
      </c>
      <c r="P19" s="26">
        <f>'TR TE'!$P$19*'TR TE'!$P$50</f>
        <v>0</v>
      </c>
      <c r="Q19" s="26">
        <f>SUM($L$19:$P$19)</f>
        <v>7.8037054530715881</v>
      </c>
      <c r="R19" s="26">
        <f>'TR TE'!$R$19*'TR TE'!$R$50</f>
        <v>290.66610548168785</v>
      </c>
      <c r="S19" s="26">
        <f>SUM($R$19:$R$19)</f>
        <v>290.66610548168785</v>
      </c>
      <c r="T19" s="26">
        <f>'TR TE'!$T$19*'TR TE'!$T$50</f>
        <v>0</v>
      </c>
      <c r="U19" s="26">
        <f>'TR TE'!$U$19*'TR TE'!$U$50</f>
        <v>0</v>
      </c>
      <c r="V19" s="26">
        <f>'TR TE'!$V$19*'TR TE'!$V$50</f>
        <v>0</v>
      </c>
      <c r="W19" s="26">
        <f>SUM($T$19:$V$19)</f>
        <v>0</v>
      </c>
      <c r="X19" s="26"/>
      <c r="Y19" s="26">
        <f>SUM($X$19:$X$19)</f>
        <v>0</v>
      </c>
      <c r="Z19" s="26">
        <f>'TR TE'!$Z$19*'TR TE'!$Z$50</f>
        <v>0</v>
      </c>
      <c r="AA19" s="26">
        <f>SUM($Z$19:$Z$19)</f>
        <v>0</v>
      </c>
      <c r="AB19" s="26">
        <f>SUMIF($L$4:$AA$4,"SUBTOTAL",$L$19:$AA$19)</f>
        <v>298.46981093475944</v>
      </c>
    </row>
    <row r="20" spans="1:28" ht="11.25" customHeight="1" x14ac:dyDescent="0.3">
      <c r="A20" s="151"/>
      <c r="B20" s="151"/>
      <c r="C20" s="151"/>
      <c r="D20" s="28" t="s">
        <v>30</v>
      </c>
      <c r="E20" s="28" t="s">
        <v>25</v>
      </c>
      <c r="F20" s="28" t="s">
        <v>25</v>
      </c>
      <c r="G20" s="29" t="s">
        <v>84</v>
      </c>
      <c r="H20" s="29" t="s">
        <v>78</v>
      </c>
      <c r="I20" s="29">
        <f>'MERCADO TE'!$U$17</f>
        <v>0</v>
      </c>
      <c r="J20" s="15"/>
      <c r="L20" s="26">
        <f>'TR TE'!$L$20*'TR TE'!$L$50</f>
        <v>3.0900227818347115</v>
      </c>
      <c r="M20" s="26">
        <f>'TR TE'!$M$20*'TR TE'!$M$50</f>
        <v>0</v>
      </c>
      <c r="N20" s="26">
        <f>'TR TE'!$N$20*'TR TE'!$N$50</f>
        <v>0</v>
      </c>
      <c r="O20" s="26">
        <f>'TR TE'!$O$20*'TR TE'!$O$50</f>
        <v>4.7136826712368762</v>
      </c>
      <c r="P20" s="26">
        <f>'TR TE'!$P$20*'TR TE'!$P$50</f>
        <v>0</v>
      </c>
      <c r="Q20" s="26">
        <f>SUM($L$20:$P$20)</f>
        <v>7.8037054530715881</v>
      </c>
      <c r="R20" s="26">
        <f>'TR TE'!$R$20*'TR TE'!$R$50</f>
        <v>290.66610548168785</v>
      </c>
      <c r="S20" s="26">
        <f>SUM($R$20:$R$20)</f>
        <v>290.66610548168785</v>
      </c>
      <c r="T20" s="26">
        <f>'TR TE'!$T$20*'TR TE'!$T$50</f>
        <v>0</v>
      </c>
      <c r="U20" s="26">
        <f>'TR TE'!$U$20*'TR TE'!$U$50</f>
        <v>0</v>
      </c>
      <c r="V20" s="26">
        <f>'TR TE'!$V$20*'TR TE'!$V$50</f>
        <v>0</v>
      </c>
      <c r="W20" s="26">
        <f>SUM($T$20:$V$20)</f>
        <v>0</v>
      </c>
      <c r="X20" s="26"/>
      <c r="Y20" s="26">
        <f>SUM($X$20:$X$20)</f>
        <v>0</v>
      </c>
      <c r="Z20" s="26">
        <f>'TR TE'!$Z$20*'TR TE'!$Z$50</f>
        <v>0</v>
      </c>
      <c r="AA20" s="26">
        <f>SUM($Z$20:$Z$20)</f>
        <v>0</v>
      </c>
      <c r="AB20" s="26">
        <f>SUMIF($L$4:$AA$4,"SUBTOTAL",$L$20:$AA$20)</f>
        <v>298.46981093475944</v>
      </c>
    </row>
    <row r="21" spans="1:28" ht="11.25" customHeight="1" x14ac:dyDescent="0.3">
      <c r="A21" s="151"/>
      <c r="B21" s="151"/>
      <c r="C21" s="151"/>
      <c r="D21" s="28" t="s">
        <v>31</v>
      </c>
      <c r="E21" s="28" t="s">
        <v>25</v>
      </c>
      <c r="F21" s="28" t="s">
        <v>25</v>
      </c>
      <c r="G21" s="29" t="s">
        <v>84</v>
      </c>
      <c r="H21" s="29" t="s">
        <v>78</v>
      </c>
      <c r="I21" s="29">
        <f>'MERCADO TE'!$U$18</f>
        <v>0</v>
      </c>
      <c r="J21" s="15"/>
      <c r="L21" s="26">
        <f>'TR TE'!$L$21*'TR TE'!$L$50</f>
        <v>3.0900227818347115</v>
      </c>
      <c r="M21" s="26">
        <f>'TR TE'!$M$21*'TR TE'!$M$50</f>
        <v>0</v>
      </c>
      <c r="N21" s="26">
        <f>'TR TE'!$N$21*'TR TE'!$N$50</f>
        <v>0</v>
      </c>
      <c r="O21" s="26">
        <f>'TR TE'!$O$21*'TR TE'!$O$50</f>
        <v>4.7136826712368762</v>
      </c>
      <c r="P21" s="26">
        <f>'TR TE'!$P$21*'TR TE'!$P$50</f>
        <v>0</v>
      </c>
      <c r="Q21" s="26">
        <f>SUM($L$21:$P$21)</f>
        <v>7.8037054530715881</v>
      </c>
      <c r="R21" s="26">
        <f>'TR TE'!$R$21*'TR TE'!$R$50</f>
        <v>290.66610548168785</v>
      </c>
      <c r="S21" s="26">
        <f>SUM($R$21:$R$21)</f>
        <v>290.66610548168785</v>
      </c>
      <c r="T21" s="26">
        <f>'TR TE'!$T$21*'TR TE'!$T$50</f>
        <v>0</v>
      </c>
      <c r="U21" s="26">
        <f>'TR TE'!$U$21*'TR TE'!$U$50</f>
        <v>0</v>
      </c>
      <c r="V21" s="26">
        <f>'TR TE'!$V$21*'TR TE'!$V$50</f>
        <v>0</v>
      </c>
      <c r="W21" s="26">
        <f>SUM($T$21:$V$21)</f>
        <v>0</v>
      </c>
      <c r="X21" s="26"/>
      <c r="Y21" s="26">
        <f>SUM($X$21:$X$21)</f>
        <v>0</v>
      </c>
      <c r="Z21" s="26">
        <f>'TR TE'!$Z$21*'TR TE'!$Z$50</f>
        <v>0</v>
      </c>
      <c r="AA21" s="26">
        <f>SUM($Z$21:$Z$21)</f>
        <v>0</v>
      </c>
      <c r="AB21" s="26">
        <f>SUMIF($L$4:$AA$4,"SUBTOTAL",$L$21:$AA$21)</f>
        <v>298.46981093475944</v>
      </c>
    </row>
    <row r="22" spans="1:28" ht="11.25" customHeight="1" x14ac:dyDescent="0.3">
      <c r="A22" s="151" t="s">
        <v>41</v>
      </c>
      <c r="B22" s="151" t="s">
        <v>77</v>
      </c>
      <c r="C22" s="151" t="s">
        <v>42</v>
      </c>
      <c r="D22" s="151" t="s">
        <v>25</v>
      </c>
      <c r="E22" s="151" t="s">
        <v>25</v>
      </c>
      <c r="F22" s="151" t="s">
        <v>25</v>
      </c>
      <c r="G22" s="29" t="s">
        <v>79</v>
      </c>
      <c r="H22" s="29" t="s">
        <v>78</v>
      </c>
      <c r="I22" s="29">
        <f>'MERCADO TE'!$U$19</f>
        <v>0</v>
      </c>
      <c r="J22" s="15"/>
      <c r="L22" s="26">
        <f>'TR TE'!$L$22*'TR TE'!$L$50</f>
        <v>3.0900227818347115</v>
      </c>
      <c r="M22" s="26">
        <f>'TR TE'!$M$22*'TR TE'!$M$50</f>
        <v>0</v>
      </c>
      <c r="N22" s="26">
        <f>'TR TE'!$N$22*'TR TE'!$N$50</f>
        <v>0</v>
      </c>
      <c r="O22" s="26">
        <f>'TR TE'!$O$22*'TR TE'!$O$50</f>
        <v>4.7136826712368762</v>
      </c>
      <c r="P22" s="26">
        <f>'TR TE'!$P$22*'TR TE'!$P$50</f>
        <v>0</v>
      </c>
      <c r="Q22" s="26">
        <f>SUM($L$22:$P$22)</f>
        <v>7.8037054530715881</v>
      </c>
      <c r="R22" s="26">
        <f>'TR TE'!$R$22*'TR TE'!$R$50</f>
        <v>471.64688814009719</v>
      </c>
      <c r="S22" s="26">
        <f>SUM($R$22:$R$22)</f>
        <v>471.64688814009719</v>
      </c>
      <c r="T22" s="26">
        <f>'TR TE'!$T$22*'TR TE'!$T$50</f>
        <v>0</v>
      </c>
      <c r="U22" s="26">
        <f>'TR TE'!$U$22*'TR TE'!$U$50</f>
        <v>0</v>
      </c>
      <c r="V22" s="26">
        <f>'TR TE'!$V$22*'TR TE'!$V$50</f>
        <v>0</v>
      </c>
      <c r="W22" s="26">
        <f>SUM($T$22:$V$22)</f>
        <v>0</v>
      </c>
      <c r="X22" s="26"/>
      <c r="Y22" s="26">
        <f>SUM($X$22:$X$22)</f>
        <v>0</v>
      </c>
      <c r="Z22" s="26">
        <f>'TR TE'!$Z$22*'TR TE'!$Z$50</f>
        <v>0</v>
      </c>
      <c r="AA22" s="26">
        <f>SUM($Z$22:$Z$22)</f>
        <v>0</v>
      </c>
      <c r="AB22" s="26">
        <f>SUMIF($L$4:$AA$4,"SUBTOTAL",$L$22:$AA$22)</f>
        <v>479.45059359316878</v>
      </c>
    </row>
    <row r="23" spans="1:28" ht="11.25" customHeight="1" x14ac:dyDescent="0.3">
      <c r="A23" s="151"/>
      <c r="B23" s="151"/>
      <c r="C23" s="151"/>
      <c r="D23" s="151"/>
      <c r="E23" s="151"/>
      <c r="F23" s="151"/>
      <c r="G23" s="29" t="s">
        <v>89</v>
      </c>
      <c r="H23" s="29" t="s">
        <v>78</v>
      </c>
      <c r="I23" s="29">
        <f>'MERCADO TE'!$U$20</f>
        <v>0</v>
      </c>
      <c r="J23" s="15"/>
      <c r="L23" s="26">
        <f>'TR TE'!$L$23*'TR TE'!$L$50</f>
        <v>3.0900227818347115</v>
      </c>
      <c r="M23" s="26">
        <f>'TR TE'!$M$23*'TR TE'!$M$50</f>
        <v>0</v>
      </c>
      <c r="N23" s="26">
        <f>'TR TE'!$N$23*'TR TE'!$N$50</f>
        <v>0</v>
      </c>
      <c r="O23" s="26">
        <f>'TR TE'!$O$23*'TR TE'!$O$50</f>
        <v>4.7136826712368762</v>
      </c>
      <c r="P23" s="26">
        <f>'TR TE'!$P$23*'TR TE'!$P$50</f>
        <v>0</v>
      </c>
      <c r="Q23" s="26">
        <f>SUM($L$23:$P$23)</f>
        <v>7.8037054530715881</v>
      </c>
      <c r="R23" s="26">
        <f>'TR TE'!$R$23*'TR TE'!$R$50</f>
        <v>274.21330705819605</v>
      </c>
      <c r="S23" s="26">
        <f>SUM($R$23:$R$23)</f>
        <v>274.21330705819605</v>
      </c>
      <c r="T23" s="26">
        <f>'TR TE'!$T$23*'TR TE'!$T$50</f>
        <v>0</v>
      </c>
      <c r="U23" s="26">
        <f>'TR TE'!$U$23*'TR TE'!$U$50</f>
        <v>0</v>
      </c>
      <c r="V23" s="26">
        <f>'TR TE'!$V$23*'TR TE'!$V$50</f>
        <v>0</v>
      </c>
      <c r="W23" s="26">
        <f>SUM($T$23:$V$23)</f>
        <v>0</v>
      </c>
      <c r="X23" s="26"/>
      <c r="Y23" s="26">
        <f>SUM($X$23:$X$23)</f>
        <v>0</v>
      </c>
      <c r="Z23" s="26">
        <f>'TR TE'!$Z$23*'TR TE'!$Z$50</f>
        <v>0</v>
      </c>
      <c r="AA23" s="26">
        <f>SUM($Z$23:$Z$23)</f>
        <v>0</v>
      </c>
      <c r="AB23" s="26">
        <f>SUMIF($L$4:$AA$4,"SUBTOTAL",$L$23:$AA$23)</f>
        <v>282.01701251126764</v>
      </c>
    </row>
    <row r="24" spans="1:28" ht="11.25" customHeight="1" x14ac:dyDescent="0.3">
      <c r="A24" s="151"/>
      <c r="B24" s="151"/>
      <c r="C24" s="151"/>
      <c r="D24" s="151"/>
      <c r="E24" s="151"/>
      <c r="F24" s="151"/>
      <c r="G24" s="29" t="s">
        <v>80</v>
      </c>
      <c r="H24" s="29" t="s">
        <v>78</v>
      </c>
      <c r="I24" s="29">
        <f>'MERCADO TE'!$U$21</f>
        <v>0</v>
      </c>
      <c r="J24" s="15"/>
      <c r="L24" s="26">
        <f>'TR TE'!$L$24*'TR TE'!$L$50</f>
        <v>3.0900227818347115</v>
      </c>
      <c r="M24" s="26">
        <f>'TR TE'!$M$24*'TR TE'!$M$50</f>
        <v>0</v>
      </c>
      <c r="N24" s="26">
        <f>'TR TE'!$N$24*'TR TE'!$N$50</f>
        <v>0</v>
      </c>
      <c r="O24" s="26">
        <f>'TR TE'!$O$24*'TR TE'!$O$50</f>
        <v>4.7136826712368762</v>
      </c>
      <c r="P24" s="26">
        <f>'TR TE'!$P$24*'TR TE'!$P$50</f>
        <v>0</v>
      </c>
      <c r="Q24" s="26">
        <f>SUM($L$24:$P$24)</f>
        <v>7.8037054530715881</v>
      </c>
      <c r="R24" s="26">
        <f>'TR TE'!$R$24*'TR TE'!$R$50</f>
        <v>274.21330705819605</v>
      </c>
      <c r="S24" s="26">
        <f>SUM($R$24:$R$24)</f>
        <v>274.21330705819605</v>
      </c>
      <c r="T24" s="26">
        <f>'TR TE'!$T$24*'TR TE'!$T$50</f>
        <v>0</v>
      </c>
      <c r="U24" s="26">
        <f>'TR TE'!$U$24*'TR TE'!$U$50</f>
        <v>0</v>
      </c>
      <c r="V24" s="26">
        <f>'TR TE'!$V$24*'TR TE'!$V$50</f>
        <v>0</v>
      </c>
      <c r="W24" s="26">
        <f>SUM($T$24:$V$24)</f>
        <v>0</v>
      </c>
      <c r="X24" s="26"/>
      <c r="Y24" s="26">
        <f>SUM($X$24:$X$24)</f>
        <v>0</v>
      </c>
      <c r="Z24" s="26">
        <f>'TR TE'!$Z$24*'TR TE'!$Z$50</f>
        <v>0</v>
      </c>
      <c r="AA24" s="26">
        <f>SUM($Z$24:$Z$24)</f>
        <v>0</v>
      </c>
      <c r="AB24" s="26">
        <f>SUMIF($L$4:$AA$4,"SUBTOTAL",$L$24:$AA$24)</f>
        <v>282.01701251126764</v>
      </c>
    </row>
    <row r="25" spans="1:28" ht="11.25" customHeight="1" x14ac:dyDescent="0.3">
      <c r="A25" s="151"/>
      <c r="B25" s="28" t="s">
        <v>90</v>
      </c>
      <c r="C25" s="28" t="s">
        <v>42</v>
      </c>
      <c r="D25" s="28" t="s">
        <v>25</v>
      </c>
      <c r="E25" s="28" t="s">
        <v>25</v>
      </c>
      <c r="F25" s="28" t="s">
        <v>25</v>
      </c>
      <c r="G25" s="29" t="s">
        <v>84</v>
      </c>
      <c r="H25" s="29" t="s">
        <v>78</v>
      </c>
      <c r="I25" s="29">
        <f>'MERCADO TE'!$U$22</f>
        <v>3112.8609999999999</v>
      </c>
      <c r="J25" s="15"/>
      <c r="L25" s="26">
        <f>'TR TE'!$L$25*'TR TE'!$L$50</f>
        <v>3.0900227818347115</v>
      </c>
      <c r="M25" s="26">
        <f>'TR TE'!$M$25*'TR TE'!$M$50</f>
        <v>0</v>
      </c>
      <c r="N25" s="26">
        <f>'TR TE'!$N$25*'TR TE'!$N$50</f>
        <v>0</v>
      </c>
      <c r="O25" s="26">
        <f>'TR TE'!$O$25*'TR TE'!$O$50</f>
        <v>4.7136826712368762</v>
      </c>
      <c r="P25" s="26">
        <f>'TR TE'!$P$25*'TR TE'!$P$50</f>
        <v>0</v>
      </c>
      <c r="Q25" s="26">
        <f>SUM($L$25:$P$25)</f>
        <v>7.8037054530715881</v>
      </c>
      <c r="R25" s="26">
        <f>'TR TE'!$R$25*'TR TE'!$R$50</f>
        <v>290.66610548168785</v>
      </c>
      <c r="S25" s="26">
        <f>SUM($R$25:$R$25)</f>
        <v>290.66610548168785</v>
      </c>
      <c r="T25" s="26">
        <f>'TR TE'!$T$25*'TR TE'!$T$50</f>
        <v>0</v>
      </c>
      <c r="U25" s="26">
        <f>'TR TE'!$U$25*'TR TE'!$U$50</f>
        <v>0</v>
      </c>
      <c r="V25" s="26">
        <f>'TR TE'!$V$25*'TR TE'!$V$50</f>
        <v>0</v>
      </c>
      <c r="W25" s="26">
        <f>SUM($T$25:$V$25)</f>
        <v>0</v>
      </c>
      <c r="X25" s="26"/>
      <c r="Y25" s="26">
        <f>SUM($X$25:$X$25)</f>
        <v>0</v>
      </c>
      <c r="Z25" s="26">
        <f>'TR TE'!$Z$25*'TR TE'!$Z$50</f>
        <v>0</v>
      </c>
      <c r="AA25" s="26">
        <f>SUM($Z$25:$Z$25)</f>
        <v>0</v>
      </c>
      <c r="AB25" s="26">
        <f>SUMIF($L$4:$AA$4,"SUBTOTAL",$L$25:$AA$25)</f>
        <v>298.46981093475944</v>
      </c>
    </row>
    <row r="26" spans="1:28" ht="11.25" customHeight="1" x14ac:dyDescent="0.3">
      <c r="A26" s="151"/>
      <c r="B26" s="151" t="s">
        <v>77</v>
      </c>
      <c r="C26" s="151" t="s">
        <v>42</v>
      </c>
      <c r="D26" s="151" t="s">
        <v>93</v>
      </c>
      <c r="E26" s="151" t="s">
        <v>25</v>
      </c>
      <c r="F26" s="151" t="s">
        <v>25</v>
      </c>
      <c r="G26" s="29" t="s">
        <v>79</v>
      </c>
      <c r="H26" s="29" t="s">
        <v>78</v>
      </c>
      <c r="I26" s="29">
        <f>'MERCADO TE'!$U$23</f>
        <v>0</v>
      </c>
      <c r="J26" s="15"/>
      <c r="L26" s="26">
        <f>'TR TE'!$L$26*'TR TE'!$L$50</f>
        <v>3.0900227818347115</v>
      </c>
      <c r="M26" s="26">
        <f>'TR TE'!$M$26*'TR TE'!$M$50</f>
        <v>0</v>
      </c>
      <c r="N26" s="26">
        <f>'TR TE'!$N$26*'TR TE'!$N$50</f>
        <v>0</v>
      </c>
      <c r="O26" s="26">
        <f>'TR TE'!$O$26*'TR TE'!$O$50</f>
        <v>4.7136826712368762</v>
      </c>
      <c r="P26" s="26">
        <f>'TR TE'!$P$26*'TR TE'!$P$50</f>
        <v>0</v>
      </c>
      <c r="Q26" s="26">
        <f>SUM($L$26:$P$26)</f>
        <v>7.8037054530715881</v>
      </c>
      <c r="R26" s="26">
        <f>'TR TE'!$R$26*'TR TE'!$R$50</f>
        <v>471.64688814009719</v>
      </c>
      <c r="S26" s="26">
        <f>SUM($R$26:$R$26)</f>
        <v>471.64688814009719</v>
      </c>
      <c r="T26" s="26">
        <f>'TR TE'!$T$26*'TR TE'!$T$50</f>
        <v>0</v>
      </c>
      <c r="U26" s="26">
        <f>'TR TE'!$U$26*'TR TE'!$U$50</f>
        <v>0</v>
      </c>
      <c r="V26" s="26">
        <f>'TR TE'!$V$26*'TR TE'!$V$50</f>
        <v>0</v>
      </c>
      <c r="W26" s="26">
        <f>SUM($T$26:$V$26)</f>
        <v>0</v>
      </c>
      <c r="X26" s="26"/>
      <c r="Y26" s="26">
        <f>SUM($X$26:$X$26)</f>
        <v>0</v>
      </c>
      <c r="Z26" s="26">
        <f>'TR TE'!$Z$26*'TR TE'!$Z$50</f>
        <v>0</v>
      </c>
      <c r="AA26" s="26">
        <f>SUM($Z$26:$Z$26)</f>
        <v>0</v>
      </c>
      <c r="AB26" s="26">
        <f>SUMIF($L$4:$AA$4,"SUBTOTAL",$L$26:$AA$26)</f>
        <v>479.45059359316878</v>
      </c>
    </row>
    <row r="27" spans="1:28" ht="11.25" customHeight="1" x14ac:dyDescent="0.3">
      <c r="A27" s="151"/>
      <c r="B27" s="151"/>
      <c r="C27" s="151"/>
      <c r="D27" s="151"/>
      <c r="E27" s="151"/>
      <c r="F27" s="151"/>
      <c r="G27" s="29" t="s">
        <v>89</v>
      </c>
      <c r="H27" s="29" t="s">
        <v>78</v>
      </c>
      <c r="I27" s="29">
        <f>'MERCADO TE'!$U$24</f>
        <v>0</v>
      </c>
      <c r="J27" s="15"/>
      <c r="L27" s="26">
        <f>'TR TE'!$L$27*'TR TE'!$L$50</f>
        <v>3.0900227818347115</v>
      </c>
      <c r="M27" s="26">
        <f>'TR TE'!$M$27*'TR TE'!$M$50</f>
        <v>0</v>
      </c>
      <c r="N27" s="26">
        <f>'TR TE'!$N$27*'TR TE'!$N$50</f>
        <v>0</v>
      </c>
      <c r="O27" s="26">
        <f>'TR TE'!$O$27*'TR TE'!$O$50</f>
        <v>4.7136826712368762</v>
      </c>
      <c r="P27" s="26">
        <f>'TR TE'!$P$27*'TR TE'!$P$50</f>
        <v>0</v>
      </c>
      <c r="Q27" s="26">
        <f>SUM($L$27:$P$27)</f>
        <v>7.8037054530715881</v>
      </c>
      <c r="R27" s="26">
        <f>'TR TE'!$R$27*'TR TE'!$R$50</f>
        <v>274.21330705819605</v>
      </c>
      <c r="S27" s="26">
        <f>SUM($R$27:$R$27)</f>
        <v>274.21330705819605</v>
      </c>
      <c r="T27" s="26">
        <f>'TR TE'!$T$27*'TR TE'!$T$50</f>
        <v>0</v>
      </c>
      <c r="U27" s="26">
        <f>'TR TE'!$U$27*'TR TE'!$U$50</f>
        <v>0</v>
      </c>
      <c r="V27" s="26">
        <f>'TR TE'!$V$27*'TR TE'!$V$50</f>
        <v>0</v>
      </c>
      <c r="W27" s="26">
        <f>SUM($T$27:$V$27)</f>
        <v>0</v>
      </c>
      <c r="X27" s="26"/>
      <c r="Y27" s="26">
        <f>SUM($X$27:$X$27)</f>
        <v>0</v>
      </c>
      <c r="Z27" s="26">
        <f>'TR TE'!$Z$27*'TR TE'!$Z$50</f>
        <v>0</v>
      </c>
      <c r="AA27" s="26">
        <f>SUM($Z$27:$Z$27)</f>
        <v>0</v>
      </c>
      <c r="AB27" s="26">
        <f>SUMIF($L$4:$AA$4,"SUBTOTAL",$L$27:$AA$27)</f>
        <v>282.01701251126764</v>
      </c>
    </row>
    <row r="28" spans="1:28" ht="11.25" customHeight="1" x14ac:dyDescent="0.3">
      <c r="A28" s="151"/>
      <c r="B28" s="151"/>
      <c r="C28" s="151"/>
      <c r="D28" s="151"/>
      <c r="E28" s="151"/>
      <c r="F28" s="151"/>
      <c r="G28" s="29" t="s">
        <v>80</v>
      </c>
      <c r="H28" s="29" t="s">
        <v>78</v>
      </c>
      <c r="I28" s="29">
        <f>'MERCADO TE'!$U$25</f>
        <v>0</v>
      </c>
      <c r="J28" s="15"/>
      <c r="L28" s="26">
        <f>'TR TE'!$L$28*'TR TE'!$L$50</f>
        <v>3.0900227818347115</v>
      </c>
      <c r="M28" s="26">
        <f>'TR TE'!$M$28*'TR TE'!$M$50</f>
        <v>0</v>
      </c>
      <c r="N28" s="26">
        <f>'TR TE'!$N$28*'TR TE'!$N$50</f>
        <v>0</v>
      </c>
      <c r="O28" s="26">
        <f>'TR TE'!$O$28*'TR TE'!$O$50</f>
        <v>4.7136826712368762</v>
      </c>
      <c r="P28" s="26">
        <f>'TR TE'!$P$28*'TR TE'!$P$50</f>
        <v>0</v>
      </c>
      <c r="Q28" s="26">
        <f>SUM($L$28:$P$28)</f>
        <v>7.8037054530715881</v>
      </c>
      <c r="R28" s="26">
        <f>'TR TE'!$R$28*'TR TE'!$R$50</f>
        <v>274.21330705819605</v>
      </c>
      <c r="S28" s="26">
        <f>SUM($R$28:$R$28)</f>
        <v>274.21330705819605</v>
      </c>
      <c r="T28" s="26">
        <f>'TR TE'!$T$28*'TR TE'!$T$50</f>
        <v>0</v>
      </c>
      <c r="U28" s="26">
        <f>'TR TE'!$U$28*'TR TE'!$U$50</f>
        <v>0</v>
      </c>
      <c r="V28" s="26">
        <f>'TR TE'!$V$28*'TR TE'!$V$50</f>
        <v>0</v>
      </c>
      <c r="W28" s="26">
        <f>SUM($T$28:$V$28)</f>
        <v>0</v>
      </c>
      <c r="X28" s="26"/>
      <c r="Y28" s="26">
        <f>SUM($X$28:$X$28)</f>
        <v>0</v>
      </c>
      <c r="Z28" s="26">
        <f>'TR TE'!$Z$28*'TR TE'!$Z$50</f>
        <v>0</v>
      </c>
      <c r="AA28" s="26">
        <f>SUM($Z$28:$Z$28)</f>
        <v>0</v>
      </c>
      <c r="AB28" s="26">
        <f>SUMIF($L$4:$AA$4,"SUBTOTAL",$L$28:$AA$28)</f>
        <v>282.01701251126764</v>
      </c>
    </row>
    <row r="29" spans="1:28" ht="11.25" customHeight="1" x14ac:dyDescent="0.3">
      <c r="A29" s="151"/>
      <c r="B29" s="28" t="s">
        <v>90</v>
      </c>
      <c r="C29" s="28" t="s">
        <v>42</v>
      </c>
      <c r="D29" s="28" t="s">
        <v>93</v>
      </c>
      <c r="E29" s="28" t="s">
        <v>25</v>
      </c>
      <c r="F29" s="28" t="s">
        <v>25</v>
      </c>
      <c r="G29" s="29" t="s">
        <v>84</v>
      </c>
      <c r="H29" s="29" t="s">
        <v>78</v>
      </c>
      <c r="I29" s="29">
        <f>'MERCADO TE'!$U$26</f>
        <v>0</v>
      </c>
      <c r="J29" s="15"/>
      <c r="L29" s="26">
        <f>'TR TE'!$L$29*'TR TE'!$L$50</f>
        <v>3.0900227818347115</v>
      </c>
      <c r="M29" s="26">
        <f>'TR TE'!$M$29*'TR TE'!$M$50</f>
        <v>0</v>
      </c>
      <c r="N29" s="26">
        <f>'TR TE'!$N$29*'TR TE'!$N$50</f>
        <v>0</v>
      </c>
      <c r="O29" s="26">
        <f>'TR TE'!$O$29*'TR TE'!$O$50</f>
        <v>4.7136826712368762</v>
      </c>
      <c r="P29" s="26">
        <f>'TR TE'!$P$29*'TR TE'!$P$50</f>
        <v>0</v>
      </c>
      <c r="Q29" s="26">
        <f>SUM($L$29:$P$29)</f>
        <v>7.8037054530715881</v>
      </c>
      <c r="R29" s="26">
        <f>'TR TE'!$R$29*'TR TE'!$R$50</f>
        <v>290.66610548168785</v>
      </c>
      <c r="S29" s="26">
        <f>SUM($R$29:$R$29)</f>
        <v>290.66610548168785</v>
      </c>
      <c r="T29" s="26">
        <f>'TR TE'!$T$29*'TR TE'!$T$50</f>
        <v>0</v>
      </c>
      <c r="U29" s="26">
        <f>'TR TE'!$U$29*'TR TE'!$U$50</f>
        <v>0</v>
      </c>
      <c r="V29" s="26">
        <f>'TR TE'!$V$29*'TR TE'!$V$50</f>
        <v>0</v>
      </c>
      <c r="W29" s="26">
        <f>SUM($T$29:$V$29)</f>
        <v>0</v>
      </c>
      <c r="X29" s="26"/>
      <c r="Y29" s="26">
        <f>SUM($X$29:$X$29)</f>
        <v>0</v>
      </c>
      <c r="Z29" s="26">
        <f>'TR TE'!$Z$29*'TR TE'!$Z$50</f>
        <v>0</v>
      </c>
      <c r="AA29" s="26">
        <f>SUM($Z$29:$Z$29)</f>
        <v>0</v>
      </c>
      <c r="AB29" s="26">
        <f>SUMIF($L$4:$AA$4,"SUBTOTAL",$L$29:$AA$29)</f>
        <v>298.46981093475944</v>
      </c>
    </row>
    <row r="30" spans="1:28" ht="11.25" customHeight="1" x14ac:dyDescent="0.3">
      <c r="A30" s="151"/>
      <c r="B30" s="151" t="s">
        <v>77</v>
      </c>
      <c r="C30" s="151" t="s">
        <v>42</v>
      </c>
      <c r="D30" s="151" t="s">
        <v>94</v>
      </c>
      <c r="E30" s="151" t="s">
        <v>25</v>
      </c>
      <c r="F30" s="151" t="s">
        <v>25</v>
      </c>
      <c r="G30" s="29" t="s">
        <v>79</v>
      </c>
      <c r="H30" s="29" t="s">
        <v>78</v>
      </c>
      <c r="I30" s="29">
        <f>'MERCADO TE'!$U$27</f>
        <v>0</v>
      </c>
      <c r="J30" s="15"/>
      <c r="L30" s="26">
        <f>'TR TE'!$L$30*'TR TE'!$L$50</f>
        <v>3.0900227818347115</v>
      </c>
      <c r="M30" s="26">
        <f>'TR TE'!$M$30*'TR TE'!$M$50</f>
        <v>0</v>
      </c>
      <c r="N30" s="26">
        <f>'TR TE'!$N$30*'TR TE'!$N$50</f>
        <v>0</v>
      </c>
      <c r="O30" s="26">
        <f>'TR TE'!$O$30*'TR TE'!$O$50</f>
        <v>4.7136826712368762</v>
      </c>
      <c r="P30" s="26">
        <f>'TR TE'!$P$30*'TR TE'!$P$50</f>
        <v>0</v>
      </c>
      <c r="Q30" s="26">
        <f>SUM($L$30:$P$30)</f>
        <v>7.8037054530715881</v>
      </c>
      <c r="R30" s="26">
        <f>'TR TE'!$R$30*'TR TE'!$R$50</f>
        <v>471.64688814009719</v>
      </c>
      <c r="S30" s="26">
        <f>SUM($R$30:$R$30)</f>
        <v>471.64688814009719</v>
      </c>
      <c r="T30" s="26">
        <f>'TR TE'!$T$30*'TR TE'!$T$50</f>
        <v>0</v>
      </c>
      <c r="U30" s="26">
        <f>'TR TE'!$U$30*'TR TE'!$U$50</f>
        <v>0</v>
      </c>
      <c r="V30" s="26">
        <f>'TR TE'!$V$30*'TR TE'!$V$50</f>
        <v>0</v>
      </c>
      <c r="W30" s="26">
        <f>SUM($T$30:$V$30)</f>
        <v>0</v>
      </c>
      <c r="X30" s="26"/>
      <c r="Y30" s="26">
        <f>SUM($X$30:$X$30)</f>
        <v>0</v>
      </c>
      <c r="Z30" s="26">
        <f>'TR TE'!$Z$30*'TR TE'!$Z$50</f>
        <v>0</v>
      </c>
      <c r="AA30" s="26">
        <f>SUM($Z$30:$Z$30)</f>
        <v>0</v>
      </c>
      <c r="AB30" s="26">
        <f>SUMIF($L$4:$AA$4,"SUBTOTAL",$L$30:$AA$30)</f>
        <v>479.45059359316878</v>
      </c>
    </row>
    <row r="31" spans="1:28" ht="11.25" customHeight="1" x14ac:dyDescent="0.3">
      <c r="A31" s="151"/>
      <c r="B31" s="151"/>
      <c r="C31" s="151"/>
      <c r="D31" s="151"/>
      <c r="E31" s="151"/>
      <c r="F31" s="151"/>
      <c r="G31" s="29" t="s">
        <v>89</v>
      </c>
      <c r="H31" s="29" t="s">
        <v>78</v>
      </c>
      <c r="I31" s="29">
        <f>'MERCADO TE'!$U$28</f>
        <v>0</v>
      </c>
      <c r="J31" s="15"/>
      <c r="L31" s="26">
        <f>'TR TE'!$L$31*'TR TE'!$L$50</f>
        <v>3.0900227818347115</v>
      </c>
      <c r="M31" s="26">
        <f>'TR TE'!$M$31*'TR TE'!$M$50</f>
        <v>0</v>
      </c>
      <c r="N31" s="26">
        <f>'TR TE'!$N$31*'TR TE'!$N$50</f>
        <v>0</v>
      </c>
      <c r="O31" s="26">
        <f>'TR TE'!$O$31*'TR TE'!$O$50</f>
        <v>4.7136826712368762</v>
      </c>
      <c r="P31" s="26">
        <f>'TR TE'!$P$31*'TR TE'!$P$50</f>
        <v>0</v>
      </c>
      <c r="Q31" s="26">
        <f>SUM($L$31:$P$31)</f>
        <v>7.8037054530715881</v>
      </c>
      <c r="R31" s="26">
        <f>'TR TE'!$R$31*'TR TE'!$R$50</f>
        <v>274.21330705819605</v>
      </c>
      <c r="S31" s="26">
        <f>SUM($R$31:$R$31)</f>
        <v>274.21330705819605</v>
      </c>
      <c r="T31" s="26">
        <f>'TR TE'!$T$31*'TR TE'!$T$50</f>
        <v>0</v>
      </c>
      <c r="U31" s="26">
        <f>'TR TE'!$U$31*'TR TE'!$U$50</f>
        <v>0</v>
      </c>
      <c r="V31" s="26">
        <f>'TR TE'!$V$31*'TR TE'!$V$50</f>
        <v>0</v>
      </c>
      <c r="W31" s="26">
        <f>SUM($T$31:$V$31)</f>
        <v>0</v>
      </c>
      <c r="X31" s="26"/>
      <c r="Y31" s="26">
        <f>SUM($X$31:$X$31)</f>
        <v>0</v>
      </c>
      <c r="Z31" s="26">
        <f>'TR TE'!$Z$31*'TR TE'!$Z$50</f>
        <v>0</v>
      </c>
      <c r="AA31" s="26">
        <f>SUM($Z$31:$Z$31)</f>
        <v>0</v>
      </c>
      <c r="AB31" s="26">
        <f>SUMIF($L$4:$AA$4,"SUBTOTAL",$L$31:$AA$31)</f>
        <v>282.01701251126764</v>
      </c>
    </row>
    <row r="32" spans="1:28" ht="11.25" customHeight="1" x14ac:dyDescent="0.3">
      <c r="A32" s="151"/>
      <c r="B32" s="151"/>
      <c r="C32" s="151"/>
      <c r="D32" s="151"/>
      <c r="E32" s="151"/>
      <c r="F32" s="151"/>
      <c r="G32" s="29" t="s">
        <v>80</v>
      </c>
      <c r="H32" s="29" t="s">
        <v>78</v>
      </c>
      <c r="I32" s="29">
        <f>'MERCADO TE'!$U$29</f>
        <v>0</v>
      </c>
      <c r="J32" s="15"/>
      <c r="L32" s="26">
        <f>'TR TE'!$L$32*'TR TE'!$L$50</f>
        <v>3.0900227818347115</v>
      </c>
      <c r="M32" s="26">
        <f>'TR TE'!$M$32*'TR TE'!$M$50</f>
        <v>0</v>
      </c>
      <c r="N32" s="26">
        <f>'TR TE'!$N$32*'TR TE'!$N$50</f>
        <v>0</v>
      </c>
      <c r="O32" s="26">
        <f>'TR TE'!$O$32*'TR TE'!$O$50</f>
        <v>4.7136826712368762</v>
      </c>
      <c r="P32" s="26">
        <f>'TR TE'!$P$32*'TR TE'!$P$50</f>
        <v>0</v>
      </c>
      <c r="Q32" s="26">
        <f>SUM($L$32:$P$32)</f>
        <v>7.8037054530715881</v>
      </c>
      <c r="R32" s="26">
        <f>'TR TE'!$R$32*'TR TE'!$R$50</f>
        <v>274.21330705819605</v>
      </c>
      <c r="S32" s="26">
        <f>SUM($R$32:$R$32)</f>
        <v>274.21330705819605</v>
      </c>
      <c r="T32" s="26">
        <f>'TR TE'!$T$32*'TR TE'!$T$50</f>
        <v>0</v>
      </c>
      <c r="U32" s="26">
        <f>'TR TE'!$U$32*'TR TE'!$U$50</f>
        <v>0</v>
      </c>
      <c r="V32" s="26">
        <f>'TR TE'!$V$32*'TR TE'!$V$50</f>
        <v>0</v>
      </c>
      <c r="W32" s="26">
        <f>SUM($T$32:$V$32)</f>
        <v>0</v>
      </c>
      <c r="X32" s="26"/>
      <c r="Y32" s="26">
        <f>SUM($X$32:$X$32)</f>
        <v>0</v>
      </c>
      <c r="Z32" s="26">
        <f>'TR TE'!$Z$32*'TR TE'!$Z$50</f>
        <v>0</v>
      </c>
      <c r="AA32" s="26">
        <f>SUM($Z$32:$Z$32)</f>
        <v>0</v>
      </c>
      <c r="AB32" s="26">
        <f>SUMIF($L$4:$AA$4,"SUBTOTAL",$L$32:$AA$32)</f>
        <v>282.01701251126764</v>
      </c>
    </row>
    <row r="33" spans="1:28" ht="11.25" customHeight="1" x14ac:dyDescent="0.3">
      <c r="A33" s="151"/>
      <c r="B33" s="28" t="s">
        <v>90</v>
      </c>
      <c r="C33" s="28" t="s">
        <v>42</v>
      </c>
      <c r="D33" s="28" t="s">
        <v>94</v>
      </c>
      <c r="E33" s="28" t="s">
        <v>25</v>
      </c>
      <c r="F33" s="28" t="s">
        <v>25</v>
      </c>
      <c r="G33" s="29" t="s">
        <v>84</v>
      </c>
      <c r="H33" s="29" t="s">
        <v>78</v>
      </c>
      <c r="I33" s="29">
        <f>'MERCADO TE'!$U$30</f>
        <v>0</v>
      </c>
      <c r="J33" s="15"/>
      <c r="L33" s="26">
        <f>'TR TE'!$L$33*'TR TE'!$L$50</f>
        <v>3.0900227818347115</v>
      </c>
      <c r="M33" s="26">
        <f>'TR TE'!$M$33*'TR TE'!$M$50</f>
        <v>0</v>
      </c>
      <c r="N33" s="26">
        <f>'TR TE'!$N$33*'TR TE'!$N$50</f>
        <v>0</v>
      </c>
      <c r="O33" s="26">
        <f>'TR TE'!$O$33*'TR TE'!$O$50</f>
        <v>4.7136826712368762</v>
      </c>
      <c r="P33" s="26">
        <f>'TR TE'!$P$33*'TR TE'!$P$50</f>
        <v>0</v>
      </c>
      <c r="Q33" s="26">
        <f>SUM($L$33:$P$33)</f>
        <v>7.8037054530715881</v>
      </c>
      <c r="R33" s="26">
        <f>'TR TE'!$R$33*'TR TE'!$R$50</f>
        <v>290.66610548168785</v>
      </c>
      <c r="S33" s="26">
        <f>SUM($R$33:$R$33)</f>
        <v>290.66610548168785</v>
      </c>
      <c r="T33" s="26">
        <f>'TR TE'!$T$33*'TR TE'!$T$50</f>
        <v>0</v>
      </c>
      <c r="U33" s="26">
        <f>'TR TE'!$U$33*'TR TE'!$U$50</f>
        <v>0</v>
      </c>
      <c r="V33" s="26">
        <f>'TR TE'!$V$33*'TR TE'!$V$50</f>
        <v>0</v>
      </c>
      <c r="W33" s="26">
        <f>SUM($T$33:$V$33)</f>
        <v>0</v>
      </c>
      <c r="X33" s="26"/>
      <c r="Y33" s="26">
        <f>SUM($X$33:$X$33)</f>
        <v>0</v>
      </c>
      <c r="Z33" s="26">
        <f>'TR TE'!$Z$33*'TR TE'!$Z$50</f>
        <v>0</v>
      </c>
      <c r="AA33" s="26">
        <f>SUM($Z$33:$Z$33)</f>
        <v>0</v>
      </c>
      <c r="AB33" s="26">
        <f>SUMIF($L$4:$AA$4,"SUBTOTAL",$L$33:$AA$33)</f>
        <v>298.46981093475944</v>
      </c>
    </row>
    <row r="34" spans="1:28" ht="11.25" customHeight="1" x14ac:dyDescent="0.3">
      <c r="A34" s="151"/>
      <c r="B34" s="151" t="s">
        <v>91</v>
      </c>
      <c r="C34" s="151" t="s">
        <v>42</v>
      </c>
      <c r="D34" s="28" t="s">
        <v>25</v>
      </c>
      <c r="E34" s="28" t="s">
        <v>25</v>
      </c>
      <c r="F34" s="28" t="s">
        <v>25</v>
      </c>
      <c r="G34" s="29" t="s">
        <v>84</v>
      </c>
      <c r="H34" s="29" t="s">
        <v>78</v>
      </c>
      <c r="I34" s="29">
        <f>'MERCADO TE'!$U$31</f>
        <v>0</v>
      </c>
      <c r="J34" s="15"/>
      <c r="L34" s="26">
        <f>'TR TE'!$L$34*'TR TE'!$L$50</f>
        <v>3.0900227818347115</v>
      </c>
      <c r="M34" s="26">
        <f>'TR TE'!$M$34*'TR TE'!$M$50</f>
        <v>0</v>
      </c>
      <c r="N34" s="26">
        <f>'TR TE'!$N$34*'TR TE'!$N$50</f>
        <v>0</v>
      </c>
      <c r="O34" s="26">
        <f>'TR TE'!$O$34*'TR TE'!$O$50</f>
        <v>4.7136826712368762</v>
      </c>
      <c r="P34" s="26">
        <f>'TR TE'!$P$34*'TR TE'!$P$50</f>
        <v>0</v>
      </c>
      <c r="Q34" s="26">
        <f>SUM($L$34:$P$34)</f>
        <v>7.8037054530715881</v>
      </c>
      <c r="R34" s="26">
        <f>'TR TE'!$R$34*'TR TE'!$R$50</f>
        <v>290.66610548168785</v>
      </c>
      <c r="S34" s="26">
        <f>SUM($R$34:$R$34)</f>
        <v>290.66610548168785</v>
      </c>
      <c r="T34" s="26">
        <f>'TR TE'!$T$34*'TR TE'!$T$50</f>
        <v>0</v>
      </c>
      <c r="U34" s="26">
        <f>'TR TE'!$U$34*'TR TE'!$U$50</f>
        <v>0</v>
      </c>
      <c r="V34" s="26">
        <f>'TR TE'!$V$34*'TR TE'!$V$50</f>
        <v>0</v>
      </c>
      <c r="W34" s="26">
        <f>SUM($T$34:$V$34)</f>
        <v>0</v>
      </c>
      <c r="X34" s="26"/>
      <c r="Y34" s="26">
        <f>SUM($X$34:$X$34)</f>
        <v>0</v>
      </c>
      <c r="Z34" s="26">
        <f>'TR TE'!$Z$34*'TR TE'!$Z$50</f>
        <v>0</v>
      </c>
      <c r="AA34" s="26">
        <f>SUM($Z$34:$Z$34)</f>
        <v>0</v>
      </c>
      <c r="AB34" s="26">
        <f>SUMIF($L$4:$AA$4,"SUBTOTAL",$L$34:$AA$34)</f>
        <v>298.46981093475944</v>
      </c>
    </row>
    <row r="35" spans="1:28" ht="11.25" customHeight="1" x14ac:dyDescent="0.3">
      <c r="A35" s="151"/>
      <c r="B35" s="151"/>
      <c r="C35" s="151"/>
      <c r="D35" s="28" t="s">
        <v>93</v>
      </c>
      <c r="E35" s="28" t="s">
        <v>25</v>
      </c>
      <c r="F35" s="28" t="s">
        <v>25</v>
      </c>
      <c r="G35" s="29" t="s">
        <v>84</v>
      </c>
      <c r="H35" s="29" t="s">
        <v>78</v>
      </c>
      <c r="I35" s="29">
        <f>'MERCADO TE'!$U$32</f>
        <v>0</v>
      </c>
      <c r="J35" s="15"/>
      <c r="L35" s="26">
        <f>'TR TE'!$L$35*'TR TE'!$L$50</f>
        <v>3.0900227818347115</v>
      </c>
      <c r="M35" s="26">
        <f>'TR TE'!$M$35*'TR TE'!$M$50</f>
        <v>0</v>
      </c>
      <c r="N35" s="26">
        <f>'TR TE'!$N$35*'TR TE'!$N$50</f>
        <v>0</v>
      </c>
      <c r="O35" s="26">
        <f>'TR TE'!$O$35*'TR TE'!$O$50</f>
        <v>4.7136826712368762</v>
      </c>
      <c r="P35" s="26">
        <f>'TR TE'!$P$35*'TR TE'!$P$50</f>
        <v>0</v>
      </c>
      <c r="Q35" s="26">
        <f>SUM($L$35:$P$35)</f>
        <v>7.8037054530715881</v>
      </c>
      <c r="R35" s="26">
        <f>'TR TE'!$R$35*'TR TE'!$R$50</f>
        <v>290.66610548168785</v>
      </c>
      <c r="S35" s="26">
        <f>SUM($R$35:$R$35)</f>
        <v>290.66610548168785</v>
      </c>
      <c r="T35" s="26">
        <f>'TR TE'!$T$35*'TR TE'!$T$50</f>
        <v>0</v>
      </c>
      <c r="U35" s="26">
        <f>'TR TE'!$U$35*'TR TE'!$U$50</f>
        <v>0</v>
      </c>
      <c r="V35" s="26">
        <f>'TR TE'!$V$35*'TR TE'!$V$50</f>
        <v>0</v>
      </c>
      <c r="W35" s="26">
        <f>SUM($T$35:$V$35)</f>
        <v>0</v>
      </c>
      <c r="X35" s="26"/>
      <c r="Y35" s="26">
        <f>SUM($X$35:$X$35)</f>
        <v>0</v>
      </c>
      <c r="Z35" s="26">
        <f>'TR TE'!$Z$35*'TR TE'!$Z$50</f>
        <v>0</v>
      </c>
      <c r="AA35" s="26">
        <f>SUM($Z$35:$Z$35)</f>
        <v>0</v>
      </c>
      <c r="AB35" s="26">
        <f>SUMIF($L$4:$AA$4,"SUBTOTAL",$L$35:$AA$35)</f>
        <v>298.46981093475944</v>
      </c>
    </row>
    <row r="36" spans="1:28" ht="11.25" customHeight="1" x14ac:dyDescent="0.3">
      <c r="A36" s="151"/>
      <c r="B36" s="151"/>
      <c r="C36" s="151"/>
      <c r="D36" s="28" t="s">
        <v>94</v>
      </c>
      <c r="E36" s="28" t="s">
        <v>25</v>
      </c>
      <c r="F36" s="28" t="s">
        <v>25</v>
      </c>
      <c r="G36" s="29" t="s">
        <v>84</v>
      </c>
      <c r="H36" s="29" t="s">
        <v>78</v>
      </c>
      <c r="I36" s="29">
        <f>'MERCADO TE'!$U$33</f>
        <v>0</v>
      </c>
      <c r="J36" s="15"/>
      <c r="L36" s="26">
        <f>'TR TE'!$L$36*'TR TE'!$L$50</f>
        <v>3.0900227818347115</v>
      </c>
      <c r="M36" s="26">
        <f>'TR TE'!$M$36*'TR TE'!$M$50</f>
        <v>0</v>
      </c>
      <c r="N36" s="26">
        <f>'TR TE'!$N$36*'TR TE'!$N$50</f>
        <v>0</v>
      </c>
      <c r="O36" s="26">
        <f>'TR TE'!$O$36*'TR TE'!$O$50</f>
        <v>4.7136826712368762</v>
      </c>
      <c r="P36" s="26">
        <f>'TR TE'!$P$36*'TR TE'!$P$50</f>
        <v>0</v>
      </c>
      <c r="Q36" s="26">
        <f>SUM($L$36:$P$36)</f>
        <v>7.8037054530715881</v>
      </c>
      <c r="R36" s="26">
        <f>'TR TE'!$R$36*'TR TE'!$R$50</f>
        <v>290.66610548168785</v>
      </c>
      <c r="S36" s="26">
        <f>SUM($R$36:$R$36)</f>
        <v>290.66610548168785</v>
      </c>
      <c r="T36" s="26">
        <f>'TR TE'!$T$36*'TR TE'!$T$50</f>
        <v>0</v>
      </c>
      <c r="U36" s="26">
        <f>'TR TE'!$U$36*'TR TE'!$U$50</f>
        <v>0</v>
      </c>
      <c r="V36" s="26">
        <f>'TR TE'!$V$36*'TR TE'!$V$50</f>
        <v>0</v>
      </c>
      <c r="W36" s="26">
        <f>SUM($T$36:$V$36)</f>
        <v>0</v>
      </c>
      <c r="X36" s="26"/>
      <c r="Y36" s="26">
        <f>SUM($X$36:$X$36)</f>
        <v>0</v>
      </c>
      <c r="Z36" s="26">
        <f>'TR TE'!$Z$36*'TR TE'!$Z$50</f>
        <v>0</v>
      </c>
      <c r="AA36" s="26">
        <f>SUM($Z$36:$Z$36)</f>
        <v>0</v>
      </c>
      <c r="AB36" s="26">
        <f>SUMIF($L$4:$AA$4,"SUBTOTAL",$L$36:$AA$36)</f>
        <v>298.46981093475944</v>
      </c>
    </row>
    <row r="37" spans="1:28" ht="11.25" customHeight="1" x14ac:dyDescent="0.3">
      <c r="A37" s="151" t="s">
        <v>32</v>
      </c>
      <c r="B37" s="151" t="s">
        <v>77</v>
      </c>
      <c r="C37" s="151" t="s">
        <v>25</v>
      </c>
      <c r="D37" s="151" t="s">
        <v>25</v>
      </c>
      <c r="E37" s="151" t="s">
        <v>25</v>
      </c>
      <c r="F37" s="151" t="s">
        <v>25</v>
      </c>
      <c r="G37" s="29" t="s">
        <v>79</v>
      </c>
      <c r="H37" s="29" t="s">
        <v>78</v>
      </c>
      <c r="I37" s="29">
        <f>'MERCADO TE'!$U$34</f>
        <v>4.4679999999999991</v>
      </c>
      <c r="J37" s="15"/>
      <c r="L37" s="26">
        <f>'TR TE'!$L$37*'TR TE'!$L$50</f>
        <v>3.0900227818347115</v>
      </c>
      <c r="M37" s="26">
        <f>'TR TE'!$M$37*'TR TE'!$M$50</f>
        <v>0</v>
      </c>
      <c r="N37" s="26">
        <f>'TR TE'!$N$37*'TR TE'!$N$50</f>
        <v>0</v>
      </c>
      <c r="O37" s="26">
        <f>'TR TE'!$O$37*'TR TE'!$O$50</f>
        <v>4.7136826712368762</v>
      </c>
      <c r="P37" s="26">
        <f>'TR TE'!$P$37*'TR TE'!$P$50</f>
        <v>0</v>
      </c>
      <c r="Q37" s="26">
        <f>SUM($L$37:$P$37)</f>
        <v>7.8037054530715881</v>
      </c>
      <c r="R37" s="26">
        <f>'TR TE'!$R$37*'TR TE'!$R$50</f>
        <v>471.64688814009719</v>
      </c>
      <c r="S37" s="26">
        <f>SUM($R$37:$R$37)</f>
        <v>471.64688814009719</v>
      </c>
      <c r="T37" s="26">
        <f>'TR TE'!$T$37*'TR TE'!$T$50</f>
        <v>0</v>
      </c>
      <c r="U37" s="26">
        <f>'TR TE'!$U$37*'TR TE'!$U$50</f>
        <v>0</v>
      </c>
      <c r="V37" s="26">
        <f>'TR TE'!$V$37*'TR TE'!$V$50</f>
        <v>0</v>
      </c>
      <c r="W37" s="26">
        <f>SUM($T$37:$V$37)</f>
        <v>0</v>
      </c>
      <c r="X37" s="26"/>
      <c r="Y37" s="26">
        <f>SUM($X$37:$X$37)</f>
        <v>0</v>
      </c>
      <c r="Z37" s="26">
        <f>'TR TE'!$Z$37*'TR TE'!$Z$50</f>
        <v>0</v>
      </c>
      <c r="AA37" s="26">
        <f>SUM($Z$37:$Z$37)</f>
        <v>0</v>
      </c>
      <c r="AB37" s="26">
        <f>SUMIF($L$4:$AA$4,"SUBTOTAL",$L$37:$AA$37)</f>
        <v>479.45059359316878</v>
      </c>
    </row>
    <row r="38" spans="1:28" ht="11.25" customHeight="1" x14ac:dyDescent="0.3">
      <c r="A38" s="151"/>
      <c r="B38" s="151"/>
      <c r="C38" s="151"/>
      <c r="D38" s="151"/>
      <c r="E38" s="151"/>
      <c r="F38" s="151"/>
      <c r="G38" s="29" t="s">
        <v>89</v>
      </c>
      <c r="H38" s="29" t="s">
        <v>78</v>
      </c>
      <c r="I38" s="29">
        <f>'MERCADO TE'!$U$35</f>
        <v>4.7860000000000005</v>
      </c>
      <c r="J38" s="15"/>
      <c r="L38" s="26">
        <f>'TR TE'!$L$38*'TR TE'!$L$50</f>
        <v>3.0900227818347115</v>
      </c>
      <c r="M38" s="26">
        <f>'TR TE'!$M$38*'TR TE'!$M$50</f>
        <v>0</v>
      </c>
      <c r="N38" s="26">
        <f>'TR TE'!$N$38*'TR TE'!$N$50</f>
        <v>0</v>
      </c>
      <c r="O38" s="26">
        <f>'TR TE'!$O$38*'TR TE'!$O$50</f>
        <v>4.7136826712368762</v>
      </c>
      <c r="P38" s="26">
        <f>'TR TE'!$P$38*'TR TE'!$P$50</f>
        <v>0</v>
      </c>
      <c r="Q38" s="26">
        <f>SUM($L$38:$P$38)</f>
        <v>7.8037054530715881</v>
      </c>
      <c r="R38" s="26">
        <f>'TR TE'!$R$38*'TR TE'!$R$50</f>
        <v>274.21330705819605</v>
      </c>
      <c r="S38" s="26">
        <f>SUM($R$38:$R$38)</f>
        <v>274.21330705819605</v>
      </c>
      <c r="T38" s="26">
        <f>'TR TE'!$T$38*'TR TE'!$T$50</f>
        <v>0</v>
      </c>
      <c r="U38" s="26">
        <f>'TR TE'!$U$38*'TR TE'!$U$50</f>
        <v>0</v>
      </c>
      <c r="V38" s="26">
        <f>'TR TE'!$V$38*'TR TE'!$V$50</f>
        <v>0</v>
      </c>
      <c r="W38" s="26">
        <f>SUM($T$38:$V$38)</f>
        <v>0</v>
      </c>
      <c r="X38" s="26"/>
      <c r="Y38" s="26">
        <f>SUM($X$38:$X$38)</f>
        <v>0</v>
      </c>
      <c r="Z38" s="26">
        <f>'TR TE'!$Z$38*'TR TE'!$Z$50</f>
        <v>0</v>
      </c>
      <c r="AA38" s="26">
        <f>SUM($Z$38:$Z$38)</f>
        <v>0</v>
      </c>
      <c r="AB38" s="26">
        <f>SUMIF($L$4:$AA$4,"SUBTOTAL",$L$38:$AA$38)</f>
        <v>282.01701251126764</v>
      </c>
    </row>
    <row r="39" spans="1:28" ht="11.25" customHeight="1" x14ac:dyDescent="0.3">
      <c r="A39" s="151"/>
      <c r="B39" s="151"/>
      <c r="C39" s="151"/>
      <c r="D39" s="151"/>
      <c r="E39" s="151"/>
      <c r="F39" s="151"/>
      <c r="G39" s="29" t="s">
        <v>80</v>
      </c>
      <c r="H39" s="29" t="s">
        <v>78</v>
      </c>
      <c r="I39" s="29">
        <f>'MERCADO TE'!$U$36</f>
        <v>153.63399999999999</v>
      </c>
      <c r="J39" s="15"/>
      <c r="L39" s="26">
        <f>'TR TE'!$L$39*'TR TE'!$L$50</f>
        <v>3.0900227818347115</v>
      </c>
      <c r="M39" s="26">
        <f>'TR TE'!$M$39*'TR TE'!$M$50</f>
        <v>0</v>
      </c>
      <c r="N39" s="26">
        <f>'TR TE'!$N$39*'TR TE'!$N$50</f>
        <v>0</v>
      </c>
      <c r="O39" s="26">
        <f>'TR TE'!$O$39*'TR TE'!$O$50</f>
        <v>4.7136826712368762</v>
      </c>
      <c r="P39" s="26">
        <f>'TR TE'!$P$39*'TR TE'!$P$50</f>
        <v>0</v>
      </c>
      <c r="Q39" s="26">
        <f>SUM($L$39:$P$39)</f>
        <v>7.8037054530715881</v>
      </c>
      <c r="R39" s="26">
        <f>'TR TE'!$R$39*'TR TE'!$R$50</f>
        <v>274.21330705819605</v>
      </c>
      <c r="S39" s="26">
        <f>SUM($R$39:$R$39)</f>
        <v>274.21330705819605</v>
      </c>
      <c r="T39" s="26">
        <f>'TR TE'!$T$39*'TR TE'!$T$50</f>
        <v>0</v>
      </c>
      <c r="U39" s="26">
        <f>'TR TE'!$U$39*'TR TE'!$U$50</f>
        <v>0</v>
      </c>
      <c r="V39" s="26">
        <f>'TR TE'!$V$39*'TR TE'!$V$50</f>
        <v>0</v>
      </c>
      <c r="W39" s="26">
        <f>SUM($T$39:$V$39)</f>
        <v>0</v>
      </c>
      <c r="X39" s="26"/>
      <c r="Y39" s="26">
        <f>SUM($X$39:$X$39)</f>
        <v>0</v>
      </c>
      <c r="Z39" s="26">
        <f>'TR TE'!$Z$39*'TR TE'!$Z$50</f>
        <v>0</v>
      </c>
      <c r="AA39" s="26">
        <f>SUM($Z$39:$Z$39)</f>
        <v>0</v>
      </c>
      <c r="AB39" s="26">
        <f>SUMIF($L$4:$AA$4,"SUBTOTAL",$L$39:$AA$39)</f>
        <v>282.01701251126764</v>
      </c>
    </row>
    <row r="40" spans="1:28" ht="11.25" customHeight="1" x14ac:dyDescent="0.3">
      <c r="A40" s="151"/>
      <c r="B40" s="28" t="s">
        <v>90</v>
      </c>
      <c r="C40" s="28" t="s">
        <v>25</v>
      </c>
      <c r="D40" s="28" t="s">
        <v>25</v>
      </c>
      <c r="E40" s="28" t="s">
        <v>25</v>
      </c>
      <c r="F40" s="28" t="s">
        <v>25</v>
      </c>
      <c r="G40" s="29" t="s">
        <v>84</v>
      </c>
      <c r="H40" s="29" t="s">
        <v>78</v>
      </c>
      <c r="I40" s="29">
        <f>'MERCADO TE'!$U$37</f>
        <v>6434.8159999999998</v>
      </c>
      <c r="J40" s="15"/>
      <c r="L40" s="26">
        <f>'TR TE'!$L$40*'TR TE'!$L$50</f>
        <v>3.0900227818347115</v>
      </c>
      <c r="M40" s="26">
        <f>'TR TE'!$M$40*'TR TE'!$M$50</f>
        <v>0</v>
      </c>
      <c r="N40" s="26">
        <f>'TR TE'!$N$40*'TR TE'!$N$50</f>
        <v>0</v>
      </c>
      <c r="O40" s="26">
        <f>'TR TE'!$O$40*'TR TE'!$O$50</f>
        <v>4.7136826712368762</v>
      </c>
      <c r="P40" s="26">
        <f>'TR TE'!$P$40*'TR TE'!$P$50</f>
        <v>0</v>
      </c>
      <c r="Q40" s="26">
        <f>SUM($L$40:$P$40)</f>
        <v>7.8037054530715881</v>
      </c>
      <c r="R40" s="26">
        <f>'TR TE'!$R$40*'TR TE'!$R$50</f>
        <v>290.66610548168785</v>
      </c>
      <c r="S40" s="26">
        <f>SUM($R$40:$R$40)</f>
        <v>290.66610548168785</v>
      </c>
      <c r="T40" s="26">
        <f>'TR TE'!$T$40*'TR TE'!$T$50</f>
        <v>0</v>
      </c>
      <c r="U40" s="26">
        <f>'TR TE'!$U$40*'TR TE'!$U$50</f>
        <v>0</v>
      </c>
      <c r="V40" s="26">
        <f>'TR TE'!$V$40*'TR TE'!$V$50</f>
        <v>0</v>
      </c>
      <c r="W40" s="26">
        <f>SUM($T$40:$V$40)</f>
        <v>0</v>
      </c>
      <c r="X40" s="26"/>
      <c r="Y40" s="26">
        <f>SUM($X$40:$X$40)</f>
        <v>0</v>
      </c>
      <c r="Z40" s="26">
        <f>'TR TE'!$Z$40*'TR TE'!$Z$50</f>
        <v>0</v>
      </c>
      <c r="AA40" s="26">
        <f>SUM($Z$40:$Z$40)</f>
        <v>0</v>
      </c>
      <c r="AB40" s="26">
        <f>SUMIF($L$4:$AA$4,"SUBTOTAL",$L$40:$AA$40)</f>
        <v>298.46981093475944</v>
      </c>
    </row>
    <row r="41" spans="1:28" ht="11.25" customHeight="1" x14ac:dyDescent="0.3">
      <c r="A41" s="151"/>
      <c r="B41" s="28" t="s">
        <v>91</v>
      </c>
      <c r="C41" s="28" t="s">
        <v>25</v>
      </c>
      <c r="D41" s="28" t="s">
        <v>25</v>
      </c>
      <c r="E41" s="28" t="s">
        <v>25</v>
      </c>
      <c r="F41" s="28" t="s">
        <v>25</v>
      </c>
      <c r="G41" s="29" t="s">
        <v>84</v>
      </c>
      <c r="H41" s="29" t="s">
        <v>78</v>
      </c>
      <c r="I41" s="29">
        <f>'MERCADO TE'!$U$38</f>
        <v>0</v>
      </c>
      <c r="J41" s="15"/>
      <c r="L41" s="26">
        <f>'TR TE'!$L$41*'TR TE'!$L$50</f>
        <v>3.0900227818347115</v>
      </c>
      <c r="M41" s="26">
        <f>'TR TE'!$M$41*'TR TE'!$M$50</f>
        <v>0</v>
      </c>
      <c r="N41" s="26">
        <f>'TR TE'!$N$41*'TR TE'!$N$50</f>
        <v>0</v>
      </c>
      <c r="O41" s="26">
        <f>'TR TE'!$O$41*'TR TE'!$O$50</f>
        <v>4.7136826712368762</v>
      </c>
      <c r="P41" s="26">
        <f>'TR TE'!$P$41*'TR TE'!$P$50</f>
        <v>0</v>
      </c>
      <c r="Q41" s="26">
        <f>SUM($L$41:$P$41)</f>
        <v>7.8037054530715881</v>
      </c>
      <c r="R41" s="26">
        <f>'TR TE'!$R$41*'TR TE'!$R$50</f>
        <v>290.66610548168785</v>
      </c>
      <c r="S41" s="26">
        <f>SUM($R$41:$R$41)</f>
        <v>290.66610548168785</v>
      </c>
      <c r="T41" s="26">
        <f>'TR TE'!$T$41*'TR TE'!$T$50</f>
        <v>0</v>
      </c>
      <c r="U41" s="26">
        <f>'TR TE'!$U$41*'TR TE'!$U$50</f>
        <v>0</v>
      </c>
      <c r="V41" s="26">
        <f>'TR TE'!$V$41*'TR TE'!$V$50</f>
        <v>0</v>
      </c>
      <c r="W41" s="26">
        <f>SUM($T$41:$V$41)</f>
        <v>0</v>
      </c>
      <c r="X41" s="26"/>
      <c r="Y41" s="26">
        <f>SUM($X$41:$X$41)</f>
        <v>0</v>
      </c>
      <c r="Z41" s="26">
        <f>'TR TE'!$Z$41*'TR TE'!$Z$50</f>
        <v>0</v>
      </c>
      <c r="AA41" s="26">
        <f>SUM($Z$41:$Z$41)</f>
        <v>0</v>
      </c>
      <c r="AB41" s="26">
        <f>SUMIF($L$4:$AA$4,"SUBTOTAL",$L$41:$AA$41)</f>
        <v>298.46981093475944</v>
      </c>
    </row>
    <row r="42" spans="1:28" ht="11.25" customHeight="1" x14ac:dyDescent="0.3">
      <c r="A42" s="151" t="s">
        <v>44</v>
      </c>
      <c r="B42" s="151" t="s">
        <v>90</v>
      </c>
      <c r="C42" s="151" t="s">
        <v>45</v>
      </c>
      <c r="D42" s="28" t="s">
        <v>46</v>
      </c>
      <c r="E42" s="28" t="s">
        <v>25</v>
      </c>
      <c r="F42" s="28" t="s">
        <v>25</v>
      </c>
      <c r="G42" s="29" t="s">
        <v>84</v>
      </c>
      <c r="H42" s="29" t="s">
        <v>78</v>
      </c>
      <c r="I42" s="29">
        <f>'MERCADO TE'!$U$39</f>
        <v>2415.7070000000003</v>
      </c>
      <c r="J42" s="15"/>
      <c r="L42" s="26">
        <f>'TR TE'!$L$42*'TR TE'!$L$50</f>
        <v>1.6995125300090914</v>
      </c>
      <c r="M42" s="26">
        <f>'TR TE'!$M$42*'TR TE'!$M$50</f>
        <v>0</v>
      </c>
      <c r="N42" s="26">
        <f>'TR TE'!$N$42*'TR TE'!$N$50</f>
        <v>0</v>
      </c>
      <c r="O42" s="26">
        <f>'TR TE'!$O$42*'TR TE'!$O$50</f>
        <v>2.5925254691802819</v>
      </c>
      <c r="P42" s="26">
        <f>'TR TE'!$P$42*'TR TE'!$P$50</f>
        <v>0</v>
      </c>
      <c r="Q42" s="26">
        <f>SUM($L$42:$P$42)</f>
        <v>4.2920379991893736</v>
      </c>
      <c r="R42" s="26">
        <f>'TR TE'!$R$42*'TR TE'!$R$50</f>
        <v>159.86635801492832</v>
      </c>
      <c r="S42" s="26">
        <f>SUM($R$42:$R$42)</f>
        <v>159.86635801492832</v>
      </c>
      <c r="T42" s="26">
        <f>'TR TE'!$T$42*'TR TE'!$T$50</f>
        <v>0</v>
      </c>
      <c r="U42" s="26">
        <f>'TR TE'!$U$42*'TR TE'!$U$50</f>
        <v>0</v>
      </c>
      <c r="V42" s="26">
        <f>'TR TE'!$V$42*'TR TE'!$V$50</f>
        <v>0</v>
      </c>
      <c r="W42" s="26">
        <f>SUM($T$42:$V$42)</f>
        <v>0</v>
      </c>
      <c r="X42" s="26"/>
      <c r="Y42" s="26">
        <f>SUM($X$42:$X$42)</f>
        <v>0</v>
      </c>
      <c r="Z42" s="26">
        <f>'TR TE'!$Z$42*'TR TE'!$Z$50</f>
        <v>0</v>
      </c>
      <c r="AA42" s="26">
        <f>SUM($Z$42:$Z$42)</f>
        <v>0</v>
      </c>
      <c r="AB42" s="26">
        <f>SUMIF($L$4:$AA$4,"SUBTOTAL",$L$42:$AA$42)</f>
        <v>164.1583960141177</v>
      </c>
    </row>
    <row r="43" spans="1:28" ht="11.25" customHeight="1" x14ac:dyDescent="0.3">
      <c r="A43" s="151"/>
      <c r="B43" s="151"/>
      <c r="C43" s="151"/>
      <c r="D43" s="29" t="s">
        <v>95</v>
      </c>
      <c r="E43" s="29" t="s">
        <v>25</v>
      </c>
      <c r="F43" s="29" t="s">
        <v>25</v>
      </c>
      <c r="G43" s="29" t="s">
        <v>84</v>
      </c>
      <c r="H43" s="29" t="s">
        <v>78</v>
      </c>
      <c r="I43" s="29">
        <f>'MERCADO TE'!$U$40</f>
        <v>0</v>
      </c>
      <c r="J43" s="15"/>
      <c r="L43" s="26">
        <f>'TR TE'!$L$43*'TR TE'!$L$50</f>
        <v>1.8540136691008269</v>
      </c>
      <c r="M43" s="26">
        <f>'TR TE'!$M$43*'TR TE'!$M$50</f>
        <v>0</v>
      </c>
      <c r="N43" s="26">
        <f>'TR TE'!$N$43*'TR TE'!$N$50</f>
        <v>0</v>
      </c>
      <c r="O43" s="26">
        <f>'TR TE'!$O$43*'TR TE'!$O$50</f>
        <v>2.8282096027421257</v>
      </c>
      <c r="P43" s="26">
        <f>'TR TE'!$P$43*'TR TE'!$P$50</f>
        <v>0</v>
      </c>
      <c r="Q43" s="26">
        <f>SUM($L$43:$P$43)</f>
        <v>4.6822232718429522</v>
      </c>
      <c r="R43" s="26">
        <f>'TR TE'!$R$43*'TR TE'!$R$50</f>
        <v>174.39966328901269</v>
      </c>
      <c r="S43" s="26">
        <f>SUM($R$43:$R$43)</f>
        <v>174.39966328901269</v>
      </c>
      <c r="T43" s="26">
        <f>'TR TE'!$T$43*'TR TE'!$T$50</f>
        <v>0</v>
      </c>
      <c r="U43" s="26">
        <f>'TR TE'!$U$43*'TR TE'!$U$50</f>
        <v>0</v>
      </c>
      <c r="V43" s="26">
        <f>'TR TE'!$V$43*'TR TE'!$V$50</f>
        <v>0</v>
      </c>
      <c r="W43" s="26">
        <f>SUM($T$43:$V$43)</f>
        <v>0</v>
      </c>
      <c r="X43" s="26"/>
      <c r="Y43" s="26">
        <f>SUM($X$43:$X$43)</f>
        <v>0</v>
      </c>
      <c r="Z43" s="26">
        <f>'TR TE'!$Z$43*'TR TE'!$Z$50</f>
        <v>0</v>
      </c>
      <c r="AA43" s="26">
        <f>SUM($Z$43:$Z$43)</f>
        <v>0</v>
      </c>
      <c r="AB43" s="26">
        <f>SUMIF($L$4:$AA$4,"SUBTOTAL",$L$43:$AA$43)</f>
        <v>179.08188656085565</v>
      </c>
    </row>
    <row r="45" spans="1:28" ht="11.25" customHeight="1" x14ac:dyDescent="0.3">
      <c r="K45" s="31" t="s">
        <v>610</v>
      </c>
      <c r="L45" s="26">
        <f t="shared" ref="L45:AB45" si="0">SUMPRODUCT($I$5:$I$43,L$5:L$43)</f>
        <v>82257.561008552206</v>
      </c>
      <c r="M45" s="26">
        <f t="shared" si="0"/>
        <v>0</v>
      </c>
      <c r="N45" s="26">
        <f t="shared" si="0"/>
        <v>0</v>
      </c>
      <c r="O45" s="26">
        <f t="shared" si="0"/>
        <v>125479.99392871892</v>
      </c>
      <c r="P45" s="26">
        <f t="shared" si="0"/>
        <v>0</v>
      </c>
      <c r="Q45" s="26">
        <f t="shared" si="0"/>
        <v>207737.55493727114</v>
      </c>
      <c r="R45" s="26">
        <f t="shared" si="0"/>
        <v>7731659.0407707794</v>
      </c>
      <c r="S45" s="26">
        <f t="shared" si="0"/>
        <v>7731659.0407707794</v>
      </c>
      <c r="T45" s="26">
        <f t="shared" si="0"/>
        <v>0</v>
      </c>
      <c r="U45" s="26">
        <f t="shared" si="0"/>
        <v>0</v>
      </c>
      <c r="V45" s="26">
        <f t="shared" si="0"/>
        <v>0</v>
      </c>
      <c r="W45" s="26">
        <f t="shared" si="0"/>
        <v>0</v>
      </c>
      <c r="X45" s="26">
        <f t="shared" si="0"/>
        <v>0</v>
      </c>
      <c r="Y45" s="26">
        <f t="shared" si="0"/>
        <v>0</v>
      </c>
      <c r="Z45" s="26">
        <f t="shared" si="0"/>
        <v>0</v>
      </c>
      <c r="AA45" s="26">
        <f t="shared" si="0"/>
        <v>0</v>
      </c>
      <c r="AB45" s="26">
        <f t="shared" si="0"/>
        <v>7939396.5957080536</v>
      </c>
    </row>
    <row r="46" spans="1:28" ht="11.25" customHeight="1" x14ac:dyDescent="0.3">
      <c r="K46" s="31" t="s">
        <v>529</v>
      </c>
      <c r="L46" s="26">
        <f>CUSTOS!$D$30</f>
        <v>82257.56100855222</v>
      </c>
      <c r="M46" s="26">
        <f>CUSTOS!$D$31</f>
        <v>0</v>
      </c>
      <c r="N46" s="26">
        <f>CUSTOS!$D$32</f>
        <v>0</v>
      </c>
      <c r="O46" s="26">
        <f>CUSTOS!$D$33</f>
        <v>125479.99392871892</v>
      </c>
      <c r="P46" s="26">
        <f>CUSTOS!$D$34</f>
        <v>0</v>
      </c>
      <c r="Q46" s="26">
        <f>CUSTOS!$D$35</f>
        <v>207737.55493727114</v>
      </c>
      <c r="R46" s="26">
        <f>CUSTOS!$D$36</f>
        <v>7731659.0407707803</v>
      </c>
      <c r="S46" s="26">
        <f>CUSTOS!$D$37</f>
        <v>7731659.0407707803</v>
      </c>
      <c r="T46" s="26">
        <f>CUSTOS!$D$38</f>
        <v>0</v>
      </c>
      <c r="U46" s="26">
        <f>CUSTOS!$D$39</f>
        <v>0</v>
      </c>
      <c r="V46" s="26">
        <f>CUSTOS!$D$40</f>
        <v>0</v>
      </c>
      <c r="W46" s="26">
        <f>CUSTOS!$D$41</f>
        <v>0</v>
      </c>
      <c r="X46" s="26">
        <f>CUSTOS!$D$42</f>
        <v>0</v>
      </c>
      <c r="Y46" s="26">
        <f>CUSTOS!$D$43</f>
        <v>0</v>
      </c>
      <c r="Z46" s="26">
        <f>CUSTOS!$D$44</f>
        <v>0</v>
      </c>
      <c r="AA46" s="26">
        <f>CUSTOS!$D$45</f>
        <v>0</v>
      </c>
      <c r="AB46" s="26">
        <f>CUSTOS!$D$46</f>
        <v>7939396.5957080517</v>
      </c>
    </row>
    <row r="47" spans="1:28" ht="11.25" customHeight="1" x14ac:dyDescent="0.3">
      <c r="K47" s="31" t="s">
        <v>530</v>
      </c>
      <c r="L47" s="26">
        <f>CUSTOS!$E$30</f>
        <v>3.53414010892555E-2</v>
      </c>
      <c r="M47" s="26">
        <f>CUSTOS!$E$31</f>
        <v>0</v>
      </c>
      <c r="N47" s="26">
        <f>CUSTOS!$E$32</f>
        <v>0</v>
      </c>
      <c r="O47" s="26">
        <f>CUSTOS!$E$33</f>
        <v>-989.03942869072853</v>
      </c>
      <c r="P47" s="26">
        <f>CUSTOS!$E$34</f>
        <v>0</v>
      </c>
      <c r="Q47" s="26">
        <f>CUSTOS!$E$35</f>
        <v>-989.0040872896393</v>
      </c>
      <c r="R47" s="26">
        <f>CUSTOS!$E$36</f>
        <v>33591.423936014617</v>
      </c>
      <c r="S47" s="26">
        <f>CUSTOS!$E$37</f>
        <v>33591.423936014617</v>
      </c>
      <c r="T47" s="26">
        <f>CUSTOS!$E$38</f>
        <v>0</v>
      </c>
      <c r="U47" s="26">
        <f>CUSTOS!$E$39</f>
        <v>0</v>
      </c>
      <c r="V47" s="26">
        <f>CUSTOS!$E$40</f>
        <v>0</v>
      </c>
      <c r="W47" s="26">
        <f>CUSTOS!$E$41</f>
        <v>0</v>
      </c>
      <c r="X47" s="26">
        <f>CUSTOS!$E$42</f>
        <v>-311895.76460246748</v>
      </c>
      <c r="Y47" s="26">
        <f>CUSTOS!$E$43</f>
        <v>-311895.76460246748</v>
      </c>
      <c r="Z47" s="26">
        <f>CUSTOS!$E$44</f>
        <v>0</v>
      </c>
      <c r="AA47" s="26">
        <f>CUSTOS!$E$45</f>
        <v>0</v>
      </c>
      <c r="AB47" s="26">
        <f>CUSTOS!$E$46</f>
        <v>-279293.34475374251</v>
      </c>
    </row>
    <row r="48" spans="1:28" ht="11.25" customHeight="1" x14ac:dyDescent="0.3">
      <c r="K48" s="31" t="s">
        <v>531</v>
      </c>
      <c r="L48" s="26">
        <f>CUSTOS!$F$30</f>
        <v>0</v>
      </c>
      <c r="M48" s="26">
        <f>CUSTOS!$F$31</f>
        <v>0</v>
      </c>
      <c r="N48" s="26">
        <f>CUSTOS!$F$32</f>
        <v>0</v>
      </c>
      <c r="O48" s="26">
        <f>CUSTOS!$F$33</f>
        <v>11069.956111878282</v>
      </c>
      <c r="P48" s="26">
        <f>CUSTOS!$F$34</f>
        <v>0</v>
      </c>
      <c r="Q48" s="26">
        <f>CUSTOS!$F$35</f>
        <v>11069.956111878282</v>
      </c>
      <c r="R48" s="26">
        <f>CUSTOS!$F$36</f>
        <v>-32509.338756552352</v>
      </c>
      <c r="S48" s="26">
        <f>CUSTOS!$F$37</f>
        <v>-32509.338756552352</v>
      </c>
      <c r="T48" s="26">
        <f>CUSTOS!$F$38</f>
        <v>0</v>
      </c>
      <c r="U48" s="26">
        <f>CUSTOS!$F$39</f>
        <v>0</v>
      </c>
      <c r="V48" s="26">
        <f>CUSTOS!$F$40</f>
        <v>0</v>
      </c>
      <c r="W48" s="26">
        <f>CUSTOS!$F$41</f>
        <v>0</v>
      </c>
      <c r="X48" s="26">
        <f>CUSTOS!$F$42</f>
        <v>0</v>
      </c>
      <c r="Y48" s="26">
        <f>CUSTOS!$F$43</f>
        <v>0</v>
      </c>
      <c r="Z48" s="26">
        <f>CUSTOS!$F$44</f>
        <v>0</v>
      </c>
      <c r="AA48" s="26">
        <f>CUSTOS!$F$45</f>
        <v>0</v>
      </c>
      <c r="AB48" s="26">
        <f>CUSTOS!$F$46</f>
        <v>-21439.382644674071</v>
      </c>
    </row>
    <row r="49" spans="11:28" ht="11.25" customHeight="1" x14ac:dyDescent="0.3">
      <c r="K49" s="31" t="s">
        <v>611</v>
      </c>
      <c r="L49" s="26">
        <f>'TR TE'!$L$49*L50</f>
        <v>1.3276072517686684E-6</v>
      </c>
      <c r="M49" s="26">
        <f>'TR TE'!$M$49*M50</f>
        <v>0</v>
      </c>
      <c r="N49" s="26">
        <f>'TR TE'!$N$49*N50</f>
        <v>0</v>
      </c>
      <c r="O49" s="26">
        <f>'TR TE'!$O$49*O50</f>
        <v>-3.7153476583987141E-2</v>
      </c>
      <c r="P49" s="26">
        <f>'TR TE'!$P$49*P50</f>
        <v>0</v>
      </c>
      <c r="Q49" s="26"/>
      <c r="R49" s="26">
        <f>'TR TE'!$R$49*R50</f>
        <v>1.2381844384294576</v>
      </c>
      <c r="S49" s="26"/>
      <c r="T49" s="26">
        <f>'TR TE'!$T$49*T50</f>
        <v>0</v>
      </c>
      <c r="U49" s="26">
        <f>'TR TE'!$U$49*U50</f>
        <v>0</v>
      </c>
      <c r="V49" s="26">
        <f>'TR TE'!$V$49*V50</f>
        <v>0</v>
      </c>
      <c r="W49" s="26"/>
      <c r="X49" s="26"/>
      <c r="Y49" s="26"/>
      <c r="Z49" s="26">
        <f>'TR TE'!$Z$49*Z50</f>
        <v>0</v>
      </c>
      <c r="AA49" s="26"/>
      <c r="AB49" s="26"/>
    </row>
    <row r="50" spans="11:28" ht="11.25" customHeight="1" x14ac:dyDescent="0.3">
      <c r="K50" s="31" t="s">
        <v>598</v>
      </c>
      <c r="L50" s="26">
        <f>IF(L46&lt;&gt;0,L47/L46,0)</f>
        <v>4.2964319213866672E-7</v>
      </c>
      <c r="M50" s="26">
        <f>IF(M46&lt;&gt;0,M47/M46,0)</f>
        <v>0</v>
      </c>
      <c r="N50" s="26">
        <f>IF(N46&lt;&gt;0,N47/N46,0)</f>
        <v>0</v>
      </c>
      <c r="O50" s="26">
        <f>IF(O46&lt;&gt;0,O47/O46,0)</f>
        <v>-7.8820487451774137E-3</v>
      </c>
      <c r="P50" s="26">
        <f>IF(P46&lt;&gt;0,P47/P46,0)</f>
        <v>0</v>
      </c>
      <c r="Q50" s="26"/>
      <c r="R50" s="26">
        <f>IF(R46&lt;&gt;0,R47/R46,0)</f>
        <v>4.3446592456909275E-3</v>
      </c>
      <c r="S50" s="26"/>
      <c r="T50" s="26">
        <f>IF(T46&lt;&gt;0,T47/T46,0)</f>
        <v>0</v>
      </c>
      <c r="U50" s="26">
        <f>IF(U46&lt;&gt;0,U47/U46,0)</f>
        <v>0</v>
      </c>
      <c r="V50" s="26">
        <f>IF(V46&lt;&gt;0,V47/V46,0)</f>
        <v>0</v>
      </c>
      <c r="W50" s="26"/>
      <c r="X50" s="26">
        <f>IF(($AB46-0)&lt;&gt;0,X47/($AB46-0),0)</f>
        <v>-3.9284567894123691E-2</v>
      </c>
      <c r="Y50" s="26"/>
      <c r="Z50" s="26">
        <f>IF(Z46&lt;&gt;0,Z47/Z46,0)</f>
        <v>0</v>
      </c>
      <c r="AA50" s="26"/>
      <c r="AB50" s="26"/>
    </row>
    <row r="51" spans="11:28" ht="11.25" customHeight="1" x14ac:dyDescent="0.3">
      <c r="K51" s="31" t="s">
        <v>613</v>
      </c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</row>
  </sheetData>
  <mergeCells count="67">
    <mergeCell ref="R3:S3"/>
    <mergeCell ref="T3:W3"/>
    <mergeCell ref="X3:Y3"/>
    <mergeCell ref="A1:A4"/>
    <mergeCell ref="B1:B4"/>
    <mergeCell ref="C1:C4"/>
    <mergeCell ref="D1:D4"/>
    <mergeCell ref="E1:E4"/>
    <mergeCell ref="F1:F4"/>
    <mergeCell ref="F7:F8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A7:A8"/>
    <mergeCell ref="B7:B8"/>
    <mergeCell ref="C7:C8"/>
    <mergeCell ref="D7:D8"/>
    <mergeCell ref="E7:E8"/>
    <mergeCell ref="F9:F11"/>
    <mergeCell ref="B12:B16"/>
    <mergeCell ref="C12:C16"/>
    <mergeCell ref="B17:B21"/>
    <mergeCell ref="C17:C21"/>
    <mergeCell ref="A9:A21"/>
    <mergeCell ref="B9:B11"/>
    <mergeCell ref="C9:C11"/>
    <mergeCell ref="D9:D11"/>
    <mergeCell ref="E9:E11"/>
    <mergeCell ref="D30:D32"/>
    <mergeCell ref="E30:E32"/>
    <mergeCell ref="F30:F32"/>
    <mergeCell ref="D22:D24"/>
    <mergeCell ref="E22:E24"/>
    <mergeCell ref="F22:F24"/>
    <mergeCell ref="D26:D28"/>
    <mergeCell ref="E26:E28"/>
    <mergeCell ref="F26:F28"/>
    <mergeCell ref="B34:B36"/>
    <mergeCell ref="C34:C36"/>
    <mergeCell ref="A37:A41"/>
    <mergeCell ref="B37:B39"/>
    <mergeCell ref="C37:C39"/>
    <mergeCell ref="A22:A36"/>
    <mergeCell ref="B22:B24"/>
    <mergeCell ref="C22:C24"/>
    <mergeCell ref="B30:B32"/>
    <mergeCell ref="C30:C32"/>
    <mergeCell ref="B26:B28"/>
    <mergeCell ref="C26:C28"/>
    <mergeCell ref="E37:E39"/>
    <mergeCell ref="F37:F39"/>
    <mergeCell ref="A42:A43"/>
    <mergeCell ref="B42:B43"/>
    <mergeCell ref="C42:C43"/>
    <mergeCell ref="D37:D39"/>
  </mergeCells>
  <conditionalFormatting sqref="L45">
    <cfRule type="cellIs" dxfId="1014" priority="33" operator="notEqual">
      <formula>$L$46</formula>
    </cfRule>
    <cfRule type="cellIs" dxfId="1013" priority="34" operator="equal">
      <formula>$L$46</formula>
    </cfRule>
  </conditionalFormatting>
  <conditionalFormatting sqref="M45">
    <cfRule type="cellIs" dxfId="1012" priority="31" operator="notEqual">
      <formula>$M$46</formula>
    </cfRule>
    <cfRule type="cellIs" dxfId="1011" priority="32" operator="equal">
      <formula>$M$46</formula>
    </cfRule>
  </conditionalFormatting>
  <conditionalFormatting sqref="N45">
    <cfRule type="cellIs" dxfId="1010" priority="29" operator="notEqual">
      <formula>$N$46</formula>
    </cfRule>
    <cfRule type="cellIs" dxfId="1009" priority="30" operator="equal">
      <formula>$N$46</formula>
    </cfRule>
  </conditionalFormatting>
  <conditionalFormatting sqref="O45">
    <cfRule type="cellIs" dxfId="1008" priority="27" operator="notEqual">
      <formula>$O$46</formula>
    </cfRule>
    <cfRule type="cellIs" dxfId="1007" priority="28" operator="equal">
      <formula>$O$46</formula>
    </cfRule>
  </conditionalFormatting>
  <conditionalFormatting sqref="P45">
    <cfRule type="cellIs" dxfId="1006" priority="25" operator="notEqual">
      <formula>$P$46</formula>
    </cfRule>
    <cfRule type="cellIs" dxfId="1005" priority="26" operator="equal">
      <formula>$P$46</formula>
    </cfRule>
  </conditionalFormatting>
  <conditionalFormatting sqref="Q45">
    <cfRule type="cellIs" dxfId="1004" priority="23" operator="notEqual">
      <formula>$Q$46</formula>
    </cfRule>
    <cfRule type="cellIs" dxfId="1003" priority="24" operator="equal">
      <formula>$Q$46</formula>
    </cfRule>
  </conditionalFormatting>
  <conditionalFormatting sqref="R45">
    <cfRule type="cellIs" dxfId="1002" priority="21" operator="notEqual">
      <formula>$R$46</formula>
    </cfRule>
    <cfRule type="cellIs" dxfId="1001" priority="22" operator="equal">
      <formula>$R$46</formula>
    </cfRule>
  </conditionalFormatting>
  <conditionalFormatting sqref="S45">
    <cfRule type="cellIs" dxfId="1000" priority="19" operator="notEqual">
      <formula>$S$46</formula>
    </cfRule>
    <cfRule type="cellIs" dxfId="999" priority="20" operator="equal">
      <formula>$S$46</formula>
    </cfRule>
  </conditionalFormatting>
  <conditionalFormatting sqref="T45">
    <cfRule type="cellIs" dxfId="998" priority="17" operator="notEqual">
      <formula>$T$46</formula>
    </cfRule>
    <cfRule type="cellIs" dxfId="997" priority="18" operator="equal">
      <formula>$T$46</formula>
    </cfRule>
  </conditionalFormatting>
  <conditionalFormatting sqref="U45">
    <cfRule type="cellIs" dxfId="996" priority="15" operator="notEqual">
      <formula>$U$46</formula>
    </cfRule>
    <cfRule type="cellIs" dxfId="995" priority="16" operator="equal">
      <formula>$U$46</formula>
    </cfRule>
  </conditionalFormatting>
  <conditionalFormatting sqref="V45">
    <cfRule type="cellIs" dxfId="994" priority="13" operator="notEqual">
      <formula>$V$46</formula>
    </cfRule>
    <cfRule type="cellIs" dxfId="993" priority="14" operator="equal">
      <formula>$V$46</formula>
    </cfRule>
  </conditionalFormatting>
  <conditionalFormatting sqref="W45">
    <cfRule type="cellIs" dxfId="992" priority="11" operator="notEqual">
      <formula>$W$46</formula>
    </cfRule>
    <cfRule type="cellIs" dxfId="991" priority="12" operator="equal">
      <formula>$W$46</formula>
    </cfRule>
  </conditionalFormatting>
  <conditionalFormatting sqref="X45">
    <cfRule type="cellIs" dxfId="990" priority="9" operator="notEqual">
      <formula>$X$46</formula>
    </cfRule>
    <cfRule type="cellIs" dxfId="989" priority="10" operator="equal">
      <formula>$X$46</formula>
    </cfRule>
  </conditionalFormatting>
  <conditionalFormatting sqref="Y45">
    <cfRule type="cellIs" dxfId="988" priority="7" operator="notEqual">
      <formula>$Y$46</formula>
    </cfRule>
    <cfRule type="cellIs" dxfId="987" priority="8" operator="equal">
      <formula>$Y$46</formula>
    </cfRule>
  </conditionalFormatting>
  <conditionalFormatting sqref="Z45">
    <cfRule type="cellIs" dxfId="986" priority="5" operator="notEqual">
      <formula>$Z$46</formula>
    </cfRule>
    <cfRule type="cellIs" dxfId="985" priority="6" operator="equal">
      <formula>$Z$46</formula>
    </cfRule>
  </conditionalFormatting>
  <conditionalFormatting sqref="AA45">
    <cfRule type="cellIs" dxfId="984" priority="3" operator="notEqual">
      <formula>$AA$46</formula>
    </cfRule>
    <cfRule type="cellIs" dxfId="983" priority="4" operator="equal">
      <formula>$AA$46</formula>
    </cfRule>
  </conditionalFormatting>
  <conditionalFormatting sqref="AB45">
    <cfRule type="cellIs" dxfId="982" priority="1" operator="notEqual">
      <formula>$AB$46</formula>
    </cfRule>
    <cfRule type="cellIs" dxfId="981" priority="2" operator="equal">
      <formula>$AB$46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E241B-771C-47C8-8466-9C0C97F223A6}">
  <dimension ref="A1:AB51"/>
  <sheetViews>
    <sheetView showGridLines="0" topLeftCell="I28" workbookViewId="0">
      <selection activeCell="AB45" sqref="AB45"/>
    </sheetView>
  </sheetViews>
  <sheetFormatPr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9" width="7.109375" style="9" bestFit="1" customWidth="1"/>
    <col min="10" max="10" width="8.88671875" style="9"/>
    <col min="11" max="11" width="19.88671875" style="9" bestFit="1" customWidth="1"/>
    <col min="12" max="14" width="7.109375" style="9" bestFit="1" customWidth="1"/>
    <col min="15" max="15" width="10.33203125" style="9" bestFit="1" customWidth="1"/>
    <col min="16" max="16" width="7.6640625" style="9" bestFit="1" customWidth="1"/>
    <col min="17" max="17" width="8.5546875" style="9" bestFit="1" customWidth="1"/>
    <col min="18" max="18" width="14.44140625" style="9" bestFit="1" customWidth="1"/>
    <col min="19" max="19" width="9.109375" style="9" bestFit="1" customWidth="1"/>
    <col min="20" max="20" width="7.109375" style="9" bestFit="1" customWidth="1"/>
    <col min="21" max="21" width="9.77734375" style="9" bestFit="1" customWidth="1"/>
    <col min="22" max="22" width="7.109375" style="9" bestFit="1" customWidth="1"/>
    <col min="23" max="23" width="8.5546875" style="9" bestFit="1" customWidth="1"/>
    <col min="24" max="24" width="8.33203125" style="9" bestFit="1" customWidth="1"/>
    <col min="25" max="25" width="8.5546875" style="9" bestFit="1" customWidth="1"/>
    <col min="26" max="26" width="10.5546875" style="9" bestFit="1" customWidth="1"/>
    <col min="27" max="27" width="8.5546875" style="9" bestFit="1" customWidth="1"/>
    <col min="28" max="28" width="9.109375" style="9" bestFit="1" customWidth="1"/>
    <col min="29" max="16384" width="8.88671875" style="9"/>
  </cols>
  <sheetData>
    <row r="1" spans="1:28" ht="11.25" customHeight="1" x14ac:dyDescent="0.3">
      <c r="A1" s="152" t="s">
        <v>68</v>
      </c>
      <c r="B1" s="152" t="s">
        <v>69</v>
      </c>
      <c r="C1" s="152" t="s">
        <v>70</v>
      </c>
      <c r="D1" s="152" t="s">
        <v>71</v>
      </c>
      <c r="E1" s="152" t="s">
        <v>72</v>
      </c>
      <c r="F1" s="152" t="s">
        <v>15</v>
      </c>
      <c r="G1" s="152" t="s">
        <v>74</v>
      </c>
      <c r="H1" s="152" t="s">
        <v>75</v>
      </c>
      <c r="I1" s="152" t="s">
        <v>588</v>
      </c>
      <c r="J1" s="134"/>
      <c r="L1" s="153" t="s">
        <v>615</v>
      </c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153"/>
      <c r="AB1" s="153"/>
    </row>
    <row r="2" spans="1:28" ht="11.25" customHeight="1" x14ac:dyDescent="0.3">
      <c r="A2" s="152"/>
      <c r="B2" s="152"/>
      <c r="C2" s="152"/>
      <c r="D2" s="152"/>
      <c r="E2" s="152"/>
      <c r="F2" s="152"/>
      <c r="G2" s="152"/>
      <c r="H2" s="152"/>
      <c r="I2" s="152"/>
      <c r="J2" s="134"/>
      <c r="L2" s="153" t="s">
        <v>515</v>
      </c>
      <c r="M2" s="153"/>
      <c r="N2" s="153"/>
      <c r="O2" s="153"/>
      <c r="P2" s="153"/>
      <c r="Q2" s="153"/>
      <c r="R2" s="153"/>
      <c r="S2" s="153"/>
      <c r="T2" s="153"/>
      <c r="U2" s="153"/>
      <c r="V2" s="153"/>
      <c r="W2" s="153"/>
      <c r="X2" s="153"/>
      <c r="Y2" s="153"/>
      <c r="Z2" s="153"/>
      <c r="AA2" s="153"/>
      <c r="AB2" s="153"/>
    </row>
    <row r="3" spans="1:28" ht="11.25" customHeight="1" x14ac:dyDescent="0.3">
      <c r="A3" s="152"/>
      <c r="B3" s="152"/>
      <c r="C3" s="152"/>
      <c r="D3" s="152"/>
      <c r="E3" s="152"/>
      <c r="F3" s="152"/>
      <c r="G3" s="152"/>
      <c r="H3" s="152"/>
      <c r="I3" s="152"/>
      <c r="J3" s="134"/>
      <c r="L3" s="153" t="s">
        <v>488</v>
      </c>
      <c r="M3" s="153"/>
      <c r="N3" s="153"/>
      <c r="O3" s="153"/>
      <c r="P3" s="153"/>
      <c r="Q3" s="153"/>
      <c r="R3" s="153" t="s">
        <v>519</v>
      </c>
      <c r="S3" s="153"/>
      <c r="T3" s="153" t="s">
        <v>497</v>
      </c>
      <c r="U3" s="153"/>
      <c r="V3" s="153"/>
      <c r="W3" s="153"/>
      <c r="X3" s="153" t="s">
        <v>507</v>
      </c>
      <c r="Y3" s="153"/>
      <c r="Z3" s="153" t="s">
        <v>510</v>
      </c>
      <c r="AA3" s="153"/>
      <c r="AB3" s="153" t="s">
        <v>496</v>
      </c>
    </row>
    <row r="4" spans="1:28" ht="11.25" customHeight="1" x14ac:dyDescent="0.3">
      <c r="A4" s="152"/>
      <c r="B4" s="152"/>
      <c r="C4" s="152"/>
      <c r="D4" s="152"/>
      <c r="E4" s="152"/>
      <c r="F4" s="152"/>
      <c r="G4" s="152"/>
      <c r="H4" s="152"/>
      <c r="I4" s="152"/>
      <c r="J4" s="134"/>
      <c r="L4" s="30" t="s">
        <v>490</v>
      </c>
      <c r="M4" s="30" t="s">
        <v>516</v>
      </c>
      <c r="N4" s="30" t="s">
        <v>517</v>
      </c>
      <c r="O4" s="30" t="s">
        <v>576</v>
      </c>
      <c r="P4" s="30" t="s">
        <v>518</v>
      </c>
      <c r="Q4" s="30" t="s">
        <v>496</v>
      </c>
      <c r="R4" s="30" t="s">
        <v>520</v>
      </c>
      <c r="S4" s="30" t="s">
        <v>496</v>
      </c>
      <c r="T4" s="30" t="s">
        <v>521</v>
      </c>
      <c r="U4" s="30" t="s">
        <v>522</v>
      </c>
      <c r="V4" s="30" t="s">
        <v>523</v>
      </c>
      <c r="W4" s="30" t="s">
        <v>496</v>
      </c>
      <c r="X4" s="30" t="s">
        <v>508</v>
      </c>
      <c r="Y4" s="30" t="s">
        <v>496</v>
      </c>
      <c r="Z4" s="30" t="s">
        <v>524</v>
      </c>
      <c r="AA4" s="30" t="s">
        <v>496</v>
      </c>
      <c r="AB4" s="154"/>
    </row>
    <row r="5" spans="1:28" ht="11.25" customHeight="1" x14ac:dyDescent="0.3">
      <c r="A5" s="151" t="s">
        <v>61</v>
      </c>
      <c r="B5" s="151" t="s">
        <v>77</v>
      </c>
      <c r="C5" s="151" t="s">
        <v>25</v>
      </c>
      <c r="D5" s="151" t="s">
        <v>25</v>
      </c>
      <c r="E5" s="151" t="s">
        <v>25</v>
      </c>
      <c r="F5" s="151" t="s">
        <v>25</v>
      </c>
      <c r="G5" s="29" t="s">
        <v>79</v>
      </c>
      <c r="H5" s="29" t="s">
        <v>78</v>
      </c>
      <c r="I5" s="29">
        <f>'MERCADO TE'!$U$2</f>
        <v>0</v>
      </c>
      <c r="J5" s="15"/>
      <c r="L5" s="26">
        <f>'TE BE'!$L$5*'TE BE'!$L$50</f>
        <v>1.3276072517686684E-6</v>
      </c>
      <c r="M5" s="26">
        <f>'TE BE'!$M$5*'TE BE'!$M$50</f>
        <v>0</v>
      </c>
      <c r="N5" s="26">
        <f>'TE BE'!$N$5*'TE BE'!$N$50</f>
        <v>0</v>
      </c>
      <c r="O5" s="26">
        <f>'TE BE'!$O$5*'TE BE'!$O$50</f>
        <v>-3.7153476583987141E-2</v>
      </c>
      <c r="P5" s="26">
        <f>'TE BE'!$P$5*'TE BE'!$P$50</f>
        <v>0</v>
      </c>
      <c r="Q5" s="26">
        <f>SUM($L$5:$P$5)</f>
        <v>-3.7152148976735369E-2</v>
      </c>
      <c r="R5" s="26">
        <f>'TE BE'!$R$5*'TE BE'!$R$50</f>
        <v>2.0491450132592277</v>
      </c>
      <c r="S5" s="26">
        <f>SUM($R$5:$R$5)</f>
        <v>2.0491450132592277</v>
      </c>
      <c r="T5" s="26">
        <f>'TE BE'!$T$5*'TE BE'!$T$50</f>
        <v>0</v>
      </c>
      <c r="U5" s="26">
        <f>'TE BE'!$U$5*'TE BE'!$U$50</f>
        <v>0</v>
      </c>
      <c r="V5" s="26">
        <f>'TE BE'!$V$5*'TE BE'!$V$50</f>
        <v>0</v>
      </c>
      <c r="W5" s="26">
        <f>SUM($T$5:$V$5)</f>
        <v>0</v>
      </c>
      <c r="X5" s="26">
        <f>'TE BE'!$AB$5*'TE BE'!$X$50</f>
        <v>-18.835009395888743</v>
      </c>
      <c r="Y5" s="26">
        <f>SUM($X$5:$X$5)</f>
        <v>-18.835009395888743</v>
      </c>
      <c r="Z5" s="26">
        <f>'TE BE'!$Z$5*'TE BE'!$Z$50</f>
        <v>0</v>
      </c>
      <c r="AA5" s="26">
        <f>SUM($Z$5:$Z$5)</f>
        <v>0</v>
      </c>
      <c r="AB5" s="26">
        <f>SUMIF($L$4:$AA$4,"SUBTOTAL",$L$5:$AA$5)</f>
        <v>-16.82301653160625</v>
      </c>
    </row>
    <row r="6" spans="1:28" ht="11.25" customHeight="1" x14ac:dyDescent="0.3">
      <c r="A6" s="151"/>
      <c r="B6" s="151"/>
      <c r="C6" s="151"/>
      <c r="D6" s="151"/>
      <c r="E6" s="151"/>
      <c r="F6" s="151"/>
      <c r="G6" s="29" t="s">
        <v>80</v>
      </c>
      <c r="H6" s="29" t="s">
        <v>78</v>
      </c>
      <c r="I6" s="29">
        <f>'MERCADO TE'!$U$3</f>
        <v>0</v>
      </c>
      <c r="J6" s="15"/>
      <c r="L6" s="26">
        <f>'TE BE'!$L$6*'TE BE'!$L$50</f>
        <v>1.3276072517686684E-6</v>
      </c>
      <c r="M6" s="26">
        <f>'TE BE'!$M$6*'TE BE'!$M$50</f>
        <v>0</v>
      </c>
      <c r="N6" s="26">
        <f>'TE BE'!$N$6*'TE BE'!$N$50</f>
        <v>0</v>
      </c>
      <c r="O6" s="26">
        <f>'TE BE'!$O$6*'TE BE'!$O$50</f>
        <v>-3.7153476583987141E-2</v>
      </c>
      <c r="P6" s="26">
        <f>'TE BE'!$P$6*'TE BE'!$P$50</f>
        <v>0</v>
      </c>
      <c r="Q6" s="26">
        <f>SUM($L$6:$P$6)</f>
        <v>-3.7152148976735369E-2</v>
      </c>
      <c r="R6" s="26">
        <f>'TE BE'!$R$6*'TE BE'!$R$50</f>
        <v>1.1913633798018768</v>
      </c>
      <c r="S6" s="26">
        <f>SUM($R$6:$R$6)</f>
        <v>1.1913633798018768</v>
      </c>
      <c r="T6" s="26">
        <f>'TE BE'!$T$6*'TE BE'!$T$50</f>
        <v>0</v>
      </c>
      <c r="U6" s="26">
        <f>'TE BE'!$U$6*'TE BE'!$U$50</f>
        <v>0</v>
      </c>
      <c r="V6" s="26">
        <f>'TE BE'!$V$6*'TE BE'!$V$50</f>
        <v>0</v>
      </c>
      <c r="W6" s="26">
        <f>SUM($T$6:$V$6)</f>
        <v>0</v>
      </c>
      <c r="X6" s="26">
        <f>'TE BE'!$AB$6*'TE BE'!$X$50</f>
        <v>-11.078916475296824</v>
      </c>
      <c r="Y6" s="26">
        <f>SUM($X$6:$X$6)</f>
        <v>-11.078916475296824</v>
      </c>
      <c r="Z6" s="26">
        <f>'TE BE'!$Z$6*'TE BE'!$Z$50</f>
        <v>0</v>
      </c>
      <c r="AA6" s="26">
        <f>SUM($Z$6:$Z$6)</f>
        <v>0</v>
      </c>
      <c r="AB6" s="26">
        <f>SUMIF($L$4:$AA$4,"SUBTOTAL",$L$6:$AA$6)</f>
        <v>-9.9247052444716815</v>
      </c>
    </row>
    <row r="7" spans="1:28" ht="11.25" customHeight="1" x14ac:dyDescent="0.3">
      <c r="A7" s="151" t="s">
        <v>34</v>
      </c>
      <c r="B7" s="151" t="s">
        <v>77</v>
      </c>
      <c r="C7" s="151" t="s">
        <v>25</v>
      </c>
      <c r="D7" s="151" t="s">
        <v>25</v>
      </c>
      <c r="E7" s="151" t="s">
        <v>25</v>
      </c>
      <c r="F7" s="151" t="s">
        <v>25</v>
      </c>
      <c r="G7" s="29" t="s">
        <v>79</v>
      </c>
      <c r="H7" s="29" t="s">
        <v>78</v>
      </c>
      <c r="I7" s="29">
        <f>'MERCADO TE'!$U$4</f>
        <v>256.69644</v>
      </c>
      <c r="J7" s="15"/>
      <c r="L7" s="26">
        <f>'TE BE'!$L$7*'TE BE'!$L$50</f>
        <v>1.3276072517686684E-6</v>
      </c>
      <c r="M7" s="26">
        <f>'TE BE'!$M$7*'TE BE'!$M$50</f>
        <v>0</v>
      </c>
      <c r="N7" s="26">
        <f>'TE BE'!$N$7*'TE BE'!$N$50</f>
        <v>0</v>
      </c>
      <c r="O7" s="26">
        <f>'TE BE'!$O$7*'TE BE'!$O$50</f>
        <v>-3.7153476583987141E-2</v>
      </c>
      <c r="P7" s="26">
        <f>'TE BE'!$P$7*'TE BE'!$P$50</f>
        <v>0</v>
      </c>
      <c r="Q7" s="26">
        <f>SUM($L$7:$P$7)</f>
        <v>-3.7152148976735369E-2</v>
      </c>
      <c r="R7" s="26">
        <f>'TE BE'!$R$7*'TE BE'!$R$50</f>
        <v>2.0491450132592277</v>
      </c>
      <c r="S7" s="26">
        <f>SUM($R$7:$R$7)</f>
        <v>2.0491450132592277</v>
      </c>
      <c r="T7" s="26">
        <f>'TE BE'!$T$7*'TE BE'!$T$50</f>
        <v>0</v>
      </c>
      <c r="U7" s="26">
        <f>'TE BE'!$U$7*'TE BE'!$U$50</f>
        <v>0</v>
      </c>
      <c r="V7" s="26">
        <f>'TE BE'!$V$7*'TE BE'!$V$50</f>
        <v>0</v>
      </c>
      <c r="W7" s="26">
        <f>SUM($T$7:$V$7)</f>
        <v>0</v>
      </c>
      <c r="X7" s="26">
        <f>'TE BE'!$AB$7*'TE BE'!$X$50</f>
        <v>-18.835009395888743</v>
      </c>
      <c r="Y7" s="26">
        <f>SUM($X$7:$X$7)</f>
        <v>-18.835009395888743</v>
      </c>
      <c r="Z7" s="26">
        <f>'TE BE'!$Z$7*'TE BE'!$Z$50</f>
        <v>0</v>
      </c>
      <c r="AA7" s="26">
        <f>SUM($Z$7:$Z$7)</f>
        <v>0</v>
      </c>
      <c r="AB7" s="26">
        <f>SUMIF($L$4:$AA$4,"SUBTOTAL",$L$7:$AA$7)</f>
        <v>-16.82301653160625</v>
      </c>
    </row>
    <row r="8" spans="1:28" ht="11.25" customHeight="1" x14ac:dyDescent="0.3">
      <c r="A8" s="151"/>
      <c r="B8" s="151"/>
      <c r="C8" s="151"/>
      <c r="D8" s="151"/>
      <c r="E8" s="151"/>
      <c r="F8" s="151"/>
      <c r="G8" s="29" t="s">
        <v>80</v>
      </c>
      <c r="H8" s="29" t="s">
        <v>78</v>
      </c>
      <c r="I8" s="29">
        <f>'MERCADO TE'!$U$5</f>
        <v>3077.9313500000003</v>
      </c>
      <c r="J8" s="15"/>
      <c r="L8" s="26">
        <f>'TE BE'!$L$8*'TE BE'!$L$50</f>
        <v>1.3276072517686684E-6</v>
      </c>
      <c r="M8" s="26">
        <f>'TE BE'!$M$8*'TE BE'!$M$50</f>
        <v>0</v>
      </c>
      <c r="N8" s="26">
        <f>'TE BE'!$N$8*'TE BE'!$N$50</f>
        <v>0</v>
      </c>
      <c r="O8" s="26">
        <f>'TE BE'!$O$8*'TE BE'!$O$50</f>
        <v>-3.7153476583987141E-2</v>
      </c>
      <c r="P8" s="26">
        <f>'TE BE'!$P$8*'TE BE'!$P$50</f>
        <v>0</v>
      </c>
      <c r="Q8" s="26">
        <f>SUM($L$8:$P$8)</f>
        <v>-3.7152148976735369E-2</v>
      </c>
      <c r="R8" s="26">
        <f>'TE BE'!$R$8*'TE BE'!$R$50</f>
        <v>1.1913633798018768</v>
      </c>
      <c r="S8" s="26">
        <f>SUM($R$8:$R$8)</f>
        <v>1.1913633798018768</v>
      </c>
      <c r="T8" s="26">
        <f>'TE BE'!$T$8*'TE BE'!$T$50</f>
        <v>0</v>
      </c>
      <c r="U8" s="26">
        <f>'TE BE'!$U$8*'TE BE'!$U$50</f>
        <v>0</v>
      </c>
      <c r="V8" s="26">
        <f>'TE BE'!$V$8*'TE BE'!$V$50</f>
        <v>0</v>
      </c>
      <c r="W8" s="26">
        <f>SUM($T$8:$V$8)</f>
        <v>0</v>
      </c>
      <c r="X8" s="26">
        <f>'TE BE'!$AB$8*'TE BE'!$X$50</f>
        <v>-11.078916475296824</v>
      </c>
      <c r="Y8" s="26">
        <f>SUM($X$8:$X$8)</f>
        <v>-11.078916475296824</v>
      </c>
      <c r="Z8" s="26">
        <f>'TE BE'!$Z$8*'TE BE'!$Z$50</f>
        <v>0</v>
      </c>
      <c r="AA8" s="26">
        <f>SUM($Z$8:$Z$8)</f>
        <v>0</v>
      </c>
      <c r="AB8" s="26">
        <f>SUMIF($L$4:$AA$4,"SUBTOTAL",$L$8:$AA$8)</f>
        <v>-9.9247052444716815</v>
      </c>
    </row>
    <row r="9" spans="1:28" ht="11.25" customHeight="1" x14ac:dyDescent="0.3">
      <c r="A9" s="151" t="s">
        <v>22</v>
      </c>
      <c r="B9" s="151" t="s">
        <v>77</v>
      </c>
      <c r="C9" s="151" t="s">
        <v>24</v>
      </c>
      <c r="D9" s="151" t="s">
        <v>24</v>
      </c>
      <c r="E9" s="151" t="s">
        <v>25</v>
      </c>
      <c r="F9" s="151" t="s">
        <v>25</v>
      </c>
      <c r="G9" s="29" t="s">
        <v>79</v>
      </c>
      <c r="H9" s="29" t="s">
        <v>78</v>
      </c>
      <c r="I9" s="29">
        <f>'MERCADO TE'!$U$6</f>
        <v>0</v>
      </c>
      <c r="J9" s="15"/>
      <c r="L9" s="26">
        <f>'TE BE'!$L$9*'TE BE'!$L$50</f>
        <v>1.3276072517686684E-6</v>
      </c>
      <c r="M9" s="26">
        <f>'TE BE'!$M$9*'TE BE'!$M$50</f>
        <v>0</v>
      </c>
      <c r="N9" s="26">
        <f>'TE BE'!$N$9*'TE BE'!$N$50</f>
        <v>0</v>
      </c>
      <c r="O9" s="26">
        <f>'TE BE'!$O$9*'TE BE'!$O$50</f>
        <v>-3.7153476583987141E-2</v>
      </c>
      <c r="P9" s="26">
        <f>'TE BE'!$P$9*'TE BE'!$P$50</f>
        <v>0</v>
      </c>
      <c r="Q9" s="26">
        <f>SUM($L$9:$P$9)</f>
        <v>-3.7152148976735369E-2</v>
      </c>
      <c r="R9" s="26">
        <f>'TE BE'!$R$9*'TE BE'!$R$50</f>
        <v>2.0491450132592277</v>
      </c>
      <c r="S9" s="26">
        <f>SUM($R$9:$R$9)</f>
        <v>2.0491450132592277</v>
      </c>
      <c r="T9" s="26">
        <f>'TE BE'!$T$9*'TE BE'!$T$50</f>
        <v>0</v>
      </c>
      <c r="U9" s="26">
        <f>'TE BE'!$U$9*'TE BE'!$U$50</f>
        <v>0</v>
      </c>
      <c r="V9" s="26">
        <f>'TE BE'!$V$9*'TE BE'!$V$50</f>
        <v>0</v>
      </c>
      <c r="W9" s="26">
        <f>SUM($T$9:$V$9)</f>
        <v>0</v>
      </c>
      <c r="X9" s="26">
        <f>'TE BE'!$AB$9*'TE BE'!$X$50</f>
        <v>-18.835009395888743</v>
      </c>
      <c r="Y9" s="26">
        <f>SUM($X$9:$X$9)</f>
        <v>-18.835009395888743</v>
      </c>
      <c r="Z9" s="26">
        <f>'TE BE'!$Z$9*'TE BE'!$Z$50</f>
        <v>0</v>
      </c>
      <c r="AA9" s="26">
        <f>SUM($Z$9:$Z$9)</f>
        <v>0</v>
      </c>
      <c r="AB9" s="26">
        <f>SUMIF($L$4:$AA$4,"SUBTOTAL",$L$9:$AA$9)</f>
        <v>-16.82301653160625</v>
      </c>
    </row>
    <row r="10" spans="1:28" ht="11.25" customHeight="1" x14ac:dyDescent="0.3">
      <c r="A10" s="151"/>
      <c r="B10" s="151"/>
      <c r="C10" s="151"/>
      <c r="D10" s="151"/>
      <c r="E10" s="151"/>
      <c r="F10" s="151"/>
      <c r="G10" s="29" t="s">
        <v>89</v>
      </c>
      <c r="H10" s="29" t="s">
        <v>78</v>
      </c>
      <c r="I10" s="29">
        <f>'MERCADO TE'!$U$7</f>
        <v>0</v>
      </c>
      <c r="J10" s="15"/>
      <c r="L10" s="26">
        <f>'TE BE'!$L$10*'TE BE'!$L$50</f>
        <v>1.3276072517686684E-6</v>
      </c>
      <c r="M10" s="26">
        <f>'TE BE'!$M$10*'TE BE'!$M$50</f>
        <v>0</v>
      </c>
      <c r="N10" s="26">
        <f>'TE BE'!$N$10*'TE BE'!$N$50</f>
        <v>0</v>
      </c>
      <c r="O10" s="26">
        <f>'TE BE'!$O$10*'TE BE'!$O$50</f>
        <v>-3.7153476583987141E-2</v>
      </c>
      <c r="P10" s="26">
        <f>'TE BE'!$P$10*'TE BE'!$P$50</f>
        <v>0</v>
      </c>
      <c r="Q10" s="26">
        <f>SUM($L$10:$P$10)</f>
        <v>-3.7152148976735369E-2</v>
      </c>
      <c r="R10" s="26">
        <f>'TE BE'!$R$10*'TE BE'!$R$50</f>
        <v>1.1913633798018768</v>
      </c>
      <c r="S10" s="26">
        <f>SUM($R$10:$R$10)</f>
        <v>1.1913633798018768</v>
      </c>
      <c r="T10" s="26">
        <f>'TE BE'!$T$10*'TE BE'!$T$50</f>
        <v>0</v>
      </c>
      <c r="U10" s="26">
        <f>'TE BE'!$U$10*'TE BE'!$U$50</f>
        <v>0</v>
      </c>
      <c r="V10" s="26">
        <f>'TE BE'!$V$10*'TE BE'!$V$50</f>
        <v>0</v>
      </c>
      <c r="W10" s="26">
        <f>SUM($T$10:$V$10)</f>
        <v>0</v>
      </c>
      <c r="X10" s="26">
        <f>'TE BE'!$AB$10*'TE BE'!$X$50</f>
        <v>-11.078916475296824</v>
      </c>
      <c r="Y10" s="26">
        <f>SUM($X$10:$X$10)</f>
        <v>-11.078916475296824</v>
      </c>
      <c r="Z10" s="26">
        <f>'TE BE'!$Z$10*'TE BE'!$Z$50</f>
        <v>0</v>
      </c>
      <c r="AA10" s="26">
        <f>SUM($Z$10:$Z$10)</f>
        <v>0</v>
      </c>
      <c r="AB10" s="26">
        <f>SUMIF($L$4:$AA$4,"SUBTOTAL",$L$10:$AA$10)</f>
        <v>-9.9247052444716815</v>
      </c>
    </row>
    <row r="11" spans="1:28" ht="11.25" customHeight="1" x14ac:dyDescent="0.3">
      <c r="A11" s="151"/>
      <c r="B11" s="151"/>
      <c r="C11" s="151"/>
      <c r="D11" s="151"/>
      <c r="E11" s="151"/>
      <c r="F11" s="151"/>
      <c r="G11" s="29" t="s">
        <v>80</v>
      </c>
      <c r="H11" s="29" t="s">
        <v>78</v>
      </c>
      <c r="I11" s="29">
        <f>'MERCADO TE'!$U$8</f>
        <v>0</v>
      </c>
      <c r="J11" s="15"/>
      <c r="L11" s="26">
        <f>'TE BE'!$L$11*'TE BE'!$L$50</f>
        <v>1.3276072517686684E-6</v>
      </c>
      <c r="M11" s="26">
        <f>'TE BE'!$M$11*'TE BE'!$M$50</f>
        <v>0</v>
      </c>
      <c r="N11" s="26">
        <f>'TE BE'!$N$11*'TE BE'!$N$50</f>
        <v>0</v>
      </c>
      <c r="O11" s="26">
        <f>'TE BE'!$O$11*'TE BE'!$O$50</f>
        <v>-3.7153476583987141E-2</v>
      </c>
      <c r="P11" s="26">
        <f>'TE BE'!$P$11*'TE BE'!$P$50</f>
        <v>0</v>
      </c>
      <c r="Q11" s="26">
        <f>SUM($L$11:$P$11)</f>
        <v>-3.7152148976735369E-2</v>
      </c>
      <c r="R11" s="26">
        <f>'TE BE'!$R$11*'TE BE'!$R$50</f>
        <v>1.1913633798018768</v>
      </c>
      <c r="S11" s="26">
        <f>SUM($R$11:$R$11)</f>
        <v>1.1913633798018768</v>
      </c>
      <c r="T11" s="26">
        <f>'TE BE'!$T$11*'TE BE'!$T$50</f>
        <v>0</v>
      </c>
      <c r="U11" s="26">
        <f>'TE BE'!$U$11*'TE BE'!$U$50</f>
        <v>0</v>
      </c>
      <c r="V11" s="26">
        <f>'TE BE'!$V$11*'TE BE'!$V$50</f>
        <v>0</v>
      </c>
      <c r="W11" s="26">
        <f>SUM($T$11:$V$11)</f>
        <v>0</v>
      </c>
      <c r="X11" s="26">
        <f>'TE BE'!$AB$11*'TE BE'!$X$50</f>
        <v>-11.078916475296824</v>
      </c>
      <c r="Y11" s="26">
        <f>SUM($X$11:$X$11)</f>
        <v>-11.078916475296824</v>
      </c>
      <c r="Z11" s="26">
        <f>'TE BE'!$Z$11*'TE BE'!$Z$50</f>
        <v>0</v>
      </c>
      <c r="AA11" s="26">
        <f>SUM($Z$11:$Z$11)</f>
        <v>0</v>
      </c>
      <c r="AB11" s="26">
        <f>SUMIF($L$4:$AA$4,"SUBTOTAL",$L$11:$AA$11)</f>
        <v>-9.9247052444716815</v>
      </c>
    </row>
    <row r="12" spans="1:28" ht="11.25" customHeight="1" x14ac:dyDescent="0.3">
      <c r="A12" s="151"/>
      <c r="B12" s="151" t="s">
        <v>90</v>
      </c>
      <c r="C12" s="151" t="s">
        <v>24</v>
      </c>
      <c r="D12" s="28" t="s">
        <v>24</v>
      </c>
      <c r="E12" s="28" t="s">
        <v>25</v>
      </c>
      <c r="F12" s="28" t="s">
        <v>25</v>
      </c>
      <c r="G12" s="29" t="s">
        <v>84</v>
      </c>
      <c r="H12" s="29" t="s">
        <v>78</v>
      </c>
      <c r="I12" s="29">
        <f>'MERCADO TE'!$U$9</f>
        <v>11530.447999999999</v>
      </c>
      <c r="J12" s="15"/>
      <c r="L12" s="26">
        <f>'TE BE'!$L$12*'TE BE'!$L$50</f>
        <v>1.3276072517686684E-6</v>
      </c>
      <c r="M12" s="26">
        <f>'TE BE'!$M$12*'TE BE'!$M$50</f>
        <v>0</v>
      </c>
      <c r="N12" s="26">
        <f>'TE BE'!$N$12*'TE BE'!$N$50</f>
        <v>0</v>
      </c>
      <c r="O12" s="26">
        <f>'TE BE'!$O$12*'TE BE'!$O$50</f>
        <v>-3.7153476583987141E-2</v>
      </c>
      <c r="P12" s="26">
        <f>'TE BE'!$P$12*'TE BE'!$P$50</f>
        <v>0</v>
      </c>
      <c r="Q12" s="26">
        <f>SUM($L$12:$P$12)</f>
        <v>-3.7152148976735369E-2</v>
      </c>
      <c r="R12" s="26">
        <f>'TE BE'!$R$12*'TE BE'!$R$50</f>
        <v>1.2628451825899896</v>
      </c>
      <c r="S12" s="26">
        <f>SUM($R$12:$R$12)</f>
        <v>1.2628451825899896</v>
      </c>
      <c r="T12" s="26">
        <f>'TE BE'!$T$12*'TE BE'!$T$50</f>
        <v>0</v>
      </c>
      <c r="U12" s="26">
        <f>'TE BE'!$U$12*'TE BE'!$U$50</f>
        <v>0</v>
      </c>
      <c r="V12" s="26">
        <f>'TE BE'!$V$12*'TE BE'!$V$50</f>
        <v>0</v>
      </c>
      <c r="W12" s="26">
        <f>SUM($T$12:$V$12)</f>
        <v>0</v>
      </c>
      <c r="X12" s="26">
        <f>'TE BE'!$AB$12*'TE BE'!$X$50</f>
        <v>-11.725257552012819</v>
      </c>
      <c r="Y12" s="26">
        <f>SUM($X$12:$X$12)</f>
        <v>-11.725257552012819</v>
      </c>
      <c r="Z12" s="26">
        <f>'TE BE'!$Z$12*'TE BE'!$Z$50</f>
        <v>0</v>
      </c>
      <c r="AA12" s="26">
        <f>SUM($Z$12:$Z$12)</f>
        <v>0</v>
      </c>
      <c r="AB12" s="26">
        <f>SUMIF($L$4:$AA$4,"SUBTOTAL",$L$12:$AA$12)</f>
        <v>-10.499564518399565</v>
      </c>
    </row>
    <row r="13" spans="1:28" ht="11.25" customHeight="1" x14ac:dyDescent="0.3">
      <c r="A13" s="151"/>
      <c r="B13" s="151"/>
      <c r="C13" s="151"/>
      <c r="D13" s="28" t="s">
        <v>28</v>
      </c>
      <c r="E13" s="28" t="s">
        <v>25</v>
      </c>
      <c r="F13" s="28" t="s">
        <v>25</v>
      </c>
      <c r="G13" s="29" t="s">
        <v>84</v>
      </c>
      <c r="H13" s="29" t="s">
        <v>78</v>
      </c>
      <c r="I13" s="29">
        <f>'MERCADO TE'!$U$10</f>
        <v>121.26</v>
      </c>
      <c r="J13" s="15"/>
      <c r="L13" s="26">
        <f>'TE BE'!$L$13*'TE BE'!$L$50</f>
        <v>1.3276072517686684E-6</v>
      </c>
      <c r="M13" s="26">
        <f>'TE BE'!$M$13*'TE BE'!$M$50</f>
        <v>0</v>
      </c>
      <c r="N13" s="26">
        <f>'TE BE'!$N$13*'TE BE'!$N$50</f>
        <v>0</v>
      </c>
      <c r="O13" s="26">
        <f>'TE BE'!$O$13*'TE BE'!$O$50</f>
        <v>-3.7153476583987141E-2</v>
      </c>
      <c r="P13" s="26">
        <f>'TE BE'!$P$13*'TE BE'!$P$50</f>
        <v>0</v>
      </c>
      <c r="Q13" s="26">
        <f>SUM($L$13:$P$13)</f>
        <v>-3.7152148976735369E-2</v>
      </c>
      <c r="R13" s="26">
        <f>'TE BE'!$R$13*'TE BE'!$R$50</f>
        <v>1.2628451825899896</v>
      </c>
      <c r="S13" s="26">
        <f>SUM($R$13:$R$13)</f>
        <v>1.2628451825899896</v>
      </c>
      <c r="T13" s="26">
        <f>'TE BE'!$T$13*'TE BE'!$T$50</f>
        <v>0</v>
      </c>
      <c r="U13" s="26">
        <f>'TE BE'!$U$13*'TE BE'!$U$50</f>
        <v>0</v>
      </c>
      <c r="V13" s="26">
        <f>'TE BE'!$V$13*'TE BE'!$V$50</f>
        <v>0</v>
      </c>
      <c r="W13" s="26">
        <f>SUM($T$13:$V$13)</f>
        <v>0</v>
      </c>
      <c r="X13" s="26">
        <f>'TE BE'!$AB$13*'TE BE'!$X$50</f>
        <v>-11.725257552012819</v>
      </c>
      <c r="Y13" s="26">
        <f>SUM($X$13:$X$13)</f>
        <v>-11.725257552012819</v>
      </c>
      <c r="Z13" s="26">
        <f>'TE BE'!$Z$13*'TE BE'!$Z$50</f>
        <v>0</v>
      </c>
      <c r="AA13" s="26">
        <f>SUM($Z$13:$Z$13)</f>
        <v>0</v>
      </c>
      <c r="AB13" s="26">
        <f>SUMIF($L$4:$AA$4,"SUBTOTAL",$L$13:$AA$13)</f>
        <v>-10.499564518399565</v>
      </c>
    </row>
    <row r="14" spans="1:28" ht="11.25" customHeight="1" x14ac:dyDescent="0.3">
      <c r="A14" s="151"/>
      <c r="B14" s="151"/>
      <c r="C14" s="151"/>
      <c r="D14" s="28" t="s">
        <v>29</v>
      </c>
      <c r="E14" s="28" t="s">
        <v>25</v>
      </c>
      <c r="F14" s="28" t="s">
        <v>25</v>
      </c>
      <c r="G14" s="29" t="s">
        <v>84</v>
      </c>
      <c r="H14" s="29" t="s">
        <v>78</v>
      </c>
      <c r="I14" s="29">
        <f>'MERCADO TE'!$U$11</f>
        <v>254.32</v>
      </c>
      <c r="J14" s="15"/>
      <c r="L14" s="26">
        <f>'TE BE'!$L$14*'TE BE'!$L$50</f>
        <v>1.3276072517686684E-6</v>
      </c>
      <c r="M14" s="26">
        <f>'TE BE'!$M$14*'TE BE'!$M$50</f>
        <v>0</v>
      </c>
      <c r="N14" s="26">
        <f>'TE BE'!$N$14*'TE BE'!$N$50</f>
        <v>0</v>
      </c>
      <c r="O14" s="26">
        <f>'TE BE'!$O$14*'TE BE'!$O$50</f>
        <v>-3.7153476583987141E-2</v>
      </c>
      <c r="P14" s="26">
        <f>'TE BE'!$P$14*'TE BE'!$P$50</f>
        <v>0</v>
      </c>
      <c r="Q14" s="26">
        <f>SUM($L$14:$P$14)</f>
        <v>-3.7152148976735369E-2</v>
      </c>
      <c r="R14" s="26">
        <f>'TE BE'!$R$14*'TE BE'!$R$50</f>
        <v>1.2628451825899896</v>
      </c>
      <c r="S14" s="26">
        <f>SUM($R$14:$R$14)</f>
        <v>1.2628451825899896</v>
      </c>
      <c r="T14" s="26">
        <f>'TE BE'!$T$14*'TE BE'!$T$50</f>
        <v>0</v>
      </c>
      <c r="U14" s="26">
        <f>'TE BE'!$U$14*'TE BE'!$U$50</f>
        <v>0</v>
      </c>
      <c r="V14" s="26">
        <f>'TE BE'!$V$14*'TE BE'!$V$50</f>
        <v>0</v>
      </c>
      <c r="W14" s="26">
        <f>SUM($T$14:$V$14)</f>
        <v>0</v>
      </c>
      <c r="X14" s="26">
        <f>'TE BE'!$AB$14*'TE BE'!$X$50</f>
        <v>-11.725257552012819</v>
      </c>
      <c r="Y14" s="26">
        <f>SUM($X$14:$X$14)</f>
        <v>-11.725257552012819</v>
      </c>
      <c r="Z14" s="26">
        <f>'TE BE'!$Z$14*'TE BE'!$Z$50</f>
        <v>0</v>
      </c>
      <c r="AA14" s="26">
        <f>SUM($Z$14:$Z$14)</f>
        <v>0</v>
      </c>
      <c r="AB14" s="26">
        <f>SUMIF($L$4:$AA$4,"SUBTOTAL",$L$14:$AA$14)</f>
        <v>-10.499564518399565</v>
      </c>
    </row>
    <row r="15" spans="1:28" ht="11.25" customHeight="1" x14ac:dyDescent="0.3">
      <c r="A15" s="151"/>
      <c r="B15" s="151"/>
      <c r="C15" s="151"/>
      <c r="D15" s="28" t="s">
        <v>30</v>
      </c>
      <c r="E15" s="28" t="s">
        <v>25</v>
      </c>
      <c r="F15" s="28" t="s">
        <v>25</v>
      </c>
      <c r="G15" s="29" t="s">
        <v>84</v>
      </c>
      <c r="H15" s="29" t="s">
        <v>78</v>
      </c>
      <c r="I15" s="29">
        <f>'MERCADO TE'!$U$12</f>
        <v>248.52100000000002</v>
      </c>
      <c r="J15" s="15"/>
      <c r="L15" s="26">
        <f>'TE BE'!$L$15*'TE BE'!$L$50</f>
        <v>1.3276072517686684E-6</v>
      </c>
      <c r="M15" s="26">
        <f>'TE BE'!$M$15*'TE BE'!$M$50</f>
        <v>0</v>
      </c>
      <c r="N15" s="26">
        <f>'TE BE'!$N$15*'TE BE'!$N$50</f>
        <v>0</v>
      </c>
      <c r="O15" s="26">
        <f>'TE BE'!$O$15*'TE BE'!$O$50</f>
        <v>-3.7153476583987141E-2</v>
      </c>
      <c r="P15" s="26">
        <f>'TE BE'!$P$15*'TE BE'!$P$50</f>
        <v>0</v>
      </c>
      <c r="Q15" s="26">
        <f>SUM($L$15:$P$15)</f>
        <v>-3.7152148976735369E-2</v>
      </c>
      <c r="R15" s="26">
        <f>'TE BE'!$R$15*'TE BE'!$R$50</f>
        <v>1.2628451825899896</v>
      </c>
      <c r="S15" s="26">
        <f>SUM($R$15:$R$15)</f>
        <v>1.2628451825899896</v>
      </c>
      <c r="T15" s="26">
        <f>'TE BE'!$T$15*'TE BE'!$T$50</f>
        <v>0</v>
      </c>
      <c r="U15" s="26">
        <f>'TE BE'!$U$15*'TE BE'!$U$50</f>
        <v>0</v>
      </c>
      <c r="V15" s="26">
        <f>'TE BE'!$V$15*'TE BE'!$V$50</f>
        <v>0</v>
      </c>
      <c r="W15" s="26">
        <f>SUM($T$15:$V$15)</f>
        <v>0</v>
      </c>
      <c r="X15" s="26">
        <f>'TE BE'!$AB$15*'TE BE'!$X$50</f>
        <v>-11.725257552012819</v>
      </c>
      <c r="Y15" s="26">
        <f>SUM($X$15:$X$15)</f>
        <v>-11.725257552012819</v>
      </c>
      <c r="Z15" s="26">
        <f>'TE BE'!$Z$15*'TE BE'!$Z$50</f>
        <v>0</v>
      </c>
      <c r="AA15" s="26">
        <f>SUM($Z$15:$Z$15)</f>
        <v>0</v>
      </c>
      <c r="AB15" s="26">
        <f>SUMIF($L$4:$AA$4,"SUBTOTAL",$L$15:$AA$15)</f>
        <v>-10.499564518399565</v>
      </c>
    </row>
    <row r="16" spans="1:28" ht="11.25" customHeight="1" x14ac:dyDescent="0.3">
      <c r="A16" s="151"/>
      <c r="B16" s="151"/>
      <c r="C16" s="151"/>
      <c r="D16" s="28" t="s">
        <v>31</v>
      </c>
      <c r="E16" s="28" t="s">
        <v>25</v>
      </c>
      <c r="F16" s="28" t="s">
        <v>25</v>
      </c>
      <c r="G16" s="29" t="s">
        <v>84</v>
      </c>
      <c r="H16" s="29" t="s">
        <v>78</v>
      </c>
      <c r="I16" s="29">
        <f>'MERCADO TE'!$U$13</f>
        <v>91.992999999999995</v>
      </c>
      <c r="J16" s="15"/>
      <c r="L16" s="26">
        <f>'TE BE'!$L$16*'TE BE'!$L$50</f>
        <v>1.3276072517686684E-6</v>
      </c>
      <c r="M16" s="26">
        <f>'TE BE'!$M$16*'TE BE'!$M$50</f>
        <v>0</v>
      </c>
      <c r="N16" s="26">
        <f>'TE BE'!$N$16*'TE BE'!$N$50</f>
        <v>0</v>
      </c>
      <c r="O16" s="26">
        <f>'TE BE'!$O$16*'TE BE'!$O$50</f>
        <v>-3.7153476583987141E-2</v>
      </c>
      <c r="P16" s="26">
        <f>'TE BE'!$P$16*'TE BE'!$P$50</f>
        <v>0</v>
      </c>
      <c r="Q16" s="26">
        <f>SUM($L$16:$P$16)</f>
        <v>-3.7152148976735369E-2</v>
      </c>
      <c r="R16" s="26">
        <f>'TE BE'!$R$16*'TE BE'!$R$50</f>
        <v>1.2628451825899896</v>
      </c>
      <c r="S16" s="26">
        <f>SUM($R$16:$R$16)</f>
        <v>1.2628451825899896</v>
      </c>
      <c r="T16" s="26">
        <f>'TE BE'!$T$16*'TE BE'!$T$50</f>
        <v>0</v>
      </c>
      <c r="U16" s="26">
        <f>'TE BE'!$U$16*'TE BE'!$U$50</f>
        <v>0</v>
      </c>
      <c r="V16" s="26">
        <f>'TE BE'!$V$16*'TE BE'!$V$50</f>
        <v>0</v>
      </c>
      <c r="W16" s="26">
        <f>SUM($T$16:$V$16)</f>
        <v>0</v>
      </c>
      <c r="X16" s="26">
        <f>'TE BE'!$AB$16*'TE BE'!$X$50</f>
        <v>-11.725257552012819</v>
      </c>
      <c r="Y16" s="26">
        <f>SUM($X$16:$X$16)</f>
        <v>-11.725257552012819</v>
      </c>
      <c r="Z16" s="26">
        <f>'TE BE'!$Z$16*'TE BE'!$Z$50</f>
        <v>0</v>
      </c>
      <c r="AA16" s="26">
        <f>SUM($Z$16:$Z$16)</f>
        <v>0</v>
      </c>
      <c r="AB16" s="26">
        <f>SUMIF($L$4:$AA$4,"SUBTOTAL",$L$16:$AA$16)</f>
        <v>-10.499564518399565</v>
      </c>
    </row>
    <row r="17" spans="1:28" ht="11.25" customHeight="1" x14ac:dyDescent="0.3">
      <c r="A17" s="151"/>
      <c r="B17" s="151" t="s">
        <v>91</v>
      </c>
      <c r="C17" s="151" t="s">
        <v>24</v>
      </c>
      <c r="D17" s="28" t="s">
        <v>24</v>
      </c>
      <c r="E17" s="28" t="s">
        <v>25</v>
      </c>
      <c r="F17" s="28" t="s">
        <v>25</v>
      </c>
      <c r="G17" s="29" t="s">
        <v>84</v>
      </c>
      <c r="H17" s="29" t="s">
        <v>78</v>
      </c>
      <c r="I17" s="29">
        <f>'MERCADO TE'!$U$14</f>
        <v>0</v>
      </c>
      <c r="J17" s="15"/>
      <c r="L17" s="26">
        <f>'TE BE'!$L$17*'TE BE'!$L$50</f>
        <v>1.3276072517686684E-6</v>
      </c>
      <c r="M17" s="26">
        <f>'TE BE'!$M$17*'TE BE'!$M$50</f>
        <v>0</v>
      </c>
      <c r="N17" s="26">
        <f>'TE BE'!$N$17*'TE BE'!$N$50</f>
        <v>0</v>
      </c>
      <c r="O17" s="26">
        <f>'TE BE'!$O$17*'TE BE'!$O$50</f>
        <v>-3.7153476583987141E-2</v>
      </c>
      <c r="P17" s="26">
        <f>'TE BE'!$P$17*'TE BE'!$P$50</f>
        <v>0</v>
      </c>
      <c r="Q17" s="26">
        <f>SUM($L$17:$P$17)</f>
        <v>-3.7152148976735369E-2</v>
      </c>
      <c r="R17" s="26">
        <f>'TE BE'!$R$17*'TE BE'!$R$50</f>
        <v>1.2628451825899896</v>
      </c>
      <c r="S17" s="26">
        <f>SUM($R$17:$R$17)</f>
        <v>1.2628451825899896</v>
      </c>
      <c r="T17" s="26">
        <f>'TE BE'!$T$17*'TE BE'!$T$50</f>
        <v>0</v>
      </c>
      <c r="U17" s="26">
        <f>'TE BE'!$U$17*'TE BE'!$U$50</f>
        <v>0</v>
      </c>
      <c r="V17" s="26">
        <f>'TE BE'!$V$17*'TE BE'!$V$50</f>
        <v>0</v>
      </c>
      <c r="W17" s="26">
        <f>SUM($T$17:$V$17)</f>
        <v>0</v>
      </c>
      <c r="X17" s="26">
        <f>'TE BE'!$AB$17*'TE BE'!$X$50</f>
        <v>-11.725257552012819</v>
      </c>
      <c r="Y17" s="26">
        <f>SUM($X$17:$X$17)</f>
        <v>-11.725257552012819</v>
      </c>
      <c r="Z17" s="26">
        <f>'TE BE'!$Z$17*'TE BE'!$Z$50</f>
        <v>0</v>
      </c>
      <c r="AA17" s="26">
        <f>SUM($Z$17:$Z$17)</f>
        <v>0</v>
      </c>
      <c r="AB17" s="26">
        <f>SUMIF($L$4:$AA$4,"SUBTOTAL",$L$17:$AA$17)</f>
        <v>-10.499564518399565</v>
      </c>
    </row>
    <row r="18" spans="1:28" ht="11.25" customHeight="1" x14ac:dyDescent="0.3">
      <c r="A18" s="151"/>
      <c r="B18" s="151"/>
      <c r="C18" s="151"/>
      <c r="D18" s="28" t="s">
        <v>28</v>
      </c>
      <c r="E18" s="28" t="s">
        <v>25</v>
      </c>
      <c r="F18" s="28" t="s">
        <v>25</v>
      </c>
      <c r="G18" s="29" t="s">
        <v>84</v>
      </c>
      <c r="H18" s="29" t="s">
        <v>78</v>
      </c>
      <c r="I18" s="29">
        <f>'MERCADO TE'!$U$15</f>
        <v>0</v>
      </c>
      <c r="J18" s="15"/>
      <c r="L18" s="26">
        <f>'TE BE'!$L$18*'TE BE'!$L$50</f>
        <v>1.3276072517686684E-6</v>
      </c>
      <c r="M18" s="26">
        <f>'TE BE'!$M$18*'TE BE'!$M$50</f>
        <v>0</v>
      </c>
      <c r="N18" s="26">
        <f>'TE BE'!$N$18*'TE BE'!$N$50</f>
        <v>0</v>
      </c>
      <c r="O18" s="26">
        <f>'TE BE'!$O$18*'TE BE'!$O$50</f>
        <v>-3.7153476583987141E-2</v>
      </c>
      <c r="P18" s="26">
        <f>'TE BE'!$P$18*'TE BE'!$P$50</f>
        <v>0</v>
      </c>
      <c r="Q18" s="26">
        <f>SUM($L$18:$P$18)</f>
        <v>-3.7152148976735369E-2</v>
      </c>
      <c r="R18" s="26">
        <f>'TE BE'!$R$18*'TE BE'!$R$50</f>
        <v>1.2628451825899896</v>
      </c>
      <c r="S18" s="26">
        <f>SUM($R$18:$R$18)</f>
        <v>1.2628451825899896</v>
      </c>
      <c r="T18" s="26">
        <f>'TE BE'!$T$18*'TE BE'!$T$50</f>
        <v>0</v>
      </c>
      <c r="U18" s="26">
        <f>'TE BE'!$U$18*'TE BE'!$U$50</f>
        <v>0</v>
      </c>
      <c r="V18" s="26">
        <f>'TE BE'!$V$18*'TE BE'!$V$50</f>
        <v>0</v>
      </c>
      <c r="W18" s="26">
        <f>SUM($T$18:$V$18)</f>
        <v>0</v>
      </c>
      <c r="X18" s="26">
        <f>'TE BE'!$AB$18*'TE BE'!$X$50</f>
        <v>-11.725257552012819</v>
      </c>
      <c r="Y18" s="26">
        <f>SUM($X$18:$X$18)</f>
        <v>-11.725257552012819</v>
      </c>
      <c r="Z18" s="26">
        <f>'TE BE'!$Z$18*'TE BE'!$Z$50</f>
        <v>0</v>
      </c>
      <c r="AA18" s="26">
        <f>SUM($Z$18:$Z$18)</f>
        <v>0</v>
      </c>
      <c r="AB18" s="26">
        <f>SUMIF($L$4:$AA$4,"SUBTOTAL",$L$18:$AA$18)</f>
        <v>-10.499564518399565</v>
      </c>
    </row>
    <row r="19" spans="1:28" ht="11.25" customHeight="1" x14ac:dyDescent="0.3">
      <c r="A19" s="151"/>
      <c r="B19" s="151"/>
      <c r="C19" s="151"/>
      <c r="D19" s="28" t="s">
        <v>29</v>
      </c>
      <c r="E19" s="28" t="s">
        <v>25</v>
      </c>
      <c r="F19" s="28" t="s">
        <v>25</v>
      </c>
      <c r="G19" s="29" t="s">
        <v>84</v>
      </c>
      <c r="H19" s="29" t="s">
        <v>78</v>
      </c>
      <c r="I19" s="29">
        <f>'MERCADO TE'!$U$16</f>
        <v>0</v>
      </c>
      <c r="J19" s="15"/>
      <c r="L19" s="26">
        <f>'TE BE'!$L$19*'TE BE'!$L$50</f>
        <v>1.3276072517686684E-6</v>
      </c>
      <c r="M19" s="26">
        <f>'TE BE'!$M$19*'TE BE'!$M$50</f>
        <v>0</v>
      </c>
      <c r="N19" s="26">
        <f>'TE BE'!$N$19*'TE BE'!$N$50</f>
        <v>0</v>
      </c>
      <c r="O19" s="26">
        <f>'TE BE'!$O$19*'TE BE'!$O$50</f>
        <v>-3.7153476583987141E-2</v>
      </c>
      <c r="P19" s="26">
        <f>'TE BE'!$P$19*'TE BE'!$P$50</f>
        <v>0</v>
      </c>
      <c r="Q19" s="26">
        <f>SUM($L$19:$P$19)</f>
        <v>-3.7152148976735369E-2</v>
      </c>
      <c r="R19" s="26">
        <f>'TE BE'!$R$19*'TE BE'!$R$50</f>
        <v>1.2628451825899896</v>
      </c>
      <c r="S19" s="26">
        <f>SUM($R$19:$R$19)</f>
        <v>1.2628451825899896</v>
      </c>
      <c r="T19" s="26">
        <f>'TE BE'!$T$19*'TE BE'!$T$50</f>
        <v>0</v>
      </c>
      <c r="U19" s="26">
        <f>'TE BE'!$U$19*'TE BE'!$U$50</f>
        <v>0</v>
      </c>
      <c r="V19" s="26">
        <f>'TE BE'!$V$19*'TE BE'!$V$50</f>
        <v>0</v>
      </c>
      <c r="W19" s="26">
        <f>SUM($T$19:$V$19)</f>
        <v>0</v>
      </c>
      <c r="X19" s="26">
        <f>'TE BE'!$AB$19*'TE BE'!$X$50</f>
        <v>-11.725257552012819</v>
      </c>
      <c r="Y19" s="26">
        <f>SUM($X$19:$X$19)</f>
        <v>-11.725257552012819</v>
      </c>
      <c r="Z19" s="26">
        <f>'TE BE'!$Z$19*'TE BE'!$Z$50</f>
        <v>0</v>
      </c>
      <c r="AA19" s="26">
        <f>SUM($Z$19:$Z$19)</f>
        <v>0</v>
      </c>
      <c r="AB19" s="26">
        <f>SUMIF($L$4:$AA$4,"SUBTOTAL",$L$19:$AA$19)</f>
        <v>-10.499564518399565</v>
      </c>
    </row>
    <row r="20" spans="1:28" ht="11.25" customHeight="1" x14ac:dyDescent="0.3">
      <c r="A20" s="151"/>
      <c r="B20" s="151"/>
      <c r="C20" s="151"/>
      <c r="D20" s="28" t="s">
        <v>30</v>
      </c>
      <c r="E20" s="28" t="s">
        <v>25</v>
      </c>
      <c r="F20" s="28" t="s">
        <v>25</v>
      </c>
      <c r="G20" s="29" t="s">
        <v>84</v>
      </c>
      <c r="H20" s="29" t="s">
        <v>78</v>
      </c>
      <c r="I20" s="29">
        <f>'MERCADO TE'!$U$17</f>
        <v>0</v>
      </c>
      <c r="J20" s="15"/>
      <c r="L20" s="26">
        <f>'TE BE'!$L$20*'TE BE'!$L$50</f>
        <v>1.3276072517686684E-6</v>
      </c>
      <c r="M20" s="26">
        <f>'TE BE'!$M$20*'TE BE'!$M$50</f>
        <v>0</v>
      </c>
      <c r="N20" s="26">
        <f>'TE BE'!$N$20*'TE BE'!$N$50</f>
        <v>0</v>
      </c>
      <c r="O20" s="26">
        <f>'TE BE'!$O$20*'TE BE'!$O$50</f>
        <v>-3.7153476583987141E-2</v>
      </c>
      <c r="P20" s="26">
        <f>'TE BE'!$P$20*'TE BE'!$P$50</f>
        <v>0</v>
      </c>
      <c r="Q20" s="26">
        <f>SUM($L$20:$P$20)</f>
        <v>-3.7152148976735369E-2</v>
      </c>
      <c r="R20" s="26">
        <f>'TE BE'!$R$20*'TE BE'!$R$50</f>
        <v>1.2628451825899896</v>
      </c>
      <c r="S20" s="26">
        <f>SUM($R$20:$R$20)</f>
        <v>1.2628451825899896</v>
      </c>
      <c r="T20" s="26">
        <f>'TE BE'!$T$20*'TE BE'!$T$50</f>
        <v>0</v>
      </c>
      <c r="U20" s="26">
        <f>'TE BE'!$U$20*'TE BE'!$U$50</f>
        <v>0</v>
      </c>
      <c r="V20" s="26">
        <f>'TE BE'!$V$20*'TE BE'!$V$50</f>
        <v>0</v>
      </c>
      <c r="W20" s="26">
        <f>SUM($T$20:$V$20)</f>
        <v>0</v>
      </c>
      <c r="X20" s="26">
        <f>'TE BE'!$AB$20*'TE BE'!$X$50</f>
        <v>-11.725257552012819</v>
      </c>
      <c r="Y20" s="26">
        <f>SUM($X$20:$X$20)</f>
        <v>-11.725257552012819</v>
      </c>
      <c r="Z20" s="26">
        <f>'TE BE'!$Z$20*'TE BE'!$Z$50</f>
        <v>0</v>
      </c>
      <c r="AA20" s="26">
        <f>SUM($Z$20:$Z$20)</f>
        <v>0</v>
      </c>
      <c r="AB20" s="26">
        <f>SUMIF($L$4:$AA$4,"SUBTOTAL",$L$20:$AA$20)</f>
        <v>-10.499564518399565</v>
      </c>
    </row>
    <row r="21" spans="1:28" ht="11.25" customHeight="1" x14ac:dyDescent="0.3">
      <c r="A21" s="151"/>
      <c r="B21" s="151"/>
      <c r="C21" s="151"/>
      <c r="D21" s="28" t="s">
        <v>31</v>
      </c>
      <c r="E21" s="28" t="s">
        <v>25</v>
      </c>
      <c r="F21" s="28" t="s">
        <v>25</v>
      </c>
      <c r="G21" s="29" t="s">
        <v>84</v>
      </c>
      <c r="H21" s="29" t="s">
        <v>78</v>
      </c>
      <c r="I21" s="29">
        <f>'MERCADO TE'!$U$18</f>
        <v>0</v>
      </c>
      <c r="J21" s="15"/>
      <c r="L21" s="26">
        <f>'TE BE'!$L$21*'TE BE'!$L$50</f>
        <v>1.3276072517686684E-6</v>
      </c>
      <c r="M21" s="26">
        <f>'TE BE'!$M$21*'TE BE'!$M$50</f>
        <v>0</v>
      </c>
      <c r="N21" s="26">
        <f>'TE BE'!$N$21*'TE BE'!$N$50</f>
        <v>0</v>
      </c>
      <c r="O21" s="26">
        <f>'TE BE'!$O$21*'TE BE'!$O$50</f>
        <v>-3.7153476583987141E-2</v>
      </c>
      <c r="P21" s="26">
        <f>'TE BE'!$P$21*'TE BE'!$P$50</f>
        <v>0</v>
      </c>
      <c r="Q21" s="26">
        <f>SUM($L$21:$P$21)</f>
        <v>-3.7152148976735369E-2</v>
      </c>
      <c r="R21" s="26">
        <f>'TE BE'!$R$21*'TE BE'!$R$50</f>
        <v>1.2628451825899896</v>
      </c>
      <c r="S21" s="26">
        <f>SUM($R$21:$R$21)</f>
        <v>1.2628451825899896</v>
      </c>
      <c r="T21" s="26">
        <f>'TE BE'!$T$21*'TE BE'!$T$50</f>
        <v>0</v>
      </c>
      <c r="U21" s="26">
        <f>'TE BE'!$U$21*'TE BE'!$U$50</f>
        <v>0</v>
      </c>
      <c r="V21" s="26">
        <f>'TE BE'!$V$21*'TE BE'!$V$50</f>
        <v>0</v>
      </c>
      <c r="W21" s="26">
        <f>SUM($T$21:$V$21)</f>
        <v>0</v>
      </c>
      <c r="X21" s="26">
        <f>'TE BE'!$AB$21*'TE BE'!$X$50</f>
        <v>-11.725257552012819</v>
      </c>
      <c r="Y21" s="26">
        <f>SUM($X$21:$X$21)</f>
        <v>-11.725257552012819</v>
      </c>
      <c r="Z21" s="26">
        <f>'TE BE'!$Z$21*'TE BE'!$Z$50</f>
        <v>0</v>
      </c>
      <c r="AA21" s="26">
        <f>SUM($Z$21:$Z$21)</f>
        <v>0</v>
      </c>
      <c r="AB21" s="26">
        <f>SUMIF($L$4:$AA$4,"SUBTOTAL",$L$21:$AA$21)</f>
        <v>-10.499564518399565</v>
      </c>
    </row>
    <row r="22" spans="1:28" ht="11.25" customHeight="1" x14ac:dyDescent="0.3">
      <c r="A22" s="151" t="s">
        <v>41</v>
      </c>
      <c r="B22" s="151" t="s">
        <v>77</v>
      </c>
      <c r="C22" s="151" t="s">
        <v>42</v>
      </c>
      <c r="D22" s="151" t="s">
        <v>25</v>
      </c>
      <c r="E22" s="151" t="s">
        <v>25</v>
      </c>
      <c r="F22" s="151" t="s">
        <v>25</v>
      </c>
      <c r="G22" s="29" t="s">
        <v>79</v>
      </c>
      <c r="H22" s="29" t="s">
        <v>78</v>
      </c>
      <c r="I22" s="29">
        <f>'MERCADO TE'!$U$19</f>
        <v>0</v>
      </c>
      <c r="J22" s="15"/>
      <c r="L22" s="26">
        <f>'TE BE'!$L$22*'TE BE'!$L$50</f>
        <v>1.3276072517686684E-6</v>
      </c>
      <c r="M22" s="26">
        <f>'TE BE'!$M$22*'TE BE'!$M$50</f>
        <v>0</v>
      </c>
      <c r="N22" s="26">
        <f>'TE BE'!$N$22*'TE BE'!$N$50</f>
        <v>0</v>
      </c>
      <c r="O22" s="26">
        <f>'TE BE'!$O$22*'TE BE'!$O$50</f>
        <v>-3.7153476583987141E-2</v>
      </c>
      <c r="P22" s="26">
        <f>'TE BE'!$P$22*'TE BE'!$P$50</f>
        <v>0</v>
      </c>
      <c r="Q22" s="26">
        <f>SUM($L$22:$P$22)</f>
        <v>-3.7152148976735369E-2</v>
      </c>
      <c r="R22" s="26">
        <f>'TE BE'!$R$22*'TE BE'!$R$50</f>
        <v>2.0491450132592277</v>
      </c>
      <c r="S22" s="26">
        <f>SUM($R$22:$R$22)</f>
        <v>2.0491450132592277</v>
      </c>
      <c r="T22" s="26">
        <f>'TE BE'!$T$22*'TE BE'!$T$50</f>
        <v>0</v>
      </c>
      <c r="U22" s="26">
        <f>'TE BE'!$U$22*'TE BE'!$U$50</f>
        <v>0</v>
      </c>
      <c r="V22" s="26">
        <f>'TE BE'!$V$22*'TE BE'!$V$50</f>
        <v>0</v>
      </c>
      <c r="W22" s="26">
        <f>SUM($T$22:$V$22)</f>
        <v>0</v>
      </c>
      <c r="X22" s="26">
        <f>'TE BE'!$AB$22*'TE BE'!$X$50</f>
        <v>-18.835009395888743</v>
      </c>
      <c r="Y22" s="26">
        <f>SUM($X$22:$X$22)</f>
        <v>-18.835009395888743</v>
      </c>
      <c r="Z22" s="26">
        <f>'TE BE'!$Z$22*'TE BE'!$Z$50</f>
        <v>0</v>
      </c>
      <c r="AA22" s="26">
        <f>SUM($Z$22:$Z$22)</f>
        <v>0</v>
      </c>
      <c r="AB22" s="26">
        <f>SUMIF($L$4:$AA$4,"SUBTOTAL",$L$22:$AA$22)</f>
        <v>-16.82301653160625</v>
      </c>
    </row>
    <row r="23" spans="1:28" ht="11.25" customHeight="1" x14ac:dyDescent="0.3">
      <c r="A23" s="151"/>
      <c r="B23" s="151"/>
      <c r="C23" s="151"/>
      <c r="D23" s="151"/>
      <c r="E23" s="151"/>
      <c r="F23" s="151"/>
      <c r="G23" s="29" t="s">
        <v>89</v>
      </c>
      <c r="H23" s="29" t="s">
        <v>78</v>
      </c>
      <c r="I23" s="29">
        <f>'MERCADO TE'!$U$20</f>
        <v>0</v>
      </c>
      <c r="J23" s="15"/>
      <c r="L23" s="26">
        <f>'TE BE'!$L$23*'TE BE'!$L$50</f>
        <v>1.3276072517686684E-6</v>
      </c>
      <c r="M23" s="26">
        <f>'TE BE'!$M$23*'TE BE'!$M$50</f>
        <v>0</v>
      </c>
      <c r="N23" s="26">
        <f>'TE BE'!$N$23*'TE BE'!$N$50</f>
        <v>0</v>
      </c>
      <c r="O23" s="26">
        <f>'TE BE'!$O$23*'TE BE'!$O$50</f>
        <v>-3.7153476583987141E-2</v>
      </c>
      <c r="P23" s="26">
        <f>'TE BE'!$P$23*'TE BE'!$P$50</f>
        <v>0</v>
      </c>
      <c r="Q23" s="26">
        <f>SUM($L$23:$P$23)</f>
        <v>-3.7152148976735369E-2</v>
      </c>
      <c r="R23" s="26">
        <f>'TE BE'!$R$23*'TE BE'!$R$50</f>
        <v>1.1913633798018768</v>
      </c>
      <c r="S23" s="26">
        <f>SUM($R$23:$R$23)</f>
        <v>1.1913633798018768</v>
      </c>
      <c r="T23" s="26">
        <f>'TE BE'!$T$23*'TE BE'!$T$50</f>
        <v>0</v>
      </c>
      <c r="U23" s="26">
        <f>'TE BE'!$U$23*'TE BE'!$U$50</f>
        <v>0</v>
      </c>
      <c r="V23" s="26">
        <f>'TE BE'!$V$23*'TE BE'!$V$50</f>
        <v>0</v>
      </c>
      <c r="W23" s="26">
        <f>SUM($T$23:$V$23)</f>
        <v>0</v>
      </c>
      <c r="X23" s="26">
        <f>'TE BE'!$AB$23*'TE BE'!$X$50</f>
        <v>-11.078916475296824</v>
      </c>
      <c r="Y23" s="26">
        <f>SUM($X$23:$X$23)</f>
        <v>-11.078916475296824</v>
      </c>
      <c r="Z23" s="26">
        <f>'TE BE'!$Z$23*'TE BE'!$Z$50</f>
        <v>0</v>
      </c>
      <c r="AA23" s="26">
        <f>SUM($Z$23:$Z$23)</f>
        <v>0</v>
      </c>
      <c r="AB23" s="26">
        <f>SUMIF($L$4:$AA$4,"SUBTOTAL",$L$23:$AA$23)</f>
        <v>-9.9247052444716815</v>
      </c>
    </row>
    <row r="24" spans="1:28" ht="11.25" customHeight="1" x14ac:dyDescent="0.3">
      <c r="A24" s="151"/>
      <c r="B24" s="151"/>
      <c r="C24" s="151"/>
      <c r="D24" s="151"/>
      <c r="E24" s="151"/>
      <c r="F24" s="151"/>
      <c r="G24" s="29" t="s">
        <v>80</v>
      </c>
      <c r="H24" s="29" t="s">
        <v>78</v>
      </c>
      <c r="I24" s="29">
        <f>'MERCADO TE'!$U$21</f>
        <v>0</v>
      </c>
      <c r="J24" s="15"/>
      <c r="L24" s="26">
        <f>'TE BE'!$L$24*'TE BE'!$L$50</f>
        <v>1.3276072517686684E-6</v>
      </c>
      <c r="M24" s="26">
        <f>'TE BE'!$M$24*'TE BE'!$M$50</f>
        <v>0</v>
      </c>
      <c r="N24" s="26">
        <f>'TE BE'!$N$24*'TE BE'!$N$50</f>
        <v>0</v>
      </c>
      <c r="O24" s="26">
        <f>'TE BE'!$O$24*'TE BE'!$O$50</f>
        <v>-3.7153476583987141E-2</v>
      </c>
      <c r="P24" s="26">
        <f>'TE BE'!$P$24*'TE BE'!$P$50</f>
        <v>0</v>
      </c>
      <c r="Q24" s="26">
        <f>SUM($L$24:$P$24)</f>
        <v>-3.7152148976735369E-2</v>
      </c>
      <c r="R24" s="26">
        <f>'TE BE'!$R$24*'TE BE'!$R$50</f>
        <v>1.1913633798018768</v>
      </c>
      <c r="S24" s="26">
        <f>SUM($R$24:$R$24)</f>
        <v>1.1913633798018768</v>
      </c>
      <c r="T24" s="26">
        <f>'TE BE'!$T$24*'TE BE'!$T$50</f>
        <v>0</v>
      </c>
      <c r="U24" s="26">
        <f>'TE BE'!$U$24*'TE BE'!$U$50</f>
        <v>0</v>
      </c>
      <c r="V24" s="26">
        <f>'TE BE'!$V$24*'TE BE'!$V$50</f>
        <v>0</v>
      </c>
      <c r="W24" s="26">
        <f>SUM($T$24:$V$24)</f>
        <v>0</v>
      </c>
      <c r="X24" s="26">
        <f>'TE BE'!$AB$24*'TE BE'!$X$50</f>
        <v>-11.078916475296824</v>
      </c>
      <c r="Y24" s="26">
        <f>SUM($X$24:$X$24)</f>
        <v>-11.078916475296824</v>
      </c>
      <c r="Z24" s="26">
        <f>'TE BE'!$Z$24*'TE BE'!$Z$50</f>
        <v>0</v>
      </c>
      <c r="AA24" s="26">
        <f>SUM($Z$24:$Z$24)</f>
        <v>0</v>
      </c>
      <c r="AB24" s="26">
        <f>SUMIF($L$4:$AA$4,"SUBTOTAL",$L$24:$AA$24)</f>
        <v>-9.9247052444716815</v>
      </c>
    </row>
    <row r="25" spans="1:28" ht="11.25" customHeight="1" x14ac:dyDescent="0.3">
      <c r="A25" s="151"/>
      <c r="B25" s="28" t="s">
        <v>90</v>
      </c>
      <c r="C25" s="28" t="s">
        <v>42</v>
      </c>
      <c r="D25" s="28" t="s">
        <v>25</v>
      </c>
      <c r="E25" s="28" t="s">
        <v>25</v>
      </c>
      <c r="F25" s="28" t="s">
        <v>25</v>
      </c>
      <c r="G25" s="29" t="s">
        <v>84</v>
      </c>
      <c r="H25" s="29" t="s">
        <v>78</v>
      </c>
      <c r="I25" s="29">
        <f>'MERCADO TE'!$U$22</f>
        <v>3112.8609999999999</v>
      </c>
      <c r="J25" s="15"/>
      <c r="L25" s="26">
        <f>'TE BE'!$L$25*'TE BE'!$L$50</f>
        <v>1.3276072517686684E-6</v>
      </c>
      <c r="M25" s="26">
        <f>'TE BE'!$M$25*'TE BE'!$M$50</f>
        <v>0</v>
      </c>
      <c r="N25" s="26">
        <f>'TE BE'!$N$25*'TE BE'!$N$50</f>
        <v>0</v>
      </c>
      <c r="O25" s="26">
        <f>'TE BE'!$O$25*'TE BE'!$O$50</f>
        <v>-3.7153476583987141E-2</v>
      </c>
      <c r="P25" s="26">
        <f>'TE BE'!$P$25*'TE BE'!$P$50</f>
        <v>0</v>
      </c>
      <c r="Q25" s="26">
        <f>SUM($L$25:$P$25)</f>
        <v>-3.7152148976735369E-2</v>
      </c>
      <c r="R25" s="26">
        <f>'TE BE'!$R$25*'TE BE'!$R$50</f>
        <v>1.2628451825899896</v>
      </c>
      <c r="S25" s="26">
        <f>SUM($R$25:$R$25)</f>
        <v>1.2628451825899896</v>
      </c>
      <c r="T25" s="26">
        <f>'TE BE'!$T$25*'TE BE'!$T$50</f>
        <v>0</v>
      </c>
      <c r="U25" s="26">
        <f>'TE BE'!$U$25*'TE BE'!$U$50</f>
        <v>0</v>
      </c>
      <c r="V25" s="26">
        <f>'TE BE'!$V$25*'TE BE'!$V$50</f>
        <v>0</v>
      </c>
      <c r="W25" s="26">
        <f>SUM($T$25:$V$25)</f>
        <v>0</v>
      </c>
      <c r="X25" s="26">
        <f>'TE BE'!$AB$25*'TE BE'!$X$50</f>
        <v>-11.725257552012819</v>
      </c>
      <c r="Y25" s="26">
        <f>SUM($X$25:$X$25)</f>
        <v>-11.725257552012819</v>
      </c>
      <c r="Z25" s="26">
        <f>'TE BE'!$Z$25*'TE BE'!$Z$50</f>
        <v>0</v>
      </c>
      <c r="AA25" s="26">
        <f>SUM($Z$25:$Z$25)</f>
        <v>0</v>
      </c>
      <c r="AB25" s="26">
        <f>SUMIF($L$4:$AA$4,"SUBTOTAL",$L$25:$AA$25)</f>
        <v>-10.499564518399565</v>
      </c>
    </row>
    <row r="26" spans="1:28" ht="11.25" customHeight="1" x14ac:dyDescent="0.3">
      <c r="A26" s="151"/>
      <c r="B26" s="151" t="s">
        <v>77</v>
      </c>
      <c r="C26" s="151" t="s">
        <v>42</v>
      </c>
      <c r="D26" s="151" t="s">
        <v>93</v>
      </c>
      <c r="E26" s="151" t="s">
        <v>25</v>
      </c>
      <c r="F26" s="151" t="s">
        <v>25</v>
      </c>
      <c r="G26" s="29" t="s">
        <v>79</v>
      </c>
      <c r="H26" s="29" t="s">
        <v>78</v>
      </c>
      <c r="I26" s="29">
        <f>'MERCADO TE'!$U$23</f>
        <v>0</v>
      </c>
      <c r="J26" s="15"/>
      <c r="L26" s="26">
        <f>'TE BE'!$L$26*'TE BE'!$L$50</f>
        <v>1.3276072517686684E-6</v>
      </c>
      <c r="M26" s="26">
        <f>'TE BE'!$M$26*'TE BE'!$M$50</f>
        <v>0</v>
      </c>
      <c r="N26" s="26">
        <f>'TE BE'!$N$26*'TE BE'!$N$50</f>
        <v>0</v>
      </c>
      <c r="O26" s="26">
        <f>'TE BE'!$O$26*'TE BE'!$O$50</f>
        <v>-3.7153476583987141E-2</v>
      </c>
      <c r="P26" s="26">
        <f>'TE BE'!$P$26*'TE BE'!$P$50</f>
        <v>0</v>
      </c>
      <c r="Q26" s="26">
        <f>SUM($L$26:$P$26)</f>
        <v>-3.7152148976735369E-2</v>
      </c>
      <c r="R26" s="26">
        <f>'TE BE'!$R$26*'TE BE'!$R$50</f>
        <v>2.0491450132592277</v>
      </c>
      <c r="S26" s="26">
        <f>SUM($R$26:$R$26)</f>
        <v>2.0491450132592277</v>
      </c>
      <c r="T26" s="26">
        <f>'TE BE'!$T$26*'TE BE'!$T$50</f>
        <v>0</v>
      </c>
      <c r="U26" s="26">
        <f>'TE BE'!$U$26*'TE BE'!$U$50</f>
        <v>0</v>
      </c>
      <c r="V26" s="26">
        <f>'TE BE'!$V$26*'TE BE'!$V$50</f>
        <v>0</v>
      </c>
      <c r="W26" s="26">
        <f>SUM($T$26:$V$26)</f>
        <v>0</v>
      </c>
      <c r="X26" s="26">
        <f>'TE BE'!$AB$26*'TE BE'!$X$50</f>
        <v>-18.835009395888743</v>
      </c>
      <c r="Y26" s="26">
        <f>SUM($X$26:$X$26)</f>
        <v>-18.835009395888743</v>
      </c>
      <c r="Z26" s="26">
        <f>'TE BE'!$Z$26*'TE BE'!$Z$50</f>
        <v>0</v>
      </c>
      <c r="AA26" s="26">
        <f>SUM($Z$26:$Z$26)</f>
        <v>0</v>
      </c>
      <c r="AB26" s="26">
        <f>SUMIF($L$4:$AA$4,"SUBTOTAL",$L$26:$AA$26)</f>
        <v>-16.82301653160625</v>
      </c>
    </row>
    <row r="27" spans="1:28" ht="11.25" customHeight="1" x14ac:dyDescent="0.3">
      <c r="A27" s="151"/>
      <c r="B27" s="151"/>
      <c r="C27" s="151"/>
      <c r="D27" s="151"/>
      <c r="E27" s="151"/>
      <c r="F27" s="151"/>
      <c r="G27" s="29" t="s">
        <v>89</v>
      </c>
      <c r="H27" s="29" t="s">
        <v>78</v>
      </c>
      <c r="I27" s="29">
        <f>'MERCADO TE'!$U$24</f>
        <v>0</v>
      </c>
      <c r="J27" s="15"/>
      <c r="L27" s="26">
        <f>'TE BE'!$L$27*'TE BE'!$L$50</f>
        <v>1.3276072517686684E-6</v>
      </c>
      <c r="M27" s="26">
        <f>'TE BE'!$M$27*'TE BE'!$M$50</f>
        <v>0</v>
      </c>
      <c r="N27" s="26">
        <f>'TE BE'!$N$27*'TE BE'!$N$50</f>
        <v>0</v>
      </c>
      <c r="O27" s="26">
        <f>'TE BE'!$O$27*'TE BE'!$O$50</f>
        <v>-3.7153476583987141E-2</v>
      </c>
      <c r="P27" s="26">
        <f>'TE BE'!$P$27*'TE BE'!$P$50</f>
        <v>0</v>
      </c>
      <c r="Q27" s="26">
        <f>SUM($L$27:$P$27)</f>
        <v>-3.7152148976735369E-2</v>
      </c>
      <c r="R27" s="26">
        <f>'TE BE'!$R$27*'TE BE'!$R$50</f>
        <v>1.1913633798018768</v>
      </c>
      <c r="S27" s="26">
        <f>SUM($R$27:$R$27)</f>
        <v>1.1913633798018768</v>
      </c>
      <c r="T27" s="26">
        <f>'TE BE'!$T$27*'TE BE'!$T$50</f>
        <v>0</v>
      </c>
      <c r="U27" s="26">
        <f>'TE BE'!$U$27*'TE BE'!$U$50</f>
        <v>0</v>
      </c>
      <c r="V27" s="26">
        <f>'TE BE'!$V$27*'TE BE'!$V$50</f>
        <v>0</v>
      </c>
      <c r="W27" s="26">
        <f>SUM($T$27:$V$27)</f>
        <v>0</v>
      </c>
      <c r="X27" s="26">
        <f>'TE BE'!$AB$27*'TE BE'!$X$50</f>
        <v>-11.078916475296824</v>
      </c>
      <c r="Y27" s="26">
        <f>SUM($X$27:$X$27)</f>
        <v>-11.078916475296824</v>
      </c>
      <c r="Z27" s="26">
        <f>'TE BE'!$Z$27*'TE BE'!$Z$50</f>
        <v>0</v>
      </c>
      <c r="AA27" s="26">
        <f>SUM($Z$27:$Z$27)</f>
        <v>0</v>
      </c>
      <c r="AB27" s="26">
        <f>SUMIF($L$4:$AA$4,"SUBTOTAL",$L$27:$AA$27)</f>
        <v>-9.9247052444716815</v>
      </c>
    </row>
    <row r="28" spans="1:28" ht="11.25" customHeight="1" x14ac:dyDescent="0.3">
      <c r="A28" s="151"/>
      <c r="B28" s="151"/>
      <c r="C28" s="151"/>
      <c r="D28" s="151"/>
      <c r="E28" s="151"/>
      <c r="F28" s="151"/>
      <c r="G28" s="29" t="s">
        <v>80</v>
      </c>
      <c r="H28" s="29" t="s">
        <v>78</v>
      </c>
      <c r="I28" s="29">
        <f>'MERCADO TE'!$U$25</f>
        <v>0</v>
      </c>
      <c r="J28" s="15"/>
      <c r="L28" s="26">
        <f>'TE BE'!$L$28*'TE BE'!$L$50</f>
        <v>1.3276072517686684E-6</v>
      </c>
      <c r="M28" s="26">
        <f>'TE BE'!$M$28*'TE BE'!$M$50</f>
        <v>0</v>
      </c>
      <c r="N28" s="26">
        <f>'TE BE'!$N$28*'TE BE'!$N$50</f>
        <v>0</v>
      </c>
      <c r="O28" s="26">
        <f>'TE BE'!$O$28*'TE BE'!$O$50</f>
        <v>-3.7153476583987141E-2</v>
      </c>
      <c r="P28" s="26">
        <f>'TE BE'!$P$28*'TE BE'!$P$50</f>
        <v>0</v>
      </c>
      <c r="Q28" s="26">
        <f>SUM($L$28:$P$28)</f>
        <v>-3.7152148976735369E-2</v>
      </c>
      <c r="R28" s="26">
        <f>'TE BE'!$R$28*'TE BE'!$R$50</f>
        <v>1.1913633798018768</v>
      </c>
      <c r="S28" s="26">
        <f>SUM($R$28:$R$28)</f>
        <v>1.1913633798018768</v>
      </c>
      <c r="T28" s="26">
        <f>'TE BE'!$T$28*'TE BE'!$T$50</f>
        <v>0</v>
      </c>
      <c r="U28" s="26">
        <f>'TE BE'!$U$28*'TE BE'!$U$50</f>
        <v>0</v>
      </c>
      <c r="V28" s="26">
        <f>'TE BE'!$V$28*'TE BE'!$V$50</f>
        <v>0</v>
      </c>
      <c r="W28" s="26">
        <f>SUM($T$28:$V$28)</f>
        <v>0</v>
      </c>
      <c r="X28" s="26">
        <f>'TE BE'!$AB$28*'TE BE'!$X$50</f>
        <v>-11.078916475296824</v>
      </c>
      <c r="Y28" s="26">
        <f>SUM($X$28:$X$28)</f>
        <v>-11.078916475296824</v>
      </c>
      <c r="Z28" s="26">
        <f>'TE BE'!$Z$28*'TE BE'!$Z$50</f>
        <v>0</v>
      </c>
      <c r="AA28" s="26">
        <f>SUM($Z$28:$Z$28)</f>
        <v>0</v>
      </c>
      <c r="AB28" s="26">
        <f>SUMIF($L$4:$AA$4,"SUBTOTAL",$L$28:$AA$28)</f>
        <v>-9.9247052444716815</v>
      </c>
    </row>
    <row r="29" spans="1:28" ht="11.25" customHeight="1" x14ac:dyDescent="0.3">
      <c r="A29" s="151"/>
      <c r="B29" s="28" t="s">
        <v>90</v>
      </c>
      <c r="C29" s="28" t="s">
        <v>42</v>
      </c>
      <c r="D29" s="28" t="s">
        <v>93</v>
      </c>
      <c r="E29" s="28" t="s">
        <v>25</v>
      </c>
      <c r="F29" s="28" t="s">
        <v>25</v>
      </c>
      <c r="G29" s="29" t="s">
        <v>84</v>
      </c>
      <c r="H29" s="29" t="s">
        <v>78</v>
      </c>
      <c r="I29" s="29">
        <f>'MERCADO TE'!$U$26</f>
        <v>0</v>
      </c>
      <c r="J29" s="15"/>
      <c r="L29" s="26">
        <f>'TE BE'!$L$29*'TE BE'!$L$50</f>
        <v>1.3276072517686684E-6</v>
      </c>
      <c r="M29" s="26">
        <f>'TE BE'!$M$29*'TE BE'!$M$50</f>
        <v>0</v>
      </c>
      <c r="N29" s="26">
        <f>'TE BE'!$N$29*'TE BE'!$N$50</f>
        <v>0</v>
      </c>
      <c r="O29" s="26">
        <f>'TE BE'!$O$29*'TE BE'!$O$50</f>
        <v>-3.7153476583987141E-2</v>
      </c>
      <c r="P29" s="26">
        <f>'TE BE'!$P$29*'TE BE'!$P$50</f>
        <v>0</v>
      </c>
      <c r="Q29" s="26">
        <f>SUM($L$29:$P$29)</f>
        <v>-3.7152148976735369E-2</v>
      </c>
      <c r="R29" s="26">
        <f>'TE BE'!$R$29*'TE BE'!$R$50</f>
        <v>1.2628451825899896</v>
      </c>
      <c r="S29" s="26">
        <f>SUM($R$29:$R$29)</f>
        <v>1.2628451825899896</v>
      </c>
      <c r="T29" s="26">
        <f>'TE BE'!$T$29*'TE BE'!$T$50</f>
        <v>0</v>
      </c>
      <c r="U29" s="26">
        <f>'TE BE'!$U$29*'TE BE'!$U$50</f>
        <v>0</v>
      </c>
      <c r="V29" s="26">
        <f>'TE BE'!$V$29*'TE BE'!$V$50</f>
        <v>0</v>
      </c>
      <c r="W29" s="26">
        <f>SUM($T$29:$V$29)</f>
        <v>0</v>
      </c>
      <c r="X29" s="26">
        <f>'TE BE'!$AB$29*'TE BE'!$X$50</f>
        <v>-11.725257552012819</v>
      </c>
      <c r="Y29" s="26">
        <f>SUM($X$29:$X$29)</f>
        <v>-11.725257552012819</v>
      </c>
      <c r="Z29" s="26">
        <f>'TE BE'!$Z$29*'TE BE'!$Z$50</f>
        <v>0</v>
      </c>
      <c r="AA29" s="26">
        <f>SUM($Z$29:$Z$29)</f>
        <v>0</v>
      </c>
      <c r="AB29" s="26">
        <f>SUMIF($L$4:$AA$4,"SUBTOTAL",$L$29:$AA$29)</f>
        <v>-10.499564518399565</v>
      </c>
    </row>
    <row r="30" spans="1:28" ht="11.25" customHeight="1" x14ac:dyDescent="0.3">
      <c r="A30" s="151"/>
      <c r="B30" s="151" t="s">
        <v>77</v>
      </c>
      <c r="C30" s="151" t="s">
        <v>42</v>
      </c>
      <c r="D30" s="151" t="s">
        <v>94</v>
      </c>
      <c r="E30" s="151" t="s">
        <v>25</v>
      </c>
      <c r="F30" s="151" t="s">
        <v>25</v>
      </c>
      <c r="G30" s="29" t="s">
        <v>79</v>
      </c>
      <c r="H30" s="29" t="s">
        <v>78</v>
      </c>
      <c r="I30" s="29">
        <f>'MERCADO TE'!$U$27</f>
        <v>0</v>
      </c>
      <c r="J30" s="15"/>
      <c r="L30" s="26">
        <f>'TE BE'!$L$30*'TE BE'!$L$50</f>
        <v>1.3276072517686684E-6</v>
      </c>
      <c r="M30" s="26">
        <f>'TE BE'!$M$30*'TE BE'!$M$50</f>
        <v>0</v>
      </c>
      <c r="N30" s="26">
        <f>'TE BE'!$N$30*'TE BE'!$N$50</f>
        <v>0</v>
      </c>
      <c r="O30" s="26">
        <f>'TE BE'!$O$30*'TE BE'!$O$50</f>
        <v>-3.7153476583987141E-2</v>
      </c>
      <c r="P30" s="26">
        <f>'TE BE'!$P$30*'TE BE'!$P$50</f>
        <v>0</v>
      </c>
      <c r="Q30" s="26">
        <f>SUM($L$30:$P$30)</f>
        <v>-3.7152148976735369E-2</v>
      </c>
      <c r="R30" s="26">
        <f>'TE BE'!$R$30*'TE BE'!$R$50</f>
        <v>2.0491450132592277</v>
      </c>
      <c r="S30" s="26">
        <f>SUM($R$30:$R$30)</f>
        <v>2.0491450132592277</v>
      </c>
      <c r="T30" s="26">
        <f>'TE BE'!$T$30*'TE BE'!$T$50</f>
        <v>0</v>
      </c>
      <c r="U30" s="26">
        <f>'TE BE'!$U$30*'TE BE'!$U$50</f>
        <v>0</v>
      </c>
      <c r="V30" s="26">
        <f>'TE BE'!$V$30*'TE BE'!$V$50</f>
        <v>0</v>
      </c>
      <c r="W30" s="26">
        <f>SUM($T$30:$V$30)</f>
        <v>0</v>
      </c>
      <c r="X30" s="26">
        <f>'TE BE'!$AB$30*'TE BE'!$X$50</f>
        <v>-18.835009395888743</v>
      </c>
      <c r="Y30" s="26">
        <f>SUM($X$30:$X$30)</f>
        <v>-18.835009395888743</v>
      </c>
      <c r="Z30" s="26">
        <f>'TE BE'!$Z$30*'TE BE'!$Z$50</f>
        <v>0</v>
      </c>
      <c r="AA30" s="26">
        <f>SUM($Z$30:$Z$30)</f>
        <v>0</v>
      </c>
      <c r="AB30" s="26">
        <f>SUMIF($L$4:$AA$4,"SUBTOTAL",$L$30:$AA$30)</f>
        <v>-16.82301653160625</v>
      </c>
    </row>
    <row r="31" spans="1:28" ht="11.25" customHeight="1" x14ac:dyDescent="0.3">
      <c r="A31" s="151"/>
      <c r="B31" s="151"/>
      <c r="C31" s="151"/>
      <c r="D31" s="151"/>
      <c r="E31" s="151"/>
      <c r="F31" s="151"/>
      <c r="G31" s="29" t="s">
        <v>89</v>
      </c>
      <c r="H31" s="29" t="s">
        <v>78</v>
      </c>
      <c r="I31" s="29">
        <f>'MERCADO TE'!$U$28</f>
        <v>0</v>
      </c>
      <c r="J31" s="15"/>
      <c r="L31" s="26">
        <f>'TE BE'!$L$31*'TE BE'!$L$50</f>
        <v>1.3276072517686684E-6</v>
      </c>
      <c r="M31" s="26">
        <f>'TE BE'!$M$31*'TE BE'!$M$50</f>
        <v>0</v>
      </c>
      <c r="N31" s="26">
        <f>'TE BE'!$N$31*'TE BE'!$N$50</f>
        <v>0</v>
      </c>
      <c r="O31" s="26">
        <f>'TE BE'!$O$31*'TE BE'!$O$50</f>
        <v>-3.7153476583987141E-2</v>
      </c>
      <c r="P31" s="26">
        <f>'TE BE'!$P$31*'TE BE'!$P$50</f>
        <v>0</v>
      </c>
      <c r="Q31" s="26">
        <f>SUM($L$31:$P$31)</f>
        <v>-3.7152148976735369E-2</v>
      </c>
      <c r="R31" s="26">
        <f>'TE BE'!$R$31*'TE BE'!$R$50</f>
        <v>1.1913633798018768</v>
      </c>
      <c r="S31" s="26">
        <f>SUM($R$31:$R$31)</f>
        <v>1.1913633798018768</v>
      </c>
      <c r="T31" s="26">
        <f>'TE BE'!$T$31*'TE BE'!$T$50</f>
        <v>0</v>
      </c>
      <c r="U31" s="26">
        <f>'TE BE'!$U$31*'TE BE'!$U$50</f>
        <v>0</v>
      </c>
      <c r="V31" s="26">
        <f>'TE BE'!$V$31*'TE BE'!$V$50</f>
        <v>0</v>
      </c>
      <c r="W31" s="26">
        <f>SUM($T$31:$V$31)</f>
        <v>0</v>
      </c>
      <c r="X31" s="26">
        <f>'TE BE'!$AB$31*'TE BE'!$X$50</f>
        <v>-11.078916475296824</v>
      </c>
      <c r="Y31" s="26">
        <f>SUM($X$31:$X$31)</f>
        <v>-11.078916475296824</v>
      </c>
      <c r="Z31" s="26">
        <f>'TE BE'!$Z$31*'TE BE'!$Z$50</f>
        <v>0</v>
      </c>
      <c r="AA31" s="26">
        <f>SUM($Z$31:$Z$31)</f>
        <v>0</v>
      </c>
      <c r="AB31" s="26">
        <f>SUMIF($L$4:$AA$4,"SUBTOTAL",$L$31:$AA$31)</f>
        <v>-9.9247052444716815</v>
      </c>
    </row>
    <row r="32" spans="1:28" ht="11.25" customHeight="1" x14ac:dyDescent="0.3">
      <c r="A32" s="151"/>
      <c r="B32" s="151"/>
      <c r="C32" s="151"/>
      <c r="D32" s="151"/>
      <c r="E32" s="151"/>
      <c r="F32" s="151"/>
      <c r="G32" s="29" t="s">
        <v>80</v>
      </c>
      <c r="H32" s="29" t="s">
        <v>78</v>
      </c>
      <c r="I32" s="29">
        <f>'MERCADO TE'!$U$29</f>
        <v>0</v>
      </c>
      <c r="J32" s="15"/>
      <c r="L32" s="26">
        <f>'TE BE'!$L$32*'TE BE'!$L$50</f>
        <v>1.3276072517686684E-6</v>
      </c>
      <c r="M32" s="26">
        <f>'TE BE'!$M$32*'TE BE'!$M$50</f>
        <v>0</v>
      </c>
      <c r="N32" s="26">
        <f>'TE BE'!$N$32*'TE BE'!$N$50</f>
        <v>0</v>
      </c>
      <c r="O32" s="26">
        <f>'TE BE'!$O$32*'TE BE'!$O$50</f>
        <v>-3.7153476583987141E-2</v>
      </c>
      <c r="P32" s="26">
        <f>'TE BE'!$P$32*'TE BE'!$P$50</f>
        <v>0</v>
      </c>
      <c r="Q32" s="26">
        <f>SUM($L$32:$P$32)</f>
        <v>-3.7152148976735369E-2</v>
      </c>
      <c r="R32" s="26">
        <f>'TE BE'!$R$32*'TE BE'!$R$50</f>
        <v>1.1913633798018768</v>
      </c>
      <c r="S32" s="26">
        <f>SUM($R$32:$R$32)</f>
        <v>1.1913633798018768</v>
      </c>
      <c r="T32" s="26">
        <f>'TE BE'!$T$32*'TE BE'!$T$50</f>
        <v>0</v>
      </c>
      <c r="U32" s="26">
        <f>'TE BE'!$U$32*'TE BE'!$U$50</f>
        <v>0</v>
      </c>
      <c r="V32" s="26">
        <f>'TE BE'!$V$32*'TE BE'!$V$50</f>
        <v>0</v>
      </c>
      <c r="W32" s="26">
        <f>SUM($T$32:$V$32)</f>
        <v>0</v>
      </c>
      <c r="X32" s="26">
        <f>'TE BE'!$AB$32*'TE BE'!$X$50</f>
        <v>-11.078916475296824</v>
      </c>
      <c r="Y32" s="26">
        <f>SUM($X$32:$X$32)</f>
        <v>-11.078916475296824</v>
      </c>
      <c r="Z32" s="26">
        <f>'TE BE'!$Z$32*'TE BE'!$Z$50</f>
        <v>0</v>
      </c>
      <c r="AA32" s="26">
        <f>SUM($Z$32:$Z$32)</f>
        <v>0</v>
      </c>
      <c r="AB32" s="26">
        <f>SUMIF($L$4:$AA$4,"SUBTOTAL",$L$32:$AA$32)</f>
        <v>-9.9247052444716815</v>
      </c>
    </row>
    <row r="33" spans="1:28" ht="11.25" customHeight="1" x14ac:dyDescent="0.3">
      <c r="A33" s="151"/>
      <c r="B33" s="28" t="s">
        <v>90</v>
      </c>
      <c r="C33" s="28" t="s">
        <v>42</v>
      </c>
      <c r="D33" s="28" t="s">
        <v>94</v>
      </c>
      <c r="E33" s="28" t="s">
        <v>25</v>
      </c>
      <c r="F33" s="28" t="s">
        <v>25</v>
      </c>
      <c r="G33" s="29" t="s">
        <v>84</v>
      </c>
      <c r="H33" s="29" t="s">
        <v>78</v>
      </c>
      <c r="I33" s="29">
        <f>'MERCADO TE'!$U$30</f>
        <v>0</v>
      </c>
      <c r="J33" s="15"/>
      <c r="L33" s="26">
        <f>'TE BE'!$L$33*'TE BE'!$L$50</f>
        <v>1.3276072517686684E-6</v>
      </c>
      <c r="M33" s="26">
        <f>'TE BE'!$M$33*'TE BE'!$M$50</f>
        <v>0</v>
      </c>
      <c r="N33" s="26">
        <f>'TE BE'!$N$33*'TE BE'!$N$50</f>
        <v>0</v>
      </c>
      <c r="O33" s="26">
        <f>'TE BE'!$O$33*'TE BE'!$O$50</f>
        <v>-3.7153476583987141E-2</v>
      </c>
      <c r="P33" s="26">
        <f>'TE BE'!$P$33*'TE BE'!$P$50</f>
        <v>0</v>
      </c>
      <c r="Q33" s="26">
        <f>SUM($L$33:$P$33)</f>
        <v>-3.7152148976735369E-2</v>
      </c>
      <c r="R33" s="26">
        <f>'TE BE'!$R$33*'TE BE'!$R$50</f>
        <v>1.2628451825899896</v>
      </c>
      <c r="S33" s="26">
        <f>SUM($R$33:$R$33)</f>
        <v>1.2628451825899896</v>
      </c>
      <c r="T33" s="26">
        <f>'TE BE'!$T$33*'TE BE'!$T$50</f>
        <v>0</v>
      </c>
      <c r="U33" s="26">
        <f>'TE BE'!$U$33*'TE BE'!$U$50</f>
        <v>0</v>
      </c>
      <c r="V33" s="26">
        <f>'TE BE'!$V$33*'TE BE'!$V$50</f>
        <v>0</v>
      </c>
      <c r="W33" s="26">
        <f>SUM($T$33:$V$33)</f>
        <v>0</v>
      </c>
      <c r="X33" s="26">
        <f>'TE BE'!$AB$33*'TE BE'!$X$50</f>
        <v>-11.725257552012819</v>
      </c>
      <c r="Y33" s="26">
        <f>SUM($X$33:$X$33)</f>
        <v>-11.725257552012819</v>
      </c>
      <c r="Z33" s="26">
        <f>'TE BE'!$Z$33*'TE BE'!$Z$50</f>
        <v>0</v>
      </c>
      <c r="AA33" s="26">
        <f>SUM($Z$33:$Z$33)</f>
        <v>0</v>
      </c>
      <c r="AB33" s="26">
        <f>SUMIF($L$4:$AA$4,"SUBTOTAL",$L$33:$AA$33)</f>
        <v>-10.499564518399565</v>
      </c>
    </row>
    <row r="34" spans="1:28" ht="11.25" customHeight="1" x14ac:dyDescent="0.3">
      <c r="A34" s="151"/>
      <c r="B34" s="151" t="s">
        <v>91</v>
      </c>
      <c r="C34" s="151" t="s">
        <v>42</v>
      </c>
      <c r="D34" s="28" t="s">
        <v>25</v>
      </c>
      <c r="E34" s="28" t="s">
        <v>25</v>
      </c>
      <c r="F34" s="28" t="s">
        <v>25</v>
      </c>
      <c r="G34" s="29" t="s">
        <v>84</v>
      </c>
      <c r="H34" s="29" t="s">
        <v>78</v>
      </c>
      <c r="I34" s="29">
        <f>'MERCADO TE'!$U$31</f>
        <v>0</v>
      </c>
      <c r="J34" s="15"/>
      <c r="L34" s="26">
        <f>'TE BE'!$L$34*'TE BE'!$L$50</f>
        <v>1.3276072517686684E-6</v>
      </c>
      <c r="M34" s="26">
        <f>'TE BE'!$M$34*'TE BE'!$M$50</f>
        <v>0</v>
      </c>
      <c r="N34" s="26">
        <f>'TE BE'!$N$34*'TE BE'!$N$50</f>
        <v>0</v>
      </c>
      <c r="O34" s="26">
        <f>'TE BE'!$O$34*'TE BE'!$O$50</f>
        <v>-3.7153476583987141E-2</v>
      </c>
      <c r="P34" s="26">
        <f>'TE BE'!$P$34*'TE BE'!$P$50</f>
        <v>0</v>
      </c>
      <c r="Q34" s="26">
        <f>SUM($L$34:$P$34)</f>
        <v>-3.7152148976735369E-2</v>
      </c>
      <c r="R34" s="26">
        <f>'TE BE'!$R$34*'TE BE'!$R$50</f>
        <v>1.2628451825899896</v>
      </c>
      <c r="S34" s="26">
        <f>SUM($R$34:$R$34)</f>
        <v>1.2628451825899896</v>
      </c>
      <c r="T34" s="26">
        <f>'TE BE'!$T$34*'TE BE'!$T$50</f>
        <v>0</v>
      </c>
      <c r="U34" s="26">
        <f>'TE BE'!$U$34*'TE BE'!$U$50</f>
        <v>0</v>
      </c>
      <c r="V34" s="26">
        <f>'TE BE'!$V$34*'TE BE'!$V$50</f>
        <v>0</v>
      </c>
      <c r="W34" s="26">
        <f>SUM($T$34:$V$34)</f>
        <v>0</v>
      </c>
      <c r="X34" s="26">
        <f>'TE BE'!$AB$34*'TE BE'!$X$50</f>
        <v>-11.725257552012819</v>
      </c>
      <c r="Y34" s="26">
        <f>SUM($X$34:$X$34)</f>
        <v>-11.725257552012819</v>
      </c>
      <c r="Z34" s="26">
        <f>'TE BE'!$Z$34*'TE BE'!$Z$50</f>
        <v>0</v>
      </c>
      <c r="AA34" s="26">
        <f>SUM($Z$34:$Z$34)</f>
        <v>0</v>
      </c>
      <c r="AB34" s="26">
        <f>SUMIF($L$4:$AA$4,"SUBTOTAL",$L$34:$AA$34)</f>
        <v>-10.499564518399565</v>
      </c>
    </row>
    <row r="35" spans="1:28" ht="11.25" customHeight="1" x14ac:dyDescent="0.3">
      <c r="A35" s="151"/>
      <c r="B35" s="151"/>
      <c r="C35" s="151"/>
      <c r="D35" s="28" t="s">
        <v>93</v>
      </c>
      <c r="E35" s="28" t="s">
        <v>25</v>
      </c>
      <c r="F35" s="28" t="s">
        <v>25</v>
      </c>
      <c r="G35" s="29" t="s">
        <v>84</v>
      </c>
      <c r="H35" s="29" t="s">
        <v>78</v>
      </c>
      <c r="I35" s="29">
        <f>'MERCADO TE'!$U$32</f>
        <v>0</v>
      </c>
      <c r="J35" s="15"/>
      <c r="L35" s="26">
        <f>'TE BE'!$L$35*'TE BE'!$L$50</f>
        <v>1.3276072517686684E-6</v>
      </c>
      <c r="M35" s="26">
        <f>'TE BE'!$M$35*'TE BE'!$M$50</f>
        <v>0</v>
      </c>
      <c r="N35" s="26">
        <f>'TE BE'!$N$35*'TE BE'!$N$50</f>
        <v>0</v>
      </c>
      <c r="O35" s="26">
        <f>'TE BE'!$O$35*'TE BE'!$O$50</f>
        <v>-3.7153476583987141E-2</v>
      </c>
      <c r="P35" s="26">
        <f>'TE BE'!$P$35*'TE BE'!$P$50</f>
        <v>0</v>
      </c>
      <c r="Q35" s="26">
        <f>SUM($L$35:$P$35)</f>
        <v>-3.7152148976735369E-2</v>
      </c>
      <c r="R35" s="26">
        <f>'TE BE'!$R$35*'TE BE'!$R$50</f>
        <v>1.2628451825899896</v>
      </c>
      <c r="S35" s="26">
        <f>SUM($R$35:$R$35)</f>
        <v>1.2628451825899896</v>
      </c>
      <c r="T35" s="26">
        <f>'TE BE'!$T$35*'TE BE'!$T$50</f>
        <v>0</v>
      </c>
      <c r="U35" s="26">
        <f>'TE BE'!$U$35*'TE BE'!$U$50</f>
        <v>0</v>
      </c>
      <c r="V35" s="26">
        <f>'TE BE'!$V$35*'TE BE'!$V$50</f>
        <v>0</v>
      </c>
      <c r="W35" s="26">
        <f>SUM($T$35:$V$35)</f>
        <v>0</v>
      </c>
      <c r="X35" s="26">
        <f>'TE BE'!$AB$35*'TE BE'!$X$50</f>
        <v>-11.725257552012819</v>
      </c>
      <c r="Y35" s="26">
        <f>SUM($X$35:$X$35)</f>
        <v>-11.725257552012819</v>
      </c>
      <c r="Z35" s="26">
        <f>'TE BE'!$Z$35*'TE BE'!$Z$50</f>
        <v>0</v>
      </c>
      <c r="AA35" s="26">
        <f>SUM($Z$35:$Z$35)</f>
        <v>0</v>
      </c>
      <c r="AB35" s="26">
        <f>SUMIF($L$4:$AA$4,"SUBTOTAL",$L$35:$AA$35)</f>
        <v>-10.499564518399565</v>
      </c>
    </row>
    <row r="36" spans="1:28" ht="11.25" customHeight="1" x14ac:dyDescent="0.3">
      <c r="A36" s="151"/>
      <c r="B36" s="151"/>
      <c r="C36" s="151"/>
      <c r="D36" s="28" t="s">
        <v>94</v>
      </c>
      <c r="E36" s="28" t="s">
        <v>25</v>
      </c>
      <c r="F36" s="28" t="s">
        <v>25</v>
      </c>
      <c r="G36" s="29" t="s">
        <v>84</v>
      </c>
      <c r="H36" s="29" t="s">
        <v>78</v>
      </c>
      <c r="I36" s="29">
        <f>'MERCADO TE'!$U$33</f>
        <v>0</v>
      </c>
      <c r="J36" s="15"/>
      <c r="L36" s="26">
        <f>'TE BE'!$L$36*'TE BE'!$L$50</f>
        <v>1.3276072517686684E-6</v>
      </c>
      <c r="M36" s="26">
        <f>'TE BE'!$M$36*'TE BE'!$M$50</f>
        <v>0</v>
      </c>
      <c r="N36" s="26">
        <f>'TE BE'!$N$36*'TE BE'!$N$50</f>
        <v>0</v>
      </c>
      <c r="O36" s="26">
        <f>'TE BE'!$O$36*'TE BE'!$O$50</f>
        <v>-3.7153476583987141E-2</v>
      </c>
      <c r="P36" s="26">
        <f>'TE BE'!$P$36*'TE BE'!$P$50</f>
        <v>0</v>
      </c>
      <c r="Q36" s="26">
        <f>SUM($L$36:$P$36)</f>
        <v>-3.7152148976735369E-2</v>
      </c>
      <c r="R36" s="26">
        <f>'TE BE'!$R$36*'TE BE'!$R$50</f>
        <v>1.2628451825899896</v>
      </c>
      <c r="S36" s="26">
        <f>SUM($R$36:$R$36)</f>
        <v>1.2628451825899896</v>
      </c>
      <c r="T36" s="26">
        <f>'TE BE'!$T$36*'TE BE'!$T$50</f>
        <v>0</v>
      </c>
      <c r="U36" s="26">
        <f>'TE BE'!$U$36*'TE BE'!$U$50</f>
        <v>0</v>
      </c>
      <c r="V36" s="26">
        <f>'TE BE'!$V$36*'TE BE'!$V$50</f>
        <v>0</v>
      </c>
      <c r="W36" s="26">
        <f>SUM($T$36:$V$36)</f>
        <v>0</v>
      </c>
      <c r="X36" s="26">
        <f>'TE BE'!$AB$36*'TE BE'!$X$50</f>
        <v>-11.725257552012819</v>
      </c>
      <c r="Y36" s="26">
        <f>SUM($X$36:$X$36)</f>
        <v>-11.725257552012819</v>
      </c>
      <c r="Z36" s="26">
        <f>'TE BE'!$Z$36*'TE BE'!$Z$50</f>
        <v>0</v>
      </c>
      <c r="AA36" s="26">
        <f>SUM($Z$36:$Z$36)</f>
        <v>0</v>
      </c>
      <c r="AB36" s="26">
        <f>SUMIF($L$4:$AA$4,"SUBTOTAL",$L$36:$AA$36)</f>
        <v>-10.499564518399565</v>
      </c>
    </row>
    <row r="37" spans="1:28" ht="11.25" customHeight="1" x14ac:dyDescent="0.3">
      <c r="A37" s="151" t="s">
        <v>32</v>
      </c>
      <c r="B37" s="151" t="s">
        <v>77</v>
      </c>
      <c r="C37" s="151" t="s">
        <v>25</v>
      </c>
      <c r="D37" s="151" t="s">
        <v>25</v>
      </c>
      <c r="E37" s="151" t="s">
        <v>25</v>
      </c>
      <c r="F37" s="151" t="s">
        <v>25</v>
      </c>
      <c r="G37" s="29" t="s">
        <v>79</v>
      </c>
      <c r="H37" s="29" t="s">
        <v>78</v>
      </c>
      <c r="I37" s="29">
        <f>'MERCADO TE'!$U$34</f>
        <v>4.4679999999999991</v>
      </c>
      <c r="J37" s="15"/>
      <c r="L37" s="26">
        <f>'TE BE'!$L$37*'TE BE'!$L$50</f>
        <v>1.3276072517686684E-6</v>
      </c>
      <c r="M37" s="26">
        <f>'TE BE'!$M$37*'TE BE'!$M$50</f>
        <v>0</v>
      </c>
      <c r="N37" s="26">
        <f>'TE BE'!$N$37*'TE BE'!$N$50</f>
        <v>0</v>
      </c>
      <c r="O37" s="26">
        <f>'TE BE'!$O$37*'TE BE'!$O$50</f>
        <v>-3.7153476583987141E-2</v>
      </c>
      <c r="P37" s="26">
        <f>'TE BE'!$P$37*'TE BE'!$P$50</f>
        <v>0</v>
      </c>
      <c r="Q37" s="26">
        <f>SUM($L$37:$P$37)</f>
        <v>-3.7152148976735369E-2</v>
      </c>
      <c r="R37" s="26">
        <f>'TE BE'!$R$37*'TE BE'!$R$50</f>
        <v>2.0491450132592277</v>
      </c>
      <c r="S37" s="26">
        <f>SUM($R$37:$R$37)</f>
        <v>2.0491450132592277</v>
      </c>
      <c r="T37" s="26">
        <f>'TE BE'!$T$37*'TE BE'!$T$50</f>
        <v>0</v>
      </c>
      <c r="U37" s="26">
        <f>'TE BE'!$U$37*'TE BE'!$U$50</f>
        <v>0</v>
      </c>
      <c r="V37" s="26">
        <f>'TE BE'!$V$37*'TE BE'!$V$50</f>
        <v>0</v>
      </c>
      <c r="W37" s="26">
        <f>SUM($T$37:$V$37)</f>
        <v>0</v>
      </c>
      <c r="X37" s="26">
        <f>'TE BE'!$AB$37*'TE BE'!$X$50</f>
        <v>-18.835009395888743</v>
      </c>
      <c r="Y37" s="26">
        <f>SUM($X$37:$X$37)</f>
        <v>-18.835009395888743</v>
      </c>
      <c r="Z37" s="26">
        <f>'TE BE'!$Z$37*'TE BE'!$Z$50</f>
        <v>0</v>
      </c>
      <c r="AA37" s="26">
        <f>SUM($Z$37:$Z$37)</f>
        <v>0</v>
      </c>
      <c r="AB37" s="26">
        <f>SUMIF($L$4:$AA$4,"SUBTOTAL",$L$37:$AA$37)</f>
        <v>-16.82301653160625</v>
      </c>
    </row>
    <row r="38" spans="1:28" ht="11.25" customHeight="1" x14ac:dyDescent="0.3">
      <c r="A38" s="151"/>
      <c r="B38" s="151"/>
      <c r="C38" s="151"/>
      <c r="D38" s="151"/>
      <c r="E38" s="151"/>
      <c r="F38" s="151"/>
      <c r="G38" s="29" t="s">
        <v>89</v>
      </c>
      <c r="H38" s="29" t="s">
        <v>78</v>
      </c>
      <c r="I38" s="29">
        <f>'MERCADO TE'!$U$35</f>
        <v>4.7860000000000005</v>
      </c>
      <c r="J38" s="15"/>
      <c r="L38" s="26">
        <f>'TE BE'!$L$38*'TE BE'!$L$50</f>
        <v>1.3276072517686684E-6</v>
      </c>
      <c r="M38" s="26">
        <f>'TE BE'!$M$38*'TE BE'!$M$50</f>
        <v>0</v>
      </c>
      <c r="N38" s="26">
        <f>'TE BE'!$N$38*'TE BE'!$N$50</f>
        <v>0</v>
      </c>
      <c r="O38" s="26">
        <f>'TE BE'!$O$38*'TE BE'!$O$50</f>
        <v>-3.7153476583987141E-2</v>
      </c>
      <c r="P38" s="26">
        <f>'TE BE'!$P$38*'TE BE'!$P$50</f>
        <v>0</v>
      </c>
      <c r="Q38" s="26">
        <f>SUM($L$38:$P$38)</f>
        <v>-3.7152148976735369E-2</v>
      </c>
      <c r="R38" s="26">
        <f>'TE BE'!$R$38*'TE BE'!$R$50</f>
        <v>1.1913633798018768</v>
      </c>
      <c r="S38" s="26">
        <f>SUM($R$38:$R$38)</f>
        <v>1.1913633798018768</v>
      </c>
      <c r="T38" s="26">
        <f>'TE BE'!$T$38*'TE BE'!$T$50</f>
        <v>0</v>
      </c>
      <c r="U38" s="26">
        <f>'TE BE'!$U$38*'TE BE'!$U$50</f>
        <v>0</v>
      </c>
      <c r="V38" s="26">
        <f>'TE BE'!$V$38*'TE BE'!$V$50</f>
        <v>0</v>
      </c>
      <c r="W38" s="26">
        <f>SUM($T$38:$V$38)</f>
        <v>0</v>
      </c>
      <c r="X38" s="26">
        <f>'TE BE'!$AB$38*'TE BE'!$X$50</f>
        <v>-11.078916475296824</v>
      </c>
      <c r="Y38" s="26">
        <f>SUM($X$38:$X$38)</f>
        <v>-11.078916475296824</v>
      </c>
      <c r="Z38" s="26">
        <f>'TE BE'!$Z$38*'TE BE'!$Z$50</f>
        <v>0</v>
      </c>
      <c r="AA38" s="26">
        <f>SUM($Z$38:$Z$38)</f>
        <v>0</v>
      </c>
      <c r="AB38" s="26">
        <f>SUMIF($L$4:$AA$4,"SUBTOTAL",$L$38:$AA$38)</f>
        <v>-9.9247052444716815</v>
      </c>
    </row>
    <row r="39" spans="1:28" ht="11.25" customHeight="1" x14ac:dyDescent="0.3">
      <c r="A39" s="151"/>
      <c r="B39" s="151"/>
      <c r="C39" s="151"/>
      <c r="D39" s="151"/>
      <c r="E39" s="151"/>
      <c r="F39" s="151"/>
      <c r="G39" s="29" t="s">
        <v>80</v>
      </c>
      <c r="H39" s="29" t="s">
        <v>78</v>
      </c>
      <c r="I39" s="29">
        <f>'MERCADO TE'!$U$36</f>
        <v>153.63399999999999</v>
      </c>
      <c r="J39" s="15"/>
      <c r="L39" s="26">
        <f>'TE BE'!$L$39*'TE BE'!$L$50</f>
        <v>1.3276072517686684E-6</v>
      </c>
      <c r="M39" s="26">
        <f>'TE BE'!$M$39*'TE BE'!$M$50</f>
        <v>0</v>
      </c>
      <c r="N39" s="26">
        <f>'TE BE'!$N$39*'TE BE'!$N$50</f>
        <v>0</v>
      </c>
      <c r="O39" s="26">
        <f>'TE BE'!$O$39*'TE BE'!$O$50</f>
        <v>-3.7153476583987141E-2</v>
      </c>
      <c r="P39" s="26">
        <f>'TE BE'!$P$39*'TE BE'!$P$50</f>
        <v>0</v>
      </c>
      <c r="Q39" s="26">
        <f>SUM($L$39:$P$39)</f>
        <v>-3.7152148976735369E-2</v>
      </c>
      <c r="R39" s="26">
        <f>'TE BE'!$R$39*'TE BE'!$R$50</f>
        <v>1.1913633798018768</v>
      </c>
      <c r="S39" s="26">
        <f>SUM($R$39:$R$39)</f>
        <v>1.1913633798018768</v>
      </c>
      <c r="T39" s="26">
        <f>'TE BE'!$T$39*'TE BE'!$T$50</f>
        <v>0</v>
      </c>
      <c r="U39" s="26">
        <f>'TE BE'!$U$39*'TE BE'!$U$50</f>
        <v>0</v>
      </c>
      <c r="V39" s="26">
        <f>'TE BE'!$V$39*'TE BE'!$V$50</f>
        <v>0</v>
      </c>
      <c r="W39" s="26">
        <f>SUM($T$39:$V$39)</f>
        <v>0</v>
      </c>
      <c r="X39" s="26">
        <f>'TE BE'!$AB$39*'TE BE'!$X$50</f>
        <v>-11.078916475296824</v>
      </c>
      <c r="Y39" s="26">
        <f>SUM($X$39:$X$39)</f>
        <v>-11.078916475296824</v>
      </c>
      <c r="Z39" s="26">
        <f>'TE BE'!$Z$39*'TE BE'!$Z$50</f>
        <v>0</v>
      </c>
      <c r="AA39" s="26">
        <f>SUM($Z$39:$Z$39)</f>
        <v>0</v>
      </c>
      <c r="AB39" s="26">
        <f>SUMIF($L$4:$AA$4,"SUBTOTAL",$L$39:$AA$39)</f>
        <v>-9.9247052444716815</v>
      </c>
    </row>
    <row r="40" spans="1:28" ht="11.25" customHeight="1" x14ac:dyDescent="0.3">
      <c r="A40" s="151"/>
      <c r="B40" s="28" t="s">
        <v>90</v>
      </c>
      <c r="C40" s="28" t="s">
        <v>25</v>
      </c>
      <c r="D40" s="28" t="s">
        <v>25</v>
      </c>
      <c r="E40" s="28" t="s">
        <v>25</v>
      </c>
      <c r="F40" s="28" t="s">
        <v>25</v>
      </c>
      <c r="G40" s="29" t="s">
        <v>84</v>
      </c>
      <c r="H40" s="29" t="s">
        <v>78</v>
      </c>
      <c r="I40" s="29">
        <f>'MERCADO TE'!$U$37</f>
        <v>6434.8159999999998</v>
      </c>
      <c r="J40" s="15"/>
      <c r="L40" s="26">
        <f>'TE BE'!$L$40*'TE BE'!$L$50</f>
        <v>1.3276072517686684E-6</v>
      </c>
      <c r="M40" s="26">
        <f>'TE BE'!$M$40*'TE BE'!$M$50</f>
        <v>0</v>
      </c>
      <c r="N40" s="26">
        <f>'TE BE'!$N$40*'TE BE'!$N$50</f>
        <v>0</v>
      </c>
      <c r="O40" s="26">
        <f>'TE BE'!$O$40*'TE BE'!$O$50</f>
        <v>-3.7153476583987141E-2</v>
      </c>
      <c r="P40" s="26">
        <f>'TE BE'!$P$40*'TE BE'!$P$50</f>
        <v>0</v>
      </c>
      <c r="Q40" s="26">
        <f>SUM($L$40:$P$40)</f>
        <v>-3.7152148976735369E-2</v>
      </c>
      <c r="R40" s="26">
        <f>'TE BE'!$R$40*'TE BE'!$R$50</f>
        <v>1.2628451825899896</v>
      </c>
      <c r="S40" s="26">
        <f>SUM($R$40:$R$40)</f>
        <v>1.2628451825899896</v>
      </c>
      <c r="T40" s="26">
        <f>'TE BE'!$T$40*'TE BE'!$T$50</f>
        <v>0</v>
      </c>
      <c r="U40" s="26">
        <f>'TE BE'!$U$40*'TE BE'!$U$50</f>
        <v>0</v>
      </c>
      <c r="V40" s="26">
        <f>'TE BE'!$V$40*'TE BE'!$V$50</f>
        <v>0</v>
      </c>
      <c r="W40" s="26">
        <f>SUM($T$40:$V$40)</f>
        <v>0</v>
      </c>
      <c r="X40" s="26">
        <f>'TE BE'!$AB$40*'TE BE'!$X$50</f>
        <v>-11.725257552012819</v>
      </c>
      <c r="Y40" s="26">
        <f>SUM($X$40:$X$40)</f>
        <v>-11.725257552012819</v>
      </c>
      <c r="Z40" s="26">
        <f>'TE BE'!$Z$40*'TE BE'!$Z$50</f>
        <v>0</v>
      </c>
      <c r="AA40" s="26">
        <f>SUM($Z$40:$Z$40)</f>
        <v>0</v>
      </c>
      <c r="AB40" s="26">
        <f>SUMIF($L$4:$AA$4,"SUBTOTAL",$L$40:$AA$40)</f>
        <v>-10.499564518399565</v>
      </c>
    </row>
    <row r="41" spans="1:28" ht="11.25" customHeight="1" x14ac:dyDescent="0.3">
      <c r="A41" s="151"/>
      <c r="B41" s="28" t="s">
        <v>91</v>
      </c>
      <c r="C41" s="28" t="s">
        <v>25</v>
      </c>
      <c r="D41" s="28" t="s">
        <v>25</v>
      </c>
      <c r="E41" s="28" t="s">
        <v>25</v>
      </c>
      <c r="F41" s="28" t="s">
        <v>25</v>
      </c>
      <c r="G41" s="29" t="s">
        <v>84</v>
      </c>
      <c r="H41" s="29" t="s">
        <v>78</v>
      </c>
      <c r="I41" s="29">
        <f>'MERCADO TE'!$U$38</f>
        <v>0</v>
      </c>
      <c r="J41" s="15"/>
      <c r="L41" s="26">
        <f>'TE BE'!$L$41*'TE BE'!$L$50</f>
        <v>1.3276072517686684E-6</v>
      </c>
      <c r="M41" s="26">
        <f>'TE BE'!$M$41*'TE BE'!$M$50</f>
        <v>0</v>
      </c>
      <c r="N41" s="26">
        <f>'TE BE'!$N$41*'TE BE'!$N$50</f>
        <v>0</v>
      </c>
      <c r="O41" s="26">
        <f>'TE BE'!$O$41*'TE BE'!$O$50</f>
        <v>-3.7153476583987141E-2</v>
      </c>
      <c r="P41" s="26">
        <f>'TE BE'!$P$41*'TE BE'!$P$50</f>
        <v>0</v>
      </c>
      <c r="Q41" s="26">
        <f>SUM($L$41:$P$41)</f>
        <v>-3.7152148976735369E-2</v>
      </c>
      <c r="R41" s="26">
        <f>'TE BE'!$R$41*'TE BE'!$R$50</f>
        <v>1.2628451825899896</v>
      </c>
      <c r="S41" s="26">
        <f>SUM($R$41:$R$41)</f>
        <v>1.2628451825899896</v>
      </c>
      <c r="T41" s="26">
        <f>'TE BE'!$T$41*'TE BE'!$T$50</f>
        <v>0</v>
      </c>
      <c r="U41" s="26">
        <f>'TE BE'!$U$41*'TE BE'!$U$50</f>
        <v>0</v>
      </c>
      <c r="V41" s="26">
        <f>'TE BE'!$V$41*'TE BE'!$V$50</f>
        <v>0</v>
      </c>
      <c r="W41" s="26">
        <f>SUM($T$41:$V$41)</f>
        <v>0</v>
      </c>
      <c r="X41" s="26">
        <f>'TE BE'!$AB$41*'TE BE'!$X$50</f>
        <v>-11.725257552012819</v>
      </c>
      <c r="Y41" s="26">
        <f>SUM($X$41:$X$41)</f>
        <v>-11.725257552012819</v>
      </c>
      <c r="Z41" s="26">
        <f>'TE BE'!$Z$41*'TE BE'!$Z$50</f>
        <v>0</v>
      </c>
      <c r="AA41" s="26">
        <f>SUM($Z$41:$Z$41)</f>
        <v>0</v>
      </c>
      <c r="AB41" s="26">
        <f>SUMIF($L$4:$AA$4,"SUBTOTAL",$L$41:$AA$41)</f>
        <v>-10.499564518399565</v>
      </c>
    </row>
    <row r="42" spans="1:28" ht="11.25" customHeight="1" x14ac:dyDescent="0.3">
      <c r="A42" s="151" t="s">
        <v>44</v>
      </c>
      <c r="B42" s="151" t="s">
        <v>90</v>
      </c>
      <c r="C42" s="151" t="s">
        <v>45</v>
      </c>
      <c r="D42" s="28" t="s">
        <v>46</v>
      </c>
      <c r="E42" s="28" t="s">
        <v>25</v>
      </c>
      <c r="F42" s="28" t="s">
        <v>25</v>
      </c>
      <c r="G42" s="29" t="s">
        <v>84</v>
      </c>
      <c r="H42" s="29" t="s">
        <v>78</v>
      </c>
      <c r="I42" s="29">
        <f>'MERCADO TE'!$U$39</f>
        <v>2415.7070000000003</v>
      </c>
      <c r="J42" s="15"/>
      <c r="L42" s="26">
        <f>'TE BE'!$L$42*'TE BE'!$L$50</f>
        <v>7.3018398847276769E-7</v>
      </c>
      <c r="M42" s="26">
        <f>'TE BE'!$M$42*'TE BE'!$M$50</f>
        <v>0</v>
      </c>
      <c r="N42" s="26">
        <f>'TE BE'!$N$42*'TE BE'!$N$50</f>
        <v>0</v>
      </c>
      <c r="O42" s="26">
        <f>'TE BE'!$O$42*'TE BE'!$O$50</f>
        <v>-2.0434412121192926E-2</v>
      </c>
      <c r="P42" s="26">
        <f>'TE BE'!$P$42*'TE BE'!$P$50</f>
        <v>0</v>
      </c>
      <c r="Q42" s="26">
        <f>SUM($L$42:$P$42)</f>
        <v>-2.0433681937204455E-2</v>
      </c>
      <c r="R42" s="26">
        <f>'TE BE'!$R$42*'TE BE'!$R$50</f>
        <v>0.69456485042449423</v>
      </c>
      <c r="S42" s="26">
        <f>SUM($R$42:$R$42)</f>
        <v>0.69456485042449423</v>
      </c>
      <c r="T42" s="26">
        <f>'TE BE'!$T$42*'TE BE'!$T$50</f>
        <v>0</v>
      </c>
      <c r="U42" s="26">
        <f>'TE BE'!$U$42*'TE BE'!$U$50</f>
        <v>0</v>
      </c>
      <c r="V42" s="26">
        <f>'TE BE'!$V$42*'TE BE'!$V$50</f>
        <v>0</v>
      </c>
      <c r="W42" s="26">
        <f>SUM($T$42:$V$42)</f>
        <v>0</v>
      </c>
      <c r="X42" s="26">
        <f>'TE BE'!$AB$42*'TE BE'!$X$50</f>
        <v>-6.4488916536070509</v>
      </c>
      <c r="Y42" s="26">
        <f>SUM($X$42:$X$42)</f>
        <v>-6.4488916536070509</v>
      </c>
      <c r="Z42" s="26">
        <f>'TE BE'!$Z$42*'TE BE'!$Z$50</f>
        <v>0</v>
      </c>
      <c r="AA42" s="26">
        <f>SUM($Z$42:$Z$42)</f>
        <v>0</v>
      </c>
      <c r="AB42" s="26">
        <f>SUMIF($L$4:$AA$4,"SUBTOTAL",$L$42:$AA$42)</f>
        <v>-5.7747604851197609</v>
      </c>
    </row>
    <row r="43" spans="1:28" ht="11.25" customHeight="1" x14ac:dyDescent="0.3">
      <c r="A43" s="151"/>
      <c r="B43" s="151"/>
      <c r="C43" s="151"/>
      <c r="D43" s="29" t="s">
        <v>95</v>
      </c>
      <c r="E43" s="29" t="s">
        <v>25</v>
      </c>
      <c r="F43" s="29" t="s">
        <v>25</v>
      </c>
      <c r="G43" s="29" t="s">
        <v>84</v>
      </c>
      <c r="H43" s="29" t="s">
        <v>78</v>
      </c>
      <c r="I43" s="29">
        <f>'MERCADO TE'!$U$40</f>
        <v>0</v>
      </c>
      <c r="J43" s="15"/>
      <c r="L43" s="26">
        <f>'TE BE'!$L$43*'TE BE'!$L$50</f>
        <v>7.9656435106120098E-7</v>
      </c>
      <c r="M43" s="26">
        <f>'TE BE'!$M$43*'TE BE'!$M$50</f>
        <v>0</v>
      </c>
      <c r="N43" s="26">
        <f>'TE BE'!$N$43*'TE BE'!$N$50</f>
        <v>0</v>
      </c>
      <c r="O43" s="26">
        <f>'TE BE'!$O$43*'TE BE'!$O$50</f>
        <v>-2.2292085950392285E-2</v>
      </c>
      <c r="P43" s="26">
        <f>'TE BE'!$P$43*'TE BE'!$P$50</f>
        <v>0</v>
      </c>
      <c r="Q43" s="26">
        <f>SUM($L$43:$P$43)</f>
        <v>-2.2291289386041226E-2</v>
      </c>
      <c r="R43" s="26">
        <f>'TE BE'!$R$43*'TE BE'!$R$50</f>
        <v>0.75770710955399367</v>
      </c>
      <c r="S43" s="26">
        <f>SUM($R$43:$R$43)</f>
        <v>0.75770710955399367</v>
      </c>
      <c r="T43" s="26">
        <f>'TE BE'!$T$43*'TE BE'!$T$50</f>
        <v>0</v>
      </c>
      <c r="U43" s="26">
        <f>'TE BE'!$U$43*'TE BE'!$U$50</f>
        <v>0</v>
      </c>
      <c r="V43" s="26">
        <f>'TE BE'!$V$43*'TE BE'!$V$50</f>
        <v>0</v>
      </c>
      <c r="W43" s="26">
        <f>SUM($T$43:$V$43)</f>
        <v>0</v>
      </c>
      <c r="X43" s="26">
        <f>'TE BE'!$AB$43*'TE BE'!$X$50</f>
        <v>-7.0351545312076906</v>
      </c>
      <c r="Y43" s="26">
        <f>SUM($X$43:$X$43)</f>
        <v>-7.0351545312076906</v>
      </c>
      <c r="Z43" s="26">
        <f>'TE BE'!$Z$43*'TE BE'!$Z$50</f>
        <v>0</v>
      </c>
      <c r="AA43" s="26">
        <f>SUM($Z$43:$Z$43)</f>
        <v>0</v>
      </c>
      <c r="AB43" s="26">
        <f>SUMIF($L$4:$AA$4,"SUBTOTAL",$L$43:$AA$43)</f>
        <v>-6.2997387110397378</v>
      </c>
    </row>
    <row r="45" spans="1:28" ht="11.25" customHeight="1" x14ac:dyDescent="0.3">
      <c r="K45" s="31" t="s">
        <v>610</v>
      </c>
      <c r="L45" s="26">
        <f t="shared" ref="L45:AB45" si="0">SUMPRODUCT($I$5:$I$43,L$5:L$43)</f>
        <v>3.53414010892555E-2</v>
      </c>
      <c r="M45" s="26">
        <f t="shared" si="0"/>
        <v>0</v>
      </c>
      <c r="N45" s="26">
        <f t="shared" si="0"/>
        <v>0</v>
      </c>
      <c r="O45" s="26">
        <f t="shared" si="0"/>
        <v>-989.03942869072841</v>
      </c>
      <c r="P45" s="26">
        <f t="shared" si="0"/>
        <v>0</v>
      </c>
      <c r="Q45" s="26">
        <f t="shared" si="0"/>
        <v>-989.00408728963885</v>
      </c>
      <c r="R45" s="26">
        <f t="shared" si="0"/>
        <v>33591.423936014631</v>
      </c>
      <c r="S45" s="26">
        <f t="shared" si="0"/>
        <v>33591.423936014631</v>
      </c>
      <c r="T45" s="26">
        <f t="shared" si="0"/>
        <v>0</v>
      </c>
      <c r="U45" s="26">
        <f t="shared" si="0"/>
        <v>0</v>
      </c>
      <c r="V45" s="26">
        <f t="shared" si="0"/>
        <v>0</v>
      </c>
      <c r="W45" s="26">
        <f t="shared" si="0"/>
        <v>0</v>
      </c>
      <c r="X45" s="26">
        <f t="shared" si="0"/>
        <v>-311895.76460246753</v>
      </c>
      <c r="Y45" s="26">
        <f t="shared" si="0"/>
        <v>-311895.76460246753</v>
      </c>
      <c r="Z45" s="26">
        <f t="shared" si="0"/>
        <v>0</v>
      </c>
      <c r="AA45" s="26">
        <f t="shared" si="0"/>
        <v>0</v>
      </c>
      <c r="AB45" s="26">
        <f t="shared" si="0"/>
        <v>-279293.34475374251</v>
      </c>
    </row>
    <row r="46" spans="1:28" ht="11.25" customHeight="1" x14ac:dyDescent="0.3">
      <c r="K46" s="31" t="s">
        <v>529</v>
      </c>
      <c r="L46" s="26">
        <f>CUSTOS!$D$30</f>
        <v>82257.56100855222</v>
      </c>
      <c r="M46" s="26">
        <f>CUSTOS!$D$31</f>
        <v>0</v>
      </c>
      <c r="N46" s="26">
        <f>CUSTOS!$D$32</f>
        <v>0</v>
      </c>
      <c r="O46" s="26">
        <f>CUSTOS!$D$33</f>
        <v>125479.99392871892</v>
      </c>
      <c r="P46" s="26">
        <f>CUSTOS!$D$34</f>
        <v>0</v>
      </c>
      <c r="Q46" s="26">
        <f>CUSTOS!$D$35</f>
        <v>207737.55493727114</v>
      </c>
      <c r="R46" s="26">
        <f>CUSTOS!$D$36</f>
        <v>7731659.0407707803</v>
      </c>
      <c r="S46" s="26">
        <f>CUSTOS!$D$37</f>
        <v>7731659.0407707803</v>
      </c>
      <c r="T46" s="26">
        <f>CUSTOS!$D$38</f>
        <v>0</v>
      </c>
      <c r="U46" s="26">
        <f>CUSTOS!$D$39</f>
        <v>0</v>
      </c>
      <c r="V46" s="26">
        <f>CUSTOS!$D$40</f>
        <v>0</v>
      </c>
      <c r="W46" s="26">
        <f>CUSTOS!$D$41</f>
        <v>0</v>
      </c>
      <c r="X46" s="26">
        <f>CUSTOS!$D$42</f>
        <v>0</v>
      </c>
      <c r="Y46" s="26">
        <f>CUSTOS!$D$43</f>
        <v>0</v>
      </c>
      <c r="Z46" s="26">
        <f>CUSTOS!$D$44</f>
        <v>0</v>
      </c>
      <c r="AA46" s="26">
        <f>CUSTOS!$D$45</f>
        <v>0</v>
      </c>
      <c r="AB46" s="26">
        <f>CUSTOS!$D$46</f>
        <v>7939396.5957080517</v>
      </c>
    </row>
    <row r="47" spans="1:28" ht="11.25" customHeight="1" x14ac:dyDescent="0.3">
      <c r="K47" s="31" t="s">
        <v>530</v>
      </c>
      <c r="L47" s="26">
        <f>CUSTOS!$E$30</f>
        <v>3.53414010892555E-2</v>
      </c>
      <c r="M47" s="26">
        <f>CUSTOS!$E$31</f>
        <v>0</v>
      </c>
      <c r="N47" s="26">
        <f>CUSTOS!$E$32</f>
        <v>0</v>
      </c>
      <c r="O47" s="26">
        <f>CUSTOS!$E$33</f>
        <v>-989.03942869072853</v>
      </c>
      <c r="P47" s="26">
        <f>CUSTOS!$E$34</f>
        <v>0</v>
      </c>
      <c r="Q47" s="26">
        <f>CUSTOS!$E$35</f>
        <v>-989.0040872896393</v>
      </c>
      <c r="R47" s="26">
        <f>CUSTOS!$E$36</f>
        <v>33591.423936014617</v>
      </c>
      <c r="S47" s="26">
        <f>CUSTOS!$E$37</f>
        <v>33591.423936014617</v>
      </c>
      <c r="T47" s="26">
        <f>CUSTOS!$E$38</f>
        <v>0</v>
      </c>
      <c r="U47" s="26">
        <f>CUSTOS!$E$39</f>
        <v>0</v>
      </c>
      <c r="V47" s="26">
        <f>CUSTOS!$E$40</f>
        <v>0</v>
      </c>
      <c r="W47" s="26">
        <f>CUSTOS!$E$41</f>
        <v>0</v>
      </c>
      <c r="X47" s="26">
        <f>CUSTOS!$E$42</f>
        <v>-311895.76460246748</v>
      </c>
      <c r="Y47" s="26">
        <f>CUSTOS!$E$43</f>
        <v>-311895.76460246748</v>
      </c>
      <c r="Z47" s="26">
        <f>CUSTOS!$E$44</f>
        <v>0</v>
      </c>
      <c r="AA47" s="26">
        <f>CUSTOS!$E$45</f>
        <v>0</v>
      </c>
      <c r="AB47" s="26">
        <f>CUSTOS!$E$46</f>
        <v>-279293.34475374251</v>
      </c>
    </row>
    <row r="48" spans="1:28" ht="11.25" customHeight="1" x14ac:dyDescent="0.3">
      <c r="K48" s="31" t="s">
        <v>531</v>
      </c>
      <c r="L48" s="26">
        <f>CUSTOS!$F$30</f>
        <v>0</v>
      </c>
      <c r="M48" s="26">
        <f>CUSTOS!$F$31</f>
        <v>0</v>
      </c>
      <c r="N48" s="26">
        <f>CUSTOS!$F$32</f>
        <v>0</v>
      </c>
      <c r="O48" s="26">
        <f>CUSTOS!$F$33</f>
        <v>11069.956111878282</v>
      </c>
      <c r="P48" s="26">
        <f>CUSTOS!$F$34</f>
        <v>0</v>
      </c>
      <c r="Q48" s="26">
        <f>CUSTOS!$F$35</f>
        <v>11069.956111878282</v>
      </c>
      <c r="R48" s="26">
        <f>CUSTOS!$F$36</f>
        <v>-32509.338756552352</v>
      </c>
      <c r="S48" s="26">
        <f>CUSTOS!$F$37</f>
        <v>-32509.338756552352</v>
      </c>
      <c r="T48" s="26">
        <f>CUSTOS!$F$38</f>
        <v>0</v>
      </c>
      <c r="U48" s="26">
        <f>CUSTOS!$F$39</f>
        <v>0</v>
      </c>
      <c r="V48" s="26">
        <f>CUSTOS!$F$40</f>
        <v>0</v>
      </c>
      <c r="W48" s="26">
        <f>CUSTOS!$F$41</f>
        <v>0</v>
      </c>
      <c r="X48" s="26">
        <f>CUSTOS!$F$42</f>
        <v>0</v>
      </c>
      <c r="Y48" s="26">
        <f>CUSTOS!$F$43</f>
        <v>0</v>
      </c>
      <c r="Z48" s="26">
        <f>CUSTOS!$F$44</f>
        <v>0</v>
      </c>
      <c r="AA48" s="26">
        <f>CUSTOS!$F$45</f>
        <v>0</v>
      </c>
      <c r="AB48" s="26">
        <f>CUSTOS!$F$46</f>
        <v>-21439.382644674071</v>
      </c>
    </row>
    <row r="49" spans="11:28" ht="11.25" customHeight="1" x14ac:dyDescent="0.3">
      <c r="K49" s="31" t="s">
        <v>611</v>
      </c>
      <c r="L49" s="26">
        <f>'TR TE'!$L$49*L50</f>
        <v>0</v>
      </c>
      <c r="M49" s="26">
        <f>'TR TE'!$M$49*M50</f>
        <v>0</v>
      </c>
      <c r="N49" s="26">
        <f>'TR TE'!$N$49*N50</f>
        <v>0</v>
      </c>
      <c r="O49" s="26">
        <f>'TR TE'!$O$49*O50</f>
        <v>0.41584525677898349</v>
      </c>
      <c r="P49" s="26">
        <f>'TR TE'!$P$49*P50</f>
        <v>0</v>
      </c>
      <c r="Q49" s="26"/>
      <c r="R49" s="26">
        <f>'TR TE'!$R$49*R50</f>
        <v>-1.1982986320755074</v>
      </c>
      <c r="S49" s="26"/>
      <c r="T49" s="26">
        <f>'TR TE'!$T$49*T50</f>
        <v>0</v>
      </c>
      <c r="U49" s="26">
        <f>'TR TE'!$U$49*U50</f>
        <v>0</v>
      </c>
      <c r="V49" s="26">
        <f>'TR TE'!$V$49*V50</f>
        <v>0</v>
      </c>
      <c r="W49" s="26"/>
      <c r="X49" s="26"/>
      <c r="Y49" s="26"/>
      <c r="Z49" s="26">
        <f>'TR TE'!$Z$49*Z50</f>
        <v>0</v>
      </c>
      <c r="AA49" s="26"/>
      <c r="AB49" s="26"/>
    </row>
    <row r="50" spans="11:28" ht="11.25" customHeight="1" x14ac:dyDescent="0.3">
      <c r="K50" s="31" t="s">
        <v>606</v>
      </c>
      <c r="L50" s="26">
        <f>IF(L46&lt;&gt;0,L48/L46,0)</f>
        <v>0</v>
      </c>
      <c r="M50" s="26">
        <f>IF(M46&lt;&gt;0,M48/M46,0)</f>
        <v>0</v>
      </c>
      <c r="N50" s="26">
        <f>IF(N46&lt;&gt;0,N48/N46,0)</f>
        <v>0</v>
      </c>
      <c r="O50" s="26">
        <f>IF(O46&lt;&gt;0,O48/O46,0)</f>
        <v>8.8220884981607212E-2</v>
      </c>
      <c r="P50" s="26">
        <f>IF(P46&lt;&gt;0,P48/P46,0)</f>
        <v>0</v>
      </c>
      <c r="Q50" s="26"/>
      <c r="R50" s="26">
        <f>IF(R46&lt;&gt;0,R48/R46,0)</f>
        <v>-4.2047041372522097E-3</v>
      </c>
      <c r="S50" s="26"/>
      <c r="T50" s="26">
        <f>IF(T46&lt;&gt;0,T48/T46,0)</f>
        <v>0</v>
      </c>
      <c r="U50" s="26">
        <f>IF(U46&lt;&gt;0,U48/U46,0)</f>
        <v>0</v>
      </c>
      <c r="V50" s="26">
        <f>IF(V46&lt;&gt;0,V48/V46,0)</f>
        <v>0</v>
      </c>
      <c r="W50" s="26"/>
      <c r="X50" s="26">
        <f>IF($AB46&lt;&gt;0,X48/($AB46-SUM('TR TE'!$L49:'TR TE'!$AA49)*0),0)</f>
        <v>0</v>
      </c>
      <c r="Y50" s="26"/>
      <c r="Z50" s="26">
        <f>IF(Z46&lt;&gt;0,Z48/Z46,0)</f>
        <v>0</v>
      </c>
      <c r="AA50" s="26"/>
      <c r="AB50" s="26"/>
    </row>
    <row r="51" spans="11:28" ht="11.25" customHeight="1" x14ac:dyDescent="0.3"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</row>
  </sheetData>
  <mergeCells count="67">
    <mergeCell ref="E37:E39"/>
    <mergeCell ref="F37:F39"/>
    <mergeCell ref="A42:A43"/>
    <mergeCell ref="B42:B43"/>
    <mergeCell ref="C42:C43"/>
    <mergeCell ref="D37:D39"/>
    <mergeCell ref="B34:B36"/>
    <mergeCell ref="C34:C36"/>
    <mergeCell ref="A37:A41"/>
    <mergeCell ref="B37:B39"/>
    <mergeCell ref="C37:C39"/>
    <mergeCell ref="A22:A36"/>
    <mergeCell ref="B22:B24"/>
    <mergeCell ref="C22:C24"/>
    <mergeCell ref="B30:B32"/>
    <mergeCell ref="C30:C32"/>
    <mergeCell ref="B26:B28"/>
    <mergeCell ref="C26:C28"/>
    <mergeCell ref="D30:D32"/>
    <mergeCell ref="E30:E32"/>
    <mergeCell ref="F30:F32"/>
    <mergeCell ref="D22:D24"/>
    <mergeCell ref="E22:E24"/>
    <mergeCell ref="F22:F24"/>
    <mergeCell ref="D26:D28"/>
    <mergeCell ref="E26:E28"/>
    <mergeCell ref="F26:F28"/>
    <mergeCell ref="A9:A21"/>
    <mergeCell ref="B9:B11"/>
    <mergeCell ref="C9:C11"/>
    <mergeCell ref="D9:D11"/>
    <mergeCell ref="E9:E11"/>
    <mergeCell ref="F9:F11"/>
    <mergeCell ref="B12:B16"/>
    <mergeCell ref="C12:C16"/>
    <mergeCell ref="B17:B21"/>
    <mergeCell ref="C17:C21"/>
    <mergeCell ref="A7:A8"/>
    <mergeCell ref="B7:B8"/>
    <mergeCell ref="C7:C8"/>
    <mergeCell ref="D7:D8"/>
    <mergeCell ref="E7:E8"/>
    <mergeCell ref="F7:F8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5">
    <cfRule type="cellIs" dxfId="980" priority="33" operator="notEqual">
      <formula>$L$47</formula>
    </cfRule>
    <cfRule type="cellIs" dxfId="979" priority="34" operator="equal">
      <formula>$L$47</formula>
    </cfRule>
  </conditionalFormatting>
  <conditionalFormatting sqref="M45">
    <cfRule type="cellIs" dxfId="978" priority="31" operator="notEqual">
      <formula>$M$47</formula>
    </cfRule>
    <cfRule type="cellIs" dxfId="977" priority="32" operator="equal">
      <formula>$M$47</formula>
    </cfRule>
  </conditionalFormatting>
  <conditionalFormatting sqref="N45">
    <cfRule type="cellIs" dxfId="976" priority="29" operator="notEqual">
      <formula>$N$47</formula>
    </cfRule>
    <cfRule type="cellIs" dxfId="975" priority="30" operator="equal">
      <formula>$N$47</formula>
    </cfRule>
  </conditionalFormatting>
  <conditionalFormatting sqref="O45">
    <cfRule type="cellIs" dxfId="974" priority="27" operator="notEqual">
      <formula>$O$47</formula>
    </cfRule>
    <cfRule type="cellIs" dxfId="973" priority="28" operator="equal">
      <formula>$O$47</formula>
    </cfRule>
  </conditionalFormatting>
  <conditionalFormatting sqref="P45">
    <cfRule type="cellIs" dxfId="972" priority="25" operator="notEqual">
      <formula>$P$47</formula>
    </cfRule>
    <cfRule type="cellIs" dxfId="971" priority="26" operator="equal">
      <formula>$P$47</formula>
    </cfRule>
  </conditionalFormatting>
  <conditionalFormatting sqref="Q45">
    <cfRule type="cellIs" dxfId="970" priority="23" operator="notEqual">
      <formula>$Q$47</formula>
    </cfRule>
    <cfRule type="cellIs" dxfId="969" priority="24" operator="equal">
      <formula>$Q$47</formula>
    </cfRule>
  </conditionalFormatting>
  <conditionalFormatting sqref="R45">
    <cfRule type="cellIs" dxfId="968" priority="21" operator="notEqual">
      <formula>$R$47</formula>
    </cfRule>
    <cfRule type="cellIs" dxfId="967" priority="22" operator="equal">
      <formula>$R$47</formula>
    </cfRule>
  </conditionalFormatting>
  <conditionalFormatting sqref="S45">
    <cfRule type="cellIs" dxfId="966" priority="19" operator="notEqual">
      <formula>$S$47</formula>
    </cfRule>
    <cfRule type="cellIs" dxfId="965" priority="20" operator="equal">
      <formula>$S$47</formula>
    </cfRule>
  </conditionalFormatting>
  <conditionalFormatting sqref="T45">
    <cfRule type="cellIs" dxfId="964" priority="17" operator="notEqual">
      <formula>$T$47</formula>
    </cfRule>
    <cfRule type="cellIs" dxfId="963" priority="18" operator="equal">
      <formula>$T$47</formula>
    </cfRule>
  </conditionalFormatting>
  <conditionalFormatting sqref="U45">
    <cfRule type="cellIs" dxfId="962" priority="15" operator="notEqual">
      <formula>$U$47</formula>
    </cfRule>
    <cfRule type="cellIs" dxfId="961" priority="16" operator="equal">
      <formula>$U$47</formula>
    </cfRule>
  </conditionalFormatting>
  <conditionalFormatting sqref="V45">
    <cfRule type="cellIs" dxfId="960" priority="13" operator="notEqual">
      <formula>$V$47</formula>
    </cfRule>
    <cfRule type="cellIs" dxfId="959" priority="14" operator="equal">
      <formula>$V$47</formula>
    </cfRule>
  </conditionalFormatting>
  <conditionalFormatting sqref="W45">
    <cfRule type="cellIs" dxfId="958" priority="11" operator="notEqual">
      <formula>$W$47</formula>
    </cfRule>
    <cfRule type="cellIs" dxfId="957" priority="12" operator="equal">
      <formula>$W$47</formula>
    </cfRule>
  </conditionalFormatting>
  <conditionalFormatting sqref="X45">
    <cfRule type="cellIs" dxfId="956" priority="9" operator="notEqual">
      <formula>$X$47</formula>
    </cfRule>
    <cfRule type="cellIs" dxfId="955" priority="10" operator="equal">
      <formula>$X$47</formula>
    </cfRule>
  </conditionalFormatting>
  <conditionalFormatting sqref="Y45">
    <cfRule type="cellIs" dxfId="954" priority="7" operator="notEqual">
      <formula>$Y$47</formula>
    </cfRule>
    <cfRule type="cellIs" dxfId="953" priority="8" operator="equal">
      <formula>$Y$47</formula>
    </cfRule>
  </conditionalFormatting>
  <conditionalFormatting sqref="Z45">
    <cfRule type="cellIs" dxfId="952" priority="5" operator="notEqual">
      <formula>$Z$47</formula>
    </cfRule>
    <cfRule type="cellIs" dxfId="951" priority="6" operator="equal">
      <formula>$Z$47</formula>
    </cfRule>
  </conditionalFormatting>
  <conditionalFormatting sqref="AA45">
    <cfRule type="cellIs" dxfId="950" priority="3" operator="notEqual">
      <formula>$AA$47</formula>
    </cfRule>
    <cfRule type="cellIs" dxfId="949" priority="4" operator="equal">
      <formula>$AA$47</formula>
    </cfRule>
  </conditionalFormatting>
  <conditionalFormatting sqref="AB45">
    <cfRule type="cellIs" dxfId="948" priority="1" operator="notEqual">
      <formula>$AB$47</formula>
    </cfRule>
    <cfRule type="cellIs" dxfId="947" priority="2" operator="equal">
      <formula>$AB$47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EECB4-8B7F-494A-A5DB-6FE41C3EC1AB}">
  <dimension ref="A1:AB51"/>
  <sheetViews>
    <sheetView showGridLines="0" topLeftCell="I28" workbookViewId="0">
      <selection activeCell="AB45" sqref="AB45"/>
    </sheetView>
  </sheetViews>
  <sheetFormatPr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9" width="7.109375" style="9" bestFit="1" customWidth="1"/>
    <col min="10" max="10" width="8.88671875" style="9"/>
    <col min="11" max="11" width="14.109375" style="9" bestFit="1" customWidth="1"/>
    <col min="12" max="14" width="7.109375" style="9" bestFit="1" customWidth="1"/>
    <col min="15" max="15" width="10.33203125" style="9" bestFit="1" customWidth="1"/>
    <col min="16" max="16" width="7.6640625" style="9" bestFit="1" customWidth="1"/>
    <col min="17" max="17" width="8.5546875" style="9" bestFit="1" customWidth="1"/>
    <col min="18" max="18" width="14.44140625" style="9" bestFit="1" customWidth="1"/>
    <col min="19" max="19" width="9.109375" style="9" bestFit="1" customWidth="1"/>
    <col min="20" max="20" width="7.109375" style="9" bestFit="1" customWidth="1"/>
    <col min="21" max="21" width="9.77734375" style="9" bestFit="1" customWidth="1"/>
    <col min="22" max="22" width="7.109375" style="9" bestFit="1" customWidth="1"/>
    <col min="23" max="23" width="8.5546875" style="9" bestFit="1" customWidth="1"/>
    <col min="24" max="24" width="8.33203125" style="9" bestFit="1" customWidth="1"/>
    <col min="25" max="25" width="8.5546875" style="9" bestFit="1" customWidth="1"/>
    <col min="26" max="26" width="10.5546875" style="9" bestFit="1" customWidth="1"/>
    <col min="27" max="27" width="8.5546875" style="9" bestFit="1" customWidth="1"/>
    <col min="28" max="28" width="9.109375" style="9" bestFit="1" customWidth="1"/>
    <col min="29" max="16384" width="8.88671875" style="9"/>
  </cols>
  <sheetData>
    <row r="1" spans="1:28" ht="11.25" customHeight="1" x14ac:dyDescent="0.3">
      <c r="A1" s="152" t="s">
        <v>68</v>
      </c>
      <c r="B1" s="152" t="s">
        <v>69</v>
      </c>
      <c r="C1" s="152" t="s">
        <v>70</v>
      </c>
      <c r="D1" s="152" t="s">
        <v>71</v>
      </c>
      <c r="E1" s="152" t="s">
        <v>72</v>
      </c>
      <c r="F1" s="152" t="s">
        <v>15</v>
      </c>
      <c r="G1" s="152" t="s">
        <v>74</v>
      </c>
      <c r="H1" s="152" t="s">
        <v>75</v>
      </c>
      <c r="I1" s="152" t="s">
        <v>588</v>
      </c>
      <c r="J1" s="134"/>
      <c r="L1" s="153" t="s">
        <v>616</v>
      </c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153"/>
      <c r="AB1" s="153"/>
    </row>
    <row r="2" spans="1:28" ht="11.25" customHeight="1" x14ac:dyDescent="0.3">
      <c r="A2" s="152"/>
      <c r="B2" s="152"/>
      <c r="C2" s="152"/>
      <c r="D2" s="152"/>
      <c r="E2" s="152"/>
      <c r="F2" s="152"/>
      <c r="G2" s="152"/>
      <c r="H2" s="152"/>
      <c r="I2" s="152"/>
      <c r="J2" s="134"/>
      <c r="L2" s="153" t="s">
        <v>515</v>
      </c>
      <c r="M2" s="153"/>
      <c r="N2" s="153"/>
      <c r="O2" s="153"/>
      <c r="P2" s="153"/>
      <c r="Q2" s="153"/>
      <c r="R2" s="153"/>
      <c r="S2" s="153"/>
      <c r="T2" s="153"/>
      <c r="U2" s="153"/>
      <c r="V2" s="153"/>
      <c r="W2" s="153"/>
      <c r="X2" s="153"/>
      <c r="Y2" s="153"/>
      <c r="Z2" s="153"/>
      <c r="AA2" s="153"/>
      <c r="AB2" s="153"/>
    </row>
    <row r="3" spans="1:28" ht="11.25" customHeight="1" x14ac:dyDescent="0.3">
      <c r="A3" s="152"/>
      <c r="B3" s="152"/>
      <c r="C3" s="152"/>
      <c r="D3" s="152"/>
      <c r="E3" s="152"/>
      <c r="F3" s="152"/>
      <c r="G3" s="152"/>
      <c r="H3" s="152"/>
      <c r="I3" s="152"/>
      <c r="J3" s="134"/>
      <c r="L3" s="153" t="s">
        <v>488</v>
      </c>
      <c r="M3" s="153"/>
      <c r="N3" s="153"/>
      <c r="O3" s="153"/>
      <c r="P3" s="153"/>
      <c r="Q3" s="153"/>
      <c r="R3" s="153" t="s">
        <v>519</v>
      </c>
      <c r="S3" s="153"/>
      <c r="T3" s="153" t="s">
        <v>497</v>
      </c>
      <c r="U3" s="153"/>
      <c r="V3" s="153"/>
      <c r="W3" s="153"/>
      <c r="X3" s="153" t="s">
        <v>507</v>
      </c>
      <c r="Y3" s="153"/>
      <c r="Z3" s="153" t="s">
        <v>510</v>
      </c>
      <c r="AA3" s="153"/>
      <c r="AB3" s="153" t="s">
        <v>496</v>
      </c>
    </row>
    <row r="4" spans="1:28" ht="11.25" customHeight="1" x14ac:dyDescent="0.3">
      <c r="A4" s="152"/>
      <c r="B4" s="152"/>
      <c r="C4" s="152"/>
      <c r="D4" s="152"/>
      <c r="E4" s="152"/>
      <c r="F4" s="152"/>
      <c r="G4" s="152"/>
      <c r="H4" s="152"/>
      <c r="I4" s="152"/>
      <c r="J4" s="134"/>
      <c r="L4" s="30" t="s">
        <v>490</v>
      </c>
      <c r="M4" s="30" t="s">
        <v>516</v>
      </c>
      <c r="N4" s="30" t="s">
        <v>517</v>
      </c>
      <c r="O4" s="30" t="s">
        <v>576</v>
      </c>
      <c r="P4" s="30" t="s">
        <v>518</v>
      </c>
      <c r="Q4" s="30" t="s">
        <v>496</v>
      </c>
      <c r="R4" s="30" t="s">
        <v>520</v>
      </c>
      <c r="S4" s="30" t="s">
        <v>496</v>
      </c>
      <c r="T4" s="30" t="s">
        <v>521</v>
      </c>
      <c r="U4" s="30" t="s">
        <v>522</v>
      </c>
      <c r="V4" s="30" t="s">
        <v>523</v>
      </c>
      <c r="W4" s="30" t="s">
        <v>496</v>
      </c>
      <c r="X4" s="30" t="s">
        <v>508</v>
      </c>
      <c r="Y4" s="30" t="s">
        <v>496</v>
      </c>
      <c r="Z4" s="30" t="s">
        <v>524</v>
      </c>
      <c r="AA4" s="30" t="s">
        <v>496</v>
      </c>
      <c r="AB4" s="154"/>
    </row>
    <row r="5" spans="1:28" ht="11.25" customHeight="1" x14ac:dyDescent="0.3">
      <c r="A5" s="151" t="s">
        <v>61</v>
      </c>
      <c r="B5" s="151" t="s">
        <v>77</v>
      </c>
      <c r="C5" s="151" t="s">
        <v>25</v>
      </c>
      <c r="D5" s="151" t="s">
        <v>25</v>
      </c>
      <c r="E5" s="151" t="s">
        <v>25</v>
      </c>
      <c r="F5" s="151" t="s">
        <v>25</v>
      </c>
      <c r="G5" s="29" t="s">
        <v>79</v>
      </c>
      <c r="H5" s="29" t="s">
        <v>78</v>
      </c>
      <c r="I5" s="29">
        <f>'MERCADO TE'!$U$2</f>
        <v>0</v>
      </c>
      <c r="J5" s="15"/>
      <c r="L5" s="26">
        <f>'TE BE'!$L$5*'TE BF'!$L$50</f>
        <v>0</v>
      </c>
      <c r="M5" s="26">
        <f>'TE BE'!$M$5*'TE BF'!$M$50</f>
        <v>0</v>
      </c>
      <c r="N5" s="26">
        <f>'TE BE'!$N$5*'TE BF'!$N$50</f>
        <v>0</v>
      </c>
      <c r="O5" s="26">
        <f>'TE BE'!$O$5*'TE BF'!$O$50</f>
        <v>0.41584525677898349</v>
      </c>
      <c r="P5" s="26">
        <f>'TE BE'!$P$5*'TE BF'!$P$50</f>
        <v>0</v>
      </c>
      <c r="Q5" s="26">
        <f>SUM($L$5:$P$5)</f>
        <v>0.41584525677898349</v>
      </c>
      <c r="R5" s="26">
        <f>'TE BE'!$R$5*'TE BF'!$R$50</f>
        <v>-1.9831356218847969</v>
      </c>
      <c r="S5" s="26">
        <f>SUM($R$5:$R$5)</f>
        <v>-1.9831356218847969</v>
      </c>
      <c r="T5" s="26">
        <f>'TE BE'!$T$5*'TE BF'!$T$50</f>
        <v>0</v>
      </c>
      <c r="U5" s="26">
        <f>'TE BE'!$U$5*'TE BF'!$U$50</f>
        <v>0</v>
      </c>
      <c r="V5" s="26">
        <f>'TE BE'!$V$5*'TE BF'!$V$50</f>
        <v>0</v>
      </c>
      <c r="W5" s="26">
        <f>SUM($T$5:$V$5)</f>
        <v>0</v>
      </c>
      <c r="X5" s="26">
        <f>'TE BE'!$AB$5*'TE BF'!$X$50</f>
        <v>0</v>
      </c>
      <c r="Y5" s="26">
        <f>SUM($X$5:$X$5)</f>
        <v>0</v>
      </c>
      <c r="Z5" s="26">
        <f>'TE BE'!$Z$5*'TE BF'!$Z$50</f>
        <v>0</v>
      </c>
      <c r="AA5" s="26">
        <f>SUM($Z$5:$Z$5)</f>
        <v>0</v>
      </c>
      <c r="AB5" s="26">
        <f>SUMIF($L$4:$AA$4,"SUBTOTAL",$L$5:$AA$5)</f>
        <v>-1.5672903651058134</v>
      </c>
    </row>
    <row r="6" spans="1:28" ht="11.25" customHeight="1" x14ac:dyDescent="0.3">
      <c r="A6" s="151"/>
      <c r="B6" s="151"/>
      <c r="C6" s="151"/>
      <c r="D6" s="151"/>
      <c r="E6" s="151"/>
      <c r="F6" s="151"/>
      <c r="G6" s="29" t="s">
        <v>80</v>
      </c>
      <c r="H6" s="29" t="s">
        <v>78</v>
      </c>
      <c r="I6" s="29">
        <f>'MERCADO TE'!$U$3</f>
        <v>0</v>
      </c>
      <c r="J6" s="15"/>
      <c r="L6" s="26">
        <f>'TE BE'!$L$6*'TE BF'!$L$50</f>
        <v>0</v>
      </c>
      <c r="M6" s="26">
        <f>'TE BE'!$M$6*'TE BF'!$M$50</f>
        <v>0</v>
      </c>
      <c r="N6" s="26">
        <f>'TE BE'!$N$6*'TE BF'!$N$50</f>
        <v>0</v>
      </c>
      <c r="O6" s="26">
        <f>'TE BE'!$O$6*'TE BF'!$O$50</f>
        <v>0.41584525677898349</v>
      </c>
      <c r="P6" s="26">
        <f>'TE BE'!$P$6*'TE BF'!$P$50</f>
        <v>0</v>
      </c>
      <c r="Q6" s="26">
        <f>SUM($L$6:$P$6)</f>
        <v>0.41584525677898349</v>
      </c>
      <c r="R6" s="26">
        <f>'TE BE'!$R$6*'TE BF'!$R$50</f>
        <v>-1.1529858266772075</v>
      </c>
      <c r="S6" s="26">
        <f>SUM($R$6:$R$6)</f>
        <v>-1.1529858266772075</v>
      </c>
      <c r="T6" s="26">
        <f>'TE BE'!$T$6*'TE BF'!$T$50</f>
        <v>0</v>
      </c>
      <c r="U6" s="26">
        <f>'TE BE'!$U$6*'TE BF'!$U$50</f>
        <v>0</v>
      </c>
      <c r="V6" s="26">
        <f>'TE BE'!$V$6*'TE BF'!$V$50</f>
        <v>0</v>
      </c>
      <c r="W6" s="26">
        <f>SUM($T$6:$V$6)</f>
        <v>0</v>
      </c>
      <c r="X6" s="26">
        <f>'TE BE'!$AB$6*'TE BF'!$X$50</f>
        <v>0</v>
      </c>
      <c r="Y6" s="26">
        <f>SUM($X$6:$X$6)</f>
        <v>0</v>
      </c>
      <c r="Z6" s="26">
        <f>'TE BE'!$Z$6*'TE BF'!$Z$50</f>
        <v>0</v>
      </c>
      <c r="AA6" s="26">
        <f>SUM($Z$6:$Z$6)</f>
        <v>0</v>
      </c>
      <c r="AB6" s="26">
        <f>SUMIF($L$4:$AA$4,"SUBTOTAL",$L$6:$AA$6)</f>
        <v>-0.73714056989822407</v>
      </c>
    </row>
    <row r="7" spans="1:28" ht="11.25" customHeight="1" x14ac:dyDescent="0.3">
      <c r="A7" s="151" t="s">
        <v>34</v>
      </c>
      <c r="B7" s="151" t="s">
        <v>77</v>
      </c>
      <c r="C7" s="151" t="s">
        <v>25</v>
      </c>
      <c r="D7" s="151" t="s">
        <v>25</v>
      </c>
      <c r="E7" s="151" t="s">
        <v>25</v>
      </c>
      <c r="F7" s="151" t="s">
        <v>25</v>
      </c>
      <c r="G7" s="29" t="s">
        <v>79</v>
      </c>
      <c r="H7" s="29" t="s">
        <v>78</v>
      </c>
      <c r="I7" s="29">
        <f>'MERCADO TE'!$U$4</f>
        <v>256.69644</v>
      </c>
      <c r="J7" s="15"/>
      <c r="L7" s="26">
        <f>'TE BE'!$L$7*'TE BF'!$L$50</f>
        <v>0</v>
      </c>
      <c r="M7" s="26">
        <f>'TE BE'!$M$7*'TE BF'!$M$50</f>
        <v>0</v>
      </c>
      <c r="N7" s="26">
        <f>'TE BE'!$N$7*'TE BF'!$N$50</f>
        <v>0</v>
      </c>
      <c r="O7" s="26">
        <f>'TE BE'!$O$7*'TE BF'!$O$50</f>
        <v>0.41584525677898349</v>
      </c>
      <c r="P7" s="26">
        <f>'TE BE'!$P$7*'TE BF'!$P$50</f>
        <v>0</v>
      </c>
      <c r="Q7" s="26">
        <f>SUM($L$7:$P$7)</f>
        <v>0.41584525677898349</v>
      </c>
      <c r="R7" s="26">
        <f>'TE BE'!$R$7*'TE BF'!$R$50</f>
        <v>-1.9831356218847969</v>
      </c>
      <c r="S7" s="26">
        <f>SUM($R$7:$R$7)</f>
        <v>-1.9831356218847969</v>
      </c>
      <c r="T7" s="26">
        <f>'TE BE'!$T$7*'TE BF'!$T$50</f>
        <v>0</v>
      </c>
      <c r="U7" s="26">
        <f>'TE BE'!$U$7*'TE BF'!$U$50</f>
        <v>0</v>
      </c>
      <c r="V7" s="26">
        <f>'TE BE'!$V$7*'TE BF'!$V$50</f>
        <v>0</v>
      </c>
      <c r="W7" s="26">
        <f>SUM($T$7:$V$7)</f>
        <v>0</v>
      </c>
      <c r="X7" s="26">
        <f>'TE BE'!$AB$7*'TE BF'!$X$50</f>
        <v>0</v>
      </c>
      <c r="Y7" s="26">
        <f>SUM($X$7:$X$7)</f>
        <v>0</v>
      </c>
      <c r="Z7" s="26">
        <f>'TE BE'!$Z$7*'TE BF'!$Z$50</f>
        <v>0</v>
      </c>
      <c r="AA7" s="26">
        <f>SUM($Z$7:$Z$7)</f>
        <v>0</v>
      </c>
      <c r="AB7" s="26">
        <f>SUMIF($L$4:$AA$4,"SUBTOTAL",$L$7:$AA$7)</f>
        <v>-1.5672903651058134</v>
      </c>
    </row>
    <row r="8" spans="1:28" ht="11.25" customHeight="1" x14ac:dyDescent="0.3">
      <c r="A8" s="151"/>
      <c r="B8" s="151"/>
      <c r="C8" s="151"/>
      <c r="D8" s="151"/>
      <c r="E8" s="151"/>
      <c r="F8" s="151"/>
      <c r="G8" s="29" t="s">
        <v>80</v>
      </c>
      <c r="H8" s="29" t="s">
        <v>78</v>
      </c>
      <c r="I8" s="29">
        <f>'MERCADO TE'!$U$5</f>
        <v>3077.9313500000003</v>
      </c>
      <c r="J8" s="15"/>
      <c r="L8" s="26">
        <f>'TE BE'!$L$8*'TE BF'!$L$50</f>
        <v>0</v>
      </c>
      <c r="M8" s="26">
        <f>'TE BE'!$M$8*'TE BF'!$M$50</f>
        <v>0</v>
      </c>
      <c r="N8" s="26">
        <f>'TE BE'!$N$8*'TE BF'!$N$50</f>
        <v>0</v>
      </c>
      <c r="O8" s="26">
        <f>'TE BE'!$O$8*'TE BF'!$O$50</f>
        <v>0.41584525677898349</v>
      </c>
      <c r="P8" s="26">
        <f>'TE BE'!$P$8*'TE BF'!$P$50</f>
        <v>0</v>
      </c>
      <c r="Q8" s="26">
        <f>SUM($L$8:$P$8)</f>
        <v>0.41584525677898349</v>
      </c>
      <c r="R8" s="26">
        <f>'TE BE'!$R$8*'TE BF'!$R$50</f>
        <v>-1.1529858266772075</v>
      </c>
      <c r="S8" s="26">
        <f>SUM($R$8:$R$8)</f>
        <v>-1.1529858266772075</v>
      </c>
      <c r="T8" s="26">
        <f>'TE BE'!$T$8*'TE BF'!$T$50</f>
        <v>0</v>
      </c>
      <c r="U8" s="26">
        <f>'TE BE'!$U$8*'TE BF'!$U$50</f>
        <v>0</v>
      </c>
      <c r="V8" s="26">
        <f>'TE BE'!$V$8*'TE BF'!$V$50</f>
        <v>0</v>
      </c>
      <c r="W8" s="26">
        <f>SUM($T$8:$V$8)</f>
        <v>0</v>
      </c>
      <c r="X8" s="26">
        <f>'TE BE'!$AB$8*'TE BF'!$X$50</f>
        <v>0</v>
      </c>
      <c r="Y8" s="26">
        <f>SUM($X$8:$X$8)</f>
        <v>0</v>
      </c>
      <c r="Z8" s="26">
        <f>'TE BE'!$Z$8*'TE BF'!$Z$50</f>
        <v>0</v>
      </c>
      <c r="AA8" s="26">
        <f>SUM($Z$8:$Z$8)</f>
        <v>0</v>
      </c>
      <c r="AB8" s="26">
        <f>SUMIF($L$4:$AA$4,"SUBTOTAL",$L$8:$AA$8)</f>
        <v>-0.73714056989822407</v>
      </c>
    </row>
    <row r="9" spans="1:28" ht="11.25" customHeight="1" x14ac:dyDescent="0.3">
      <c r="A9" s="151" t="s">
        <v>22</v>
      </c>
      <c r="B9" s="151" t="s">
        <v>77</v>
      </c>
      <c r="C9" s="151" t="s">
        <v>24</v>
      </c>
      <c r="D9" s="151" t="s">
        <v>24</v>
      </c>
      <c r="E9" s="151" t="s">
        <v>25</v>
      </c>
      <c r="F9" s="151" t="s">
        <v>25</v>
      </c>
      <c r="G9" s="29" t="s">
        <v>79</v>
      </c>
      <c r="H9" s="29" t="s">
        <v>78</v>
      </c>
      <c r="I9" s="29">
        <f>'MERCADO TE'!$U$6</f>
        <v>0</v>
      </c>
      <c r="J9" s="15"/>
      <c r="L9" s="26">
        <f>'TE BE'!$L$9*'TE BF'!$L$50</f>
        <v>0</v>
      </c>
      <c r="M9" s="26">
        <f>'TE BE'!$M$9*'TE BF'!$M$50</f>
        <v>0</v>
      </c>
      <c r="N9" s="26">
        <f>'TE BE'!$N$9*'TE BF'!$N$50</f>
        <v>0</v>
      </c>
      <c r="O9" s="26">
        <f>'TE BE'!$O$9*'TE BF'!$O$50</f>
        <v>0.41584525677898349</v>
      </c>
      <c r="P9" s="26">
        <f>'TE BE'!$P$9*'TE BF'!$P$50</f>
        <v>0</v>
      </c>
      <c r="Q9" s="26">
        <f>SUM($L$9:$P$9)</f>
        <v>0.41584525677898349</v>
      </c>
      <c r="R9" s="26">
        <f>'TE BE'!$R$9*'TE BF'!$R$50</f>
        <v>-1.9831356218847969</v>
      </c>
      <c r="S9" s="26">
        <f>SUM($R$9:$R$9)</f>
        <v>-1.9831356218847969</v>
      </c>
      <c r="T9" s="26">
        <f>'TE BE'!$T$9*'TE BF'!$T$50</f>
        <v>0</v>
      </c>
      <c r="U9" s="26">
        <f>'TE BE'!$U$9*'TE BF'!$U$50</f>
        <v>0</v>
      </c>
      <c r="V9" s="26">
        <f>'TE BE'!$V$9*'TE BF'!$V$50</f>
        <v>0</v>
      </c>
      <c r="W9" s="26">
        <f>SUM($T$9:$V$9)</f>
        <v>0</v>
      </c>
      <c r="X9" s="26">
        <f>'TE BE'!$AB$9*'TE BF'!$X$50</f>
        <v>0</v>
      </c>
      <c r="Y9" s="26">
        <f>SUM($X$9:$X$9)</f>
        <v>0</v>
      </c>
      <c r="Z9" s="26">
        <f>'TE BE'!$Z$9*'TE BF'!$Z$50</f>
        <v>0</v>
      </c>
      <c r="AA9" s="26">
        <f>SUM($Z$9:$Z$9)</f>
        <v>0</v>
      </c>
      <c r="AB9" s="26">
        <f>SUMIF($L$4:$AA$4,"SUBTOTAL",$L$9:$AA$9)</f>
        <v>-1.5672903651058134</v>
      </c>
    </row>
    <row r="10" spans="1:28" ht="11.25" customHeight="1" x14ac:dyDescent="0.3">
      <c r="A10" s="151"/>
      <c r="B10" s="151"/>
      <c r="C10" s="151"/>
      <c r="D10" s="151"/>
      <c r="E10" s="151"/>
      <c r="F10" s="151"/>
      <c r="G10" s="29" t="s">
        <v>89</v>
      </c>
      <c r="H10" s="29" t="s">
        <v>78</v>
      </c>
      <c r="I10" s="29">
        <f>'MERCADO TE'!$U$7</f>
        <v>0</v>
      </c>
      <c r="J10" s="15"/>
      <c r="L10" s="26">
        <f>'TE BE'!$L$10*'TE BF'!$L$50</f>
        <v>0</v>
      </c>
      <c r="M10" s="26">
        <f>'TE BE'!$M$10*'TE BF'!$M$50</f>
        <v>0</v>
      </c>
      <c r="N10" s="26">
        <f>'TE BE'!$N$10*'TE BF'!$N$50</f>
        <v>0</v>
      </c>
      <c r="O10" s="26">
        <f>'TE BE'!$O$10*'TE BF'!$O$50</f>
        <v>0.41584525677898349</v>
      </c>
      <c r="P10" s="26">
        <f>'TE BE'!$P$10*'TE BF'!$P$50</f>
        <v>0</v>
      </c>
      <c r="Q10" s="26">
        <f>SUM($L$10:$P$10)</f>
        <v>0.41584525677898349</v>
      </c>
      <c r="R10" s="26">
        <f>'TE BE'!$R$10*'TE BF'!$R$50</f>
        <v>-1.1529858266772075</v>
      </c>
      <c r="S10" s="26">
        <f>SUM($R$10:$R$10)</f>
        <v>-1.1529858266772075</v>
      </c>
      <c r="T10" s="26">
        <f>'TE BE'!$T$10*'TE BF'!$T$50</f>
        <v>0</v>
      </c>
      <c r="U10" s="26">
        <f>'TE BE'!$U$10*'TE BF'!$U$50</f>
        <v>0</v>
      </c>
      <c r="V10" s="26">
        <f>'TE BE'!$V$10*'TE BF'!$V$50</f>
        <v>0</v>
      </c>
      <c r="W10" s="26">
        <f>SUM($T$10:$V$10)</f>
        <v>0</v>
      </c>
      <c r="X10" s="26">
        <f>'TE BE'!$AB$10*'TE BF'!$X$50</f>
        <v>0</v>
      </c>
      <c r="Y10" s="26">
        <f>SUM($X$10:$X$10)</f>
        <v>0</v>
      </c>
      <c r="Z10" s="26">
        <f>'TE BE'!$Z$10*'TE BF'!$Z$50</f>
        <v>0</v>
      </c>
      <c r="AA10" s="26">
        <f>SUM($Z$10:$Z$10)</f>
        <v>0</v>
      </c>
      <c r="AB10" s="26">
        <f>SUMIF($L$4:$AA$4,"SUBTOTAL",$L$10:$AA$10)</f>
        <v>-0.73714056989822407</v>
      </c>
    </row>
    <row r="11" spans="1:28" ht="11.25" customHeight="1" x14ac:dyDescent="0.3">
      <c r="A11" s="151"/>
      <c r="B11" s="151"/>
      <c r="C11" s="151"/>
      <c r="D11" s="151"/>
      <c r="E11" s="151"/>
      <c r="F11" s="151"/>
      <c r="G11" s="29" t="s">
        <v>80</v>
      </c>
      <c r="H11" s="29" t="s">
        <v>78</v>
      </c>
      <c r="I11" s="29">
        <f>'MERCADO TE'!$U$8</f>
        <v>0</v>
      </c>
      <c r="J11" s="15"/>
      <c r="L11" s="26">
        <f>'TE BE'!$L$11*'TE BF'!$L$50</f>
        <v>0</v>
      </c>
      <c r="M11" s="26">
        <f>'TE BE'!$M$11*'TE BF'!$M$50</f>
        <v>0</v>
      </c>
      <c r="N11" s="26">
        <f>'TE BE'!$N$11*'TE BF'!$N$50</f>
        <v>0</v>
      </c>
      <c r="O11" s="26">
        <f>'TE BE'!$O$11*'TE BF'!$O$50</f>
        <v>0.41584525677898349</v>
      </c>
      <c r="P11" s="26">
        <f>'TE BE'!$P$11*'TE BF'!$P$50</f>
        <v>0</v>
      </c>
      <c r="Q11" s="26">
        <f>SUM($L$11:$P$11)</f>
        <v>0.41584525677898349</v>
      </c>
      <c r="R11" s="26">
        <f>'TE BE'!$R$11*'TE BF'!$R$50</f>
        <v>-1.1529858266772075</v>
      </c>
      <c r="S11" s="26">
        <f>SUM($R$11:$R$11)</f>
        <v>-1.1529858266772075</v>
      </c>
      <c r="T11" s="26">
        <f>'TE BE'!$T$11*'TE BF'!$T$50</f>
        <v>0</v>
      </c>
      <c r="U11" s="26">
        <f>'TE BE'!$U$11*'TE BF'!$U$50</f>
        <v>0</v>
      </c>
      <c r="V11" s="26">
        <f>'TE BE'!$V$11*'TE BF'!$V$50</f>
        <v>0</v>
      </c>
      <c r="W11" s="26">
        <f>SUM($T$11:$V$11)</f>
        <v>0</v>
      </c>
      <c r="X11" s="26">
        <f>'TE BE'!$AB$11*'TE BF'!$X$50</f>
        <v>0</v>
      </c>
      <c r="Y11" s="26">
        <f>SUM($X$11:$X$11)</f>
        <v>0</v>
      </c>
      <c r="Z11" s="26">
        <f>'TE BE'!$Z$11*'TE BF'!$Z$50</f>
        <v>0</v>
      </c>
      <c r="AA11" s="26">
        <f>SUM($Z$11:$Z$11)</f>
        <v>0</v>
      </c>
      <c r="AB11" s="26">
        <f>SUMIF($L$4:$AA$4,"SUBTOTAL",$L$11:$AA$11)</f>
        <v>-0.73714056989822407</v>
      </c>
    </row>
    <row r="12" spans="1:28" ht="11.25" customHeight="1" x14ac:dyDescent="0.3">
      <c r="A12" s="151"/>
      <c r="B12" s="151" t="s">
        <v>90</v>
      </c>
      <c r="C12" s="151" t="s">
        <v>24</v>
      </c>
      <c r="D12" s="28" t="s">
        <v>24</v>
      </c>
      <c r="E12" s="28" t="s">
        <v>25</v>
      </c>
      <c r="F12" s="28" t="s">
        <v>25</v>
      </c>
      <c r="G12" s="29" t="s">
        <v>84</v>
      </c>
      <c r="H12" s="29" t="s">
        <v>78</v>
      </c>
      <c r="I12" s="29">
        <f>'MERCADO TE'!$U$9</f>
        <v>11530.447999999999</v>
      </c>
      <c r="J12" s="15"/>
      <c r="L12" s="26">
        <f>'TE BE'!$L$12*'TE BF'!$L$50</f>
        <v>0</v>
      </c>
      <c r="M12" s="26">
        <f>'TE BE'!$M$12*'TE BF'!$M$50</f>
        <v>0</v>
      </c>
      <c r="N12" s="26">
        <f>'TE BE'!$N$12*'TE BF'!$N$50</f>
        <v>0</v>
      </c>
      <c r="O12" s="26">
        <f>'TE BE'!$O$12*'TE BF'!$O$50</f>
        <v>0.41584525677898349</v>
      </c>
      <c r="P12" s="26">
        <f>'TE BE'!$P$12*'TE BF'!$P$50</f>
        <v>0</v>
      </c>
      <c r="Q12" s="26">
        <f>SUM($L$12:$P$12)</f>
        <v>0.41584525677898349</v>
      </c>
      <c r="R12" s="26">
        <f>'TE BE'!$R$12*'TE BF'!$R$50</f>
        <v>-1.2221649762778402</v>
      </c>
      <c r="S12" s="26">
        <f>SUM($R$12:$R$12)</f>
        <v>-1.2221649762778402</v>
      </c>
      <c r="T12" s="26">
        <f>'TE BE'!$T$12*'TE BF'!$T$50</f>
        <v>0</v>
      </c>
      <c r="U12" s="26">
        <f>'TE BE'!$U$12*'TE BF'!$U$50</f>
        <v>0</v>
      </c>
      <c r="V12" s="26">
        <f>'TE BE'!$V$12*'TE BF'!$V$50</f>
        <v>0</v>
      </c>
      <c r="W12" s="26">
        <f>SUM($T$12:$V$12)</f>
        <v>0</v>
      </c>
      <c r="X12" s="26">
        <f>'TE BE'!$AB$12*'TE BF'!$X$50</f>
        <v>0</v>
      </c>
      <c r="Y12" s="26">
        <f>SUM($X$12:$X$12)</f>
        <v>0</v>
      </c>
      <c r="Z12" s="26">
        <f>'TE BE'!$Z$12*'TE BF'!$Z$50</f>
        <v>0</v>
      </c>
      <c r="AA12" s="26">
        <f>SUM($Z$12:$Z$12)</f>
        <v>0</v>
      </c>
      <c r="AB12" s="26">
        <f>SUMIF($L$4:$AA$4,"SUBTOTAL",$L$12:$AA$12)</f>
        <v>-0.80631971949885672</v>
      </c>
    </row>
    <row r="13" spans="1:28" ht="11.25" customHeight="1" x14ac:dyDescent="0.3">
      <c r="A13" s="151"/>
      <c r="B13" s="151"/>
      <c r="C13" s="151"/>
      <c r="D13" s="28" t="s">
        <v>28</v>
      </c>
      <c r="E13" s="28" t="s">
        <v>25</v>
      </c>
      <c r="F13" s="28" t="s">
        <v>25</v>
      </c>
      <c r="G13" s="29" t="s">
        <v>84</v>
      </c>
      <c r="H13" s="29" t="s">
        <v>78</v>
      </c>
      <c r="I13" s="29">
        <f>'MERCADO TE'!$U$10</f>
        <v>121.26</v>
      </c>
      <c r="J13" s="15"/>
      <c r="L13" s="26">
        <f>'TE BE'!$L$13*'TE BF'!$L$50</f>
        <v>0</v>
      </c>
      <c r="M13" s="26">
        <f>'TE BE'!$M$13*'TE BF'!$M$50</f>
        <v>0</v>
      </c>
      <c r="N13" s="26">
        <f>'TE BE'!$N$13*'TE BF'!$N$50</f>
        <v>0</v>
      </c>
      <c r="O13" s="26">
        <f>'TE BE'!$O$13*'TE BF'!$O$50</f>
        <v>0.41584525677898349</v>
      </c>
      <c r="P13" s="26">
        <f>'TE BE'!$P$13*'TE BF'!$P$50</f>
        <v>0</v>
      </c>
      <c r="Q13" s="26">
        <f>SUM($L$13:$P$13)</f>
        <v>0.41584525677898349</v>
      </c>
      <c r="R13" s="26">
        <f>'TE BE'!$R$13*'TE BF'!$R$50</f>
        <v>-1.2221649762778402</v>
      </c>
      <c r="S13" s="26">
        <f>SUM($R$13:$R$13)</f>
        <v>-1.2221649762778402</v>
      </c>
      <c r="T13" s="26">
        <f>'TE BE'!$T$13*'TE BF'!$T$50</f>
        <v>0</v>
      </c>
      <c r="U13" s="26">
        <f>'TE BE'!$U$13*'TE BF'!$U$50</f>
        <v>0</v>
      </c>
      <c r="V13" s="26">
        <f>'TE BE'!$V$13*'TE BF'!$V$50</f>
        <v>0</v>
      </c>
      <c r="W13" s="26">
        <f>SUM($T$13:$V$13)</f>
        <v>0</v>
      </c>
      <c r="X13" s="26">
        <f>'TE BE'!$AB$13*'TE BF'!$X$50</f>
        <v>0</v>
      </c>
      <c r="Y13" s="26">
        <f>SUM($X$13:$X$13)</f>
        <v>0</v>
      </c>
      <c r="Z13" s="26">
        <f>'TE BE'!$Z$13*'TE BF'!$Z$50</f>
        <v>0</v>
      </c>
      <c r="AA13" s="26">
        <f>SUM($Z$13:$Z$13)</f>
        <v>0</v>
      </c>
      <c r="AB13" s="26">
        <f>SUMIF($L$4:$AA$4,"SUBTOTAL",$L$13:$AA$13)</f>
        <v>-0.80631971949885672</v>
      </c>
    </row>
    <row r="14" spans="1:28" ht="11.25" customHeight="1" x14ac:dyDescent="0.3">
      <c r="A14" s="151"/>
      <c r="B14" s="151"/>
      <c r="C14" s="151"/>
      <c r="D14" s="28" t="s">
        <v>29</v>
      </c>
      <c r="E14" s="28" t="s">
        <v>25</v>
      </c>
      <c r="F14" s="28" t="s">
        <v>25</v>
      </c>
      <c r="G14" s="29" t="s">
        <v>84</v>
      </c>
      <c r="H14" s="29" t="s">
        <v>78</v>
      </c>
      <c r="I14" s="29">
        <f>'MERCADO TE'!$U$11</f>
        <v>254.32</v>
      </c>
      <c r="J14" s="15"/>
      <c r="L14" s="26">
        <f>'TE BE'!$L$14*'TE BF'!$L$50</f>
        <v>0</v>
      </c>
      <c r="M14" s="26">
        <f>'TE BE'!$M$14*'TE BF'!$M$50</f>
        <v>0</v>
      </c>
      <c r="N14" s="26">
        <f>'TE BE'!$N$14*'TE BF'!$N$50</f>
        <v>0</v>
      </c>
      <c r="O14" s="26">
        <f>'TE BE'!$O$14*'TE BF'!$O$50</f>
        <v>0.41584525677898349</v>
      </c>
      <c r="P14" s="26">
        <f>'TE BE'!$P$14*'TE BF'!$P$50</f>
        <v>0</v>
      </c>
      <c r="Q14" s="26">
        <f>SUM($L$14:$P$14)</f>
        <v>0.41584525677898349</v>
      </c>
      <c r="R14" s="26">
        <f>'TE BE'!$R$14*'TE BF'!$R$50</f>
        <v>-1.2221649762778402</v>
      </c>
      <c r="S14" s="26">
        <f>SUM($R$14:$R$14)</f>
        <v>-1.2221649762778402</v>
      </c>
      <c r="T14" s="26">
        <f>'TE BE'!$T$14*'TE BF'!$T$50</f>
        <v>0</v>
      </c>
      <c r="U14" s="26">
        <f>'TE BE'!$U$14*'TE BF'!$U$50</f>
        <v>0</v>
      </c>
      <c r="V14" s="26">
        <f>'TE BE'!$V$14*'TE BF'!$V$50</f>
        <v>0</v>
      </c>
      <c r="W14" s="26">
        <f>SUM($T$14:$V$14)</f>
        <v>0</v>
      </c>
      <c r="X14" s="26">
        <f>'TE BE'!$AB$14*'TE BF'!$X$50</f>
        <v>0</v>
      </c>
      <c r="Y14" s="26">
        <f>SUM($X$14:$X$14)</f>
        <v>0</v>
      </c>
      <c r="Z14" s="26">
        <f>'TE BE'!$Z$14*'TE BF'!$Z$50</f>
        <v>0</v>
      </c>
      <c r="AA14" s="26">
        <f>SUM($Z$14:$Z$14)</f>
        <v>0</v>
      </c>
      <c r="AB14" s="26">
        <f>SUMIF($L$4:$AA$4,"SUBTOTAL",$L$14:$AA$14)</f>
        <v>-0.80631971949885672</v>
      </c>
    </row>
    <row r="15" spans="1:28" ht="11.25" customHeight="1" x14ac:dyDescent="0.3">
      <c r="A15" s="151"/>
      <c r="B15" s="151"/>
      <c r="C15" s="151"/>
      <c r="D15" s="28" t="s">
        <v>30</v>
      </c>
      <c r="E15" s="28" t="s">
        <v>25</v>
      </c>
      <c r="F15" s="28" t="s">
        <v>25</v>
      </c>
      <c r="G15" s="29" t="s">
        <v>84</v>
      </c>
      <c r="H15" s="29" t="s">
        <v>78</v>
      </c>
      <c r="I15" s="29">
        <f>'MERCADO TE'!$U$12</f>
        <v>248.52100000000002</v>
      </c>
      <c r="J15" s="15"/>
      <c r="L15" s="26">
        <f>'TE BE'!$L$15*'TE BF'!$L$50</f>
        <v>0</v>
      </c>
      <c r="M15" s="26">
        <f>'TE BE'!$M$15*'TE BF'!$M$50</f>
        <v>0</v>
      </c>
      <c r="N15" s="26">
        <f>'TE BE'!$N$15*'TE BF'!$N$50</f>
        <v>0</v>
      </c>
      <c r="O15" s="26">
        <f>'TE BE'!$O$15*'TE BF'!$O$50</f>
        <v>0.41584525677898349</v>
      </c>
      <c r="P15" s="26">
        <f>'TE BE'!$P$15*'TE BF'!$P$50</f>
        <v>0</v>
      </c>
      <c r="Q15" s="26">
        <f>SUM($L$15:$P$15)</f>
        <v>0.41584525677898349</v>
      </c>
      <c r="R15" s="26">
        <f>'TE BE'!$R$15*'TE BF'!$R$50</f>
        <v>-1.2221649762778402</v>
      </c>
      <c r="S15" s="26">
        <f>SUM($R$15:$R$15)</f>
        <v>-1.2221649762778402</v>
      </c>
      <c r="T15" s="26">
        <f>'TE BE'!$T$15*'TE BF'!$T$50</f>
        <v>0</v>
      </c>
      <c r="U15" s="26">
        <f>'TE BE'!$U$15*'TE BF'!$U$50</f>
        <v>0</v>
      </c>
      <c r="V15" s="26">
        <f>'TE BE'!$V$15*'TE BF'!$V$50</f>
        <v>0</v>
      </c>
      <c r="W15" s="26">
        <f>SUM($T$15:$V$15)</f>
        <v>0</v>
      </c>
      <c r="X15" s="26">
        <f>'TE BE'!$AB$15*'TE BF'!$X$50</f>
        <v>0</v>
      </c>
      <c r="Y15" s="26">
        <f>SUM($X$15:$X$15)</f>
        <v>0</v>
      </c>
      <c r="Z15" s="26">
        <f>'TE BE'!$Z$15*'TE BF'!$Z$50</f>
        <v>0</v>
      </c>
      <c r="AA15" s="26">
        <f>SUM($Z$15:$Z$15)</f>
        <v>0</v>
      </c>
      <c r="AB15" s="26">
        <f>SUMIF($L$4:$AA$4,"SUBTOTAL",$L$15:$AA$15)</f>
        <v>-0.80631971949885672</v>
      </c>
    </row>
    <row r="16" spans="1:28" ht="11.25" customHeight="1" x14ac:dyDescent="0.3">
      <c r="A16" s="151"/>
      <c r="B16" s="151"/>
      <c r="C16" s="151"/>
      <c r="D16" s="28" t="s">
        <v>31</v>
      </c>
      <c r="E16" s="28" t="s">
        <v>25</v>
      </c>
      <c r="F16" s="28" t="s">
        <v>25</v>
      </c>
      <c r="G16" s="29" t="s">
        <v>84</v>
      </c>
      <c r="H16" s="29" t="s">
        <v>78</v>
      </c>
      <c r="I16" s="29">
        <f>'MERCADO TE'!$U$13</f>
        <v>91.992999999999995</v>
      </c>
      <c r="J16" s="15"/>
      <c r="L16" s="26">
        <f>'TE BE'!$L$16*'TE BF'!$L$50</f>
        <v>0</v>
      </c>
      <c r="M16" s="26">
        <f>'TE BE'!$M$16*'TE BF'!$M$50</f>
        <v>0</v>
      </c>
      <c r="N16" s="26">
        <f>'TE BE'!$N$16*'TE BF'!$N$50</f>
        <v>0</v>
      </c>
      <c r="O16" s="26">
        <f>'TE BE'!$O$16*'TE BF'!$O$50</f>
        <v>0.41584525677898349</v>
      </c>
      <c r="P16" s="26">
        <f>'TE BE'!$P$16*'TE BF'!$P$50</f>
        <v>0</v>
      </c>
      <c r="Q16" s="26">
        <f>SUM($L$16:$P$16)</f>
        <v>0.41584525677898349</v>
      </c>
      <c r="R16" s="26">
        <f>'TE BE'!$R$16*'TE BF'!$R$50</f>
        <v>-1.2221649762778402</v>
      </c>
      <c r="S16" s="26">
        <f>SUM($R$16:$R$16)</f>
        <v>-1.2221649762778402</v>
      </c>
      <c r="T16" s="26">
        <f>'TE BE'!$T$16*'TE BF'!$T$50</f>
        <v>0</v>
      </c>
      <c r="U16" s="26">
        <f>'TE BE'!$U$16*'TE BF'!$U$50</f>
        <v>0</v>
      </c>
      <c r="V16" s="26">
        <f>'TE BE'!$V$16*'TE BF'!$V$50</f>
        <v>0</v>
      </c>
      <c r="W16" s="26">
        <f>SUM($T$16:$V$16)</f>
        <v>0</v>
      </c>
      <c r="X16" s="26">
        <f>'TE BE'!$AB$16*'TE BF'!$X$50</f>
        <v>0</v>
      </c>
      <c r="Y16" s="26">
        <f>SUM($X$16:$X$16)</f>
        <v>0</v>
      </c>
      <c r="Z16" s="26">
        <f>'TE BE'!$Z$16*'TE BF'!$Z$50</f>
        <v>0</v>
      </c>
      <c r="AA16" s="26">
        <f>SUM($Z$16:$Z$16)</f>
        <v>0</v>
      </c>
      <c r="AB16" s="26">
        <f>SUMIF($L$4:$AA$4,"SUBTOTAL",$L$16:$AA$16)</f>
        <v>-0.80631971949885672</v>
      </c>
    </row>
    <row r="17" spans="1:28" ht="11.25" customHeight="1" x14ac:dyDescent="0.3">
      <c r="A17" s="151"/>
      <c r="B17" s="151" t="s">
        <v>91</v>
      </c>
      <c r="C17" s="151" t="s">
        <v>24</v>
      </c>
      <c r="D17" s="28" t="s">
        <v>24</v>
      </c>
      <c r="E17" s="28" t="s">
        <v>25</v>
      </c>
      <c r="F17" s="28" t="s">
        <v>25</v>
      </c>
      <c r="G17" s="29" t="s">
        <v>84</v>
      </c>
      <c r="H17" s="29" t="s">
        <v>78</v>
      </c>
      <c r="I17" s="29">
        <f>'MERCADO TE'!$U$14</f>
        <v>0</v>
      </c>
      <c r="J17" s="15"/>
      <c r="L17" s="26">
        <f>'TE BE'!$L$17*'TE BF'!$L$50</f>
        <v>0</v>
      </c>
      <c r="M17" s="26">
        <f>'TE BE'!$M$17*'TE BF'!$M$50</f>
        <v>0</v>
      </c>
      <c r="N17" s="26">
        <f>'TE BE'!$N$17*'TE BF'!$N$50</f>
        <v>0</v>
      </c>
      <c r="O17" s="26">
        <f>'TE BE'!$O$17*'TE BF'!$O$50</f>
        <v>0.41584525677898349</v>
      </c>
      <c r="P17" s="26">
        <f>'TE BE'!$P$17*'TE BF'!$P$50</f>
        <v>0</v>
      </c>
      <c r="Q17" s="26">
        <f>SUM($L$17:$P$17)</f>
        <v>0.41584525677898349</v>
      </c>
      <c r="R17" s="26">
        <f>'TE BE'!$R$17*'TE BF'!$R$50</f>
        <v>-1.2221649762778402</v>
      </c>
      <c r="S17" s="26">
        <f>SUM($R$17:$R$17)</f>
        <v>-1.2221649762778402</v>
      </c>
      <c r="T17" s="26">
        <f>'TE BE'!$T$17*'TE BF'!$T$50</f>
        <v>0</v>
      </c>
      <c r="U17" s="26">
        <f>'TE BE'!$U$17*'TE BF'!$U$50</f>
        <v>0</v>
      </c>
      <c r="V17" s="26">
        <f>'TE BE'!$V$17*'TE BF'!$V$50</f>
        <v>0</v>
      </c>
      <c r="W17" s="26">
        <f>SUM($T$17:$V$17)</f>
        <v>0</v>
      </c>
      <c r="X17" s="26">
        <f>'TE BE'!$AB$17*'TE BF'!$X$50</f>
        <v>0</v>
      </c>
      <c r="Y17" s="26">
        <f>SUM($X$17:$X$17)</f>
        <v>0</v>
      </c>
      <c r="Z17" s="26">
        <f>'TE BE'!$Z$17*'TE BF'!$Z$50</f>
        <v>0</v>
      </c>
      <c r="AA17" s="26">
        <f>SUM($Z$17:$Z$17)</f>
        <v>0</v>
      </c>
      <c r="AB17" s="26">
        <f>SUMIF($L$4:$AA$4,"SUBTOTAL",$L$17:$AA$17)</f>
        <v>-0.80631971949885672</v>
      </c>
    </row>
    <row r="18" spans="1:28" ht="11.25" customHeight="1" x14ac:dyDescent="0.3">
      <c r="A18" s="151"/>
      <c r="B18" s="151"/>
      <c r="C18" s="151"/>
      <c r="D18" s="28" t="s">
        <v>28</v>
      </c>
      <c r="E18" s="28" t="s">
        <v>25</v>
      </c>
      <c r="F18" s="28" t="s">
        <v>25</v>
      </c>
      <c r="G18" s="29" t="s">
        <v>84</v>
      </c>
      <c r="H18" s="29" t="s">
        <v>78</v>
      </c>
      <c r="I18" s="29">
        <f>'MERCADO TE'!$U$15</f>
        <v>0</v>
      </c>
      <c r="J18" s="15"/>
      <c r="L18" s="26">
        <f>'TE BE'!$L$18*'TE BF'!$L$50</f>
        <v>0</v>
      </c>
      <c r="M18" s="26">
        <f>'TE BE'!$M$18*'TE BF'!$M$50</f>
        <v>0</v>
      </c>
      <c r="N18" s="26">
        <f>'TE BE'!$N$18*'TE BF'!$N$50</f>
        <v>0</v>
      </c>
      <c r="O18" s="26">
        <f>'TE BE'!$O$18*'TE BF'!$O$50</f>
        <v>0.41584525677898349</v>
      </c>
      <c r="P18" s="26">
        <f>'TE BE'!$P$18*'TE BF'!$P$50</f>
        <v>0</v>
      </c>
      <c r="Q18" s="26">
        <f>SUM($L$18:$P$18)</f>
        <v>0.41584525677898349</v>
      </c>
      <c r="R18" s="26">
        <f>'TE BE'!$R$18*'TE BF'!$R$50</f>
        <v>-1.2221649762778402</v>
      </c>
      <c r="S18" s="26">
        <f>SUM($R$18:$R$18)</f>
        <v>-1.2221649762778402</v>
      </c>
      <c r="T18" s="26">
        <f>'TE BE'!$T$18*'TE BF'!$T$50</f>
        <v>0</v>
      </c>
      <c r="U18" s="26">
        <f>'TE BE'!$U$18*'TE BF'!$U$50</f>
        <v>0</v>
      </c>
      <c r="V18" s="26">
        <f>'TE BE'!$V$18*'TE BF'!$V$50</f>
        <v>0</v>
      </c>
      <c r="W18" s="26">
        <f>SUM($T$18:$V$18)</f>
        <v>0</v>
      </c>
      <c r="X18" s="26">
        <f>'TE BE'!$AB$18*'TE BF'!$X$50</f>
        <v>0</v>
      </c>
      <c r="Y18" s="26">
        <f>SUM($X$18:$X$18)</f>
        <v>0</v>
      </c>
      <c r="Z18" s="26">
        <f>'TE BE'!$Z$18*'TE BF'!$Z$50</f>
        <v>0</v>
      </c>
      <c r="AA18" s="26">
        <f>SUM($Z$18:$Z$18)</f>
        <v>0</v>
      </c>
      <c r="AB18" s="26">
        <f>SUMIF($L$4:$AA$4,"SUBTOTAL",$L$18:$AA$18)</f>
        <v>-0.80631971949885672</v>
      </c>
    </row>
    <row r="19" spans="1:28" ht="11.25" customHeight="1" x14ac:dyDescent="0.3">
      <c r="A19" s="151"/>
      <c r="B19" s="151"/>
      <c r="C19" s="151"/>
      <c r="D19" s="28" t="s">
        <v>29</v>
      </c>
      <c r="E19" s="28" t="s">
        <v>25</v>
      </c>
      <c r="F19" s="28" t="s">
        <v>25</v>
      </c>
      <c r="G19" s="29" t="s">
        <v>84</v>
      </c>
      <c r="H19" s="29" t="s">
        <v>78</v>
      </c>
      <c r="I19" s="29">
        <f>'MERCADO TE'!$U$16</f>
        <v>0</v>
      </c>
      <c r="J19" s="15"/>
      <c r="L19" s="26">
        <f>'TE BE'!$L$19*'TE BF'!$L$50</f>
        <v>0</v>
      </c>
      <c r="M19" s="26">
        <f>'TE BE'!$M$19*'TE BF'!$M$50</f>
        <v>0</v>
      </c>
      <c r="N19" s="26">
        <f>'TE BE'!$N$19*'TE BF'!$N$50</f>
        <v>0</v>
      </c>
      <c r="O19" s="26">
        <f>'TE BE'!$O$19*'TE BF'!$O$50</f>
        <v>0.41584525677898349</v>
      </c>
      <c r="P19" s="26">
        <f>'TE BE'!$P$19*'TE BF'!$P$50</f>
        <v>0</v>
      </c>
      <c r="Q19" s="26">
        <f>SUM($L$19:$P$19)</f>
        <v>0.41584525677898349</v>
      </c>
      <c r="R19" s="26">
        <f>'TE BE'!$R$19*'TE BF'!$R$50</f>
        <v>-1.2221649762778402</v>
      </c>
      <c r="S19" s="26">
        <f>SUM($R$19:$R$19)</f>
        <v>-1.2221649762778402</v>
      </c>
      <c r="T19" s="26">
        <f>'TE BE'!$T$19*'TE BF'!$T$50</f>
        <v>0</v>
      </c>
      <c r="U19" s="26">
        <f>'TE BE'!$U$19*'TE BF'!$U$50</f>
        <v>0</v>
      </c>
      <c r="V19" s="26">
        <f>'TE BE'!$V$19*'TE BF'!$V$50</f>
        <v>0</v>
      </c>
      <c r="W19" s="26">
        <f>SUM($T$19:$V$19)</f>
        <v>0</v>
      </c>
      <c r="X19" s="26">
        <f>'TE BE'!$AB$19*'TE BF'!$X$50</f>
        <v>0</v>
      </c>
      <c r="Y19" s="26">
        <f>SUM($X$19:$X$19)</f>
        <v>0</v>
      </c>
      <c r="Z19" s="26">
        <f>'TE BE'!$Z$19*'TE BF'!$Z$50</f>
        <v>0</v>
      </c>
      <c r="AA19" s="26">
        <f>SUM($Z$19:$Z$19)</f>
        <v>0</v>
      </c>
      <c r="AB19" s="26">
        <f>SUMIF($L$4:$AA$4,"SUBTOTAL",$L$19:$AA$19)</f>
        <v>-0.80631971949885672</v>
      </c>
    </row>
    <row r="20" spans="1:28" ht="11.25" customHeight="1" x14ac:dyDescent="0.3">
      <c r="A20" s="151"/>
      <c r="B20" s="151"/>
      <c r="C20" s="151"/>
      <c r="D20" s="28" t="s">
        <v>30</v>
      </c>
      <c r="E20" s="28" t="s">
        <v>25</v>
      </c>
      <c r="F20" s="28" t="s">
        <v>25</v>
      </c>
      <c r="G20" s="29" t="s">
        <v>84</v>
      </c>
      <c r="H20" s="29" t="s">
        <v>78</v>
      </c>
      <c r="I20" s="29">
        <f>'MERCADO TE'!$U$17</f>
        <v>0</v>
      </c>
      <c r="J20" s="15"/>
      <c r="L20" s="26">
        <f>'TE BE'!$L$20*'TE BF'!$L$50</f>
        <v>0</v>
      </c>
      <c r="M20" s="26">
        <f>'TE BE'!$M$20*'TE BF'!$M$50</f>
        <v>0</v>
      </c>
      <c r="N20" s="26">
        <f>'TE BE'!$N$20*'TE BF'!$N$50</f>
        <v>0</v>
      </c>
      <c r="O20" s="26">
        <f>'TE BE'!$O$20*'TE BF'!$O$50</f>
        <v>0.41584525677898349</v>
      </c>
      <c r="P20" s="26">
        <f>'TE BE'!$P$20*'TE BF'!$P$50</f>
        <v>0</v>
      </c>
      <c r="Q20" s="26">
        <f>SUM($L$20:$P$20)</f>
        <v>0.41584525677898349</v>
      </c>
      <c r="R20" s="26">
        <f>'TE BE'!$R$20*'TE BF'!$R$50</f>
        <v>-1.2221649762778402</v>
      </c>
      <c r="S20" s="26">
        <f>SUM($R$20:$R$20)</f>
        <v>-1.2221649762778402</v>
      </c>
      <c r="T20" s="26">
        <f>'TE BE'!$T$20*'TE BF'!$T$50</f>
        <v>0</v>
      </c>
      <c r="U20" s="26">
        <f>'TE BE'!$U$20*'TE BF'!$U$50</f>
        <v>0</v>
      </c>
      <c r="V20" s="26">
        <f>'TE BE'!$V$20*'TE BF'!$V$50</f>
        <v>0</v>
      </c>
      <c r="W20" s="26">
        <f>SUM($T$20:$V$20)</f>
        <v>0</v>
      </c>
      <c r="X20" s="26">
        <f>'TE BE'!$AB$20*'TE BF'!$X$50</f>
        <v>0</v>
      </c>
      <c r="Y20" s="26">
        <f>SUM($X$20:$X$20)</f>
        <v>0</v>
      </c>
      <c r="Z20" s="26">
        <f>'TE BE'!$Z$20*'TE BF'!$Z$50</f>
        <v>0</v>
      </c>
      <c r="AA20" s="26">
        <f>SUM($Z$20:$Z$20)</f>
        <v>0</v>
      </c>
      <c r="AB20" s="26">
        <f>SUMIF($L$4:$AA$4,"SUBTOTAL",$L$20:$AA$20)</f>
        <v>-0.80631971949885672</v>
      </c>
    </row>
    <row r="21" spans="1:28" ht="11.25" customHeight="1" x14ac:dyDescent="0.3">
      <c r="A21" s="151"/>
      <c r="B21" s="151"/>
      <c r="C21" s="151"/>
      <c r="D21" s="28" t="s">
        <v>31</v>
      </c>
      <c r="E21" s="28" t="s">
        <v>25</v>
      </c>
      <c r="F21" s="28" t="s">
        <v>25</v>
      </c>
      <c r="G21" s="29" t="s">
        <v>84</v>
      </c>
      <c r="H21" s="29" t="s">
        <v>78</v>
      </c>
      <c r="I21" s="29">
        <f>'MERCADO TE'!$U$18</f>
        <v>0</v>
      </c>
      <c r="J21" s="15"/>
      <c r="L21" s="26">
        <f>'TE BE'!$L$21*'TE BF'!$L$50</f>
        <v>0</v>
      </c>
      <c r="M21" s="26">
        <f>'TE BE'!$M$21*'TE BF'!$M$50</f>
        <v>0</v>
      </c>
      <c r="N21" s="26">
        <f>'TE BE'!$N$21*'TE BF'!$N$50</f>
        <v>0</v>
      </c>
      <c r="O21" s="26">
        <f>'TE BE'!$O$21*'TE BF'!$O$50</f>
        <v>0.41584525677898349</v>
      </c>
      <c r="P21" s="26">
        <f>'TE BE'!$P$21*'TE BF'!$P$50</f>
        <v>0</v>
      </c>
      <c r="Q21" s="26">
        <f>SUM($L$21:$P$21)</f>
        <v>0.41584525677898349</v>
      </c>
      <c r="R21" s="26">
        <f>'TE BE'!$R$21*'TE BF'!$R$50</f>
        <v>-1.2221649762778402</v>
      </c>
      <c r="S21" s="26">
        <f>SUM($R$21:$R$21)</f>
        <v>-1.2221649762778402</v>
      </c>
      <c r="T21" s="26">
        <f>'TE BE'!$T$21*'TE BF'!$T$50</f>
        <v>0</v>
      </c>
      <c r="U21" s="26">
        <f>'TE BE'!$U$21*'TE BF'!$U$50</f>
        <v>0</v>
      </c>
      <c r="V21" s="26">
        <f>'TE BE'!$V$21*'TE BF'!$V$50</f>
        <v>0</v>
      </c>
      <c r="W21" s="26">
        <f>SUM($T$21:$V$21)</f>
        <v>0</v>
      </c>
      <c r="X21" s="26">
        <f>'TE BE'!$AB$21*'TE BF'!$X$50</f>
        <v>0</v>
      </c>
      <c r="Y21" s="26">
        <f>SUM($X$21:$X$21)</f>
        <v>0</v>
      </c>
      <c r="Z21" s="26">
        <f>'TE BE'!$Z$21*'TE BF'!$Z$50</f>
        <v>0</v>
      </c>
      <c r="AA21" s="26">
        <f>SUM($Z$21:$Z$21)</f>
        <v>0</v>
      </c>
      <c r="AB21" s="26">
        <f>SUMIF($L$4:$AA$4,"SUBTOTAL",$L$21:$AA$21)</f>
        <v>-0.80631971949885672</v>
      </c>
    </row>
    <row r="22" spans="1:28" ht="11.25" customHeight="1" x14ac:dyDescent="0.3">
      <c r="A22" s="151" t="s">
        <v>41</v>
      </c>
      <c r="B22" s="151" t="s">
        <v>77</v>
      </c>
      <c r="C22" s="151" t="s">
        <v>42</v>
      </c>
      <c r="D22" s="151" t="s">
        <v>25</v>
      </c>
      <c r="E22" s="151" t="s">
        <v>25</v>
      </c>
      <c r="F22" s="151" t="s">
        <v>25</v>
      </c>
      <c r="G22" s="29" t="s">
        <v>79</v>
      </c>
      <c r="H22" s="29" t="s">
        <v>78</v>
      </c>
      <c r="I22" s="29">
        <f>'MERCADO TE'!$U$19</f>
        <v>0</v>
      </c>
      <c r="J22" s="15"/>
      <c r="L22" s="26">
        <f>'TE BE'!$L$22*'TE BF'!$L$50</f>
        <v>0</v>
      </c>
      <c r="M22" s="26">
        <f>'TE BE'!$M$22*'TE BF'!$M$50</f>
        <v>0</v>
      </c>
      <c r="N22" s="26">
        <f>'TE BE'!$N$22*'TE BF'!$N$50</f>
        <v>0</v>
      </c>
      <c r="O22" s="26">
        <f>'TE BE'!$O$22*'TE BF'!$O$50</f>
        <v>0.41584525677898349</v>
      </c>
      <c r="P22" s="26">
        <f>'TE BE'!$P$22*'TE BF'!$P$50</f>
        <v>0</v>
      </c>
      <c r="Q22" s="26">
        <f>SUM($L$22:$P$22)</f>
        <v>0.41584525677898349</v>
      </c>
      <c r="R22" s="26">
        <f>'TE BE'!$R$22*'TE BF'!$R$50</f>
        <v>-1.9831356218847969</v>
      </c>
      <c r="S22" s="26">
        <f>SUM($R$22:$R$22)</f>
        <v>-1.9831356218847969</v>
      </c>
      <c r="T22" s="26">
        <f>'TE BE'!$T$22*'TE BF'!$T$50</f>
        <v>0</v>
      </c>
      <c r="U22" s="26">
        <f>'TE BE'!$U$22*'TE BF'!$U$50</f>
        <v>0</v>
      </c>
      <c r="V22" s="26">
        <f>'TE BE'!$V$22*'TE BF'!$V$50</f>
        <v>0</v>
      </c>
      <c r="W22" s="26">
        <f>SUM($T$22:$V$22)</f>
        <v>0</v>
      </c>
      <c r="X22" s="26">
        <f>'TE BE'!$AB$22*'TE BF'!$X$50</f>
        <v>0</v>
      </c>
      <c r="Y22" s="26">
        <f>SUM($X$22:$X$22)</f>
        <v>0</v>
      </c>
      <c r="Z22" s="26">
        <f>'TE BE'!$Z$22*'TE BF'!$Z$50</f>
        <v>0</v>
      </c>
      <c r="AA22" s="26">
        <f>SUM($Z$22:$Z$22)</f>
        <v>0</v>
      </c>
      <c r="AB22" s="26">
        <f>SUMIF($L$4:$AA$4,"SUBTOTAL",$L$22:$AA$22)</f>
        <v>-1.5672903651058134</v>
      </c>
    </row>
    <row r="23" spans="1:28" ht="11.25" customHeight="1" x14ac:dyDescent="0.3">
      <c r="A23" s="151"/>
      <c r="B23" s="151"/>
      <c r="C23" s="151"/>
      <c r="D23" s="151"/>
      <c r="E23" s="151"/>
      <c r="F23" s="151"/>
      <c r="G23" s="29" t="s">
        <v>89</v>
      </c>
      <c r="H23" s="29" t="s">
        <v>78</v>
      </c>
      <c r="I23" s="29">
        <f>'MERCADO TE'!$U$20</f>
        <v>0</v>
      </c>
      <c r="J23" s="15"/>
      <c r="L23" s="26">
        <f>'TE BE'!$L$23*'TE BF'!$L$50</f>
        <v>0</v>
      </c>
      <c r="M23" s="26">
        <f>'TE BE'!$M$23*'TE BF'!$M$50</f>
        <v>0</v>
      </c>
      <c r="N23" s="26">
        <f>'TE BE'!$N$23*'TE BF'!$N$50</f>
        <v>0</v>
      </c>
      <c r="O23" s="26">
        <f>'TE BE'!$O$23*'TE BF'!$O$50</f>
        <v>0.41584525677898349</v>
      </c>
      <c r="P23" s="26">
        <f>'TE BE'!$P$23*'TE BF'!$P$50</f>
        <v>0</v>
      </c>
      <c r="Q23" s="26">
        <f>SUM($L$23:$P$23)</f>
        <v>0.41584525677898349</v>
      </c>
      <c r="R23" s="26">
        <f>'TE BE'!$R$23*'TE BF'!$R$50</f>
        <v>-1.1529858266772075</v>
      </c>
      <c r="S23" s="26">
        <f>SUM($R$23:$R$23)</f>
        <v>-1.1529858266772075</v>
      </c>
      <c r="T23" s="26">
        <f>'TE BE'!$T$23*'TE BF'!$T$50</f>
        <v>0</v>
      </c>
      <c r="U23" s="26">
        <f>'TE BE'!$U$23*'TE BF'!$U$50</f>
        <v>0</v>
      </c>
      <c r="V23" s="26">
        <f>'TE BE'!$V$23*'TE BF'!$V$50</f>
        <v>0</v>
      </c>
      <c r="W23" s="26">
        <f>SUM($T$23:$V$23)</f>
        <v>0</v>
      </c>
      <c r="X23" s="26">
        <f>'TE BE'!$AB$23*'TE BF'!$X$50</f>
        <v>0</v>
      </c>
      <c r="Y23" s="26">
        <f>SUM($X$23:$X$23)</f>
        <v>0</v>
      </c>
      <c r="Z23" s="26">
        <f>'TE BE'!$Z$23*'TE BF'!$Z$50</f>
        <v>0</v>
      </c>
      <c r="AA23" s="26">
        <f>SUM($Z$23:$Z$23)</f>
        <v>0</v>
      </c>
      <c r="AB23" s="26">
        <f>SUMIF($L$4:$AA$4,"SUBTOTAL",$L$23:$AA$23)</f>
        <v>-0.73714056989822407</v>
      </c>
    </row>
    <row r="24" spans="1:28" ht="11.25" customHeight="1" x14ac:dyDescent="0.3">
      <c r="A24" s="151"/>
      <c r="B24" s="151"/>
      <c r="C24" s="151"/>
      <c r="D24" s="151"/>
      <c r="E24" s="151"/>
      <c r="F24" s="151"/>
      <c r="G24" s="29" t="s">
        <v>80</v>
      </c>
      <c r="H24" s="29" t="s">
        <v>78</v>
      </c>
      <c r="I24" s="29">
        <f>'MERCADO TE'!$U$21</f>
        <v>0</v>
      </c>
      <c r="J24" s="15"/>
      <c r="L24" s="26">
        <f>'TE BE'!$L$24*'TE BF'!$L$50</f>
        <v>0</v>
      </c>
      <c r="M24" s="26">
        <f>'TE BE'!$M$24*'TE BF'!$M$50</f>
        <v>0</v>
      </c>
      <c r="N24" s="26">
        <f>'TE BE'!$N$24*'TE BF'!$N$50</f>
        <v>0</v>
      </c>
      <c r="O24" s="26">
        <f>'TE BE'!$O$24*'TE BF'!$O$50</f>
        <v>0.41584525677898349</v>
      </c>
      <c r="P24" s="26">
        <f>'TE BE'!$P$24*'TE BF'!$P$50</f>
        <v>0</v>
      </c>
      <c r="Q24" s="26">
        <f>SUM($L$24:$P$24)</f>
        <v>0.41584525677898349</v>
      </c>
      <c r="R24" s="26">
        <f>'TE BE'!$R$24*'TE BF'!$R$50</f>
        <v>-1.1529858266772075</v>
      </c>
      <c r="S24" s="26">
        <f>SUM($R$24:$R$24)</f>
        <v>-1.1529858266772075</v>
      </c>
      <c r="T24" s="26">
        <f>'TE BE'!$T$24*'TE BF'!$T$50</f>
        <v>0</v>
      </c>
      <c r="U24" s="26">
        <f>'TE BE'!$U$24*'TE BF'!$U$50</f>
        <v>0</v>
      </c>
      <c r="V24" s="26">
        <f>'TE BE'!$V$24*'TE BF'!$V$50</f>
        <v>0</v>
      </c>
      <c r="W24" s="26">
        <f>SUM($T$24:$V$24)</f>
        <v>0</v>
      </c>
      <c r="X24" s="26">
        <f>'TE BE'!$AB$24*'TE BF'!$X$50</f>
        <v>0</v>
      </c>
      <c r="Y24" s="26">
        <f>SUM($X$24:$X$24)</f>
        <v>0</v>
      </c>
      <c r="Z24" s="26">
        <f>'TE BE'!$Z$24*'TE BF'!$Z$50</f>
        <v>0</v>
      </c>
      <c r="AA24" s="26">
        <f>SUM($Z$24:$Z$24)</f>
        <v>0</v>
      </c>
      <c r="AB24" s="26">
        <f>SUMIF($L$4:$AA$4,"SUBTOTAL",$L$24:$AA$24)</f>
        <v>-0.73714056989822407</v>
      </c>
    </row>
    <row r="25" spans="1:28" ht="11.25" customHeight="1" x14ac:dyDescent="0.3">
      <c r="A25" s="151"/>
      <c r="B25" s="28" t="s">
        <v>90</v>
      </c>
      <c r="C25" s="28" t="s">
        <v>42</v>
      </c>
      <c r="D25" s="28" t="s">
        <v>25</v>
      </c>
      <c r="E25" s="28" t="s">
        <v>25</v>
      </c>
      <c r="F25" s="28" t="s">
        <v>25</v>
      </c>
      <c r="G25" s="29" t="s">
        <v>84</v>
      </c>
      <c r="H25" s="29" t="s">
        <v>78</v>
      </c>
      <c r="I25" s="29">
        <f>'MERCADO TE'!$U$22</f>
        <v>3112.8609999999999</v>
      </c>
      <c r="J25" s="15"/>
      <c r="L25" s="26">
        <f>'TE BE'!$L$25*'TE BF'!$L$50</f>
        <v>0</v>
      </c>
      <c r="M25" s="26">
        <f>'TE BE'!$M$25*'TE BF'!$M$50</f>
        <v>0</v>
      </c>
      <c r="N25" s="26">
        <f>'TE BE'!$N$25*'TE BF'!$N$50</f>
        <v>0</v>
      </c>
      <c r="O25" s="26">
        <f>'TE BE'!$O$25*'TE BF'!$O$50</f>
        <v>0.41584525677898349</v>
      </c>
      <c r="P25" s="26">
        <f>'TE BE'!$P$25*'TE BF'!$P$50</f>
        <v>0</v>
      </c>
      <c r="Q25" s="26">
        <f>SUM($L$25:$P$25)</f>
        <v>0.41584525677898349</v>
      </c>
      <c r="R25" s="26">
        <f>'TE BE'!$R$25*'TE BF'!$R$50</f>
        <v>-1.2221649762778402</v>
      </c>
      <c r="S25" s="26">
        <f>SUM($R$25:$R$25)</f>
        <v>-1.2221649762778402</v>
      </c>
      <c r="T25" s="26">
        <f>'TE BE'!$T$25*'TE BF'!$T$50</f>
        <v>0</v>
      </c>
      <c r="U25" s="26">
        <f>'TE BE'!$U$25*'TE BF'!$U$50</f>
        <v>0</v>
      </c>
      <c r="V25" s="26">
        <f>'TE BE'!$V$25*'TE BF'!$V$50</f>
        <v>0</v>
      </c>
      <c r="W25" s="26">
        <f>SUM($T$25:$V$25)</f>
        <v>0</v>
      </c>
      <c r="X25" s="26">
        <f>'TE BE'!$AB$25*'TE BF'!$X$50</f>
        <v>0</v>
      </c>
      <c r="Y25" s="26">
        <f>SUM($X$25:$X$25)</f>
        <v>0</v>
      </c>
      <c r="Z25" s="26">
        <f>'TE BE'!$Z$25*'TE BF'!$Z$50</f>
        <v>0</v>
      </c>
      <c r="AA25" s="26">
        <f>SUM($Z$25:$Z$25)</f>
        <v>0</v>
      </c>
      <c r="AB25" s="26">
        <f>SUMIF($L$4:$AA$4,"SUBTOTAL",$L$25:$AA$25)</f>
        <v>-0.80631971949885672</v>
      </c>
    </row>
    <row r="26" spans="1:28" ht="11.25" customHeight="1" x14ac:dyDescent="0.3">
      <c r="A26" s="151"/>
      <c r="B26" s="151" t="s">
        <v>77</v>
      </c>
      <c r="C26" s="151" t="s">
        <v>42</v>
      </c>
      <c r="D26" s="151" t="s">
        <v>93</v>
      </c>
      <c r="E26" s="151" t="s">
        <v>25</v>
      </c>
      <c r="F26" s="151" t="s">
        <v>25</v>
      </c>
      <c r="G26" s="29" t="s">
        <v>79</v>
      </c>
      <c r="H26" s="29" t="s">
        <v>78</v>
      </c>
      <c r="I26" s="29">
        <f>'MERCADO TE'!$U$23</f>
        <v>0</v>
      </c>
      <c r="J26" s="15"/>
      <c r="L26" s="26">
        <f>'TE BE'!$L$26*'TE BF'!$L$50</f>
        <v>0</v>
      </c>
      <c r="M26" s="26">
        <f>'TE BE'!$M$26*'TE BF'!$M$50</f>
        <v>0</v>
      </c>
      <c r="N26" s="26">
        <f>'TE BE'!$N$26*'TE BF'!$N$50</f>
        <v>0</v>
      </c>
      <c r="O26" s="26">
        <f>'TE BE'!$O$26*'TE BF'!$O$50</f>
        <v>0.41584525677898349</v>
      </c>
      <c r="P26" s="26">
        <f>'TE BE'!$P$26*'TE BF'!$P$50</f>
        <v>0</v>
      </c>
      <c r="Q26" s="26">
        <f>SUM($L$26:$P$26)</f>
        <v>0.41584525677898349</v>
      </c>
      <c r="R26" s="26">
        <f>'TE BE'!$R$26*'TE BF'!$R$50</f>
        <v>-1.9831356218847969</v>
      </c>
      <c r="S26" s="26">
        <f>SUM($R$26:$R$26)</f>
        <v>-1.9831356218847969</v>
      </c>
      <c r="T26" s="26">
        <f>'TE BE'!$T$26*'TE BF'!$T$50</f>
        <v>0</v>
      </c>
      <c r="U26" s="26">
        <f>'TE BE'!$U$26*'TE BF'!$U$50</f>
        <v>0</v>
      </c>
      <c r="V26" s="26">
        <f>'TE BE'!$V$26*'TE BF'!$V$50</f>
        <v>0</v>
      </c>
      <c r="W26" s="26">
        <f>SUM($T$26:$V$26)</f>
        <v>0</v>
      </c>
      <c r="X26" s="26">
        <f>'TE BE'!$AB$26*'TE BF'!$X$50</f>
        <v>0</v>
      </c>
      <c r="Y26" s="26">
        <f>SUM($X$26:$X$26)</f>
        <v>0</v>
      </c>
      <c r="Z26" s="26">
        <f>'TE BE'!$Z$26*'TE BF'!$Z$50</f>
        <v>0</v>
      </c>
      <c r="AA26" s="26">
        <f>SUM($Z$26:$Z$26)</f>
        <v>0</v>
      </c>
      <c r="AB26" s="26">
        <f>SUMIF($L$4:$AA$4,"SUBTOTAL",$L$26:$AA$26)</f>
        <v>-1.5672903651058134</v>
      </c>
    </row>
    <row r="27" spans="1:28" ht="11.25" customHeight="1" x14ac:dyDescent="0.3">
      <c r="A27" s="151"/>
      <c r="B27" s="151"/>
      <c r="C27" s="151"/>
      <c r="D27" s="151"/>
      <c r="E27" s="151"/>
      <c r="F27" s="151"/>
      <c r="G27" s="29" t="s">
        <v>89</v>
      </c>
      <c r="H27" s="29" t="s">
        <v>78</v>
      </c>
      <c r="I27" s="29">
        <f>'MERCADO TE'!$U$24</f>
        <v>0</v>
      </c>
      <c r="J27" s="15"/>
      <c r="L27" s="26">
        <f>'TE BE'!$L$27*'TE BF'!$L$50</f>
        <v>0</v>
      </c>
      <c r="M27" s="26">
        <f>'TE BE'!$M$27*'TE BF'!$M$50</f>
        <v>0</v>
      </c>
      <c r="N27" s="26">
        <f>'TE BE'!$N$27*'TE BF'!$N$50</f>
        <v>0</v>
      </c>
      <c r="O27" s="26">
        <f>'TE BE'!$O$27*'TE BF'!$O$50</f>
        <v>0.41584525677898349</v>
      </c>
      <c r="P27" s="26">
        <f>'TE BE'!$P$27*'TE BF'!$P$50</f>
        <v>0</v>
      </c>
      <c r="Q27" s="26">
        <f>SUM($L$27:$P$27)</f>
        <v>0.41584525677898349</v>
      </c>
      <c r="R27" s="26">
        <f>'TE BE'!$R$27*'TE BF'!$R$50</f>
        <v>-1.1529858266772075</v>
      </c>
      <c r="S27" s="26">
        <f>SUM($R$27:$R$27)</f>
        <v>-1.1529858266772075</v>
      </c>
      <c r="T27" s="26">
        <f>'TE BE'!$T$27*'TE BF'!$T$50</f>
        <v>0</v>
      </c>
      <c r="U27" s="26">
        <f>'TE BE'!$U$27*'TE BF'!$U$50</f>
        <v>0</v>
      </c>
      <c r="V27" s="26">
        <f>'TE BE'!$V$27*'TE BF'!$V$50</f>
        <v>0</v>
      </c>
      <c r="W27" s="26">
        <f>SUM($T$27:$V$27)</f>
        <v>0</v>
      </c>
      <c r="X27" s="26">
        <f>'TE BE'!$AB$27*'TE BF'!$X$50</f>
        <v>0</v>
      </c>
      <c r="Y27" s="26">
        <f>SUM($X$27:$X$27)</f>
        <v>0</v>
      </c>
      <c r="Z27" s="26">
        <f>'TE BE'!$Z$27*'TE BF'!$Z$50</f>
        <v>0</v>
      </c>
      <c r="AA27" s="26">
        <f>SUM($Z$27:$Z$27)</f>
        <v>0</v>
      </c>
      <c r="AB27" s="26">
        <f>SUMIF($L$4:$AA$4,"SUBTOTAL",$L$27:$AA$27)</f>
        <v>-0.73714056989822407</v>
      </c>
    </row>
    <row r="28" spans="1:28" ht="11.25" customHeight="1" x14ac:dyDescent="0.3">
      <c r="A28" s="151"/>
      <c r="B28" s="151"/>
      <c r="C28" s="151"/>
      <c r="D28" s="151"/>
      <c r="E28" s="151"/>
      <c r="F28" s="151"/>
      <c r="G28" s="29" t="s">
        <v>80</v>
      </c>
      <c r="H28" s="29" t="s">
        <v>78</v>
      </c>
      <c r="I28" s="29">
        <f>'MERCADO TE'!$U$25</f>
        <v>0</v>
      </c>
      <c r="J28" s="15"/>
      <c r="L28" s="26">
        <f>'TE BE'!$L$28*'TE BF'!$L$50</f>
        <v>0</v>
      </c>
      <c r="M28" s="26">
        <f>'TE BE'!$M$28*'TE BF'!$M$50</f>
        <v>0</v>
      </c>
      <c r="N28" s="26">
        <f>'TE BE'!$N$28*'TE BF'!$N$50</f>
        <v>0</v>
      </c>
      <c r="O28" s="26">
        <f>'TE BE'!$O$28*'TE BF'!$O$50</f>
        <v>0.41584525677898349</v>
      </c>
      <c r="P28" s="26">
        <f>'TE BE'!$P$28*'TE BF'!$P$50</f>
        <v>0</v>
      </c>
      <c r="Q28" s="26">
        <f>SUM($L$28:$P$28)</f>
        <v>0.41584525677898349</v>
      </c>
      <c r="R28" s="26">
        <f>'TE BE'!$R$28*'TE BF'!$R$50</f>
        <v>-1.1529858266772075</v>
      </c>
      <c r="S28" s="26">
        <f>SUM($R$28:$R$28)</f>
        <v>-1.1529858266772075</v>
      </c>
      <c r="T28" s="26">
        <f>'TE BE'!$T$28*'TE BF'!$T$50</f>
        <v>0</v>
      </c>
      <c r="U28" s="26">
        <f>'TE BE'!$U$28*'TE BF'!$U$50</f>
        <v>0</v>
      </c>
      <c r="V28" s="26">
        <f>'TE BE'!$V$28*'TE BF'!$V$50</f>
        <v>0</v>
      </c>
      <c r="W28" s="26">
        <f>SUM($T$28:$V$28)</f>
        <v>0</v>
      </c>
      <c r="X28" s="26">
        <f>'TE BE'!$AB$28*'TE BF'!$X$50</f>
        <v>0</v>
      </c>
      <c r="Y28" s="26">
        <f>SUM($X$28:$X$28)</f>
        <v>0</v>
      </c>
      <c r="Z28" s="26">
        <f>'TE BE'!$Z$28*'TE BF'!$Z$50</f>
        <v>0</v>
      </c>
      <c r="AA28" s="26">
        <f>SUM($Z$28:$Z$28)</f>
        <v>0</v>
      </c>
      <c r="AB28" s="26">
        <f>SUMIF($L$4:$AA$4,"SUBTOTAL",$L$28:$AA$28)</f>
        <v>-0.73714056989822407</v>
      </c>
    </row>
    <row r="29" spans="1:28" ht="11.25" customHeight="1" x14ac:dyDescent="0.3">
      <c r="A29" s="151"/>
      <c r="B29" s="28" t="s">
        <v>90</v>
      </c>
      <c r="C29" s="28" t="s">
        <v>42</v>
      </c>
      <c r="D29" s="28" t="s">
        <v>93</v>
      </c>
      <c r="E29" s="28" t="s">
        <v>25</v>
      </c>
      <c r="F29" s="28" t="s">
        <v>25</v>
      </c>
      <c r="G29" s="29" t="s">
        <v>84</v>
      </c>
      <c r="H29" s="29" t="s">
        <v>78</v>
      </c>
      <c r="I29" s="29">
        <f>'MERCADO TE'!$U$26</f>
        <v>0</v>
      </c>
      <c r="J29" s="15"/>
      <c r="L29" s="26">
        <f>'TE BE'!$L$29*'TE BF'!$L$50</f>
        <v>0</v>
      </c>
      <c r="M29" s="26">
        <f>'TE BE'!$M$29*'TE BF'!$M$50</f>
        <v>0</v>
      </c>
      <c r="N29" s="26">
        <f>'TE BE'!$N$29*'TE BF'!$N$50</f>
        <v>0</v>
      </c>
      <c r="O29" s="26">
        <f>'TE BE'!$O$29*'TE BF'!$O$50</f>
        <v>0.41584525677898349</v>
      </c>
      <c r="P29" s="26">
        <f>'TE BE'!$P$29*'TE BF'!$P$50</f>
        <v>0</v>
      </c>
      <c r="Q29" s="26">
        <f>SUM($L$29:$P$29)</f>
        <v>0.41584525677898349</v>
      </c>
      <c r="R29" s="26">
        <f>'TE BE'!$R$29*'TE BF'!$R$50</f>
        <v>-1.2221649762778402</v>
      </c>
      <c r="S29" s="26">
        <f>SUM($R$29:$R$29)</f>
        <v>-1.2221649762778402</v>
      </c>
      <c r="T29" s="26">
        <f>'TE BE'!$T$29*'TE BF'!$T$50</f>
        <v>0</v>
      </c>
      <c r="U29" s="26">
        <f>'TE BE'!$U$29*'TE BF'!$U$50</f>
        <v>0</v>
      </c>
      <c r="V29" s="26">
        <f>'TE BE'!$V$29*'TE BF'!$V$50</f>
        <v>0</v>
      </c>
      <c r="W29" s="26">
        <f>SUM($T$29:$V$29)</f>
        <v>0</v>
      </c>
      <c r="X29" s="26">
        <f>'TE BE'!$AB$29*'TE BF'!$X$50</f>
        <v>0</v>
      </c>
      <c r="Y29" s="26">
        <f>SUM($X$29:$X$29)</f>
        <v>0</v>
      </c>
      <c r="Z29" s="26">
        <f>'TE BE'!$Z$29*'TE BF'!$Z$50</f>
        <v>0</v>
      </c>
      <c r="AA29" s="26">
        <f>SUM($Z$29:$Z$29)</f>
        <v>0</v>
      </c>
      <c r="AB29" s="26">
        <f>SUMIF($L$4:$AA$4,"SUBTOTAL",$L$29:$AA$29)</f>
        <v>-0.80631971949885672</v>
      </c>
    </row>
    <row r="30" spans="1:28" ht="11.25" customHeight="1" x14ac:dyDescent="0.3">
      <c r="A30" s="151"/>
      <c r="B30" s="151" t="s">
        <v>77</v>
      </c>
      <c r="C30" s="151" t="s">
        <v>42</v>
      </c>
      <c r="D30" s="151" t="s">
        <v>94</v>
      </c>
      <c r="E30" s="151" t="s">
        <v>25</v>
      </c>
      <c r="F30" s="151" t="s">
        <v>25</v>
      </c>
      <c r="G30" s="29" t="s">
        <v>79</v>
      </c>
      <c r="H30" s="29" t="s">
        <v>78</v>
      </c>
      <c r="I30" s="29">
        <f>'MERCADO TE'!$U$27</f>
        <v>0</v>
      </c>
      <c r="J30" s="15"/>
      <c r="L30" s="26">
        <f>'TE BE'!$L$30*'TE BF'!$L$50</f>
        <v>0</v>
      </c>
      <c r="M30" s="26">
        <f>'TE BE'!$M$30*'TE BF'!$M$50</f>
        <v>0</v>
      </c>
      <c r="N30" s="26">
        <f>'TE BE'!$N$30*'TE BF'!$N$50</f>
        <v>0</v>
      </c>
      <c r="O30" s="26">
        <f>'TE BE'!$O$30*'TE BF'!$O$50</f>
        <v>0.41584525677898349</v>
      </c>
      <c r="P30" s="26">
        <f>'TE BE'!$P$30*'TE BF'!$P$50</f>
        <v>0</v>
      </c>
      <c r="Q30" s="26">
        <f>SUM($L$30:$P$30)</f>
        <v>0.41584525677898349</v>
      </c>
      <c r="R30" s="26">
        <f>'TE BE'!$R$30*'TE BF'!$R$50</f>
        <v>-1.9831356218847969</v>
      </c>
      <c r="S30" s="26">
        <f>SUM($R$30:$R$30)</f>
        <v>-1.9831356218847969</v>
      </c>
      <c r="T30" s="26">
        <f>'TE BE'!$T$30*'TE BF'!$T$50</f>
        <v>0</v>
      </c>
      <c r="U30" s="26">
        <f>'TE BE'!$U$30*'TE BF'!$U$50</f>
        <v>0</v>
      </c>
      <c r="V30" s="26">
        <f>'TE BE'!$V$30*'TE BF'!$V$50</f>
        <v>0</v>
      </c>
      <c r="W30" s="26">
        <f>SUM($T$30:$V$30)</f>
        <v>0</v>
      </c>
      <c r="X30" s="26">
        <f>'TE BE'!$AB$30*'TE BF'!$X$50</f>
        <v>0</v>
      </c>
      <c r="Y30" s="26">
        <f>SUM($X$30:$X$30)</f>
        <v>0</v>
      </c>
      <c r="Z30" s="26">
        <f>'TE BE'!$Z$30*'TE BF'!$Z$50</f>
        <v>0</v>
      </c>
      <c r="AA30" s="26">
        <f>SUM($Z$30:$Z$30)</f>
        <v>0</v>
      </c>
      <c r="AB30" s="26">
        <f>SUMIF($L$4:$AA$4,"SUBTOTAL",$L$30:$AA$30)</f>
        <v>-1.5672903651058134</v>
      </c>
    </row>
    <row r="31" spans="1:28" ht="11.25" customHeight="1" x14ac:dyDescent="0.3">
      <c r="A31" s="151"/>
      <c r="B31" s="151"/>
      <c r="C31" s="151"/>
      <c r="D31" s="151"/>
      <c r="E31" s="151"/>
      <c r="F31" s="151"/>
      <c r="G31" s="29" t="s">
        <v>89</v>
      </c>
      <c r="H31" s="29" t="s">
        <v>78</v>
      </c>
      <c r="I31" s="29">
        <f>'MERCADO TE'!$U$28</f>
        <v>0</v>
      </c>
      <c r="J31" s="15"/>
      <c r="L31" s="26">
        <f>'TE BE'!$L$31*'TE BF'!$L$50</f>
        <v>0</v>
      </c>
      <c r="M31" s="26">
        <f>'TE BE'!$M$31*'TE BF'!$M$50</f>
        <v>0</v>
      </c>
      <c r="N31" s="26">
        <f>'TE BE'!$N$31*'TE BF'!$N$50</f>
        <v>0</v>
      </c>
      <c r="O31" s="26">
        <f>'TE BE'!$O$31*'TE BF'!$O$50</f>
        <v>0.41584525677898349</v>
      </c>
      <c r="P31" s="26">
        <f>'TE BE'!$P$31*'TE BF'!$P$50</f>
        <v>0</v>
      </c>
      <c r="Q31" s="26">
        <f>SUM($L$31:$P$31)</f>
        <v>0.41584525677898349</v>
      </c>
      <c r="R31" s="26">
        <f>'TE BE'!$R$31*'TE BF'!$R$50</f>
        <v>-1.1529858266772075</v>
      </c>
      <c r="S31" s="26">
        <f>SUM($R$31:$R$31)</f>
        <v>-1.1529858266772075</v>
      </c>
      <c r="T31" s="26">
        <f>'TE BE'!$T$31*'TE BF'!$T$50</f>
        <v>0</v>
      </c>
      <c r="U31" s="26">
        <f>'TE BE'!$U$31*'TE BF'!$U$50</f>
        <v>0</v>
      </c>
      <c r="V31" s="26">
        <f>'TE BE'!$V$31*'TE BF'!$V$50</f>
        <v>0</v>
      </c>
      <c r="W31" s="26">
        <f>SUM($T$31:$V$31)</f>
        <v>0</v>
      </c>
      <c r="X31" s="26">
        <f>'TE BE'!$AB$31*'TE BF'!$X$50</f>
        <v>0</v>
      </c>
      <c r="Y31" s="26">
        <f>SUM($X$31:$X$31)</f>
        <v>0</v>
      </c>
      <c r="Z31" s="26">
        <f>'TE BE'!$Z$31*'TE BF'!$Z$50</f>
        <v>0</v>
      </c>
      <c r="AA31" s="26">
        <f>SUM($Z$31:$Z$31)</f>
        <v>0</v>
      </c>
      <c r="AB31" s="26">
        <f>SUMIF($L$4:$AA$4,"SUBTOTAL",$L$31:$AA$31)</f>
        <v>-0.73714056989822407</v>
      </c>
    </row>
    <row r="32" spans="1:28" ht="11.25" customHeight="1" x14ac:dyDescent="0.3">
      <c r="A32" s="151"/>
      <c r="B32" s="151"/>
      <c r="C32" s="151"/>
      <c r="D32" s="151"/>
      <c r="E32" s="151"/>
      <c r="F32" s="151"/>
      <c r="G32" s="29" t="s">
        <v>80</v>
      </c>
      <c r="H32" s="29" t="s">
        <v>78</v>
      </c>
      <c r="I32" s="29">
        <f>'MERCADO TE'!$U$29</f>
        <v>0</v>
      </c>
      <c r="J32" s="15"/>
      <c r="L32" s="26">
        <f>'TE BE'!$L$32*'TE BF'!$L$50</f>
        <v>0</v>
      </c>
      <c r="M32" s="26">
        <f>'TE BE'!$M$32*'TE BF'!$M$50</f>
        <v>0</v>
      </c>
      <c r="N32" s="26">
        <f>'TE BE'!$N$32*'TE BF'!$N$50</f>
        <v>0</v>
      </c>
      <c r="O32" s="26">
        <f>'TE BE'!$O$32*'TE BF'!$O$50</f>
        <v>0.41584525677898349</v>
      </c>
      <c r="P32" s="26">
        <f>'TE BE'!$P$32*'TE BF'!$P$50</f>
        <v>0</v>
      </c>
      <c r="Q32" s="26">
        <f>SUM($L$32:$P$32)</f>
        <v>0.41584525677898349</v>
      </c>
      <c r="R32" s="26">
        <f>'TE BE'!$R$32*'TE BF'!$R$50</f>
        <v>-1.1529858266772075</v>
      </c>
      <c r="S32" s="26">
        <f>SUM($R$32:$R$32)</f>
        <v>-1.1529858266772075</v>
      </c>
      <c r="T32" s="26">
        <f>'TE BE'!$T$32*'TE BF'!$T$50</f>
        <v>0</v>
      </c>
      <c r="U32" s="26">
        <f>'TE BE'!$U$32*'TE BF'!$U$50</f>
        <v>0</v>
      </c>
      <c r="V32" s="26">
        <f>'TE BE'!$V$32*'TE BF'!$V$50</f>
        <v>0</v>
      </c>
      <c r="W32" s="26">
        <f>SUM($T$32:$V$32)</f>
        <v>0</v>
      </c>
      <c r="X32" s="26">
        <f>'TE BE'!$AB$32*'TE BF'!$X$50</f>
        <v>0</v>
      </c>
      <c r="Y32" s="26">
        <f>SUM($X$32:$X$32)</f>
        <v>0</v>
      </c>
      <c r="Z32" s="26">
        <f>'TE BE'!$Z$32*'TE BF'!$Z$50</f>
        <v>0</v>
      </c>
      <c r="AA32" s="26">
        <f>SUM($Z$32:$Z$32)</f>
        <v>0</v>
      </c>
      <c r="AB32" s="26">
        <f>SUMIF($L$4:$AA$4,"SUBTOTAL",$L$32:$AA$32)</f>
        <v>-0.73714056989822407</v>
      </c>
    </row>
    <row r="33" spans="1:28" ht="11.25" customHeight="1" x14ac:dyDescent="0.3">
      <c r="A33" s="151"/>
      <c r="B33" s="28" t="s">
        <v>90</v>
      </c>
      <c r="C33" s="28" t="s">
        <v>42</v>
      </c>
      <c r="D33" s="28" t="s">
        <v>94</v>
      </c>
      <c r="E33" s="28" t="s">
        <v>25</v>
      </c>
      <c r="F33" s="28" t="s">
        <v>25</v>
      </c>
      <c r="G33" s="29" t="s">
        <v>84</v>
      </c>
      <c r="H33" s="29" t="s">
        <v>78</v>
      </c>
      <c r="I33" s="29">
        <f>'MERCADO TE'!$U$30</f>
        <v>0</v>
      </c>
      <c r="J33" s="15"/>
      <c r="L33" s="26">
        <f>'TE BE'!$L$33*'TE BF'!$L$50</f>
        <v>0</v>
      </c>
      <c r="M33" s="26">
        <f>'TE BE'!$M$33*'TE BF'!$M$50</f>
        <v>0</v>
      </c>
      <c r="N33" s="26">
        <f>'TE BE'!$N$33*'TE BF'!$N$50</f>
        <v>0</v>
      </c>
      <c r="O33" s="26">
        <f>'TE BE'!$O$33*'TE BF'!$O$50</f>
        <v>0.41584525677898349</v>
      </c>
      <c r="P33" s="26">
        <f>'TE BE'!$P$33*'TE BF'!$P$50</f>
        <v>0</v>
      </c>
      <c r="Q33" s="26">
        <f>SUM($L$33:$P$33)</f>
        <v>0.41584525677898349</v>
      </c>
      <c r="R33" s="26">
        <f>'TE BE'!$R$33*'TE BF'!$R$50</f>
        <v>-1.2221649762778402</v>
      </c>
      <c r="S33" s="26">
        <f>SUM($R$33:$R$33)</f>
        <v>-1.2221649762778402</v>
      </c>
      <c r="T33" s="26">
        <f>'TE BE'!$T$33*'TE BF'!$T$50</f>
        <v>0</v>
      </c>
      <c r="U33" s="26">
        <f>'TE BE'!$U$33*'TE BF'!$U$50</f>
        <v>0</v>
      </c>
      <c r="V33" s="26">
        <f>'TE BE'!$V$33*'TE BF'!$V$50</f>
        <v>0</v>
      </c>
      <c r="W33" s="26">
        <f>SUM($T$33:$V$33)</f>
        <v>0</v>
      </c>
      <c r="X33" s="26">
        <f>'TE BE'!$AB$33*'TE BF'!$X$50</f>
        <v>0</v>
      </c>
      <c r="Y33" s="26">
        <f>SUM($X$33:$X$33)</f>
        <v>0</v>
      </c>
      <c r="Z33" s="26">
        <f>'TE BE'!$Z$33*'TE BF'!$Z$50</f>
        <v>0</v>
      </c>
      <c r="AA33" s="26">
        <f>SUM($Z$33:$Z$33)</f>
        <v>0</v>
      </c>
      <c r="AB33" s="26">
        <f>SUMIF($L$4:$AA$4,"SUBTOTAL",$L$33:$AA$33)</f>
        <v>-0.80631971949885672</v>
      </c>
    </row>
    <row r="34" spans="1:28" ht="11.25" customHeight="1" x14ac:dyDescent="0.3">
      <c r="A34" s="151"/>
      <c r="B34" s="151" t="s">
        <v>91</v>
      </c>
      <c r="C34" s="151" t="s">
        <v>42</v>
      </c>
      <c r="D34" s="28" t="s">
        <v>25</v>
      </c>
      <c r="E34" s="28" t="s">
        <v>25</v>
      </c>
      <c r="F34" s="28" t="s">
        <v>25</v>
      </c>
      <c r="G34" s="29" t="s">
        <v>84</v>
      </c>
      <c r="H34" s="29" t="s">
        <v>78</v>
      </c>
      <c r="I34" s="29">
        <f>'MERCADO TE'!$U$31</f>
        <v>0</v>
      </c>
      <c r="J34" s="15"/>
      <c r="L34" s="26">
        <f>'TE BE'!$L$34*'TE BF'!$L$50</f>
        <v>0</v>
      </c>
      <c r="M34" s="26">
        <f>'TE BE'!$M$34*'TE BF'!$M$50</f>
        <v>0</v>
      </c>
      <c r="N34" s="26">
        <f>'TE BE'!$N$34*'TE BF'!$N$50</f>
        <v>0</v>
      </c>
      <c r="O34" s="26">
        <f>'TE BE'!$O$34*'TE BF'!$O$50</f>
        <v>0.41584525677898349</v>
      </c>
      <c r="P34" s="26">
        <f>'TE BE'!$P$34*'TE BF'!$P$50</f>
        <v>0</v>
      </c>
      <c r="Q34" s="26">
        <f>SUM($L$34:$P$34)</f>
        <v>0.41584525677898349</v>
      </c>
      <c r="R34" s="26">
        <f>'TE BE'!$R$34*'TE BF'!$R$50</f>
        <v>-1.2221649762778402</v>
      </c>
      <c r="S34" s="26">
        <f>SUM($R$34:$R$34)</f>
        <v>-1.2221649762778402</v>
      </c>
      <c r="T34" s="26">
        <f>'TE BE'!$T$34*'TE BF'!$T$50</f>
        <v>0</v>
      </c>
      <c r="U34" s="26">
        <f>'TE BE'!$U$34*'TE BF'!$U$50</f>
        <v>0</v>
      </c>
      <c r="V34" s="26">
        <f>'TE BE'!$V$34*'TE BF'!$V$50</f>
        <v>0</v>
      </c>
      <c r="W34" s="26">
        <f>SUM($T$34:$V$34)</f>
        <v>0</v>
      </c>
      <c r="X34" s="26">
        <f>'TE BE'!$AB$34*'TE BF'!$X$50</f>
        <v>0</v>
      </c>
      <c r="Y34" s="26">
        <f>SUM($X$34:$X$34)</f>
        <v>0</v>
      </c>
      <c r="Z34" s="26">
        <f>'TE BE'!$Z$34*'TE BF'!$Z$50</f>
        <v>0</v>
      </c>
      <c r="AA34" s="26">
        <f>SUM($Z$34:$Z$34)</f>
        <v>0</v>
      </c>
      <c r="AB34" s="26">
        <f>SUMIF($L$4:$AA$4,"SUBTOTAL",$L$34:$AA$34)</f>
        <v>-0.80631971949885672</v>
      </c>
    </row>
    <row r="35" spans="1:28" ht="11.25" customHeight="1" x14ac:dyDescent="0.3">
      <c r="A35" s="151"/>
      <c r="B35" s="151"/>
      <c r="C35" s="151"/>
      <c r="D35" s="28" t="s">
        <v>93</v>
      </c>
      <c r="E35" s="28" t="s">
        <v>25</v>
      </c>
      <c r="F35" s="28" t="s">
        <v>25</v>
      </c>
      <c r="G35" s="29" t="s">
        <v>84</v>
      </c>
      <c r="H35" s="29" t="s">
        <v>78</v>
      </c>
      <c r="I35" s="29">
        <f>'MERCADO TE'!$U$32</f>
        <v>0</v>
      </c>
      <c r="J35" s="15"/>
      <c r="L35" s="26">
        <f>'TE BE'!$L$35*'TE BF'!$L$50</f>
        <v>0</v>
      </c>
      <c r="M35" s="26">
        <f>'TE BE'!$M$35*'TE BF'!$M$50</f>
        <v>0</v>
      </c>
      <c r="N35" s="26">
        <f>'TE BE'!$N$35*'TE BF'!$N$50</f>
        <v>0</v>
      </c>
      <c r="O35" s="26">
        <f>'TE BE'!$O$35*'TE BF'!$O$50</f>
        <v>0.41584525677898349</v>
      </c>
      <c r="P35" s="26">
        <f>'TE BE'!$P$35*'TE BF'!$P$50</f>
        <v>0</v>
      </c>
      <c r="Q35" s="26">
        <f>SUM($L$35:$P$35)</f>
        <v>0.41584525677898349</v>
      </c>
      <c r="R35" s="26">
        <f>'TE BE'!$R$35*'TE BF'!$R$50</f>
        <v>-1.2221649762778402</v>
      </c>
      <c r="S35" s="26">
        <f>SUM($R$35:$R$35)</f>
        <v>-1.2221649762778402</v>
      </c>
      <c r="T35" s="26">
        <f>'TE BE'!$T$35*'TE BF'!$T$50</f>
        <v>0</v>
      </c>
      <c r="U35" s="26">
        <f>'TE BE'!$U$35*'TE BF'!$U$50</f>
        <v>0</v>
      </c>
      <c r="V35" s="26">
        <f>'TE BE'!$V$35*'TE BF'!$V$50</f>
        <v>0</v>
      </c>
      <c r="W35" s="26">
        <f>SUM($T$35:$V$35)</f>
        <v>0</v>
      </c>
      <c r="X35" s="26">
        <f>'TE BE'!$AB$35*'TE BF'!$X$50</f>
        <v>0</v>
      </c>
      <c r="Y35" s="26">
        <f>SUM($X$35:$X$35)</f>
        <v>0</v>
      </c>
      <c r="Z35" s="26">
        <f>'TE BE'!$Z$35*'TE BF'!$Z$50</f>
        <v>0</v>
      </c>
      <c r="AA35" s="26">
        <f>SUM($Z$35:$Z$35)</f>
        <v>0</v>
      </c>
      <c r="AB35" s="26">
        <f>SUMIF($L$4:$AA$4,"SUBTOTAL",$L$35:$AA$35)</f>
        <v>-0.80631971949885672</v>
      </c>
    </row>
    <row r="36" spans="1:28" ht="11.25" customHeight="1" x14ac:dyDescent="0.3">
      <c r="A36" s="151"/>
      <c r="B36" s="151"/>
      <c r="C36" s="151"/>
      <c r="D36" s="28" t="s">
        <v>94</v>
      </c>
      <c r="E36" s="28" t="s">
        <v>25</v>
      </c>
      <c r="F36" s="28" t="s">
        <v>25</v>
      </c>
      <c r="G36" s="29" t="s">
        <v>84</v>
      </c>
      <c r="H36" s="29" t="s">
        <v>78</v>
      </c>
      <c r="I36" s="29">
        <f>'MERCADO TE'!$U$33</f>
        <v>0</v>
      </c>
      <c r="J36" s="15"/>
      <c r="L36" s="26">
        <f>'TE BE'!$L$36*'TE BF'!$L$50</f>
        <v>0</v>
      </c>
      <c r="M36" s="26">
        <f>'TE BE'!$M$36*'TE BF'!$M$50</f>
        <v>0</v>
      </c>
      <c r="N36" s="26">
        <f>'TE BE'!$N$36*'TE BF'!$N$50</f>
        <v>0</v>
      </c>
      <c r="O36" s="26">
        <f>'TE BE'!$O$36*'TE BF'!$O$50</f>
        <v>0.41584525677898349</v>
      </c>
      <c r="P36" s="26">
        <f>'TE BE'!$P$36*'TE BF'!$P$50</f>
        <v>0</v>
      </c>
      <c r="Q36" s="26">
        <f>SUM($L$36:$P$36)</f>
        <v>0.41584525677898349</v>
      </c>
      <c r="R36" s="26">
        <f>'TE BE'!$R$36*'TE BF'!$R$50</f>
        <v>-1.2221649762778402</v>
      </c>
      <c r="S36" s="26">
        <f>SUM($R$36:$R$36)</f>
        <v>-1.2221649762778402</v>
      </c>
      <c r="T36" s="26">
        <f>'TE BE'!$T$36*'TE BF'!$T$50</f>
        <v>0</v>
      </c>
      <c r="U36" s="26">
        <f>'TE BE'!$U$36*'TE BF'!$U$50</f>
        <v>0</v>
      </c>
      <c r="V36" s="26">
        <f>'TE BE'!$V$36*'TE BF'!$V$50</f>
        <v>0</v>
      </c>
      <c r="W36" s="26">
        <f>SUM($T$36:$V$36)</f>
        <v>0</v>
      </c>
      <c r="X36" s="26">
        <f>'TE BE'!$AB$36*'TE BF'!$X$50</f>
        <v>0</v>
      </c>
      <c r="Y36" s="26">
        <f>SUM($X$36:$X$36)</f>
        <v>0</v>
      </c>
      <c r="Z36" s="26">
        <f>'TE BE'!$Z$36*'TE BF'!$Z$50</f>
        <v>0</v>
      </c>
      <c r="AA36" s="26">
        <f>SUM($Z$36:$Z$36)</f>
        <v>0</v>
      </c>
      <c r="AB36" s="26">
        <f>SUMIF($L$4:$AA$4,"SUBTOTAL",$L$36:$AA$36)</f>
        <v>-0.80631971949885672</v>
      </c>
    </row>
    <row r="37" spans="1:28" ht="11.25" customHeight="1" x14ac:dyDescent="0.3">
      <c r="A37" s="151" t="s">
        <v>32</v>
      </c>
      <c r="B37" s="151" t="s">
        <v>77</v>
      </c>
      <c r="C37" s="151" t="s">
        <v>25</v>
      </c>
      <c r="D37" s="151" t="s">
        <v>25</v>
      </c>
      <c r="E37" s="151" t="s">
        <v>25</v>
      </c>
      <c r="F37" s="151" t="s">
        <v>25</v>
      </c>
      <c r="G37" s="29" t="s">
        <v>79</v>
      </c>
      <c r="H37" s="29" t="s">
        <v>78</v>
      </c>
      <c r="I37" s="29">
        <f>'MERCADO TE'!$U$34</f>
        <v>4.4679999999999991</v>
      </c>
      <c r="J37" s="15"/>
      <c r="L37" s="26">
        <f>'TE BE'!$L$37*'TE BF'!$L$50</f>
        <v>0</v>
      </c>
      <c r="M37" s="26">
        <f>'TE BE'!$M$37*'TE BF'!$M$50</f>
        <v>0</v>
      </c>
      <c r="N37" s="26">
        <f>'TE BE'!$N$37*'TE BF'!$N$50</f>
        <v>0</v>
      </c>
      <c r="O37" s="26">
        <f>'TE BE'!$O$37*'TE BF'!$O$50</f>
        <v>0.41584525677898349</v>
      </c>
      <c r="P37" s="26">
        <f>'TE BE'!$P$37*'TE BF'!$P$50</f>
        <v>0</v>
      </c>
      <c r="Q37" s="26">
        <f>SUM($L$37:$P$37)</f>
        <v>0.41584525677898349</v>
      </c>
      <c r="R37" s="26">
        <f>'TE BE'!$R$37*'TE BF'!$R$50</f>
        <v>-1.9831356218847969</v>
      </c>
      <c r="S37" s="26">
        <f>SUM($R$37:$R$37)</f>
        <v>-1.9831356218847969</v>
      </c>
      <c r="T37" s="26">
        <f>'TE BE'!$T$37*'TE BF'!$T$50</f>
        <v>0</v>
      </c>
      <c r="U37" s="26">
        <f>'TE BE'!$U$37*'TE BF'!$U$50</f>
        <v>0</v>
      </c>
      <c r="V37" s="26">
        <f>'TE BE'!$V$37*'TE BF'!$V$50</f>
        <v>0</v>
      </c>
      <c r="W37" s="26">
        <f>SUM($T$37:$V$37)</f>
        <v>0</v>
      </c>
      <c r="X37" s="26">
        <f>'TE BE'!$AB$37*'TE BF'!$X$50</f>
        <v>0</v>
      </c>
      <c r="Y37" s="26">
        <f>SUM($X$37:$X$37)</f>
        <v>0</v>
      </c>
      <c r="Z37" s="26">
        <f>'TE BE'!$Z$37*'TE BF'!$Z$50</f>
        <v>0</v>
      </c>
      <c r="AA37" s="26">
        <f>SUM($Z$37:$Z$37)</f>
        <v>0</v>
      </c>
      <c r="AB37" s="26">
        <f>SUMIF($L$4:$AA$4,"SUBTOTAL",$L$37:$AA$37)</f>
        <v>-1.5672903651058134</v>
      </c>
    </row>
    <row r="38" spans="1:28" ht="11.25" customHeight="1" x14ac:dyDescent="0.3">
      <c r="A38" s="151"/>
      <c r="B38" s="151"/>
      <c r="C38" s="151"/>
      <c r="D38" s="151"/>
      <c r="E38" s="151"/>
      <c r="F38" s="151"/>
      <c r="G38" s="29" t="s">
        <v>89</v>
      </c>
      <c r="H38" s="29" t="s">
        <v>78</v>
      </c>
      <c r="I38" s="29">
        <f>'MERCADO TE'!$U$35</f>
        <v>4.7860000000000005</v>
      </c>
      <c r="J38" s="15"/>
      <c r="L38" s="26">
        <f>'TE BE'!$L$38*'TE BF'!$L$50</f>
        <v>0</v>
      </c>
      <c r="M38" s="26">
        <f>'TE BE'!$M$38*'TE BF'!$M$50</f>
        <v>0</v>
      </c>
      <c r="N38" s="26">
        <f>'TE BE'!$N$38*'TE BF'!$N$50</f>
        <v>0</v>
      </c>
      <c r="O38" s="26">
        <f>'TE BE'!$O$38*'TE BF'!$O$50</f>
        <v>0.41584525677898349</v>
      </c>
      <c r="P38" s="26">
        <f>'TE BE'!$P$38*'TE BF'!$P$50</f>
        <v>0</v>
      </c>
      <c r="Q38" s="26">
        <f>SUM($L$38:$P$38)</f>
        <v>0.41584525677898349</v>
      </c>
      <c r="R38" s="26">
        <f>'TE BE'!$R$38*'TE BF'!$R$50</f>
        <v>-1.1529858266772075</v>
      </c>
      <c r="S38" s="26">
        <f>SUM($R$38:$R$38)</f>
        <v>-1.1529858266772075</v>
      </c>
      <c r="T38" s="26">
        <f>'TE BE'!$T$38*'TE BF'!$T$50</f>
        <v>0</v>
      </c>
      <c r="U38" s="26">
        <f>'TE BE'!$U$38*'TE BF'!$U$50</f>
        <v>0</v>
      </c>
      <c r="V38" s="26">
        <f>'TE BE'!$V$38*'TE BF'!$V$50</f>
        <v>0</v>
      </c>
      <c r="W38" s="26">
        <f>SUM($T$38:$V$38)</f>
        <v>0</v>
      </c>
      <c r="X38" s="26">
        <f>'TE BE'!$AB$38*'TE BF'!$X$50</f>
        <v>0</v>
      </c>
      <c r="Y38" s="26">
        <f>SUM($X$38:$X$38)</f>
        <v>0</v>
      </c>
      <c r="Z38" s="26">
        <f>'TE BE'!$Z$38*'TE BF'!$Z$50</f>
        <v>0</v>
      </c>
      <c r="AA38" s="26">
        <f>SUM($Z$38:$Z$38)</f>
        <v>0</v>
      </c>
      <c r="AB38" s="26">
        <f>SUMIF($L$4:$AA$4,"SUBTOTAL",$L$38:$AA$38)</f>
        <v>-0.73714056989822407</v>
      </c>
    </row>
    <row r="39" spans="1:28" ht="11.25" customHeight="1" x14ac:dyDescent="0.3">
      <c r="A39" s="151"/>
      <c r="B39" s="151"/>
      <c r="C39" s="151"/>
      <c r="D39" s="151"/>
      <c r="E39" s="151"/>
      <c r="F39" s="151"/>
      <c r="G39" s="29" t="s">
        <v>80</v>
      </c>
      <c r="H39" s="29" t="s">
        <v>78</v>
      </c>
      <c r="I39" s="29">
        <f>'MERCADO TE'!$U$36</f>
        <v>153.63399999999999</v>
      </c>
      <c r="J39" s="15"/>
      <c r="L39" s="26">
        <f>'TE BE'!$L$39*'TE BF'!$L$50</f>
        <v>0</v>
      </c>
      <c r="M39" s="26">
        <f>'TE BE'!$M$39*'TE BF'!$M$50</f>
        <v>0</v>
      </c>
      <c r="N39" s="26">
        <f>'TE BE'!$N$39*'TE BF'!$N$50</f>
        <v>0</v>
      </c>
      <c r="O39" s="26">
        <f>'TE BE'!$O$39*'TE BF'!$O$50</f>
        <v>0.41584525677898349</v>
      </c>
      <c r="P39" s="26">
        <f>'TE BE'!$P$39*'TE BF'!$P$50</f>
        <v>0</v>
      </c>
      <c r="Q39" s="26">
        <f>SUM($L$39:$P$39)</f>
        <v>0.41584525677898349</v>
      </c>
      <c r="R39" s="26">
        <f>'TE BE'!$R$39*'TE BF'!$R$50</f>
        <v>-1.1529858266772075</v>
      </c>
      <c r="S39" s="26">
        <f>SUM($R$39:$R$39)</f>
        <v>-1.1529858266772075</v>
      </c>
      <c r="T39" s="26">
        <f>'TE BE'!$T$39*'TE BF'!$T$50</f>
        <v>0</v>
      </c>
      <c r="U39" s="26">
        <f>'TE BE'!$U$39*'TE BF'!$U$50</f>
        <v>0</v>
      </c>
      <c r="V39" s="26">
        <f>'TE BE'!$V$39*'TE BF'!$V$50</f>
        <v>0</v>
      </c>
      <c r="W39" s="26">
        <f>SUM($T$39:$V$39)</f>
        <v>0</v>
      </c>
      <c r="X39" s="26">
        <f>'TE BE'!$AB$39*'TE BF'!$X$50</f>
        <v>0</v>
      </c>
      <c r="Y39" s="26">
        <f>SUM($X$39:$X$39)</f>
        <v>0</v>
      </c>
      <c r="Z39" s="26">
        <f>'TE BE'!$Z$39*'TE BF'!$Z$50</f>
        <v>0</v>
      </c>
      <c r="AA39" s="26">
        <f>SUM($Z$39:$Z$39)</f>
        <v>0</v>
      </c>
      <c r="AB39" s="26">
        <f>SUMIF($L$4:$AA$4,"SUBTOTAL",$L$39:$AA$39)</f>
        <v>-0.73714056989822407</v>
      </c>
    </row>
    <row r="40" spans="1:28" ht="11.25" customHeight="1" x14ac:dyDescent="0.3">
      <c r="A40" s="151"/>
      <c r="B40" s="28" t="s">
        <v>90</v>
      </c>
      <c r="C40" s="28" t="s">
        <v>25</v>
      </c>
      <c r="D40" s="28" t="s">
        <v>25</v>
      </c>
      <c r="E40" s="28" t="s">
        <v>25</v>
      </c>
      <c r="F40" s="28" t="s">
        <v>25</v>
      </c>
      <c r="G40" s="29" t="s">
        <v>84</v>
      </c>
      <c r="H40" s="29" t="s">
        <v>78</v>
      </c>
      <c r="I40" s="29">
        <f>'MERCADO TE'!$U$37</f>
        <v>6434.8159999999998</v>
      </c>
      <c r="J40" s="15"/>
      <c r="L40" s="26">
        <f>'TE BE'!$L$40*'TE BF'!$L$50</f>
        <v>0</v>
      </c>
      <c r="M40" s="26">
        <f>'TE BE'!$M$40*'TE BF'!$M$50</f>
        <v>0</v>
      </c>
      <c r="N40" s="26">
        <f>'TE BE'!$N$40*'TE BF'!$N$50</f>
        <v>0</v>
      </c>
      <c r="O40" s="26">
        <f>'TE BE'!$O$40*'TE BF'!$O$50</f>
        <v>0.41584525677898349</v>
      </c>
      <c r="P40" s="26">
        <f>'TE BE'!$P$40*'TE BF'!$P$50</f>
        <v>0</v>
      </c>
      <c r="Q40" s="26">
        <f>SUM($L$40:$P$40)</f>
        <v>0.41584525677898349</v>
      </c>
      <c r="R40" s="26">
        <f>'TE BE'!$R$40*'TE BF'!$R$50</f>
        <v>-1.2221649762778402</v>
      </c>
      <c r="S40" s="26">
        <f>SUM($R$40:$R$40)</f>
        <v>-1.2221649762778402</v>
      </c>
      <c r="T40" s="26">
        <f>'TE BE'!$T$40*'TE BF'!$T$50</f>
        <v>0</v>
      </c>
      <c r="U40" s="26">
        <f>'TE BE'!$U$40*'TE BF'!$U$50</f>
        <v>0</v>
      </c>
      <c r="V40" s="26">
        <f>'TE BE'!$V$40*'TE BF'!$V$50</f>
        <v>0</v>
      </c>
      <c r="W40" s="26">
        <f>SUM($T$40:$V$40)</f>
        <v>0</v>
      </c>
      <c r="X40" s="26">
        <f>'TE BE'!$AB$40*'TE BF'!$X$50</f>
        <v>0</v>
      </c>
      <c r="Y40" s="26">
        <f>SUM($X$40:$X$40)</f>
        <v>0</v>
      </c>
      <c r="Z40" s="26">
        <f>'TE BE'!$Z$40*'TE BF'!$Z$50</f>
        <v>0</v>
      </c>
      <c r="AA40" s="26">
        <f>SUM($Z$40:$Z$40)</f>
        <v>0</v>
      </c>
      <c r="AB40" s="26">
        <f>SUMIF($L$4:$AA$4,"SUBTOTAL",$L$40:$AA$40)</f>
        <v>-0.80631971949885672</v>
      </c>
    </row>
    <row r="41" spans="1:28" ht="11.25" customHeight="1" x14ac:dyDescent="0.3">
      <c r="A41" s="151"/>
      <c r="B41" s="28" t="s">
        <v>91</v>
      </c>
      <c r="C41" s="28" t="s">
        <v>25</v>
      </c>
      <c r="D41" s="28" t="s">
        <v>25</v>
      </c>
      <c r="E41" s="28" t="s">
        <v>25</v>
      </c>
      <c r="F41" s="28" t="s">
        <v>25</v>
      </c>
      <c r="G41" s="29" t="s">
        <v>84</v>
      </c>
      <c r="H41" s="29" t="s">
        <v>78</v>
      </c>
      <c r="I41" s="29">
        <f>'MERCADO TE'!$U$38</f>
        <v>0</v>
      </c>
      <c r="J41" s="15"/>
      <c r="L41" s="26">
        <f>'TE BE'!$L$41*'TE BF'!$L$50</f>
        <v>0</v>
      </c>
      <c r="M41" s="26">
        <f>'TE BE'!$M$41*'TE BF'!$M$50</f>
        <v>0</v>
      </c>
      <c r="N41" s="26">
        <f>'TE BE'!$N$41*'TE BF'!$N$50</f>
        <v>0</v>
      </c>
      <c r="O41" s="26">
        <f>'TE BE'!$O$41*'TE BF'!$O$50</f>
        <v>0.41584525677898349</v>
      </c>
      <c r="P41" s="26">
        <f>'TE BE'!$P$41*'TE BF'!$P$50</f>
        <v>0</v>
      </c>
      <c r="Q41" s="26">
        <f>SUM($L$41:$P$41)</f>
        <v>0.41584525677898349</v>
      </c>
      <c r="R41" s="26">
        <f>'TE BE'!$R$41*'TE BF'!$R$50</f>
        <v>-1.2221649762778402</v>
      </c>
      <c r="S41" s="26">
        <f>SUM($R$41:$R$41)</f>
        <v>-1.2221649762778402</v>
      </c>
      <c r="T41" s="26">
        <f>'TE BE'!$T$41*'TE BF'!$T$50</f>
        <v>0</v>
      </c>
      <c r="U41" s="26">
        <f>'TE BE'!$U$41*'TE BF'!$U$50</f>
        <v>0</v>
      </c>
      <c r="V41" s="26">
        <f>'TE BE'!$V$41*'TE BF'!$V$50</f>
        <v>0</v>
      </c>
      <c r="W41" s="26">
        <f>SUM($T$41:$V$41)</f>
        <v>0</v>
      </c>
      <c r="X41" s="26">
        <f>'TE BE'!$AB$41*'TE BF'!$X$50</f>
        <v>0</v>
      </c>
      <c r="Y41" s="26">
        <f>SUM($X$41:$X$41)</f>
        <v>0</v>
      </c>
      <c r="Z41" s="26">
        <f>'TE BE'!$Z$41*'TE BF'!$Z$50</f>
        <v>0</v>
      </c>
      <c r="AA41" s="26">
        <f>SUM($Z$41:$Z$41)</f>
        <v>0</v>
      </c>
      <c r="AB41" s="26">
        <f>SUMIF($L$4:$AA$4,"SUBTOTAL",$L$41:$AA$41)</f>
        <v>-0.80631971949885672</v>
      </c>
    </row>
    <row r="42" spans="1:28" ht="11.25" customHeight="1" x14ac:dyDescent="0.3">
      <c r="A42" s="151" t="s">
        <v>44</v>
      </c>
      <c r="B42" s="151" t="s">
        <v>90</v>
      </c>
      <c r="C42" s="151" t="s">
        <v>45</v>
      </c>
      <c r="D42" s="28" t="s">
        <v>46</v>
      </c>
      <c r="E42" s="28" t="s">
        <v>25</v>
      </c>
      <c r="F42" s="28" t="s">
        <v>25</v>
      </c>
      <c r="G42" s="29" t="s">
        <v>84</v>
      </c>
      <c r="H42" s="29" t="s">
        <v>78</v>
      </c>
      <c r="I42" s="29">
        <f>'MERCADO TE'!$U$39</f>
        <v>2415.7070000000003</v>
      </c>
      <c r="J42" s="15"/>
      <c r="L42" s="26">
        <f>'TE BE'!$L$42*'TE BF'!$L$50</f>
        <v>0</v>
      </c>
      <c r="M42" s="26">
        <f>'TE BE'!$M$42*'TE BF'!$M$50</f>
        <v>0</v>
      </c>
      <c r="N42" s="26">
        <f>'TE BE'!$N$42*'TE BF'!$N$50</f>
        <v>0</v>
      </c>
      <c r="O42" s="26">
        <f>'TE BE'!$O$42*'TE BF'!$O$50</f>
        <v>0.22871489122844094</v>
      </c>
      <c r="P42" s="26">
        <f>'TE BE'!$P$42*'TE BF'!$P$50</f>
        <v>0</v>
      </c>
      <c r="Q42" s="26">
        <f>SUM($L$42:$P$42)</f>
        <v>0.22871489122844094</v>
      </c>
      <c r="R42" s="26">
        <f>'TE BE'!$R$42*'TE BF'!$R$50</f>
        <v>-0.67219073695281206</v>
      </c>
      <c r="S42" s="26">
        <f>SUM($R$42:$R$42)</f>
        <v>-0.67219073695281206</v>
      </c>
      <c r="T42" s="26">
        <f>'TE BE'!$T$42*'TE BF'!$T$50</f>
        <v>0</v>
      </c>
      <c r="U42" s="26">
        <f>'TE BE'!$U$42*'TE BF'!$U$50</f>
        <v>0</v>
      </c>
      <c r="V42" s="26">
        <f>'TE BE'!$V$42*'TE BF'!$V$50</f>
        <v>0</v>
      </c>
      <c r="W42" s="26">
        <f>SUM($T$42:$V$42)</f>
        <v>0</v>
      </c>
      <c r="X42" s="26">
        <f>'TE BE'!$AB$42*'TE BF'!$X$50</f>
        <v>0</v>
      </c>
      <c r="Y42" s="26">
        <f>SUM($X$42:$X$42)</f>
        <v>0</v>
      </c>
      <c r="Z42" s="26">
        <f>'TE BE'!$Z$42*'TE BF'!$Z$50</f>
        <v>0</v>
      </c>
      <c r="AA42" s="26">
        <f>SUM($Z$42:$Z$42)</f>
        <v>0</v>
      </c>
      <c r="AB42" s="26">
        <f>SUMIF($L$4:$AA$4,"SUBTOTAL",$L$42:$AA$42)</f>
        <v>-0.44347584572437115</v>
      </c>
    </row>
    <row r="43" spans="1:28" ht="11.25" customHeight="1" x14ac:dyDescent="0.3">
      <c r="A43" s="151"/>
      <c r="B43" s="151"/>
      <c r="C43" s="151"/>
      <c r="D43" s="29" t="s">
        <v>95</v>
      </c>
      <c r="E43" s="29" t="s">
        <v>25</v>
      </c>
      <c r="F43" s="29" t="s">
        <v>25</v>
      </c>
      <c r="G43" s="29" t="s">
        <v>84</v>
      </c>
      <c r="H43" s="29" t="s">
        <v>78</v>
      </c>
      <c r="I43" s="29">
        <f>'MERCADO TE'!$U$40</f>
        <v>0</v>
      </c>
      <c r="J43" s="15"/>
      <c r="L43" s="26">
        <f>'TE BE'!$L$43*'TE BF'!$L$50</f>
        <v>0</v>
      </c>
      <c r="M43" s="26">
        <f>'TE BE'!$M$43*'TE BF'!$M$50</f>
        <v>0</v>
      </c>
      <c r="N43" s="26">
        <f>'TE BE'!$N$43*'TE BF'!$N$50</f>
        <v>0</v>
      </c>
      <c r="O43" s="26">
        <f>'TE BE'!$O$43*'TE BF'!$O$50</f>
        <v>0.2495071540673901</v>
      </c>
      <c r="P43" s="26">
        <f>'TE BE'!$P$43*'TE BF'!$P$50</f>
        <v>0</v>
      </c>
      <c r="Q43" s="26">
        <f>SUM($L$43:$P$43)</f>
        <v>0.2495071540673901</v>
      </c>
      <c r="R43" s="26">
        <f>'TE BE'!$R$43*'TE BF'!$R$50</f>
        <v>-0.73329898576670394</v>
      </c>
      <c r="S43" s="26">
        <f>SUM($R$43:$R$43)</f>
        <v>-0.73329898576670394</v>
      </c>
      <c r="T43" s="26">
        <f>'TE BE'!$T$43*'TE BF'!$T$50</f>
        <v>0</v>
      </c>
      <c r="U43" s="26">
        <f>'TE BE'!$U$43*'TE BF'!$U$50</f>
        <v>0</v>
      </c>
      <c r="V43" s="26">
        <f>'TE BE'!$V$43*'TE BF'!$V$50</f>
        <v>0</v>
      </c>
      <c r="W43" s="26">
        <f>SUM($T$43:$V$43)</f>
        <v>0</v>
      </c>
      <c r="X43" s="26">
        <f>'TE BE'!$AB$43*'TE BF'!$X$50</f>
        <v>0</v>
      </c>
      <c r="Y43" s="26">
        <f>SUM($X$43:$X$43)</f>
        <v>0</v>
      </c>
      <c r="Z43" s="26">
        <f>'TE BE'!$Z$43*'TE BF'!$Z$50</f>
        <v>0</v>
      </c>
      <c r="AA43" s="26">
        <f>SUM($Z$43:$Z$43)</f>
        <v>0</v>
      </c>
      <c r="AB43" s="26">
        <f>SUMIF($L$4:$AA$4,"SUBTOTAL",$L$43:$AA$43)</f>
        <v>-0.48379183169931383</v>
      </c>
    </row>
    <row r="45" spans="1:28" ht="11.25" customHeight="1" x14ac:dyDescent="0.3">
      <c r="K45" s="31" t="s">
        <v>610</v>
      </c>
      <c r="L45" s="26">
        <f t="shared" ref="L45:AB45" si="0">SUMPRODUCT($I$5:$I$43,L$5:L$43)</f>
        <v>0</v>
      </c>
      <c r="M45" s="26">
        <f t="shared" si="0"/>
        <v>0</v>
      </c>
      <c r="N45" s="26">
        <f t="shared" si="0"/>
        <v>0</v>
      </c>
      <c r="O45" s="26">
        <f t="shared" si="0"/>
        <v>11069.956111878282</v>
      </c>
      <c r="P45" s="26">
        <f t="shared" si="0"/>
        <v>0</v>
      </c>
      <c r="Q45" s="26">
        <f t="shared" si="0"/>
        <v>11069.956111878282</v>
      </c>
      <c r="R45" s="26">
        <f t="shared" si="0"/>
        <v>-32509.338756552359</v>
      </c>
      <c r="S45" s="26">
        <f t="shared" si="0"/>
        <v>-32509.338756552359</v>
      </c>
      <c r="T45" s="26">
        <f t="shared" si="0"/>
        <v>0</v>
      </c>
      <c r="U45" s="26">
        <f t="shared" si="0"/>
        <v>0</v>
      </c>
      <c r="V45" s="26">
        <f t="shared" si="0"/>
        <v>0</v>
      </c>
      <c r="W45" s="26">
        <f t="shared" si="0"/>
        <v>0</v>
      </c>
      <c r="X45" s="26">
        <f t="shared" si="0"/>
        <v>0</v>
      </c>
      <c r="Y45" s="26">
        <f t="shared" si="0"/>
        <v>0</v>
      </c>
      <c r="Z45" s="26">
        <f t="shared" si="0"/>
        <v>0</v>
      </c>
      <c r="AA45" s="26">
        <f t="shared" si="0"/>
        <v>0</v>
      </c>
      <c r="AB45" s="26">
        <f t="shared" si="0"/>
        <v>-21439.382644674079</v>
      </c>
    </row>
    <row r="46" spans="1:28" ht="11.25" customHeight="1" x14ac:dyDescent="0.3">
      <c r="K46" s="31" t="s">
        <v>529</v>
      </c>
      <c r="L46" s="26">
        <f>CUSTOS!$D$30</f>
        <v>82257.56100855222</v>
      </c>
      <c r="M46" s="26">
        <f>CUSTOS!$D$31</f>
        <v>0</v>
      </c>
      <c r="N46" s="26">
        <f>CUSTOS!$D$32</f>
        <v>0</v>
      </c>
      <c r="O46" s="26">
        <f>CUSTOS!$D$33</f>
        <v>125479.99392871892</v>
      </c>
      <c r="P46" s="26">
        <f>CUSTOS!$D$34</f>
        <v>0</v>
      </c>
      <c r="Q46" s="26">
        <f>CUSTOS!$D$35</f>
        <v>207737.55493727114</v>
      </c>
      <c r="R46" s="26">
        <f>CUSTOS!$D$36</f>
        <v>7731659.0407707803</v>
      </c>
      <c r="S46" s="26">
        <f>CUSTOS!$D$37</f>
        <v>7731659.0407707803</v>
      </c>
      <c r="T46" s="26">
        <f>CUSTOS!$D$38</f>
        <v>0</v>
      </c>
      <c r="U46" s="26">
        <f>CUSTOS!$D$39</f>
        <v>0</v>
      </c>
      <c r="V46" s="26">
        <f>CUSTOS!$D$40</f>
        <v>0</v>
      </c>
      <c r="W46" s="26">
        <f>CUSTOS!$D$41</f>
        <v>0</v>
      </c>
      <c r="X46" s="26">
        <f>CUSTOS!$D$42</f>
        <v>0</v>
      </c>
      <c r="Y46" s="26">
        <f>CUSTOS!$D$43</f>
        <v>0</v>
      </c>
      <c r="Z46" s="26">
        <f>CUSTOS!$D$44</f>
        <v>0</v>
      </c>
      <c r="AA46" s="26">
        <f>CUSTOS!$D$45</f>
        <v>0</v>
      </c>
      <c r="AB46" s="26">
        <f>CUSTOS!$D$46</f>
        <v>7939396.5957080517</v>
      </c>
    </row>
    <row r="47" spans="1:28" ht="11.25" customHeight="1" x14ac:dyDescent="0.3">
      <c r="K47" s="31" t="s">
        <v>530</v>
      </c>
      <c r="L47" s="26">
        <f>CUSTOS!$E$30</f>
        <v>3.53414010892555E-2</v>
      </c>
      <c r="M47" s="26">
        <f>CUSTOS!$E$31</f>
        <v>0</v>
      </c>
      <c r="N47" s="26">
        <f>CUSTOS!$E$32</f>
        <v>0</v>
      </c>
      <c r="O47" s="26">
        <f>CUSTOS!$E$33</f>
        <v>-989.03942869072853</v>
      </c>
      <c r="P47" s="26">
        <f>CUSTOS!$E$34</f>
        <v>0</v>
      </c>
      <c r="Q47" s="26">
        <f>CUSTOS!$E$35</f>
        <v>-989.0040872896393</v>
      </c>
      <c r="R47" s="26">
        <f>CUSTOS!$E$36</f>
        <v>33591.423936014617</v>
      </c>
      <c r="S47" s="26">
        <f>CUSTOS!$E$37</f>
        <v>33591.423936014617</v>
      </c>
      <c r="T47" s="26">
        <f>CUSTOS!$E$38</f>
        <v>0</v>
      </c>
      <c r="U47" s="26">
        <f>CUSTOS!$E$39</f>
        <v>0</v>
      </c>
      <c r="V47" s="26">
        <f>CUSTOS!$E$40</f>
        <v>0</v>
      </c>
      <c r="W47" s="26">
        <f>CUSTOS!$E$41</f>
        <v>0</v>
      </c>
      <c r="X47" s="26">
        <f>CUSTOS!$E$42</f>
        <v>-311895.76460246748</v>
      </c>
      <c r="Y47" s="26">
        <f>CUSTOS!$E$43</f>
        <v>-311895.76460246748</v>
      </c>
      <c r="Z47" s="26">
        <f>CUSTOS!$E$44</f>
        <v>0</v>
      </c>
      <c r="AA47" s="26">
        <f>CUSTOS!$E$45</f>
        <v>0</v>
      </c>
      <c r="AB47" s="26">
        <f>CUSTOS!$E$46</f>
        <v>-279293.34475374251</v>
      </c>
    </row>
    <row r="48" spans="1:28" ht="11.25" customHeight="1" x14ac:dyDescent="0.3">
      <c r="K48" s="31" t="s">
        <v>531</v>
      </c>
      <c r="L48" s="26">
        <f>CUSTOS!$F$30</f>
        <v>0</v>
      </c>
      <c r="M48" s="26">
        <f>CUSTOS!$F$31</f>
        <v>0</v>
      </c>
      <c r="N48" s="26">
        <f>CUSTOS!$F$32</f>
        <v>0</v>
      </c>
      <c r="O48" s="26">
        <f>CUSTOS!$F$33</f>
        <v>11069.956111878282</v>
      </c>
      <c r="P48" s="26">
        <f>CUSTOS!$F$34</f>
        <v>0</v>
      </c>
      <c r="Q48" s="26">
        <f>CUSTOS!$F$35</f>
        <v>11069.956111878282</v>
      </c>
      <c r="R48" s="26">
        <f>CUSTOS!$F$36</f>
        <v>-32509.338756552352</v>
      </c>
      <c r="S48" s="26">
        <f>CUSTOS!$F$37</f>
        <v>-32509.338756552352</v>
      </c>
      <c r="T48" s="26">
        <f>CUSTOS!$F$38</f>
        <v>0</v>
      </c>
      <c r="U48" s="26">
        <f>CUSTOS!$F$39</f>
        <v>0</v>
      </c>
      <c r="V48" s="26">
        <f>CUSTOS!$F$40</f>
        <v>0</v>
      </c>
      <c r="W48" s="26">
        <f>CUSTOS!$F$41</f>
        <v>0</v>
      </c>
      <c r="X48" s="26">
        <f>CUSTOS!$F$42</f>
        <v>0</v>
      </c>
      <c r="Y48" s="26">
        <f>CUSTOS!$F$43</f>
        <v>0</v>
      </c>
      <c r="Z48" s="26">
        <f>CUSTOS!$F$44</f>
        <v>0</v>
      </c>
      <c r="AA48" s="26">
        <f>CUSTOS!$F$45</f>
        <v>0</v>
      </c>
      <c r="AB48" s="26">
        <f>CUSTOS!$F$46</f>
        <v>-21439.382644674071</v>
      </c>
    </row>
    <row r="49" spans="11:28" ht="11.25" customHeight="1" x14ac:dyDescent="0.3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  <row r="50" spans="11:28" ht="11.25" customHeight="1" x14ac:dyDescent="0.3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  <row r="51" spans="11:28" ht="11.25" customHeight="1" x14ac:dyDescent="0.3"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</row>
  </sheetData>
  <mergeCells count="67">
    <mergeCell ref="E37:E39"/>
    <mergeCell ref="F37:F39"/>
    <mergeCell ref="A42:A43"/>
    <mergeCell ref="B42:B43"/>
    <mergeCell ref="C42:C43"/>
    <mergeCell ref="D37:D39"/>
    <mergeCell ref="B34:B36"/>
    <mergeCell ref="C34:C36"/>
    <mergeCell ref="A37:A41"/>
    <mergeCell ref="B37:B39"/>
    <mergeCell ref="C37:C39"/>
    <mergeCell ref="A22:A36"/>
    <mergeCell ref="B22:B24"/>
    <mergeCell ref="C22:C24"/>
    <mergeCell ref="B30:B32"/>
    <mergeCell ref="C30:C32"/>
    <mergeCell ref="B26:B28"/>
    <mergeCell ref="C26:C28"/>
    <mergeCell ref="D30:D32"/>
    <mergeCell ref="E30:E32"/>
    <mergeCell ref="F30:F32"/>
    <mergeCell ref="D22:D24"/>
    <mergeCell ref="E22:E24"/>
    <mergeCell ref="F22:F24"/>
    <mergeCell ref="D26:D28"/>
    <mergeCell ref="E26:E28"/>
    <mergeCell ref="F26:F28"/>
    <mergeCell ref="A9:A21"/>
    <mergeCell ref="B9:B11"/>
    <mergeCell ref="C9:C11"/>
    <mergeCell ref="D9:D11"/>
    <mergeCell ref="E9:E11"/>
    <mergeCell ref="F9:F11"/>
    <mergeCell ref="B12:B16"/>
    <mergeCell ref="C12:C16"/>
    <mergeCell ref="B17:B21"/>
    <mergeCell ref="C17:C21"/>
    <mergeCell ref="A7:A8"/>
    <mergeCell ref="B7:B8"/>
    <mergeCell ref="C7:C8"/>
    <mergeCell ref="D7:D8"/>
    <mergeCell ref="E7:E8"/>
    <mergeCell ref="F7:F8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5">
    <cfRule type="cellIs" dxfId="946" priority="33" operator="notEqual">
      <formula>$L$48</formula>
    </cfRule>
    <cfRule type="cellIs" dxfId="945" priority="34" operator="equal">
      <formula>$L$48</formula>
    </cfRule>
  </conditionalFormatting>
  <conditionalFormatting sqref="M45">
    <cfRule type="cellIs" dxfId="944" priority="31" operator="notEqual">
      <formula>$M$48</formula>
    </cfRule>
    <cfRule type="cellIs" dxfId="943" priority="32" operator="equal">
      <formula>$M$48</formula>
    </cfRule>
  </conditionalFormatting>
  <conditionalFormatting sqref="N45">
    <cfRule type="cellIs" dxfId="942" priority="29" operator="notEqual">
      <formula>$N$48</formula>
    </cfRule>
    <cfRule type="cellIs" dxfId="941" priority="30" operator="equal">
      <formula>$N$48</formula>
    </cfRule>
  </conditionalFormatting>
  <conditionalFormatting sqref="O45">
    <cfRule type="cellIs" dxfId="940" priority="27" operator="notEqual">
      <formula>$O$48</formula>
    </cfRule>
    <cfRule type="cellIs" dxfId="939" priority="28" operator="equal">
      <formula>$O$48</formula>
    </cfRule>
  </conditionalFormatting>
  <conditionalFormatting sqref="P45">
    <cfRule type="cellIs" dxfId="938" priority="25" operator="notEqual">
      <formula>$P$48</formula>
    </cfRule>
    <cfRule type="cellIs" dxfId="937" priority="26" operator="equal">
      <formula>$P$48</formula>
    </cfRule>
  </conditionalFormatting>
  <conditionalFormatting sqref="Q45">
    <cfRule type="cellIs" dxfId="936" priority="23" operator="notEqual">
      <formula>$Q$48</formula>
    </cfRule>
    <cfRule type="cellIs" dxfId="935" priority="24" operator="equal">
      <formula>$Q$48</formula>
    </cfRule>
  </conditionalFormatting>
  <conditionalFormatting sqref="R45">
    <cfRule type="cellIs" dxfId="934" priority="21" operator="notEqual">
      <formula>$R$48</formula>
    </cfRule>
    <cfRule type="cellIs" dxfId="933" priority="22" operator="equal">
      <formula>$R$48</formula>
    </cfRule>
  </conditionalFormatting>
  <conditionalFormatting sqref="S45">
    <cfRule type="cellIs" dxfId="932" priority="19" operator="notEqual">
      <formula>$S$48</formula>
    </cfRule>
    <cfRule type="cellIs" dxfId="931" priority="20" operator="equal">
      <formula>$S$48</formula>
    </cfRule>
  </conditionalFormatting>
  <conditionalFormatting sqref="T45">
    <cfRule type="cellIs" dxfId="930" priority="17" operator="notEqual">
      <formula>$T$48</formula>
    </cfRule>
    <cfRule type="cellIs" dxfId="929" priority="18" operator="equal">
      <formula>$T$48</formula>
    </cfRule>
  </conditionalFormatting>
  <conditionalFormatting sqref="U45">
    <cfRule type="cellIs" dxfId="928" priority="15" operator="notEqual">
      <formula>$U$48</formula>
    </cfRule>
    <cfRule type="cellIs" dxfId="927" priority="16" operator="equal">
      <formula>$U$48</formula>
    </cfRule>
  </conditionalFormatting>
  <conditionalFormatting sqref="V45">
    <cfRule type="cellIs" dxfId="926" priority="13" operator="notEqual">
      <formula>$V$48</formula>
    </cfRule>
    <cfRule type="cellIs" dxfId="925" priority="14" operator="equal">
      <formula>$V$48</formula>
    </cfRule>
  </conditionalFormatting>
  <conditionalFormatting sqref="W45">
    <cfRule type="cellIs" dxfId="924" priority="11" operator="notEqual">
      <formula>$W$48</formula>
    </cfRule>
    <cfRule type="cellIs" dxfId="923" priority="12" operator="equal">
      <formula>$W$48</formula>
    </cfRule>
  </conditionalFormatting>
  <conditionalFormatting sqref="X45">
    <cfRule type="cellIs" dxfId="922" priority="9" operator="notEqual">
      <formula>$X$48</formula>
    </cfRule>
    <cfRule type="cellIs" dxfId="921" priority="10" operator="equal">
      <formula>$X$48</formula>
    </cfRule>
  </conditionalFormatting>
  <conditionalFormatting sqref="Y45">
    <cfRule type="cellIs" dxfId="920" priority="7" operator="notEqual">
      <formula>$Y$48</formula>
    </cfRule>
    <cfRule type="cellIs" dxfId="919" priority="8" operator="equal">
      <formula>$Y$48</formula>
    </cfRule>
  </conditionalFormatting>
  <conditionalFormatting sqref="Z45">
    <cfRule type="cellIs" dxfId="918" priority="5" operator="notEqual">
      <formula>$Z$48</formula>
    </cfRule>
    <cfRule type="cellIs" dxfId="917" priority="6" operator="equal">
      <formula>$Z$48</formula>
    </cfRule>
  </conditionalFormatting>
  <conditionalFormatting sqref="AA45">
    <cfRule type="cellIs" dxfId="916" priority="3" operator="notEqual">
      <formula>$AA$48</formula>
    </cfRule>
    <cfRule type="cellIs" dxfId="915" priority="4" operator="equal">
      <formula>$AA$48</formula>
    </cfRule>
  </conditionalFormatting>
  <conditionalFormatting sqref="AB45">
    <cfRule type="cellIs" dxfId="914" priority="1" operator="notEqual">
      <formula>$AB$48</formula>
    </cfRule>
    <cfRule type="cellIs" dxfId="913" priority="2" operator="equal">
      <formula>$AB$48</formula>
    </cfRule>
  </conditionalFormatting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7048A-69C2-4485-8C86-B812A0173781}">
  <dimension ref="A1:AZ604"/>
  <sheetViews>
    <sheetView showGridLines="0" topLeftCell="P1" workbookViewId="0">
      <selection activeCell="Z294" sqref="Z294:AA294"/>
    </sheetView>
  </sheetViews>
  <sheetFormatPr defaultRowHeight="11.25" customHeight="1" x14ac:dyDescent="0.3"/>
  <cols>
    <col min="1" max="1" width="18" style="4" bestFit="1" customWidth="1"/>
    <col min="2" max="2" width="12.109375" style="4" bestFit="1" customWidth="1"/>
    <col min="3" max="3" width="13.5546875" style="4" bestFit="1" customWidth="1"/>
    <col min="4" max="4" width="12.6640625" style="4" bestFit="1" customWidth="1"/>
    <col min="5" max="5" width="23.109375" style="4" bestFit="1" customWidth="1"/>
    <col min="6" max="6" width="12.88671875" style="4" bestFit="1" customWidth="1"/>
    <col min="7" max="7" width="13.21875" style="4" bestFit="1" customWidth="1"/>
    <col min="8" max="8" width="9.5546875" style="4" bestFit="1" customWidth="1"/>
    <col min="9" max="9" width="10.77734375" style="5" bestFit="1" customWidth="1"/>
    <col min="10" max="10" width="7.109375" style="6" bestFit="1" customWidth="1"/>
    <col min="11" max="11" width="7.5546875" style="6" bestFit="1" customWidth="1"/>
    <col min="12" max="12" width="10.77734375" style="6" bestFit="1" customWidth="1"/>
    <col min="13" max="13" width="12.109375" style="6" bestFit="1" customWidth="1"/>
    <col min="14" max="14" width="8.6640625" style="6" bestFit="1" customWidth="1"/>
    <col min="15" max="15" width="10" style="6" bestFit="1" customWidth="1"/>
    <col min="16" max="16" width="7.21875" style="6" bestFit="1" customWidth="1"/>
    <col min="17" max="17" width="10.44140625" style="4" bestFit="1" customWidth="1"/>
    <col min="18" max="18" width="12.44140625" style="4" bestFit="1" customWidth="1"/>
    <col min="19" max="19" width="21.88671875" style="4" bestFit="1" customWidth="1"/>
    <col min="20" max="20" width="23.21875" style="4" bestFit="1" customWidth="1"/>
    <col min="21" max="21" width="21" style="4" bestFit="1" customWidth="1"/>
    <col min="22" max="22" width="14.88671875" style="4" bestFit="1" customWidth="1"/>
    <col min="23" max="23" width="16.21875" style="4" bestFit="1" customWidth="1"/>
    <col min="24" max="24" width="14.109375" style="4" bestFit="1" customWidth="1"/>
    <col min="25" max="25" width="19.5546875" style="4" bestFit="1" customWidth="1"/>
    <col min="26" max="26" width="20.88671875" style="4" bestFit="1" customWidth="1"/>
    <col min="27" max="27" width="18.77734375" style="4" bestFit="1" customWidth="1"/>
    <col min="28" max="28" width="21.6640625" style="4" bestFit="1" customWidth="1"/>
    <col min="29" max="29" width="23" style="4" bestFit="1" customWidth="1"/>
    <col min="30" max="30" width="20.77734375" style="4" bestFit="1" customWidth="1"/>
    <col min="31" max="31" width="22.6640625" style="4" bestFit="1" customWidth="1"/>
    <col min="32" max="32" width="24" style="4" bestFit="1" customWidth="1"/>
    <col min="33" max="33" width="21.88671875" style="4" bestFit="1" customWidth="1"/>
    <col min="34" max="34" width="8.88671875" style="4"/>
    <col min="35" max="35" width="9" style="4" bestFit="1" customWidth="1"/>
    <col min="36" max="36" width="13.5546875" style="4" bestFit="1" customWidth="1"/>
    <col min="37" max="37" width="14.5546875" style="4" bestFit="1" customWidth="1"/>
    <col min="38" max="38" width="8.33203125" style="4" bestFit="1" customWidth="1"/>
    <col min="39" max="39" width="8.88671875" style="4"/>
    <col min="40" max="40" width="9" style="4" bestFit="1" customWidth="1"/>
    <col min="41" max="41" width="11.33203125" style="4" bestFit="1" customWidth="1"/>
    <col min="42" max="42" width="12.33203125" style="4" bestFit="1" customWidth="1"/>
    <col min="43" max="43" width="8.33203125" style="4" bestFit="1" customWidth="1"/>
    <col min="44" max="44" width="8.88671875" style="4"/>
    <col min="45" max="45" width="9" style="4" bestFit="1" customWidth="1"/>
    <col min="46" max="47" width="9.88671875" style="4" bestFit="1" customWidth="1"/>
    <col min="48" max="48" width="8.33203125" style="4" bestFit="1" customWidth="1"/>
    <col min="49" max="16384" width="8.88671875" style="4"/>
  </cols>
  <sheetData>
    <row r="1" spans="1:52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635</v>
      </c>
      <c r="W1" s="1" t="s">
        <v>636</v>
      </c>
      <c r="X1" s="1" t="s">
        <v>637</v>
      </c>
      <c r="Y1" s="1" t="s">
        <v>638</v>
      </c>
      <c r="Z1" s="1" t="s">
        <v>639</v>
      </c>
      <c r="AA1" s="1" t="s">
        <v>640</v>
      </c>
      <c r="AB1" s="1" t="s">
        <v>656</v>
      </c>
      <c r="AC1" s="1" t="s">
        <v>657</v>
      </c>
      <c r="AD1" s="1" t="s">
        <v>658</v>
      </c>
      <c r="AE1" s="1" t="s">
        <v>659</v>
      </c>
      <c r="AF1" s="1" t="s">
        <v>660</v>
      </c>
      <c r="AG1" s="1" t="s">
        <v>661</v>
      </c>
      <c r="AI1" s="40" t="s">
        <v>68</v>
      </c>
      <c r="AJ1" s="40" t="s">
        <v>662</v>
      </c>
      <c r="AK1" s="40" t="s">
        <v>663</v>
      </c>
      <c r="AL1" s="40" t="s">
        <v>664</v>
      </c>
      <c r="AN1" s="40" t="s">
        <v>68</v>
      </c>
      <c r="AO1" s="40" t="s">
        <v>665</v>
      </c>
      <c r="AP1" s="40" t="s">
        <v>666</v>
      </c>
      <c r="AQ1" s="40" t="s">
        <v>664</v>
      </c>
      <c r="AS1" s="40" t="s">
        <v>68</v>
      </c>
      <c r="AT1" s="40" t="s">
        <v>667</v>
      </c>
      <c r="AU1" s="40" t="s">
        <v>668</v>
      </c>
      <c r="AV1" s="40" t="s">
        <v>664</v>
      </c>
    </row>
    <row r="2" spans="1:52" ht="11.25" hidden="1" customHeight="1" x14ac:dyDescent="0.3">
      <c r="A2" s="4" t="s">
        <v>21</v>
      </c>
      <c r="B2" s="4" t="s">
        <v>61</v>
      </c>
      <c r="C2" s="4" t="s">
        <v>54</v>
      </c>
      <c r="D2" s="4" t="s">
        <v>33</v>
      </c>
      <c r="E2" s="4" t="s">
        <v>25</v>
      </c>
      <c r="F2" s="4" t="s">
        <v>55</v>
      </c>
      <c r="G2" s="4" t="s">
        <v>25</v>
      </c>
      <c r="H2" s="4" t="s">
        <v>37</v>
      </c>
      <c r="I2" s="5">
        <v>44652</v>
      </c>
      <c r="J2" s="6">
        <v>3469.2</v>
      </c>
      <c r="K2" s="6">
        <v>1735.4571699359999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56</v>
      </c>
      <c r="R2" s="4">
        <v>0</v>
      </c>
      <c r="S2" s="6">
        <v>3</v>
      </c>
      <c r="T2" s="6">
        <v>0</v>
      </c>
      <c r="U2" s="6">
        <v>0</v>
      </c>
      <c r="V2" s="6">
        <f>IF(ISERROR(VLOOKUP($S$2,'TAR FIN'!$A$1:$O$92,15,0)),0,VLOOKUP($S$2,'TAR FIN'!$A$1:$O$92,15,0))</f>
        <v>13.87</v>
      </c>
      <c r="W2" s="6">
        <f>IF(ISERROR(VLOOKUP($T$2,'TAR FIN'!$A$1:$O$92,15,0)),0,VLOOKUP($T$2,'TAR FIN'!$A$1:$O$92,15,0))</f>
        <v>0</v>
      </c>
      <c r="X2" s="6">
        <f>IF(ISERROR(VLOOKUP($U$2,'TAR FIN'!$A$1:$O$92,15,0)),0,VLOOKUP($U$2,'TAR FIN'!$A$1:$O$92,15,0))</f>
        <v>0</v>
      </c>
      <c r="Y2" s="6">
        <f ca="1">('TUSD BE'!$AM$6+'TUSD BF'!$AM$6+'TUSD CVA'!$AM$6)*1</f>
        <v>17.732846540237446</v>
      </c>
      <c r="Z2" s="6">
        <f ca="1">('TUSD BE'!$AM$7+'TUSD BF'!$AM$7+'TUSD CVA'!$AM$7)*1</f>
        <v>108.4730198859402</v>
      </c>
      <c r="AA2" s="6"/>
      <c r="AB2" s="6">
        <f>$K$2*$V$2</f>
        <v>24070.790947012316</v>
      </c>
      <c r="AC2" s="6">
        <f>$M$2*$W$2</f>
        <v>0</v>
      </c>
      <c r="AD2" s="6">
        <f>$O$2*$X$2</f>
        <v>0</v>
      </c>
      <c r="AE2" s="6">
        <f ca="1">$K$2*$Y$2</f>
        <v>30774.595671629864</v>
      </c>
      <c r="AF2" s="6">
        <f ca="1">$M$2*$Z$2</f>
        <v>0</v>
      </c>
      <c r="AG2" s="6">
        <f>$O$2*$AA$2</f>
        <v>0</v>
      </c>
      <c r="AI2" s="41" t="s">
        <v>61</v>
      </c>
      <c r="AJ2" s="42">
        <f t="shared" ref="AJ2:AJ7" si="0">SUMIF($B$2:$B$604,AI2,$AB$2:$AB$604)+SUMIF($B$2:$B$604,AI2,$AC$2:$AC$604)</f>
        <v>712692.40921196807</v>
      </c>
      <c r="AK2" s="42">
        <f t="shared" ref="AK2:AK7" ca="1" si="1">SUMIF($B$2:$B$604,AI2,$AE$2:$AE$604)+SUMIF($B$2:$B$604,AI2,$AF$2:$AF$604)</f>
        <v>1180626.7848804565</v>
      </c>
      <c r="AL2" s="43">
        <f t="shared" ref="AL2:AL10" ca="1" si="2">IF(AJ2&lt;&gt;0,AK2/AJ2-1,0)</f>
        <v>0.65657269478411973</v>
      </c>
      <c r="AN2" s="41" t="s">
        <v>61</v>
      </c>
      <c r="AO2" s="42">
        <f t="shared" ref="AO2:AO7" si="3">SUMIF($B$2:$B$604,AN2,$AD$2:$AD$604)</f>
        <v>0</v>
      </c>
      <c r="AP2" s="42">
        <f t="shared" ref="AP2:AP7" si="4">SUMIF($B$2:$B$604,AN2,$AG$2:$AG$604)</f>
        <v>0</v>
      </c>
      <c r="AQ2" s="43">
        <f t="shared" ref="AQ2:AQ10" si="5">IF(AO2&lt;&gt;0,AP2/AO2-1,0)</f>
        <v>0</v>
      </c>
      <c r="AS2" s="41" t="s">
        <v>61</v>
      </c>
      <c r="AT2" s="42">
        <f t="shared" ref="AT2:AT7" si="6">SUMIF($B$2:$B$604,AS2,$AB$2:$AB$604)+SUMIF($B$2:$B$604,AS2,$AC$2:$AC$604)+SUMIF($B$2:$B$604,AS2,$AD$2:$AD$604)</f>
        <v>712692.40921196807</v>
      </c>
      <c r="AU2" s="42">
        <f t="shared" ref="AU2:AU7" ca="1" si="7">SUMIF($B$2:$B$604,AS2,$AE$2:$AE$604)+SUMIF($B$2:$B$604,AS2,$AF$2:$AF$604)+SUMIF($B$2:$B$604,AS2,$AG$2:$AG$604)</f>
        <v>1180626.7848804565</v>
      </c>
      <c r="AV2" s="43">
        <f t="shared" ref="AV2:AV10" ca="1" si="8">IF(AT2&lt;&gt;0,AU2/AT2-1,0)</f>
        <v>0.65657269478411973</v>
      </c>
      <c r="AW2" s="4">
        <v>1180626.7848804565</v>
      </c>
      <c r="AX2" s="4">
        <v>0.65657269478411973</v>
      </c>
      <c r="AY2" s="100">
        <f ca="1">AU2-AW2</f>
        <v>0</v>
      </c>
      <c r="AZ2" s="100">
        <f ca="1">AV2-AX2</f>
        <v>0</v>
      </c>
    </row>
    <row r="3" spans="1:52" ht="11.25" hidden="1" customHeight="1" x14ac:dyDescent="0.3">
      <c r="A3" s="4" t="s">
        <v>21</v>
      </c>
      <c r="B3" s="4" t="s">
        <v>61</v>
      </c>
      <c r="C3" s="4" t="s">
        <v>54</v>
      </c>
      <c r="D3" s="4" t="s">
        <v>33</v>
      </c>
      <c r="E3" s="4" t="s">
        <v>25</v>
      </c>
      <c r="F3" s="4" t="s">
        <v>55</v>
      </c>
      <c r="G3" s="4" t="s">
        <v>25</v>
      </c>
      <c r="H3" s="4" t="s">
        <v>37</v>
      </c>
      <c r="I3" s="5">
        <v>44682</v>
      </c>
      <c r="J3" s="6">
        <v>3738</v>
      </c>
      <c r="K3" s="6">
        <v>1869.74565624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56</v>
      </c>
      <c r="R3" s="4">
        <v>0</v>
      </c>
      <c r="S3" s="6">
        <v>3</v>
      </c>
      <c r="T3" s="6">
        <v>0</v>
      </c>
      <c r="U3" s="6">
        <v>0</v>
      </c>
      <c r="V3" s="6">
        <f>IF(ISERROR(VLOOKUP($S$3,'TAR FIN'!$A$1:$O$92,15,0)),0,VLOOKUP($S$3,'TAR FIN'!$A$1:$O$92,15,0))</f>
        <v>13.87</v>
      </c>
      <c r="W3" s="6">
        <f>IF(ISERROR(VLOOKUP($T$3,'TAR FIN'!$A$1:$O$92,15,0)),0,VLOOKUP($T$3,'TAR FIN'!$A$1:$O$92,15,0))</f>
        <v>0</v>
      </c>
      <c r="X3" s="6">
        <f>IF(ISERROR(VLOOKUP($U$3,'TAR FIN'!$A$1:$O$92,15,0)),0,VLOOKUP($U$3,'TAR FIN'!$A$1:$O$92,15,0))</f>
        <v>0</v>
      </c>
      <c r="Y3" s="6">
        <f ca="1">('TUSD BE'!$AM$6+'TUSD BF'!$AM$6+'TUSD CVA'!$AM$6)*1</f>
        <v>17.732846540237446</v>
      </c>
      <c r="Z3" s="6">
        <f ca="1">('TUSD BE'!$AM$7+'TUSD BF'!$AM$7+'TUSD CVA'!$AM$7)*1</f>
        <v>108.4730198859402</v>
      </c>
      <c r="AA3" s="6"/>
      <c r="AB3" s="6">
        <f>$K$3*$V$3</f>
        <v>25933.372252048797</v>
      </c>
      <c r="AC3" s="6">
        <f>$M$3*$W$3</f>
        <v>0</v>
      </c>
      <c r="AD3" s="6">
        <f>$O$3*$X$3</f>
        <v>0</v>
      </c>
      <c r="AE3" s="6">
        <f ca="1">$K$3*$Y$3</f>
        <v>33155.91279137948</v>
      </c>
      <c r="AF3" s="6">
        <f ca="1">$M$3*$Z$3</f>
        <v>0</v>
      </c>
      <c r="AG3" s="6">
        <f>$O$3*$AA$3</f>
        <v>0</v>
      </c>
      <c r="AI3" s="41" t="s">
        <v>34</v>
      </c>
      <c r="AJ3" s="42">
        <f t="shared" si="0"/>
        <v>10343723.720059069</v>
      </c>
      <c r="AK3" s="42">
        <f t="shared" ca="1" si="1"/>
        <v>16660681.687242746</v>
      </c>
      <c r="AL3" s="43">
        <f t="shared" ca="1" si="2"/>
        <v>0.61070443663663543</v>
      </c>
      <c r="AN3" s="41" t="s">
        <v>34</v>
      </c>
      <c r="AO3" s="42">
        <f t="shared" si="3"/>
        <v>1007933.9611119998</v>
      </c>
      <c r="AP3" s="42">
        <f t="shared" si="4"/>
        <v>953565.10878121736</v>
      </c>
      <c r="AQ3" s="43">
        <f t="shared" si="5"/>
        <v>-5.3940887427585182E-2</v>
      </c>
      <c r="AS3" s="41" t="s">
        <v>34</v>
      </c>
      <c r="AT3" s="42">
        <f t="shared" si="6"/>
        <v>11351657.681171069</v>
      </c>
      <c r="AU3" s="42">
        <f t="shared" ca="1" si="7"/>
        <v>17614246.796023965</v>
      </c>
      <c r="AV3" s="43">
        <f t="shared" ca="1" si="8"/>
        <v>0.55168939116624505</v>
      </c>
      <c r="AW3" s="4">
        <v>17614246.796023965</v>
      </c>
      <c r="AX3" s="4">
        <v>0.55168939116624505</v>
      </c>
      <c r="AY3" s="100">
        <f t="shared" ref="AY3:AY12" ca="1" si="9">AU3-AW3</f>
        <v>0</v>
      </c>
      <c r="AZ3" s="100">
        <f t="shared" ref="AZ3:AZ10" ca="1" si="10">AV3-AX3</f>
        <v>0</v>
      </c>
    </row>
    <row r="4" spans="1:52" ht="11.25" hidden="1" customHeight="1" x14ac:dyDescent="0.3">
      <c r="A4" s="4" t="s">
        <v>21</v>
      </c>
      <c r="B4" s="4" t="s">
        <v>61</v>
      </c>
      <c r="C4" s="4" t="s">
        <v>54</v>
      </c>
      <c r="D4" s="4" t="s">
        <v>33</v>
      </c>
      <c r="E4" s="4" t="s">
        <v>25</v>
      </c>
      <c r="F4" s="4" t="s">
        <v>55</v>
      </c>
      <c r="G4" s="4" t="s">
        <v>25</v>
      </c>
      <c r="H4" s="4" t="s">
        <v>37</v>
      </c>
      <c r="I4" s="5">
        <v>44713</v>
      </c>
      <c r="J4" s="6">
        <v>3763.2</v>
      </c>
      <c r="K4" s="6">
        <v>1900.6458562559999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56</v>
      </c>
      <c r="R4" s="4">
        <v>0</v>
      </c>
      <c r="S4" s="6">
        <v>3</v>
      </c>
      <c r="T4" s="6">
        <v>0</v>
      </c>
      <c r="U4" s="6">
        <v>0</v>
      </c>
      <c r="V4" s="6">
        <f>IF(ISERROR(VLOOKUP($S$4,'TAR FIN'!$A$1:$O$92,15,0)),0,VLOOKUP($S$4,'TAR FIN'!$A$1:$O$92,15,0))</f>
        <v>13.87</v>
      </c>
      <c r="W4" s="6">
        <f>IF(ISERROR(VLOOKUP($T$4,'TAR FIN'!$A$1:$O$92,15,0)),0,VLOOKUP($T$4,'TAR FIN'!$A$1:$O$92,15,0))</f>
        <v>0</v>
      </c>
      <c r="X4" s="6">
        <f>IF(ISERROR(VLOOKUP($U$4,'TAR FIN'!$A$1:$O$92,15,0)),0,VLOOKUP($U$4,'TAR FIN'!$A$1:$O$92,15,0))</f>
        <v>0</v>
      </c>
      <c r="Y4" s="6">
        <f ca="1">('TUSD BE'!$AM$6+'TUSD BF'!$AM$6+'TUSD CVA'!$AM$6)*1</f>
        <v>17.732846540237446</v>
      </c>
      <c r="Z4" s="6">
        <f ca="1">('TUSD BE'!$AM$7+'TUSD BF'!$AM$7+'TUSD CVA'!$AM$7)*1</f>
        <v>108.4730198859402</v>
      </c>
      <c r="AA4" s="6"/>
      <c r="AB4" s="6">
        <f>$K$4*$V$4</f>
        <v>26361.958026270717</v>
      </c>
      <c r="AC4" s="6">
        <f>$M$4*$W$4</f>
        <v>0</v>
      </c>
      <c r="AD4" s="6">
        <f>$O$4*$X$4</f>
        <v>0</v>
      </c>
      <c r="AE4" s="6">
        <f ca="1">$K$4*$Y$4</f>
        <v>33703.861296325849</v>
      </c>
      <c r="AF4" s="6">
        <f ca="1">$M$4*$Z$4</f>
        <v>0</v>
      </c>
      <c r="AG4" s="6">
        <f>$O$4*$AA$4</f>
        <v>0</v>
      </c>
      <c r="AI4" s="41" t="s">
        <v>22</v>
      </c>
      <c r="AJ4" s="42">
        <f t="shared" si="0"/>
        <v>4095445.4067499996</v>
      </c>
      <c r="AK4" s="42">
        <f t="shared" ca="1" si="1"/>
        <v>5603186.1327921888</v>
      </c>
      <c r="AL4" s="43">
        <f t="shared" ca="1" si="2"/>
        <v>0.36815061032364693</v>
      </c>
      <c r="AN4" s="41" t="s">
        <v>22</v>
      </c>
      <c r="AO4" s="42">
        <f t="shared" si="3"/>
        <v>3654968.61393</v>
      </c>
      <c r="AP4" s="42">
        <f t="shared" si="4"/>
        <v>3457781.8770820289</v>
      </c>
      <c r="AQ4" s="43">
        <f t="shared" si="5"/>
        <v>-5.3950322882785673E-2</v>
      </c>
      <c r="AS4" s="41" t="s">
        <v>22</v>
      </c>
      <c r="AT4" s="42">
        <f t="shared" si="6"/>
        <v>7750414.0206799991</v>
      </c>
      <c r="AU4" s="42">
        <f t="shared" ca="1" si="7"/>
        <v>9060968.0098742172</v>
      </c>
      <c r="AV4" s="43">
        <f t="shared" ca="1" si="8"/>
        <v>0.16909470715981612</v>
      </c>
      <c r="AW4" s="4">
        <v>9060968.0098742172</v>
      </c>
      <c r="AX4" s="4">
        <v>0.16909470715981612</v>
      </c>
      <c r="AY4" s="100">
        <f t="shared" ca="1" si="9"/>
        <v>0</v>
      </c>
      <c r="AZ4" s="100">
        <f t="shared" ca="1" si="10"/>
        <v>0</v>
      </c>
    </row>
    <row r="5" spans="1:52" ht="11.25" hidden="1" customHeight="1" x14ac:dyDescent="0.3">
      <c r="A5" s="4" t="s">
        <v>21</v>
      </c>
      <c r="B5" s="4" t="s">
        <v>61</v>
      </c>
      <c r="C5" s="4" t="s">
        <v>54</v>
      </c>
      <c r="D5" s="4" t="s">
        <v>33</v>
      </c>
      <c r="E5" s="4" t="s">
        <v>25</v>
      </c>
      <c r="F5" s="4" t="s">
        <v>55</v>
      </c>
      <c r="G5" s="4" t="s">
        <v>25</v>
      </c>
      <c r="H5" s="4" t="s">
        <v>37</v>
      </c>
      <c r="I5" s="5">
        <v>44743</v>
      </c>
      <c r="J5" s="6">
        <v>4100</v>
      </c>
      <c r="K5" s="6">
        <v>2087.3986829999999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56</v>
      </c>
      <c r="R5" s="4">
        <v>0</v>
      </c>
      <c r="S5" s="6">
        <v>3</v>
      </c>
      <c r="T5" s="6">
        <v>0</v>
      </c>
      <c r="U5" s="6">
        <v>0</v>
      </c>
      <c r="V5" s="6">
        <f>IF(ISERROR(VLOOKUP($S$5,'TAR FIN'!$A$1:$O$92,15,0)),0,VLOOKUP($S$5,'TAR FIN'!$A$1:$O$92,15,0))</f>
        <v>13.87</v>
      </c>
      <c r="W5" s="6">
        <f>IF(ISERROR(VLOOKUP($T$5,'TAR FIN'!$A$1:$O$92,15,0)),0,VLOOKUP($T$5,'TAR FIN'!$A$1:$O$92,15,0))</f>
        <v>0</v>
      </c>
      <c r="X5" s="6">
        <f>IF(ISERROR(VLOOKUP($U$5,'TAR FIN'!$A$1:$O$92,15,0)),0,VLOOKUP($U$5,'TAR FIN'!$A$1:$O$92,15,0))</f>
        <v>0</v>
      </c>
      <c r="Y5" s="6">
        <f ca="1">('TUSD BE'!$AM$6+'TUSD BF'!$AM$6+'TUSD CVA'!$AM$6)*1</f>
        <v>17.732846540237446</v>
      </c>
      <c r="Z5" s="6">
        <f ca="1">('TUSD BE'!$AM$7+'TUSD BF'!$AM$7+'TUSD CVA'!$AM$7)*1</f>
        <v>108.4730198859402</v>
      </c>
      <c r="AA5" s="6"/>
      <c r="AB5" s="6">
        <f>$K$5*$V$5</f>
        <v>28952.219733209997</v>
      </c>
      <c r="AC5" s="6">
        <f>$M$5*$W$5</f>
        <v>0</v>
      </c>
      <c r="AD5" s="6">
        <f>$O$5*$X$5</f>
        <v>0</v>
      </c>
      <c r="AE5" s="6">
        <f ca="1">$K$5*$Y$5</f>
        <v>37015.520513932752</v>
      </c>
      <c r="AF5" s="6">
        <f ca="1">$M$5*$Z$5</f>
        <v>0</v>
      </c>
      <c r="AG5" s="6">
        <f>$O$5*$AA$5</f>
        <v>0</v>
      </c>
      <c r="AI5" s="41" t="s">
        <v>41</v>
      </c>
      <c r="AJ5" s="42">
        <f t="shared" si="0"/>
        <v>936896.31271600013</v>
      </c>
      <c r="AK5" s="42">
        <f t="shared" ca="1" si="1"/>
        <v>1375838.1918584153</v>
      </c>
      <c r="AL5" s="43">
        <f t="shared" ca="1" si="2"/>
        <v>0.46850635783798933</v>
      </c>
      <c r="AN5" s="41" t="s">
        <v>41</v>
      </c>
      <c r="AO5" s="42">
        <f t="shared" si="3"/>
        <v>828684.30772400007</v>
      </c>
      <c r="AP5" s="42">
        <f t="shared" si="4"/>
        <v>837445.79165964655</v>
      </c>
      <c r="AQ5" s="43">
        <f t="shared" si="5"/>
        <v>1.057276438564414E-2</v>
      </c>
      <c r="AS5" s="41" t="s">
        <v>41</v>
      </c>
      <c r="AT5" s="42">
        <f t="shared" si="6"/>
        <v>1765580.6204400002</v>
      </c>
      <c r="AU5" s="42">
        <f t="shared" ca="1" si="7"/>
        <v>2213283.9835180617</v>
      </c>
      <c r="AV5" s="43">
        <f t="shared" ca="1" si="8"/>
        <v>0.25357288015909996</v>
      </c>
      <c r="AW5" s="4">
        <v>2213283.9835180617</v>
      </c>
      <c r="AX5" s="4">
        <v>0.25357288015909996</v>
      </c>
      <c r="AY5" s="100">
        <f t="shared" ca="1" si="9"/>
        <v>0</v>
      </c>
      <c r="AZ5" s="100">
        <f t="shared" ca="1" si="10"/>
        <v>0</v>
      </c>
    </row>
    <row r="6" spans="1:52" ht="11.25" hidden="1" customHeight="1" x14ac:dyDescent="0.3">
      <c r="A6" s="4" t="s">
        <v>21</v>
      </c>
      <c r="B6" s="4" t="s">
        <v>61</v>
      </c>
      <c r="C6" s="4" t="s">
        <v>54</v>
      </c>
      <c r="D6" s="4" t="s">
        <v>33</v>
      </c>
      <c r="E6" s="4" t="s">
        <v>25</v>
      </c>
      <c r="F6" s="4" t="s">
        <v>55</v>
      </c>
      <c r="G6" s="4" t="s">
        <v>25</v>
      </c>
      <c r="H6" s="4" t="s">
        <v>25</v>
      </c>
      <c r="I6" s="5">
        <v>44652</v>
      </c>
      <c r="J6" s="6">
        <v>0</v>
      </c>
      <c r="K6" s="6">
        <v>0</v>
      </c>
      <c r="L6" s="6">
        <v>1349.6216999999999</v>
      </c>
      <c r="M6" s="6">
        <v>1349.6216999999999</v>
      </c>
      <c r="N6" s="6">
        <v>0</v>
      </c>
      <c r="O6" s="6">
        <v>0</v>
      </c>
      <c r="P6" s="6">
        <v>1</v>
      </c>
      <c r="Q6" s="4" t="s">
        <v>56</v>
      </c>
      <c r="R6" s="4">
        <v>0</v>
      </c>
      <c r="S6" s="6">
        <v>0</v>
      </c>
      <c r="T6" s="6">
        <v>5</v>
      </c>
      <c r="U6" s="6">
        <v>0</v>
      </c>
      <c r="V6" s="6">
        <f>IF(ISERROR(VLOOKUP($S$6,'TAR FIN'!$A$1:$O$92,15,0)),0,VLOOKUP($S$6,'TAR FIN'!$A$1:$O$92,15,0))</f>
        <v>0</v>
      </c>
      <c r="W6" s="6">
        <f>IF(ISERROR(VLOOKUP($T$6,'TAR FIN'!$A$1:$O$92,15,0)),0,VLOOKUP($T$6,'TAR FIN'!$A$1:$O$92,15,0))</f>
        <v>57.86</v>
      </c>
      <c r="X6" s="6">
        <f>IF(ISERROR(VLOOKUP($U$6,'TAR FIN'!$A$1:$O$92,15,0)),0,VLOOKUP($U$6,'TAR FIN'!$A$1:$O$92,15,0))</f>
        <v>0</v>
      </c>
      <c r="Y6" s="6"/>
      <c r="Z6" s="6">
        <f ca="1">('TUSD BE'!$AM$7+'TUSD BF'!$AM$7+'TUSD CVA'!$AM$7)*1</f>
        <v>108.4730198859402</v>
      </c>
      <c r="AA6" s="6"/>
      <c r="AB6" s="6">
        <f>$K$6*$V$6</f>
        <v>0</v>
      </c>
      <c r="AC6" s="6">
        <f>$M$6*$W$6</f>
        <v>78089.111561999991</v>
      </c>
      <c r="AD6" s="6">
        <f>$O$6*$X$6</f>
        <v>0</v>
      </c>
      <c r="AE6" s="6">
        <f>$K$6*$Y$6</f>
        <v>0</v>
      </c>
      <c r="AF6" s="6">
        <f ca="1">$M$6*$Z$6</f>
        <v>146397.5415025964</v>
      </c>
      <c r="AG6" s="6">
        <f>$O$6*$AA$6</f>
        <v>0</v>
      </c>
      <c r="AI6" s="41" t="s">
        <v>32</v>
      </c>
      <c r="AJ6" s="42">
        <f t="shared" si="0"/>
        <v>2243689.5422691987</v>
      </c>
      <c r="AK6" s="42">
        <f t="shared" ca="1" si="1"/>
        <v>3093384.6801130283</v>
      </c>
      <c r="AL6" s="43">
        <f t="shared" ca="1" si="2"/>
        <v>0.37870441602382932</v>
      </c>
      <c r="AN6" s="41" t="s">
        <v>32</v>
      </c>
      <c r="AO6" s="42">
        <f t="shared" si="3"/>
        <v>1991731.9022904008</v>
      </c>
      <c r="AP6" s="42">
        <f t="shared" si="4"/>
        <v>1888589.7933701978</v>
      </c>
      <c r="AQ6" s="43">
        <f t="shared" si="5"/>
        <v>-5.1785136745359339E-2</v>
      </c>
      <c r="AS6" s="41" t="s">
        <v>32</v>
      </c>
      <c r="AT6" s="42">
        <f t="shared" si="6"/>
        <v>4235421.4445595993</v>
      </c>
      <c r="AU6" s="42">
        <f t="shared" ca="1" si="7"/>
        <v>4981974.4734832263</v>
      </c>
      <c r="AV6" s="43">
        <f t="shared" ca="1" si="8"/>
        <v>0.17626416608023154</v>
      </c>
      <c r="AW6" s="4">
        <v>4981974.4734832263</v>
      </c>
      <c r="AX6" s="4">
        <v>0.17626416608023154</v>
      </c>
      <c r="AY6" s="100">
        <f t="shared" ca="1" si="9"/>
        <v>0</v>
      </c>
      <c r="AZ6" s="100">
        <f t="shared" ca="1" si="10"/>
        <v>0</v>
      </c>
    </row>
    <row r="7" spans="1:52" ht="11.25" hidden="1" customHeight="1" x14ac:dyDescent="0.3">
      <c r="A7" s="4" t="s">
        <v>21</v>
      </c>
      <c r="B7" s="4" t="s">
        <v>61</v>
      </c>
      <c r="C7" s="4" t="s">
        <v>54</v>
      </c>
      <c r="D7" s="4" t="s">
        <v>33</v>
      </c>
      <c r="E7" s="4" t="s">
        <v>25</v>
      </c>
      <c r="F7" s="4" t="s">
        <v>55</v>
      </c>
      <c r="G7" s="4" t="s">
        <v>25</v>
      </c>
      <c r="H7" s="4" t="s">
        <v>25</v>
      </c>
      <c r="I7" s="5">
        <v>44682</v>
      </c>
      <c r="J7" s="6">
        <v>0</v>
      </c>
      <c r="K7" s="6">
        <v>0</v>
      </c>
      <c r="L7" s="6">
        <v>2026.143</v>
      </c>
      <c r="M7" s="6">
        <v>2026.143</v>
      </c>
      <c r="N7" s="6">
        <v>0</v>
      </c>
      <c r="O7" s="6">
        <v>0</v>
      </c>
      <c r="P7" s="6">
        <v>1</v>
      </c>
      <c r="Q7" s="4" t="s">
        <v>56</v>
      </c>
      <c r="R7" s="4">
        <v>0</v>
      </c>
      <c r="S7" s="6">
        <v>0</v>
      </c>
      <c r="T7" s="6">
        <v>5</v>
      </c>
      <c r="U7" s="6">
        <v>0</v>
      </c>
      <c r="V7" s="6">
        <f>IF(ISERROR(VLOOKUP($S$7,'TAR FIN'!$A$1:$O$92,15,0)),0,VLOOKUP($S$7,'TAR FIN'!$A$1:$O$92,15,0))</f>
        <v>0</v>
      </c>
      <c r="W7" s="6">
        <f>IF(ISERROR(VLOOKUP($T$7,'TAR FIN'!$A$1:$O$92,15,0)),0,VLOOKUP($T$7,'TAR FIN'!$A$1:$O$92,15,0))</f>
        <v>57.86</v>
      </c>
      <c r="X7" s="6">
        <f>IF(ISERROR(VLOOKUP($U$7,'TAR FIN'!$A$1:$O$92,15,0)),0,VLOOKUP($U$7,'TAR FIN'!$A$1:$O$92,15,0))</f>
        <v>0</v>
      </c>
      <c r="Y7" s="6"/>
      <c r="Z7" s="6">
        <f ca="1">('TUSD BE'!$AM$7+'TUSD BF'!$AM$7+'TUSD CVA'!$AM$7)*1</f>
        <v>108.4730198859402</v>
      </c>
      <c r="AA7" s="6"/>
      <c r="AB7" s="6">
        <f>$K$7*$V$7</f>
        <v>0</v>
      </c>
      <c r="AC7" s="6">
        <f>$M$7*$W$7</f>
        <v>117232.63398</v>
      </c>
      <c r="AD7" s="6">
        <f>$O$7*$X$7</f>
        <v>0</v>
      </c>
      <c r="AE7" s="6">
        <f>$K$7*$Y$7</f>
        <v>0</v>
      </c>
      <c r="AF7" s="6">
        <f ca="1">$M$7*$Z$7</f>
        <v>219781.84993075856</v>
      </c>
      <c r="AG7" s="6">
        <f>$O$7*$AA$7</f>
        <v>0</v>
      </c>
      <c r="AI7" s="41" t="s">
        <v>44</v>
      </c>
      <c r="AJ7" s="42">
        <f t="shared" si="0"/>
        <v>455940.53918000002</v>
      </c>
      <c r="AK7" s="42">
        <f t="shared" ca="1" si="1"/>
        <v>626826.69957411999</v>
      </c>
      <c r="AL7" s="43">
        <f t="shared" ca="1" si="2"/>
        <v>0.37479922426168844</v>
      </c>
      <c r="AN7" s="41" t="s">
        <v>44</v>
      </c>
      <c r="AO7" s="42">
        <f t="shared" si="3"/>
        <v>403302.28365</v>
      </c>
      <c r="AP7" s="42">
        <f t="shared" si="4"/>
        <v>381537.14932800166</v>
      </c>
      <c r="AQ7" s="43">
        <f t="shared" si="5"/>
        <v>-5.3967297494617927E-2</v>
      </c>
      <c r="AS7" s="41" t="s">
        <v>44</v>
      </c>
      <c r="AT7" s="42">
        <f t="shared" si="6"/>
        <v>859242.82282999996</v>
      </c>
      <c r="AU7" s="42">
        <f t="shared" ca="1" si="7"/>
        <v>1008363.8489021217</v>
      </c>
      <c r="AV7" s="43">
        <f t="shared" ca="1" si="8"/>
        <v>0.1735493414783229</v>
      </c>
      <c r="AW7" s="4">
        <v>1008363.8489021217</v>
      </c>
      <c r="AX7" s="4">
        <v>0.1735493414783229</v>
      </c>
      <c r="AY7" s="100">
        <f t="shared" ca="1" si="9"/>
        <v>0</v>
      </c>
      <c r="AZ7" s="100">
        <f t="shared" ca="1" si="10"/>
        <v>0</v>
      </c>
    </row>
    <row r="8" spans="1:52" ht="11.25" hidden="1" customHeight="1" x14ac:dyDescent="0.3">
      <c r="A8" s="4" t="s">
        <v>21</v>
      </c>
      <c r="B8" s="4" t="s">
        <v>61</v>
      </c>
      <c r="C8" s="4" t="s">
        <v>54</v>
      </c>
      <c r="D8" s="4" t="s">
        <v>33</v>
      </c>
      <c r="E8" s="4" t="s">
        <v>25</v>
      </c>
      <c r="F8" s="4" t="s">
        <v>55</v>
      </c>
      <c r="G8" s="4" t="s">
        <v>25</v>
      </c>
      <c r="H8" s="4" t="s">
        <v>25</v>
      </c>
      <c r="I8" s="5">
        <v>44713</v>
      </c>
      <c r="J8" s="6">
        <v>0</v>
      </c>
      <c r="K8" s="6">
        <v>0</v>
      </c>
      <c r="L8" s="6">
        <v>2090.6046000000001</v>
      </c>
      <c r="M8" s="6">
        <v>2090.6046000000001</v>
      </c>
      <c r="N8" s="6">
        <v>0</v>
      </c>
      <c r="O8" s="6">
        <v>0</v>
      </c>
      <c r="P8" s="6">
        <v>1</v>
      </c>
      <c r="Q8" s="4" t="s">
        <v>56</v>
      </c>
      <c r="R8" s="4">
        <v>0</v>
      </c>
      <c r="S8" s="6">
        <v>0</v>
      </c>
      <c r="T8" s="6">
        <v>5</v>
      </c>
      <c r="U8" s="6">
        <v>0</v>
      </c>
      <c r="V8" s="6">
        <f>IF(ISERROR(VLOOKUP($S$8,'TAR FIN'!$A$1:$O$92,15,0)),0,VLOOKUP($S$8,'TAR FIN'!$A$1:$O$92,15,0))</f>
        <v>0</v>
      </c>
      <c r="W8" s="6">
        <f>IF(ISERROR(VLOOKUP($T$8,'TAR FIN'!$A$1:$O$92,15,0)),0,VLOOKUP($T$8,'TAR FIN'!$A$1:$O$92,15,0))</f>
        <v>57.86</v>
      </c>
      <c r="X8" s="6">
        <f>IF(ISERROR(VLOOKUP($U$8,'TAR FIN'!$A$1:$O$92,15,0)),0,VLOOKUP($U$8,'TAR FIN'!$A$1:$O$92,15,0))</f>
        <v>0</v>
      </c>
      <c r="Y8" s="6"/>
      <c r="Z8" s="6">
        <f ca="1">('TUSD BE'!$AM$7+'TUSD BF'!$AM$7+'TUSD CVA'!$AM$7)*1</f>
        <v>108.4730198859402</v>
      </c>
      <c r="AA8" s="6"/>
      <c r="AB8" s="6">
        <f>$K$8*$V$8</f>
        <v>0</v>
      </c>
      <c r="AC8" s="6">
        <f>$M$8*$W$8</f>
        <v>120962.38215600001</v>
      </c>
      <c r="AD8" s="6">
        <f>$O$8*$X$8</f>
        <v>0</v>
      </c>
      <c r="AE8" s="6">
        <f>$K$8*$Y$8</f>
        <v>0</v>
      </c>
      <c r="AF8" s="6">
        <f ca="1">$M$8*$Z$8</f>
        <v>226774.19434943807</v>
      </c>
      <c r="AG8" s="6">
        <f>$O$8*$AA$8</f>
        <v>0</v>
      </c>
      <c r="AI8" s="41" t="s">
        <v>669</v>
      </c>
      <c r="AJ8" s="42">
        <f>+$AJ$2+$AJ$3</f>
        <v>11056416.129271038</v>
      </c>
      <c r="AK8" s="42">
        <f ca="1">+$AK$2+$AK$3</f>
        <v>17841308.472123202</v>
      </c>
      <c r="AL8" s="43">
        <f t="shared" ca="1" si="2"/>
        <v>0.61366108723871804</v>
      </c>
      <c r="AN8" s="41" t="s">
        <v>669</v>
      </c>
      <c r="AO8" s="42">
        <f>+$AO$2+$AO$3</f>
        <v>1007933.9611119998</v>
      </c>
      <c r="AP8" s="42">
        <f>+$AP$2+$AP$3</f>
        <v>953565.10878121736</v>
      </c>
      <c r="AQ8" s="43">
        <f t="shared" si="5"/>
        <v>-5.3940887427585182E-2</v>
      </c>
      <c r="AS8" s="41" t="s">
        <v>669</v>
      </c>
      <c r="AT8" s="42">
        <f>+$AT$2+$AT$3</f>
        <v>12064350.090383038</v>
      </c>
      <c r="AU8" s="42">
        <f ca="1">+$AU$2+$AU$3</f>
        <v>18794873.58090442</v>
      </c>
      <c r="AV8" s="43">
        <f t="shared" ca="1" si="8"/>
        <v>0.55788529345534688</v>
      </c>
      <c r="AW8" s="4">
        <v>18794873.58090442</v>
      </c>
      <c r="AX8" s="4">
        <v>0.55788529345534688</v>
      </c>
      <c r="AY8" s="100">
        <f t="shared" ca="1" si="9"/>
        <v>0</v>
      </c>
      <c r="AZ8" s="100">
        <f t="shared" ca="1" si="10"/>
        <v>0</v>
      </c>
    </row>
    <row r="9" spans="1:52" ht="11.25" hidden="1" customHeight="1" x14ac:dyDescent="0.3">
      <c r="A9" s="4" t="s">
        <v>21</v>
      </c>
      <c r="B9" s="4" t="s">
        <v>61</v>
      </c>
      <c r="C9" s="4" t="s">
        <v>54</v>
      </c>
      <c r="D9" s="4" t="s">
        <v>33</v>
      </c>
      <c r="E9" s="4" t="s">
        <v>25</v>
      </c>
      <c r="F9" s="4" t="s">
        <v>55</v>
      </c>
      <c r="G9" s="4" t="s">
        <v>25</v>
      </c>
      <c r="H9" s="4" t="s">
        <v>25</v>
      </c>
      <c r="I9" s="5">
        <v>44743</v>
      </c>
      <c r="J9" s="6">
        <v>0</v>
      </c>
      <c r="K9" s="6">
        <v>0</v>
      </c>
      <c r="L9" s="6">
        <v>2175.5034000000001</v>
      </c>
      <c r="M9" s="6">
        <v>2175.5034000000001</v>
      </c>
      <c r="N9" s="6">
        <v>0</v>
      </c>
      <c r="O9" s="6">
        <v>0</v>
      </c>
      <c r="P9" s="6">
        <v>1</v>
      </c>
      <c r="Q9" s="4" t="s">
        <v>56</v>
      </c>
      <c r="R9" s="4">
        <v>0</v>
      </c>
      <c r="S9" s="6">
        <v>0</v>
      </c>
      <c r="T9" s="6">
        <v>5</v>
      </c>
      <c r="U9" s="6">
        <v>0</v>
      </c>
      <c r="V9" s="6">
        <f>IF(ISERROR(VLOOKUP($S$9,'TAR FIN'!$A$1:$O$92,15,0)),0,VLOOKUP($S$9,'TAR FIN'!$A$1:$O$92,15,0))</f>
        <v>0</v>
      </c>
      <c r="W9" s="6">
        <f>IF(ISERROR(VLOOKUP($T$9,'TAR FIN'!$A$1:$O$92,15,0)),0,VLOOKUP($T$9,'TAR FIN'!$A$1:$O$92,15,0))</f>
        <v>57.86</v>
      </c>
      <c r="X9" s="6">
        <f>IF(ISERROR(VLOOKUP($U$9,'TAR FIN'!$A$1:$O$92,15,0)),0,VLOOKUP($U$9,'TAR FIN'!$A$1:$O$92,15,0))</f>
        <v>0</v>
      </c>
      <c r="Y9" s="6"/>
      <c r="Z9" s="6">
        <f ca="1">('TUSD BE'!$AM$7+'TUSD BF'!$AM$7+'TUSD CVA'!$AM$7)*1</f>
        <v>108.4730198859402</v>
      </c>
      <c r="AA9" s="6"/>
      <c r="AB9" s="6">
        <f>$K$9*$V$9</f>
        <v>0</v>
      </c>
      <c r="AC9" s="6">
        <f>$M$9*$W$9</f>
        <v>125874.626724</v>
      </c>
      <c r="AD9" s="6">
        <f>$O$9*$X$9</f>
        <v>0</v>
      </c>
      <c r="AE9" s="6">
        <f>$K$9*$Y$9</f>
        <v>0</v>
      </c>
      <c r="AF9" s="6">
        <f ca="1">$M$9*$Z$9</f>
        <v>235983.42357013054</v>
      </c>
      <c r="AG9" s="6">
        <f>$O$9*$AA$9</f>
        <v>0</v>
      </c>
      <c r="AI9" s="41" t="s">
        <v>86</v>
      </c>
      <c r="AJ9" s="42">
        <f>+$AJ$4+$AJ$5+$AJ$6+$AJ$7</f>
        <v>7731971.8009151993</v>
      </c>
      <c r="AK9" s="42">
        <f ca="1">+$AK$4+$AK$5+$AK$6+$AK$7</f>
        <v>10699235.704337753</v>
      </c>
      <c r="AL9" s="43">
        <f t="shared" ca="1" si="2"/>
        <v>0.38376548438411695</v>
      </c>
      <c r="AN9" s="41" t="s">
        <v>86</v>
      </c>
      <c r="AO9" s="42">
        <f>+$AO$4+$AO$5+$AO$6+$AO$7</f>
        <v>6878687.1075944006</v>
      </c>
      <c r="AP9" s="42">
        <f>+$AP$4+$AP$5+$AP$6+$AP$7</f>
        <v>6565354.6114398744</v>
      </c>
      <c r="AQ9" s="43">
        <f t="shared" si="5"/>
        <v>-4.5551206393527055E-2</v>
      </c>
      <c r="AS9" s="41" t="s">
        <v>86</v>
      </c>
      <c r="AT9" s="42">
        <f>+$AT$4+$AT$5+$AT$6+$AT$7</f>
        <v>14610658.908509597</v>
      </c>
      <c r="AU9" s="42">
        <f ca="1">+$AU$4+$AU$5+$AU$6+$AU$7</f>
        <v>17264590.315777626</v>
      </c>
      <c r="AV9" s="43">
        <f t="shared" ca="1" si="8"/>
        <v>0.18164351271812351</v>
      </c>
      <c r="AW9" s="4">
        <v>17264590.315777626</v>
      </c>
      <c r="AX9" s="4">
        <v>0.18164351271812351</v>
      </c>
      <c r="AY9" s="100">
        <f t="shared" ca="1" si="9"/>
        <v>0</v>
      </c>
      <c r="AZ9" s="100">
        <f t="shared" ca="1" si="10"/>
        <v>0</v>
      </c>
    </row>
    <row r="10" spans="1:52" ht="11.25" hidden="1" customHeight="1" x14ac:dyDescent="0.3">
      <c r="A10" s="4" t="s">
        <v>21</v>
      </c>
      <c r="B10" s="4" t="s">
        <v>61</v>
      </c>
      <c r="C10" s="4" t="s">
        <v>54</v>
      </c>
      <c r="D10" s="4" t="s">
        <v>33</v>
      </c>
      <c r="E10" s="4" t="s">
        <v>25</v>
      </c>
      <c r="F10" s="4" t="s">
        <v>55</v>
      </c>
      <c r="G10" s="4" t="s">
        <v>25</v>
      </c>
      <c r="H10" s="4" t="s">
        <v>36</v>
      </c>
      <c r="I10" s="5">
        <v>44652</v>
      </c>
      <c r="J10" s="6">
        <v>3427.2</v>
      </c>
      <c r="K10" s="6">
        <v>1714.446792576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56</v>
      </c>
      <c r="R10" s="4">
        <v>0</v>
      </c>
      <c r="S10" s="6">
        <v>1</v>
      </c>
      <c r="T10" s="6">
        <v>0</v>
      </c>
      <c r="U10" s="6">
        <v>0</v>
      </c>
      <c r="V10" s="6">
        <f>IF(ISERROR(VLOOKUP($S$10,'TAR FIN'!$A$1:$O$92,15,0)),0,VLOOKUP($S$10,'TAR FIN'!$A$1:$O$92,15,0))</f>
        <v>22.04</v>
      </c>
      <c r="W10" s="6">
        <f>IF(ISERROR(VLOOKUP($T$10,'TAR FIN'!$A$1:$O$92,15,0)),0,VLOOKUP($T$10,'TAR FIN'!$A$1:$O$92,15,0))</f>
        <v>0</v>
      </c>
      <c r="X10" s="6">
        <f>IF(ISERROR(VLOOKUP($U$10,'TAR FIN'!$A$1:$O$92,15,0)),0,VLOOKUP($U$10,'TAR FIN'!$A$1:$O$92,15,0))</f>
        <v>0</v>
      </c>
      <c r="Y10" s="6">
        <f ca="1">('TUSD BE'!$AM$5+'TUSD BF'!$AM$5+'TUSD CVA'!$AM$5)*1</f>
        <v>28.953484759196108</v>
      </c>
      <c r="Z10" s="6">
        <f ca="1">('TUSD BE'!$AM$7+'TUSD BF'!$AM$7+'TUSD CVA'!$AM$7)*1</f>
        <v>108.4730198859402</v>
      </c>
      <c r="AA10" s="6"/>
      <c r="AB10" s="6">
        <f>$K$10*$V$10</f>
        <v>37786.407308375041</v>
      </c>
      <c r="AC10" s="6">
        <f>$M$10*$W$10</f>
        <v>0</v>
      </c>
      <c r="AD10" s="6">
        <f>$O$10*$X$10</f>
        <v>0</v>
      </c>
      <c r="AE10" s="6">
        <f ca="1">$K$10*$Y$10</f>
        <v>49639.209079301865</v>
      </c>
      <c r="AF10" s="6">
        <f ca="1">$M$10*$Z$10</f>
        <v>0</v>
      </c>
      <c r="AG10" s="6">
        <f>$O$10*$AA$10</f>
        <v>0</v>
      </c>
      <c r="AI10" s="41" t="s">
        <v>670</v>
      </c>
      <c r="AJ10" s="42">
        <f>AJ9+AJ8</f>
        <v>18788387.930186238</v>
      </c>
      <c r="AK10" s="42">
        <f ca="1">AK9+AK8</f>
        <v>28540544.176460955</v>
      </c>
      <c r="AL10" s="43">
        <f t="shared" ca="1" si="2"/>
        <v>0.51905231478675606</v>
      </c>
      <c r="AN10" s="41" t="s">
        <v>670</v>
      </c>
      <c r="AO10" s="42">
        <f>AO9+AO8</f>
        <v>7886621.0687064007</v>
      </c>
      <c r="AP10" s="42">
        <f>AP9+AP8</f>
        <v>7518919.720221092</v>
      </c>
      <c r="AQ10" s="43">
        <f t="shared" si="5"/>
        <v>-4.662343293559823E-2</v>
      </c>
      <c r="AS10" s="41" t="s">
        <v>670</v>
      </c>
      <c r="AT10" s="42">
        <f>AT9+AT8</f>
        <v>26675008.998892635</v>
      </c>
      <c r="AU10" s="42">
        <f ca="1">AU9+AU8</f>
        <v>36059463.896682046</v>
      </c>
      <c r="AV10" s="43">
        <f t="shared" ca="1" si="8"/>
        <v>0.35180700025926859</v>
      </c>
      <c r="AW10" s="4">
        <v>36059463.896682046</v>
      </c>
      <c r="AX10" s="4">
        <v>0.35180700025926859</v>
      </c>
      <c r="AY10" s="100">
        <f t="shared" ca="1" si="9"/>
        <v>0</v>
      </c>
      <c r="AZ10" s="100">
        <f t="shared" ca="1" si="10"/>
        <v>0</v>
      </c>
    </row>
    <row r="11" spans="1:52" ht="11.25" hidden="1" customHeight="1" x14ac:dyDescent="0.3">
      <c r="A11" s="4" t="s">
        <v>21</v>
      </c>
      <c r="B11" s="4" t="s">
        <v>61</v>
      </c>
      <c r="C11" s="4" t="s">
        <v>54</v>
      </c>
      <c r="D11" s="4" t="s">
        <v>33</v>
      </c>
      <c r="E11" s="4" t="s">
        <v>25</v>
      </c>
      <c r="F11" s="4" t="s">
        <v>55</v>
      </c>
      <c r="G11" s="4" t="s">
        <v>25</v>
      </c>
      <c r="H11" s="4" t="s">
        <v>36</v>
      </c>
      <c r="I11" s="5">
        <v>44682</v>
      </c>
      <c r="J11" s="6">
        <v>3679.2</v>
      </c>
      <c r="K11" s="6">
        <v>1840.333926816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56</v>
      </c>
      <c r="R11" s="4">
        <v>0</v>
      </c>
      <c r="S11" s="6">
        <v>1</v>
      </c>
      <c r="T11" s="6">
        <v>0</v>
      </c>
      <c r="U11" s="6">
        <v>0</v>
      </c>
      <c r="V11" s="6">
        <f>IF(ISERROR(VLOOKUP($S$11,'TAR FIN'!$A$1:$O$92,15,0)),0,VLOOKUP($S$11,'TAR FIN'!$A$1:$O$92,15,0))</f>
        <v>22.04</v>
      </c>
      <c r="W11" s="6">
        <f>IF(ISERROR(VLOOKUP($T$11,'TAR FIN'!$A$1:$O$92,15,0)),0,VLOOKUP($T$11,'TAR FIN'!$A$1:$O$92,15,0))</f>
        <v>0</v>
      </c>
      <c r="X11" s="6">
        <f>IF(ISERROR(VLOOKUP($U$11,'TAR FIN'!$A$1:$O$92,15,0)),0,VLOOKUP($U$11,'TAR FIN'!$A$1:$O$92,15,0))</f>
        <v>0</v>
      </c>
      <c r="Y11" s="6">
        <f ca="1">('TUSD BE'!$AM$5+'TUSD BF'!$AM$5+'TUSD CVA'!$AM$5)*1</f>
        <v>28.953484759196108</v>
      </c>
      <c r="Z11" s="6">
        <f ca="1">('TUSD BE'!$AM$7+'TUSD BF'!$AM$7+'TUSD CVA'!$AM$7)*1</f>
        <v>108.4730198859402</v>
      </c>
      <c r="AA11" s="6"/>
      <c r="AB11" s="6">
        <f>$K$11*$V$11</f>
        <v>40560.959747024637</v>
      </c>
      <c r="AC11" s="6">
        <f>$M$11*$W$11</f>
        <v>0</v>
      </c>
      <c r="AD11" s="6">
        <f>$O$11*$X$11</f>
        <v>0</v>
      </c>
      <c r="AE11" s="6">
        <f ca="1">$K$11*$Y$11</f>
        <v>53284.080301898583</v>
      </c>
      <c r="AF11" s="6">
        <f ca="1">$M$11*$Z$11</f>
        <v>0</v>
      </c>
      <c r="AG11" s="6">
        <f>$O$11*$AA$11</f>
        <v>0</v>
      </c>
      <c r="AY11" s="100">
        <f t="shared" si="9"/>
        <v>0</v>
      </c>
    </row>
    <row r="12" spans="1:52" ht="11.25" hidden="1" customHeight="1" x14ac:dyDescent="0.3">
      <c r="A12" s="4" t="s">
        <v>21</v>
      </c>
      <c r="B12" s="4" t="s">
        <v>61</v>
      </c>
      <c r="C12" s="4" t="s">
        <v>54</v>
      </c>
      <c r="D12" s="4" t="s">
        <v>33</v>
      </c>
      <c r="E12" s="4" t="s">
        <v>25</v>
      </c>
      <c r="F12" s="4" t="s">
        <v>55</v>
      </c>
      <c r="G12" s="4" t="s">
        <v>25</v>
      </c>
      <c r="H12" s="4" t="s">
        <v>36</v>
      </c>
      <c r="I12" s="5">
        <v>44713</v>
      </c>
      <c r="J12" s="6">
        <v>3670.8</v>
      </c>
      <c r="K12" s="6">
        <v>1853.9782124640001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56</v>
      </c>
      <c r="R12" s="4">
        <v>0</v>
      </c>
      <c r="S12" s="6">
        <v>1</v>
      </c>
      <c r="T12" s="6">
        <v>0</v>
      </c>
      <c r="U12" s="6">
        <v>0</v>
      </c>
      <c r="V12" s="6">
        <f>IF(ISERROR(VLOOKUP($S$12,'TAR FIN'!$A$1:$O$92,15,0)),0,VLOOKUP($S$12,'TAR FIN'!$A$1:$O$92,15,0))</f>
        <v>22.04</v>
      </c>
      <c r="W12" s="6">
        <f>IF(ISERROR(VLOOKUP($T$12,'TAR FIN'!$A$1:$O$92,15,0)),0,VLOOKUP($T$12,'TAR FIN'!$A$1:$O$92,15,0))</f>
        <v>0</v>
      </c>
      <c r="X12" s="6">
        <f>IF(ISERROR(VLOOKUP($U$12,'TAR FIN'!$A$1:$O$92,15,0)),0,VLOOKUP($U$12,'TAR FIN'!$A$1:$O$92,15,0))</f>
        <v>0</v>
      </c>
      <c r="Y12" s="6">
        <f ca="1">('TUSD BE'!$AM$5+'TUSD BF'!$AM$5+'TUSD CVA'!$AM$5)*1</f>
        <v>28.953484759196108</v>
      </c>
      <c r="Z12" s="6">
        <f ca="1">('TUSD BE'!$AM$7+'TUSD BF'!$AM$7+'TUSD CVA'!$AM$7)*1</f>
        <v>108.4730198859402</v>
      </c>
      <c r="AA12" s="6"/>
      <c r="AB12" s="6">
        <f>$K$12*$V$12</f>
        <v>40861.67980270656</v>
      </c>
      <c r="AC12" s="6">
        <f>$M$12*$W$12</f>
        <v>0</v>
      </c>
      <c r="AD12" s="6">
        <f>$O$12*$X$12</f>
        <v>0</v>
      </c>
      <c r="AE12" s="6">
        <f ca="1">$K$12*$Y$12</f>
        <v>53679.129918458071</v>
      </c>
      <c r="AF12" s="6">
        <f ca="1">$M$12*$Z$12</f>
        <v>0</v>
      </c>
      <c r="AG12" s="6">
        <f>$O$12*$AA$12</f>
        <v>0</v>
      </c>
      <c r="AU12" s="100">
        <f ca="1">AU10-EFEITO_350!AU10</f>
        <v>7106986.3123376369</v>
      </c>
      <c r="AW12" s="4">
        <v>7106986.3123376369</v>
      </c>
      <c r="AY12" s="100">
        <f t="shared" ca="1" si="9"/>
        <v>0</v>
      </c>
    </row>
    <row r="13" spans="1:52" ht="11.25" hidden="1" customHeight="1" x14ac:dyDescent="0.3">
      <c r="A13" s="4" t="s">
        <v>21</v>
      </c>
      <c r="B13" s="4" t="s">
        <v>61</v>
      </c>
      <c r="C13" s="4" t="s">
        <v>54</v>
      </c>
      <c r="D13" s="4" t="s">
        <v>33</v>
      </c>
      <c r="E13" s="4" t="s">
        <v>25</v>
      </c>
      <c r="F13" s="4" t="s">
        <v>55</v>
      </c>
      <c r="G13" s="4" t="s">
        <v>25</v>
      </c>
      <c r="H13" s="4" t="s">
        <v>36</v>
      </c>
      <c r="I13" s="5">
        <v>44743</v>
      </c>
      <c r="J13" s="6">
        <v>4100</v>
      </c>
      <c r="K13" s="6">
        <v>2087.3986829999999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56</v>
      </c>
      <c r="R13" s="4">
        <v>0</v>
      </c>
      <c r="S13" s="6">
        <v>1</v>
      </c>
      <c r="T13" s="6">
        <v>0</v>
      </c>
      <c r="U13" s="6">
        <v>0</v>
      </c>
      <c r="V13" s="6">
        <f>IF(ISERROR(VLOOKUP($S$13,'TAR FIN'!$A$1:$O$92,15,0)),0,VLOOKUP($S$13,'TAR FIN'!$A$1:$O$92,15,0))</f>
        <v>22.04</v>
      </c>
      <c r="W13" s="6">
        <f>IF(ISERROR(VLOOKUP($T$13,'TAR FIN'!$A$1:$O$92,15,0)),0,VLOOKUP($T$13,'TAR FIN'!$A$1:$O$92,15,0))</f>
        <v>0</v>
      </c>
      <c r="X13" s="6">
        <f>IF(ISERROR(VLOOKUP($U$13,'TAR FIN'!$A$1:$O$92,15,0)),0,VLOOKUP($U$13,'TAR FIN'!$A$1:$O$92,15,0))</f>
        <v>0</v>
      </c>
      <c r="Y13" s="6">
        <f ca="1">('TUSD BE'!$AM$5+'TUSD BF'!$AM$5+'TUSD CVA'!$AM$5)*1</f>
        <v>28.953484759196108</v>
      </c>
      <c r="Z13" s="6">
        <f ca="1">('TUSD BE'!$AM$7+'TUSD BF'!$AM$7+'TUSD CVA'!$AM$7)*1</f>
        <v>108.4730198859402</v>
      </c>
      <c r="AA13" s="6"/>
      <c r="AB13" s="6">
        <f>$K$13*$V$13</f>
        <v>46006.266973319995</v>
      </c>
      <c r="AC13" s="6">
        <f>$M$13*$W$13</f>
        <v>0</v>
      </c>
      <c r="AD13" s="6">
        <f>$O$13*$X$13</f>
        <v>0</v>
      </c>
      <c r="AE13" s="6">
        <f ca="1">$K$13*$Y$13</f>
        <v>60437.465954606523</v>
      </c>
      <c r="AF13" s="6">
        <f ca="1">$M$13*$Z$13</f>
        <v>0</v>
      </c>
      <c r="AG13" s="6">
        <f>$O$13*$AA$13</f>
        <v>0</v>
      </c>
    </row>
    <row r="14" spans="1:52" ht="11.25" hidden="1" customHeight="1" x14ac:dyDescent="0.3">
      <c r="A14" s="4" t="s">
        <v>21</v>
      </c>
      <c r="B14" s="4" t="s">
        <v>34</v>
      </c>
      <c r="C14" s="4" t="s">
        <v>54</v>
      </c>
      <c r="D14" s="4" t="s">
        <v>33</v>
      </c>
      <c r="E14" s="4" t="s">
        <v>25</v>
      </c>
      <c r="F14" s="4" t="s">
        <v>55</v>
      </c>
      <c r="G14" s="4" t="s">
        <v>25</v>
      </c>
      <c r="H14" s="4" t="s">
        <v>37</v>
      </c>
      <c r="I14" s="5">
        <v>44409</v>
      </c>
      <c r="J14" s="6">
        <v>7449</v>
      </c>
      <c r="K14" s="6">
        <v>3724.7023148399999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4" t="s">
        <v>56</v>
      </c>
      <c r="R14" s="4">
        <v>0</v>
      </c>
      <c r="S14" s="6">
        <v>10</v>
      </c>
      <c r="T14" s="6">
        <v>0</v>
      </c>
      <c r="U14" s="6">
        <v>0</v>
      </c>
      <c r="V14" s="6">
        <f>IF(ISERROR(VLOOKUP($S$14,'TAR FIN'!$A$1:$O$92,15,0)),0,VLOOKUP($S$14,'TAR FIN'!$A$1:$O$92,15,0))</f>
        <v>18.489999999999998</v>
      </c>
      <c r="W14" s="6">
        <f>IF(ISERROR(VLOOKUP($T$14,'TAR FIN'!$A$1:$O$92,15,0)),0,VLOOKUP($T$14,'TAR FIN'!$A$1:$O$92,15,0))</f>
        <v>0</v>
      </c>
      <c r="X14" s="6">
        <f>IF(ISERROR(VLOOKUP($U$14,'TAR FIN'!$A$1:$O$92,15,0)),0,VLOOKUP($U$14,'TAR FIN'!$A$1:$O$92,15,0))</f>
        <v>0</v>
      </c>
      <c r="Y14" s="6">
        <f ca="1">('TUSD BE'!$AM$10+'TUSD BF'!$AM$10+'TUSD CVA'!$AM$10)*1</f>
        <v>23.643887023397856</v>
      </c>
      <c r="Z14" s="6">
        <f ca="1">('TUSD BE'!$AM$11+'TUSD BF'!$AM$11+'TUSD CVA'!$AM$11)*1</f>
        <v>139.98967941887983</v>
      </c>
      <c r="AA14" s="6"/>
      <c r="AB14" s="6">
        <f>$K$14*$V$14</f>
        <v>68869.745801391589</v>
      </c>
      <c r="AC14" s="6">
        <f>$M$14*$W$14</f>
        <v>0</v>
      </c>
      <c r="AD14" s="6">
        <f>$O$14*$X$14</f>
        <v>0</v>
      </c>
      <c r="AE14" s="6">
        <f ca="1">$K$14*$Y$14</f>
        <v>88066.440727865425</v>
      </c>
      <c r="AF14" s="6">
        <f ca="1">$M$14*$Z$14</f>
        <v>0</v>
      </c>
      <c r="AG14" s="6">
        <f>$O$14*$AA$14</f>
        <v>0</v>
      </c>
    </row>
    <row r="15" spans="1:52" ht="11.25" hidden="1" customHeight="1" x14ac:dyDescent="0.3">
      <c r="A15" s="4" t="s">
        <v>21</v>
      </c>
      <c r="B15" s="4" t="s">
        <v>34</v>
      </c>
      <c r="C15" s="4" t="s">
        <v>54</v>
      </c>
      <c r="D15" s="4" t="s">
        <v>33</v>
      </c>
      <c r="E15" s="4" t="s">
        <v>25</v>
      </c>
      <c r="F15" s="4" t="s">
        <v>55</v>
      </c>
      <c r="G15" s="4" t="s">
        <v>25</v>
      </c>
      <c r="H15" s="4" t="s">
        <v>37</v>
      </c>
      <c r="I15" s="5">
        <v>44440</v>
      </c>
      <c r="J15" s="6">
        <v>7484</v>
      </c>
      <c r="K15" s="6">
        <v>3746.0831207199999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4" t="s">
        <v>56</v>
      </c>
      <c r="R15" s="4">
        <v>0</v>
      </c>
      <c r="S15" s="6">
        <v>10</v>
      </c>
      <c r="T15" s="6">
        <v>0</v>
      </c>
      <c r="U15" s="6">
        <v>0</v>
      </c>
      <c r="V15" s="6">
        <f>IF(ISERROR(VLOOKUP($S$15,'TAR FIN'!$A$1:$O$92,15,0)),0,VLOOKUP($S$15,'TAR FIN'!$A$1:$O$92,15,0))</f>
        <v>18.489999999999998</v>
      </c>
      <c r="W15" s="6">
        <f>IF(ISERROR(VLOOKUP($T$15,'TAR FIN'!$A$1:$O$92,15,0)),0,VLOOKUP($T$15,'TAR FIN'!$A$1:$O$92,15,0))</f>
        <v>0</v>
      </c>
      <c r="X15" s="6">
        <f>IF(ISERROR(VLOOKUP($U$15,'TAR FIN'!$A$1:$O$92,15,0)),0,VLOOKUP($U$15,'TAR FIN'!$A$1:$O$92,15,0))</f>
        <v>0</v>
      </c>
      <c r="Y15" s="6">
        <f ca="1">('TUSD BE'!$AM$10+'TUSD BF'!$AM$10+'TUSD CVA'!$AM$10)*1</f>
        <v>23.643887023397856</v>
      </c>
      <c r="Z15" s="6">
        <f ca="1">('TUSD BE'!$AM$11+'TUSD BF'!$AM$11+'TUSD CVA'!$AM$11)*1</f>
        <v>139.98967941887983</v>
      </c>
      <c r="AA15" s="6"/>
      <c r="AB15" s="6">
        <f>$K$15*$V$15</f>
        <v>69265.076902112793</v>
      </c>
      <c r="AC15" s="6">
        <f>$M$15*$W$15</f>
        <v>0</v>
      </c>
      <c r="AD15" s="6">
        <f>$O$15*$X$15</f>
        <v>0</v>
      </c>
      <c r="AE15" s="6">
        <f ca="1">$K$15*$Y$15</f>
        <v>88571.966086561355</v>
      </c>
      <c r="AF15" s="6">
        <f ca="1">$M$15*$Z$15</f>
        <v>0</v>
      </c>
      <c r="AG15" s="6">
        <f>$O$15*$AA$15</f>
        <v>0</v>
      </c>
    </row>
    <row r="16" spans="1:52" ht="11.25" hidden="1" customHeight="1" x14ac:dyDescent="0.3">
      <c r="A16" s="4" t="s">
        <v>21</v>
      </c>
      <c r="B16" s="4" t="s">
        <v>34</v>
      </c>
      <c r="C16" s="4" t="s">
        <v>54</v>
      </c>
      <c r="D16" s="4" t="s">
        <v>33</v>
      </c>
      <c r="E16" s="4" t="s">
        <v>25</v>
      </c>
      <c r="F16" s="4" t="s">
        <v>55</v>
      </c>
      <c r="G16" s="4" t="s">
        <v>25</v>
      </c>
      <c r="H16" s="4" t="s">
        <v>37</v>
      </c>
      <c r="I16" s="5">
        <v>44470</v>
      </c>
      <c r="J16" s="6">
        <v>7491</v>
      </c>
      <c r="K16" s="6">
        <v>3748.5737071200001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4" t="s">
        <v>56</v>
      </c>
      <c r="R16" s="4">
        <v>0</v>
      </c>
      <c r="S16" s="6">
        <v>10</v>
      </c>
      <c r="T16" s="6">
        <v>0</v>
      </c>
      <c r="U16" s="6">
        <v>0</v>
      </c>
      <c r="V16" s="6">
        <f>IF(ISERROR(VLOOKUP($S$16,'TAR FIN'!$A$1:$O$92,15,0)),0,VLOOKUP($S$16,'TAR FIN'!$A$1:$O$92,15,0))</f>
        <v>18.489999999999998</v>
      </c>
      <c r="W16" s="6">
        <f>IF(ISERROR(VLOOKUP($T$16,'TAR FIN'!$A$1:$O$92,15,0)),0,VLOOKUP($T$16,'TAR FIN'!$A$1:$O$92,15,0))</f>
        <v>0</v>
      </c>
      <c r="X16" s="6">
        <f>IF(ISERROR(VLOOKUP($U$16,'TAR FIN'!$A$1:$O$92,15,0)),0,VLOOKUP($U$16,'TAR FIN'!$A$1:$O$92,15,0))</f>
        <v>0</v>
      </c>
      <c r="Y16" s="6">
        <f ca="1">('TUSD BE'!$AM$10+'TUSD BF'!$AM$10+'TUSD CVA'!$AM$10)*1</f>
        <v>23.643887023397856</v>
      </c>
      <c r="Z16" s="6">
        <f ca="1">('TUSD BE'!$AM$11+'TUSD BF'!$AM$11+'TUSD CVA'!$AM$11)*1</f>
        <v>139.98967941887983</v>
      </c>
      <c r="AA16" s="6"/>
      <c r="AB16" s="6">
        <f>$K$16*$V$16</f>
        <v>69311.1278446488</v>
      </c>
      <c r="AC16" s="6">
        <f>$M$16*$W$16</f>
        <v>0</v>
      </c>
      <c r="AD16" s="6">
        <f>$O$16*$X$16</f>
        <v>0</v>
      </c>
      <c r="AE16" s="6">
        <f ca="1">$K$16*$Y$16</f>
        <v>88630.853230024964</v>
      </c>
      <c r="AF16" s="6">
        <f ca="1">$M$16*$Z$16</f>
        <v>0</v>
      </c>
      <c r="AG16" s="6">
        <f>$O$16*$AA$16</f>
        <v>0</v>
      </c>
    </row>
    <row r="17" spans="1:33" ht="11.25" hidden="1" customHeight="1" x14ac:dyDescent="0.3">
      <c r="A17" s="4" t="s">
        <v>21</v>
      </c>
      <c r="B17" s="4" t="s">
        <v>34</v>
      </c>
      <c r="C17" s="4" t="s">
        <v>54</v>
      </c>
      <c r="D17" s="4" t="s">
        <v>33</v>
      </c>
      <c r="E17" s="4" t="s">
        <v>25</v>
      </c>
      <c r="F17" s="4" t="s">
        <v>55</v>
      </c>
      <c r="G17" s="4" t="s">
        <v>25</v>
      </c>
      <c r="H17" s="4" t="s">
        <v>37</v>
      </c>
      <c r="I17" s="5">
        <v>44501</v>
      </c>
      <c r="J17" s="6">
        <v>7478</v>
      </c>
      <c r="K17" s="6">
        <v>3742.4309811799999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4" t="s">
        <v>56</v>
      </c>
      <c r="R17" s="4">
        <v>0</v>
      </c>
      <c r="S17" s="6">
        <v>10</v>
      </c>
      <c r="T17" s="6">
        <v>0</v>
      </c>
      <c r="U17" s="6">
        <v>0</v>
      </c>
      <c r="V17" s="6">
        <f>IF(ISERROR(VLOOKUP($S$17,'TAR FIN'!$A$1:$O$92,15,0)),0,VLOOKUP($S$17,'TAR FIN'!$A$1:$O$92,15,0))</f>
        <v>18.489999999999998</v>
      </c>
      <c r="W17" s="6">
        <f>IF(ISERROR(VLOOKUP($T$17,'TAR FIN'!$A$1:$O$92,15,0)),0,VLOOKUP($T$17,'TAR FIN'!$A$1:$O$92,15,0))</f>
        <v>0</v>
      </c>
      <c r="X17" s="6">
        <f>IF(ISERROR(VLOOKUP($U$17,'TAR FIN'!$A$1:$O$92,15,0)),0,VLOOKUP($U$17,'TAR FIN'!$A$1:$O$92,15,0))</f>
        <v>0</v>
      </c>
      <c r="Y17" s="6">
        <f ca="1">('TUSD BE'!$AM$10+'TUSD BF'!$AM$10+'TUSD CVA'!$AM$10)*1</f>
        <v>23.643887023397856</v>
      </c>
      <c r="Z17" s="6">
        <f ca="1">('TUSD BE'!$AM$11+'TUSD BF'!$AM$11+'TUSD CVA'!$AM$11)*1</f>
        <v>139.98967941887983</v>
      </c>
      <c r="AA17" s="6"/>
      <c r="AB17" s="6">
        <f>$K$17*$V$17</f>
        <v>69197.548842018194</v>
      </c>
      <c r="AC17" s="6">
        <f>$M$17*$W$17</f>
        <v>0</v>
      </c>
      <c r="AD17" s="6">
        <f>$O$17*$X$17</f>
        <v>0</v>
      </c>
      <c r="AE17" s="6">
        <f ca="1">$K$17*$Y$17</f>
        <v>88485.615311883899</v>
      </c>
      <c r="AF17" s="6">
        <f ca="1">$M$17*$Z$17</f>
        <v>0</v>
      </c>
      <c r="AG17" s="6">
        <f>$O$17*$AA$17</f>
        <v>0</v>
      </c>
    </row>
    <row r="18" spans="1:33" ht="11.25" hidden="1" customHeight="1" x14ac:dyDescent="0.3">
      <c r="A18" s="4" t="s">
        <v>21</v>
      </c>
      <c r="B18" s="4" t="s">
        <v>34</v>
      </c>
      <c r="C18" s="4" t="s">
        <v>54</v>
      </c>
      <c r="D18" s="4" t="s">
        <v>33</v>
      </c>
      <c r="E18" s="4" t="s">
        <v>25</v>
      </c>
      <c r="F18" s="4" t="s">
        <v>55</v>
      </c>
      <c r="G18" s="4" t="s">
        <v>25</v>
      </c>
      <c r="H18" s="4" t="s">
        <v>37</v>
      </c>
      <c r="I18" s="5">
        <v>44531</v>
      </c>
      <c r="J18" s="6">
        <v>7501</v>
      </c>
      <c r="K18" s="6">
        <v>3759.8354445599998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4" t="s">
        <v>56</v>
      </c>
      <c r="R18" s="4">
        <v>0</v>
      </c>
      <c r="S18" s="6">
        <v>10</v>
      </c>
      <c r="T18" s="6">
        <v>0</v>
      </c>
      <c r="U18" s="6">
        <v>0</v>
      </c>
      <c r="V18" s="6">
        <f>IF(ISERROR(VLOOKUP($S$18,'TAR FIN'!$A$1:$O$92,15,0)),0,VLOOKUP($S$18,'TAR FIN'!$A$1:$O$92,15,0))</f>
        <v>18.489999999999998</v>
      </c>
      <c r="W18" s="6">
        <f>IF(ISERROR(VLOOKUP($T$18,'TAR FIN'!$A$1:$O$92,15,0)),0,VLOOKUP($T$18,'TAR FIN'!$A$1:$O$92,15,0))</f>
        <v>0</v>
      </c>
      <c r="X18" s="6">
        <f>IF(ISERROR(VLOOKUP($U$18,'TAR FIN'!$A$1:$O$92,15,0)),0,VLOOKUP($U$18,'TAR FIN'!$A$1:$O$92,15,0))</f>
        <v>0</v>
      </c>
      <c r="Y18" s="6">
        <f ca="1">('TUSD BE'!$AM$10+'TUSD BF'!$AM$10+'TUSD CVA'!$AM$10)*1</f>
        <v>23.643887023397856</v>
      </c>
      <c r="Z18" s="6">
        <f ca="1">('TUSD BE'!$AM$11+'TUSD BF'!$AM$11+'TUSD CVA'!$AM$11)*1</f>
        <v>139.98967941887983</v>
      </c>
      <c r="AA18" s="6"/>
      <c r="AB18" s="6">
        <f>$K$18*$V$18</f>
        <v>69519.357369914389</v>
      </c>
      <c r="AC18" s="6">
        <f>$M$18*$W$18</f>
        <v>0</v>
      </c>
      <c r="AD18" s="6">
        <f>$O$18*$X$18</f>
        <v>0</v>
      </c>
      <c r="AE18" s="6">
        <f ca="1">$K$18*$Y$18</f>
        <v>88897.124477743491</v>
      </c>
      <c r="AF18" s="6">
        <f ca="1">$M$18*$Z$18</f>
        <v>0</v>
      </c>
      <c r="AG18" s="6">
        <f>$O$18*$AA$18</f>
        <v>0</v>
      </c>
    </row>
    <row r="19" spans="1:33" ht="11.25" hidden="1" customHeight="1" x14ac:dyDescent="0.3">
      <c r="A19" s="4" t="s">
        <v>21</v>
      </c>
      <c r="B19" s="4" t="s">
        <v>34</v>
      </c>
      <c r="C19" s="4" t="s">
        <v>54</v>
      </c>
      <c r="D19" s="4" t="s">
        <v>33</v>
      </c>
      <c r="E19" s="4" t="s">
        <v>25</v>
      </c>
      <c r="F19" s="4" t="s">
        <v>55</v>
      </c>
      <c r="G19" s="4" t="s">
        <v>25</v>
      </c>
      <c r="H19" s="4" t="s">
        <v>37</v>
      </c>
      <c r="I19" s="5">
        <v>44562</v>
      </c>
      <c r="J19" s="6">
        <v>7458</v>
      </c>
      <c r="K19" s="6">
        <v>3750.2420247599998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4" t="s">
        <v>56</v>
      </c>
      <c r="R19" s="4">
        <v>0</v>
      </c>
      <c r="S19" s="6">
        <v>10</v>
      </c>
      <c r="T19" s="6">
        <v>0</v>
      </c>
      <c r="U19" s="6">
        <v>0</v>
      </c>
      <c r="V19" s="6">
        <f>IF(ISERROR(VLOOKUP($S$19,'TAR FIN'!$A$1:$O$92,15,0)),0,VLOOKUP($S$19,'TAR FIN'!$A$1:$O$92,15,0))</f>
        <v>18.489999999999998</v>
      </c>
      <c r="W19" s="6">
        <f>IF(ISERROR(VLOOKUP($T$19,'TAR FIN'!$A$1:$O$92,15,0)),0,VLOOKUP($T$19,'TAR FIN'!$A$1:$O$92,15,0))</f>
        <v>0</v>
      </c>
      <c r="X19" s="6">
        <f>IF(ISERROR(VLOOKUP($U$19,'TAR FIN'!$A$1:$O$92,15,0)),0,VLOOKUP($U$19,'TAR FIN'!$A$1:$O$92,15,0))</f>
        <v>0</v>
      </c>
      <c r="Y19" s="6">
        <f ca="1">('TUSD BE'!$AM$10+'TUSD BF'!$AM$10+'TUSD CVA'!$AM$10)*1</f>
        <v>23.643887023397856</v>
      </c>
      <c r="Z19" s="6">
        <f ca="1">('TUSD BE'!$AM$11+'TUSD BF'!$AM$11+'TUSD CVA'!$AM$11)*1</f>
        <v>139.98967941887983</v>
      </c>
      <c r="AA19" s="6"/>
      <c r="AB19" s="6">
        <f>$K$19*$V$19</f>
        <v>69341.975037812386</v>
      </c>
      <c r="AC19" s="6">
        <f>$M$19*$W$19</f>
        <v>0</v>
      </c>
      <c r="AD19" s="6">
        <f>$O$19*$X$19</f>
        <v>0</v>
      </c>
      <c r="AE19" s="6">
        <f ca="1">$K$19*$Y$19</f>
        <v>88670.298743824256</v>
      </c>
      <c r="AF19" s="6">
        <f ca="1">$M$19*$Z$19</f>
        <v>0</v>
      </c>
      <c r="AG19" s="6">
        <f>$O$19*$AA$19</f>
        <v>0</v>
      </c>
    </row>
    <row r="20" spans="1:33" ht="11.25" hidden="1" customHeight="1" x14ac:dyDescent="0.3">
      <c r="A20" s="4" t="s">
        <v>21</v>
      </c>
      <c r="B20" s="4" t="s">
        <v>34</v>
      </c>
      <c r="C20" s="4" t="s">
        <v>54</v>
      </c>
      <c r="D20" s="4" t="s">
        <v>33</v>
      </c>
      <c r="E20" s="4" t="s">
        <v>25</v>
      </c>
      <c r="F20" s="4" t="s">
        <v>55</v>
      </c>
      <c r="G20" s="4" t="s">
        <v>25</v>
      </c>
      <c r="H20" s="4" t="s">
        <v>37</v>
      </c>
      <c r="I20" s="5">
        <v>44593</v>
      </c>
      <c r="J20" s="6">
        <v>7471</v>
      </c>
      <c r="K20" s="6">
        <v>3737.6955774799999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4" t="s">
        <v>56</v>
      </c>
      <c r="R20" s="4">
        <v>0</v>
      </c>
      <c r="S20" s="6">
        <v>10</v>
      </c>
      <c r="T20" s="6">
        <v>0</v>
      </c>
      <c r="U20" s="6">
        <v>0</v>
      </c>
      <c r="V20" s="6">
        <f>IF(ISERROR(VLOOKUP($S$20,'TAR FIN'!$A$1:$O$92,15,0)),0,VLOOKUP($S$20,'TAR FIN'!$A$1:$O$92,15,0))</f>
        <v>18.489999999999998</v>
      </c>
      <c r="W20" s="6">
        <f>IF(ISERROR(VLOOKUP($T$20,'TAR FIN'!$A$1:$O$92,15,0)),0,VLOOKUP($T$20,'TAR FIN'!$A$1:$O$92,15,0))</f>
        <v>0</v>
      </c>
      <c r="X20" s="6">
        <f>IF(ISERROR(VLOOKUP($U$20,'TAR FIN'!$A$1:$O$92,15,0)),0,VLOOKUP($U$20,'TAR FIN'!$A$1:$O$92,15,0))</f>
        <v>0</v>
      </c>
      <c r="Y20" s="6">
        <f ca="1">('TUSD BE'!$AM$10+'TUSD BF'!$AM$10+'TUSD CVA'!$AM$10)*1</f>
        <v>23.643887023397856</v>
      </c>
      <c r="Z20" s="6">
        <f ca="1">('TUSD BE'!$AM$11+'TUSD BF'!$AM$11+'TUSD CVA'!$AM$11)*1</f>
        <v>139.98967941887983</v>
      </c>
      <c r="AA20" s="6"/>
      <c r="AB20" s="6">
        <f>$K$20*$V$20</f>
        <v>69109.991227605191</v>
      </c>
      <c r="AC20" s="6">
        <f>$M$20*$W$20</f>
        <v>0</v>
      </c>
      <c r="AD20" s="6">
        <f>$O$20*$X$20</f>
        <v>0</v>
      </c>
      <c r="AE20" s="6">
        <f ca="1">$K$20*$Y$20</f>
        <v>88373.651961790922</v>
      </c>
      <c r="AF20" s="6">
        <f ca="1">$M$20*$Z$20</f>
        <v>0</v>
      </c>
      <c r="AG20" s="6">
        <f>$O$20*$AA$20</f>
        <v>0</v>
      </c>
    </row>
    <row r="21" spans="1:33" ht="11.25" hidden="1" customHeight="1" x14ac:dyDescent="0.3">
      <c r="A21" s="4" t="s">
        <v>21</v>
      </c>
      <c r="B21" s="4" t="s">
        <v>34</v>
      </c>
      <c r="C21" s="4" t="s">
        <v>54</v>
      </c>
      <c r="D21" s="4" t="s">
        <v>33</v>
      </c>
      <c r="E21" s="4" t="s">
        <v>25</v>
      </c>
      <c r="F21" s="4" t="s">
        <v>55</v>
      </c>
      <c r="G21" s="4" t="s">
        <v>25</v>
      </c>
      <c r="H21" s="4" t="s">
        <v>37</v>
      </c>
      <c r="I21" s="5">
        <v>44621</v>
      </c>
      <c r="J21" s="6">
        <v>7050</v>
      </c>
      <c r="K21" s="6">
        <v>3526.0792139999999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4" t="s">
        <v>56</v>
      </c>
      <c r="R21" s="4">
        <v>0</v>
      </c>
      <c r="S21" s="6">
        <v>10</v>
      </c>
      <c r="T21" s="6">
        <v>0</v>
      </c>
      <c r="U21" s="6">
        <v>0</v>
      </c>
      <c r="V21" s="6">
        <f>IF(ISERROR(VLOOKUP($S$21,'TAR FIN'!$A$1:$O$92,15,0)),0,VLOOKUP($S$21,'TAR FIN'!$A$1:$O$92,15,0))</f>
        <v>18.489999999999998</v>
      </c>
      <c r="W21" s="6">
        <f>IF(ISERROR(VLOOKUP($T$21,'TAR FIN'!$A$1:$O$92,15,0)),0,VLOOKUP($T$21,'TAR FIN'!$A$1:$O$92,15,0))</f>
        <v>0</v>
      </c>
      <c r="X21" s="6">
        <f>IF(ISERROR(VLOOKUP($U$21,'TAR FIN'!$A$1:$O$92,15,0)),0,VLOOKUP($U$21,'TAR FIN'!$A$1:$O$92,15,0))</f>
        <v>0</v>
      </c>
      <c r="Y21" s="6">
        <f ca="1">('TUSD BE'!$AM$10+'TUSD BF'!$AM$10+'TUSD CVA'!$AM$10)*1</f>
        <v>23.643887023397856</v>
      </c>
      <c r="Z21" s="6">
        <f ca="1">('TUSD BE'!$AM$11+'TUSD BF'!$AM$11+'TUSD CVA'!$AM$11)*1</f>
        <v>139.98967941887983</v>
      </c>
      <c r="AA21" s="6"/>
      <c r="AB21" s="6">
        <f>$K$21*$V$21</f>
        <v>65197.204666859994</v>
      </c>
      <c r="AC21" s="6">
        <f>$M$21*$W$21</f>
        <v>0</v>
      </c>
      <c r="AD21" s="6">
        <f>$O$21*$X$21</f>
        <v>0</v>
      </c>
      <c r="AE21" s="6">
        <f ca="1">$K$21*$Y$21</f>
        <v>83370.218571367514</v>
      </c>
      <c r="AF21" s="6">
        <f ca="1">$M$21*$Z$21</f>
        <v>0</v>
      </c>
      <c r="AG21" s="6">
        <f>$O$21*$AA$21</f>
        <v>0</v>
      </c>
    </row>
    <row r="22" spans="1:33" ht="11.25" hidden="1" customHeight="1" x14ac:dyDescent="0.3">
      <c r="A22" s="4" t="s">
        <v>21</v>
      </c>
      <c r="B22" s="4" t="s">
        <v>34</v>
      </c>
      <c r="C22" s="4" t="s">
        <v>54</v>
      </c>
      <c r="D22" s="4" t="s">
        <v>33</v>
      </c>
      <c r="E22" s="4" t="s">
        <v>25</v>
      </c>
      <c r="F22" s="4" t="s">
        <v>55</v>
      </c>
      <c r="G22" s="4" t="s">
        <v>25</v>
      </c>
      <c r="H22" s="4" t="s">
        <v>37</v>
      </c>
      <c r="I22" s="5">
        <v>44652</v>
      </c>
      <c r="J22" s="6">
        <v>7050</v>
      </c>
      <c r="K22" s="6">
        <v>3527.2197630000001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4" t="s">
        <v>56</v>
      </c>
      <c r="R22" s="4">
        <v>0</v>
      </c>
      <c r="S22" s="6">
        <v>10</v>
      </c>
      <c r="T22" s="6">
        <v>0</v>
      </c>
      <c r="U22" s="6">
        <v>0</v>
      </c>
      <c r="V22" s="6">
        <f>IF(ISERROR(VLOOKUP($S$22,'TAR FIN'!$A$1:$O$92,15,0)),0,VLOOKUP($S$22,'TAR FIN'!$A$1:$O$92,15,0))</f>
        <v>18.489999999999998</v>
      </c>
      <c r="W22" s="6">
        <f>IF(ISERROR(VLOOKUP($T$22,'TAR FIN'!$A$1:$O$92,15,0)),0,VLOOKUP($T$22,'TAR FIN'!$A$1:$O$92,15,0))</f>
        <v>0</v>
      </c>
      <c r="X22" s="6">
        <f>IF(ISERROR(VLOOKUP($U$22,'TAR FIN'!$A$1:$O$92,15,0)),0,VLOOKUP($U$22,'TAR FIN'!$A$1:$O$92,15,0))</f>
        <v>0</v>
      </c>
      <c r="Y22" s="6">
        <f ca="1">('TUSD BE'!$AM$10+'TUSD BF'!$AM$10+'TUSD CVA'!$AM$10)*1</f>
        <v>23.643887023397856</v>
      </c>
      <c r="Z22" s="6">
        <f ca="1">('TUSD BE'!$AM$11+'TUSD BF'!$AM$11+'TUSD CVA'!$AM$11)*1</f>
        <v>139.98967941887983</v>
      </c>
      <c r="AA22" s="6"/>
      <c r="AB22" s="6">
        <f>$K$22*$V$22</f>
        <v>65218.293417869994</v>
      </c>
      <c r="AC22" s="6">
        <f>$M$22*$W$22</f>
        <v>0</v>
      </c>
      <c r="AD22" s="6">
        <f>$O$22*$X$22</f>
        <v>0</v>
      </c>
      <c r="AE22" s="6">
        <f ca="1">$K$22*$Y$22</f>
        <v>83397.18558306816</v>
      </c>
      <c r="AF22" s="6">
        <f ca="1">$M$22*$Z$22</f>
        <v>0</v>
      </c>
      <c r="AG22" s="6">
        <f>$O$22*$AA$22</f>
        <v>0</v>
      </c>
    </row>
    <row r="23" spans="1:33" ht="11.25" hidden="1" customHeight="1" x14ac:dyDescent="0.3">
      <c r="A23" s="4" t="s">
        <v>21</v>
      </c>
      <c r="B23" s="4" t="s">
        <v>34</v>
      </c>
      <c r="C23" s="4" t="s">
        <v>54</v>
      </c>
      <c r="D23" s="4" t="s">
        <v>33</v>
      </c>
      <c r="E23" s="4" t="s">
        <v>25</v>
      </c>
      <c r="F23" s="4" t="s">
        <v>55</v>
      </c>
      <c r="G23" s="4" t="s">
        <v>25</v>
      </c>
      <c r="H23" s="4" t="s">
        <v>37</v>
      </c>
      <c r="I23" s="5">
        <v>44682</v>
      </c>
      <c r="J23" s="6">
        <v>4250</v>
      </c>
      <c r="K23" s="6">
        <v>2125.60707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4" t="s">
        <v>56</v>
      </c>
      <c r="R23" s="4">
        <v>0</v>
      </c>
      <c r="S23" s="6">
        <v>10</v>
      </c>
      <c r="T23" s="6">
        <v>0</v>
      </c>
      <c r="U23" s="6">
        <v>0</v>
      </c>
      <c r="V23" s="6">
        <f>IF(ISERROR(VLOOKUP($S$23,'TAR FIN'!$A$1:$O$92,15,0)),0,VLOOKUP($S$23,'TAR FIN'!$A$1:$O$92,15,0))</f>
        <v>18.489999999999998</v>
      </c>
      <c r="W23" s="6">
        <f>IF(ISERROR(VLOOKUP($T$23,'TAR FIN'!$A$1:$O$92,15,0)),0,VLOOKUP($T$23,'TAR FIN'!$A$1:$O$92,15,0))</f>
        <v>0</v>
      </c>
      <c r="X23" s="6">
        <f>IF(ISERROR(VLOOKUP($U$23,'TAR FIN'!$A$1:$O$92,15,0)),0,VLOOKUP($U$23,'TAR FIN'!$A$1:$O$92,15,0))</f>
        <v>0</v>
      </c>
      <c r="Y23" s="6">
        <f ca="1">('TUSD BE'!$AM$10+'TUSD BF'!$AM$10+'TUSD CVA'!$AM$10)*1</f>
        <v>23.643887023397856</v>
      </c>
      <c r="Z23" s="6">
        <f ca="1">('TUSD BE'!$AM$11+'TUSD BF'!$AM$11+'TUSD CVA'!$AM$11)*1</f>
        <v>139.98967941887983</v>
      </c>
      <c r="AA23" s="6"/>
      <c r="AB23" s="6">
        <f>$K$23*$V$23</f>
        <v>39302.474724299995</v>
      </c>
      <c r="AC23" s="6">
        <f>$M$23*$W$23</f>
        <v>0</v>
      </c>
      <c r="AD23" s="6">
        <f>$O$23*$X$23</f>
        <v>0</v>
      </c>
      <c r="AE23" s="6">
        <f ca="1">$K$23*$Y$23</f>
        <v>50257.613419215741</v>
      </c>
      <c r="AF23" s="6">
        <f ca="1">$M$23*$Z$23</f>
        <v>0</v>
      </c>
      <c r="AG23" s="6">
        <f>$O$23*$AA$23</f>
        <v>0</v>
      </c>
    </row>
    <row r="24" spans="1:33" ht="11.25" hidden="1" customHeight="1" x14ac:dyDescent="0.3">
      <c r="A24" s="4" t="s">
        <v>21</v>
      </c>
      <c r="B24" s="4" t="s">
        <v>34</v>
      </c>
      <c r="C24" s="4" t="s">
        <v>54</v>
      </c>
      <c r="D24" s="4" t="s">
        <v>33</v>
      </c>
      <c r="E24" s="4" t="s">
        <v>25</v>
      </c>
      <c r="F24" s="4" t="s">
        <v>55</v>
      </c>
      <c r="G24" s="4" t="s">
        <v>25</v>
      </c>
      <c r="H24" s="4" t="s">
        <v>37</v>
      </c>
      <c r="I24" s="5">
        <v>44713</v>
      </c>
      <c r="J24" s="6">
        <v>4250</v>
      </c>
      <c r="K24" s="6">
        <v>2139.1935125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4" t="s">
        <v>56</v>
      </c>
      <c r="R24" s="4">
        <v>0</v>
      </c>
      <c r="S24" s="6">
        <v>10</v>
      </c>
      <c r="T24" s="6">
        <v>0</v>
      </c>
      <c r="U24" s="6">
        <v>0</v>
      </c>
      <c r="V24" s="6">
        <f>IF(ISERROR(VLOOKUP($S$24,'TAR FIN'!$A$1:$O$92,15,0)),0,VLOOKUP($S$24,'TAR FIN'!$A$1:$O$92,15,0))</f>
        <v>18.489999999999998</v>
      </c>
      <c r="W24" s="6">
        <f>IF(ISERROR(VLOOKUP($T$24,'TAR FIN'!$A$1:$O$92,15,0)),0,VLOOKUP($T$24,'TAR FIN'!$A$1:$O$92,15,0))</f>
        <v>0</v>
      </c>
      <c r="X24" s="6">
        <f>IF(ISERROR(VLOOKUP($U$24,'TAR FIN'!$A$1:$O$92,15,0)),0,VLOOKUP($U$24,'TAR FIN'!$A$1:$O$92,15,0))</f>
        <v>0</v>
      </c>
      <c r="Y24" s="6">
        <f ca="1">('TUSD BE'!$AM$10+'TUSD BF'!$AM$10+'TUSD CVA'!$AM$10)*1</f>
        <v>23.643887023397856</v>
      </c>
      <c r="Z24" s="6">
        <f ca="1">('TUSD BE'!$AM$11+'TUSD BF'!$AM$11+'TUSD CVA'!$AM$11)*1</f>
        <v>139.98967941887983</v>
      </c>
      <c r="AA24" s="6"/>
      <c r="AB24" s="6">
        <f>$K$24*$V$24</f>
        <v>39553.688046124997</v>
      </c>
      <c r="AC24" s="6">
        <f>$M$24*$W$24</f>
        <v>0</v>
      </c>
      <c r="AD24" s="6">
        <f>$O$24*$X$24</f>
        <v>0</v>
      </c>
      <c r="AE24" s="6">
        <f ca="1">$K$24*$Y$24</f>
        <v>50578.84973073563</v>
      </c>
      <c r="AF24" s="6">
        <f ca="1">$M$24*$Z$24</f>
        <v>0</v>
      </c>
      <c r="AG24" s="6">
        <f>$O$24*$AA$24</f>
        <v>0</v>
      </c>
    </row>
    <row r="25" spans="1:33" ht="11.25" hidden="1" customHeight="1" x14ac:dyDescent="0.3">
      <c r="A25" s="4" t="s">
        <v>21</v>
      </c>
      <c r="B25" s="4" t="s">
        <v>34</v>
      </c>
      <c r="C25" s="4" t="s">
        <v>54</v>
      </c>
      <c r="D25" s="4" t="s">
        <v>33</v>
      </c>
      <c r="E25" s="4" t="s">
        <v>25</v>
      </c>
      <c r="F25" s="4" t="s">
        <v>55</v>
      </c>
      <c r="G25" s="4" t="s">
        <v>25</v>
      </c>
      <c r="H25" s="4" t="s">
        <v>37</v>
      </c>
      <c r="I25" s="5">
        <v>44743</v>
      </c>
      <c r="J25" s="6">
        <v>4250</v>
      </c>
      <c r="K25" s="6">
        <v>2143.1871099999998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4" t="s">
        <v>56</v>
      </c>
      <c r="R25" s="4">
        <v>0</v>
      </c>
      <c r="S25" s="6">
        <v>10</v>
      </c>
      <c r="T25" s="6">
        <v>0</v>
      </c>
      <c r="U25" s="6">
        <v>0</v>
      </c>
      <c r="V25" s="6">
        <f>IF(ISERROR(VLOOKUP($S$25,'TAR FIN'!$A$1:$O$92,15,0)),0,VLOOKUP($S$25,'TAR FIN'!$A$1:$O$92,15,0))</f>
        <v>18.489999999999998</v>
      </c>
      <c r="W25" s="6">
        <f>IF(ISERROR(VLOOKUP($T$25,'TAR FIN'!$A$1:$O$92,15,0)),0,VLOOKUP($T$25,'TAR FIN'!$A$1:$O$92,15,0))</f>
        <v>0</v>
      </c>
      <c r="X25" s="6">
        <f>IF(ISERROR(VLOOKUP($U$25,'TAR FIN'!$A$1:$O$92,15,0)),0,VLOOKUP($U$25,'TAR FIN'!$A$1:$O$92,15,0))</f>
        <v>0</v>
      </c>
      <c r="Y25" s="6">
        <f ca="1">('TUSD BE'!$AM$10+'TUSD BF'!$AM$10+'TUSD CVA'!$AM$10)*1</f>
        <v>23.643887023397856</v>
      </c>
      <c r="Z25" s="6">
        <f ca="1">('TUSD BE'!$AM$11+'TUSD BF'!$AM$11+'TUSD CVA'!$AM$11)*1</f>
        <v>139.98967941887983</v>
      </c>
      <c r="AA25" s="6"/>
      <c r="AB25" s="6">
        <f>$K$25*$V$25</f>
        <v>39627.529663899993</v>
      </c>
      <c r="AC25" s="6">
        <f>$M$25*$W$25</f>
        <v>0</v>
      </c>
      <c r="AD25" s="6">
        <f>$O$25*$X$25</f>
        <v>0</v>
      </c>
      <c r="AE25" s="6">
        <f ca="1">$K$25*$Y$25</f>
        <v>50673.273898842548</v>
      </c>
      <c r="AF25" s="6">
        <f ca="1">$M$25*$Z$25</f>
        <v>0</v>
      </c>
      <c r="AG25" s="6">
        <f>$O$25*$AA$25</f>
        <v>0</v>
      </c>
    </row>
    <row r="26" spans="1:33" ht="11.25" hidden="1" customHeight="1" x14ac:dyDescent="0.3">
      <c r="A26" s="4" t="s">
        <v>21</v>
      </c>
      <c r="B26" s="4" t="s">
        <v>34</v>
      </c>
      <c r="C26" s="4" t="s">
        <v>54</v>
      </c>
      <c r="D26" s="4" t="s">
        <v>33</v>
      </c>
      <c r="E26" s="4" t="s">
        <v>25</v>
      </c>
      <c r="F26" s="4" t="s">
        <v>55</v>
      </c>
      <c r="G26" s="4" t="s">
        <v>25</v>
      </c>
      <c r="H26" s="4" t="s">
        <v>25</v>
      </c>
      <c r="I26" s="5">
        <v>44409</v>
      </c>
      <c r="J26" s="6">
        <v>0</v>
      </c>
      <c r="K26" s="6">
        <v>0</v>
      </c>
      <c r="L26" s="6">
        <v>3512.64</v>
      </c>
      <c r="M26" s="6">
        <v>3512.64</v>
      </c>
      <c r="N26" s="6">
        <v>0</v>
      </c>
      <c r="O26" s="6">
        <v>0</v>
      </c>
      <c r="P26" s="6">
        <v>3</v>
      </c>
      <c r="Q26" s="4" t="s">
        <v>56</v>
      </c>
      <c r="R26" s="4">
        <v>0</v>
      </c>
      <c r="S26" s="6">
        <v>0</v>
      </c>
      <c r="T26" s="6">
        <v>13</v>
      </c>
      <c r="U26" s="6">
        <v>0</v>
      </c>
      <c r="V26" s="6">
        <f>IF(ISERROR(VLOOKUP($S$26,'TAR FIN'!$A$1:$O$92,15,0)),0,VLOOKUP($S$26,'TAR FIN'!$A$1:$O$92,15,0))</f>
        <v>0</v>
      </c>
      <c r="W26" s="6">
        <f>IF(ISERROR(VLOOKUP($T$26,'TAR FIN'!$A$1:$O$92,15,0)),0,VLOOKUP($T$26,'TAR FIN'!$A$1:$O$92,15,0))</f>
        <v>73.28</v>
      </c>
      <c r="X26" s="6">
        <f>IF(ISERROR(VLOOKUP($U$26,'TAR FIN'!$A$1:$O$92,15,0)),0,VLOOKUP($U$26,'TAR FIN'!$A$1:$O$92,15,0))</f>
        <v>0</v>
      </c>
      <c r="Y26" s="6"/>
      <c r="Z26" s="6">
        <f ca="1">('TUSD BE'!$AM$11+'TUSD BF'!$AM$11+'TUSD CVA'!$AM$11)*1</f>
        <v>139.98967941887983</v>
      </c>
      <c r="AA26" s="6"/>
      <c r="AB26" s="6">
        <f>$K$26*$V$26</f>
        <v>0</v>
      </c>
      <c r="AC26" s="6">
        <f>$M$26*$W$26</f>
        <v>257406.2592</v>
      </c>
      <c r="AD26" s="6">
        <f>$O$26*$X$26</f>
        <v>0</v>
      </c>
      <c r="AE26" s="6">
        <f>$K$26*$Y$26</f>
        <v>0</v>
      </c>
      <c r="AF26" s="6">
        <f ca="1">$M$26*$Z$26</f>
        <v>491733.34751393402</v>
      </c>
      <c r="AG26" s="6">
        <f>$O$26*$AA$26</f>
        <v>0</v>
      </c>
    </row>
    <row r="27" spans="1:33" ht="11.25" hidden="1" customHeight="1" x14ac:dyDescent="0.3">
      <c r="A27" s="4" t="s">
        <v>21</v>
      </c>
      <c r="B27" s="4" t="s">
        <v>34</v>
      </c>
      <c r="C27" s="4" t="s">
        <v>54</v>
      </c>
      <c r="D27" s="4" t="s">
        <v>33</v>
      </c>
      <c r="E27" s="4" t="s">
        <v>25</v>
      </c>
      <c r="F27" s="4" t="s">
        <v>55</v>
      </c>
      <c r="G27" s="4" t="s">
        <v>25</v>
      </c>
      <c r="H27" s="4" t="s">
        <v>25</v>
      </c>
      <c r="I27" s="5">
        <v>44440</v>
      </c>
      <c r="J27" s="6">
        <v>0</v>
      </c>
      <c r="K27" s="6">
        <v>0</v>
      </c>
      <c r="L27" s="6">
        <v>3376.123</v>
      </c>
      <c r="M27" s="6">
        <v>3376.123</v>
      </c>
      <c r="N27" s="6">
        <v>0</v>
      </c>
      <c r="O27" s="6">
        <v>0</v>
      </c>
      <c r="P27" s="6">
        <v>3</v>
      </c>
      <c r="Q27" s="4" t="s">
        <v>56</v>
      </c>
      <c r="R27" s="4">
        <v>0</v>
      </c>
      <c r="S27" s="6">
        <v>0</v>
      </c>
      <c r="T27" s="6">
        <v>13</v>
      </c>
      <c r="U27" s="6">
        <v>0</v>
      </c>
      <c r="V27" s="6">
        <f>IF(ISERROR(VLOOKUP($S$27,'TAR FIN'!$A$1:$O$92,15,0)),0,VLOOKUP($S$27,'TAR FIN'!$A$1:$O$92,15,0))</f>
        <v>0</v>
      </c>
      <c r="W27" s="6">
        <f>IF(ISERROR(VLOOKUP($T$27,'TAR FIN'!$A$1:$O$92,15,0)),0,VLOOKUP($T$27,'TAR FIN'!$A$1:$O$92,15,0))</f>
        <v>73.28</v>
      </c>
      <c r="X27" s="6">
        <f>IF(ISERROR(VLOOKUP($U$27,'TAR FIN'!$A$1:$O$92,15,0)),0,VLOOKUP($U$27,'TAR FIN'!$A$1:$O$92,15,0))</f>
        <v>0</v>
      </c>
      <c r="Y27" s="6"/>
      <c r="Z27" s="6">
        <f ca="1">('TUSD BE'!$AM$11+'TUSD BF'!$AM$11+'TUSD CVA'!$AM$11)*1</f>
        <v>139.98967941887983</v>
      </c>
      <c r="AA27" s="6"/>
      <c r="AB27" s="6">
        <f>$K$27*$V$27</f>
        <v>0</v>
      </c>
      <c r="AC27" s="6">
        <f>$M$27*$W$27</f>
        <v>247402.29344000001</v>
      </c>
      <c r="AD27" s="6">
        <f>$O$27*$X$27</f>
        <v>0</v>
      </c>
      <c r="AE27" s="6">
        <f>$K$27*$Y$27</f>
        <v>0</v>
      </c>
      <c r="AF27" s="6">
        <f ca="1">$M$27*$Z$27</f>
        <v>472622.37644870684</v>
      </c>
      <c r="AG27" s="6">
        <f>$O$27*$AA$27</f>
        <v>0</v>
      </c>
    </row>
    <row r="28" spans="1:33" ht="11.25" hidden="1" customHeight="1" x14ac:dyDescent="0.3">
      <c r="A28" s="4" t="s">
        <v>21</v>
      </c>
      <c r="B28" s="4" t="s">
        <v>34</v>
      </c>
      <c r="C28" s="4" t="s">
        <v>54</v>
      </c>
      <c r="D28" s="4" t="s">
        <v>33</v>
      </c>
      <c r="E28" s="4" t="s">
        <v>25</v>
      </c>
      <c r="F28" s="4" t="s">
        <v>55</v>
      </c>
      <c r="G28" s="4" t="s">
        <v>25</v>
      </c>
      <c r="H28" s="4" t="s">
        <v>25</v>
      </c>
      <c r="I28" s="5">
        <v>44470</v>
      </c>
      <c r="J28" s="6">
        <v>0</v>
      </c>
      <c r="K28" s="6">
        <v>0</v>
      </c>
      <c r="L28" s="6">
        <v>3601.8670000000002</v>
      </c>
      <c r="M28" s="6">
        <v>3601.8670000000002</v>
      </c>
      <c r="N28" s="6">
        <v>0</v>
      </c>
      <c r="O28" s="6">
        <v>0</v>
      </c>
      <c r="P28" s="6">
        <v>3</v>
      </c>
      <c r="Q28" s="4" t="s">
        <v>56</v>
      </c>
      <c r="R28" s="4">
        <v>0</v>
      </c>
      <c r="S28" s="6">
        <v>0</v>
      </c>
      <c r="T28" s="6">
        <v>13</v>
      </c>
      <c r="U28" s="6">
        <v>0</v>
      </c>
      <c r="V28" s="6">
        <f>IF(ISERROR(VLOOKUP($S$28,'TAR FIN'!$A$1:$O$92,15,0)),0,VLOOKUP($S$28,'TAR FIN'!$A$1:$O$92,15,0))</f>
        <v>0</v>
      </c>
      <c r="W28" s="6">
        <f>IF(ISERROR(VLOOKUP($T$28,'TAR FIN'!$A$1:$O$92,15,0)),0,VLOOKUP($T$28,'TAR FIN'!$A$1:$O$92,15,0))</f>
        <v>73.28</v>
      </c>
      <c r="X28" s="6">
        <f>IF(ISERROR(VLOOKUP($U$28,'TAR FIN'!$A$1:$O$92,15,0)),0,VLOOKUP($U$28,'TAR FIN'!$A$1:$O$92,15,0))</f>
        <v>0</v>
      </c>
      <c r="Y28" s="6"/>
      <c r="Z28" s="6">
        <f ca="1">('TUSD BE'!$AM$11+'TUSD BF'!$AM$11+'TUSD CVA'!$AM$11)*1</f>
        <v>139.98967941887983</v>
      </c>
      <c r="AA28" s="6"/>
      <c r="AB28" s="6">
        <f>$K$28*$V$28</f>
        <v>0</v>
      </c>
      <c r="AC28" s="6">
        <f>$M$28*$W$28</f>
        <v>263944.81375999999</v>
      </c>
      <c r="AD28" s="6">
        <f>$O$28*$X$28</f>
        <v>0</v>
      </c>
      <c r="AE28" s="6">
        <f>$K$28*$Y$28</f>
        <v>0</v>
      </c>
      <c r="AF28" s="6">
        <f ca="1">$M$28*$Z$28</f>
        <v>504224.20663944248</v>
      </c>
      <c r="AG28" s="6">
        <f>$O$28*$AA$28</f>
        <v>0</v>
      </c>
    </row>
    <row r="29" spans="1:33" ht="11.25" hidden="1" customHeight="1" x14ac:dyDescent="0.3">
      <c r="A29" s="4" t="s">
        <v>21</v>
      </c>
      <c r="B29" s="4" t="s">
        <v>34</v>
      </c>
      <c r="C29" s="4" t="s">
        <v>54</v>
      </c>
      <c r="D29" s="4" t="s">
        <v>33</v>
      </c>
      <c r="E29" s="4" t="s">
        <v>25</v>
      </c>
      <c r="F29" s="4" t="s">
        <v>55</v>
      </c>
      <c r="G29" s="4" t="s">
        <v>25</v>
      </c>
      <c r="H29" s="4" t="s">
        <v>25</v>
      </c>
      <c r="I29" s="5">
        <v>44501</v>
      </c>
      <c r="J29" s="6">
        <v>0</v>
      </c>
      <c r="K29" s="6">
        <v>0</v>
      </c>
      <c r="L29" s="6">
        <v>3387.4169999999999</v>
      </c>
      <c r="M29" s="6">
        <v>3387.4169999999999</v>
      </c>
      <c r="N29" s="6">
        <v>0</v>
      </c>
      <c r="O29" s="6">
        <v>0</v>
      </c>
      <c r="P29" s="6">
        <v>3</v>
      </c>
      <c r="Q29" s="4" t="s">
        <v>56</v>
      </c>
      <c r="R29" s="4">
        <v>0</v>
      </c>
      <c r="S29" s="6">
        <v>0</v>
      </c>
      <c r="T29" s="6">
        <v>13</v>
      </c>
      <c r="U29" s="6">
        <v>0</v>
      </c>
      <c r="V29" s="6">
        <f>IF(ISERROR(VLOOKUP($S$29,'TAR FIN'!$A$1:$O$92,15,0)),0,VLOOKUP($S$29,'TAR FIN'!$A$1:$O$92,15,0))</f>
        <v>0</v>
      </c>
      <c r="W29" s="6">
        <f>IF(ISERROR(VLOOKUP($T$29,'TAR FIN'!$A$1:$O$92,15,0)),0,VLOOKUP($T$29,'TAR FIN'!$A$1:$O$92,15,0))</f>
        <v>73.28</v>
      </c>
      <c r="X29" s="6">
        <f>IF(ISERROR(VLOOKUP($U$29,'TAR FIN'!$A$1:$O$92,15,0)),0,VLOOKUP($U$29,'TAR FIN'!$A$1:$O$92,15,0))</f>
        <v>0</v>
      </c>
      <c r="Y29" s="6"/>
      <c r="Z29" s="6">
        <f ca="1">('TUSD BE'!$AM$11+'TUSD BF'!$AM$11+'TUSD CVA'!$AM$11)*1</f>
        <v>139.98967941887983</v>
      </c>
      <c r="AA29" s="6"/>
      <c r="AB29" s="6">
        <f>$K$29*$V$29</f>
        <v>0</v>
      </c>
      <c r="AC29" s="6">
        <f>$M$29*$W$29</f>
        <v>248229.91776000001</v>
      </c>
      <c r="AD29" s="6">
        <f>$O$29*$X$29</f>
        <v>0</v>
      </c>
      <c r="AE29" s="6">
        <f>$K$29*$Y$29</f>
        <v>0</v>
      </c>
      <c r="AF29" s="6">
        <f ca="1">$M$29*$Z$29</f>
        <v>474203.41988806362</v>
      </c>
      <c r="AG29" s="6">
        <f>$O$29*$AA$29</f>
        <v>0</v>
      </c>
    </row>
    <row r="30" spans="1:33" ht="11.25" hidden="1" customHeight="1" x14ac:dyDescent="0.3">
      <c r="A30" s="4" t="s">
        <v>21</v>
      </c>
      <c r="B30" s="4" t="s">
        <v>34</v>
      </c>
      <c r="C30" s="4" t="s">
        <v>54</v>
      </c>
      <c r="D30" s="4" t="s">
        <v>33</v>
      </c>
      <c r="E30" s="4" t="s">
        <v>25</v>
      </c>
      <c r="F30" s="4" t="s">
        <v>55</v>
      </c>
      <c r="G30" s="4" t="s">
        <v>25</v>
      </c>
      <c r="H30" s="4" t="s">
        <v>25</v>
      </c>
      <c r="I30" s="5">
        <v>44531</v>
      </c>
      <c r="J30" s="6">
        <v>0</v>
      </c>
      <c r="K30" s="6">
        <v>0</v>
      </c>
      <c r="L30" s="6">
        <v>3401.2669999999998</v>
      </c>
      <c r="M30" s="6">
        <v>3401.2669999999998</v>
      </c>
      <c r="N30" s="6">
        <v>0</v>
      </c>
      <c r="O30" s="6">
        <v>0</v>
      </c>
      <c r="P30" s="6">
        <v>3</v>
      </c>
      <c r="Q30" s="4" t="s">
        <v>56</v>
      </c>
      <c r="R30" s="4">
        <v>0</v>
      </c>
      <c r="S30" s="6">
        <v>0</v>
      </c>
      <c r="T30" s="6">
        <v>13</v>
      </c>
      <c r="U30" s="6">
        <v>0</v>
      </c>
      <c r="V30" s="6">
        <f>IF(ISERROR(VLOOKUP($S$30,'TAR FIN'!$A$1:$O$92,15,0)),0,VLOOKUP($S$30,'TAR FIN'!$A$1:$O$92,15,0))</f>
        <v>0</v>
      </c>
      <c r="W30" s="6">
        <f>IF(ISERROR(VLOOKUP($T$30,'TAR FIN'!$A$1:$O$92,15,0)),0,VLOOKUP($T$30,'TAR FIN'!$A$1:$O$92,15,0))</f>
        <v>73.28</v>
      </c>
      <c r="X30" s="6">
        <f>IF(ISERROR(VLOOKUP($U$30,'TAR FIN'!$A$1:$O$92,15,0)),0,VLOOKUP($U$30,'TAR FIN'!$A$1:$O$92,15,0))</f>
        <v>0</v>
      </c>
      <c r="Y30" s="6"/>
      <c r="Z30" s="6">
        <f ca="1">('TUSD BE'!$AM$11+'TUSD BF'!$AM$11+'TUSD CVA'!$AM$11)*1</f>
        <v>139.98967941887983</v>
      </c>
      <c r="AA30" s="6"/>
      <c r="AB30" s="6">
        <f>$K$30*$V$30</f>
        <v>0</v>
      </c>
      <c r="AC30" s="6">
        <f>$M$30*$W$30</f>
        <v>249244.84576</v>
      </c>
      <c r="AD30" s="6">
        <f>$O$30*$X$30</f>
        <v>0</v>
      </c>
      <c r="AE30" s="6">
        <f>$K$30*$Y$30</f>
        <v>0</v>
      </c>
      <c r="AF30" s="6">
        <f ca="1">$M$30*$Z$30</f>
        <v>476142.27694801515</v>
      </c>
      <c r="AG30" s="6">
        <f>$O$30*$AA$30</f>
        <v>0</v>
      </c>
    </row>
    <row r="31" spans="1:33" ht="11.25" hidden="1" customHeight="1" x14ac:dyDescent="0.3">
      <c r="A31" s="4" t="s">
        <v>21</v>
      </c>
      <c r="B31" s="4" t="s">
        <v>34</v>
      </c>
      <c r="C31" s="4" t="s">
        <v>54</v>
      </c>
      <c r="D31" s="4" t="s">
        <v>33</v>
      </c>
      <c r="E31" s="4" t="s">
        <v>25</v>
      </c>
      <c r="F31" s="4" t="s">
        <v>55</v>
      </c>
      <c r="G31" s="4" t="s">
        <v>25</v>
      </c>
      <c r="H31" s="4" t="s">
        <v>25</v>
      </c>
      <c r="I31" s="5">
        <v>44562</v>
      </c>
      <c r="J31" s="6">
        <v>0</v>
      </c>
      <c r="K31" s="6">
        <v>0</v>
      </c>
      <c r="L31" s="6">
        <v>3342.7750000000001</v>
      </c>
      <c r="M31" s="6">
        <v>3342.7750000000001</v>
      </c>
      <c r="N31" s="6">
        <v>0</v>
      </c>
      <c r="O31" s="6">
        <v>0</v>
      </c>
      <c r="P31" s="6">
        <v>3</v>
      </c>
      <c r="Q31" s="4" t="s">
        <v>56</v>
      </c>
      <c r="R31" s="4">
        <v>0</v>
      </c>
      <c r="S31" s="6">
        <v>0</v>
      </c>
      <c r="T31" s="6">
        <v>13</v>
      </c>
      <c r="U31" s="6">
        <v>0</v>
      </c>
      <c r="V31" s="6">
        <f>IF(ISERROR(VLOOKUP($S$31,'TAR FIN'!$A$1:$O$92,15,0)),0,VLOOKUP($S$31,'TAR FIN'!$A$1:$O$92,15,0))</f>
        <v>0</v>
      </c>
      <c r="W31" s="6">
        <f>IF(ISERROR(VLOOKUP($T$31,'TAR FIN'!$A$1:$O$92,15,0)),0,VLOOKUP($T$31,'TAR FIN'!$A$1:$O$92,15,0))</f>
        <v>73.28</v>
      </c>
      <c r="X31" s="6">
        <f>IF(ISERROR(VLOOKUP($U$31,'TAR FIN'!$A$1:$O$92,15,0)),0,VLOOKUP($U$31,'TAR FIN'!$A$1:$O$92,15,0))</f>
        <v>0</v>
      </c>
      <c r="Y31" s="6"/>
      <c r="Z31" s="6">
        <f ca="1">('TUSD BE'!$AM$11+'TUSD BF'!$AM$11+'TUSD CVA'!$AM$11)*1</f>
        <v>139.98967941887983</v>
      </c>
      <c r="AA31" s="6"/>
      <c r="AB31" s="6">
        <f>$K$31*$V$31</f>
        <v>0</v>
      </c>
      <c r="AC31" s="6">
        <f>$M$31*$W$31</f>
        <v>244958.552</v>
      </c>
      <c r="AD31" s="6">
        <f>$O$31*$X$31</f>
        <v>0</v>
      </c>
      <c r="AE31" s="6">
        <f>$K$31*$Y$31</f>
        <v>0</v>
      </c>
      <c r="AF31" s="6">
        <f ca="1">$M$31*$Z$31</f>
        <v>467954.00061944604</v>
      </c>
      <c r="AG31" s="6">
        <f>$O$31*$AA$31</f>
        <v>0</v>
      </c>
    </row>
    <row r="32" spans="1:33" ht="11.25" hidden="1" customHeight="1" x14ac:dyDescent="0.3">
      <c r="A32" s="4" t="s">
        <v>21</v>
      </c>
      <c r="B32" s="4" t="s">
        <v>34</v>
      </c>
      <c r="C32" s="4" t="s">
        <v>54</v>
      </c>
      <c r="D32" s="4" t="s">
        <v>33</v>
      </c>
      <c r="E32" s="4" t="s">
        <v>25</v>
      </c>
      <c r="F32" s="4" t="s">
        <v>55</v>
      </c>
      <c r="G32" s="4" t="s">
        <v>25</v>
      </c>
      <c r="H32" s="4" t="s">
        <v>25</v>
      </c>
      <c r="I32" s="5">
        <v>44593</v>
      </c>
      <c r="J32" s="6">
        <v>0</v>
      </c>
      <c r="K32" s="6">
        <v>0</v>
      </c>
      <c r="L32" s="6">
        <v>3270.0790000000002</v>
      </c>
      <c r="M32" s="6">
        <v>3270.0790000000002</v>
      </c>
      <c r="N32" s="6">
        <v>0</v>
      </c>
      <c r="O32" s="6">
        <v>0</v>
      </c>
      <c r="P32" s="6">
        <v>3</v>
      </c>
      <c r="Q32" s="4" t="s">
        <v>56</v>
      </c>
      <c r="R32" s="4">
        <v>0</v>
      </c>
      <c r="S32" s="6">
        <v>0</v>
      </c>
      <c r="T32" s="6">
        <v>13</v>
      </c>
      <c r="U32" s="6">
        <v>0</v>
      </c>
      <c r="V32" s="6">
        <f>IF(ISERROR(VLOOKUP($S$32,'TAR FIN'!$A$1:$O$92,15,0)),0,VLOOKUP($S$32,'TAR FIN'!$A$1:$O$92,15,0))</f>
        <v>0</v>
      </c>
      <c r="W32" s="6">
        <f>IF(ISERROR(VLOOKUP($T$32,'TAR FIN'!$A$1:$O$92,15,0)),0,VLOOKUP($T$32,'TAR FIN'!$A$1:$O$92,15,0))</f>
        <v>73.28</v>
      </c>
      <c r="X32" s="6">
        <f>IF(ISERROR(VLOOKUP($U$32,'TAR FIN'!$A$1:$O$92,15,0)),0,VLOOKUP($U$32,'TAR FIN'!$A$1:$O$92,15,0))</f>
        <v>0</v>
      </c>
      <c r="Y32" s="6"/>
      <c r="Z32" s="6">
        <f ca="1">('TUSD BE'!$AM$11+'TUSD BF'!$AM$11+'TUSD CVA'!$AM$11)*1</f>
        <v>139.98967941887983</v>
      </c>
      <c r="AA32" s="6"/>
      <c r="AB32" s="6">
        <f>$K$32*$V$32</f>
        <v>0</v>
      </c>
      <c r="AC32" s="6">
        <f>$M$32*$W$32</f>
        <v>239631.38912000001</v>
      </c>
      <c r="AD32" s="6">
        <f>$O$32*$X$32</f>
        <v>0</v>
      </c>
      <c r="AE32" s="6">
        <f>$K$32*$Y$32</f>
        <v>0</v>
      </c>
      <c r="AF32" s="6">
        <f ca="1">$M$32*$Z$32</f>
        <v>457777.31088441116</v>
      </c>
      <c r="AG32" s="6">
        <f>$O$32*$AA$32</f>
        <v>0</v>
      </c>
    </row>
    <row r="33" spans="1:33" ht="11.25" hidden="1" customHeight="1" x14ac:dyDescent="0.3">
      <c r="A33" s="4" t="s">
        <v>21</v>
      </c>
      <c r="B33" s="4" t="s">
        <v>34</v>
      </c>
      <c r="C33" s="4" t="s">
        <v>54</v>
      </c>
      <c r="D33" s="4" t="s">
        <v>33</v>
      </c>
      <c r="E33" s="4" t="s">
        <v>25</v>
      </c>
      <c r="F33" s="4" t="s">
        <v>55</v>
      </c>
      <c r="G33" s="4" t="s">
        <v>25</v>
      </c>
      <c r="H33" s="4" t="s">
        <v>25</v>
      </c>
      <c r="I33" s="5">
        <v>44621</v>
      </c>
      <c r="J33" s="6">
        <v>0</v>
      </c>
      <c r="K33" s="6">
        <v>0</v>
      </c>
      <c r="L33" s="6">
        <v>3338.7429999999999</v>
      </c>
      <c r="M33" s="6">
        <v>3338.7429999999999</v>
      </c>
      <c r="N33" s="6">
        <v>0</v>
      </c>
      <c r="O33" s="6">
        <v>0</v>
      </c>
      <c r="P33" s="6">
        <v>3</v>
      </c>
      <c r="Q33" s="4" t="s">
        <v>56</v>
      </c>
      <c r="R33" s="4">
        <v>0</v>
      </c>
      <c r="S33" s="6">
        <v>0</v>
      </c>
      <c r="T33" s="6">
        <v>13</v>
      </c>
      <c r="U33" s="6">
        <v>0</v>
      </c>
      <c r="V33" s="6">
        <f>IF(ISERROR(VLOOKUP($S$33,'TAR FIN'!$A$1:$O$92,15,0)),0,VLOOKUP($S$33,'TAR FIN'!$A$1:$O$92,15,0))</f>
        <v>0</v>
      </c>
      <c r="W33" s="6">
        <f>IF(ISERROR(VLOOKUP($T$33,'TAR FIN'!$A$1:$O$92,15,0)),0,VLOOKUP($T$33,'TAR FIN'!$A$1:$O$92,15,0))</f>
        <v>73.28</v>
      </c>
      <c r="X33" s="6">
        <f>IF(ISERROR(VLOOKUP($U$33,'TAR FIN'!$A$1:$O$92,15,0)),0,VLOOKUP($U$33,'TAR FIN'!$A$1:$O$92,15,0))</f>
        <v>0</v>
      </c>
      <c r="Y33" s="6"/>
      <c r="Z33" s="6">
        <f ca="1">('TUSD BE'!$AM$11+'TUSD BF'!$AM$11+'TUSD CVA'!$AM$11)*1</f>
        <v>139.98967941887983</v>
      </c>
      <c r="AA33" s="6"/>
      <c r="AB33" s="6">
        <f>$K$33*$V$33</f>
        <v>0</v>
      </c>
      <c r="AC33" s="6">
        <f>$M$33*$W$33</f>
        <v>244663.08704000001</v>
      </c>
      <c r="AD33" s="6">
        <f>$O$33*$X$33</f>
        <v>0</v>
      </c>
      <c r="AE33" s="6">
        <f>$K$33*$Y$33</f>
        <v>0</v>
      </c>
      <c r="AF33" s="6">
        <f ca="1">$M$33*$Z$33</f>
        <v>467389.5622320291</v>
      </c>
      <c r="AG33" s="6">
        <f>$O$33*$AA$33</f>
        <v>0</v>
      </c>
    </row>
    <row r="34" spans="1:33" ht="11.25" hidden="1" customHeight="1" x14ac:dyDescent="0.3">
      <c r="A34" s="4" t="s">
        <v>21</v>
      </c>
      <c r="B34" s="4" t="s">
        <v>34</v>
      </c>
      <c r="C34" s="4" t="s">
        <v>54</v>
      </c>
      <c r="D34" s="4" t="s">
        <v>33</v>
      </c>
      <c r="E34" s="4" t="s">
        <v>25</v>
      </c>
      <c r="F34" s="4" t="s">
        <v>55</v>
      </c>
      <c r="G34" s="4" t="s">
        <v>25</v>
      </c>
      <c r="H34" s="4" t="s">
        <v>25</v>
      </c>
      <c r="I34" s="5">
        <v>44652</v>
      </c>
      <c r="J34" s="6">
        <v>0</v>
      </c>
      <c r="K34" s="6">
        <v>0</v>
      </c>
      <c r="L34" s="6">
        <v>1875.12024</v>
      </c>
      <c r="M34" s="6">
        <v>1875.12024</v>
      </c>
      <c r="N34" s="6">
        <v>0</v>
      </c>
      <c r="O34" s="6">
        <v>0</v>
      </c>
      <c r="P34" s="6">
        <v>3</v>
      </c>
      <c r="Q34" s="4" t="s">
        <v>56</v>
      </c>
      <c r="R34" s="4">
        <v>0</v>
      </c>
      <c r="S34" s="6">
        <v>0</v>
      </c>
      <c r="T34" s="6">
        <v>13</v>
      </c>
      <c r="U34" s="6">
        <v>0</v>
      </c>
      <c r="V34" s="6">
        <f>IF(ISERROR(VLOOKUP($S$34,'TAR FIN'!$A$1:$O$92,15,0)),0,VLOOKUP($S$34,'TAR FIN'!$A$1:$O$92,15,0))</f>
        <v>0</v>
      </c>
      <c r="W34" s="6">
        <f>IF(ISERROR(VLOOKUP($T$34,'TAR FIN'!$A$1:$O$92,15,0)),0,VLOOKUP($T$34,'TAR FIN'!$A$1:$O$92,15,0))</f>
        <v>73.28</v>
      </c>
      <c r="X34" s="6">
        <f>IF(ISERROR(VLOOKUP($U$34,'TAR FIN'!$A$1:$O$92,15,0)),0,VLOOKUP($U$34,'TAR FIN'!$A$1:$O$92,15,0))</f>
        <v>0</v>
      </c>
      <c r="Y34" s="6"/>
      <c r="Z34" s="6">
        <f ca="1">('TUSD BE'!$AM$11+'TUSD BF'!$AM$11+'TUSD CVA'!$AM$11)*1</f>
        <v>139.98967941887983</v>
      </c>
      <c r="AA34" s="6"/>
      <c r="AB34" s="6">
        <f>$K$34*$V$34</f>
        <v>0</v>
      </c>
      <c r="AC34" s="6">
        <f>$M$34*$W$34</f>
        <v>137408.81118719999</v>
      </c>
      <c r="AD34" s="6">
        <f>$O$34*$X$34</f>
        <v>0</v>
      </c>
      <c r="AE34" s="6">
        <f>$K$34*$Y$34</f>
        <v>0</v>
      </c>
      <c r="AF34" s="6">
        <f ca="1">$M$34*$Z$34</f>
        <v>262497.48126945301</v>
      </c>
      <c r="AG34" s="6">
        <f>$O$34*$AA$34</f>
        <v>0</v>
      </c>
    </row>
    <row r="35" spans="1:33" ht="11.25" hidden="1" customHeight="1" x14ac:dyDescent="0.3">
      <c r="A35" s="4" t="s">
        <v>21</v>
      </c>
      <c r="B35" s="4" t="s">
        <v>34</v>
      </c>
      <c r="C35" s="4" t="s">
        <v>54</v>
      </c>
      <c r="D35" s="4" t="s">
        <v>33</v>
      </c>
      <c r="E35" s="4" t="s">
        <v>25</v>
      </c>
      <c r="F35" s="4" t="s">
        <v>55</v>
      </c>
      <c r="G35" s="4" t="s">
        <v>25</v>
      </c>
      <c r="H35" s="4" t="s">
        <v>25</v>
      </c>
      <c r="I35" s="5">
        <v>44682</v>
      </c>
      <c r="J35" s="6">
        <v>0</v>
      </c>
      <c r="K35" s="6">
        <v>0</v>
      </c>
      <c r="L35" s="6">
        <v>1588.5139200000001</v>
      </c>
      <c r="M35" s="6">
        <v>1588.5139200000001</v>
      </c>
      <c r="N35" s="6">
        <v>0</v>
      </c>
      <c r="O35" s="6">
        <v>0</v>
      </c>
      <c r="P35" s="6">
        <v>2</v>
      </c>
      <c r="Q35" s="4" t="s">
        <v>56</v>
      </c>
      <c r="R35" s="4">
        <v>0</v>
      </c>
      <c r="S35" s="6">
        <v>0</v>
      </c>
      <c r="T35" s="6">
        <v>13</v>
      </c>
      <c r="U35" s="6">
        <v>0</v>
      </c>
      <c r="V35" s="6">
        <f>IF(ISERROR(VLOOKUP($S$35,'TAR FIN'!$A$1:$O$92,15,0)),0,VLOOKUP($S$35,'TAR FIN'!$A$1:$O$92,15,0))</f>
        <v>0</v>
      </c>
      <c r="W35" s="6">
        <f>IF(ISERROR(VLOOKUP($T$35,'TAR FIN'!$A$1:$O$92,15,0)),0,VLOOKUP($T$35,'TAR FIN'!$A$1:$O$92,15,0))</f>
        <v>73.28</v>
      </c>
      <c r="X35" s="6">
        <f>IF(ISERROR(VLOOKUP($U$35,'TAR FIN'!$A$1:$O$92,15,0)),0,VLOOKUP($U$35,'TAR FIN'!$A$1:$O$92,15,0))</f>
        <v>0</v>
      </c>
      <c r="Y35" s="6"/>
      <c r="Z35" s="6">
        <f ca="1">('TUSD BE'!$AM$11+'TUSD BF'!$AM$11+'TUSD CVA'!$AM$11)*1</f>
        <v>139.98967941887983</v>
      </c>
      <c r="AA35" s="6"/>
      <c r="AB35" s="6">
        <f>$K$35*$V$35</f>
        <v>0</v>
      </c>
      <c r="AC35" s="6">
        <f>$M$35*$W$35</f>
        <v>116406.3000576</v>
      </c>
      <c r="AD35" s="6">
        <f>$O$35*$X$35</f>
        <v>0</v>
      </c>
      <c r="AE35" s="6">
        <f>$K$35*$Y$35</f>
        <v>0</v>
      </c>
      <c r="AF35" s="6">
        <f ca="1">$M$35*$Z$35</f>
        <v>222375.55441322815</v>
      </c>
      <c r="AG35" s="6">
        <f>$O$35*$AA$35</f>
        <v>0</v>
      </c>
    </row>
    <row r="36" spans="1:33" ht="11.25" hidden="1" customHeight="1" x14ac:dyDescent="0.3">
      <c r="A36" s="4" t="s">
        <v>21</v>
      </c>
      <c r="B36" s="4" t="s">
        <v>34</v>
      </c>
      <c r="C36" s="4" t="s">
        <v>54</v>
      </c>
      <c r="D36" s="4" t="s">
        <v>33</v>
      </c>
      <c r="E36" s="4" t="s">
        <v>25</v>
      </c>
      <c r="F36" s="4" t="s">
        <v>55</v>
      </c>
      <c r="G36" s="4" t="s">
        <v>25</v>
      </c>
      <c r="H36" s="4" t="s">
        <v>25</v>
      </c>
      <c r="I36" s="5">
        <v>44713</v>
      </c>
      <c r="J36" s="6">
        <v>0</v>
      </c>
      <c r="K36" s="6">
        <v>0</v>
      </c>
      <c r="L36" s="6">
        <v>1451.1084000000001</v>
      </c>
      <c r="M36" s="6">
        <v>1451.1084000000001</v>
      </c>
      <c r="N36" s="6">
        <v>0</v>
      </c>
      <c r="O36" s="6">
        <v>0</v>
      </c>
      <c r="P36" s="6">
        <v>2</v>
      </c>
      <c r="Q36" s="4" t="s">
        <v>56</v>
      </c>
      <c r="R36" s="4">
        <v>0</v>
      </c>
      <c r="S36" s="6">
        <v>0</v>
      </c>
      <c r="T36" s="6">
        <v>13</v>
      </c>
      <c r="U36" s="6">
        <v>0</v>
      </c>
      <c r="V36" s="6">
        <f>IF(ISERROR(VLOOKUP($S$36,'TAR FIN'!$A$1:$O$92,15,0)),0,VLOOKUP($S$36,'TAR FIN'!$A$1:$O$92,15,0))</f>
        <v>0</v>
      </c>
      <c r="W36" s="6">
        <f>IF(ISERROR(VLOOKUP($T$36,'TAR FIN'!$A$1:$O$92,15,0)),0,VLOOKUP($T$36,'TAR FIN'!$A$1:$O$92,15,0))</f>
        <v>73.28</v>
      </c>
      <c r="X36" s="6">
        <f>IF(ISERROR(VLOOKUP($U$36,'TAR FIN'!$A$1:$O$92,15,0)),0,VLOOKUP($U$36,'TAR FIN'!$A$1:$O$92,15,0))</f>
        <v>0</v>
      </c>
      <c r="Y36" s="6"/>
      <c r="Z36" s="6">
        <f ca="1">('TUSD BE'!$AM$11+'TUSD BF'!$AM$11+'TUSD CVA'!$AM$11)*1</f>
        <v>139.98967941887983</v>
      </c>
      <c r="AA36" s="6"/>
      <c r="AB36" s="6">
        <f>$K$36*$V$36</f>
        <v>0</v>
      </c>
      <c r="AC36" s="6">
        <f>$M$36*$W$36</f>
        <v>106337.22355200001</v>
      </c>
      <c r="AD36" s="6">
        <f>$O$36*$X$36</f>
        <v>0</v>
      </c>
      <c r="AE36" s="6">
        <f>$K$36*$Y$36</f>
        <v>0</v>
      </c>
      <c r="AF36" s="6">
        <f ca="1">$M$36*$Z$36</f>
        <v>203140.19971804364</v>
      </c>
      <c r="AG36" s="6">
        <f>$O$36*$AA$36</f>
        <v>0</v>
      </c>
    </row>
    <row r="37" spans="1:33" ht="11.25" hidden="1" customHeight="1" x14ac:dyDescent="0.3">
      <c r="A37" s="4" t="s">
        <v>21</v>
      </c>
      <c r="B37" s="4" t="s">
        <v>34</v>
      </c>
      <c r="C37" s="4" t="s">
        <v>54</v>
      </c>
      <c r="D37" s="4" t="s">
        <v>33</v>
      </c>
      <c r="E37" s="4" t="s">
        <v>25</v>
      </c>
      <c r="F37" s="4" t="s">
        <v>55</v>
      </c>
      <c r="G37" s="4" t="s">
        <v>25</v>
      </c>
      <c r="H37" s="4" t="s">
        <v>25</v>
      </c>
      <c r="I37" s="5">
        <v>44743</v>
      </c>
      <c r="J37" s="6">
        <v>0</v>
      </c>
      <c r="K37" s="6">
        <v>0</v>
      </c>
      <c r="L37" s="6">
        <v>954.17448000000002</v>
      </c>
      <c r="M37" s="6">
        <v>954.17448000000002</v>
      </c>
      <c r="N37" s="6">
        <v>0</v>
      </c>
      <c r="O37" s="6">
        <v>0</v>
      </c>
      <c r="P37" s="6">
        <v>2</v>
      </c>
      <c r="Q37" s="4" t="s">
        <v>56</v>
      </c>
      <c r="R37" s="4">
        <v>0</v>
      </c>
      <c r="S37" s="6">
        <v>0</v>
      </c>
      <c r="T37" s="6">
        <v>13</v>
      </c>
      <c r="U37" s="6">
        <v>0</v>
      </c>
      <c r="V37" s="6">
        <f>IF(ISERROR(VLOOKUP($S$37,'TAR FIN'!$A$1:$O$92,15,0)),0,VLOOKUP($S$37,'TAR FIN'!$A$1:$O$92,15,0))</f>
        <v>0</v>
      </c>
      <c r="W37" s="6">
        <f>IF(ISERROR(VLOOKUP($T$37,'TAR FIN'!$A$1:$O$92,15,0)),0,VLOOKUP($T$37,'TAR FIN'!$A$1:$O$92,15,0))</f>
        <v>73.28</v>
      </c>
      <c r="X37" s="6">
        <f>IF(ISERROR(VLOOKUP($U$37,'TAR FIN'!$A$1:$O$92,15,0)),0,VLOOKUP($U$37,'TAR FIN'!$A$1:$O$92,15,0))</f>
        <v>0</v>
      </c>
      <c r="Y37" s="6"/>
      <c r="Z37" s="6">
        <f ca="1">('TUSD BE'!$AM$11+'TUSD BF'!$AM$11+'TUSD CVA'!$AM$11)*1</f>
        <v>139.98967941887983</v>
      </c>
      <c r="AA37" s="6"/>
      <c r="AB37" s="6">
        <f>$K$37*$V$37</f>
        <v>0</v>
      </c>
      <c r="AC37" s="6">
        <f>$M$37*$W$37</f>
        <v>69921.905894399999</v>
      </c>
      <c r="AD37" s="6">
        <f>$O$37*$X$37</f>
        <v>0</v>
      </c>
      <c r="AE37" s="6">
        <f>$K$37*$Y$37</f>
        <v>0</v>
      </c>
      <c r="AF37" s="6">
        <f ca="1">$M$37*$Z$37</f>
        <v>133574.57956487636</v>
      </c>
      <c r="AG37" s="6">
        <f>$O$37*$AA$37</f>
        <v>0</v>
      </c>
    </row>
    <row r="38" spans="1:33" ht="11.25" hidden="1" customHeight="1" x14ac:dyDescent="0.3">
      <c r="A38" s="4" t="s">
        <v>21</v>
      </c>
      <c r="B38" s="4" t="s">
        <v>34</v>
      </c>
      <c r="C38" s="4" t="s">
        <v>54</v>
      </c>
      <c r="D38" s="4" t="s">
        <v>33</v>
      </c>
      <c r="E38" s="4" t="s">
        <v>25</v>
      </c>
      <c r="F38" s="4" t="s">
        <v>55</v>
      </c>
      <c r="G38" s="4" t="s">
        <v>25</v>
      </c>
      <c r="H38" s="4" t="s">
        <v>36</v>
      </c>
      <c r="I38" s="5">
        <v>44409</v>
      </c>
      <c r="J38" s="6">
        <v>7150</v>
      </c>
      <c r="K38" s="6">
        <v>3575.2025595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56</v>
      </c>
      <c r="R38" s="4">
        <v>0</v>
      </c>
      <c r="S38" s="6">
        <v>9</v>
      </c>
      <c r="T38" s="6">
        <v>0</v>
      </c>
      <c r="U38" s="6">
        <v>0</v>
      </c>
      <c r="V38" s="6">
        <f>IF(ISERROR(VLOOKUP($S$38,'TAR FIN'!$A$1:$O$92,15,0)),0,VLOOKUP($S$38,'TAR FIN'!$A$1:$O$92,15,0))</f>
        <v>29.39</v>
      </c>
      <c r="W38" s="6">
        <f>IF(ISERROR(VLOOKUP($T$38,'TAR FIN'!$A$1:$O$92,15,0)),0,VLOOKUP($T$38,'TAR FIN'!$A$1:$O$92,15,0))</f>
        <v>0</v>
      </c>
      <c r="X38" s="6">
        <f>IF(ISERROR(VLOOKUP($U$38,'TAR FIN'!$A$1:$O$92,15,0)),0,VLOOKUP($U$38,'TAR FIN'!$A$1:$O$92,15,0))</f>
        <v>0</v>
      </c>
      <c r="Y38" s="6">
        <f ca="1">('TUSD BE'!$AM$9+'TUSD BF'!$AM$9+'TUSD CVA'!$AM$9)*1</f>
        <v>38.604681932065752</v>
      </c>
      <c r="Z38" s="6">
        <f ca="1">('TUSD BE'!$AM$11+'TUSD BF'!$AM$11+'TUSD CVA'!$AM$11)*1</f>
        <v>139.98967941887983</v>
      </c>
      <c r="AA38" s="6"/>
      <c r="AB38" s="6">
        <f>$K$38*$V$38</f>
        <v>105075.203223705</v>
      </c>
      <c r="AC38" s="6">
        <f>$M$38*$W$38</f>
        <v>0</v>
      </c>
      <c r="AD38" s="6">
        <f>$O$38*$X$38</f>
        <v>0</v>
      </c>
      <c r="AE38" s="6">
        <f ca="1">$K$38*$Y$38</f>
        <v>138019.55765220488</v>
      </c>
      <c r="AF38" s="6">
        <f ca="1">$M$38*$Z$38</f>
        <v>0</v>
      </c>
      <c r="AG38" s="6">
        <f>$O$38*$AA$38</f>
        <v>0</v>
      </c>
    </row>
    <row r="39" spans="1:33" ht="11.25" hidden="1" customHeight="1" x14ac:dyDescent="0.3">
      <c r="A39" s="4" t="s">
        <v>21</v>
      </c>
      <c r="B39" s="4" t="s">
        <v>34</v>
      </c>
      <c r="C39" s="4" t="s">
        <v>54</v>
      </c>
      <c r="D39" s="4" t="s">
        <v>33</v>
      </c>
      <c r="E39" s="4" t="s">
        <v>25</v>
      </c>
      <c r="F39" s="4" t="s">
        <v>55</v>
      </c>
      <c r="G39" s="4" t="s">
        <v>25</v>
      </c>
      <c r="H39" s="4" t="s">
        <v>36</v>
      </c>
      <c r="I39" s="5">
        <v>44440</v>
      </c>
      <c r="J39" s="6">
        <v>7158</v>
      </c>
      <c r="K39" s="6">
        <v>3583.0537901399998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56</v>
      </c>
      <c r="R39" s="4">
        <v>0</v>
      </c>
      <c r="S39" s="6">
        <v>9</v>
      </c>
      <c r="T39" s="6">
        <v>0</v>
      </c>
      <c r="U39" s="6">
        <v>0</v>
      </c>
      <c r="V39" s="6">
        <f>IF(ISERROR(VLOOKUP($S$39,'TAR FIN'!$A$1:$O$92,15,0)),0,VLOOKUP($S$39,'TAR FIN'!$A$1:$O$92,15,0))</f>
        <v>29.39</v>
      </c>
      <c r="W39" s="6">
        <f>IF(ISERROR(VLOOKUP($T$39,'TAR FIN'!$A$1:$O$92,15,0)),0,VLOOKUP($T$39,'TAR FIN'!$A$1:$O$92,15,0))</f>
        <v>0</v>
      </c>
      <c r="X39" s="6">
        <f>IF(ISERROR(VLOOKUP($U$39,'TAR FIN'!$A$1:$O$92,15,0)),0,VLOOKUP($U$39,'TAR FIN'!$A$1:$O$92,15,0))</f>
        <v>0</v>
      </c>
      <c r="Y39" s="6">
        <f ca="1">('TUSD BE'!$AM$9+'TUSD BF'!$AM$9+'TUSD CVA'!$AM$9)*1</f>
        <v>38.604681932065752</v>
      </c>
      <c r="Z39" s="6">
        <f ca="1">('TUSD BE'!$AM$11+'TUSD BF'!$AM$11+'TUSD CVA'!$AM$11)*1</f>
        <v>139.98967941887983</v>
      </c>
      <c r="AA39" s="6"/>
      <c r="AB39" s="6">
        <f>$K$39*$V$39</f>
        <v>105305.95089221459</v>
      </c>
      <c r="AC39" s="6">
        <f>$M$39*$W$39</f>
        <v>0</v>
      </c>
      <c r="AD39" s="6">
        <f>$O$39*$X$39</f>
        <v>0</v>
      </c>
      <c r="AE39" s="6">
        <f ca="1">$K$39*$Y$39</f>
        <v>138322.65191383736</v>
      </c>
      <c r="AF39" s="6">
        <f ca="1">$M$39*$Z$39</f>
        <v>0</v>
      </c>
      <c r="AG39" s="6">
        <f>$O$39*$AA$39</f>
        <v>0</v>
      </c>
    </row>
    <row r="40" spans="1:33" ht="11.25" hidden="1" customHeight="1" x14ac:dyDescent="0.3">
      <c r="A40" s="4" t="s">
        <v>21</v>
      </c>
      <c r="B40" s="4" t="s">
        <v>34</v>
      </c>
      <c r="C40" s="4" t="s">
        <v>54</v>
      </c>
      <c r="D40" s="4" t="s">
        <v>33</v>
      </c>
      <c r="E40" s="4" t="s">
        <v>25</v>
      </c>
      <c r="F40" s="4" t="s">
        <v>55</v>
      </c>
      <c r="G40" s="4" t="s">
        <v>25</v>
      </c>
      <c r="H40" s="4" t="s">
        <v>36</v>
      </c>
      <c r="I40" s="5">
        <v>44470</v>
      </c>
      <c r="J40" s="6">
        <v>7192</v>
      </c>
      <c r="K40" s="6">
        <v>3599.06537424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56</v>
      </c>
      <c r="R40" s="4">
        <v>0</v>
      </c>
      <c r="S40" s="6">
        <v>9</v>
      </c>
      <c r="T40" s="6">
        <v>0</v>
      </c>
      <c r="U40" s="6">
        <v>0</v>
      </c>
      <c r="V40" s="6">
        <f>IF(ISERROR(VLOOKUP($S$40,'TAR FIN'!$A$1:$O$92,15,0)),0,VLOOKUP($S$40,'TAR FIN'!$A$1:$O$92,15,0))</f>
        <v>29.39</v>
      </c>
      <c r="W40" s="6">
        <f>IF(ISERROR(VLOOKUP($T$40,'TAR FIN'!$A$1:$O$92,15,0)),0,VLOOKUP($T$40,'TAR FIN'!$A$1:$O$92,15,0))</f>
        <v>0</v>
      </c>
      <c r="X40" s="6">
        <f>IF(ISERROR(VLOOKUP($U$40,'TAR FIN'!$A$1:$O$92,15,0)),0,VLOOKUP($U$40,'TAR FIN'!$A$1:$O$92,15,0))</f>
        <v>0</v>
      </c>
      <c r="Y40" s="6">
        <f ca="1">('TUSD BE'!$AM$9+'TUSD BF'!$AM$9+'TUSD CVA'!$AM$9)*1</f>
        <v>38.604681932065752</v>
      </c>
      <c r="Z40" s="6">
        <f ca="1">('TUSD BE'!$AM$11+'TUSD BF'!$AM$11+'TUSD CVA'!$AM$11)*1</f>
        <v>139.98967941887983</v>
      </c>
      <c r="AA40" s="6"/>
      <c r="AB40" s="6">
        <f>$K$40*$V$40</f>
        <v>105776.5313489136</v>
      </c>
      <c r="AC40" s="6">
        <f>$M$40*$W$40</f>
        <v>0</v>
      </c>
      <c r="AD40" s="6">
        <f>$O$40*$X$40</f>
        <v>0</v>
      </c>
      <c r="AE40" s="6">
        <f ca="1">$K$40*$Y$40</f>
        <v>138940.77402524638</v>
      </c>
      <c r="AF40" s="6">
        <f ca="1">$M$40*$Z$40</f>
        <v>0</v>
      </c>
      <c r="AG40" s="6">
        <f>$O$40*$AA$40</f>
        <v>0</v>
      </c>
    </row>
    <row r="41" spans="1:33" ht="11.25" hidden="1" customHeight="1" x14ac:dyDescent="0.3">
      <c r="A41" s="4" t="s">
        <v>21</v>
      </c>
      <c r="B41" s="4" t="s">
        <v>34</v>
      </c>
      <c r="C41" s="4" t="s">
        <v>54</v>
      </c>
      <c r="D41" s="4" t="s">
        <v>33</v>
      </c>
      <c r="E41" s="4" t="s">
        <v>25</v>
      </c>
      <c r="F41" s="4" t="s">
        <v>55</v>
      </c>
      <c r="G41" s="4" t="s">
        <v>25</v>
      </c>
      <c r="H41" s="4" t="s">
        <v>36</v>
      </c>
      <c r="I41" s="5">
        <v>44501</v>
      </c>
      <c r="J41" s="6">
        <v>7149</v>
      </c>
      <c r="K41" s="6">
        <v>3577.8967758600002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56</v>
      </c>
      <c r="R41" s="4">
        <v>0</v>
      </c>
      <c r="S41" s="6">
        <v>9</v>
      </c>
      <c r="T41" s="6">
        <v>0</v>
      </c>
      <c r="U41" s="6">
        <v>0</v>
      </c>
      <c r="V41" s="6">
        <f>IF(ISERROR(VLOOKUP($S$41,'TAR FIN'!$A$1:$O$92,15,0)),0,VLOOKUP($S$41,'TAR FIN'!$A$1:$O$92,15,0))</f>
        <v>29.39</v>
      </c>
      <c r="W41" s="6">
        <f>IF(ISERROR(VLOOKUP($T$41,'TAR FIN'!$A$1:$O$92,15,0)),0,VLOOKUP($T$41,'TAR FIN'!$A$1:$O$92,15,0))</f>
        <v>0</v>
      </c>
      <c r="X41" s="6">
        <f>IF(ISERROR(VLOOKUP($U$41,'TAR FIN'!$A$1:$O$92,15,0)),0,VLOOKUP($U$41,'TAR FIN'!$A$1:$O$92,15,0))</f>
        <v>0</v>
      </c>
      <c r="Y41" s="6">
        <f ca="1">('TUSD BE'!$AM$9+'TUSD BF'!$AM$9+'TUSD CVA'!$AM$9)*1</f>
        <v>38.604681932065752</v>
      </c>
      <c r="Z41" s="6">
        <f ca="1">('TUSD BE'!$AM$11+'TUSD BF'!$AM$11+'TUSD CVA'!$AM$11)*1</f>
        <v>139.98967941887983</v>
      </c>
      <c r="AA41" s="6"/>
      <c r="AB41" s="6">
        <f>$K$41*$V$41</f>
        <v>105154.3862425254</v>
      </c>
      <c r="AC41" s="6">
        <f>$M$41*$W$41</f>
        <v>0</v>
      </c>
      <c r="AD41" s="6">
        <f>$O$41*$X$41</f>
        <v>0</v>
      </c>
      <c r="AE41" s="6">
        <f ca="1">$K$41*$Y$41</f>
        <v>138123.56701783885</v>
      </c>
      <c r="AF41" s="6">
        <f ca="1">$M$41*$Z$41</f>
        <v>0</v>
      </c>
      <c r="AG41" s="6">
        <f>$O$41*$AA$41</f>
        <v>0</v>
      </c>
    </row>
    <row r="42" spans="1:33" ht="11.25" hidden="1" customHeight="1" x14ac:dyDescent="0.3">
      <c r="A42" s="4" t="s">
        <v>21</v>
      </c>
      <c r="B42" s="4" t="s">
        <v>34</v>
      </c>
      <c r="C42" s="4" t="s">
        <v>54</v>
      </c>
      <c r="D42" s="4" t="s">
        <v>33</v>
      </c>
      <c r="E42" s="4" t="s">
        <v>25</v>
      </c>
      <c r="F42" s="4" t="s">
        <v>55</v>
      </c>
      <c r="G42" s="4" t="s">
        <v>25</v>
      </c>
      <c r="H42" s="4" t="s">
        <v>36</v>
      </c>
      <c r="I42" s="5">
        <v>44531</v>
      </c>
      <c r="J42" s="6">
        <v>7149</v>
      </c>
      <c r="K42" s="6">
        <v>3583.7158473899999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56</v>
      </c>
      <c r="R42" s="4">
        <v>0</v>
      </c>
      <c r="S42" s="6">
        <v>9</v>
      </c>
      <c r="T42" s="6">
        <v>0</v>
      </c>
      <c r="U42" s="6">
        <v>0</v>
      </c>
      <c r="V42" s="6">
        <f>IF(ISERROR(VLOOKUP($S$42,'TAR FIN'!$A$1:$O$92,15,0)),0,VLOOKUP($S$42,'TAR FIN'!$A$1:$O$92,15,0))</f>
        <v>29.39</v>
      </c>
      <c r="W42" s="6">
        <f>IF(ISERROR(VLOOKUP($T$42,'TAR FIN'!$A$1:$O$92,15,0)),0,VLOOKUP($T$42,'TAR FIN'!$A$1:$O$92,15,0))</f>
        <v>0</v>
      </c>
      <c r="X42" s="6">
        <f>IF(ISERROR(VLOOKUP($U$42,'TAR FIN'!$A$1:$O$92,15,0)),0,VLOOKUP($U$42,'TAR FIN'!$A$1:$O$92,15,0))</f>
        <v>0</v>
      </c>
      <c r="Y42" s="6">
        <f ca="1">('TUSD BE'!$AM$9+'TUSD BF'!$AM$9+'TUSD CVA'!$AM$9)*1</f>
        <v>38.604681932065752</v>
      </c>
      <c r="Z42" s="6">
        <f ca="1">('TUSD BE'!$AM$11+'TUSD BF'!$AM$11+'TUSD CVA'!$AM$11)*1</f>
        <v>139.98967941887983</v>
      </c>
      <c r="AA42" s="6"/>
      <c r="AB42" s="6">
        <f>$K$42*$V$42</f>
        <v>105325.40875479209</v>
      </c>
      <c r="AC42" s="6">
        <f>$M$42*$W$42</f>
        <v>0</v>
      </c>
      <c r="AD42" s="6">
        <f>$O$42*$X$42</f>
        <v>0</v>
      </c>
      <c r="AE42" s="6">
        <f ca="1">$K$42*$Y$42</f>
        <v>138348.21042339443</v>
      </c>
      <c r="AF42" s="6">
        <f ca="1">$M$42*$Z$42</f>
        <v>0</v>
      </c>
      <c r="AG42" s="6">
        <f>$O$42*$AA$42</f>
        <v>0</v>
      </c>
    </row>
    <row r="43" spans="1:33" ht="11.25" hidden="1" customHeight="1" x14ac:dyDescent="0.3">
      <c r="A43" s="4" t="s">
        <v>21</v>
      </c>
      <c r="B43" s="4" t="s">
        <v>34</v>
      </c>
      <c r="C43" s="4" t="s">
        <v>54</v>
      </c>
      <c r="D43" s="4" t="s">
        <v>33</v>
      </c>
      <c r="E43" s="4" t="s">
        <v>25</v>
      </c>
      <c r="F43" s="4" t="s">
        <v>55</v>
      </c>
      <c r="G43" s="4" t="s">
        <v>25</v>
      </c>
      <c r="H43" s="4" t="s">
        <v>36</v>
      </c>
      <c r="I43" s="5">
        <v>44562</v>
      </c>
      <c r="J43" s="6">
        <v>7150</v>
      </c>
      <c r="K43" s="6">
        <v>3595.9309815000001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56</v>
      </c>
      <c r="R43" s="4">
        <v>0</v>
      </c>
      <c r="S43" s="6">
        <v>9</v>
      </c>
      <c r="T43" s="6">
        <v>0</v>
      </c>
      <c r="U43" s="6">
        <v>0</v>
      </c>
      <c r="V43" s="6">
        <f>IF(ISERROR(VLOOKUP($S$43,'TAR FIN'!$A$1:$O$92,15,0)),0,VLOOKUP($S$43,'TAR FIN'!$A$1:$O$92,15,0))</f>
        <v>29.39</v>
      </c>
      <c r="W43" s="6">
        <f>IF(ISERROR(VLOOKUP($T$43,'TAR FIN'!$A$1:$O$92,15,0)),0,VLOOKUP($T$43,'TAR FIN'!$A$1:$O$92,15,0))</f>
        <v>0</v>
      </c>
      <c r="X43" s="6">
        <f>IF(ISERROR(VLOOKUP($U$43,'TAR FIN'!$A$1:$O$92,15,0)),0,VLOOKUP($U$43,'TAR FIN'!$A$1:$O$92,15,0))</f>
        <v>0</v>
      </c>
      <c r="Y43" s="6">
        <f ca="1">('TUSD BE'!$AM$9+'TUSD BF'!$AM$9+'TUSD CVA'!$AM$9)*1</f>
        <v>38.604681932065752</v>
      </c>
      <c r="Z43" s="6">
        <f ca="1">('TUSD BE'!$AM$11+'TUSD BF'!$AM$11+'TUSD CVA'!$AM$11)*1</f>
        <v>139.98967941887983</v>
      </c>
      <c r="AA43" s="6"/>
      <c r="AB43" s="6">
        <f>$K$43*$V$43</f>
        <v>105684.411546285</v>
      </c>
      <c r="AC43" s="6">
        <f>$M$43*$W$43</f>
        <v>0</v>
      </c>
      <c r="AD43" s="6">
        <f>$O$43*$X$43</f>
        <v>0</v>
      </c>
      <c r="AE43" s="6">
        <f ca="1">$K$43*$Y$43</f>
        <v>138819.77179046851</v>
      </c>
      <c r="AF43" s="6">
        <f ca="1">$M$43*$Z$43</f>
        <v>0</v>
      </c>
      <c r="AG43" s="6">
        <f>$O$43*$AA$43</f>
        <v>0</v>
      </c>
    </row>
    <row r="44" spans="1:33" ht="11.25" hidden="1" customHeight="1" x14ac:dyDescent="0.3">
      <c r="A44" s="4" t="s">
        <v>21</v>
      </c>
      <c r="B44" s="4" t="s">
        <v>34</v>
      </c>
      <c r="C44" s="4" t="s">
        <v>54</v>
      </c>
      <c r="D44" s="4" t="s">
        <v>33</v>
      </c>
      <c r="E44" s="4" t="s">
        <v>25</v>
      </c>
      <c r="F44" s="4" t="s">
        <v>55</v>
      </c>
      <c r="G44" s="4" t="s">
        <v>25</v>
      </c>
      <c r="H44" s="4" t="s">
        <v>36</v>
      </c>
      <c r="I44" s="5">
        <v>44593</v>
      </c>
      <c r="J44" s="6">
        <v>7149</v>
      </c>
      <c r="K44" s="6">
        <v>3576.6673623299998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56</v>
      </c>
      <c r="R44" s="4">
        <v>0</v>
      </c>
      <c r="S44" s="6">
        <v>9</v>
      </c>
      <c r="T44" s="6">
        <v>0</v>
      </c>
      <c r="U44" s="6">
        <v>0</v>
      </c>
      <c r="V44" s="6">
        <f>IF(ISERROR(VLOOKUP($S$44,'TAR FIN'!$A$1:$O$92,15,0)),0,VLOOKUP($S$44,'TAR FIN'!$A$1:$O$92,15,0))</f>
        <v>29.39</v>
      </c>
      <c r="W44" s="6">
        <f>IF(ISERROR(VLOOKUP($T$44,'TAR FIN'!$A$1:$O$92,15,0)),0,VLOOKUP($T$44,'TAR FIN'!$A$1:$O$92,15,0))</f>
        <v>0</v>
      </c>
      <c r="X44" s="6">
        <f>IF(ISERROR(VLOOKUP($U$44,'TAR FIN'!$A$1:$O$92,15,0)),0,VLOOKUP($U$44,'TAR FIN'!$A$1:$O$92,15,0))</f>
        <v>0</v>
      </c>
      <c r="Y44" s="6">
        <f ca="1">('TUSD BE'!$AM$9+'TUSD BF'!$AM$9+'TUSD CVA'!$AM$9)*1</f>
        <v>38.604681932065752</v>
      </c>
      <c r="Z44" s="6">
        <f ca="1">('TUSD BE'!$AM$11+'TUSD BF'!$AM$11+'TUSD CVA'!$AM$11)*1</f>
        <v>139.98967941887983</v>
      </c>
      <c r="AA44" s="6"/>
      <c r="AB44" s="6">
        <f>$K$44*$V$44</f>
        <v>105118.2537788787</v>
      </c>
      <c r="AC44" s="6">
        <f>$M$44*$W$44</f>
        <v>0</v>
      </c>
      <c r="AD44" s="6">
        <f>$O$44*$X$44</f>
        <v>0</v>
      </c>
      <c r="AE44" s="6">
        <f ca="1">$K$44*$Y$44</f>
        <v>138076.10589955022</v>
      </c>
      <c r="AF44" s="6">
        <f ca="1">$M$44*$Z$44</f>
        <v>0</v>
      </c>
      <c r="AG44" s="6">
        <f>$O$44*$AA$44</f>
        <v>0</v>
      </c>
    </row>
    <row r="45" spans="1:33" ht="11.25" hidden="1" customHeight="1" x14ac:dyDescent="0.3">
      <c r="A45" s="4" t="s">
        <v>21</v>
      </c>
      <c r="B45" s="4" t="s">
        <v>34</v>
      </c>
      <c r="C45" s="4" t="s">
        <v>54</v>
      </c>
      <c r="D45" s="4" t="s">
        <v>33</v>
      </c>
      <c r="E45" s="4" t="s">
        <v>25</v>
      </c>
      <c r="F45" s="4" t="s">
        <v>55</v>
      </c>
      <c r="G45" s="4" t="s">
        <v>25</v>
      </c>
      <c r="H45" s="4" t="s">
        <v>36</v>
      </c>
      <c r="I45" s="5">
        <v>44621</v>
      </c>
      <c r="J45" s="6">
        <v>6550</v>
      </c>
      <c r="K45" s="6">
        <v>3276.0449214999999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56</v>
      </c>
      <c r="R45" s="4">
        <v>0</v>
      </c>
      <c r="S45" s="6">
        <v>9</v>
      </c>
      <c r="T45" s="6">
        <v>0</v>
      </c>
      <c r="U45" s="6">
        <v>0</v>
      </c>
      <c r="V45" s="6">
        <f>IF(ISERROR(VLOOKUP($S$45,'TAR FIN'!$A$1:$O$92,15,0)),0,VLOOKUP($S$45,'TAR FIN'!$A$1:$O$92,15,0))</f>
        <v>29.39</v>
      </c>
      <c r="W45" s="6">
        <f>IF(ISERROR(VLOOKUP($T$45,'TAR FIN'!$A$1:$O$92,15,0)),0,VLOOKUP($T$45,'TAR FIN'!$A$1:$O$92,15,0))</f>
        <v>0</v>
      </c>
      <c r="X45" s="6">
        <f>IF(ISERROR(VLOOKUP($U$45,'TAR FIN'!$A$1:$O$92,15,0)),0,VLOOKUP($U$45,'TAR FIN'!$A$1:$O$92,15,0))</f>
        <v>0</v>
      </c>
      <c r="Y45" s="6">
        <f ca="1">('TUSD BE'!$AM$9+'TUSD BF'!$AM$9+'TUSD CVA'!$AM$9)*1</f>
        <v>38.604681932065752</v>
      </c>
      <c r="Z45" s="6">
        <f ca="1">('TUSD BE'!$AM$11+'TUSD BF'!$AM$11+'TUSD CVA'!$AM$11)*1</f>
        <v>139.98967941887983</v>
      </c>
      <c r="AA45" s="6"/>
      <c r="AB45" s="6">
        <f>$K$45*$V$45</f>
        <v>96282.960242885005</v>
      </c>
      <c r="AC45" s="6">
        <f>$M$45*$W$45</f>
        <v>0</v>
      </c>
      <c r="AD45" s="6">
        <f>$O$45*$X$45</f>
        <v>0</v>
      </c>
      <c r="AE45" s="6">
        <f ca="1">$K$45*$Y$45</f>
        <v>126470.67218966682</v>
      </c>
      <c r="AF45" s="6">
        <f ca="1">$M$45*$Z$45</f>
        <v>0</v>
      </c>
      <c r="AG45" s="6">
        <f>$O$45*$AA$45</f>
        <v>0</v>
      </c>
    </row>
    <row r="46" spans="1:33" ht="11.25" hidden="1" customHeight="1" x14ac:dyDescent="0.3">
      <c r="A46" s="4" t="s">
        <v>21</v>
      </c>
      <c r="B46" s="4" t="s">
        <v>34</v>
      </c>
      <c r="C46" s="4" t="s">
        <v>54</v>
      </c>
      <c r="D46" s="4" t="s">
        <v>33</v>
      </c>
      <c r="E46" s="4" t="s">
        <v>25</v>
      </c>
      <c r="F46" s="4" t="s">
        <v>55</v>
      </c>
      <c r="G46" s="4" t="s">
        <v>25</v>
      </c>
      <c r="H46" s="4" t="s">
        <v>36</v>
      </c>
      <c r="I46" s="5">
        <v>44652</v>
      </c>
      <c r="J46" s="6">
        <v>6550</v>
      </c>
      <c r="K46" s="6">
        <v>3277.0388840000001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56</v>
      </c>
      <c r="R46" s="4">
        <v>0</v>
      </c>
      <c r="S46" s="6">
        <v>9</v>
      </c>
      <c r="T46" s="6">
        <v>0</v>
      </c>
      <c r="U46" s="6">
        <v>0</v>
      </c>
      <c r="V46" s="6">
        <f>IF(ISERROR(VLOOKUP($S$46,'TAR FIN'!$A$1:$O$92,15,0)),0,VLOOKUP($S$46,'TAR FIN'!$A$1:$O$92,15,0))</f>
        <v>29.39</v>
      </c>
      <c r="W46" s="6">
        <f>IF(ISERROR(VLOOKUP($T$46,'TAR FIN'!$A$1:$O$92,15,0)),0,VLOOKUP($T$46,'TAR FIN'!$A$1:$O$92,15,0))</f>
        <v>0</v>
      </c>
      <c r="X46" s="6">
        <f>IF(ISERROR(VLOOKUP($U$46,'TAR FIN'!$A$1:$O$92,15,0)),0,VLOOKUP($U$46,'TAR FIN'!$A$1:$O$92,15,0))</f>
        <v>0</v>
      </c>
      <c r="Y46" s="6">
        <f ca="1">('TUSD BE'!$AM$9+'TUSD BF'!$AM$9+'TUSD CVA'!$AM$9)*1</f>
        <v>38.604681932065752</v>
      </c>
      <c r="Z46" s="6">
        <f ca="1">('TUSD BE'!$AM$11+'TUSD BF'!$AM$11+'TUSD CVA'!$AM$11)*1</f>
        <v>139.98967941887983</v>
      </c>
      <c r="AA46" s="6"/>
      <c r="AB46" s="6">
        <f>$K$46*$V$46</f>
        <v>96312.172800760003</v>
      </c>
      <c r="AC46" s="6">
        <f>$M$46*$W$46</f>
        <v>0</v>
      </c>
      <c r="AD46" s="6">
        <f>$O$46*$X$46</f>
        <v>0</v>
      </c>
      <c r="AE46" s="6">
        <f ca="1">$K$46*$Y$46</f>
        <v>126509.04379583172</v>
      </c>
      <c r="AF46" s="6">
        <f ca="1">$M$46*$Z$46</f>
        <v>0</v>
      </c>
      <c r="AG46" s="6">
        <f>$O$46*$AA$46</f>
        <v>0</v>
      </c>
    </row>
    <row r="47" spans="1:33" ht="11.25" hidden="1" customHeight="1" x14ac:dyDescent="0.3">
      <c r="A47" s="4" t="s">
        <v>21</v>
      </c>
      <c r="B47" s="4" t="s">
        <v>34</v>
      </c>
      <c r="C47" s="4" t="s">
        <v>54</v>
      </c>
      <c r="D47" s="4" t="s">
        <v>33</v>
      </c>
      <c r="E47" s="4" t="s">
        <v>25</v>
      </c>
      <c r="F47" s="4" t="s">
        <v>55</v>
      </c>
      <c r="G47" s="4" t="s">
        <v>25</v>
      </c>
      <c r="H47" s="4" t="s">
        <v>36</v>
      </c>
      <c r="I47" s="5">
        <v>44682</v>
      </c>
      <c r="J47" s="6">
        <v>3750</v>
      </c>
      <c r="K47" s="6">
        <v>1875.5648624999999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56</v>
      </c>
      <c r="R47" s="4">
        <v>0</v>
      </c>
      <c r="S47" s="6">
        <v>9</v>
      </c>
      <c r="T47" s="6">
        <v>0</v>
      </c>
      <c r="U47" s="6">
        <v>0</v>
      </c>
      <c r="V47" s="6">
        <f>IF(ISERROR(VLOOKUP($S$47,'TAR FIN'!$A$1:$O$92,15,0)),0,VLOOKUP($S$47,'TAR FIN'!$A$1:$O$92,15,0))</f>
        <v>29.39</v>
      </c>
      <c r="W47" s="6">
        <f>IF(ISERROR(VLOOKUP($T$47,'TAR FIN'!$A$1:$O$92,15,0)),0,VLOOKUP($T$47,'TAR FIN'!$A$1:$O$92,15,0))</f>
        <v>0</v>
      </c>
      <c r="X47" s="6">
        <f>IF(ISERROR(VLOOKUP($U$47,'TAR FIN'!$A$1:$O$92,15,0)),0,VLOOKUP($U$47,'TAR FIN'!$A$1:$O$92,15,0))</f>
        <v>0</v>
      </c>
      <c r="Y47" s="6">
        <f ca="1">('TUSD BE'!$AM$9+'TUSD BF'!$AM$9+'TUSD CVA'!$AM$9)*1</f>
        <v>38.604681932065752</v>
      </c>
      <c r="Z47" s="6">
        <f ca="1">('TUSD BE'!$AM$11+'TUSD BF'!$AM$11+'TUSD CVA'!$AM$11)*1</f>
        <v>139.98967941887983</v>
      </c>
      <c r="AA47" s="6"/>
      <c r="AB47" s="6">
        <f>$K$47*$V$47</f>
        <v>55122.851308874997</v>
      </c>
      <c r="AC47" s="6">
        <f>$M$47*$W$47</f>
        <v>0</v>
      </c>
      <c r="AD47" s="6">
        <f>$O$47*$X$47</f>
        <v>0</v>
      </c>
      <c r="AE47" s="6">
        <f ca="1">$K$47*$Y$47</f>
        <v>72405.584959771135</v>
      </c>
      <c r="AF47" s="6">
        <f ca="1">$M$47*$Z$47</f>
        <v>0</v>
      </c>
      <c r="AG47" s="6">
        <f>$O$47*$AA$47</f>
        <v>0</v>
      </c>
    </row>
    <row r="48" spans="1:33" ht="11.25" hidden="1" customHeight="1" x14ac:dyDescent="0.3">
      <c r="A48" s="4" t="s">
        <v>21</v>
      </c>
      <c r="B48" s="4" t="s">
        <v>34</v>
      </c>
      <c r="C48" s="4" t="s">
        <v>54</v>
      </c>
      <c r="D48" s="4" t="s">
        <v>33</v>
      </c>
      <c r="E48" s="4" t="s">
        <v>25</v>
      </c>
      <c r="F48" s="4" t="s">
        <v>55</v>
      </c>
      <c r="G48" s="4" t="s">
        <v>25</v>
      </c>
      <c r="H48" s="4" t="s">
        <v>36</v>
      </c>
      <c r="I48" s="5">
        <v>44713</v>
      </c>
      <c r="J48" s="6">
        <v>3750</v>
      </c>
      <c r="K48" s="6">
        <v>1888.4784374999999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56</v>
      </c>
      <c r="R48" s="4">
        <v>0</v>
      </c>
      <c r="S48" s="6">
        <v>9</v>
      </c>
      <c r="T48" s="6">
        <v>0</v>
      </c>
      <c r="U48" s="6">
        <v>0</v>
      </c>
      <c r="V48" s="6">
        <f>IF(ISERROR(VLOOKUP($S$48,'TAR FIN'!$A$1:$O$92,15,0)),0,VLOOKUP($S$48,'TAR FIN'!$A$1:$O$92,15,0))</f>
        <v>29.39</v>
      </c>
      <c r="W48" s="6">
        <f>IF(ISERROR(VLOOKUP($T$48,'TAR FIN'!$A$1:$O$92,15,0)),0,VLOOKUP($T$48,'TAR FIN'!$A$1:$O$92,15,0))</f>
        <v>0</v>
      </c>
      <c r="X48" s="6">
        <f>IF(ISERROR(VLOOKUP($U$48,'TAR FIN'!$A$1:$O$92,15,0)),0,VLOOKUP($U$48,'TAR FIN'!$A$1:$O$92,15,0))</f>
        <v>0</v>
      </c>
      <c r="Y48" s="6">
        <f ca="1">('TUSD BE'!$AM$9+'TUSD BF'!$AM$9+'TUSD CVA'!$AM$9)*1</f>
        <v>38.604681932065752</v>
      </c>
      <c r="Z48" s="6">
        <f ca="1">('TUSD BE'!$AM$11+'TUSD BF'!$AM$11+'TUSD CVA'!$AM$11)*1</f>
        <v>139.98967941887983</v>
      </c>
      <c r="AA48" s="6"/>
      <c r="AB48" s="6">
        <f>$K$48*$V$48</f>
        <v>55502.381278125002</v>
      </c>
      <c r="AC48" s="6">
        <f>$M$48*$W$48</f>
        <v>0</v>
      </c>
      <c r="AD48" s="6">
        <f>$O$48*$X$48</f>
        <v>0</v>
      </c>
      <c r="AE48" s="6">
        <f ca="1">$K$48*$Y$48</f>
        <v>72904.109415252009</v>
      </c>
      <c r="AF48" s="6">
        <f ca="1">$M$48*$Z$48</f>
        <v>0</v>
      </c>
      <c r="AG48" s="6">
        <f>$O$48*$AA$48</f>
        <v>0</v>
      </c>
    </row>
    <row r="49" spans="1:33" ht="11.25" hidden="1" customHeight="1" x14ac:dyDescent="0.3">
      <c r="A49" s="4" t="s">
        <v>21</v>
      </c>
      <c r="B49" s="4" t="s">
        <v>34</v>
      </c>
      <c r="C49" s="4" t="s">
        <v>54</v>
      </c>
      <c r="D49" s="4" t="s">
        <v>33</v>
      </c>
      <c r="E49" s="4" t="s">
        <v>25</v>
      </c>
      <c r="F49" s="4" t="s">
        <v>55</v>
      </c>
      <c r="G49" s="4" t="s">
        <v>25</v>
      </c>
      <c r="H49" s="4" t="s">
        <v>36</v>
      </c>
      <c r="I49" s="5">
        <v>44743</v>
      </c>
      <c r="J49" s="6">
        <v>3750</v>
      </c>
      <c r="K49" s="6">
        <v>1891.9794374999999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56</v>
      </c>
      <c r="R49" s="4">
        <v>0</v>
      </c>
      <c r="S49" s="6">
        <v>9</v>
      </c>
      <c r="T49" s="6">
        <v>0</v>
      </c>
      <c r="U49" s="6">
        <v>0</v>
      </c>
      <c r="V49" s="6">
        <f>IF(ISERROR(VLOOKUP($S$49,'TAR FIN'!$A$1:$O$92,15,0)),0,VLOOKUP($S$49,'TAR FIN'!$A$1:$O$92,15,0))</f>
        <v>29.39</v>
      </c>
      <c r="W49" s="6">
        <f>IF(ISERROR(VLOOKUP($T$49,'TAR FIN'!$A$1:$O$92,15,0)),0,VLOOKUP($T$49,'TAR FIN'!$A$1:$O$92,15,0))</f>
        <v>0</v>
      </c>
      <c r="X49" s="6">
        <f>IF(ISERROR(VLOOKUP($U$49,'TAR FIN'!$A$1:$O$92,15,0)),0,VLOOKUP($U$49,'TAR FIN'!$A$1:$O$92,15,0))</f>
        <v>0</v>
      </c>
      <c r="Y49" s="6">
        <f ca="1">('TUSD BE'!$AM$9+'TUSD BF'!$AM$9+'TUSD CVA'!$AM$9)*1</f>
        <v>38.604681932065752</v>
      </c>
      <c r="Z49" s="6">
        <f ca="1">('TUSD BE'!$AM$11+'TUSD BF'!$AM$11+'TUSD CVA'!$AM$11)*1</f>
        <v>139.98967941887983</v>
      </c>
      <c r="AA49" s="6"/>
      <c r="AB49" s="6">
        <f>$K$49*$V$49</f>
        <v>55605.275668124996</v>
      </c>
      <c r="AC49" s="6">
        <f>$M$49*$W$49</f>
        <v>0</v>
      </c>
      <c r="AD49" s="6">
        <f>$O$49*$X$49</f>
        <v>0</v>
      </c>
      <c r="AE49" s="6">
        <f ca="1">$K$49*$Y$49</f>
        <v>73039.264406696166</v>
      </c>
      <c r="AF49" s="6">
        <f ca="1">$M$49*$Z$49</f>
        <v>0</v>
      </c>
      <c r="AG49" s="6">
        <f>$O$49*$AA$49</f>
        <v>0</v>
      </c>
    </row>
    <row r="50" spans="1:33" ht="11.25" hidden="1" customHeight="1" x14ac:dyDescent="0.3">
      <c r="A50" s="4" t="s">
        <v>21</v>
      </c>
      <c r="B50" s="4" t="s">
        <v>34</v>
      </c>
      <c r="C50" s="4" t="s">
        <v>57</v>
      </c>
      <c r="D50" s="4" t="s">
        <v>25</v>
      </c>
      <c r="E50" s="4" t="s">
        <v>25</v>
      </c>
      <c r="F50" s="4" t="s">
        <v>25</v>
      </c>
      <c r="G50" s="4" t="s">
        <v>58</v>
      </c>
      <c r="H50" s="4" t="s">
        <v>25</v>
      </c>
      <c r="I50" s="5">
        <v>44409</v>
      </c>
      <c r="J50" s="6">
        <v>1500</v>
      </c>
      <c r="K50" s="6">
        <v>750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4" t="s">
        <v>59</v>
      </c>
      <c r="R50" s="4">
        <v>28195</v>
      </c>
      <c r="S50" s="6">
        <v>17</v>
      </c>
      <c r="T50" s="6">
        <v>0</v>
      </c>
      <c r="U50" s="6">
        <v>0</v>
      </c>
      <c r="V50" s="6">
        <f>IF(ISERROR(VLOOKUP($S$50,'TAR FIN'!$A$1:$O$92,15,0)),0,VLOOKUP($S$50,'TAR FIN'!$A$1:$O$92,15,0))</f>
        <v>6.96</v>
      </c>
      <c r="W50" s="6">
        <f>IF(ISERROR(VLOOKUP($T$50,'TAR FIN'!$A$1:$O$92,15,0)),0,VLOOKUP($T$50,'TAR FIN'!$A$1:$O$92,15,0))</f>
        <v>0</v>
      </c>
      <c r="X50" s="6">
        <f>IF(ISERROR(VLOOKUP($U$50,'TAR FIN'!$A$1:$O$92,15,0)),0,VLOOKUP($U$50,'TAR FIN'!$A$1:$O$92,15,0))</f>
        <v>0</v>
      </c>
      <c r="Y50" s="6">
        <f ca="1">('TUSD BE'!$AM$13+'TUSD BF'!$AM$13+'TUSD CVA'!$AM$13)*1</f>
        <v>8.2896895560114423</v>
      </c>
      <c r="Z50" s="6"/>
      <c r="AA50" s="6"/>
      <c r="AB50" s="6">
        <f>$K$50*$V$50</f>
        <v>5220</v>
      </c>
      <c r="AC50" s="6">
        <f>$M$50*$W$50</f>
        <v>0</v>
      </c>
      <c r="AD50" s="6">
        <f>$O$50*$X$50</f>
        <v>0</v>
      </c>
      <c r="AE50" s="6">
        <f ca="1">$K$50*$Y$50</f>
        <v>6217.267167008582</v>
      </c>
      <c r="AF50" s="6">
        <f>$M$50*$Z$50</f>
        <v>0</v>
      </c>
      <c r="AG50" s="6">
        <f>$O$50*$AA$50</f>
        <v>0</v>
      </c>
    </row>
    <row r="51" spans="1:33" ht="11.25" hidden="1" customHeight="1" x14ac:dyDescent="0.3">
      <c r="A51" s="4" t="s">
        <v>21</v>
      </c>
      <c r="B51" s="4" t="s">
        <v>34</v>
      </c>
      <c r="C51" s="4" t="s">
        <v>57</v>
      </c>
      <c r="D51" s="4" t="s">
        <v>25</v>
      </c>
      <c r="E51" s="4" t="s">
        <v>25</v>
      </c>
      <c r="F51" s="4" t="s">
        <v>25</v>
      </c>
      <c r="G51" s="4" t="s">
        <v>60</v>
      </c>
      <c r="H51" s="4" t="s">
        <v>25</v>
      </c>
      <c r="I51" s="5">
        <v>44409</v>
      </c>
      <c r="J51" s="6">
        <v>1250</v>
      </c>
      <c r="K51" s="6">
        <v>625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4" t="s">
        <v>59</v>
      </c>
      <c r="R51" s="4">
        <v>29377</v>
      </c>
      <c r="S51" s="6">
        <v>17</v>
      </c>
      <c r="T51" s="6">
        <v>0</v>
      </c>
      <c r="U51" s="6">
        <v>0</v>
      </c>
      <c r="V51" s="6">
        <f>IF(ISERROR(VLOOKUP($S$51,'TAR FIN'!$A$1:$O$92,15,0)),0,VLOOKUP($S$51,'TAR FIN'!$A$1:$O$92,15,0))</f>
        <v>6.96</v>
      </c>
      <c r="W51" s="6">
        <f>IF(ISERROR(VLOOKUP($T$51,'TAR FIN'!$A$1:$O$92,15,0)),0,VLOOKUP($T$51,'TAR FIN'!$A$1:$O$92,15,0))</f>
        <v>0</v>
      </c>
      <c r="X51" s="6">
        <f>IF(ISERROR(VLOOKUP($U$51,'TAR FIN'!$A$1:$O$92,15,0)),0,VLOOKUP($U$51,'TAR FIN'!$A$1:$O$92,15,0))</f>
        <v>0</v>
      </c>
      <c r="Y51" s="6">
        <f ca="1">('TUSD BE'!$AM$13+'TUSD BF'!$AM$13+'TUSD CVA'!$AM$13)*1</f>
        <v>8.2896895560114423</v>
      </c>
      <c r="Z51" s="6"/>
      <c r="AA51" s="6"/>
      <c r="AB51" s="6">
        <f>$K$51*$V$51</f>
        <v>4350</v>
      </c>
      <c r="AC51" s="6">
        <f>$M$51*$W$51</f>
        <v>0</v>
      </c>
      <c r="AD51" s="6">
        <f>$O$51*$X$51</f>
        <v>0</v>
      </c>
      <c r="AE51" s="6">
        <f ca="1">$K$51*$Y$51</f>
        <v>5181.0559725071516</v>
      </c>
      <c r="AF51" s="6">
        <f>$M$51*$Z$51</f>
        <v>0</v>
      </c>
      <c r="AG51" s="6">
        <f>$O$51*$AA$51</f>
        <v>0</v>
      </c>
    </row>
    <row r="52" spans="1:33" ht="11.25" hidden="1" customHeight="1" x14ac:dyDescent="0.3">
      <c r="A52" s="4" t="s">
        <v>21</v>
      </c>
      <c r="B52" s="4" t="s">
        <v>34</v>
      </c>
      <c r="C52" s="4" t="s">
        <v>57</v>
      </c>
      <c r="D52" s="4" t="s">
        <v>25</v>
      </c>
      <c r="E52" s="4" t="s">
        <v>25</v>
      </c>
      <c r="F52" s="4" t="s">
        <v>25</v>
      </c>
      <c r="G52" s="4" t="s">
        <v>58</v>
      </c>
      <c r="H52" s="4" t="s">
        <v>25</v>
      </c>
      <c r="I52" s="5">
        <v>44440</v>
      </c>
      <c r="J52" s="6">
        <v>1500</v>
      </c>
      <c r="K52" s="6">
        <v>750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4" t="s">
        <v>59</v>
      </c>
      <c r="R52" s="4">
        <v>28195</v>
      </c>
      <c r="S52" s="6">
        <v>17</v>
      </c>
      <c r="T52" s="6">
        <v>0</v>
      </c>
      <c r="U52" s="6">
        <v>0</v>
      </c>
      <c r="V52" s="6">
        <f>IF(ISERROR(VLOOKUP($S$52,'TAR FIN'!$A$1:$O$92,15,0)),0,VLOOKUP($S$52,'TAR FIN'!$A$1:$O$92,15,0))</f>
        <v>6.96</v>
      </c>
      <c r="W52" s="6">
        <f>IF(ISERROR(VLOOKUP($T$52,'TAR FIN'!$A$1:$O$92,15,0)),0,VLOOKUP($T$52,'TAR FIN'!$A$1:$O$92,15,0))</f>
        <v>0</v>
      </c>
      <c r="X52" s="6">
        <f>IF(ISERROR(VLOOKUP($U$52,'TAR FIN'!$A$1:$O$92,15,0)),0,VLOOKUP($U$52,'TAR FIN'!$A$1:$O$92,15,0))</f>
        <v>0</v>
      </c>
      <c r="Y52" s="6">
        <f ca="1">('TUSD BE'!$AM$13+'TUSD BF'!$AM$13+'TUSD CVA'!$AM$13)*1</f>
        <v>8.2896895560114423</v>
      </c>
      <c r="Z52" s="6"/>
      <c r="AA52" s="6"/>
      <c r="AB52" s="6">
        <f>$K$52*$V$52</f>
        <v>5220</v>
      </c>
      <c r="AC52" s="6">
        <f>$M$52*$W$52</f>
        <v>0</v>
      </c>
      <c r="AD52" s="6">
        <f>$O$52*$X$52</f>
        <v>0</v>
      </c>
      <c r="AE52" s="6">
        <f ca="1">$K$52*$Y$52</f>
        <v>6217.267167008582</v>
      </c>
      <c r="AF52" s="6">
        <f>$M$52*$Z$52</f>
        <v>0</v>
      </c>
      <c r="AG52" s="6">
        <f>$O$52*$AA$52</f>
        <v>0</v>
      </c>
    </row>
    <row r="53" spans="1:33" ht="11.25" hidden="1" customHeight="1" x14ac:dyDescent="0.3">
      <c r="A53" s="4" t="s">
        <v>21</v>
      </c>
      <c r="B53" s="4" t="s">
        <v>34</v>
      </c>
      <c r="C53" s="4" t="s">
        <v>57</v>
      </c>
      <c r="D53" s="4" t="s">
        <v>25</v>
      </c>
      <c r="E53" s="4" t="s">
        <v>25</v>
      </c>
      <c r="F53" s="4" t="s">
        <v>25</v>
      </c>
      <c r="G53" s="4" t="s">
        <v>60</v>
      </c>
      <c r="H53" s="4" t="s">
        <v>25</v>
      </c>
      <c r="I53" s="5">
        <v>44440</v>
      </c>
      <c r="J53" s="6">
        <v>1250</v>
      </c>
      <c r="K53" s="6">
        <v>625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4" t="s">
        <v>59</v>
      </c>
      <c r="R53" s="4">
        <v>29377</v>
      </c>
      <c r="S53" s="6">
        <v>17</v>
      </c>
      <c r="T53" s="6">
        <v>0</v>
      </c>
      <c r="U53" s="6">
        <v>0</v>
      </c>
      <c r="V53" s="6">
        <f>IF(ISERROR(VLOOKUP($S$53,'TAR FIN'!$A$1:$O$92,15,0)),0,VLOOKUP($S$53,'TAR FIN'!$A$1:$O$92,15,0))</f>
        <v>6.96</v>
      </c>
      <c r="W53" s="6">
        <f>IF(ISERROR(VLOOKUP($T$53,'TAR FIN'!$A$1:$O$92,15,0)),0,VLOOKUP($T$53,'TAR FIN'!$A$1:$O$92,15,0))</f>
        <v>0</v>
      </c>
      <c r="X53" s="6">
        <f>IF(ISERROR(VLOOKUP($U$53,'TAR FIN'!$A$1:$O$92,15,0)),0,VLOOKUP($U$53,'TAR FIN'!$A$1:$O$92,15,0))</f>
        <v>0</v>
      </c>
      <c r="Y53" s="6">
        <f ca="1">('TUSD BE'!$AM$13+'TUSD BF'!$AM$13+'TUSD CVA'!$AM$13)*1</f>
        <v>8.2896895560114423</v>
      </c>
      <c r="Z53" s="6"/>
      <c r="AA53" s="6"/>
      <c r="AB53" s="6">
        <f>$K$53*$V$53</f>
        <v>4350</v>
      </c>
      <c r="AC53" s="6">
        <f>$M$53*$W$53</f>
        <v>0</v>
      </c>
      <c r="AD53" s="6">
        <f>$O$53*$X$53</f>
        <v>0</v>
      </c>
      <c r="AE53" s="6">
        <f ca="1">$K$53*$Y$53</f>
        <v>5181.0559725071516</v>
      </c>
      <c r="AF53" s="6">
        <f>$M$53*$Z$53</f>
        <v>0</v>
      </c>
      <c r="AG53" s="6">
        <f>$O$53*$AA$53</f>
        <v>0</v>
      </c>
    </row>
    <row r="54" spans="1:33" ht="11.25" hidden="1" customHeight="1" x14ac:dyDescent="0.3">
      <c r="A54" s="4" t="s">
        <v>21</v>
      </c>
      <c r="B54" s="4" t="s">
        <v>34</v>
      </c>
      <c r="C54" s="4" t="s">
        <v>57</v>
      </c>
      <c r="D54" s="4" t="s">
        <v>25</v>
      </c>
      <c r="E54" s="4" t="s">
        <v>25</v>
      </c>
      <c r="F54" s="4" t="s">
        <v>25</v>
      </c>
      <c r="G54" s="4" t="s">
        <v>58</v>
      </c>
      <c r="H54" s="4" t="s">
        <v>25</v>
      </c>
      <c r="I54" s="5">
        <v>44470</v>
      </c>
      <c r="J54" s="6">
        <v>1500</v>
      </c>
      <c r="K54" s="6">
        <v>750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4" t="s">
        <v>59</v>
      </c>
      <c r="R54" s="4">
        <v>28195</v>
      </c>
      <c r="S54" s="6">
        <v>17</v>
      </c>
      <c r="T54" s="6">
        <v>0</v>
      </c>
      <c r="U54" s="6">
        <v>0</v>
      </c>
      <c r="V54" s="6">
        <f>IF(ISERROR(VLOOKUP($S$54,'TAR FIN'!$A$1:$O$92,15,0)),0,VLOOKUP($S$54,'TAR FIN'!$A$1:$O$92,15,0))</f>
        <v>6.96</v>
      </c>
      <c r="W54" s="6">
        <f>IF(ISERROR(VLOOKUP($T$54,'TAR FIN'!$A$1:$O$92,15,0)),0,VLOOKUP($T$54,'TAR FIN'!$A$1:$O$92,15,0))</f>
        <v>0</v>
      </c>
      <c r="X54" s="6">
        <f>IF(ISERROR(VLOOKUP($U$54,'TAR FIN'!$A$1:$O$92,15,0)),0,VLOOKUP($U$54,'TAR FIN'!$A$1:$O$92,15,0))</f>
        <v>0</v>
      </c>
      <c r="Y54" s="6">
        <f ca="1">('TUSD BE'!$AM$13+'TUSD BF'!$AM$13+'TUSD CVA'!$AM$13)*1</f>
        <v>8.2896895560114423</v>
      </c>
      <c r="Z54" s="6"/>
      <c r="AA54" s="6"/>
      <c r="AB54" s="6">
        <f>$K$54*$V$54</f>
        <v>5220</v>
      </c>
      <c r="AC54" s="6">
        <f>$M$54*$W$54</f>
        <v>0</v>
      </c>
      <c r="AD54" s="6">
        <f>$O$54*$X$54</f>
        <v>0</v>
      </c>
      <c r="AE54" s="6">
        <f ca="1">$K$54*$Y$54</f>
        <v>6217.267167008582</v>
      </c>
      <c r="AF54" s="6">
        <f>$M$54*$Z$54</f>
        <v>0</v>
      </c>
      <c r="AG54" s="6">
        <f>$O$54*$AA$54</f>
        <v>0</v>
      </c>
    </row>
    <row r="55" spans="1:33" ht="11.25" hidden="1" customHeight="1" x14ac:dyDescent="0.3">
      <c r="A55" s="4" t="s">
        <v>21</v>
      </c>
      <c r="B55" s="4" t="s">
        <v>34</v>
      </c>
      <c r="C55" s="4" t="s">
        <v>57</v>
      </c>
      <c r="D55" s="4" t="s">
        <v>25</v>
      </c>
      <c r="E55" s="4" t="s">
        <v>25</v>
      </c>
      <c r="F55" s="4" t="s">
        <v>25</v>
      </c>
      <c r="G55" s="4" t="s">
        <v>60</v>
      </c>
      <c r="H55" s="4" t="s">
        <v>25</v>
      </c>
      <c r="I55" s="5">
        <v>44470</v>
      </c>
      <c r="J55" s="6">
        <v>1250</v>
      </c>
      <c r="K55" s="6">
        <v>625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4" t="s">
        <v>59</v>
      </c>
      <c r="R55" s="4">
        <v>29377</v>
      </c>
      <c r="S55" s="6">
        <v>17</v>
      </c>
      <c r="T55" s="6">
        <v>0</v>
      </c>
      <c r="U55" s="6">
        <v>0</v>
      </c>
      <c r="V55" s="6">
        <f>IF(ISERROR(VLOOKUP($S$55,'TAR FIN'!$A$1:$O$92,15,0)),0,VLOOKUP($S$55,'TAR FIN'!$A$1:$O$92,15,0))</f>
        <v>6.96</v>
      </c>
      <c r="W55" s="6">
        <f>IF(ISERROR(VLOOKUP($T$55,'TAR FIN'!$A$1:$O$92,15,0)),0,VLOOKUP($T$55,'TAR FIN'!$A$1:$O$92,15,0))</f>
        <v>0</v>
      </c>
      <c r="X55" s="6">
        <f>IF(ISERROR(VLOOKUP($U$55,'TAR FIN'!$A$1:$O$92,15,0)),0,VLOOKUP($U$55,'TAR FIN'!$A$1:$O$92,15,0))</f>
        <v>0</v>
      </c>
      <c r="Y55" s="6">
        <f ca="1">('TUSD BE'!$AM$13+'TUSD BF'!$AM$13+'TUSD CVA'!$AM$13)*1</f>
        <v>8.2896895560114423</v>
      </c>
      <c r="Z55" s="6"/>
      <c r="AA55" s="6"/>
      <c r="AB55" s="6">
        <f>$K$55*$V$55</f>
        <v>4350</v>
      </c>
      <c r="AC55" s="6">
        <f>$M$55*$W$55</f>
        <v>0</v>
      </c>
      <c r="AD55" s="6">
        <f>$O$55*$X$55</f>
        <v>0</v>
      </c>
      <c r="AE55" s="6">
        <f ca="1">$K$55*$Y$55</f>
        <v>5181.0559725071516</v>
      </c>
      <c r="AF55" s="6">
        <f>$M$55*$Z$55</f>
        <v>0</v>
      </c>
      <c r="AG55" s="6">
        <f>$O$55*$AA$55</f>
        <v>0</v>
      </c>
    </row>
    <row r="56" spans="1:33" ht="11.25" hidden="1" customHeight="1" x14ac:dyDescent="0.3">
      <c r="A56" s="4" t="s">
        <v>21</v>
      </c>
      <c r="B56" s="4" t="s">
        <v>34</v>
      </c>
      <c r="C56" s="4" t="s">
        <v>57</v>
      </c>
      <c r="D56" s="4" t="s">
        <v>25</v>
      </c>
      <c r="E56" s="4" t="s">
        <v>25</v>
      </c>
      <c r="F56" s="4" t="s">
        <v>25</v>
      </c>
      <c r="G56" s="4" t="s">
        <v>58</v>
      </c>
      <c r="H56" s="4" t="s">
        <v>25</v>
      </c>
      <c r="I56" s="5">
        <v>44501</v>
      </c>
      <c r="J56" s="6">
        <v>1500</v>
      </c>
      <c r="K56" s="6">
        <v>750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4" t="s">
        <v>59</v>
      </c>
      <c r="R56" s="4">
        <v>28195</v>
      </c>
      <c r="S56" s="6">
        <v>17</v>
      </c>
      <c r="T56" s="6">
        <v>0</v>
      </c>
      <c r="U56" s="6">
        <v>0</v>
      </c>
      <c r="V56" s="6">
        <f>IF(ISERROR(VLOOKUP($S$56,'TAR FIN'!$A$1:$O$92,15,0)),0,VLOOKUP($S$56,'TAR FIN'!$A$1:$O$92,15,0))</f>
        <v>6.96</v>
      </c>
      <c r="W56" s="6">
        <f>IF(ISERROR(VLOOKUP($T$56,'TAR FIN'!$A$1:$O$92,15,0)),0,VLOOKUP($T$56,'TAR FIN'!$A$1:$O$92,15,0))</f>
        <v>0</v>
      </c>
      <c r="X56" s="6">
        <f>IF(ISERROR(VLOOKUP($U$56,'TAR FIN'!$A$1:$O$92,15,0)),0,VLOOKUP($U$56,'TAR FIN'!$A$1:$O$92,15,0))</f>
        <v>0</v>
      </c>
      <c r="Y56" s="6">
        <f ca="1">('TUSD BE'!$AM$13+'TUSD BF'!$AM$13+'TUSD CVA'!$AM$13)*1</f>
        <v>8.2896895560114423</v>
      </c>
      <c r="Z56" s="6"/>
      <c r="AA56" s="6"/>
      <c r="AB56" s="6">
        <f>$K$56*$V$56</f>
        <v>5220</v>
      </c>
      <c r="AC56" s="6">
        <f>$M$56*$W$56</f>
        <v>0</v>
      </c>
      <c r="AD56" s="6">
        <f>$O$56*$X$56</f>
        <v>0</v>
      </c>
      <c r="AE56" s="6">
        <f ca="1">$K$56*$Y$56</f>
        <v>6217.267167008582</v>
      </c>
      <c r="AF56" s="6">
        <f>$M$56*$Z$56</f>
        <v>0</v>
      </c>
      <c r="AG56" s="6">
        <f>$O$56*$AA$56</f>
        <v>0</v>
      </c>
    </row>
    <row r="57" spans="1:33" ht="11.25" hidden="1" customHeight="1" x14ac:dyDescent="0.3">
      <c r="A57" s="4" t="s">
        <v>21</v>
      </c>
      <c r="B57" s="4" t="s">
        <v>34</v>
      </c>
      <c r="C57" s="4" t="s">
        <v>57</v>
      </c>
      <c r="D57" s="4" t="s">
        <v>25</v>
      </c>
      <c r="E57" s="4" t="s">
        <v>25</v>
      </c>
      <c r="F57" s="4" t="s">
        <v>25</v>
      </c>
      <c r="G57" s="4" t="s">
        <v>60</v>
      </c>
      <c r="H57" s="4" t="s">
        <v>25</v>
      </c>
      <c r="I57" s="5">
        <v>44501</v>
      </c>
      <c r="J57" s="6">
        <v>1250</v>
      </c>
      <c r="K57" s="6">
        <v>625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4" t="s">
        <v>59</v>
      </c>
      <c r="R57" s="4">
        <v>29377</v>
      </c>
      <c r="S57" s="6">
        <v>17</v>
      </c>
      <c r="T57" s="6">
        <v>0</v>
      </c>
      <c r="U57" s="6">
        <v>0</v>
      </c>
      <c r="V57" s="6">
        <f>IF(ISERROR(VLOOKUP($S$57,'TAR FIN'!$A$1:$O$92,15,0)),0,VLOOKUP($S$57,'TAR FIN'!$A$1:$O$92,15,0))</f>
        <v>6.96</v>
      </c>
      <c r="W57" s="6">
        <f>IF(ISERROR(VLOOKUP($T$57,'TAR FIN'!$A$1:$O$92,15,0)),0,VLOOKUP($T$57,'TAR FIN'!$A$1:$O$92,15,0))</f>
        <v>0</v>
      </c>
      <c r="X57" s="6">
        <f>IF(ISERROR(VLOOKUP($U$57,'TAR FIN'!$A$1:$O$92,15,0)),0,VLOOKUP($U$57,'TAR FIN'!$A$1:$O$92,15,0))</f>
        <v>0</v>
      </c>
      <c r="Y57" s="6">
        <f ca="1">('TUSD BE'!$AM$13+'TUSD BF'!$AM$13+'TUSD CVA'!$AM$13)*1</f>
        <v>8.2896895560114423</v>
      </c>
      <c r="Z57" s="6"/>
      <c r="AA57" s="6"/>
      <c r="AB57" s="6">
        <f>$K$57*$V$57</f>
        <v>4350</v>
      </c>
      <c r="AC57" s="6">
        <f>$M$57*$W$57</f>
        <v>0</v>
      </c>
      <c r="AD57" s="6">
        <f>$O$57*$X$57</f>
        <v>0</v>
      </c>
      <c r="AE57" s="6">
        <f ca="1">$K$57*$Y$57</f>
        <v>5181.0559725071516</v>
      </c>
      <c r="AF57" s="6">
        <f>$M$57*$Z$57</f>
        <v>0</v>
      </c>
      <c r="AG57" s="6">
        <f>$O$57*$AA$57</f>
        <v>0</v>
      </c>
    </row>
    <row r="58" spans="1:33" ht="11.25" hidden="1" customHeight="1" x14ac:dyDescent="0.3">
      <c r="A58" s="4" t="s">
        <v>21</v>
      </c>
      <c r="B58" s="4" t="s">
        <v>34</v>
      </c>
      <c r="C58" s="4" t="s">
        <v>57</v>
      </c>
      <c r="D58" s="4" t="s">
        <v>25</v>
      </c>
      <c r="E58" s="4" t="s">
        <v>25</v>
      </c>
      <c r="F58" s="4" t="s">
        <v>25</v>
      </c>
      <c r="G58" s="4" t="s">
        <v>58</v>
      </c>
      <c r="H58" s="4" t="s">
        <v>25</v>
      </c>
      <c r="I58" s="5">
        <v>44531</v>
      </c>
      <c r="J58" s="6">
        <v>1500</v>
      </c>
      <c r="K58" s="6">
        <v>750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4" t="s">
        <v>59</v>
      </c>
      <c r="R58" s="4">
        <v>28195</v>
      </c>
      <c r="S58" s="6">
        <v>17</v>
      </c>
      <c r="T58" s="6">
        <v>0</v>
      </c>
      <c r="U58" s="6">
        <v>0</v>
      </c>
      <c r="V58" s="6">
        <f>IF(ISERROR(VLOOKUP($S$58,'TAR FIN'!$A$1:$O$92,15,0)),0,VLOOKUP($S$58,'TAR FIN'!$A$1:$O$92,15,0))</f>
        <v>6.96</v>
      </c>
      <c r="W58" s="6">
        <f>IF(ISERROR(VLOOKUP($T$58,'TAR FIN'!$A$1:$O$92,15,0)),0,VLOOKUP($T$58,'TAR FIN'!$A$1:$O$92,15,0))</f>
        <v>0</v>
      </c>
      <c r="X58" s="6">
        <f>IF(ISERROR(VLOOKUP($U$58,'TAR FIN'!$A$1:$O$92,15,0)),0,VLOOKUP($U$58,'TAR FIN'!$A$1:$O$92,15,0))</f>
        <v>0</v>
      </c>
      <c r="Y58" s="6">
        <f ca="1">('TUSD BE'!$AM$13+'TUSD BF'!$AM$13+'TUSD CVA'!$AM$13)*1</f>
        <v>8.2896895560114423</v>
      </c>
      <c r="Z58" s="6"/>
      <c r="AA58" s="6"/>
      <c r="AB58" s="6">
        <f>$K$58*$V$58</f>
        <v>5220</v>
      </c>
      <c r="AC58" s="6">
        <f>$M$58*$W$58</f>
        <v>0</v>
      </c>
      <c r="AD58" s="6">
        <f>$O$58*$X$58</f>
        <v>0</v>
      </c>
      <c r="AE58" s="6">
        <f ca="1">$K$58*$Y$58</f>
        <v>6217.267167008582</v>
      </c>
      <c r="AF58" s="6">
        <f>$M$58*$Z$58</f>
        <v>0</v>
      </c>
      <c r="AG58" s="6">
        <f>$O$58*$AA$58</f>
        <v>0</v>
      </c>
    </row>
    <row r="59" spans="1:33" ht="11.25" hidden="1" customHeight="1" x14ac:dyDescent="0.3">
      <c r="A59" s="4" t="s">
        <v>21</v>
      </c>
      <c r="B59" s="4" t="s">
        <v>34</v>
      </c>
      <c r="C59" s="4" t="s">
        <v>57</v>
      </c>
      <c r="D59" s="4" t="s">
        <v>25</v>
      </c>
      <c r="E59" s="4" t="s">
        <v>25</v>
      </c>
      <c r="F59" s="4" t="s">
        <v>25</v>
      </c>
      <c r="G59" s="4" t="s">
        <v>60</v>
      </c>
      <c r="H59" s="4" t="s">
        <v>25</v>
      </c>
      <c r="I59" s="5">
        <v>44531</v>
      </c>
      <c r="J59" s="6">
        <v>1250</v>
      </c>
      <c r="K59" s="6">
        <v>625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4" t="s">
        <v>59</v>
      </c>
      <c r="R59" s="4">
        <v>29377</v>
      </c>
      <c r="S59" s="6">
        <v>17</v>
      </c>
      <c r="T59" s="6">
        <v>0</v>
      </c>
      <c r="U59" s="6">
        <v>0</v>
      </c>
      <c r="V59" s="6">
        <f>IF(ISERROR(VLOOKUP($S$59,'TAR FIN'!$A$1:$O$92,15,0)),0,VLOOKUP($S$59,'TAR FIN'!$A$1:$O$92,15,0))</f>
        <v>6.96</v>
      </c>
      <c r="W59" s="6">
        <f>IF(ISERROR(VLOOKUP($T$59,'TAR FIN'!$A$1:$O$92,15,0)),0,VLOOKUP($T$59,'TAR FIN'!$A$1:$O$92,15,0))</f>
        <v>0</v>
      </c>
      <c r="X59" s="6">
        <f>IF(ISERROR(VLOOKUP($U$59,'TAR FIN'!$A$1:$O$92,15,0)),0,VLOOKUP($U$59,'TAR FIN'!$A$1:$O$92,15,0))</f>
        <v>0</v>
      </c>
      <c r="Y59" s="6">
        <f ca="1">('TUSD BE'!$AM$13+'TUSD BF'!$AM$13+'TUSD CVA'!$AM$13)*1</f>
        <v>8.2896895560114423</v>
      </c>
      <c r="Z59" s="6"/>
      <c r="AA59" s="6"/>
      <c r="AB59" s="6">
        <f>$K$59*$V$59</f>
        <v>4350</v>
      </c>
      <c r="AC59" s="6">
        <f>$M$59*$W$59</f>
        <v>0</v>
      </c>
      <c r="AD59" s="6">
        <f>$O$59*$X$59</f>
        <v>0</v>
      </c>
      <c r="AE59" s="6">
        <f ca="1">$K$59*$Y$59</f>
        <v>5181.0559725071516</v>
      </c>
      <c r="AF59" s="6">
        <f>$M$59*$Z$59</f>
        <v>0</v>
      </c>
      <c r="AG59" s="6">
        <f>$O$59*$AA$59</f>
        <v>0</v>
      </c>
    </row>
    <row r="60" spans="1:33" ht="11.25" hidden="1" customHeight="1" x14ac:dyDescent="0.3">
      <c r="A60" s="4" t="s">
        <v>21</v>
      </c>
      <c r="B60" s="4" t="s">
        <v>34</v>
      </c>
      <c r="C60" s="4" t="s">
        <v>57</v>
      </c>
      <c r="D60" s="4" t="s">
        <v>25</v>
      </c>
      <c r="E60" s="4" t="s">
        <v>25</v>
      </c>
      <c r="F60" s="4" t="s">
        <v>25</v>
      </c>
      <c r="G60" s="4" t="s">
        <v>58</v>
      </c>
      <c r="H60" s="4" t="s">
        <v>25</v>
      </c>
      <c r="I60" s="5">
        <v>44562</v>
      </c>
      <c r="J60" s="6">
        <v>1500</v>
      </c>
      <c r="K60" s="6">
        <v>750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4" t="s">
        <v>59</v>
      </c>
      <c r="R60" s="4">
        <v>28195</v>
      </c>
      <c r="S60" s="6">
        <v>17</v>
      </c>
      <c r="T60" s="6">
        <v>0</v>
      </c>
      <c r="U60" s="6">
        <v>0</v>
      </c>
      <c r="V60" s="6">
        <f>IF(ISERROR(VLOOKUP($S$60,'TAR FIN'!$A$1:$O$92,15,0)),0,VLOOKUP($S$60,'TAR FIN'!$A$1:$O$92,15,0))</f>
        <v>6.96</v>
      </c>
      <c r="W60" s="6">
        <f>IF(ISERROR(VLOOKUP($T$60,'TAR FIN'!$A$1:$O$92,15,0)),0,VLOOKUP($T$60,'TAR FIN'!$A$1:$O$92,15,0))</f>
        <v>0</v>
      </c>
      <c r="X60" s="6">
        <f>IF(ISERROR(VLOOKUP($U$60,'TAR FIN'!$A$1:$O$92,15,0)),0,VLOOKUP($U$60,'TAR FIN'!$A$1:$O$92,15,0))</f>
        <v>0</v>
      </c>
      <c r="Y60" s="6">
        <f ca="1">('TUSD BE'!$AM$13+'TUSD BF'!$AM$13+'TUSD CVA'!$AM$13)*1</f>
        <v>8.2896895560114423</v>
      </c>
      <c r="Z60" s="6"/>
      <c r="AA60" s="6"/>
      <c r="AB60" s="6">
        <f>$K$60*$V$60</f>
        <v>5220</v>
      </c>
      <c r="AC60" s="6">
        <f>$M$60*$W$60</f>
        <v>0</v>
      </c>
      <c r="AD60" s="6">
        <f>$O$60*$X$60</f>
        <v>0</v>
      </c>
      <c r="AE60" s="6">
        <f ca="1">$K$60*$Y$60</f>
        <v>6217.267167008582</v>
      </c>
      <c r="AF60" s="6">
        <f>$M$60*$Z$60</f>
        <v>0</v>
      </c>
      <c r="AG60" s="6">
        <f>$O$60*$AA$60</f>
        <v>0</v>
      </c>
    </row>
    <row r="61" spans="1:33" ht="11.25" hidden="1" customHeight="1" x14ac:dyDescent="0.3">
      <c r="A61" s="4" t="s">
        <v>21</v>
      </c>
      <c r="B61" s="4" t="s">
        <v>34</v>
      </c>
      <c r="C61" s="4" t="s">
        <v>57</v>
      </c>
      <c r="D61" s="4" t="s">
        <v>25</v>
      </c>
      <c r="E61" s="4" t="s">
        <v>25</v>
      </c>
      <c r="F61" s="4" t="s">
        <v>25</v>
      </c>
      <c r="G61" s="4" t="s">
        <v>60</v>
      </c>
      <c r="H61" s="4" t="s">
        <v>25</v>
      </c>
      <c r="I61" s="5">
        <v>44562</v>
      </c>
      <c r="J61" s="6">
        <v>1250</v>
      </c>
      <c r="K61" s="6">
        <v>625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4" t="s">
        <v>59</v>
      </c>
      <c r="R61" s="4">
        <v>29377</v>
      </c>
      <c r="S61" s="6">
        <v>17</v>
      </c>
      <c r="T61" s="6">
        <v>0</v>
      </c>
      <c r="U61" s="6">
        <v>0</v>
      </c>
      <c r="V61" s="6">
        <f>IF(ISERROR(VLOOKUP($S$61,'TAR FIN'!$A$1:$O$92,15,0)),0,VLOOKUP($S$61,'TAR FIN'!$A$1:$O$92,15,0))</f>
        <v>6.96</v>
      </c>
      <c r="W61" s="6">
        <f>IF(ISERROR(VLOOKUP($T$61,'TAR FIN'!$A$1:$O$92,15,0)),0,VLOOKUP($T$61,'TAR FIN'!$A$1:$O$92,15,0))</f>
        <v>0</v>
      </c>
      <c r="X61" s="6">
        <f>IF(ISERROR(VLOOKUP($U$61,'TAR FIN'!$A$1:$O$92,15,0)),0,VLOOKUP($U$61,'TAR FIN'!$A$1:$O$92,15,0))</f>
        <v>0</v>
      </c>
      <c r="Y61" s="6">
        <f ca="1">('TUSD BE'!$AM$13+'TUSD BF'!$AM$13+'TUSD CVA'!$AM$13)*1</f>
        <v>8.2896895560114423</v>
      </c>
      <c r="Z61" s="6"/>
      <c r="AA61" s="6"/>
      <c r="AB61" s="6">
        <f>$K$61*$V$61</f>
        <v>4350</v>
      </c>
      <c r="AC61" s="6">
        <f>$M$61*$W$61</f>
        <v>0</v>
      </c>
      <c r="AD61" s="6">
        <f>$O$61*$X$61</f>
        <v>0</v>
      </c>
      <c r="AE61" s="6">
        <f ca="1">$K$61*$Y$61</f>
        <v>5181.0559725071516</v>
      </c>
      <c r="AF61" s="6">
        <f>$M$61*$Z$61</f>
        <v>0</v>
      </c>
      <c r="AG61" s="6">
        <f>$O$61*$AA$61</f>
        <v>0</v>
      </c>
    </row>
    <row r="62" spans="1:33" ht="11.25" hidden="1" customHeight="1" x14ac:dyDescent="0.3">
      <c r="A62" s="4" t="s">
        <v>21</v>
      </c>
      <c r="B62" s="4" t="s">
        <v>34</v>
      </c>
      <c r="C62" s="4" t="s">
        <v>57</v>
      </c>
      <c r="D62" s="4" t="s">
        <v>25</v>
      </c>
      <c r="E62" s="4" t="s">
        <v>25</v>
      </c>
      <c r="F62" s="4" t="s">
        <v>25</v>
      </c>
      <c r="G62" s="4" t="s">
        <v>58</v>
      </c>
      <c r="H62" s="4" t="s">
        <v>25</v>
      </c>
      <c r="I62" s="5">
        <v>44593</v>
      </c>
      <c r="J62" s="6">
        <v>1500</v>
      </c>
      <c r="K62" s="6">
        <v>750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59</v>
      </c>
      <c r="R62" s="4">
        <v>28195</v>
      </c>
      <c r="S62" s="6">
        <v>17</v>
      </c>
      <c r="T62" s="6">
        <v>0</v>
      </c>
      <c r="U62" s="6">
        <v>0</v>
      </c>
      <c r="V62" s="6">
        <f>IF(ISERROR(VLOOKUP($S$62,'TAR FIN'!$A$1:$O$92,15,0)),0,VLOOKUP($S$62,'TAR FIN'!$A$1:$O$92,15,0))</f>
        <v>6.96</v>
      </c>
      <c r="W62" s="6">
        <f>IF(ISERROR(VLOOKUP($T$62,'TAR FIN'!$A$1:$O$92,15,0)),0,VLOOKUP($T$62,'TAR FIN'!$A$1:$O$92,15,0))</f>
        <v>0</v>
      </c>
      <c r="X62" s="6">
        <f>IF(ISERROR(VLOOKUP($U$62,'TAR FIN'!$A$1:$O$92,15,0)),0,VLOOKUP($U$62,'TAR FIN'!$A$1:$O$92,15,0))</f>
        <v>0</v>
      </c>
      <c r="Y62" s="6">
        <f ca="1">('TUSD BE'!$AM$13+'TUSD BF'!$AM$13+'TUSD CVA'!$AM$13)*1</f>
        <v>8.2896895560114423</v>
      </c>
      <c r="Z62" s="6"/>
      <c r="AA62" s="6"/>
      <c r="AB62" s="6">
        <f>$K$62*$V$62</f>
        <v>5220</v>
      </c>
      <c r="AC62" s="6">
        <f>$M$62*$W$62</f>
        <v>0</v>
      </c>
      <c r="AD62" s="6">
        <f>$O$62*$X$62</f>
        <v>0</v>
      </c>
      <c r="AE62" s="6">
        <f ca="1">$K$62*$Y$62</f>
        <v>6217.267167008582</v>
      </c>
      <c r="AF62" s="6">
        <f>$M$62*$Z$62</f>
        <v>0</v>
      </c>
      <c r="AG62" s="6">
        <f>$O$62*$AA$62</f>
        <v>0</v>
      </c>
    </row>
    <row r="63" spans="1:33" ht="11.25" hidden="1" customHeight="1" x14ac:dyDescent="0.3">
      <c r="A63" s="4" t="s">
        <v>21</v>
      </c>
      <c r="B63" s="4" t="s">
        <v>34</v>
      </c>
      <c r="C63" s="4" t="s">
        <v>57</v>
      </c>
      <c r="D63" s="4" t="s">
        <v>25</v>
      </c>
      <c r="E63" s="4" t="s">
        <v>25</v>
      </c>
      <c r="F63" s="4" t="s">
        <v>25</v>
      </c>
      <c r="G63" s="4" t="s">
        <v>60</v>
      </c>
      <c r="H63" s="4" t="s">
        <v>25</v>
      </c>
      <c r="I63" s="5">
        <v>44593</v>
      </c>
      <c r="J63" s="6">
        <v>1250</v>
      </c>
      <c r="K63" s="6">
        <v>625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59</v>
      </c>
      <c r="R63" s="4">
        <v>29377</v>
      </c>
      <c r="S63" s="6">
        <v>17</v>
      </c>
      <c r="T63" s="6">
        <v>0</v>
      </c>
      <c r="U63" s="6">
        <v>0</v>
      </c>
      <c r="V63" s="6">
        <f>IF(ISERROR(VLOOKUP($S$63,'TAR FIN'!$A$1:$O$92,15,0)),0,VLOOKUP($S$63,'TAR FIN'!$A$1:$O$92,15,0))</f>
        <v>6.96</v>
      </c>
      <c r="W63" s="6">
        <f>IF(ISERROR(VLOOKUP($T$63,'TAR FIN'!$A$1:$O$92,15,0)),0,VLOOKUP($T$63,'TAR FIN'!$A$1:$O$92,15,0))</f>
        <v>0</v>
      </c>
      <c r="X63" s="6">
        <f>IF(ISERROR(VLOOKUP($U$63,'TAR FIN'!$A$1:$O$92,15,0)),0,VLOOKUP($U$63,'TAR FIN'!$A$1:$O$92,15,0))</f>
        <v>0</v>
      </c>
      <c r="Y63" s="6">
        <f ca="1">('TUSD BE'!$AM$13+'TUSD BF'!$AM$13+'TUSD CVA'!$AM$13)*1</f>
        <v>8.2896895560114423</v>
      </c>
      <c r="Z63" s="6"/>
      <c r="AA63" s="6"/>
      <c r="AB63" s="6">
        <f>$K$63*$V$63</f>
        <v>4350</v>
      </c>
      <c r="AC63" s="6">
        <f>$M$63*$W$63</f>
        <v>0</v>
      </c>
      <c r="AD63" s="6">
        <f>$O$63*$X$63</f>
        <v>0</v>
      </c>
      <c r="AE63" s="6">
        <f ca="1">$K$63*$Y$63</f>
        <v>5181.0559725071516</v>
      </c>
      <c r="AF63" s="6">
        <f>$M$63*$Z$63</f>
        <v>0</v>
      </c>
      <c r="AG63" s="6">
        <f>$O$63*$AA$63</f>
        <v>0</v>
      </c>
    </row>
    <row r="64" spans="1:33" ht="11.25" hidden="1" customHeight="1" x14ac:dyDescent="0.3">
      <c r="A64" s="4" t="s">
        <v>21</v>
      </c>
      <c r="B64" s="4" t="s">
        <v>34</v>
      </c>
      <c r="C64" s="4" t="s">
        <v>57</v>
      </c>
      <c r="D64" s="4" t="s">
        <v>25</v>
      </c>
      <c r="E64" s="4" t="s">
        <v>25</v>
      </c>
      <c r="F64" s="4" t="s">
        <v>25</v>
      </c>
      <c r="G64" s="4" t="s">
        <v>58</v>
      </c>
      <c r="H64" s="4" t="s">
        <v>25</v>
      </c>
      <c r="I64" s="5">
        <v>44621</v>
      </c>
      <c r="J64" s="6">
        <v>1500</v>
      </c>
      <c r="K64" s="6">
        <v>750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59</v>
      </c>
      <c r="R64" s="4">
        <v>28195</v>
      </c>
      <c r="S64" s="6">
        <v>17</v>
      </c>
      <c r="T64" s="6">
        <v>0</v>
      </c>
      <c r="U64" s="6">
        <v>0</v>
      </c>
      <c r="V64" s="6">
        <f>IF(ISERROR(VLOOKUP($S$64,'TAR FIN'!$A$1:$O$92,15,0)),0,VLOOKUP($S$64,'TAR FIN'!$A$1:$O$92,15,0))</f>
        <v>6.96</v>
      </c>
      <c r="W64" s="6">
        <f>IF(ISERROR(VLOOKUP($T$64,'TAR FIN'!$A$1:$O$92,15,0)),0,VLOOKUP($T$64,'TAR FIN'!$A$1:$O$92,15,0))</f>
        <v>0</v>
      </c>
      <c r="X64" s="6">
        <f>IF(ISERROR(VLOOKUP($U$64,'TAR FIN'!$A$1:$O$92,15,0)),0,VLOOKUP($U$64,'TAR FIN'!$A$1:$O$92,15,0))</f>
        <v>0</v>
      </c>
      <c r="Y64" s="6">
        <f ca="1">('TUSD BE'!$AM$13+'TUSD BF'!$AM$13+'TUSD CVA'!$AM$13)*1</f>
        <v>8.2896895560114423</v>
      </c>
      <c r="Z64" s="6"/>
      <c r="AA64" s="6"/>
      <c r="AB64" s="6">
        <f>$K$64*$V$64</f>
        <v>5220</v>
      </c>
      <c r="AC64" s="6">
        <f>$M$64*$W$64</f>
        <v>0</v>
      </c>
      <c r="AD64" s="6">
        <f>$O$64*$X$64</f>
        <v>0</v>
      </c>
      <c r="AE64" s="6">
        <f ca="1">$K$64*$Y$64</f>
        <v>6217.267167008582</v>
      </c>
      <c r="AF64" s="6">
        <f>$M$64*$Z$64</f>
        <v>0</v>
      </c>
      <c r="AG64" s="6">
        <f>$O$64*$AA$64</f>
        <v>0</v>
      </c>
    </row>
    <row r="65" spans="1:33" ht="11.25" hidden="1" customHeight="1" x14ac:dyDescent="0.3">
      <c r="A65" s="4" t="s">
        <v>21</v>
      </c>
      <c r="B65" s="4" t="s">
        <v>34</v>
      </c>
      <c r="C65" s="4" t="s">
        <v>57</v>
      </c>
      <c r="D65" s="4" t="s">
        <v>25</v>
      </c>
      <c r="E65" s="4" t="s">
        <v>25</v>
      </c>
      <c r="F65" s="4" t="s">
        <v>25</v>
      </c>
      <c r="G65" s="4" t="s">
        <v>60</v>
      </c>
      <c r="H65" s="4" t="s">
        <v>25</v>
      </c>
      <c r="I65" s="5">
        <v>44621</v>
      </c>
      <c r="J65" s="6">
        <v>1250</v>
      </c>
      <c r="K65" s="6">
        <v>625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59</v>
      </c>
      <c r="R65" s="4">
        <v>29377</v>
      </c>
      <c r="S65" s="6">
        <v>17</v>
      </c>
      <c r="T65" s="6">
        <v>0</v>
      </c>
      <c r="U65" s="6">
        <v>0</v>
      </c>
      <c r="V65" s="6">
        <f>IF(ISERROR(VLOOKUP($S$65,'TAR FIN'!$A$1:$O$92,15,0)),0,VLOOKUP($S$65,'TAR FIN'!$A$1:$O$92,15,0))</f>
        <v>6.96</v>
      </c>
      <c r="W65" s="6">
        <f>IF(ISERROR(VLOOKUP($T$65,'TAR FIN'!$A$1:$O$92,15,0)),0,VLOOKUP($T$65,'TAR FIN'!$A$1:$O$92,15,0))</f>
        <v>0</v>
      </c>
      <c r="X65" s="6">
        <f>IF(ISERROR(VLOOKUP($U$65,'TAR FIN'!$A$1:$O$92,15,0)),0,VLOOKUP($U$65,'TAR FIN'!$A$1:$O$92,15,0))</f>
        <v>0</v>
      </c>
      <c r="Y65" s="6">
        <f ca="1">('TUSD BE'!$AM$13+'TUSD BF'!$AM$13+'TUSD CVA'!$AM$13)*1</f>
        <v>8.2896895560114423</v>
      </c>
      <c r="Z65" s="6"/>
      <c r="AA65" s="6"/>
      <c r="AB65" s="6">
        <f>$K$65*$V$65</f>
        <v>4350</v>
      </c>
      <c r="AC65" s="6">
        <f>$M$65*$W$65</f>
        <v>0</v>
      </c>
      <c r="AD65" s="6">
        <f>$O$65*$X$65</f>
        <v>0</v>
      </c>
      <c r="AE65" s="6">
        <f ca="1">$K$65*$Y$65</f>
        <v>5181.0559725071516</v>
      </c>
      <c r="AF65" s="6">
        <f>$M$65*$Z$65</f>
        <v>0</v>
      </c>
      <c r="AG65" s="6">
        <f>$O$65*$AA$65</f>
        <v>0</v>
      </c>
    </row>
    <row r="66" spans="1:33" ht="11.25" hidden="1" customHeight="1" x14ac:dyDescent="0.3">
      <c r="A66" s="4" t="s">
        <v>21</v>
      </c>
      <c r="B66" s="4" t="s">
        <v>34</v>
      </c>
      <c r="C66" s="4" t="s">
        <v>57</v>
      </c>
      <c r="D66" s="4" t="s">
        <v>25</v>
      </c>
      <c r="E66" s="4" t="s">
        <v>25</v>
      </c>
      <c r="F66" s="4" t="s">
        <v>25</v>
      </c>
      <c r="G66" s="4" t="s">
        <v>58</v>
      </c>
      <c r="H66" s="4" t="s">
        <v>25</v>
      </c>
      <c r="I66" s="5">
        <v>44652</v>
      </c>
      <c r="J66" s="6">
        <v>1500</v>
      </c>
      <c r="K66" s="6">
        <v>750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59</v>
      </c>
      <c r="R66" s="4">
        <v>28195</v>
      </c>
      <c r="S66" s="6">
        <v>17</v>
      </c>
      <c r="T66" s="6">
        <v>0</v>
      </c>
      <c r="U66" s="6">
        <v>0</v>
      </c>
      <c r="V66" s="6">
        <f>IF(ISERROR(VLOOKUP($S$66,'TAR FIN'!$A$1:$O$92,15,0)),0,VLOOKUP($S$66,'TAR FIN'!$A$1:$O$92,15,0))</f>
        <v>6.96</v>
      </c>
      <c r="W66" s="6">
        <f>IF(ISERROR(VLOOKUP($T$66,'TAR FIN'!$A$1:$O$92,15,0)),0,VLOOKUP($T$66,'TAR FIN'!$A$1:$O$92,15,0))</f>
        <v>0</v>
      </c>
      <c r="X66" s="6">
        <f>IF(ISERROR(VLOOKUP($U$66,'TAR FIN'!$A$1:$O$92,15,0)),0,VLOOKUP($U$66,'TAR FIN'!$A$1:$O$92,15,0))</f>
        <v>0</v>
      </c>
      <c r="Y66" s="6">
        <f ca="1">('TUSD BE'!$AM$13+'TUSD BF'!$AM$13+'TUSD CVA'!$AM$13)*1</f>
        <v>8.2896895560114423</v>
      </c>
      <c r="Z66" s="6"/>
      <c r="AA66" s="6"/>
      <c r="AB66" s="6">
        <f>$K$66*$V$66</f>
        <v>5220</v>
      </c>
      <c r="AC66" s="6">
        <f>$M$66*$W$66</f>
        <v>0</v>
      </c>
      <c r="AD66" s="6">
        <f>$O$66*$X$66</f>
        <v>0</v>
      </c>
      <c r="AE66" s="6">
        <f ca="1">$K$66*$Y$66</f>
        <v>6217.267167008582</v>
      </c>
      <c r="AF66" s="6">
        <f>$M$66*$Z$66</f>
        <v>0</v>
      </c>
      <c r="AG66" s="6">
        <f>$O$66*$AA$66</f>
        <v>0</v>
      </c>
    </row>
    <row r="67" spans="1:33" ht="11.25" hidden="1" customHeight="1" x14ac:dyDescent="0.3">
      <c r="A67" s="4" t="s">
        <v>21</v>
      </c>
      <c r="B67" s="4" t="s">
        <v>34</v>
      </c>
      <c r="C67" s="4" t="s">
        <v>57</v>
      </c>
      <c r="D67" s="4" t="s">
        <v>25</v>
      </c>
      <c r="E67" s="4" t="s">
        <v>25</v>
      </c>
      <c r="F67" s="4" t="s">
        <v>25</v>
      </c>
      <c r="G67" s="4" t="s">
        <v>60</v>
      </c>
      <c r="H67" s="4" t="s">
        <v>25</v>
      </c>
      <c r="I67" s="5">
        <v>44652</v>
      </c>
      <c r="J67" s="6">
        <v>1250</v>
      </c>
      <c r="K67" s="6">
        <v>625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59</v>
      </c>
      <c r="R67" s="4">
        <v>29377</v>
      </c>
      <c r="S67" s="6">
        <v>17</v>
      </c>
      <c r="T67" s="6">
        <v>0</v>
      </c>
      <c r="U67" s="6">
        <v>0</v>
      </c>
      <c r="V67" s="6">
        <f>IF(ISERROR(VLOOKUP($S$67,'TAR FIN'!$A$1:$O$92,15,0)),0,VLOOKUP($S$67,'TAR FIN'!$A$1:$O$92,15,0))</f>
        <v>6.96</v>
      </c>
      <c r="W67" s="6">
        <f>IF(ISERROR(VLOOKUP($T$67,'TAR FIN'!$A$1:$O$92,15,0)),0,VLOOKUP($T$67,'TAR FIN'!$A$1:$O$92,15,0))</f>
        <v>0</v>
      </c>
      <c r="X67" s="6">
        <f>IF(ISERROR(VLOOKUP($U$67,'TAR FIN'!$A$1:$O$92,15,0)),0,VLOOKUP($U$67,'TAR FIN'!$A$1:$O$92,15,0))</f>
        <v>0</v>
      </c>
      <c r="Y67" s="6">
        <f ca="1">('TUSD BE'!$AM$13+'TUSD BF'!$AM$13+'TUSD CVA'!$AM$13)*1</f>
        <v>8.2896895560114423</v>
      </c>
      <c r="Z67" s="6"/>
      <c r="AA67" s="6"/>
      <c r="AB67" s="6">
        <f>$K$67*$V$67</f>
        <v>4350</v>
      </c>
      <c r="AC67" s="6">
        <f>$M$67*$W$67</f>
        <v>0</v>
      </c>
      <c r="AD67" s="6">
        <f>$O$67*$X$67</f>
        <v>0</v>
      </c>
      <c r="AE67" s="6">
        <f ca="1">$K$67*$Y$67</f>
        <v>5181.0559725071516</v>
      </c>
      <c r="AF67" s="6">
        <f>$M$67*$Z$67</f>
        <v>0</v>
      </c>
      <c r="AG67" s="6">
        <f>$O$67*$AA$67</f>
        <v>0</v>
      </c>
    </row>
    <row r="68" spans="1:33" ht="11.25" hidden="1" customHeight="1" x14ac:dyDescent="0.3">
      <c r="A68" s="4" t="s">
        <v>21</v>
      </c>
      <c r="B68" s="4" t="s">
        <v>34</v>
      </c>
      <c r="C68" s="4" t="s">
        <v>57</v>
      </c>
      <c r="D68" s="4" t="s">
        <v>25</v>
      </c>
      <c r="E68" s="4" t="s">
        <v>25</v>
      </c>
      <c r="F68" s="4" t="s">
        <v>25</v>
      </c>
      <c r="G68" s="4" t="s">
        <v>58</v>
      </c>
      <c r="H68" s="4" t="s">
        <v>25</v>
      </c>
      <c r="I68" s="5">
        <v>44682</v>
      </c>
      <c r="J68" s="6">
        <v>1500</v>
      </c>
      <c r="K68" s="6">
        <v>750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59</v>
      </c>
      <c r="R68" s="4">
        <v>28195</v>
      </c>
      <c r="S68" s="6">
        <v>17</v>
      </c>
      <c r="T68" s="6">
        <v>0</v>
      </c>
      <c r="U68" s="6">
        <v>0</v>
      </c>
      <c r="V68" s="6">
        <f>IF(ISERROR(VLOOKUP($S$68,'TAR FIN'!$A$1:$O$92,15,0)),0,VLOOKUP($S$68,'TAR FIN'!$A$1:$O$92,15,0))</f>
        <v>6.96</v>
      </c>
      <c r="W68" s="6">
        <f>IF(ISERROR(VLOOKUP($T$68,'TAR FIN'!$A$1:$O$92,15,0)),0,VLOOKUP($T$68,'TAR FIN'!$A$1:$O$92,15,0))</f>
        <v>0</v>
      </c>
      <c r="X68" s="6">
        <f>IF(ISERROR(VLOOKUP($U$68,'TAR FIN'!$A$1:$O$92,15,0)),0,VLOOKUP($U$68,'TAR FIN'!$A$1:$O$92,15,0))</f>
        <v>0</v>
      </c>
      <c r="Y68" s="6">
        <f ca="1">('TUSD BE'!$AM$13+'TUSD BF'!$AM$13+'TUSD CVA'!$AM$13)*1</f>
        <v>8.2896895560114423</v>
      </c>
      <c r="Z68" s="6"/>
      <c r="AA68" s="6"/>
      <c r="AB68" s="6">
        <f>$K$68*$V$68</f>
        <v>5220</v>
      </c>
      <c r="AC68" s="6">
        <f>$M$68*$W$68</f>
        <v>0</v>
      </c>
      <c r="AD68" s="6">
        <f>$O$68*$X$68</f>
        <v>0</v>
      </c>
      <c r="AE68" s="6">
        <f ca="1">$K$68*$Y$68</f>
        <v>6217.267167008582</v>
      </c>
      <c r="AF68" s="6">
        <f>$M$68*$Z$68</f>
        <v>0</v>
      </c>
      <c r="AG68" s="6">
        <f>$O$68*$AA$68</f>
        <v>0</v>
      </c>
    </row>
    <row r="69" spans="1:33" ht="11.25" hidden="1" customHeight="1" x14ac:dyDescent="0.3">
      <c r="A69" s="4" t="s">
        <v>21</v>
      </c>
      <c r="B69" s="4" t="s">
        <v>34</v>
      </c>
      <c r="C69" s="4" t="s">
        <v>57</v>
      </c>
      <c r="D69" s="4" t="s">
        <v>25</v>
      </c>
      <c r="E69" s="4" t="s">
        <v>25</v>
      </c>
      <c r="F69" s="4" t="s">
        <v>25</v>
      </c>
      <c r="G69" s="4" t="s">
        <v>60</v>
      </c>
      <c r="H69" s="4" t="s">
        <v>25</v>
      </c>
      <c r="I69" s="5">
        <v>44682</v>
      </c>
      <c r="J69" s="6">
        <v>1250</v>
      </c>
      <c r="K69" s="6">
        <v>625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59</v>
      </c>
      <c r="R69" s="4">
        <v>29377</v>
      </c>
      <c r="S69" s="6">
        <v>17</v>
      </c>
      <c r="T69" s="6">
        <v>0</v>
      </c>
      <c r="U69" s="6">
        <v>0</v>
      </c>
      <c r="V69" s="6">
        <f>IF(ISERROR(VLOOKUP($S$69,'TAR FIN'!$A$1:$O$92,15,0)),0,VLOOKUP($S$69,'TAR FIN'!$A$1:$O$92,15,0))</f>
        <v>6.96</v>
      </c>
      <c r="W69" s="6">
        <f>IF(ISERROR(VLOOKUP($T$69,'TAR FIN'!$A$1:$O$92,15,0)),0,VLOOKUP($T$69,'TAR FIN'!$A$1:$O$92,15,0))</f>
        <v>0</v>
      </c>
      <c r="X69" s="6">
        <f>IF(ISERROR(VLOOKUP($U$69,'TAR FIN'!$A$1:$O$92,15,0)),0,VLOOKUP($U$69,'TAR FIN'!$A$1:$O$92,15,0))</f>
        <v>0</v>
      </c>
      <c r="Y69" s="6">
        <f ca="1">('TUSD BE'!$AM$13+'TUSD BF'!$AM$13+'TUSD CVA'!$AM$13)*1</f>
        <v>8.2896895560114423</v>
      </c>
      <c r="Z69" s="6"/>
      <c r="AA69" s="6"/>
      <c r="AB69" s="6">
        <f>$K$69*$V$69</f>
        <v>4350</v>
      </c>
      <c r="AC69" s="6">
        <f>$M$69*$W$69</f>
        <v>0</v>
      </c>
      <c r="AD69" s="6">
        <f>$O$69*$X$69</f>
        <v>0</v>
      </c>
      <c r="AE69" s="6">
        <f ca="1">$K$69*$Y$69</f>
        <v>5181.0559725071516</v>
      </c>
      <c r="AF69" s="6">
        <f>$M$69*$Z$69</f>
        <v>0</v>
      </c>
      <c r="AG69" s="6">
        <f>$O$69*$AA$69</f>
        <v>0</v>
      </c>
    </row>
    <row r="70" spans="1:33" ht="11.25" hidden="1" customHeight="1" x14ac:dyDescent="0.3">
      <c r="A70" s="4" t="s">
        <v>21</v>
      </c>
      <c r="B70" s="4" t="s">
        <v>34</v>
      </c>
      <c r="C70" s="4" t="s">
        <v>57</v>
      </c>
      <c r="D70" s="4" t="s">
        <v>25</v>
      </c>
      <c r="E70" s="4" t="s">
        <v>25</v>
      </c>
      <c r="F70" s="4" t="s">
        <v>25</v>
      </c>
      <c r="G70" s="4" t="s">
        <v>58</v>
      </c>
      <c r="H70" s="4" t="s">
        <v>25</v>
      </c>
      <c r="I70" s="5">
        <v>44713</v>
      </c>
      <c r="J70" s="6">
        <v>1500</v>
      </c>
      <c r="K70" s="6">
        <v>750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59</v>
      </c>
      <c r="R70" s="4">
        <v>28195</v>
      </c>
      <c r="S70" s="6">
        <v>17</v>
      </c>
      <c r="T70" s="6">
        <v>0</v>
      </c>
      <c r="U70" s="6">
        <v>0</v>
      </c>
      <c r="V70" s="6">
        <f>IF(ISERROR(VLOOKUP($S$70,'TAR FIN'!$A$1:$O$92,15,0)),0,VLOOKUP($S$70,'TAR FIN'!$A$1:$O$92,15,0))</f>
        <v>6.96</v>
      </c>
      <c r="W70" s="6">
        <f>IF(ISERROR(VLOOKUP($T$70,'TAR FIN'!$A$1:$O$92,15,0)),0,VLOOKUP($T$70,'TAR FIN'!$A$1:$O$92,15,0))</f>
        <v>0</v>
      </c>
      <c r="X70" s="6">
        <f>IF(ISERROR(VLOOKUP($U$70,'TAR FIN'!$A$1:$O$92,15,0)),0,VLOOKUP($U$70,'TAR FIN'!$A$1:$O$92,15,0))</f>
        <v>0</v>
      </c>
      <c r="Y70" s="6">
        <f ca="1">('TUSD BE'!$AM$13+'TUSD BF'!$AM$13+'TUSD CVA'!$AM$13)*1</f>
        <v>8.2896895560114423</v>
      </c>
      <c r="Z70" s="6"/>
      <c r="AA70" s="6"/>
      <c r="AB70" s="6">
        <f>$K$70*$V$70</f>
        <v>5220</v>
      </c>
      <c r="AC70" s="6">
        <f>$M$70*$W$70</f>
        <v>0</v>
      </c>
      <c r="AD70" s="6">
        <f>$O$70*$X$70</f>
        <v>0</v>
      </c>
      <c r="AE70" s="6">
        <f ca="1">$K$70*$Y$70</f>
        <v>6217.267167008582</v>
      </c>
      <c r="AF70" s="6">
        <f>$M$70*$Z$70</f>
        <v>0</v>
      </c>
      <c r="AG70" s="6">
        <f>$O$70*$AA$70</f>
        <v>0</v>
      </c>
    </row>
    <row r="71" spans="1:33" ht="11.25" hidden="1" customHeight="1" x14ac:dyDescent="0.3">
      <c r="A71" s="4" t="s">
        <v>21</v>
      </c>
      <c r="B71" s="4" t="s">
        <v>34</v>
      </c>
      <c r="C71" s="4" t="s">
        <v>57</v>
      </c>
      <c r="D71" s="4" t="s">
        <v>25</v>
      </c>
      <c r="E71" s="4" t="s">
        <v>25</v>
      </c>
      <c r="F71" s="4" t="s">
        <v>25</v>
      </c>
      <c r="G71" s="4" t="s">
        <v>60</v>
      </c>
      <c r="H71" s="4" t="s">
        <v>25</v>
      </c>
      <c r="I71" s="5">
        <v>44713</v>
      </c>
      <c r="J71" s="6">
        <v>1250</v>
      </c>
      <c r="K71" s="6">
        <v>625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59</v>
      </c>
      <c r="R71" s="4">
        <v>29377</v>
      </c>
      <c r="S71" s="6">
        <v>17</v>
      </c>
      <c r="T71" s="6">
        <v>0</v>
      </c>
      <c r="U71" s="6">
        <v>0</v>
      </c>
      <c r="V71" s="6">
        <f>IF(ISERROR(VLOOKUP($S$71,'TAR FIN'!$A$1:$O$92,15,0)),0,VLOOKUP($S$71,'TAR FIN'!$A$1:$O$92,15,0))</f>
        <v>6.96</v>
      </c>
      <c r="W71" s="6">
        <f>IF(ISERROR(VLOOKUP($T$71,'TAR FIN'!$A$1:$O$92,15,0)),0,VLOOKUP($T$71,'TAR FIN'!$A$1:$O$92,15,0))</f>
        <v>0</v>
      </c>
      <c r="X71" s="6">
        <f>IF(ISERROR(VLOOKUP($U$71,'TAR FIN'!$A$1:$O$92,15,0)),0,VLOOKUP($U$71,'TAR FIN'!$A$1:$O$92,15,0))</f>
        <v>0</v>
      </c>
      <c r="Y71" s="6">
        <f ca="1">('TUSD BE'!$AM$13+'TUSD BF'!$AM$13+'TUSD CVA'!$AM$13)*1</f>
        <v>8.2896895560114423</v>
      </c>
      <c r="Z71" s="6"/>
      <c r="AA71" s="6"/>
      <c r="AB71" s="6">
        <f>$K$71*$V$71</f>
        <v>4350</v>
      </c>
      <c r="AC71" s="6">
        <f>$M$71*$W$71</f>
        <v>0</v>
      </c>
      <c r="AD71" s="6">
        <f>$O$71*$X$71</f>
        <v>0</v>
      </c>
      <c r="AE71" s="6">
        <f ca="1">$K$71*$Y$71</f>
        <v>5181.0559725071516</v>
      </c>
      <c r="AF71" s="6">
        <f>$M$71*$Z$71</f>
        <v>0</v>
      </c>
      <c r="AG71" s="6">
        <f>$O$71*$AA$71</f>
        <v>0</v>
      </c>
    </row>
    <row r="72" spans="1:33" ht="11.25" hidden="1" customHeight="1" x14ac:dyDescent="0.3">
      <c r="A72" s="4" t="s">
        <v>21</v>
      </c>
      <c r="B72" s="4" t="s">
        <v>34</v>
      </c>
      <c r="C72" s="4" t="s">
        <v>57</v>
      </c>
      <c r="D72" s="4" t="s">
        <v>25</v>
      </c>
      <c r="E72" s="4" t="s">
        <v>25</v>
      </c>
      <c r="F72" s="4" t="s">
        <v>25</v>
      </c>
      <c r="G72" s="4" t="s">
        <v>58</v>
      </c>
      <c r="H72" s="4" t="s">
        <v>25</v>
      </c>
      <c r="I72" s="5">
        <v>44743</v>
      </c>
      <c r="J72" s="6">
        <v>1500</v>
      </c>
      <c r="K72" s="6">
        <v>750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59</v>
      </c>
      <c r="R72" s="4">
        <v>28195</v>
      </c>
      <c r="S72" s="6">
        <v>17</v>
      </c>
      <c r="T72" s="6">
        <v>0</v>
      </c>
      <c r="U72" s="6">
        <v>0</v>
      </c>
      <c r="V72" s="6">
        <f>IF(ISERROR(VLOOKUP($S$72,'TAR FIN'!$A$1:$O$92,15,0)),0,VLOOKUP($S$72,'TAR FIN'!$A$1:$O$92,15,0))</f>
        <v>6.96</v>
      </c>
      <c r="W72" s="6">
        <f>IF(ISERROR(VLOOKUP($T$72,'TAR FIN'!$A$1:$O$92,15,0)),0,VLOOKUP($T$72,'TAR FIN'!$A$1:$O$92,15,0))</f>
        <v>0</v>
      </c>
      <c r="X72" s="6">
        <f>IF(ISERROR(VLOOKUP($U$72,'TAR FIN'!$A$1:$O$92,15,0)),0,VLOOKUP($U$72,'TAR FIN'!$A$1:$O$92,15,0))</f>
        <v>0</v>
      </c>
      <c r="Y72" s="6">
        <f ca="1">('TUSD BE'!$AM$13+'TUSD BF'!$AM$13+'TUSD CVA'!$AM$13)*1</f>
        <v>8.2896895560114423</v>
      </c>
      <c r="Z72" s="6"/>
      <c r="AA72" s="6"/>
      <c r="AB72" s="6">
        <f>$K$72*$V$72</f>
        <v>5220</v>
      </c>
      <c r="AC72" s="6">
        <f>$M$72*$W$72</f>
        <v>0</v>
      </c>
      <c r="AD72" s="6">
        <f>$O$72*$X$72</f>
        <v>0</v>
      </c>
      <c r="AE72" s="6">
        <f ca="1">$K$72*$Y$72</f>
        <v>6217.267167008582</v>
      </c>
      <c r="AF72" s="6">
        <f>$M$72*$Z$72</f>
        <v>0</v>
      </c>
      <c r="AG72" s="6">
        <f>$O$72*$AA$72</f>
        <v>0</v>
      </c>
    </row>
    <row r="73" spans="1:33" ht="11.25" hidden="1" customHeight="1" x14ac:dyDescent="0.3">
      <c r="A73" s="4" t="s">
        <v>21</v>
      </c>
      <c r="B73" s="4" t="s">
        <v>34</v>
      </c>
      <c r="C73" s="4" t="s">
        <v>57</v>
      </c>
      <c r="D73" s="4" t="s">
        <v>25</v>
      </c>
      <c r="E73" s="4" t="s">
        <v>25</v>
      </c>
      <c r="F73" s="4" t="s">
        <v>25</v>
      </c>
      <c r="G73" s="4" t="s">
        <v>60</v>
      </c>
      <c r="H73" s="4" t="s">
        <v>25</v>
      </c>
      <c r="I73" s="5">
        <v>44743</v>
      </c>
      <c r="J73" s="6">
        <v>1250</v>
      </c>
      <c r="K73" s="6">
        <v>625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59</v>
      </c>
      <c r="R73" s="4">
        <v>29377</v>
      </c>
      <c r="S73" s="6">
        <v>17</v>
      </c>
      <c r="T73" s="6">
        <v>0</v>
      </c>
      <c r="U73" s="6">
        <v>0</v>
      </c>
      <c r="V73" s="6">
        <f>IF(ISERROR(VLOOKUP($S$73,'TAR FIN'!$A$1:$O$92,15,0)),0,VLOOKUP($S$73,'TAR FIN'!$A$1:$O$92,15,0))</f>
        <v>6.96</v>
      </c>
      <c r="W73" s="6">
        <f>IF(ISERROR(VLOOKUP($T$73,'TAR FIN'!$A$1:$O$92,15,0)),0,VLOOKUP($T$73,'TAR FIN'!$A$1:$O$92,15,0))</f>
        <v>0</v>
      </c>
      <c r="X73" s="6">
        <f>IF(ISERROR(VLOOKUP($U$73,'TAR FIN'!$A$1:$O$92,15,0)),0,VLOOKUP($U$73,'TAR FIN'!$A$1:$O$92,15,0))</f>
        <v>0</v>
      </c>
      <c r="Y73" s="6">
        <f ca="1">('TUSD BE'!$AM$13+'TUSD BF'!$AM$13+'TUSD CVA'!$AM$13)*1</f>
        <v>8.2896895560114423</v>
      </c>
      <c r="Z73" s="6"/>
      <c r="AA73" s="6"/>
      <c r="AB73" s="6">
        <f>$K$73*$V$73</f>
        <v>4350</v>
      </c>
      <c r="AC73" s="6">
        <f>$M$73*$W$73</f>
        <v>0</v>
      </c>
      <c r="AD73" s="6">
        <f>$O$73*$X$73</f>
        <v>0</v>
      </c>
      <c r="AE73" s="6">
        <f ca="1">$K$73*$Y$73</f>
        <v>5181.0559725071516</v>
      </c>
      <c r="AF73" s="6">
        <f>$M$73*$Z$73</f>
        <v>0</v>
      </c>
      <c r="AG73" s="6">
        <f>$O$73*$AA$73</f>
        <v>0</v>
      </c>
    </row>
    <row r="74" spans="1:33" ht="11.25" hidden="1" customHeight="1" x14ac:dyDescent="0.3">
      <c r="A74" s="4" t="s">
        <v>21</v>
      </c>
      <c r="B74" s="4" t="s">
        <v>34</v>
      </c>
      <c r="C74" s="4" t="s">
        <v>35</v>
      </c>
      <c r="D74" s="4" t="s">
        <v>40</v>
      </c>
      <c r="E74" s="4" t="s">
        <v>25</v>
      </c>
      <c r="F74" s="4" t="s">
        <v>25</v>
      </c>
      <c r="G74" s="4" t="s">
        <v>25</v>
      </c>
      <c r="H74" s="4" t="s">
        <v>37</v>
      </c>
      <c r="I74" s="5">
        <v>44409</v>
      </c>
      <c r="J74" s="6">
        <v>0</v>
      </c>
      <c r="K74" s="6">
        <v>0</v>
      </c>
      <c r="L74" s="6">
        <v>41.445</v>
      </c>
      <c r="M74" s="6">
        <v>41.445</v>
      </c>
      <c r="N74" s="6">
        <v>41.445</v>
      </c>
      <c r="O74" s="6">
        <v>41.445</v>
      </c>
      <c r="P74" s="6">
        <v>0</v>
      </c>
      <c r="Q74" s="4" t="s">
        <v>26</v>
      </c>
      <c r="R74" s="4">
        <v>0</v>
      </c>
      <c r="S74" s="6">
        <v>0</v>
      </c>
      <c r="T74" s="6">
        <v>22</v>
      </c>
      <c r="U74" s="6">
        <v>84</v>
      </c>
      <c r="V74" s="6">
        <f>IF(ISERROR(VLOOKUP($S$74,'TAR FIN'!$A$1:$O$92,15,0)),0,VLOOKUP($S$74,'TAR FIN'!$A$1:$O$92,15,0))</f>
        <v>0</v>
      </c>
      <c r="W74" s="6">
        <f>IF(ISERROR(VLOOKUP($T$74,'TAR FIN'!$A$1:$O$92,15,0)),0,VLOOKUP($T$74,'TAR FIN'!$A$1:$O$92,15,0))</f>
        <v>73.28</v>
      </c>
      <c r="X74" s="6">
        <f>IF(ISERROR(VLOOKUP($U$74,'TAR FIN'!$A$1:$O$92,15,0)),0,VLOOKUP($U$74,'TAR FIN'!$A$1:$O$92,15,0))</f>
        <v>286.76</v>
      </c>
      <c r="Y74" s="6"/>
      <c r="Z74" s="6">
        <f ca="1">('TUSD BE'!$AM$16+'TUSD BF'!$AM$16+'TUSD CVA'!$AM$16)*1</f>
        <v>139.98967941887983</v>
      </c>
      <c r="AA74" s="6">
        <f>('TE BE'!$AB$8+'TE BF'!$AB$8+'TE CVA'!$AB$8)*1</f>
        <v>271.35516669689775</v>
      </c>
      <c r="AB74" s="6">
        <f>$K$74*$V$74</f>
        <v>0</v>
      </c>
      <c r="AC74" s="6">
        <f>$M$74*$W$74</f>
        <v>3037.0896000000002</v>
      </c>
      <c r="AD74" s="6">
        <f>$O$74*$X$74</f>
        <v>11884.7682</v>
      </c>
      <c r="AE74" s="6">
        <f>$K$74*$Y$74</f>
        <v>0</v>
      </c>
      <c r="AF74" s="6">
        <f ca="1">$M$74*$Z$74</f>
        <v>5801.8722635154745</v>
      </c>
      <c r="AG74" s="6">
        <f>$O$74*$AA$74</f>
        <v>11246.314883752928</v>
      </c>
    </row>
    <row r="75" spans="1:33" ht="11.25" hidden="1" customHeight="1" x14ac:dyDescent="0.3">
      <c r="A75" s="4" t="s">
        <v>27</v>
      </c>
      <c r="B75" s="4" t="s">
        <v>34</v>
      </c>
      <c r="C75" s="4" t="s">
        <v>35</v>
      </c>
      <c r="D75" s="4" t="s">
        <v>40</v>
      </c>
      <c r="E75" s="4" t="s">
        <v>25</v>
      </c>
      <c r="F75" s="4" t="s">
        <v>25</v>
      </c>
      <c r="G75" s="4" t="s">
        <v>25</v>
      </c>
      <c r="H75" s="4" t="s">
        <v>37</v>
      </c>
      <c r="I75" s="5">
        <v>44409</v>
      </c>
      <c r="J75" s="6">
        <v>0</v>
      </c>
      <c r="K75" s="6">
        <v>0</v>
      </c>
      <c r="L75" s="6">
        <v>6.4008000000000003</v>
      </c>
      <c r="M75" s="6">
        <v>6.4008000000000003</v>
      </c>
      <c r="N75" s="6">
        <v>6.4008000000000003</v>
      </c>
      <c r="O75" s="6">
        <v>6.4008000000000003</v>
      </c>
      <c r="P75" s="6">
        <v>0</v>
      </c>
      <c r="Q75" s="4" t="s">
        <v>26</v>
      </c>
      <c r="R75" s="4">
        <v>0</v>
      </c>
      <c r="S75" s="6">
        <v>0</v>
      </c>
      <c r="T75" s="6">
        <v>22</v>
      </c>
      <c r="U75" s="6">
        <v>84</v>
      </c>
      <c r="V75" s="6">
        <f>IF(ISERROR(VLOOKUP($S$75,'TAR FIN'!$A$1:$O$92,15,0)),0,VLOOKUP($S$75,'TAR FIN'!$A$1:$O$92,15,0))</f>
        <v>0</v>
      </c>
      <c r="W75" s="6">
        <f>IF(ISERROR(VLOOKUP($T$75,'TAR FIN'!$A$1:$O$92,15,0)),0,VLOOKUP($T$75,'TAR FIN'!$A$1:$O$92,15,0))</f>
        <v>73.28</v>
      </c>
      <c r="X75" s="6">
        <f>IF(ISERROR(VLOOKUP($U$75,'TAR FIN'!$A$1:$O$92,15,0)),0,VLOOKUP($U$75,'TAR FIN'!$A$1:$O$92,15,0))</f>
        <v>286.76</v>
      </c>
      <c r="Y75" s="6"/>
      <c r="Z75" s="6">
        <f ca="1">('TUSD BE'!$AM$16+'TUSD BF'!$AM$16+'TUSD CVA'!$AM$16)*1</f>
        <v>139.98967941887983</v>
      </c>
      <c r="AA75" s="6">
        <f>('TE BE'!$AB$8+'TE BF'!$AB$8+'TE CVA'!$AB$8)*1</f>
        <v>271.35516669689775</v>
      </c>
      <c r="AB75" s="6">
        <f>$K$75*$V$75</f>
        <v>0</v>
      </c>
      <c r="AC75" s="6">
        <f>$M$75*$W$75</f>
        <v>469.05062400000003</v>
      </c>
      <c r="AD75" s="6">
        <f>$O$75*$X$75</f>
        <v>1835.493408</v>
      </c>
      <c r="AE75" s="6">
        <f>$K$75*$Y$75</f>
        <v>0</v>
      </c>
      <c r="AF75" s="6">
        <f ca="1">$M$75*$Z$75</f>
        <v>896.04594002436602</v>
      </c>
      <c r="AG75" s="6">
        <f>$O$75*$AA$75</f>
        <v>1736.8901509935033</v>
      </c>
    </row>
    <row r="76" spans="1:33" ht="11.25" hidden="1" customHeight="1" x14ac:dyDescent="0.3">
      <c r="A76" s="4" t="s">
        <v>21</v>
      </c>
      <c r="B76" s="4" t="s">
        <v>34</v>
      </c>
      <c r="C76" s="4" t="s">
        <v>35</v>
      </c>
      <c r="D76" s="4" t="s">
        <v>40</v>
      </c>
      <c r="E76" s="4" t="s">
        <v>25</v>
      </c>
      <c r="F76" s="4" t="s">
        <v>25</v>
      </c>
      <c r="G76" s="4" t="s">
        <v>25</v>
      </c>
      <c r="H76" s="4" t="s">
        <v>37</v>
      </c>
      <c r="I76" s="5">
        <v>44440</v>
      </c>
      <c r="J76" s="6">
        <v>0</v>
      </c>
      <c r="K76" s="6">
        <v>0</v>
      </c>
      <c r="L76" s="6">
        <v>43.096699999999998</v>
      </c>
      <c r="M76" s="6">
        <v>43.096699999999998</v>
      </c>
      <c r="N76" s="6">
        <v>43.096699999999998</v>
      </c>
      <c r="O76" s="6">
        <v>43.096699999999998</v>
      </c>
      <c r="P76" s="6">
        <v>0</v>
      </c>
      <c r="Q76" s="4" t="s">
        <v>26</v>
      </c>
      <c r="R76" s="4">
        <v>0</v>
      </c>
      <c r="S76" s="6">
        <v>0</v>
      </c>
      <c r="T76" s="6">
        <v>22</v>
      </c>
      <c r="U76" s="6">
        <v>84</v>
      </c>
      <c r="V76" s="6">
        <f>IF(ISERROR(VLOOKUP($S$76,'TAR FIN'!$A$1:$O$92,15,0)),0,VLOOKUP($S$76,'TAR FIN'!$A$1:$O$92,15,0))</f>
        <v>0</v>
      </c>
      <c r="W76" s="6">
        <f>IF(ISERROR(VLOOKUP($T$76,'TAR FIN'!$A$1:$O$92,15,0)),0,VLOOKUP($T$76,'TAR FIN'!$A$1:$O$92,15,0))</f>
        <v>73.28</v>
      </c>
      <c r="X76" s="6">
        <f>IF(ISERROR(VLOOKUP($U$76,'TAR FIN'!$A$1:$O$92,15,0)),0,VLOOKUP($U$76,'TAR FIN'!$A$1:$O$92,15,0))</f>
        <v>286.76</v>
      </c>
      <c r="Y76" s="6"/>
      <c r="Z76" s="6">
        <f ca="1">('TUSD BE'!$AM$16+'TUSD BF'!$AM$16+'TUSD CVA'!$AM$16)*1</f>
        <v>139.98967941887983</v>
      </c>
      <c r="AA76" s="6">
        <f>('TE BE'!$AB$8+'TE BF'!$AB$8+'TE CVA'!$AB$8)*1</f>
        <v>271.35516669689775</v>
      </c>
      <c r="AB76" s="6">
        <f>$K$76*$V$76</f>
        <v>0</v>
      </c>
      <c r="AC76" s="6">
        <f>$M$76*$W$76</f>
        <v>3158.1261759999998</v>
      </c>
      <c r="AD76" s="6">
        <f>$O$76*$X$76</f>
        <v>12358.409691999999</v>
      </c>
      <c r="AE76" s="6">
        <f>$K$76*$Y$76</f>
        <v>0</v>
      </c>
      <c r="AF76" s="6">
        <f ca="1">$M$76*$Z$76</f>
        <v>6033.0932170116384</v>
      </c>
      <c r="AG76" s="6">
        <f>$O$76*$AA$76</f>
        <v>11694.512212586193</v>
      </c>
    </row>
    <row r="77" spans="1:33" ht="11.25" hidden="1" customHeight="1" x14ac:dyDescent="0.3">
      <c r="A77" s="4" t="s">
        <v>27</v>
      </c>
      <c r="B77" s="4" t="s">
        <v>34</v>
      </c>
      <c r="C77" s="4" t="s">
        <v>35</v>
      </c>
      <c r="D77" s="4" t="s">
        <v>40</v>
      </c>
      <c r="E77" s="4" t="s">
        <v>25</v>
      </c>
      <c r="F77" s="4" t="s">
        <v>25</v>
      </c>
      <c r="G77" s="4" t="s">
        <v>25</v>
      </c>
      <c r="H77" s="4" t="s">
        <v>37</v>
      </c>
      <c r="I77" s="5">
        <v>44440</v>
      </c>
      <c r="J77" s="6">
        <v>0</v>
      </c>
      <c r="K77" s="6">
        <v>0</v>
      </c>
      <c r="L77" s="6">
        <v>5.1446899999999998</v>
      </c>
      <c r="M77" s="6">
        <v>5.1446899999999998</v>
      </c>
      <c r="N77" s="6">
        <v>5.1446899999999998</v>
      </c>
      <c r="O77" s="6">
        <v>5.1446899999999998</v>
      </c>
      <c r="P77" s="6">
        <v>0</v>
      </c>
      <c r="Q77" s="4" t="s">
        <v>26</v>
      </c>
      <c r="R77" s="4">
        <v>0</v>
      </c>
      <c r="S77" s="6">
        <v>0</v>
      </c>
      <c r="T77" s="6">
        <v>22</v>
      </c>
      <c r="U77" s="6">
        <v>84</v>
      </c>
      <c r="V77" s="6">
        <f>IF(ISERROR(VLOOKUP($S$77,'TAR FIN'!$A$1:$O$92,15,0)),0,VLOOKUP($S$77,'TAR FIN'!$A$1:$O$92,15,0))</f>
        <v>0</v>
      </c>
      <c r="W77" s="6">
        <f>IF(ISERROR(VLOOKUP($T$77,'TAR FIN'!$A$1:$O$92,15,0)),0,VLOOKUP($T$77,'TAR FIN'!$A$1:$O$92,15,0))</f>
        <v>73.28</v>
      </c>
      <c r="X77" s="6">
        <f>IF(ISERROR(VLOOKUP($U$77,'TAR FIN'!$A$1:$O$92,15,0)),0,VLOOKUP($U$77,'TAR FIN'!$A$1:$O$92,15,0))</f>
        <v>286.76</v>
      </c>
      <c r="Y77" s="6"/>
      <c r="Z77" s="6">
        <f ca="1">('TUSD BE'!$AM$16+'TUSD BF'!$AM$16+'TUSD CVA'!$AM$16)*1</f>
        <v>139.98967941887983</v>
      </c>
      <c r="AA77" s="6">
        <f>('TE BE'!$AB$8+'TE BF'!$AB$8+'TE CVA'!$AB$8)*1</f>
        <v>271.35516669689775</v>
      </c>
      <c r="AB77" s="6">
        <f>$K$77*$V$77</f>
        <v>0</v>
      </c>
      <c r="AC77" s="6">
        <f>$M$77*$W$77</f>
        <v>377.00288319999999</v>
      </c>
      <c r="AD77" s="6">
        <f>$O$77*$X$77</f>
        <v>1475.2913043999999</v>
      </c>
      <c r="AE77" s="6">
        <f>$K$77*$Y$77</f>
        <v>0</v>
      </c>
      <c r="AF77" s="6">
        <f ca="1">$M$77*$Z$77</f>
        <v>720.20350380951686</v>
      </c>
      <c r="AG77" s="6">
        <f>$O$77*$AA$77</f>
        <v>1396.0382125538629</v>
      </c>
    </row>
    <row r="78" spans="1:33" ht="11.25" hidden="1" customHeight="1" x14ac:dyDescent="0.3">
      <c r="A78" s="4" t="s">
        <v>21</v>
      </c>
      <c r="B78" s="4" t="s">
        <v>34</v>
      </c>
      <c r="C78" s="4" t="s">
        <v>35</v>
      </c>
      <c r="D78" s="4" t="s">
        <v>40</v>
      </c>
      <c r="E78" s="4" t="s">
        <v>25</v>
      </c>
      <c r="F78" s="4" t="s">
        <v>25</v>
      </c>
      <c r="G78" s="4" t="s">
        <v>25</v>
      </c>
      <c r="H78" s="4" t="s">
        <v>37</v>
      </c>
      <c r="I78" s="5">
        <v>44470</v>
      </c>
      <c r="J78" s="6">
        <v>0</v>
      </c>
      <c r="K78" s="6">
        <v>0</v>
      </c>
      <c r="L78" s="6">
        <v>43.770319999999998</v>
      </c>
      <c r="M78" s="6">
        <v>43.770319999999998</v>
      </c>
      <c r="N78" s="6">
        <v>43.770319999999998</v>
      </c>
      <c r="O78" s="6">
        <v>43.770319999999998</v>
      </c>
      <c r="P78" s="6">
        <v>0</v>
      </c>
      <c r="Q78" s="4" t="s">
        <v>26</v>
      </c>
      <c r="R78" s="4">
        <v>0</v>
      </c>
      <c r="S78" s="6">
        <v>0</v>
      </c>
      <c r="T78" s="6">
        <v>22</v>
      </c>
      <c r="U78" s="6">
        <v>84</v>
      </c>
      <c r="V78" s="6">
        <f>IF(ISERROR(VLOOKUP($S$78,'TAR FIN'!$A$1:$O$92,15,0)),0,VLOOKUP($S$78,'TAR FIN'!$A$1:$O$92,15,0))</f>
        <v>0</v>
      </c>
      <c r="W78" s="6">
        <f>IF(ISERROR(VLOOKUP($T$78,'TAR FIN'!$A$1:$O$92,15,0)),0,VLOOKUP($T$78,'TAR FIN'!$A$1:$O$92,15,0))</f>
        <v>73.28</v>
      </c>
      <c r="X78" s="6">
        <f>IF(ISERROR(VLOOKUP($U$78,'TAR FIN'!$A$1:$O$92,15,0)),0,VLOOKUP($U$78,'TAR FIN'!$A$1:$O$92,15,0))</f>
        <v>286.76</v>
      </c>
      <c r="Y78" s="6"/>
      <c r="Z78" s="6">
        <f ca="1">('TUSD BE'!$AM$16+'TUSD BF'!$AM$16+'TUSD CVA'!$AM$16)*1</f>
        <v>139.98967941887983</v>
      </c>
      <c r="AA78" s="6">
        <f>('TE BE'!$AB$8+'TE BF'!$AB$8+'TE CVA'!$AB$8)*1</f>
        <v>271.35516669689775</v>
      </c>
      <c r="AB78" s="6">
        <f>$K$78*$V$78</f>
        <v>0</v>
      </c>
      <c r="AC78" s="6">
        <f>$M$78*$W$78</f>
        <v>3207.4890495999998</v>
      </c>
      <c r="AD78" s="6">
        <f>$O$78*$X$78</f>
        <v>12551.576963199999</v>
      </c>
      <c r="AE78" s="6">
        <f>$K$78*$Y$78</f>
        <v>0</v>
      </c>
      <c r="AF78" s="6">
        <f ca="1">$M$78*$Z$78</f>
        <v>6127.3930648617843</v>
      </c>
      <c r="AG78" s="6">
        <f>$O$78*$AA$78</f>
        <v>11877.302479976557</v>
      </c>
    </row>
    <row r="79" spans="1:33" ht="11.25" hidden="1" customHeight="1" x14ac:dyDescent="0.3">
      <c r="A79" s="4" t="s">
        <v>27</v>
      </c>
      <c r="B79" s="4" t="s">
        <v>34</v>
      </c>
      <c r="C79" s="4" t="s">
        <v>35</v>
      </c>
      <c r="D79" s="4" t="s">
        <v>40</v>
      </c>
      <c r="E79" s="4" t="s">
        <v>25</v>
      </c>
      <c r="F79" s="4" t="s">
        <v>25</v>
      </c>
      <c r="G79" s="4" t="s">
        <v>25</v>
      </c>
      <c r="H79" s="4" t="s">
        <v>37</v>
      </c>
      <c r="I79" s="5">
        <v>44470</v>
      </c>
      <c r="J79" s="6">
        <v>0</v>
      </c>
      <c r="K79" s="6">
        <v>0</v>
      </c>
      <c r="L79" s="6">
        <v>4.6870599999999998</v>
      </c>
      <c r="M79" s="6">
        <v>4.6870599999999998</v>
      </c>
      <c r="N79" s="6">
        <v>4.6870599999999998</v>
      </c>
      <c r="O79" s="6">
        <v>4.6870599999999998</v>
      </c>
      <c r="P79" s="6">
        <v>0</v>
      </c>
      <c r="Q79" s="4" t="s">
        <v>26</v>
      </c>
      <c r="R79" s="4">
        <v>0</v>
      </c>
      <c r="S79" s="6">
        <v>0</v>
      </c>
      <c r="T79" s="6">
        <v>22</v>
      </c>
      <c r="U79" s="6">
        <v>84</v>
      </c>
      <c r="V79" s="6">
        <f>IF(ISERROR(VLOOKUP($S$79,'TAR FIN'!$A$1:$O$92,15,0)),0,VLOOKUP($S$79,'TAR FIN'!$A$1:$O$92,15,0))</f>
        <v>0</v>
      </c>
      <c r="W79" s="6">
        <f>IF(ISERROR(VLOOKUP($T$79,'TAR FIN'!$A$1:$O$92,15,0)),0,VLOOKUP($T$79,'TAR FIN'!$A$1:$O$92,15,0))</f>
        <v>73.28</v>
      </c>
      <c r="X79" s="6">
        <f>IF(ISERROR(VLOOKUP($U$79,'TAR FIN'!$A$1:$O$92,15,0)),0,VLOOKUP($U$79,'TAR FIN'!$A$1:$O$92,15,0))</f>
        <v>286.76</v>
      </c>
      <c r="Y79" s="6"/>
      <c r="Z79" s="6">
        <f ca="1">('TUSD BE'!$AM$16+'TUSD BF'!$AM$16+'TUSD CVA'!$AM$16)*1</f>
        <v>139.98967941887983</v>
      </c>
      <c r="AA79" s="6">
        <f>('TE BE'!$AB$8+'TE BF'!$AB$8+'TE CVA'!$AB$8)*1</f>
        <v>271.35516669689775</v>
      </c>
      <c r="AB79" s="6">
        <f>$K$79*$V$79</f>
        <v>0</v>
      </c>
      <c r="AC79" s="6">
        <f>$M$79*$W$79</f>
        <v>343.46775679999996</v>
      </c>
      <c r="AD79" s="6">
        <f>$O$79*$X$79</f>
        <v>1344.0613255999999</v>
      </c>
      <c r="AE79" s="6">
        <f>$K$79*$Y$79</f>
        <v>0</v>
      </c>
      <c r="AF79" s="6">
        <f ca="1">$M$79*$Z$79</f>
        <v>656.14002681705483</v>
      </c>
      <c r="AG79" s="6">
        <f>$O$79*$AA$79</f>
        <v>1271.8579476183615</v>
      </c>
    </row>
    <row r="80" spans="1:33" ht="11.25" hidden="1" customHeight="1" x14ac:dyDescent="0.3">
      <c r="A80" s="4" t="s">
        <v>21</v>
      </c>
      <c r="B80" s="4" t="s">
        <v>34</v>
      </c>
      <c r="C80" s="4" t="s">
        <v>35</v>
      </c>
      <c r="D80" s="4" t="s">
        <v>40</v>
      </c>
      <c r="E80" s="4" t="s">
        <v>25</v>
      </c>
      <c r="F80" s="4" t="s">
        <v>25</v>
      </c>
      <c r="G80" s="4" t="s">
        <v>25</v>
      </c>
      <c r="H80" s="4" t="s">
        <v>37</v>
      </c>
      <c r="I80" s="5">
        <v>44501</v>
      </c>
      <c r="J80" s="6">
        <v>0</v>
      </c>
      <c r="K80" s="6">
        <v>0</v>
      </c>
      <c r="L80" s="6">
        <v>47.860999999999997</v>
      </c>
      <c r="M80" s="6">
        <v>47.860999999999997</v>
      </c>
      <c r="N80" s="6">
        <v>47.860999999999997</v>
      </c>
      <c r="O80" s="6">
        <v>47.860999999999997</v>
      </c>
      <c r="P80" s="6">
        <v>0</v>
      </c>
      <c r="Q80" s="4" t="s">
        <v>26</v>
      </c>
      <c r="R80" s="4">
        <v>0</v>
      </c>
      <c r="S80" s="6">
        <v>0</v>
      </c>
      <c r="T80" s="6">
        <v>22</v>
      </c>
      <c r="U80" s="6">
        <v>84</v>
      </c>
      <c r="V80" s="6">
        <f>IF(ISERROR(VLOOKUP($S$80,'TAR FIN'!$A$1:$O$92,15,0)),0,VLOOKUP($S$80,'TAR FIN'!$A$1:$O$92,15,0))</f>
        <v>0</v>
      </c>
      <c r="W80" s="6">
        <f>IF(ISERROR(VLOOKUP($T$80,'TAR FIN'!$A$1:$O$92,15,0)),0,VLOOKUP($T$80,'TAR FIN'!$A$1:$O$92,15,0))</f>
        <v>73.28</v>
      </c>
      <c r="X80" s="6">
        <f>IF(ISERROR(VLOOKUP($U$80,'TAR FIN'!$A$1:$O$92,15,0)),0,VLOOKUP($U$80,'TAR FIN'!$A$1:$O$92,15,0))</f>
        <v>286.76</v>
      </c>
      <c r="Y80" s="6"/>
      <c r="Z80" s="6">
        <f ca="1">('TUSD BE'!$AM$16+'TUSD BF'!$AM$16+'TUSD CVA'!$AM$16)*1</f>
        <v>139.98967941887983</v>
      </c>
      <c r="AA80" s="6">
        <f>('TE BE'!$AB$8+'TE BF'!$AB$8+'TE CVA'!$AB$8)*1</f>
        <v>271.35516669689775</v>
      </c>
      <c r="AB80" s="6">
        <f>$K$80*$V$80</f>
        <v>0</v>
      </c>
      <c r="AC80" s="6">
        <f>$M$80*$W$80</f>
        <v>3507.2540799999997</v>
      </c>
      <c r="AD80" s="6">
        <f>$O$80*$X$80</f>
        <v>13724.620359999999</v>
      </c>
      <c r="AE80" s="6">
        <f>$K$80*$Y$80</f>
        <v>0</v>
      </c>
      <c r="AF80" s="6">
        <f ca="1">$M$80*$Z$80</f>
        <v>6700.0460466670074</v>
      </c>
      <c r="AG80" s="6">
        <f>$O$80*$AA$80</f>
        <v>12987.329633280222</v>
      </c>
    </row>
    <row r="81" spans="1:33" ht="11.25" hidden="1" customHeight="1" x14ac:dyDescent="0.3">
      <c r="A81" s="4" t="s">
        <v>27</v>
      </c>
      <c r="B81" s="4" t="s">
        <v>34</v>
      </c>
      <c r="C81" s="4" t="s">
        <v>35</v>
      </c>
      <c r="D81" s="4" t="s">
        <v>40</v>
      </c>
      <c r="E81" s="4" t="s">
        <v>25</v>
      </c>
      <c r="F81" s="4" t="s">
        <v>25</v>
      </c>
      <c r="G81" s="4" t="s">
        <v>25</v>
      </c>
      <c r="H81" s="4" t="s">
        <v>37</v>
      </c>
      <c r="I81" s="5">
        <v>44501</v>
      </c>
      <c r="J81" s="6">
        <v>0</v>
      </c>
      <c r="K81" s="6">
        <v>0</v>
      </c>
      <c r="L81" s="6">
        <v>5.4560000000000004</v>
      </c>
      <c r="M81" s="6">
        <v>5.4560000000000004</v>
      </c>
      <c r="N81" s="6">
        <v>5.4560000000000004</v>
      </c>
      <c r="O81" s="6">
        <v>5.4560000000000004</v>
      </c>
      <c r="P81" s="6">
        <v>0</v>
      </c>
      <c r="Q81" s="4" t="s">
        <v>26</v>
      </c>
      <c r="R81" s="4">
        <v>0</v>
      </c>
      <c r="S81" s="6">
        <v>0</v>
      </c>
      <c r="T81" s="6">
        <v>22</v>
      </c>
      <c r="U81" s="6">
        <v>84</v>
      </c>
      <c r="V81" s="6">
        <f>IF(ISERROR(VLOOKUP($S$81,'TAR FIN'!$A$1:$O$92,15,0)),0,VLOOKUP($S$81,'TAR FIN'!$A$1:$O$92,15,0))</f>
        <v>0</v>
      </c>
      <c r="W81" s="6">
        <f>IF(ISERROR(VLOOKUP($T$81,'TAR FIN'!$A$1:$O$92,15,0)),0,VLOOKUP($T$81,'TAR FIN'!$A$1:$O$92,15,0))</f>
        <v>73.28</v>
      </c>
      <c r="X81" s="6">
        <f>IF(ISERROR(VLOOKUP($U$81,'TAR FIN'!$A$1:$O$92,15,0)),0,VLOOKUP($U$81,'TAR FIN'!$A$1:$O$92,15,0))</f>
        <v>286.76</v>
      </c>
      <c r="Y81" s="6"/>
      <c r="Z81" s="6">
        <f ca="1">('TUSD BE'!$AM$16+'TUSD BF'!$AM$16+'TUSD CVA'!$AM$16)*1</f>
        <v>139.98967941887983</v>
      </c>
      <c r="AA81" s="6">
        <f>('TE BE'!$AB$8+'TE BF'!$AB$8+'TE CVA'!$AB$8)*1</f>
        <v>271.35516669689775</v>
      </c>
      <c r="AB81" s="6">
        <f>$K$81*$V$81</f>
        <v>0</v>
      </c>
      <c r="AC81" s="6">
        <f>$M$81*$W$81</f>
        <v>399.81568000000004</v>
      </c>
      <c r="AD81" s="6">
        <f>$O$81*$X$81</f>
        <v>1564.5625600000001</v>
      </c>
      <c r="AE81" s="6">
        <f>$K$81*$Y$81</f>
        <v>0</v>
      </c>
      <c r="AF81" s="6">
        <f ca="1">$M$81*$Z$81</f>
        <v>763.78369090940839</v>
      </c>
      <c r="AG81" s="6">
        <f>$O$81*$AA$81</f>
        <v>1480.5137894982743</v>
      </c>
    </row>
    <row r="82" spans="1:33" ht="11.25" hidden="1" customHeight="1" x14ac:dyDescent="0.3">
      <c r="A82" s="4" t="s">
        <v>21</v>
      </c>
      <c r="B82" s="4" t="s">
        <v>34</v>
      </c>
      <c r="C82" s="4" t="s">
        <v>35</v>
      </c>
      <c r="D82" s="4" t="s">
        <v>40</v>
      </c>
      <c r="E82" s="4" t="s">
        <v>25</v>
      </c>
      <c r="F82" s="4" t="s">
        <v>25</v>
      </c>
      <c r="G82" s="4" t="s">
        <v>25</v>
      </c>
      <c r="H82" s="4" t="s">
        <v>37</v>
      </c>
      <c r="I82" s="5">
        <v>44531</v>
      </c>
      <c r="J82" s="6">
        <v>0</v>
      </c>
      <c r="K82" s="6">
        <v>0</v>
      </c>
      <c r="L82" s="6">
        <v>54.847859999999997</v>
      </c>
      <c r="M82" s="6">
        <v>54.847859999999997</v>
      </c>
      <c r="N82" s="6">
        <v>54.847859999999997</v>
      </c>
      <c r="O82" s="6">
        <v>54.847859999999997</v>
      </c>
      <c r="P82" s="6">
        <v>0</v>
      </c>
      <c r="Q82" s="4" t="s">
        <v>26</v>
      </c>
      <c r="R82" s="4">
        <v>0</v>
      </c>
      <c r="S82" s="6">
        <v>0</v>
      </c>
      <c r="T82" s="6">
        <v>22</v>
      </c>
      <c r="U82" s="6">
        <v>84</v>
      </c>
      <c r="V82" s="6">
        <f>IF(ISERROR(VLOOKUP($S$82,'TAR FIN'!$A$1:$O$92,15,0)),0,VLOOKUP($S$82,'TAR FIN'!$A$1:$O$92,15,0))</f>
        <v>0</v>
      </c>
      <c r="W82" s="6">
        <f>IF(ISERROR(VLOOKUP($T$82,'TAR FIN'!$A$1:$O$92,15,0)),0,VLOOKUP($T$82,'TAR FIN'!$A$1:$O$92,15,0))</f>
        <v>73.28</v>
      </c>
      <c r="X82" s="6">
        <f>IF(ISERROR(VLOOKUP($U$82,'TAR FIN'!$A$1:$O$92,15,0)),0,VLOOKUP($U$82,'TAR FIN'!$A$1:$O$92,15,0))</f>
        <v>286.76</v>
      </c>
      <c r="Y82" s="6"/>
      <c r="Z82" s="6">
        <f ca="1">('TUSD BE'!$AM$16+'TUSD BF'!$AM$16+'TUSD CVA'!$AM$16)*1</f>
        <v>139.98967941887983</v>
      </c>
      <c r="AA82" s="6">
        <f>('TE BE'!$AB$8+'TE BF'!$AB$8+'TE CVA'!$AB$8)*1</f>
        <v>271.35516669689775</v>
      </c>
      <c r="AB82" s="6">
        <f>$K$82*$V$82</f>
        <v>0</v>
      </c>
      <c r="AC82" s="6">
        <f>$M$82*$W$82</f>
        <v>4019.2511807999999</v>
      </c>
      <c r="AD82" s="6">
        <f>$O$82*$X$82</f>
        <v>15728.1723336</v>
      </c>
      <c r="AE82" s="6">
        <f>$K$82*$Y$82</f>
        <v>0</v>
      </c>
      <c r="AF82" s="6">
        <f ca="1">$M$82*$Z$82</f>
        <v>7678.134338211602</v>
      </c>
      <c r="AG82" s="6">
        <f>$O$82*$AA$82</f>
        <v>14883.25019326811</v>
      </c>
    </row>
    <row r="83" spans="1:33" ht="11.25" hidden="1" customHeight="1" x14ac:dyDescent="0.3">
      <c r="A83" s="4" t="s">
        <v>27</v>
      </c>
      <c r="B83" s="4" t="s">
        <v>34</v>
      </c>
      <c r="C83" s="4" t="s">
        <v>35</v>
      </c>
      <c r="D83" s="4" t="s">
        <v>40</v>
      </c>
      <c r="E83" s="4" t="s">
        <v>25</v>
      </c>
      <c r="F83" s="4" t="s">
        <v>25</v>
      </c>
      <c r="G83" s="4" t="s">
        <v>25</v>
      </c>
      <c r="H83" s="4" t="s">
        <v>37</v>
      </c>
      <c r="I83" s="5">
        <v>44531</v>
      </c>
      <c r="J83" s="6">
        <v>0</v>
      </c>
      <c r="K83" s="6">
        <v>0</v>
      </c>
      <c r="L83" s="6">
        <v>8.0050000000000008</v>
      </c>
      <c r="M83" s="6">
        <v>8.0050000000000008</v>
      </c>
      <c r="N83" s="6">
        <v>8.0050000000000008</v>
      </c>
      <c r="O83" s="6">
        <v>8.0050000000000008</v>
      </c>
      <c r="P83" s="6">
        <v>0</v>
      </c>
      <c r="Q83" s="4" t="s">
        <v>26</v>
      </c>
      <c r="R83" s="4">
        <v>0</v>
      </c>
      <c r="S83" s="6">
        <v>0</v>
      </c>
      <c r="T83" s="6">
        <v>22</v>
      </c>
      <c r="U83" s="6">
        <v>84</v>
      </c>
      <c r="V83" s="6">
        <f>IF(ISERROR(VLOOKUP($S$83,'TAR FIN'!$A$1:$O$92,15,0)),0,VLOOKUP($S$83,'TAR FIN'!$A$1:$O$92,15,0))</f>
        <v>0</v>
      </c>
      <c r="W83" s="6">
        <f>IF(ISERROR(VLOOKUP($T$83,'TAR FIN'!$A$1:$O$92,15,0)),0,VLOOKUP($T$83,'TAR FIN'!$A$1:$O$92,15,0))</f>
        <v>73.28</v>
      </c>
      <c r="X83" s="6">
        <f>IF(ISERROR(VLOOKUP($U$83,'TAR FIN'!$A$1:$O$92,15,0)),0,VLOOKUP($U$83,'TAR FIN'!$A$1:$O$92,15,0))</f>
        <v>286.76</v>
      </c>
      <c r="Y83" s="6"/>
      <c r="Z83" s="6">
        <f ca="1">('TUSD BE'!$AM$16+'TUSD BF'!$AM$16+'TUSD CVA'!$AM$16)*1</f>
        <v>139.98967941887983</v>
      </c>
      <c r="AA83" s="6">
        <f>('TE BE'!$AB$8+'TE BF'!$AB$8+'TE CVA'!$AB$8)*1</f>
        <v>271.35516669689775</v>
      </c>
      <c r="AB83" s="6">
        <f>$K$83*$V$83</f>
        <v>0</v>
      </c>
      <c r="AC83" s="6">
        <f>$M$83*$W$83</f>
        <v>586.60640000000012</v>
      </c>
      <c r="AD83" s="6">
        <f>$O$83*$X$83</f>
        <v>2295.5138000000002</v>
      </c>
      <c r="AE83" s="6">
        <f>$K$83*$Y$83</f>
        <v>0</v>
      </c>
      <c r="AF83" s="6">
        <f ca="1">$M$83*$Z$83</f>
        <v>1120.6173837481331</v>
      </c>
      <c r="AG83" s="6">
        <f>$O$83*$AA$83</f>
        <v>2172.1981094086668</v>
      </c>
    </row>
    <row r="84" spans="1:33" ht="11.25" hidden="1" customHeight="1" x14ac:dyDescent="0.3">
      <c r="A84" s="4" t="s">
        <v>21</v>
      </c>
      <c r="B84" s="4" t="s">
        <v>34</v>
      </c>
      <c r="C84" s="4" t="s">
        <v>35</v>
      </c>
      <c r="D84" s="4" t="s">
        <v>40</v>
      </c>
      <c r="E84" s="4" t="s">
        <v>25</v>
      </c>
      <c r="F84" s="4" t="s">
        <v>25</v>
      </c>
      <c r="G84" s="4" t="s">
        <v>25</v>
      </c>
      <c r="H84" s="4" t="s">
        <v>37</v>
      </c>
      <c r="I84" s="5">
        <v>44562</v>
      </c>
      <c r="J84" s="6">
        <v>0</v>
      </c>
      <c r="K84" s="6">
        <v>0</v>
      </c>
      <c r="L84" s="6">
        <v>59.790999999999997</v>
      </c>
      <c r="M84" s="6">
        <v>59.790999999999997</v>
      </c>
      <c r="N84" s="6">
        <v>59.790999999999997</v>
      </c>
      <c r="O84" s="6">
        <v>59.790999999999997</v>
      </c>
      <c r="P84" s="6">
        <v>0</v>
      </c>
      <c r="Q84" s="4" t="s">
        <v>26</v>
      </c>
      <c r="R84" s="4">
        <v>0</v>
      </c>
      <c r="S84" s="6">
        <v>0</v>
      </c>
      <c r="T84" s="6">
        <v>22</v>
      </c>
      <c r="U84" s="6">
        <v>84</v>
      </c>
      <c r="V84" s="6">
        <f>IF(ISERROR(VLOOKUP($S$84,'TAR FIN'!$A$1:$O$92,15,0)),0,VLOOKUP($S$84,'TAR FIN'!$A$1:$O$92,15,0))</f>
        <v>0</v>
      </c>
      <c r="W84" s="6">
        <f>IF(ISERROR(VLOOKUP($T$84,'TAR FIN'!$A$1:$O$92,15,0)),0,VLOOKUP($T$84,'TAR FIN'!$A$1:$O$92,15,0))</f>
        <v>73.28</v>
      </c>
      <c r="X84" s="6">
        <f>IF(ISERROR(VLOOKUP($U$84,'TAR FIN'!$A$1:$O$92,15,0)),0,VLOOKUP($U$84,'TAR FIN'!$A$1:$O$92,15,0))</f>
        <v>286.76</v>
      </c>
      <c r="Y84" s="6"/>
      <c r="Z84" s="6">
        <f ca="1">('TUSD BE'!$AM$16+'TUSD BF'!$AM$16+'TUSD CVA'!$AM$16)*1</f>
        <v>139.98967941887983</v>
      </c>
      <c r="AA84" s="6">
        <f>('TE BE'!$AB$8+'TE BF'!$AB$8+'TE CVA'!$AB$8)*1</f>
        <v>271.35516669689775</v>
      </c>
      <c r="AB84" s="6">
        <f>$K$84*$V$84</f>
        <v>0</v>
      </c>
      <c r="AC84" s="6">
        <f>$M$84*$W$84</f>
        <v>4381.4844800000001</v>
      </c>
      <c r="AD84" s="6">
        <f>$O$84*$X$84</f>
        <v>17145.667159999997</v>
      </c>
      <c r="AE84" s="6">
        <f>$K$84*$Y$84</f>
        <v>0</v>
      </c>
      <c r="AF84" s="6">
        <f ca="1">$M$84*$Z$84</f>
        <v>8370.1229221342437</v>
      </c>
      <c r="AG84" s="6">
        <f>$O$84*$AA$84</f>
        <v>16224.596771974213</v>
      </c>
    </row>
    <row r="85" spans="1:33" ht="11.25" hidden="1" customHeight="1" x14ac:dyDescent="0.3">
      <c r="A85" s="4" t="s">
        <v>27</v>
      </c>
      <c r="B85" s="4" t="s">
        <v>34</v>
      </c>
      <c r="C85" s="4" t="s">
        <v>35</v>
      </c>
      <c r="D85" s="4" t="s">
        <v>40</v>
      </c>
      <c r="E85" s="4" t="s">
        <v>25</v>
      </c>
      <c r="F85" s="4" t="s">
        <v>25</v>
      </c>
      <c r="G85" s="4" t="s">
        <v>25</v>
      </c>
      <c r="H85" s="4" t="s">
        <v>37</v>
      </c>
      <c r="I85" s="5">
        <v>44562</v>
      </c>
      <c r="J85" s="6">
        <v>0</v>
      </c>
      <c r="K85" s="6">
        <v>0</v>
      </c>
      <c r="L85" s="6">
        <v>12.615</v>
      </c>
      <c r="M85" s="6">
        <v>12.615</v>
      </c>
      <c r="N85" s="6">
        <v>12.615</v>
      </c>
      <c r="O85" s="6">
        <v>12.615</v>
      </c>
      <c r="P85" s="6">
        <v>0</v>
      </c>
      <c r="Q85" s="4" t="s">
        <v>26</v>
      </c>
      <c r="R85" s="4">
        <v>0</v>
      </c>
      <c r="S85" s="6">
        <v>0</v>
      </c>
      <c r="T85" s="6">
        <v>22</v>
      </c>
      <c r="U85" s="6">
        <v>84</v>
      </c>
      <c r="V85" s="6">
        <f>IF(ISERROR(VLOOKUP($S$85,'TAR FIN'!$A$1:$O$92,15,0)),0,VLOOKUP($S$85,'TAR FIN'!$A$1:$O$92,15,0))</f>
        <v>0</v>
      </c>
      <c r="W85" s="6">
        <f>IF(ISERROR(VLOOKUP($T$85,'TAR FIN'!$A$1:$O$92,15,0)),0,VLOOKUP($T$85,'TAR FIN'!$A$1:$O$92,15,0))</f>
        <v>73.28</v>
      </c>
      <c r="X85" s="6">
        <f>IF(ISERROR(VLOOKUP($U$85,'TAR FIN'!$A$1:$O$92,15,0)),0,VLOOKUP($U$85,'TAR FIN'!$A$1:$O$92,15,0))</f>
        <v>286.76</v>
      </c>
      <c r="Y85" s="6"/>
      <c r="Z85" s="6">
        <f ca="1">('TUSD BE'!$AM$16+'TUSD BF'!$AM$16+'TUSD CVA'!$AM$16)*1</f>
        <v>139.98967941887983</v>
      </c>
      <c r="AA85" s="6">
        <f>('TE BE'!$AB$8+'TE BF'!$AB$8+'TE CVA'!$AB$8)*1</f>
        <v>271.35516669689775</v>
      </c>
      <c r="AB85" s="6">
        <f>$K$85*$V$85</f>
        <v>0</v>
      </c>
      <c r="AC85" s="6">
        <f>$M$85*$W$85</f>
        <v>924.42720000000008</v>
      </c>
      <c r="AD85" s="6">
        <f>$O$85*$X$85</f>
        <v>3617.4773999999998</v>
      </c>
      <c r="AE85" s="6">
        <f>$K$85*$Y$85</f>
        <v>0</v>
      </c>
      <c r="AF85" s="6">
        <f ca="1">$M$85*$Z$85</f>
        <v>1765.969805869169</v>
      </c>
      <c r="AG85" s="6">
        <f>$O$85*$AA$85</f>
        <v>3423.1454278813653</v>
      </c>
    </row>
    <row r="86" spans="1:33" ht="11.25" hidden="1" customHeight="1" x14ac:dyDescent="0.3">
      <c r="A86" s="4" t="s">
        <v>21</v>
      </c>
      <c r="B86" s="4" t="s">
        <v>34</v>
      </c>
      <c r="C86" s="4" t="s">
        <v>35</v>
      </c>
      <c r="D86" s="4" t="s">
        <v>40</v>
      </c>
      <c r="E86" s="4" t="s">
        <v>25</v>
      </c>
      <c r="F86" s="4" t="s">
        <v>25</v>
      </c>
      <c r="G86" s="4" t="s">
        <v>25</v>
      </c>
      <c r="H86" s="4" t="s">
        <v>37</v>
      </c>
      <c r="I86" s="5">
        <v>44593</v>
      </c>
      <c r="J86" s="6">
        <v>0</v>
      </c>
      <c r="K86" s="6">
        <v>0</v>
      </c>
      <c r="L86" s="6">
        <v>51.537999999999997</v>
      </c>
      <c r="M86" s="6">
        <v>51.537999999999997</v>
      </c>
      <c r="N86" s="6">
        <v>51.537999999999997</v>
      </c>
      <c r="O86" s="6">
        <v>51.537999999999997</v>
      </c>
      <c r="P86" s="6">
        <v>0</v>
      </c>
      <c r="Q86" s="4" t="s">
        <v>26</v>
      </c>
      <c r="R86" s="4">
        <v>0</v>
      </c>
      <c r="S86" s="6">
        <v>0</v>
      </c>
      <c r="T86" s="6">
        <v>22</v>
      </c>
      <c r="U86" s="6">
        <v>84</v>
      </c>
      <c r="V86" s="6">
        <f>IF(ISERROR(VLOOKUP($S$86,'TAR FIN'!$A$1:$O$92,15,0)),0,VLOOKUP($S$86,'TAR FIN'!$A$1:$O$92,15,0))</f>
        <v>0</v>
      </c>
      <c r="W86" s="6">
        <f>IF(ISERROR(VLOOKUP($T$86,'TAR FIN'!$A$1:$O$92,15,0)),0,VLOOKUP($T$86,'TAR FIN'!$A$1:$O$92,15,0))</f>
        <v>73.28</v>
      </c>
      <c r="X86" s="6">
        <f>IF(ISERROR(VLOOKUP($U$86,'TAR FIN'!$A$1:$O$92,15,0)),0,VLOOKUP($U$86,'TAR FIN'!$A$1:$O$92,15,0))</f>
        <v>286.76</v>
      </c>
      <c r="Y86" s="6"/>
      <c r="Z86" s="6">
        <f ca="1">('TUSD BE'!$AM$16+'TUSD BF'!$AM$16+'TUSD CVA'!$AM$16)*1</f>
        <v>139.98967941887983</v>
      </c>
      <c r="AA86" s="6">
        <f>('TE BE'!$AB$8+'TE BF'!$AB$8+'TE CVA'!$AB$8)*1</f>
        <v>271.35516669689775</v>
      </c>
      <c r="AB86" s="6">
        <f>$K$86*$V$86</f>
        <v>0</v>
      </c>
      <c r="AC86" s="6">
        <f>$M$86*$W$86</f>
        <v>3776.7046399999999</v>
      </c>
      <c r="AD86" s="6">
        <f>$O$86*$X$86</f>
        <v>14779.036879999998</v>
      </c>
      <c r="AE86" s="6">
        <f>$K$86*$Y$86</f>
        <v>0</v>
      </c>
      <c r="AF86" s="6">
        <f ca="1">$M$86*$Z$86</f>
        <v>7214.7880978902285</v>
      </c>
      <c r="AG86" s="6">
        <f>$O$86*$AA$86</f>
        <v>13985.102581224715</v>
      </c>
    </row>
    <row r="87" spans="1:33" ht="11.25" hidden="1" customHeight="1" x14ac:dyDescent="0.3">
      <c r="A87" s="4" t="s">
        <v>27</v>
      </c>
      <c r="B87" s="4" t="s">
        <v>34</v>
      </c>
      <c r="C87" s="4" t="s">
        <v>35</v>
      </c>
      <c r="D87" s="4" t="s">
        <v>40</v>
      </c>
      <c r="E87" s="4" t="s">
        <v>25</v>
      </c>
      <c r="F87" s="4" t="s">
        <v>25</v>
      </c>
      <c r="G87" s="4" t="s">
        <v>25</v>
      </c>
      <c r="H87" s="4" t="s">
        <v>37</v>
      </c>
      <c r="I87" s="5">
        <v>44593</v>
      </c>
      <c r="J87" s="6">
        <v>0</v>
      </c>
      <c r="K87" s="6">
        <v>0</v>
      </c>
      <c r="L87" s="6">
        <v>10.870419999999999</v>
      </c>
      <c r="M87" s="6">
        <v>10.870419999999999</v>
      </c>
      <c r="N87" s="6">
        <v>10.870419999999999</v>
      </c>
      <c r="O87" s="6">
        <v>10.870419999999999</v>
      </c>
      <c r="P87" s="6">
        <v>0</v>
      </c>
      <c r="Q87" s="4" t="s">
        <v>26</v>
      </c>
      <c r="R87" s="4">
        <v>0</v>
      </c>
      <c r="S87" s="6">
        <v>0</v>
      </c>
      <c r="T87" s="6">
        <v>22</v>
      </c>
      <c r="U87" s="6">
        <v>84</v>
      </c>
      <c r="V87" s="6">
        <f>IF(ISERROR(VLOOKUP($S$87,'TAR FIN'!$A$1:$O$92,15,0)),0,VLOOKUP($S$87,'TAR FIN'!$A$1:$O$92,15,0))</f>
        <v>0</v>
      </c>
      <c r="W87" s="6">
        <f>IF(ISERROR(VLOOKUP($T$87,'TAR FIN'!$A$1:$O$92,15,0)),0,VLOOKUP($T$87,'TAR FIN'!$A$1:$O$92,15,0))</f>
        <v>73.28</v>
      </c>
      <c r="X87" s="6">
        <f>IF(ISERROR(VLOOKUP($U$87,'TAR FIN'!$A$1:$O$92,15,0)),0,VLOOKUP($U$87,'TAR FIN'!$A$1:$O$92,15,0))</f>
        <v>286.76</v>
      </c>
      <c r="Y87" s="6"/>
      <c r="Z87" s="6">
        <f ca="1">('TUSD BE'!$AM$16+'TUSD BF'!$AM$16+'TUSD CVA'!$AM$16)*1</f>
        <v>139.98967941887983</v>
      </c>
      <c r="AA87" s="6">
        <f>('TE BE'!$AB$8+'TE BF'!$AB$8+'TE CVA'!$AB$8)*1</f>
        <v>271.35516669689775</v>
      </c>
      <c r="AB87" s="6">
        <f>$K$87*$V$87</f>
        <v>0</v>
      </c>
      <c r="AC87" s="6">
        <f>$M$87*$W$87</f>
        <v>796.58437759999993</v>
      </c>
      <c r="AD87" s="6">
        <f>$O$87*$X$87</f>
        <v>3117.2016391999996</v>
      </c>
      <c r="AE87" s="6">
        <f>$K$87*$Y$87</f>
        <v>0</v>
      </c>
      <c r="AF87" s="6">
        <f ca="1">$M$87*$Z$87</f>
        <v>1521.7466109485797</v>
      </c>
      <c r="AG87" s="6">
        <f>$O$87*$AA$87</f>
        <v>2949.7446311652911</v>
      </c>
    </row>
    <row r="88" spans="1:33" ht="11.25" hidden="1" customHeight="1" x14ac:dyDescent="0.3">
      <c r="A88" s="4" t="s">
        <v>21</v>
      </c>
      <c r="B88" s="4" t="s">
        <v>34</v>
      </c>
      <c r="C88" s="4" t="s">
        <v>35</v>
      </c>
      <c r="D88" s="4" t="s">
        <v>40</v>
      </c>
      <c r="E88" s="4" t="s">
        <v>25</v>
      </c>
      <c r="F88" s="4" t="s">
        <v>25</v>
      </c>
      <c r="G88" s="4" t="s">
        <v>25</v>
      </c>
      <c r="H88" s="4" t="s">
        <v>37</v>
      </c>
      <c r="I88" s="5">
        <v>44621</v>
      </c>
      <c r="J88" s="6">
        <v>0</v>
      </c>
      <c r="K88" s="6">
        <v>0</v>
      </c>
      <c r="L88" s="6">
        <v>51.117379999999997</v>
      </c>
      <c r="M88" s="6">
        <v>51.117379999999997</v>
      </c>
      <c r="N88" s="6">
        <v>51.117379999999997</v>
      </c>
      <c r="O88" s="6">
        <v>51.117379999999997</v>
      </c>
      <c r="P88" s="6">
        <v>0</v>
      </c>
      <c r="Q88" s="4" t="s">
        <v>26</v>
      </c>
      <c r="R88" s="4">
        <v>0</v>
      </c>
      <c r="S88" s="6">
        <v>0</v>
      </c>
      <c r="T88" s="6">
        <v>22</v>
      </c>
      <c r="U88" s="6">
        <v>84</v>
      </c>
      <c r="V88" s="6">
        <f>IF(ISERROR(VLOOKUP($S$88,'TAR FIN'!$A$1:$O$92,15,0)),0,VLOOKUP($S$88,'TAR FIN'!$A$1:$O$92,15,0))</f>
        <v>0</v>
      </c>
      <c r="W88" s="6">
        <f>IF(ISERROR(VLOOKUP($T$88,'TAR FIN'!$A$1:$O$92,15,0)),0,VLOOKUP($T$88,'TAR FIN'!$A$1:$O$92,15,0))</f>
        <v>73.28</v>
      </c>
      <c r="X88" s="6">
        <f>IF(ISERROR(VLOOKUP($U$88,'TAR FIN'!$A$1:$O$92,15,0)),0,VLOOKUP($U$88,'TAR FIN'!$A$1:$O$92,15,0))</f>
        <v>286.76</v>
      </c>
      <c r="Y88" s="6"/>
      <c r="Z88" s="6">
        <f ca="1">('TUSD BE'!$AM$16+'TUSD BF'!$AM$16+'TUSD CVA'!$AM$16)*1</f>
        <v>139.98967941887983</v>
      </c>
      <c r="AA88" s="6">
        <f>('TE BE'!$AB$8+'TE BF'!$AB$8+'TE CVA'!$AB$8)*1</f>
        <v>271.35516669689775</v>
      </c>
      <c r="AB88" s="6">
        <f>$K$88*$V$88</f>
        <v>0</v>
      </c>
      <c r="AC88" s="6">
        <f>$M$88*$W$88</f>
        <v>3745.8816063999998</v>
      </c>
      <c r="AD88" s="6">
        <f>$O$88*$X$88</f>
        <v>14658.419888799999</v>
      </c>
      <c r="AE88" s="6">
        <f>$K$88*$Y$88</f>
        <v>0</v>
      </c>
      <c r="AF88" s="6">
        <f ca="1">$M$88*$Z$88</f>
        <v>7155.905638933059</v>
      </c>
      <c r="AG88" s="6">
        <f>$O$88*$AA$88</f>
        <v>13870.965171008667</v>
      </c>
    </row>
    <row r="89" spans="1:33" ht="11.25" hidden="1" customHeight="1" x14ac:dyDescent="0.3">
      <c r="A89" s="4" t="s">
        <v>27</v>
      </c>
      <c r="B89" s="4" t="s">
        <v>34</v>
      </c>
      <c r="C89" s="4" t="s">
        <v>35</v>
      </c>
      <c r="D89" s="4" t="s">
        <v>40</v>
      </c>
      <c r="E89" s="4" t="s">
        <v>25</v>
      </c>
      <c r="F89" s="4" t="s">
        <v>25</v>
      </c>
      <c r="G89" s="4" t="s">
        <v>25</v>
      </c>
      <c r="H89" s="4" t="s">
        <v>37</v>
      </c>
      <c r="I89" s="5">
        <v>44621</v>
      </c>
      <c r="J89" s="6">
        <v>0</v>
      </c>
      <c r="K89" s="6">
        <v>0</v>
      </c>
      <c r="L89" s="6">
        <v>10.050190000000001</v>
      </c>
      <c r="M89" s="6">
        <v>10.050190000000001</v>
      </c>
      <c r="N89" s="6">
        <v>10.050190000000001</v>
      </c>
      <c r="O89" s="6">
        <v>10.050190000000001</v>
      </c>
      <c r="P89" s="6">
        <v>0</v>
      </c>
      <c r="Q89" s="4" t="s">
        <v>26</v>
      </c>
      <c r="R89" s="4">
        <v>0</v>
      </c>
      <c r="S89" s="6">
        <v>0</v>
      </c>
      <c r="T89" s="6">
        <v>22</v>
      </c>
      <c r="U89" s="6">
        <v>84</v>
      </c>
      <c r="V89" s="6">
        <f>IF(ISERROR(VLOOKUP($S$89,'TAR FIN'!$A$1:$O$92,15,0)),0,VLOOKUP($S$89,'TAR FIN'!$A$1:$O$92,15,0))</f>
        <v>0</v>
      </c>
      <c r="W89" s="6">
        <f>IF(ISERROR(VLOOKUP($T$89,'TAR FIN'!$A$1:$O$92,15,0)),0,VLOOKUP($T$89,'TAR FIN'!$A$1:$O$92,15,0))</f>
        <v>73.28</v>
      </c>
      <c r="X89" s="6">
        <f>IF(ISERROR(VLOOKUP($U$89,'TAR FIN'!$A$1:$O$92,15,0)),0,VLOOKUP($U$89,'TAR FIN'!$A$1:$O$92,15,0))</f>
        <v>286.76</v>
      </c>
      <c r="Y89" s="6"/>
      <c r="Z89" s="6">
        <f ca="1">('TUSD BE'!$AM$16+'TUSD BF'!$AM$16+'TUSD CVA'!$AM$16)*1</f>
        <v>139.98967941887983</v>
      </c>
      <c r="AA89" s="6">
        <f>('TE BE'!$AB$8+'TE BF'!$AB$8+'TE CVA'!$AB$8)*1</f>
        <v>271.35516669689775</v>
      </c>
      <c r="AB89" s="6">
        <f>$K$89*$V$89</f>
        <v>0</v>
      </c>
      <c r="AC89" s="6">
        <f>$M$89*$W$89</f>
        <v>736.47792320000008</v>
      </c>
      <c r="AD89" s="6">
        <f>$O$89*$X$89</f>
        <v>2881.9924844000002</v>
      </c>
      <c r="AE89" s="6">
        <f>$K$89*$Y$89</f>
        <v>0</v>
      </c>
      <c r="AF89" s="6">
        <f ca="1">$M$89*$Z$89</f>
        <v>1406.922876198832</v>
      </c>
      <c r="AG89" s="6">
        <f>$O$89*$AA$89</f>
        <v>2727.1709827854952</v>
      </c>
    </row>
    <row r="90" spans="1:33" ht="11.25" hidden="1" customHeight="1" x14ac:dyDescent="0.3">
      <c r="A90" s="4" t="s">
        <v>21</v>
      </c>
      <c r="B90" s="4" t="s">
        <v>34</v>
      </c>
      <c r="C90" s="4" t="s">
        <v>35</v>
      </c>
      <c r="D90" s="4" t="s">
        <v>40</v>
      </c>
      <c r="E90" s="4" t="s">
        <v>25</v>
      </c>
      <c r="F90" s="4" t="s">
        <v>25</v>
      </c>
      <c r="G90" s="4" t="s">
        <v>25</v>
      </c>
      <c r="H90" s="4" t="s">
        <v>37</v>
      </c>
      <c r="I90" s="5">
        <v>44652</v>
      </c>
      <c r="J90" s="6">
        <v>0</v>
      </c>
      <c r="K90" s="6">
        <v>0</v>
      </c>
      <c r="L90" s="6">
        <v>42.305770000000003</v>
      </c>
      <c r="M90" s="6">
        <v>42.305770000000003</v>
      </c>
      <c r="N90" s="6">
        <v>42.305770000000003</v>
      </c>
      <c r="O90" s="6">
        <v>42.305770000000003</v>
      </c>
      <c r="P90" s="6">
        <v>0</v>
      </c>
      <c r="Q90" s="4" t="s">
        <v>26</v>
      </c>
      <c r="R90" s="4">
        <v>0</v>
      </c>
      <c r="S90" s="6">
        <v>0</v>
      </c>
      <c r="T90" s="6">
        <v>22</v>
      </c>
      <c r="U90" s="6">
        <v>84</v>
      </c>
      <c r="V90" s="6">
        <f>IF(ISERROR(VLOOKUP($S$90,'TAR FIN'!$A$1:$O$92,15,0)),0,VLOOKUP($S$90,'TAR FIN'!$A$1:$O$92,15,0))</f>
        <v>0</v>
      </c>
      <c r="W90" s="6">
        <f>IF(ISERROR(VLOOKUP($T$90,'TAR FIN'!$A$1:$O$92,15,0)),0,VLOOKUP($T$90,'TAR FIN'!$A$1:$O$92,15,0))</f>
        <v>73.28</v>
      </c>
      <c r="X90" s="6">
        <f>IF(ISERROR(VLOOKUP($U$90,'TAR FIN'!$A$1:$O$92,15,0)),0,VLOOKUP($U$90,'TAR FIN'!$A$1:$O$92,15,0))</f>
        <v>286.76</v>
      </c>
      <c r="Y90" s="6"/>
      <c r="Z90" s="6">
        <f ca="1">('TUSD BE'!$AM$16+'TUSD BF'!$AM$16+'TUSD CVA'!$AM$16)*1</f>
        <v>139.98967941887983</v>
      </c>
      <c r="AA90" s="6">
        <f>('TE BE'!$AB$8+'TE BF'!$AB$8+'TE CVA'!$AB$8)*1</f>
        <v>271.35516669689775</v>
      </c>
      <c r="AB90" s="6">
        <f>$K$90*$V$90</f>
        <v>0</v>
      </c>
      <c r="AC90" s="6">
        <f>$M$90*$W$90</f>
        <v>3100.1668256000003</v>
      </c>
      <c r="AD90" s="6">
        <f>$O$90*$X$90</f>
        <v>12131.6026052</v>
      </c>
      <c r="AE90" s="6">
        <f>$K$90*$Y$90</f>
        <v>0</v>
      </c>
      <c r="AF90" s="6">
        <f ca="1">$M$90*$Z$90</f>
        <v>5922.3711798688637</v>
      </c>
      <c r="AG90" s="6">
        <f>$O$90*$AA$90</f>
        <v>11479.889270590616</v>
      </c>
    </row>
    <row r="91" spans="1:33" ht="11.25" hidden="1" customHeight="1" x14ac:dyDescent="0.3">
      <c r="A91" s="4" t="s">
        <v>27</v>
      </c>
      <c r="B91" s="4" t="s">
        <v>34</v>
      </c>
      <c r="C91" s="4" t="s">
        <v>35</v>
      </c>
      <c r="D91" s="4" t="s">
        <v>40</v>
      </c>
      <c r="E91" s="4" t="s">
        <v>25</v>
      </c>
      <c r="F91" s="4" t="s">
        <v>25</v>
      </c>
      <c r="G91" s="4" t="s">
        <v>25</v>
      </c>
      <c r="H91" s="4" t="s">
        <v>37</v>
      </c>
      <c r="I91" s="5">
        <v>44652</v>
      </c>
      <c r="J91" s="6">
        <v>0</v>
      </c>
      <c r="K91" s="6">
        <v>0</v>
      </c>
      <c r="L91" s="6">
        <v>4.5</v>
      </c>
      <c r="M91" s="6">
        <v>4.5</v>
      </c>
      <c r="N91" s="6">
        <v>4.5</v>
      </c>
      <c r="O91" s="6">
        <v>4.5</v>
      </c>
      <c r="P91" s="6">
        <v>0</v>
      </c>
      <c r="Q91" s="4" t="s">
        <v>26</v>
      </c>
      <c r="R91" s="4">
        <v>0</v>
      </c>
      <c r="S91" s="6">
        <v>0</v>
      </c>
      <c r="T91" s="6">
        <v>22</v>
      </c>
      <c r="U91" s="6">
        <v>84</v>
      </c>
      <c r="V91" s="6">
        <f>IF(ISERROR(VLOOKUP($S$91,'TAR FIN'!$A$1:$O$92,15,0)),0,VLOOKUP($S$91,'TAR FIN'!$A$1:$O$92,15,0))</f>
        <v>0</v>
      </c>
      <c r="W91" s="6">
        <f>IF(ISERROR(VLOOKUP($T$91,'TAR FIN'!$A$1:$O$92,15,0)),0,VLOOKUP($T$91,'TAR FIN'!$A$1:$O$92,15,0))</f>
        <v>73.28</v>
      </c>
      <c r="X91" s="6">
        <f>IF(ISERROR(VLOOKUP($U$91,'TAR FIN'!$A$1:$O$92,15,0)),0,VLOOKUP($U$91,'TAR FIN'!$A$1:$O$92,15,0))</f>
        <v>286.76</v>
      </c>
      <c r="Y91" s="6"/>
      <c r="Z91" s="6">
        <f ca="1">('TUSD BE'!$AM$16+'TUSD BF'!$AM$16+'TUSD CVA'!$AM$16)*1</f>
        <v>139.98967941887983</v>
      </c>
      <c r="AA91" s="6">
        <f>('TE BE'!$AB$8+'TE BF'!$AB$8+'TE CVA'!$AB$8)*1</f>
        <v>271.35516669689775</v>
      </c>
      <c r="AB91" s="6">
        <f>$K$91*$V$91</f>
        <v>0</v>
      </c>
      <c r="AC91" s="6">
        <f>$M$91*$W$91</f>
        <v>329.76</v>
      </c>
      <c r="AD91" s="6">
        <f>$O$91*$X$91</f>
        <v>1290.42</v>
      </c>
      <c r="AE91" s="6">
        <f>$K$91*$Y$91</f>
        <v>0</v>
      </c>
      <c r="AF91" s="6">
        <f ca="1">$M$91*$Z$91</f>
        <v>629.95355738495925</v>
      </c>
      <c r="AG91" s="6">
        <f>$O$91*$AA$91</f>
        <v>1221.09825013604</v>
      </c>
    </row>
    <row r="92" spans="1:33" ht="11.25" hidden="1" customHeight="1" x14ac:dyDescent="0.3">
      <c r="A92" s="4" t="s">
        <v>21</v>
      </c>
      <c r="B92" s="4" t="s">
        <v>34</v>
      </c>
      <c r="C92" s="4" t="s">
        <v>35</v>
      </c>
      <c r="D92" s="4" t="s">
        <v>40</v>
      </c>
      <c r="E92" s="4" t="s">
        <v>25</v>
      </c>
      <c r="F92" s="4" t="s">
        <v>25</v>
      </c>
      <c r="G92" s="4" t="s">
        <v>25</v>
      </c>
      <c r="H92" s="4" t="s">
        <v>37</v>
      </c>
      <c r="I92" s="5">
        <v>44682</v>
      </c>
      <c r="J92" s="6">
        <v>0</v>
      </c>
      <c r="K92" s="6">
        <v>0</v>
      </c>
      <c r="L92" s="6">
        <v>39.944510000000001</v>
      </c>
      <c r="M92" s="6">
        <v>39.944510000000001</v>
      </c>
      <c r="N92" s="6">
        <v>39.944510000000001</v>
      </c>
      <c r="O92" s="6">
        <v>39.944510000000001</v>
      </c>
      <c r="P92" s="6">
        <v>0</v>
      </c>
      <c r="Q92" s="4" t="s">
        <v>26</v>
      </c>
      <c r="R92" s="4">
        <v>0</v>
      </c>
      <c r="S92" s="6">
        <v>0</v>
      </c>
      <c r="T92" s="6">
        <v>22</v>
      </c>
      <c r="U92" s="6">
        <v>84</v>
      </c>
      <c r="V92" s="6">
        <f>IF(ISERROR(VLOOKUP($S$92,'TAR FIN'!$A$1:$O$92,15,0)),0,VLOOKUP($S$92,'TAR FIN'!$A$1:$O$92,15,0))</f>
        <v>0</v>
      </c>
      <c r="W92" s="6">
        <f>IF(ISERROR(VLOOKUP($T$92,'TAR FIN'!$A$1:$O$92,15,0)),0,VLOOKUP($T$92,'TAR FIN'!$A$1:$O$92,15,0))</f>
        <v>73.28</v>
      </c>
      <c r="X92" s="6">
        <f>IF(ISERROR(VLOOKUP($U$92,'TAR FIN'!$A$1:$O$92,15,0)),0,VLOOKUP($U$92,'TAR FIN'!$A$1:$O$92,15,0))</f>
        <v>286.76</v>
      </c>
      <c r="Y92" s="6"/>
      <c r="Z92" s="6">
        <f ca="1">('TUSD BE'!$AM$16+'TUSD BF'!$AM$16+'TUSD CVA'!$AM$16)*1</f>
        <v>139.98967941887983</v>
      </c>
      <c r="AA92" s="6">
        <f>('TE BE'!$AB$8+'TE BF'!$AB$8+'TE CVA'!$AB$8)*1</f>
        <v>271.35516669689775</v>
      </c>
      <c r="AB92" s="6">
        <f>$K$92*$V$92</f>
        <v>0</v>
      </c>
      <c r="AC92" s="6">
        <f>$M$92*$W$92</f>
        <v>2927.1336928000001</v>
      </c>
      <c r="AD92" s="6">
        <f>$O$92*$X$92</f>
        <v>11454.4876876</v>
      </c>
      <c r="AE92" s="6">
        <f>$K$92*$Y$92</f>
        <v>0</v>
      </c>
      <c r="AF92" s="6">
        <f ca="1">$M$92*$Z$92</f>
        <v>5591.8191494442399</v>
      </c>
      <c r="AG92" s="6">
        <f>$O$92*$AA$92</f>
        <v>10839.1491696759</v>
      </c>
    </row>
    <row r="93" spans="1:33" ht="11.25" hidden="1" customHeight="1" x14ac:dyDescent="0.3">
      <c r="A93" s="4" t="s">
        <v>27</v>
      </c>
      <c r="B93" s="4" t="s">
        <v>34</v>
      </c>
      <c r="C93" s="4" t="s">
        <v>35</v>
      </c>
      <c r="D93" s="4" t="s">
        <v>40</v>
      </c>
      <c r="E93" s="4" t="s">
        <v>25</v>
      </c>
      <c r="F93" s="4" t="s">
        <v>25</v>
      </c>
      <c r="G93" s="4" t="s">
        <v>25</v>
      </c>
      <c r="H93" s="4" t="s">
        <v>37</v>
      </c>
      <c r="I93" s="5">
        <v>44682</v>
      </c>
      <c r="J93" s="6">
        <v>0</v>
      </c>
      <c r="K93" s="6">
        <v>0</v>
      </c>
      <c r="L93" s="6">
        <v>2.7362899999999999</v>
      </c>
      <c r="M93" s="6">
        <v>2.7362899999999999</v>
      </c>
      <c r="N93" s="6">
        <v>2.7362899999999999</v>
      </c>
      <c r="O93" s="6">
        <v>2.7362899999999999</v>
      </c>
      <c r="P93" s="6">
        <v>0</v>
      </c>
      <c r="Q93" s="4" t="s">
        <v>26</v>
      </c>
      <c r="R93" s="4">
        <v>0</v>
      </c>
      <c r="S93" s="6">
        <v>0</v>
      </c>
      <c r="T93" s="6">
        <v>22</v>
      </c>
      <c r="U93" s="6">
        <v>84</v>
      </c>
      <c r="V93" s="6">
        <f>IF(ISERROR(VLOOKUP($S$93,'TAR FIN'!$A$1:$O$92,15,0)),0,VLOOKUP($S$93,'TAR FIN'!$A$1:$O$92,15,0))</f>
        <v>0</v>
      </c>
      <c r="W93" s="6">
        <f>IF(ISERROR(VLOOKUP($T$93,'TAR FIN'!$A$1:$O$92,15,0)),0,VLOOKUP($T$93,'TAR FIN'!$A$1:$O$92,15,0))</f>
        <v>73.28</v>
      </c>
      <c r="X93" s="6">
        <f>IF(ISERROR(VLOOKUP($U$93,'TAR FIN'!$A$1:$O$92,15,0)),0,VLOOKUP($U$93,'TAR FIN'!$A$1:$O$92,15,0))</f>
        <v>286.76</v>
      </c>
      <c r="Y93" s="6"/>
      <c r="Z93" s="6">
        <f ca="1">('TUSD BE'!$AM$16+'TUSD BF'!$AM$16+'TUSD CVA'!$AM$16)*1</f>
        <v>139.98967941887983</v>
      </c>
      <c r="AA93" s="6">
        <f>('TE BE'!$AB$8+'TE BF'!$AB$8+'TE CVA'!$AB$8)*1</f>
        <v>271.35516669689775</v>
      </c>
      <c r="AB93" s="6">
        <f>$K$93*$V$93</f>
        <v>0</v>
      </c>
      <c r="AC93" s="6">
        <f>$M$93*$W$93</f>
        <v>200.51533119999999</v>
      </c>
      <c r="AD93" s="6">
        <f>$O$93*$X$93</f>
        <v>784.65852039999993</v>
      </c>
      <c r="AE93" s="6">
        <f>$K$93*$Y$93</f>
        <v>0</v>
      </c>
      <c r="AF93" s="6">
        <f ca="1">$M$93*$Z$93</f>
        <v>383.05235989708666</v>
      </c>
      <c r="AG93" s="6">
        <f>$O$93*$AA$93</f>
        <v>742.50642908105431</v>
      </c>
    </row>
    <row r="94" spans="1:33" ht="11.25" hidden="1" customHeight="1" x14ac:dyDescent="0.3">
      <c r="A94" s="4" t="s">
        <v>21</v>
      </c>
      <c r="B94" s="4" t="s">
        <v>34</v>
      </c>
      <c r="C94" s="4" t="s">
        <v>35</v>
      </c>
      <c r="D94" s="4" t="s">
        <v>40</v>
      </c>
      <c r="E94" s="4" t="s">
        <v>25</v>
      </c>
      <c r="F94" s="4" t="s">
        <v>25</v>
      </c>
      <c r="G94" s="4" t="s">
        <v>25</v>
      </c>
      <c r="H94" s="4" t="s">
        <v>37</v>
      </c>
      <c r="I94" s="5">
        <v>44713</v>
      </c>
      <c r="J94" s="6">
        <v>0</v>
      </c>
      <c r="K94" s="6">
        <v>0</v>
      </c>
      <c r="L94" s="6">
        <v>35.257950000000001</v>
      </c>
      <c r="M94" s="6">
        <v>35.257950000000001</v>
      </c>
      <c r="N94" s="6">
        <v>35.257950000000001</v>
      </c>
      <c r="O94" s="6">
        <v>35.257950000000001</v>
      </c>
      <c r="P94" s="6">
        <v>0</v>
      </c>
      <c r="Q94" s="4" t="s">
        <v>26</v>
      </c>
      <c r="R94" s="4">
        <v>0</v>
      </c>
      <c r="S94" s="6">
        <v>0</v>
      </c>
      <c r="T94" s="6">
        <v>22</v>
      </c>
      <c r="U94" s="6">
        <v>84</v>
      </c>
      <c r="V94" s="6">
        <f>IF(ISERROR(VLOOKUP($S$94,'TAR FIN'!$A$1:$O$92,15,0)),0,VLOOKUP($S$94,'TAR FIN'!$A$1:$O$92,15,0))</f>
        <v>0</v>
      </c>
      <c r="W94" s="6">
        <f>IF(ISERROR(VLOOKUP($T$94,'TAR FIN'!$A$1:$O$92,15,0)),0,VLOOKUP($T$94,'TAR FIN'!$A$1:$O$92,15,0))</f>
        <v>73.28</v>
      </c>
      <c r="X94" s="6">
        <f>IF(ISERROR(VLOOKUP($U$94,'TAR FIN'!$A$1:$O$92,15,0)),0,VLOOKUP($U$94,'TAR FIN'!$A$1:$O$92,15,0))</f>
        <v>286.76</v>
      </c>
      <c r="Y94" s="6"/>
      <c r="Z94" s="6">
        <f ca="1">('TUSD BE'!$AM$16+'TUSD BF'!$AM$16+'TUSD CVA'!$AM$16)*1</f>
        <v>139.98967941887983</v>
      </c>
      <c r="AA94" s="6">
        <f>('TE BE'!$AB$8+'TE BF'!$AB$8+'TE CVA'!$AB$8)*1</f>
        <v>271.35516669689775</v>
      </c>
      <c r="AB94" s="6">
        <f>$K$94*$V$94</f>
        <v>0</v>
      </c>
      <c r="AC94" s="6">
        <f>$M$94*$W$94</f>
        <v>2583.7025760000001</v>
      </c>
      <c r="AD94" s="6">
        <f>$O$94*$X$94</f>
        <v>10110.569742</v>
      </c>
      <c r="AE94" s="6">
        <f>$K$94*$Y$94</f>
        <v>0</v>
      </c>
      <c r="AF94" s="6">
        <f ca="1">$M$94*$Z$94</f>
        <v>4935.7491174668939</v>
      </c>
      <c r="AG94" s="6">
        <f>$O$94*$AA$94</f>
        <v>9567.4268996408864</v>
      </c>
    </row>
    <row r="95" spans="1:33" ht="11.25" hidden="1" customHeight="1" x14ac:dyDescent="0.3">
      <c r="A95" s="4" t="s">
        <v>27</v>
      </c>
      <c r="B95" s="4" t="s">
        <v>34</v>
      </c>
      <c r="C95" s="4" t="s">
        <v>35</v>
      </c>
      <c r="D95" s="4" t="s">
        <v>40</v>
      </c>
      <c r="E95" s="4" t="s">
        <v>25</v>
      </c>
      <c r="F95" s="4" t="s">
        <v>25</v>
      </c>
      <c r="G95" s="4" t="s">
        <v>25</v>
      </c>
      <c r="H95" s="4" t="s">
        <v>37</v>
      </c>
      <c r="I95" s="5">
        <v>44713</v>
      </c>
      <c r="J95" s="6">
        <v>0</v>
      </c>
      <c r="K95" s="6">
        <v>0</v>
      </c>
      <c r="L95" s="6">
        <v>5.1189999999999998</v>
      </c>
      <c r="M95" s="6">
        <v>5.1189999999999998</v>
      </c>
      <c r="N95" s="6">
        <v>5.1189999999999998</v>
      </c>
      <c r="O95" s="6">
        <v>5.1189999999999998</v>
      </c>
      <c r="P95" s="6">
        <v>0</v>
      </c>
      <c r="Q95" s="4" t="s">
        <v>26</v>
      </c>
      <c r="R95" s="4">
        <v>0</v>
      </c>
      <c r="S95" s="6">
        <v>0</v>
      </c>
      <c r="T95" s="6">
        <v>22</v>
      </c>
      <c r="U95" s="6">
        <v>84</v>
      </c>
      <c r="V95" s="6">
        <f>IF(ISERROR(VLOOKUP($S$95,'TAR FIN'!$A$1:$O$92,15,0)),0,VLOOKUP($S$95,'TAR FIN'!$A$1:$O$92,15,0))</f>
        <v>0</v>
      </c>
      <c r="W95" s="6">
        <f>IF(ISERROR(VLOOKUP($T$95,'TAR FIN'!$A$1:$O$92,15,0)),0,VLOOKUP($T$95,'TAR FIN'!$A$1:$O$92,15,0))</f>
        <v>73.28</v>
      </c>
      <c r="X95" s="6">
        <f>IF(ISERROR(VLOOKUP($U$95,'TAR FIN'!$A$1:$O$92,15,0)),0,VLOOKUP($U$95,'TAR FIN'!$A$1:$O$92,15,0))</f>
        <v>286.76</v>
      </c>
      <c r="Y95" s="6"/>
      <c r="Z95" s="6">
        <f ca="1">('TUSD BE'!$AM$16+'TUSD BF'!$AM$16+'TUSD CVA'!$AM$16)*1</f>
        <v>139.98967941887983</v>
      </c>
      <c r="AA95" s="6">
        <f>('TE BE'!$AB$8+'TE BF'!$AB$8+'TE CVA'!$AB$8)*1</f>
        <v>271.35516669689775</v>
      </c>
      <c r="AB95" s="6">
        <f>$K$95*$V$95</f>
        <v>0</v>
      </c>
      <c r="AC95" s="6">
        <f>$M$95*$W$95</f>
        <v>375.12031999999999</v>
      </c>
      <c r="AD95" s="6">
        <f>$O$95*$X$95</f>
        <v>1467.9244399999998</v>
      </c>
      <c r="AE95" s="6">
        <f>$K$95*$Y$95</f>
        <v>0</v>
      </c>
      <c r="AF95" s="6">
        <f ca="1">$M$95*$Z$95</f>
        <v>716.6071689452458</v>
      </c>
      <c r="AG95" s="6">
        <f>$O$95*$AA$95</f>
        <v>1389.0670983214195</v>
      </c>
    </row>
    <row r="96" spans="1:33" ht="11.25" hidden="1" customHeight="1" x14ac:dyDescent="0.3">
      <c r="A96" s="4" t="s">
        <v>21</v>
      </c>
      <c r="B96" s="4" t="s">
        <v>34</v>
      </c>
      <c r="C96" s="4" t="s">
        <v>35</v>
      </c>
      <c r="D96" s="4" t="s">
        <v>40</v>
      </c>
      <c r="E96" s="4" t="s">
        <v>25</v>
      </c>
      <c r="F96" s="4" t="s">
        <v>25</v>
      </c>
      <c r="G96" s="4" t="s">
        <v>25</v>
      </c>
      <c r="H96" s="4" t="s">
        <v>37</v>
      </c>
      <c r="I96" s="5">
        <v>44743</v>
      </c>
      <c r="J96" s="6">
        <v>0</v>
      </c>
      <c r="K96" s="6">
        <v>0</v>
      </c>
      <c r="L96" s="6">
        <v>35.941000000000003</v>
      </c>
      <c r="M96" s="6">
        <v>35.941000000000003</v>
      </c>
      <c r="N96" s="6">
        <v>35.941000000000003</v>
      </c>
      <c r="O96" s="6">
        <v>35.941000000000003</v>
      </c>
      <c r="P96" s="6">
        <v>0</v>
      </c>
      <c r="Q96" s="4" t="s">
        <v>26</v>
      </c>
      <c r="R96" s="4">
        <v>0</v>
      </c>
      <c r="S96" s="6">
        <v>0</v>
      </c>
      <c r="T96" s="6">
        <v>22</v>
      </c>
      <c r="U96" s="6">
        <v>84</v>
      </c>
      <c r="V96" s="6">
        <f>IF(ISERROR(VLOOKUP($S$96,'TAR FIN'!$A$1:$O$92,15,0)),0,VLOOKUP($S$96,'TAR FIN'!$A$1:$O$92,15,0))</f>
        <v>0</v>
      </c>
      <c r="W96" s="6">
        <f>IF(ISERROR(VLOOKUP($T$96,'TAR FIN'!$A$1:$O$92,15,0)),0,VLOOKUP($T$96,'TAR FIN'!$A$1:$O$92,15,0))</f>
        <v>73.28</v>
      </c>
      <c r="X96" s="6">
        <f>IF(ISERROR(VLOOKUP($U$96,'TAR FIN'!$A$1:$O$92,15,0)),0,VLOOKUP($U$96,'TAR FIN'!$A$1:$O$92,15,0))</f>
        <v>286.76</v>
      </c>
      <c r="Y96" s="6"/>
      <c r="Z96" s="6">
        <f ca="1">('TUSD BE'!$AM$16+'TUSD BF'!$AM$16+'TUSD CVA'!$AM$16)*1</f>
        <v>139.98967941887983</v>
      </c>
      <c r="AA96" s="6">
        <f>('TE BE'!$AB$8+'TE BF'!$AB$8+'TE CVA'!$AB$8)*1</f>
        <v>271.35516669689775</v>
      </c>
      <c r="AB96" s="6">
        <f>$K$96*$V$96</f>
        <v>0</v>
      </c>
      <c r="AC96" s="6">
        <f>$M$96*$W$96</f>
        <v>2633.75648</v>
      </c>
      <c r="AD96" s="6">
        <f>$O$96*$X$96</f>
        <v>10306.44116</v>
      </c>
      <c r="AE96" s="6">
        <f>$K$96*$Y$96</f>
        <v>0</v>
      </c>
      <c r="AF96" s="6">
        <f ca="1">$M$96*$Z$96</f>
        <v>5031.36906799396</v>
      </c>
      <c r="AG96" s="6">
        <f>$O$96*$AA$96</f>
        <v>9752.7760462532024</v>
      </c>
    </row>
    <row r="97" spans="1:33" ht="11.25" hidden="1" customHeight="1" x14ac:dyDescent="0.3">
      <c r="A97" s="4" t="s">
        <v>27</v>
      </c>
      <c r="B97" s="4" t="s">
        <v>34</v>
      </c>
      <c r="C97" s="4" t="s">
        <v>35</v>
      </c>
      <c r="D97" s="4" t="s">
        <v>40</v>
      </c>
      <c r="E97" s="4" t="s">
        <v>25</v>
      </c>
      <c r="F97" s="4" t="s">
        <v>25</v>
      </c>
      <c r="G97" s="4" t="s">
        <v>25</v>
      </c>
      <c r="H97" s="4" t="s">
        <v>37</v>
      </c>
      <c r="I97" s="5">
        <v>44743</v>
      </c>
      <c r="J97" s="6">
        <v>0</v>
      </c>
      <c r="K97" s="6">
        <v>0</v>
      </c>
      <c r="L97" s="6">
        <v>1.0893600000000001</v>
      </c>
      <c r="M97" s="6">
        <v>1.0893600000000001</v>
      </c>
      <c r="N97" s="6">
        <v>1.0893600000000001</v>
      </c>
      <c r="O97" s="6">
        <v>1.0893600000000001</v>
      </c>
      <c r="P97" s="6">
        <v>0</v>
      </c>
      <c r="Q97" s="4" t="s">
        <v>26</v>
      </c>
      <c r="R97" s="4">
        <v>0</v>
      </c>
      <c r="S97" s="6">
        <v>0</v>
      </c>
      <c r="T97" s="6">
        <v>22</v>
      </c>
      <c r="U97" s="6">
        <v>84</v>
      </c>
      <c r="V97" s="6">
        <f>IF(ISERROR(VLOOKUP($S$97,'TAR FIN'!$A$1:$O$92,15,0)),0,VLOOKUP($S$97,'TAR FIN'!$A$1:$O$92,15,0))</f>
        <v>0</v>
      </c>
      <c r="W97" s="6">
        <f>IF(ISERROR(VLOOKUP($T$97,'TAR FIN'!$A$1:$O$92,15,0)),0,VLOOKUP($T$97,'TAR FIN'!$A$1:$O$92,15,0))</f>
        <v>73.28</v>
      </c>
      <c r="X97" s="6">
        <f>IF(ISERROR(VLOOKUP($U$97,'TAR FIN'!$A$1:$O$92,15,0)),0,VLOOKUP($U$97,'TAR FIN'!$A$1:$O$92,15,0))</f>
        <v>286.76</v>
      </c>
      <c r="Y97" s="6"/>
      <c r="Z97" s="6">
        <f ca="1">('TUSD BE'!$AM$16+'TUSD BF'!$AM$16+'TUSD CVA'!$AM$16)*1</f>
        <v>139.98967941887983</v>
      </c>
      <c r="AA97" s="6">
        <f>('TE BE'!$AB$8+'TE BF'!$AB$8+'TE CVA'!$AB$8)*1</f>
        <v>271.35516669689775</v>
      </c>
      <c r="AB97" s="6">
        <f>$K$97*$V$97</f>
        <v>0</v>
      </c>
      <c r="AC97" s="6">
        <f>$M$97*$W$97</f>
        <v>79.828300800000008</v>
      </c>
      <c r="AD97" s="6">
        <f>$O$97*$X$97</f>
        <v>312.38487360000005</v>
      </c>
      <c r="AE97" s="6">
        <f>$K$97*$Y$97</f>
        <v>0</v>
      </c>
      <c r="AF97" s="6">
        <f ca="1">$M$97*$Z$97</f>
        <v>152.49915717175094</v>
      </c>
      <c r="AG97" s="6">
        <f>$O$97*$AA$97</f>
        <v>295.60346439293255</v>
      </c>
    </row>
    <row r="98" spans="1:33" ht="11.25" hidden="1" customHeight="1" x14ac:dyDescent="0.3">
      <c r="A98" s="4" t="s">
        <v>21</v>
      </c>
      <c r="B98" s="4" t="s">
        <v>34</v>
      </c>
      <c r="C98" s="4" t="s">
        <v>35</v>
      </c>
      <c r="D98" s="4" t="s">
        <v>40</v>
      </c>
      <c r="E98" s="4" t="s">
        <v>25</v>
      </c>
      <c r="F98" s="4" t="s">
        <v>25</v>
      </c>
      <c r="G98" s="4" t="s">
        <v>25</v>
      </c>
      <c r="H98" s="4" t="s">
        <v>25</v>
      </c>
      <c r="I98" s="5">
        <v>44409</v>
      </c>
      <c r="J98" s="6">
        <v>352</v>
      </c>
      <c r="K98" s="6">
        <v>352</v>
      </c>
      <c r="L98" s="6">
        <v>0</v>
      </c>
      <c r="M98" s="6">
        <v>0</v>
      </c>
      <c r="N98" s="6">
        <v>0</v>
      </c>
      <c r="O98" s="6">
        <v>0</v>
      </c>
      <c r="P98" s="6">
        <v>5</v>
      </c>
      <c r="Q98" s="4" t="s">
        <v>26</v>
      </c>
      <c r="R98" s="4">
        <v>0</v>
      </c>
      <c r="S98" s="6">
        <v>18</v>
      </c>
      <c r="T98" s="6">
        <v>0</v>
      </c>
      <c r="U98" s="6">
        <v>0</v>
      </c>
      <c r="V98" s="6">
        <f>IF(ISERROR(VLOOKUP($S$98,'TAR FIN'!$A$1:$O$92,15,0)),0,VLOOKUP($S$98,'TAR FIN'!$A$1:$O$92,15,0))</f>
        <v>18.489999999999998</v>
      </c>
      <c r="W98" s="6">
        <f>IF(ISERROR(VLOOKUP($T$98,'TAR FIN'!$A$1:$O$92,15,0)),0,VLOOKUP($T$98,'TAR FIN'!$A$1:$O$92,15,0))</f>
        <v>0</v>
      </c>
      <c r="X98" s="6">
        <f>IF(ISERROR(VLOOKUP($U$98,'TAR FIN'!$A$1:$O$92,15,0)),0,VLOOKUP($U$98,'TAR FIN'!$A$1:$O$92,15,0))</f>
        <v>0</v>
      </c>
      <c r="Y98" s="6">
        <f ca="1">('TUSD BE'!$AM$14+'TUSD BF'!$AM$14+'TUSD CVA'!$AM$14)*1</f>
        <v>23.643887023397856</v>
      </c>
      <c r="Z98" s="6"/>
      <c r="AA98" s="6"/>
      <c r="AB98" s="6">
        <f>$K$98*$V$98</f>
        <v>6508.48</v>
      </c>
      <c r="AC98" s="6">
        <f>$M$98*$W$98</f>
        <v>0</v>
      </c>
      <c r="AD98" s="6">
        <f>$O$98*$X$98</f>
        <v>0</v>
      </c>
      <c r="AE98" s="6">
        <f ca="1">$K$98*$Y$98</f>
        <v>8322.6482322360444</v>
      </c>
      <c r="AF98" s="6">
        <f>$M$98*$Z$98</f>
        <v>0</v>
      </c>
      <c r="AG98" s="6">
        <f>$O$98*$AA$98</f>
        <v>0</v>
      </c>
    </row>
    <row r="99" spans="1:33" ht="11.25" hidden="1" customHeight="1" x14ac:dyDescent="0.3">
      <c r="A99" s="4" t="s">
        <v>27</v>
      </c>
      <c r="B99" s="4" t="s">
        <v>34</v>
      </c>
      <c r="C99" s="4" t="s">
        <v>35</v>
      </c>
      <c r="D99" s="4" t="s">
        <v>40</v>
      </c>
      <c r="E99" s="4" t="s">
        <v>25</v>
      </c>
      <c r="F99" s="4" t="s">
        <v>25</v>
      </c>
      <c r="G99" s="4" t="s">
        <v>25</v>
      </c>
      <c r="H99" s="4" t="s">
        <v>25</v>
      </c>
      <c r="I99" s="5">
        <v>44409</v>
      </c>
      <c r="J99" s="6">
        <v>100</v>
      </c>
      <c r="K99" s="6">
        <v>100</v>
      </c>
      <c r="L99" s="6">
        <v>0</v>
      </c>
      <c r="M99" s="6">
        <v>0</v>
      </c>
      <c r="N99" s="6">
        <v>0</v>
      </c>
      <c r="O99" s="6">
        <v>0</v>
      </c>
      <c r="P99" s="6">
        <v>1</v>
      </c>
      <c r="Q99" s="4" t="s">
        <v>26</v>
      </c>
      <c r="R99" s="4">
        <v>0</v>
      </c>
      <c r="S99" s="6">
        <v>18</v>
      </c>
      <c r="T99" s="6">
        <v>0</v>
      </c>
      <c r="U99" s="6">
        <v>0</v>
      </c>
      <c r="V99" s="6">
        <f>IF(ISERROR(VLOOKUP($S$99,'TAR FIN'!$A$1:$O$92,15,0)),0,VLOOKUP($S$99,'TAR FIN'!$A$1:$O$92,15,0))</f>
        <v>18.489999999999998</v>
      </c>
      <c r="W99" s="6">
        <f>IF(ISERROR(VLOOKUP($T$99,'TAR FIN'!$A$1:$O$92,15,0)),0,VLOOKUP($T$99,'TAR FIN'!$A$1:$O$92,15,0))</f>
        <v>0</v>
      </c>
      <c r="X99" s="6">
        <f>IF(ISERROR(VLOOKUP($U$99,'TAR FIN'!$A$1:$O$92,15,0)),0,VLOOKUP($U$99,'TAR FIN'!$A$1:$O$92,15,0))</f>
        <v>0</v>
      </c>
      <c r="Y99" s="6">
        <f ca="1">('TUSD BE'!$AM$14+'TUSD BF'!$AM$14+'TUSD CVA'!$AM$14)*1</f>
        <v>23.643887023397856</v>
      </c>
      <c r="Z99" s="6"/>
      <c r="AA99" s="6"/>
      <c r="AB99" s="6">
        <f>$K$99*$V$99</f>
        <v>1848.9999999999998</v>
      </c>
      <c r="AC99" s="6">
        <f>$M$99*$W$99</f>
        <v>0</v>
      </c>
      <c r="AD99" s="6">
        <f>$O$99*$X$99</f>
        <v>0</v>
      </c>
      <c r="AE99" s="6">
        <f ca="1">$K$99*$Y$99</f>
        <v>2364.3887023397856</v>
      </c>
      <c r="AF99" s="6">
        <f>$M$99*$Z$99</f>
        <v>0</v>
      </c>
      <c r="AG99" s="6">
        <f>$O$99*$AA$99</f>
        <v>0</v>
      </c>
    </row>
    <row r="100" spans="1:33" ht="11.25" hidden="1" customHeight="1" x14ac:dyDescent="0.3">
      <c r="A100" s="4" t="s">
        <v>21</v>
      </c>
      <c r="B100" s="4" t="s">
        <v>34</v>
      </c>
      <c r="C100" s="4" t="s">
        <v>35</v>
      </c>
      <c r="D100" s="4" t="s">
        <v>40</v>
      </c>
      <c r="E100" s="4" t="s">
        <v>25</v>
      </c>
      <c r="F100" s="4" t="s">
        <v>25</v>
      </c>
      <c r="G100" s="4" t="s">
        <v>25</v>
      </c>
      <c r="H100" s="4" t="s">
        <v>25</v>
      </c>
      <c r="I100" s="5">
        <v>44440</v>
      </c>
      <c r="J100" s="6">
        <v>349.06</v>
      </c>
      <c r="K100" s="6">
        <v>349.06</v>
      </c>
      <c r="L100" s="6">
        <v>0</v>
      </c>
      <c r="M100" s="6">
        <v>0</v>
      </c>
      <c r="N100" s="6">
        <v>0</v>
      </c>
      <c r="O100" s="6">
        <v>0</v>
      </c>
      <c r="P100" s="6">
        <v>5</v>
      </c>
      <c r="Q100" s="4" t="s">
        <v>26</v>
      </c>
      <c r="R100" s="4">
        <v>0</v>
      </c>
      <c r="S100" s="6">
        <v>18</v>
      </c>
      <c r="T100" s="6">
        <v>0</v>
      </c>
      <c r="U100" s="6">
        <v>0</v>
      </c>
      <c r="V100" s="6">
        <f>IF(ISERROR(VLOOKUP($S$100,'TAR FIN'!$A$1:$O$92,15,0)),0,VLOOKUP($S$100,'TAR FIN'!$A$1:$O$92,15,0))</f>
        <v>18.489999999999998</v>
      </c>
      <c r="W100" s="6">
        <f>IF(ISERROR(VLOOKUP($T$100,'TAR FIN'!$A$1:$O$92,15,0)),0,VLOOKUP($T$100,'TAR FIN'!$A$1:$O$92,15,0))</f>
        <v>0</v>
      </c>
      <c r="X100" s="6">
        <f>IF(ISERROR(VLOOKUP($U$100,'TAR FIN'!$A$1:$O$92,15,0)),0,VLOOKUP($U$100,'TAR FIN'!$A$1:$O$92,15,0))</f>
        <v>0</v>
      </c>
      <c r="Y100" s="6">
        <f ca="1">('TUSD BE'!$AM$14+'TUSD BF'!$AM$14+'TUSD CVA'!$AM$14)*1</f>
        <v>23.643887023397856</v>
      </c>
      <c r="Z100" s="6"/>
      <c r="AA100" s="6"/>
      <c r="AB100" s="6">
        <f>$K$100*$V$100</f>
        <v>6454.1193999999996</v>
      </c>
      <c r="AC100" s="6">
        <f>$M$100*$W$100</f>
        <v>0</v>
      </c>
      <c r="AD100" s="6">
        <f>$O$100*$X$100</f>
        <v>0</v>
      </c>
      <c r="AE100" s="6">
        <f ca="1">$K$100*$Y$100</f>
        <v>8253.1352043872557</v>
      </c>
      <c r="AF100" s="6">
        <f>$M$100*$Z$100</f>
        <v>0</v>
      </c>
      <c r="AG100" s="6">
        <f>$O$100*$AA$100</f>
        <v>0</v>
      </c>
    </row>
    <row r="101" spans="1:33" ht="11.25" hidden="1" customHeight="1" x14ac:dyDescent="0.3">
      <c r="A101" s="4" t="s">
        <v>27</v>
      </c>
      <c r="B101" s="4" t="s">
        <v>34</v>
      </c>
      <c r="C101" s="4" t="s">
        <v>35</v>
      </c>
      <c r="D101" s="4" t="s">
        <v>40</v>
      </c>
      <c r="E101" s="4" t="s">
        <v>25</v>
      </c>
      <c r="F101" s="4" t="s">
        <v>25</v>
      </c>
      <c r="G101" s="4" t="s">
        <v>25</v>
      </c>
      <c r="H101" s="4" t="s">
        <v>25</v>
      </c>
      <c r="I101" s="5">
        <v>44440</v>
      </c>
      <c r="J101" s="6">
        <v>100</v>
      </c>
      <c r="K101" s="6">
        <v>100</v>
      </c>
      <c r="L101" s="6">
        <v>0</v>
      </c>
      <c r="M101" s="6">
        <v>0</v>
      </c>
      <c r="N101" s="6">
        <v>0</v>
      </c>
      <c r="O101" s="6">
        <v>0</v>
      </c>
      <c r="P101" s="6">
        <v>1</v>
      </c>
      <c r="Q101" s="4" t="s">
        <v>26</v>
      </c>
      <c r="R101" s="4">
        <v>0</v>
      </c>
      <c r="S101" s="6">
        <v>18</v>
      </c>
      <c r="T101" s="6">
        <v>0</v>
      </c>
      <c r="U101" s="6">
        <v>0</v>
      </c>
      <c r="V101" s="6">
        <f>IF(ISERROR(VLOOKUP($S$101,'TAR FIN'!$A$1:$O$92,15,0)),0,VLOOKUP($S$101,'TAR FIN'!$A$1:$O$92,15,0))</f>
        <v>18.489999999999998</v>
      </c>
      <c r="W101" s="6">
        <f>IF(ISERROR(VLOOKUP($T$101,'TAR FIN'!$A$1:$O$92,15,0)),0,VLOOKUP($T$101,'TAR FIN'!$A$1:$O$92,15,0))</f>
        <v>0</v>
      </c>
      <c r="X101" s="6">
        <f>IF(ISERROR(VLOOKUP($U$101,'TAR FIN'!$A$1:$O$92,15,0)),0,VLOOKUP($U$101,'TAR FIN'!$A$1:$O$92,15,0))</f>
        <v>0</v>
      </c>
      <c r="Y101" s="6">
        <f ca="1">('TUSD BE'!$AM$14+'TUSD BF'!$AM$14+'TUSD CVA'!$AM$14)*1</f>
        <v>23.643887023397856</v>
      </c>
      <c r="Z101" s="6"/>
      <c r="AA101" s="6"/>
      <c r="AB101" s="6">
        <f>$K$101*$V$101</f>
        <v>1848.9999999999998</v>
      </c>
      <c r="AC101" s="6">
        <f>$M$101*$W$101</f>
        <v>0</v>
      </c>
      <c r="AD101" s="6">
        <f>$O$101*$X$101</f>
        <v>0</v>
      </c>
      <c r="AE101" s="6">
        <f ca="1">$K$101*$Y$101</f>
        <v>2364.3887023397856</v>
      </c>
      <c r="AF101" s="6">
        <f>$M$101*$Z$101</f>
        <v>0</v>
      </c>
      <c r="AG101" s="6">
        <f>$O$101*$AA$101</f>
        <v>0</v>
      </c>
    </row>
    <row r="102" spans="1:33" ht="11.25" hidden="1" customHeight="1" x14ac:dyDescent="0.3">
      <c r="A102" s="4" t="s">
        <v>21</v>
      </c>
      <c r="B102" s="4" t="s">
        <v>34</v>
      </c>
      <c r="C102" s="4" t="s">
        <v>35</v>
      </c>
      <c r="D102" s="4" t="s">
        <v>40</v>
      </c>
      <c r="E102" s="4" t="s">
        <v>25</v>
      </c>
      <c r="F102" s="4" t="s">
        <v>25</v>
      </c>
      <c r="G102" s="4" t="s">
        <v>25</v>
      </c>
      <c r="H102" s="4" t="s">
        <v>25</v>
      </c>
      <c r="I102" s="5">
        <v>44470</v>
      </c>
      <c r="J102" s="6">
        <v>351.41</v>
      </c>
      <c r="K102" s="6">
        <v>351.41</v>
      </c>
      <c r="L102" s="6">
        <v>0</v>
      </c>
      <c r="M102" s="6">
        <v>0</v>
      </c>
      <c r="N102" s="6">
        <v>0</v>
      </c>
      <c r="O102" s="6">
        <v>0</v>
      </c>
      <c r="P102" s="6">
        <v>5</v>
      </c>
      <c r="Q102" s="4" t="s">
        <v>26</v>
      </c>
      <c r="R102" s="4">
        <v>0</v>
      </c>
      <c r="S102" s="6">
        <v>18</v>
      </c>
      <c r="T102" s="6">
        <v>0</v>
      </c>
      <c r="U102" s="6">
        <v>0</v>
      </c>
      <c r="V102" s="6">
        <f>IF(ISERROR(VLOOKUP($S$102,'TAR FIN'!$A$1:$O$92,15,0)),0,VLOOKUP($S$102,'TAR FIN'!$A$1:$O$92,15,0))</f>
        <v>18.489999999999998</v>
      </c>
      <c r="W102" s="6">
        <f>IF(ISERROR(VLOOKUP($T$102,'TAR FIN'!$A$1:$O$92,15,0)),0,VLOOKUP($T$102,'TAR FIN'!$A$1:$O$92,15,0))</f>
        <v>0</v>
      </c>
      <c r="X102" s="6">
        <f>IF(ISERROR(VLOOKUP($U$102,'TAR FIN'!$A$1:$O$92,15,0)),0,VLOOKUP($U$102,'TAR FIN'!$A$1:$O$92,15,0))</f>
        <v>0</v>
      </c>
      <c r="Y102" s="6">
        <f ca="1">('TUSD BE'!$AM$14+'TUSD BF'!$AM$14+'TUSD CVA'!$AM$14)*1</f>
        <v>23.643887023397856</v>
      </c>
      <c r="Z102" s="6"/>
      <c r="AA102" s="6"/>
      <c r="AB102" s="6">
        <f>$K$102*$V$102</f>
        <v>6497.5708999999997</v>
      </c>
      <c r="AC102" s="6">
        <f>$M$102*$W$102</f>
        <v>0</v>
      </c>
      <c r="AD102" s="6">
        <f>$O$102*$X$102</f>
        <v>0</v>
      </c>
      <c r="AE102" s="6">
        <f ca="1">$K$102*$Y$102</f>
        <v>8308.6983388922417</v>
      </c>
      <c r="AF102" s="6">
        <f>$M$102*$Z$102</f>
        <v>0</v>
      </c>
      <c r="AG102" s="6">
        <f>$O$102*$AA$102</f>
        <v>0</v>
      </c>
    </row>
    <row r="103" spans="1:33" ht="11.25" hidden="1" customHeight="1" x14ac:dyDescent="0.3">
      <c r="A103" s="4" t="s">
        <v>27</v>
      </c>
      <c r="B103" s="4" t="s">
        <v>34</v>
      </c>
      <c r="C103" s="4" t="s">
        <v>35</v>
      </c>
      <c r="D103" s="4" t="s">
        <v>40</v>
      </c>
      <c r="E103" s="4" t="s">
        <v>25</v>
      </c>
      <c r="F103" s="4" t="s">
        <v>25</v>
      </c>
      <c r="G103" s="4" t="s">
        <v>25</v>
      </c>
      <c r="H103" s="4" t="s">
        <v>25</v>
      </c>
      <c r="I103" s="5">
        <v>44470</v>
      </c>
      <c r="J103" s="6">
        <v>100</v>
      </c>
      <c r="K103" s="6">
        <v>100</v>
      </c>
      <c r="L103" s="6">
        <v>0</v>
      </c>
      <c r="M103" s="6">
        <v>0</v>
      </c>
      <c r="N103" s="6">
        <v>0</v>
      </c>
      <c r="O103" s="6">
        <v>0</v>
      </c>
      <c r="P103" s="6">
        <v>1</v>
      </c>
      <c r="Q103" s="4" t="s">
        <v>26</v>
      </c>
      <c r="R103" s="4">
        <v>0</v>
      </c>
      <c r="S103" s="6">
        <v>18</v>
      </c>
      <c r="T103" s="6">
        <v>0</v>
      </c>
      <c r="U103" s="6">
        <v>0</v>
      </c>
      <c r="V103" s="6">
        <f>IF(ISERROR(VLOOKUP($S$103,'TAR FIN'!$A$1:$O$92,15,0)),0,VLOOKUP($S$103,'TAR FIN'!$A$1:$O$92,15,0))</f>
        <v>18.489999999999998</v>
      </c>
      <c r="W103" s="6">
        <f>IF(ISERROR(VLOOKUP($T$103,'TAR FIN'!$A$1:$O$92,15,0)),0,VLOOKUP($T$103,'TAR FIN'!$A$1:$O$92,15,0))</f>
        <v>0</v>
      </c>
      <c r="X103" s="6">
        <f>IF(ISERROR(VLOOKUP($U$103,'TAR FIN'!$A$1:$O$92,15,0)),0,VLOOKUP($U$103,'TAR FIN'!$A$1:$O$92,15,0))</f>
        <v>0</v>
      </c>
      <c r="Y103" s="6">
        <f ca="1">('TUSD BE'!$AM$14+'TUSD BF'!$AM$14+'TUSD CVA'!$AM$14)*1</f>
        <v>23.643887023397856</v>
      </c>
      <c r="Z103" s="6"/>
      <c r="AA103" s="6"/>
      <c r="AB103" s="6">
        <f>$K$103*$V$103</f>
        <v>1848.9999999999998</v>
      </c>
      <c r="AC103" s="6">
        <f>$M$103*$W$103</f>
        <v>0</v>
      </c>
      <c r="AD103" s="6">
        <f>$O$103*$X$103</f>
        <v>0</v>
      </c>
      <c r="AE103" s="6">
        <f ca="1">$K$103*$Y$103</f>
        <v>2364.3887023397856</v>
      </c>
      <c r="AF103" s="6">
        <f>$M$103*$Z$103</f>
        <v>0</v>
      </c>
      <c r="AG103" s="6">
        <f>$O$103*$AA$103</f>
        <v>0</v>
      </c>
    </row>
    <row r="104" spans="1:33" ht="11.25" hidden="1" customHeight="1" x14ac:dyDescent="0.3">
      <c r="A104" s="4" t="s">
        <v>21</v>
      </c>
      <c r="B104" s="4" t="s">
        <v>34</v>
      </c>
      <c r="C104" s="4" t="s">
        <v>35</v>
      </c>
      <c r="D104" s="4" t="s">
        <v>40</v>
      </c>
      <c r="E104" s="4" t="s">
        <v>25</v>
      </c>
      <c r="F104" s="4" t="s">
        <v>25</v>
      </c>
      <c r="G104" s="4" t="s">
        <v>25</v>
      </c>
      <c r="H104" s="4" t="s">
        <v>25</v>
      </c>
      <c r="I104" s="5">
        <v>44501</v>
      </c>
      <c r="J104" s="6">
        <v>366</v>
      </c>
      <c r="K104" s="6">
        <v>366</v>
      </c>
      <c r="L104" s="6">
        <v>0</v>
      </c>
      <c r="M104" s="6">
        <v>0</v>
      </c>
      <c r="N104" s="6">
        <v>0</v>
      </c>
      <c r="O104" s="6">
        <v>0</v>
      </c>
      <c r="P104" s="6">
        <v>6</v>
      </c>
      <c r="Q104" s="4" t="s">
        <v>26</v>
      </c>
      <c r="R104" s="4">
        <v>0</v>
      </c>
      <c r="S104" s="6">
        <v>18</v>
      </c>
      <c r="T104" s="6">
        <v>0</v>
      </c>
      <c r="U104" s="6">
        <v>0</v>
      </c>
      <c r="V104" s="6">
        <f>IF(ISERROR(VLOOKUP($S$104,'TAR FIN'!$A$1:$O$92,15,0)),0,VLOOKUP($S$104,'TAR FIN'!$A$1:$O$92,15,0))</f>
        <v>18.489999999999998</v>
      </c>
      <c r="W104" s="6">
        <f>IF(ISERROR(VLOOKUP($T$104,'TAR FIN'!$A$1:$O$92,15,0)),0,VLOOKUP($T$104,'TAR FIN'!$A$1:$O$92,15,0))</f>
        <v>0</v>
      </c>
      <c r="X104" s="6">
        <f>IF(ISERROR(VLOOKUP($U$104,'TAR FIN'!$A$1:$O$92,15,0)),0,VLOOKUP($U$104,'TAR FIN'!$A$1:$O$92,15,0))</f>
        <v>0</v>
      </c>
      <c r="Y104" s="6">
        <f ca="1">('TUSD BE'!$AM$14+'TUSD BF'!$AM$14+'TUSD CVA'!$AM$14)*1</f>
        <v>23.643887023397856</v>
      </c>
      <c r="Z104" s="6"/>
      <c r="AA104" s="6"/>
      <c r="AB104" s="6">
        <f>$K$104*$V$104</f>
        <v>6767.3399999999992</v>
      </c>
      <c r="AC104" s="6">
        <f>$M$104*$W$104</f>
        <v>0</v>
      </c>
      <c r="AD104" s="6">
        <f>$O$104*$X$104</f>
        <v>0</v>
      </c>
      <c r="AE104" s="6">
        <f ca="1">$K$104*$Y$104</f>
        <v>8653.6626505636159</v>
      </c>
      <c r="AF104" s="6">
        <f>$M$104*$Z$104</f>
        <v>0</v>
      </c>
      <c r="AG104" s="6">
        <f>$O$104*$AA$104</f>
        <v>0</v>
      </c>
    </row>
    <row r="105" spans="1:33" ht="11.25" hidden="1" customHeight="1" x14ac:dyDescent="0.3">
      <c r="A105" s="4" t="s">
        <v>27</v>
      </c>
      <c r="B105" s="4" t="s">
        <v>34</v>
      </c>
      <c r="C105" s="4" t="s">
        <v>35</v>
      </c>
      <c r="D105" s="4" t="s">
        <v>40</v>
      </c>
      <c r="E105" s="4" t="s">
        <v>25</v>
      </c>
      <c r="F105" s="4" t="s">
        <v>25</v>
      </c>
      <c r="G105" s="4" t="s">
        <v>25</v>
      </c>
      <c r="H105" s="4" t="s">
        <v>25</v>
      </c>
      <c r="I105" s="5">
        <v>44501</v>
      </c>
      <c r="J105" s="6">
        <v>100</v>
      </c>
      <c r="K105" s="6">
        <v>100</v>
      </c>
      <c r="L105" s="6">
        <v>0</v>
      </c>
      <c r="M105" s="6">
        <v>0</v>
      </c>
      <c r="N105" s="6">
        <v>0</v>
      </c>
      <c r="O105" s="6">
        <v>0</v>
      </c>
      <c r="P105" s="6">
        <v>1</v>
      </c>
      <c r="Q105" s="4" t="s">
        <v>26</v>
      </c>
      <c r="R105" s="4">
        <v>0</v>
      </c>
      <c r="S105" s="6">
        <v>18</v>
      </c>
      <c r="T105" s="6">
        <v>0</v>
      </c>
      <c r="U105" s="6">
        <v>0</v>
      </c>
      <c r="V105" s="6">
        <f>IF(ISERROR(VLOOKUP($S$105,'TAR FIN'!$A$1:$O$92,15,0)),0,VLOOKUP($S$105,'TAR FIN'!$A$1:$O$92,15,0))</f>
        <v>18.489999999999998</v>
      </c>
      <c r="W105" s="6">
        <f>IF(ISERROR(VLOOKUP($T$105,'TAR FIN'!$A$1:$O$92,15,0)),0,VLOOKUP($T$105,'TAR FIN'!$A$1:$O$92,15,0))</f>
        <v>0</v>
      </c>
      <c r="X105" s="6">
        <f>IF(ISERROR(VLOOKUP($U$105,'TAR FIN'!$A$1:$O$92,15,0)),0,VLOOKUP($U$105,'TAR FIN'!$A$1:$O$92,15,0))</f>
        <v>0</v>
      </c>
      <c r="Y105" s="6">
        <f ca="1">('TUSD BE'!$AM$14+'TUSD BF'!$AM$14+'TUSD CVA'!$AM$14)*1</f>
        <v>23.643887023397856</v>
      </c>
      <c r="Z105" s="6"/>
      <c r="AA105" s="6"/>
      <c r="AB105" s="6">
        <f>$K$105*$V$105</f>
        <v>1848.9999999999998</v>
      </c>
      <c r="AC105" s="6">
        <f>$M$105*$W$105</f>
        <v>0</v>
      </c>
      <c r="AD105" s="6">
        <f>$O$105*$X$105</f>
        <v>0</v>
      </c>
      <c r="AE105" s="6">
        <f ca="1">$K$105*$Y$105</f>
        <v>2364.3887023397856</v>
      </c>
      <c r="AF105" s="6">
        <f>$M$105*$Z$105</f>
        <v>0</v>
      </c>
      <c r="AG105" s="6">
        <f>$O$105*$AA$105</f>
        <v>0</v>
      </c>
    </row>
    <row r="106" spans="1:33" ht="11.25" hidden="1" customHeight="1" x14ac:dyDescent="0.3">
      <c r="A106" s="4" t="s">
        <v>21</v>
      </c>
      <c r="B106" s="4" t="s">
        <v>34</v>
      </c>
      <c r="C106" s="4" t="s">
        <v>35</v>
      </c>
      <c r="D106" s="4" t="s">
        <v>40</v>
      </c>
      <c r="E106" s="4" t="s">
        <v>25</v>
      </c>
      <c r="F106" s="4" t="s">
        <v>25</v>
      </c>
      <c r="G106" s="4" t="s">
        <v>25</v>
      </c>
      <c r="H106" s="4" t="s">
        <v>25</v>
      </c>
      <c r="I106" s="5">
        <v>44531</v>
      </c>
      <c r="J106" s="6">
        <v>389.11</v>
      </c>
      <c r="K106" s="6">
        <v>389.11</v>
      </c>
      <c r="L106" s="6">
        <v>0</v>
      </c>
      <c r="M106" s="6">
        <v>0</v>
      </c>
      <c r="N106" s="6">
        <v>0</v>
      </c>
      <c r="O106" s="6">
        <v>0</v>
      </c>
      <c r="P106" s="6">
        <v>6</v>
      </c>
      <c r="Q106" s="4" t="s">
        <v>26</v>
      </c>
      <c r="R106" s="4">
        <v>0</v>
      </c>
      <c r="S106" s="6">
        <v>18</v>
      </c>
      <c r="T106" s="6">
        <v>0</v>
      </c>
      <c r="U106" s="6">
        <v>0</v>
      </c>
      <c r="V106" s="6">
        <f>IF(ISERROR(VLOOKUP($S$106,'TAR FIN'!$A$1:$O$92,15,0)),0,VLOOKUP($S$106,'TAR FIN'!$A$1:$O$92,15,0))</f>
        <v>18.489999999999998</v>
      </c>
      <c r="W106" s="6">
        <f>IF(ISERROR(VLOOKUP($T$106,'TAR FIN'!$A$1:$O$92,15,0)),0,VLOOKUP($T$106,'TAR FIN'!$A$1:$O$92,15,0))</f>
        <v>0</v>
      </c>
      <c r="X106" s="6">
        <f>IF(ISERROR(VLOOKUP($U$106,'TAR FIN'!$A$1:$O$92,15,0)),0,VLOOKUP($U$106,'TAR FIN'!$A$1:$O$92,15,0))</f>
        <v>0</v>
      </c>
      <c r="Y106" s="6">
        <f ca="1">('TUSD BE'!$AM$14+'TUSD BF'!$AM$14+'TUSD CVA'!$AM$14)*1</f>
        <v>23.643887023397856</v>
      </c>
      <c r="Z106" s="6"/>
      <c r="AA106" s="6"/>
      <c r="AB106" s="6">
        <f>$K$106*$V$106</f>
        <v>7194.6439</v>
      </c>
      <c r="AC106" s="6">
        <f>$M$106*$W$106</f>
        <v>0</v>
      </c>
      <c r="AD106" s="6">
        <f>$O$106*$X$106</f>
        <v>0</v>
      </c>
      <c r="AE106" s="6">
        <f ca="1">$K$106*$Y$106</f>
        <v>9200.0728796743406</v>
      </c>
      <c r="AF106" s="6">
        <f>$M$106*$Z$106</f>
        <v>0</v>
      </c>
      <c r="AG106" s="6">
        <f>$O$106*$AA$106</f>
        <v>0</v>
      </c>
    </row>
    <row r="107" spans="1:33" ht="11.25" hidden="1" customHeight="1" x14ac:dyDescent="0.3">
      <c r="A107" s="4" t="s">
        <v>27</v>
      </c>
      <c r="B107" s="4" t="s">
        <v>34</v>
      </c>
      <c r="C107" s="4" t="s">
        <v>35</v>
      </c>
      <c r="D107" s="4" t="s">
        <v>40</v>
      </c>
      <c r="E107" s="4" t="s">
        <v>25</v>
      </c>
      <c r="F107" s="4" t="s">
        <v>25</v>
      </c>
      <c r="G107" s="4" t="s">
        <v>25</v>
      </c>
      <c r="H107" s="4" t="s">
        <v>25</v>
      </c>
      <c r="I107" s="5">
        <v>44531</v>
      </c>
      <c r="J107" s="6">
        <v>100</v>
      </c>
      <c r="K107" s="6">
        <v>100</v>
      </c>
      <c r="L107" s="6">
        <v>0</v>
      </c>
      <c r="M107" s="6">
        <v>0</v>
      </c>
      <c r="N107" s="6">
        <v>0</v>
      </c>
      <c r="O107" s="6">
        <v>0</v>
      </c>
      <c r="P107" s="6">
        <v>1</v>
      </c>
      <c r="Q107" s="4" t="s">
        <v>26</v>
      </c>
      <c r="R107" s="4">
        <v>0</v>
      </c>
      <c r="S107" s="6">
        <v>18</v>
      </c>
      <c r="T107" s="6">
        <v>0</v>
      </c>
      <c r="U107" s="6">
        <v>0</v>
      </c>
      <c r="V107" s="6">
        <f>IF(ISERROR(VLOOKUP($S$107,'TAR FIN'!$A$1:$O$92,15,0)),0,VLOOKUP($S$107,'TAR FIN'!$A$1:$O$92,15,0))</f>
        <v>18.489999999999998</v>
      </c>
      <c r="W107" s="6">
        <f>IF(ISERROR(VLOOKUP($T$107,'TAR FIN'!$A$1:$O$92,15,0)),0,VLOOKUP($T$107,'TAR FIN'!$A$1:$O$92,15,0))</f>
        <v>0</v>
      </c>
      <c r="X107" s="6">
        <f>IF(ISERROR(VLOOKUP($U$107,'TAR FIN'!$A$1:$O$92,15,0)),0,VLOOKUP($U$107,'TAR FIN'!$A$1:$O$92,15,0))</f>
        <v>0</v>
      </c>
      <c r="Y107" s="6">
        <f ca="1">('TUSD BE'!$AM$14+'TUSD BF'!$AM$14+'TUSD CVA'!$AM$14)*1</f>
        <v>23.643887023397856</v>
      </c>
      <c r="Z107" s="6"/>
      <c r="AA107" s="6"/>
      <c r="AB107" s="6">
        <f>$K$107*$V$107</f>
        <v>1848.9999999999998</v>
      </c>
      <c r="AC107" s="6">
        <f>$M$107*$W$107</f>
        <v>0</v>
      </c>
      <c r="AD107" s="6">
        <f>$O$107*$X$107</f>
        <v>0</v>
      </c>
      <c r="AE107" s="6">
        <f ca="1">$K$107*$Y$107</f>
        <v>2364.3887023397856</v>
      </c>
      <c r="AF107" s="6">
        <f>$M$107*$Z$107</f>
        <v>0</v>
      </c>
      <c r="AG107" s="6">
        <f>$O$107*$AA$107</f>
        <v>0</v>
      </c>
    </row>
    <row r="108" spans="1:33" ht="11.25" hidden="1" customHeight="1" x14ac:dyDescent="0.3">
      <c r="A108" s="4" t="s">
        <v>21</v>
      </c>
      <c r="B108" s="4" t="s">
        <v>34</v>
      </c>
      <c r="C108" s="4" t="s">
        <v>35</v>
      </c>
      <c r="D108" s="4" t="s">
        <v>40</v>
      </c>
      <c r="E108" s="4" t="s">
        <v>25</v>
      </c>
      <c r="F108" s="4" t="s">
        <v>25</v>
      </c>
      <c r="G108" s="4" t="s">
        <v>25</v>
      </c>
      <c r="H108" s="4" t="s">
        <v>25</v>
      </c>
      <c r="I108" s="5">
        <v>44562</v>
      </c>
      <c r="J108" s="6">
        <v>394</v>
      </c>
      <c r="K108" s="6">
        <v>394</v>
      </c>
      <c r="L108" s="6">
        <v>0</v>
      </c>
      <c r="M108" s="6">
        <v>0</v>
      </c>
      <c r="N108" s="6">
        <v>0</v>
      </c>
      <c r="O108" s="6">
        <v>0</v>
      </c>
      <c r="P108" s="6">
        <v>6</v>
      </c>
      <c r="Q108" s="4" t="s">
        <v>26</v>
      </c>
      <c r="R108" s="4">
        <v>0</v>
      </c>
      <c r="S108" s="6">
        <v>18</v>
      </c>
      <c r="T108" s="6">
        <v>0</v>
      </c>
      <c r="U108" s="6">
        <v>0</v>
      </c>
      <c r="V108" s="6">
        <f>IF(ISERROR(VLOOKUP($S$108,'TAR FIN'!$A$1:$O$92,15,0)),0,VLOOKUP($S$108,'TAR FIN'!$A$1:$O$92,15,0))</f>
        <v>18.489999999999998</v>
      </c>
      <c r="W108" s="6">
        <f>IF(ISERROR(VLOOKUP($T$108,'TAR FIN'!$A$1:$O$92,15,0)),0,VLOOKUP($T$108,'TAR FIN'!$A$1:$O$92,15,0))</f>
        <v>0</v>
      </c>
      <c r="X108" s="6">
        <f>IF(ISERROR(VLOOKUP($U$108,'TAR FIN'!$A$1:$O$92,15,0)),0,VLOOKUP($U$108,'TAR FIN'!$A$1:$O$92,15,0))</f>
        <v>0</v>
      </c>
      <c r="Y108" s="6">
        <f ca="1">('TUSD BE'!$AM$14+'TUSD BF'!$AM$14+'TUSD CVA'!$AM$14)*1</f>
        <v>23.643887023397856</v>
      </c>
      <c r="Z108" s="6"/>
      <c r="AA108" s="6"/>
      <c r="AB108" s="6">
        <f>$K$108*$V$108</f>
        <v>7285.0599999999995</v>
      </c>
      <c r="AC108" s="6">
        <f>$M$108*$W$108</f>
        <v>0</v>
      </c>
      <c r="AD108" s="6">
        <f>$O$108*$X$108</f>
        <v>0</v>
      </c>
      <c r="AE108" s="6">
        <f ca="1">$K$108*$Y$108</f>
        <v>9315.6914872187554</v>
      </c>
      <c r="AF108" s="6">
        <f>$M$108*$Z$108</f>
        <v>0</v>
      </c>
      <c r="AG108" s="6">
        <f>$O$108*$AA$108</f>
        <v>0</v>
      </c>
    </row>
    <row r="109" spans="1:33" ht="11.25" hidden="1" customHeight="1" x14ac:dyDescent="0.3">
      <c r="A109" s="4" t="s">
        <v>27</v>
      </c>
      <c r="B109" s="4" t="s">
        <v>34</v>
      </c>
      <c r="C109" s="4" t="s">
        <v>35</v>
      </c>
      <c r="D109" s="4" t="s">
        <v>40</v>
      </c>
      <c r="E109" s="4" t="s">
        <v>25</v>
      </c>
      <c r="F109" s="4" t="s">
        <v>25</v>
      </c>
      <c r="G109" s="4" t="s">
        <v>25</v>
      </c>
      <c r="H109" s="4" t="s">
        <v>25</v>
      </c>
      <c r="I109" s="5">
        <v>44562</v>
      </c>
      <c r="J109" s="6">
        <v>100</v>
      </c>
      <c r="K109" s="6">
        <v>100</v>
      </c>
      <c r="L109" s="6">
        <v>0</v>
      </c>
      <c r="M109" s="6">
        <v>0</v>
      </c>
      <c r="N109" s="6">
        <v>0</v>
      </c>
      <c r="O109" s="6">
        <v>0</v>
      </c>
      <c r="P109" s="6">
        <v>1</v>
      </c>
      <c r="Q109" s="4" t="s">
        <v>26</v>
      </c>
      <c r="R109" s="4">
        <v>0</v>
      </c>
      <c r="S109" s="6">
        <v>18</v>
      </c>
      <c r="T109" s="6">
        <v>0</v>
      </c>
      <c r="U109" s="6">
        <v>0</v>
      </c>
      <c r="V109" s="6">
        <f>IF(ISERROR(VLOOKUP($S$109,'TAR FIN'!$A$1:$O$92,15,0)),0,VLOOKUP($S$109,'TAR FIN'!$A$1:$O$92,15,0))</f>
        <v>18.489999999999998</v>
      </c>
      <c r="W109" s="6">
        <f>IF(ISERROR(VLOOKUP($T$109,'TAR FIN'!$A$1:$O$92,15,0)),0,VLOOKUP($T$109,'TAR FIN'!$A$1:$O$92,15,0))</f>
        <v>0</v>
      </c>
      <c r="X109" s="6">
        <f>IF(ISERROR(VLOOKUP($U$109,'TAR FIN'!$A$1:$O$92,15,0)),0,VLOOKUP($U$109,'TAR FIN'!$A$1:$O$92,15,0))</f>
        <v>0</v>
      </c>
      <c r="Y109" s="6">
        <f ca="1">('TUSD BE'!$AM$14+'TUSD BF'!$AM$14+'TUSD CVA'!$AM$14)*1</f>
        <v>23.643887023397856</v>
      </c>
      <c r="Z109" s="6"/>
      <c r="AA109" s="6"/>
      <c r="AB109" s="6">
        <f>$K$109*$V$109</f>
        <v>1848.9999999999998</v>
      </c>
      <c r="AC109" s="6">
        <f>$M$109*$W$109</f>
        <v>0</v>
      </c>
      <c r="AD109" s="6">
        <f>$O$109*$X$109</f>
        <v>0</v>
      </c>
      <c r="AE109" s="6">
        <f ca="1">$K$109*$Y$109</f>
        <v>2364.3887023397856</v>
      </c>
      <c r="AF109" s="6">
        <f>$M$109*$Z$109</f>
        <v>0</v>
      </c>
      <c r="AG109" s="6">
        <f>$O$109*$AA$109</f>
        <v>0</v>
      </c>
    </row>
    <row r="110" spans="1:33" ht="11.25" hidden="1" customHeight="1" x14ac:dyDescent="0.3">
      <c r="A110" s="4" t="s">
        <v>21</v>
      </c>
      <c r="B110" s="4" t="s">
        <v>34</v>
      </c>
      <c r="C110" s="4" t="s">
        <v>35</v>
      </c>
      <c r="D110" s="4" t="s">
        <v>40</v>
      </c>
      <c r="E110" s="4" t="s">
        <v>25</v>
      </c>
      <c r="F110" s="4" t="s">
        <v>25</v>
      </c>
      <c r="G110" s="4" t="s">
        <v>25</v>
      </c>
      <c r="H110" s="4" t="s">
        <v>25</v>
      </c>
      <c r="I110" s="5">
        <v>44593</v>
      </c>
      <c r="J110" s="6">
        <v>428</v>
      </c>
      <c r="K110" s="6">
        <v>428</v>
      </c>
      <c r="L110" s="6">
        <v>0</v>
      </c>
      <c r="M110" s="6">
        <v>0</v>
      </c>
      <c r="N110" s="6">
        <v>0</v>
      </c>
      <c r="O110" s="6">
        <v>0</v>
      </c>
      <c r="P110" s="6">
        <v>6</v>
      </c>
      <c r="Q110" s="4" t="s">
        <v>26</v>
      </c>
      <c r="R110" s="4">
        <v>0</v>
      </c>
      <c r="S110" s="6">
        <v>18</v>
      </c>
      <c r="T110" s="6">
        <v>0</v>
      </c>
      <c r="U110" s="6">
        <v>0</v>
      </c>
      <c r="V110" s="6">
        <f>IF(ISERROR(VLOOKUP($S$110,'TAR FIN'!$A$1:$O$92,15,0)),0,VLOOKUP($S$110,'TAR FIN'!$A$1:$O$92,15,0))</f>
        <v>18.489999999999998</v>
      </c>
      <c r="W110" s="6">
        <f>IF(ISERROR(VLOOKUP($T$110,'TAR FIN'!$A$1:$O$92,15,0)),0,VLOOKUP($T$110,'TAR FIN'!$A$1:$O$92,15,0))</f>
        <v>0</v>
      </c>
      <c r="X110" s="6">
        <f>IF(ISERROR(VLOOKUP($U$110,'TAR FIN'!$A$1:$O$92,15,0)),0,VLOOKUP($U$110,'TAR FIN'!$A$1:$O$92,15,0))</f>
        <v>0</v>
      </c>
      <c r="Y110" s="6">
        <f ca="1">('TUSD BE'!$AM$14+'TUSD BF'!$AM$14+'TUSD CVA'!$AM$14)*1</f>
        <v>23.643887023397856</v>
      </c>
      <c r="Z110" s="6"/>
      <c r="AA110" s="6"/>
      <c r="AB110" s="6">
        <f>$K$110*$V$110</f>
        <v>7913.7199999999993</v>
      </c>
      <c r="AC110" s="6">
        <f>$M$110*$W$110</f>
        <v>0</v>
      </c>
      <c r="AD110" s="6">
        <f>$O$110*$X$110</f>
        <v>0</v>
      </c>
      <c r="AE110" s="6">
        <f ca="1">$K$110*$Y$110</f>
        <v>10119.583646014282</v>
      </c>
      <c r="AF110" s="6">
        <f>$M$110*$Z$110</f>
        <v>0</v>
      </c>
      <c r="AG110" s="6">
        <f>$O$110*$AA$110</f>
        <v>0</v>
      </c>
    </row>
    <row r="111" spans="1:33" ht="11.25" hidden="1" customHeight="1" x14ac:dyDescent="0.3">
      <c r="A111" s="4" t="s">
        <v>27</v>
      </c>
      <c r="B111" s="4" t="s">
        <v>34</v>
      </c>
      <c r="C111" s="4" t="s">
        <v>35</v>
      </c>
      <c r="D111" s="4" t="s">
        <v>40</v>
      </c>
      <c r="E111" s="4" t="s">
        <v>25</v>
      </c>
      <c r="F111" s="4" t="s">
        <v>25</v>
      </c>
      <c r="G111" s="4" t="s">
        <v>25</v>
      </c>
      <c r="H111" s="4" t="s">
        <v>25</v>
      </c>
      <c r="I111" s="5">
        <v>44593</v>
      </c>
      <c r="J111" s="6">
        <v>100</v>
      </c>
      <c r="K111" s="6">
        <v>100</v>
      </c>
      <c r="L111" s="6">
        <v>0</v>
      </c>
      <c r="M111" s="6">
        <v>0</v>
      </c>
      <c r="N111" s="6">
        <v>0</v>
      </c>
      <c r="O111" s="6">
        <v>0</v>
      </c>
      <c r="P111" s="6">
        <v>1</v>
      </c>
      <c r="Q111" s="4" t="s">
        <v>26</v>
      </c>
      <c r="R111" s="4">
        <v>0</v>
      </c>
      <c r="S111" s="6">
        <v>18</v>
      </c>
      <c r="T111" s="6">
        <v>0</v>
      </c>
      <c r="U111" s="6">
        <v>0</v>
      </c>
      <c r="V111" s="6">
        <f>IF(ISERROR(VLOOKUP($S$111,'TAR FIN'!$A$1:$O$92,15,0)),0,VLOOKUP($S$111,'TAR FIN'!$A$1:$O$92,15,0))</f>
        <v>18.489999999999998</v>
      </c>
      <c r="W111" s="6">
        <f>IF(ISERROR(VLOOKUP($T$111,'TAR FIN'!$A$1:$O$92,15,0)),0,VLOOKUP($T$111,'TAR FIN'!$A$1:$O$92,15,0))</f>
        <v>0</v>
      </c>
      <c r="X111" s="6">
        <f>IF(ISERROR(VLOOKUP($U$111,'TAR FIN'!$A$1:$O$92,15,0)),0,VLOOKUP($U$111,'TAR FIN'!$A$1:$O$92,15,0))</f>
        <v>0</v>
      </c>
      <c r="Y111" s="6">
        <f ca="1">('TUSD BE'!$AM$14+'TUSD BF'!$AM$14+'TUSD CVA'!$AM$14)*1</f>
        <v>23.643887023397856</v>
      </c>
      <c r="Z111" s="6"/>
      <c r="AA111" s="6"/>
      <c r="AB111" s="6">
        <f>$K$111*$V$111</f>
        <v>1848.9999999999998</v>
      </c>
      <c r="AC111" s="6">
        <f>$M$111*$W$111</f>
        <v>0</v>
      </c>
      <c r="AD111" s="6">
        <f>$O$111*$X$111</f>
        <v>0</v>
      </c>
      <c r="AE111" s="6">
        <f ca="1">$K$111*$Y$111</f>
        <v>2364.3887023397856</v>
      </c>
      <c r="AF111" s="6">
        <f>$M$111*$Z$111</f>
        <v>0</v>
      </c>
      <c r="AG111" s="6">
        <f>$O$111*$AA$111</f>
        <v>0</v>
      </c>
    </row>
    <row r="112" spans="1:33" ht="11.25" hidden="1" customHeight="1" x14ac:dyDescent="0.3">
      <c r="A112" s="4" t="s">
        <v>21</v>
      </c>
      <c r="B112" s="4" t="s">
        <v>34</v>
      </c>
      <c r="C112" s="4" t="s">
        <v>35</v>
      </c>
      <c r="D112" s="4" t="s">
        <v>40</v>
      </c>
      <c r="E112" s="4" t="s">
        <v>25</v>
      </c>
      <c r="F112" s="4" t="s">
        <v>25</v>
      </c>
      <c r="G112" s="4" t="s">
        <v>25</v>
      </c>
      <c r="H112" s="4" t="s">
        <v>25</v>
      </c>
      <c r="I112" s="5">
        <v>44621</v>
      </c>
      <c r="J112" s="6">
        <v>425.34</v>
      </c>
      <c r="K112" s="6">
        <v>425.34</v>
      </c>
      <c r="L112" s="6">
        <v>0</v>
      </c>
      <c r="M112" s="6">
        <v>0</v>
      </c>
      <c r="N112" s="6">
        <v>0</v>
      </c>
      <c r="O112" s="6">
        <v>0</v>
      </c>
      <c r="P112" s="6">
        <v>6</v>
      </c>
      <c r="Q112" s="4" t="s">
        <v>26</v>
      </c>
      <c r="R112" s="4">
        <v>0</v>
      </c>
      <c r="S112" s="6">
        <v>18</v>
      </c>
      <c r="T112" s="6">
        <v>0</v>
      </c>
      <c r="U112" s="6">
        <v>0</v>
      </c>
      <c r="V112" s="6">
        <f>IF(ISERROR(VLOOKUP($S$112,'TAR FIN'!$A$1:$O$92,15,0)),0,VLOOKUP($S$112,'TAR FIN'!$A$1:$O$92,15,0))</f>
        <v>18.489999999999998</v>
      </c>
      <c r="W112" s="6">
        <f>IF(ISERROR(VLOOKUP($T$112,'TAR FIN'!$A$1:$O$92,15,0)),0,VLOOKUP($T$112,'TAR FIN'!$A$1:$O$92,15,0))</f>
        <v>0</v>
      </c>
      <c r="X112" s="6">
        <f>IF(ISERROR(VLOOKUP($U$112,'TAR FIN'!$A$1:$O$92,15,0)),0,VLOOKUP($U$112,'TAR FIN'!$A$1:$O$92,15,0))</f>
        <v>0</v>
      </c>
      <c r="Y112" s="6">
        <f ca="1">('TUSD BE'!$AM$14+'TUSD BF'!$AM$14+'TUSD CVA'!$AM$14)*1</f>
        <v>23.643887023397856</v>
      </c>
      <c r="Z112" s="6"/>
      <c r="AA112" s="6"/>
      <c r="AB112" s="6">
        <f>$K$112*$V$112</f>
        <v>7864.5365999999985</v>
      </c>
      <c r="AC112" s="6">
        <f>$M$112*$W$112</f>
        <v>0</v>
      </c>
      <c r="AD112" s="6">
        <f>$O$112*$X$112</f>
        <v>0</v>
      </c>
      <c r="AE112" s="6">
        <f ca="1">$K$112*$Y$112</f>
        <v>10056.690906532043</v>
      </c>
      <c r="AF112" s="6">
        <f>$M$112*$Z$112</f>
        <v>0</v>
      </c>
      <c r="AG112" s="6">
        <f>$O$112*$AA$112</f>
        <v>0</v>
      </c>
    </row>
    <row r="113" spans="1:33" ht="11.25" hidden="1" customHeight="1" x14ac:dyDescent="0.3">
      <c r="A113" s="4" t="s">
        <v>27</v>
      </c>
      <c r="B113" s="4" t="s">
        <v>34</v>
      </c>
      <c r="C113" s="4" t="s">
        <v>35</v>
      </c>
      <c r="D113" s="4" t="s">
        <v>40</v>
      </c>
      <c r="E113" s="4" t="s">
        <v>25</v>
      </c>
      <c r="F113" s="4" t="s">
        <v>25</v>
      </c>
      <c r="G113" s="4" t="s">
        <v>25</v>
      </c>
      <c r="H113" s="4" t="s">
        <v>25</v>
      </c>
      <c r="I113" s="5">
        <v>44621</v>
      </c>
      <c r="J113" s="6">
        <v>100</v>
      </c>
      <c r="K113" s="6">
        <v>100</v>
      </c>
      <c r="L113" s="6">
        <v>0</v>
      </c>
      <c r="M113" s="6">
        <v>0</v>
      </c>
      <c r="N113" s="6">
        <v>0</v>
      </c>
      <c r="O113" s="6">
        <v>0</v>
      </c>
      <c r="P113" s="6">
        <v>1</v>
      </c>
      <c r="Q113" s="4" t="s">
        <v>26</v>
      </c>
      <c r="R113" s="4">
        <v>0</v>
      </c>
      <c r="S113" s="6">
        <v>18</v>
      </c>
      <c r="T113" s="6">
        <v>0</v>
      </c>
      <c r="U113" s="6">
        <v>0</v>
      </c>
      <c r="V113" s="6">
        <f>IF(ISERROR(VLOOKUP($S$113,'TAR FIN'!$A$1:$O$92,15,0)),0,VLOOKUP($S$113,'TAR FIN'!$A$1:$O$92,15,0))</f>
        <v>18.489999999999998</v>
      </c>
      <c r="W113" s="6">
        <f>IF(ISERROR(VLOOKUP($T$113,'TAR FIN'!$A$1:$O$92,15,0)),0,VLOOKUP($T$113,'TAR FIN'!$A$1:$O$92,15,0))</f>
        <v>0</v>
      </c>
      <c r="X113" s="6">
        <f>IF(ISERROR(VLOOKUP($U$113,'TAR FIN'!$A$1:$O$92,15,0)),0,VLOOKUP($U$113,'TAR FIN'!$A$1:$O$92,15,0))</f>
        <v>0</v>
      </c>
      <c r="Y113" s="6">
        <f ca="1">('TUSD BE'!$AM$14+'TUSD BF'!$AM$14+'TUSD CVA'!$AM$14)*1</f>
        <v>23.643887023397856</v>
      </c>
      <c r="Z113" s="6"/>
      <c r="AA113" s="6"/>
      <c r="AB113" s="6">
        <f>$K$113*$V$113</f>
        <v>1848.9999999999998</v>
      </c>
      <c r="AC113" s="6">
        <f>$M$113*$W$113</f>
        <v>0</v>
      </c>
      <c r="AD113" s="6">
        <f>$O$113*$X$113</f>
        <v>0</v>
      </c>
      <c r="AE113" s="6">
        <f ca="1">$K$113*$Y$113</f>
        <v>2364.3887023397856</v>
      </c>
      <c r="AF113" s="6">
        <f>$M$113*$Z$113</f>
        <v>0</v>
      </c>
      <c r="AG113" s="6">
        <f>$O$113*$AA$113</f>
        <v>0</v>
      </c>
    </row>
    <row r="114" spans="1:33" ht="11.25" hidden="1" customHeight="1" x14ac:dyDescent="0.3">
      <c r="A114" s="4" t="s">
        <v>21</v>
      </c>
      <c r="B114" s="4" t="s">
        <v>34</v>
      </c>
      <c r="C114" s="4" t="s">
        <v>35</v>
      </c>
      <c r="D114" s="4" t="s">
        <v>40</v>
      </c>
      <c r="E114" s="4" t="s">
        <v>25</v>
      </c>
      <c r="F114" s="4" t="s">
        <v>25</v>
      </c>
      <c r="G114" s="4" t="s">
        <v>25</v>
      </c>
      <c r="H114" s="4" t="s">
        <v>25</v>
      </c>
      <c r="I114" s="5">
        <v>44652</v>
      </c>
      <c r="J114" s="6">
        <v>417.67</v>
      </c>
      <c r="K114" s="6">
        <v>417.67</v>
      </c>
      <c r="L114" s="6">
        <v>0</v>
      </c>
      <c r="M114" s="6">
        <v>0</v>
      </c>
      <c r="N114" s="6">
        <v>0</v>
      </c>
      <c r="O114" s="6">
        <v>0</v>
      </c>
      <c r="P114" s="6">
        <v>6</v>
      </c>
      <c r="Q114" s="4" t="s">
        <v>26</v>
      </c>
      <c r="R114" s="4">
        <v>0</v>
      </c>
      <c r="S114" s="6">
        <v>18</v>
      </c>
      <c r="T114" s="6">
        <v>0</v>
      </c>
      <c r="U114" s="6">
        <v>0</v>
      </c>
      <c r="V114" s="6">
        <f>IF(ISERROR(VLOOKUP($S$114,'TAR FIN'!$A$1:$O$92,15,0)),0,VLOOKUP($S$114,'TAR FIN'!$A$1:$O$92,15,0))</f>
        <v>18.489999999999998</v>
      </c>
      <c r="W114" s="6">
        <f>IF(ISERROR(VLOOKUP($T$114,'TAR FIN'!$A$1:$O$92,15,0)),0,VLOOKUP($T$114,'TAR FIN'!$A$1:$O$92,15,0))</f>
        <v>0</v>
      </c>
      <c r="X114" s="6">
        <f>IF(ISERROR(VLOOKUP($U$114,'TAR FIN'!$A$1:$O$92,15,0)),0,VLOOKUP($U$114,'TAR FIN'!$A$1:$O$92,15,0))</f>
        <v>0</v>
      </c>
      <c r="Y114" s="6">
        <f ca="1">('TUSD BE'!$AM$14+'TUSD BF'!$AM$14+'TUSD CVA'!$AM$14)*1</f>
        <v>23.643887023397856</v>
      </c>
      <c r="Z114" s="6"/>
      <c r="AA114" s="6"/>
      <c r="AB114" s="6">
        <f>$K$114*$V$114</f>
        <v>7722.7182999999995</v>
      </c>
      <c r="AC114" s="6">
        <f>$M$114*$W$114</f>
        <v>0</v>
      </c>
      <c r="AD114" s="6">
        <f>$O$114*$X$114</f>
        <v>0</v>
      </c>
      <c r="AE114" s="6">
        <f ca="1">$K$114*$Y$114</f>
        <v>9875.342293062582</v>
      </c>
      <c r="AF114" s="6">
        <f>$M$114*$Z$114</f>
        <v>0</v>
      </c>
      <c r="AG114" s="6">
        <f>$O$114*$AA$114</f>
        <v>0</v>
      </c>
    </row>
    <row r="115" spans="1:33" ht="11.25" hidden="1" customHeight="1" x14ac:dyDescent="0.3">
      <c r="A115" s="4" t="s">
        <v>27</v>
      </c>
      <c r="B115" s="4" t="s">
        <v>34</v>
      </c>
      <c r="C115" s="4" t="s">
        <v>35</v>
      </c>
      <c r="D115" s="4" t="s">
        <v>40</v>
      </c>
      <c r="E115" s="4" t="s">
        <v>25</v>
      </c>
      <c r="F115" s="4" t="s">
        <v>25</v>
      </c>
      <c r="G115" s="4" t="s">
        <v>25</v>
      </c>
      <c r="H115" s="4" t="s">
        <v>25</v>
      </c>
      <c r="I115" s="5">
        <v>44652</v>
      </c>
      <c r="J115" s="6">
        <v>100</v>
      </c>
      <c r="K115" s="6">
        <v>100</v>
      </c>
      <c r="L115" s="6">
        <v>0</v>
      </c>
      <c r="M115" s="6">
        <v>0</v>
      </c>
      <c r="N115" s="6">
        <v>0</v>
      </c>
      <c r="O115" s="6">
        <v>0</v>
      </c>
      <c r="P115" s="6">
        <v>1</v>
      </c>
      <c r="Q115" s="4" t="s">
        <v>26</v>
      </c>
      <c r="R115" s="4">
        <v>0</v>
      </c>
      <c r="S115" s="6">
        <v>18</v>
      </c>
      <c r="T115" s="6">
        <v>0</v>
      </c>
      <c r="U115" s="6">
        <v>0</v>
      </c>
      <c r="V115" s="6">
        <f>IF(ISERROR(VLOOKUP($S$115,'TAR FIN'!$A$1:$O$92,15,0)),0,VLOOKUP($S$115,'TAR FIN'!$A$1:$O$92,15,0))</f>
        <v>18.489999999999998</v>
      </c>
      <c r="W115" s="6">
        <f>IF(ISERROR(VLOOKUP($T$115,'TAR FIN'!$A$1:$O$92,15,0)),0,VLOOKUP($T$115,'TAR FIN'!$A$1:$O$92,15,0))</f>
        <v>0</v>
      </c>
      <c r="X115" s="6">
        <f>IF(ISERROR(VLOOKUP($U$115,'TAR FIN'!$A$1:$O$92,15,0)),0,VLOOKUP($U$115,'TAR FIN'!$A$1:$O$92,15,0))</f>
        <v>0</v>
      </c>
      <c r="Y115" s="6">
        <f ca="1">('TUSD BE'!$AM$14+'TUSD BF'!$AM$14+'TUSD CVA'!$AM$14)*1</f>
        <v>23.643887023397856</v>
      </c>
      <c r="Z115" s="6"/>
      <c r="AA115" s="6"/>
      <c r="AB115" s="6">
        <f>$K$115*$V$115</f>
        <v>1848.9999999999998</v>
      </c>
      <c r="AC115" s="6">
        <f>$M$115*$W$115</f>
        <v>0</v>
      </c>
      <c r="AD115" s="6">
        <f>$O$115*$X$115</f>
        <v>0</v>
      </c>
      <c r="AE115" s="6">
        <f ca="1">$K$115*$Y$115</f>
        <v>2364.3887023397856</v>
      </c>
      <c r="AF115" s="6">
        <f>$M$115*$Z$115</f>
        <v>0</v>
      </c>
      <c r="AG115" s="6">
        <f>$O$115*$AA$115</f>
        <v>0</v>
      </c>
    </row>
    <row r="116" spans="1:33" ht="11.25" hidden="1" customHeight="1" x14ac:dyDescent="0.3">
      <c r="A116" s="4" t="s">
        <v>21</v>
      </c>
      <c r="B116" s="4" t="s">
        <v>34</v>
      </c>
      <c r="C116" s="4" t="s">
        <v>35</v>
      </c>
      <c r="D116" s="4" t="s">
        <v>40</v>
      </c>
      <c r="E116" s="4" t="s">
        <v>25</v>
      </c>
      <c r="F116" s="4" t="s">
        <v>25</v>
      </c>
      <c r="G116" s="4" t="s">
        <v>25</v>
      </c>
      <c r="H116" s="4" t="s">
        <v>25</v>
      </c>
      <c r="I116" s="5">
        <v>44682</v>
      </c>
      <c r="J116" s="6">
        <v>403</v>
      </c>
      <c r="K116" s="6">
        <v>403</v>
      </c>
      <c r="L116" s="6">
        <v>0</v>
      </c>
      <c r="M116" s="6">
        <v>0</v>
      </c>
      <c r="N116" s="6">
        <v>0</v>
      </c>
      <c r="O116" s="6">
        <v>0</v>
      </c>
      <c r="P116" s="6">
        <v>6</v>
      </c>
      <c r="Q116" s="4" t="s">
        <v>26</v>
      </c>
      <c r="R116" s="4">
        <v>0</v>
      </c>
      <c r="S116" s="6">
        <v>18</v>
      </c>
      <c r="T116" s="6">
        <v>0</v>
      </c>
      <c r="U116" s="6">
        <v>0</v>
      </c>
      <c r="V116" s="6">
        <f>IF(ISERROR(VLOOKUP($S$116,'TAR FIN'!$A$1:$O$92,15,0)),0,VLOOKUP($S$116,'TAR FIN'!$A$1:$O$92,15,0))</f>
        <v>18.489999999999998</v>
      </c>
      <c r="W116" s="6">
        <f>IF(ISERROR(VLOOKUP($T$116,'TAR FIN'!$A$1:$O$92,15,0)),0,VLOOKUP($T$116,'TAR FIN'!$A$1:$O$92,15,0))</f>
        <v>0</v>
      </c>
      <c r="X116" s="6">
        <f>IF(ISERROR(VLOOKUP($U$116,'TAR FIN'!$A$1:$O$92,15,0)),0,VLOOKUP($U$116,'TAR FIN'!$A$1:$O$92,15,0))</f>
        <v>0</v>
      </c>
      <c r="Y116" s="6">
        <f ca="1">('TUSD BE'!$AM$14+'TUSD BF'!$AM$14+'TUSD CVA'!$AM$14)*1</f>
        <v>23.643887023397856</v>
      </c>
      <c r="Z116" s="6"/>
      <c r="AA116" s="6"/>
      <c r="AB116" s="6">
        <f>$K$116*$V$116</f>
        <v>7451.4699999999993</v>
      </c>
      <c r="AC116" s="6">
        <f>$M$116*$W$116</f>
        <v>0</v>
      </c>
      <c r="AD116" s="6">
        <f>$O$116*$X$116</f>
        <v>0</v>
      </c>
      <c r="AE116" s="6">
        <f ca="1">$K$116*$Y$116</f>
        <v>9528.4864704293359</v>
      </c>
      <c r="AF116" s="6">
        <f>$M$116*$Z$116</f>
        <v>0</v>
      </c>
      <c r="AG116" s="6">
        <f>$O$116*$AA$116</f>
        <v>0</v>
      </c>
    </row>
    <row r="117" spans="1:33" ht="11.25" hidden="1" customHeight="1" x14ac:dyDescent="0.3">
      <c r="A117" s="4" t="s">
        <v>27</v>
      </c>
      <c r="B117" s="4" t="s">
        <v>34</v>
      </c>
      <c r="C117" s="4" t="s">
        <v>35</v>
      </c>
      <c r="D117" s="4" t="s">
        <v>40</v>
      </c>
      <c r="E117" s="4" t="s">
        <v>25</v>
      </c>
      <c r="F117" s="4" t="s">
        <v>25</v>
      </c>
      <c r="G117" s="4" t="s">
        <v>25</v>
      </c>
      <c r="H117" s="4" t="s">
        <v>25</v>
      </c>
      <c r="I117" s="5">
        <v>44682</v>
      </c>
      <c r="J117" s="6">
        <v>100</v>
      </c>
      <c r="K117" s="6">
        <v>100</v>
      </c>
      <c r="L117" s="6">
        <v>0</v>
      </c>
      <c r="M117" s="6">
        <v>0</v>
      </c>
      <c r="N117" s="6">
        <v>0</v>
      </c>
      <c r="O117" s="6">
        <v>0</v>
      </c>
      <c r="P117" s="6">
        <v>1</v>
      </c>
      <c r="Q117" s="4" t="s">
        <v>26</v>
      </c>
      <c r="R117" s="4">
        <v>0</v>
      </c>
      <c r="S117" s="6">
        <v>18</v>
      </c>
      <c r="T117" s="6">
        <v>0</v>
      </c>
      <c r="U117" s="6">
        <v>0</v>
      </c>
      <c r="V117" s="6">
        <f>IF(ISERROR(VLOOKUP($S$117,'TAR FIN'!$A$1:$O$92,15,0)),0,VLOOKUP($S$117,'TAR FIN'!$A$1:$O$92,15,0))</f>
        <v>18.489999999999998</v>
      </c>
      <c r="W117" s="6">
        <f>IF(ISERROR(VLOOKUP($T$117,'TAR FIN'!$A$1:$O$92,15,0)),0,VLOOKUP($T$117,'TAR FIN'!$A$1:$O$92,15,0))</f>
        <v>0</v>
      </c>
      <c r="X117" s="6">
        <f>IF(ISERROR(VLOOKUP($U$117,'TAR FIN'!$A$1:$O$92,15,0)),0,VLOOKUP($U$117,'TAR FIN'!$A$1:$O$92,15,0))</f>
        <v>0</v>
      </c>
      <c r="Y117" s="6">
        <f ca="1">('TUSD BE'!$AM$14+'TUSD BF'!$AM$14+'TUSD CVA'!$AM$14)*1</f>
        <v>23.643887023397856</v>
      </c>
      <c r="Z117" s="6"/>
      <c r="AA117" s="6"/>
      <c r="AB117" s="6">
        <f>$K$117*$V$117</f>
        <v>1848.9999999999998</v>
      </c>
      <c r="AC117" s="6">
        <f>$M$117*$W$117</f>
        <v>0</v>
      </c>
      <c r="AD117" s="6">
        <f>$O$117*$X$117</f>
        <v>0</v>
      </c>
      <c r="AE117" s="6">
        <f ca="1">$K$117*$Y$117</f>
        <v>2364.3887023397856</v>
      </c>
      <c r="AF117" s="6">
        <f>$M$117*$Z$117</f>
        <v>0</v>
      </c>
      <c r="AG117" s="6">
        <f>$O$117*$AA$117</f>
        <v>0</v>
      </c>
    </row>
    <row r="118" spans="1:33" ht="11.25" hidden="1" customHeight="1" x14ac:dyDescent="0.3">
      <c r="A118" s="4" t="s">
        <v>21</v>
      </c>
      <c r="B118" s="4" t="s">
        <v>34</v>
      </c>
      <c r="C118" s="4" t="s">
        <v>35</v>
      </c>
      <c r="D118" s="4" t="s">
        <v>40</v>
      </c>
      <c r="E118" s="4" t="s">
        <v>25</v>
      </c>
      <c r="F118" s="4" t="s">
        <v>25</v>
      </c>
      <c r="G118" s="4" t="s">
        <v>25</v>
      </c>
      <c r="H118" s="4" t="s">
        <v>25</v>
      </c>
      <c r="I118" s="5">
        <v>44713</v>
      </c>
      <c r="J118" s="6">
        <v>403.07</v>
      </c>
      <c r="K118" s="6">
        <v>403.07</v>
      </c>
      <c r="L118" s="6">
        <v>0</v>
      </c>
      <c r="M118" s="6">
        <v>0</v>
      </c>
      <c r="N118" s="6">
        <v>0</v>
      </c>
      <c r="O118" s="6">
        <v>0</v>
      </c>
      <c r="P118" s="6">
        <v>6</v>
      </c>
      <c r="Q118" s="4" t="s">
        <v>26</v>
      </c>
      <c r="R118" s="4">
        <v>0</v>
      </c>
      <c r="S118" s="6">
        <v>18</v>
      </c>
      <c r="T118" s="6">
        <v>0</v>
      </c>
      <c r="U118" s="6">
        <v>0</v>
      </c>
      <c r="V118" s="6">
        <f>IF(ISERROR(VLOOKUP($S$118,'TAR FIN'!$A$1:$O$92,15,0)),0,VLOOKUP($S$118,'TAR FIN'!$A$1:$O$92,15,0))</f>
        <v>18.489999999999998</v>
      </c>
      <c r="W118" s="6">
        <f>IF(ISERROR(VLOOKUP($T$118,'TAR FIN'!$A$1:$O$92,15,0)),0,VLOOKUP($T$118,'TAR FIN'!$A$1:$O$92,15,0))</f>
        <v>0</v>
      </c>
      <c r="X118" s="6">
        <f>IF(ISERROR(VLOOKUP($U$118,'TAR FIN'!$A$1:$O$92,15,0)),0,VLOOKUP($U$118,'TAR FIN'!$A$1:$O$92,15,0))</f>
        <v>0</v>
      </c>
      <c r="Y118" s="6">
        <f ca="1">('TUSD BE'!$AM$14+'TUSD BF'!$AM$14+'TUSD CVA'!$AM$14)*1</f>
        <v>23.643887023397856</v>
      </c>
      <c r="Z118" s="6"/>
      <c r="AA118" s="6"/>
      <c r="AB118" s="6">
        <f>$K$118*$V$118</f>
        <v>7452.7642999999989</v>
      </c>
      <c r="AC118" s="6">
        <f>$M$118*$W$118</f>
        <v>0</v>
      </c>
      <c r="AD118" s="6">
        <f>$O$118*$X$118</f>
        <v>0</v>
      </c>
      <c r="AE118" s="6">
        <f ca="1">$K$118*$Y$118</f>
        <v>9530.1415425209743</v>
      </c>
      <c r="AF118" s="6">
        <f>$M$118*$Z$118</f>
        <v>0</v>
      </c>
      <c r="AG118" s="6">
        <f>$O$118*$AA$118</f>
        <v>0</v>
      </c>
    </row>
    <row r="119" spans="1:33" ht="11.25" hidden="1" customHeight="1" x14ac:dyDescent="0.3">
      <c r="A119" s="4" t="s">
        <v>27</v>
      </c>
      <c r="B119" s="4" t="s">
        <v>34</v>
      </c>
      <c r="C119" s="4" t="s">
        <v>35</v>
      </c>
      <c r="D119" s="4" t="s">
        <v>40</v>
      </c>
      <c r="E119" s="4" t="s">
        <v>25</v>
      </c>
      <c r="F119" s="4" t="s">
        <v>25</v>
      </c>
      <c r="G119" s="4" t="s">
        <v>25</v>
      </c>
      <c r="H119" s="4" t="s">
        <v>25</v>
      </c>
      <c r="I119" s="5">
        <v>44713</v>
      </c>
      <c r="J119" s="6">
        <v>100</v>
      </c>
      <c r="K119" s="6">
        <v>100</v>
      </c>
      <c r="L119" s="6">
        <v>0</v>
      </c>
      <c r="M119" s="6">
        <v>0</v>
      </c>
      <c r="N119" s="6">
        <v>0</v>
      </c>
      <c r="O119" s="6">
        <v>0</v>
      </c>
      <c r="P119" s="6">
        <v>1</v>
      </c>
      <c r="Q119" s="4" t="s">
        <v>26</v>
      </c>
      <c r="R119" s="4">
        <v>0</v>
      </c>
      <c r="S119" s="6">
        <v>18</v>
      </c>
      <c r="T119" s="6">
        <v>0</v>
      </c>
      <c r="U119" s="6">
        <v>0</v>
      </c>
      <c r="V119" s="6">
        <f>IF(ISERROR(VLOOKUP($S$119,'TAR FIN'!$A$1:$O$92,15,0)),0,VLOOKUP($S$119,'TAR FIN'!$A$1:$O$92,15,0))</f>
        <v>18.489999999999998</v>
      </c>
      <c r="W119" s="6">
        <f>IF(ISERROR(VLOOKUP($T$119,'TAR FIN'!$A$1:$O$92,15,0)),0,VLOOKUP($T$119,'TAR FIN'!$A$1:$O$92,15,0))</f>
        <v>0</v>
      </c>
      <c r="X119" s="6">
        <f>IF(ISERROR(VLOOKUP($U$119,'TAR FIN'!$A$1:$O$92,15,0)),0,VLOOKUP($U$119,'TAR FIN'!$A$1:$O$92,15,0))</f>
        <v>0</v>
      </c>
      <c r="Y119" s="6">
        <f ca="1">('TUSD BE'!$AM$14+'TUSD BF'!$AM$14+'TUSD CVA'!$AM$14)*1</f>
        <v>23.643887023397856</v>
      </c>
      <c r="Z119" s="6"/>
      <c r="AA119" s="6"/>
      <c r="AB119" s="6">
        <f>$K$119*$V$119</f>
        <v>1848.9999999999998</v>
      </c>
      <c r="AC119" s="6">
        <f>$M$119*$W$119</f>
        <v>0</v>
      </c>
      <c r="AD119" s="6">
        <f>$O$119*$X$119</f>
        <v>0</v>
      </c>
      <c r="AE119" s="6">
        <f ca="1">$K$119*$Y$119</f>
        <v>2364.3887023397856</v>
      </c>
      <c r="AF119" s="6">
        <f>$M$119*$Z$119</f>
        <v>0</v>
      </c>
      <c r="AG119" s="6">
        <f>$O$119*$AA$119</f>
        <v>0</v>
      </c>
    </row>
    <row r="120" spans="1:33" ht="11.25" hidden="1" customHeight="1" x14ac:dyDescent="0.3">
      <c r="A120" s="4" t="s">
        <v>21</v>
      </c>
      <c r="B120" s="4" t="s">
        <v>34</v>
      </c>
      <c r="C120" s="4" t="s">
        <v>35</v>
      </c>
      <c r="D120" s="4" t="s">
        <v>40</v>
      </c>
      <c r="E120" s="4" t="s">
        <v>25</v>
      </c>
      <c r="F120" s="4" t="s">
        <v>25</v>
      </c>
      <c r="G120" s="4" t="s">
        <v>25</v>
      </c>
      <c r="H120" s="4" t="s">
        <v>25</v>
      </c>
      <c r="I120" s="5">
        <v>44743</v>
      </c>
      <c r="J120" s="6">
        <v>406</v>
      </c>
      <c r="K120" s="6">
        <v>406</v>
      </c>
      <c r="L120" s="6">
        <v>0</v>
      </c>
      <c r="M120" s="6">
        <v>0</v>
      </c>
      <c r="N120" s="6">
        <v>0</v>
      </c>
      <c r="O120" s="6">
        <v>0</v>
      </c>
      <c r="P120" s="6">
        <v>6</v>
      </c>
      <c r="Q120" s="4" t="s">
        <v>26</v>
      </c>
      <c r="R120" s="4">
        <v>0</v>
      </c>
      <c r="S120" s="6">
        <v>18</v>
      </c>
      <c r="T120" s="6">
        <v>0</v>
      </c>
      <c r="U120" s="6">
        <v>0</v>
      </c>
      <c r="V120" s="6">
        <f>IF(ISERROR(VLOOKUP($S$120,'TAR FIN'!$A$1:$O$92,15,0)),0,VLOOKUP($S$120,'TAR FIN'!$A$1:$O$92,15,0))</f>
        <v>18.489999999999998</v>
      </c>
      <c r="W120" s="6">
        <f>IF(ISERROR(VLOOKUP($T$120,'TAR FIN'!$A$1:$O$92,15,0)),0,VLOOKUP($T$120,'TAR FIN'!$A$1:$O$92,15,0))</f>
        <v>0</v>
      </c>
      <c r="X120" s="6">
        <f>IF(ISERROR(VLOOKUP($U$120,'TAR FIN'!$A$1:$O$92,15,0)),0,VLOOKUP($U$120,'TAR FIN'!$A$1:$O$92,15,0))</f>
        <v>0</v>
      </c>
      <c r="Y120" s="6">
        <f ca="1">('TUSD BE'!$AM$14+'TUSD BF'!$AM$14+'TUSD CVA'!$AM$14)*1</f>
        <v>23.643887023397856</v>
      </c>
      <c r="Z120" s="6"/>
      <c r="AA120" s="6"/>
      <c r="AB120" s="6">
        <f>$K$120*$V$120</f>
        <v>7506.94</v>
      </c>
      <c r="AC120" s="6">
        <f>$M$120*$W$120</f>
        <v>0</v>
      </c>
      <c r="AD120" s="6">
        <f>$O$120*$X$120</f>
        <v>0</v>
      </c>
      <c r="AE120" s="6">
        <f ca="1">$K$120*$Y$120</f>
        <v>9599.4181314995294</v>
      </c>
      <c r="AF120" s="6">
        <f>$M$120*$Z$120</f>
        <v>0</v>
      </c>
      <c r="AG120" s="6">
        <f>$O$120*$AA$120</f>
        <v>0</v>
      </c>
    </row>
    <row r="121" spans="1:33" ht="11.25" hidden="1" customHeight="1" x14ac:dyDescent="0.3">
      <c r="A121" s="4" t="s">
        <v>27</v>
      </c>
      <c r="B121" s="4" t="s">
        <v>34</v>
      </c>
      <c r="C121" s="4" t="s">
        <v>35</v>
      </c>
      <c r="D121" s="4" t="s">
        <v>40</v>
      </c>
      <c r="E121" s="4" t="s">
        <v>25</v>
      </c>
      <c r="F121" s="4" t="s">
        <v>25</v>
      </c>
      <c r="G121" s="4" t="s">
        <v>25</v>
      </c>
      <c r="H121" s="4" t="s">
        <v>25</v>
      </c>
      <c r="I121" s="5">
        <v>44743</v>
      </c>
      <c r="J121" s="6">
        <v>100</v>
      </c>
      <c r="K121" s="6">
        <v>100</v>
      </c>
      <c r="L121" s="6">
        <v>0</v>
      </c>
      <c r="M121" s="6">
        <v>0</v>
      </c>
      <c r="N121" s="6">
        <v>0</v>
      </c>
      <c r="O121" s="6">
        <v>0</v>
      </c>
      <c r="P121" s="6">
        <v>1</v>
      </c>
      <c r="Q121" s="4" t="s">
        <v>26</v>
      </c>
      <c r="R121" s="4">
        <v>0</v>
      </c>
      <c r="S121" s="6">
        <v>18</v>
      </c>
      <c r="T121" s="6">
        <v>0</v>
      </c>
      <c r="U121" s="6">
        <v>0</v>
      </c>
      <c r="V121" s="6">
        <f>IF(ISERROR(VLOOKUP($S$121,'TAR FIN'!$A$1:$O$92,15,0)),0,VLOOKUP($S$121,'TAR FIN'!$A$1:$O$92,15,0))</f>
        <v>18.489999999999998</v>
      </c>
      <c r="W121" s="6">
        <f>IF(ISERROR(VLOOKUP($T$121,'TAR FIN'!$A$1:$O$92,15,0)),0,VLOOKUP($T$121,'TAR FIN'!$A$1:$O$92,15,0))</f>
        <v>0</v>
      </c>
      <c r="X121" s="6">
        <f>IF(ISERROR(VLOOKUP($U$121,'TAR FIN'!$A$1:$O$92,15,0)),0,VLOOKUP($U$121,'TAR FIN'!$A$1:$O$92,15,0))</f>
        <v>0</v>
      </c>
      <c r="Y121" s="6">
        <f ca="1">('TUSD BE'!$AM$14+'TUSD BF'!$AM$14+'TUSD CVA'!$AM$14)*1</f>
        <v>23.643887023397856</v>
      </c>
      <c r="Z121" s="6"/>
      <c r="AA121" s="6"/>
      <c r="AB121" s="6">
        <f>$K$121*$V$121</f>
        <v>1848.9999999999998</v>
      </c>
      <c r="AC121" s="6">
        <f>$M$121*$W$121</f>
        <v>0</v>
      </c>
      <c r="AD121" s="6">
        <f>$O$121*$X$121</f>
        <v>0</v>
      </c>
      <c r="AE121" s="6">
        <f ca="1">$K$121*$Y$121</f>
        <v>2364.3887023397856</v>
      </c>
      <c r="AF121" s="6">
        <f>$M$121*$Z$121</f>
        <v>0</v>
      </c>
      <c r="AG121" s="6">
        <f>$O$121*$AA$121</f>
        <v>0</v>
      </c>
    </row>
    <row r="122" spans="1:33" ht="11.25" hidden="1" customHeight="1" x14ac:dyDescent="0.3">
      <c r="A122" s="4" t="s">
        <v>21</v>
      </c>
      <c r="B122" s="4" t="s">
        <v>34</v>
      </c>
      <c r="C122" s="4" t="s">
        <v>35</v>
      </c>
      <c r="D122" s="4" t="s">
        <v>40</v>
      </c>
      <c r="E122" s="4" t="s">
        <v>25</v>
      </c>
      <c r="F122" s="4" t="s">
        <v>25</v>
      </c>
      <c r="G122" s="4" t="s">
        <v>25</v>
      </c>
      <c r="H122" s="4" t="s">
        <v>36</v>
      </c>
      <c r="I122" s="5">
        <v>44409</v>
      </c>
      <c r="J122" s="6">
        <v>0</v>
      </c>
      <c r="K122" s="6">
        <v>0</v>
      </c>
      <c r="L122" s="6">
        <v>3.7450000000000001</v>
      </c>
      <c r="M122" s="6">
        <v>3.7450000000000001</v>
      </c>
      <c r="N122" s="6">
        <v>3.7450000000000001</v>
      </c>
      <c r="O122" s="6">
        <v>3.7450000000000001</v>
      </c>
      <c r="P122" s="6">
        <v>0</v>
      </c>
      <c r="Q122" s="4" t="s">
        <v>26</v>
      </c>
      <c r="R122" s="4">
        <v>0</v>
      </c>
      <c r="S122" s="6">
        <v>0</v>
      </c>
      <c r="T122" s="6">
        <v>21</v>
      </c>
      <c r="U122" s="6">
        <v>83</v>
      </c>
      <c r="V122" s="6">
        <f>IF(ISERROR(VLOOKUP($S$122,'TAR FIN'!$A$1:$O$92,15,0)),0,VLOOKUP($S$122,'TAR FIN'!$A$1:$O$92,15,0))</f>
        <v>0</v>
      </c>
      <c r="W122" s="6">
        <f>IF(ISERROR(VLOOKUP($T$122,'TAR FIN'!$A$1:$O$92,15,0)),0,VLOOKUP($T$122,'TAR FIN'!$A$1:$O$92,15,0))</f>
        <v>789.62</v>
      </c>
      <c r="X122" s="6">
        <f>IF(ISERROR(VLOOKUP($U$122,'TAR FIN'!$A$1:$O$92,15,0)),0,VLOOKUP($U$122,'TAR FIN'!$A$1:$O$92,15,0))</f>
        <v>488.15</v>
      </c>
      <c r="Y122" s="6"/>
      <c r="Z122" s="6">
        <f ca="1">('TUSD BE'!$AM$15+'TUSD BF'!$AM$15+'TUSD CVA'!$AM$15)*1</f>
        <v>1080.2905876373179</v>
      </c>
      <c r="AA122" s="6">
        <f>('TE BE'!$AB$7+'TE BF'!$AB$7+'TE CVA'!$AB$7)*1</f>
        <v>461.06028669645673</v>
      </c>
      <c r="AB122" s="6">
        <f>$K$122*$V$122</f>
        <v>0</v>
      </c>
      <c r="AC122" s="6">
        <f>$M$122*$W$122</f>
        <v>2957.1269000000002</v>
      </c>
      <c r="AD122" s="6">
        <f>$O$122*$X$122</f>
        <v>1828.12175</v>
      </c>
      <c r="AE122" s="6">
        <f>$K$122*$Y$122</f>
        <v>0</v>
      </c>
      <c r="AF122" s="6">
        <f ca="1">$M$122*$Z$122</f>
        <v>4045.6882507017558</v>
      </c>
      <c r="AG122" s="6">
        <f>$O$122*$AA$122</f>
        <v>1726.6707736782305</v>
      </c>
    </row>
    <row r="123" spans="1:33" ht="11.25" hidden="1" customHeight="1" x14ac:dyDescent="0.3">
      <c r="A123" s="4" t="s">
        <v>27</v>
      </c>
      <c r="B123" s="4" t="s">
        <v>34</v>
      </c>
      <c r="C123" s="4" t="s">
        <v>35</v>
      </c>
      <c r="D123" s="4" t="s">
        <v>40</v>
      </c>
      <c r="E123" s="4" t="s">
        <v>25</v>
      </c>
      <c r="F123" s="4" t="s">
        <v>25</v>
      </c>
      <c r="G123" s="4" t="s">
        <v>25</v>
      </c>
      <c r="H123" s="4" t="s">
        <v>36</v>
      </c>
      <c r="I123" s="5">
        <v>44409</v>
      </c>
      <c r="J123" s="6">
        <v>0</v>
      </c>
      <c r="K123" s="6">
        <v>0</v>
      </c>
      <c r="L123" s="6">
        <v>0.83260999999999996</v>
      </c>
      <c r="M123" s="6">
        <v>0.83260999999999996</v>
      </c>
      <c r="N123" s="6">
        <v>0.83260999999999996</v>
      </c>
      <c r="O123" s="6">
        <v>0.83260999999999996</v>
      </c>
      <c r="P123" s="6">
        <v>0</v>
      </c>
      <c r="Q123" s="4" t="s">
        <v>26</v>
      </c>
      <c r="R123" s="4">
        <v>0</v>
      </c>
      <c r="S123" s="6">
        <v>0</v>
      </c>
      <c r="T123" s="6">
        <v>21</v>
      </c>
      <c r="U123" s="6">
        <v>83</v>
      </c>
      <c r="V123" s="6">
        <f>IF(ISERROR(VLOOKUP($S$123,'TAR FIN'!$A$1:$O$92,15,0)),0,VLOOKUP($S$123,'TAR FIN'!$A$1:$O$92,15,0))</f>
        <v>0</v>
      </c>
      <c r="W123" s="6">
        <f>IF(ISERROR(VLOOKUP($T$123,'TAR FIN'!$A$1:$O$92,15,0)),0,VLOOKUP($T$123,'TAR FIN'!$A$1:$O$92,15,0))</f>
        <v>789.62</v>
      </c>
      <c r="X123" s="6">
        <f>IF(ISERROR(VLOOKUP($U$123,'TAR FIN'!$A$1:$O$92,15,0)),0,VLOOKUP($U$123,'TAR FIN'!$A$1:$O$92,15,0))</f>
        <v>488.15</v>
      </c>
      <c r="Y123" s="6"/>
      <c r="Z123" s="6">
        <f ca="1">('TUSD BE'!$AM$15+'TUSD BF'!$AM$15+'TUSD CVA'!$AM$15)*1</f>
        <v>1080.2905876373179</v>
      </c>
      <c r="AA123" s="6">
        <f>('TE BE'!$AB$7+'TE BF'!$AB$7+'TE CVA'!$AB$7)*1</f>
        <v>461.06028669645673</v>
      </c>
      <c r="AB123" s="6">
        <f>$K$123*$V$123</f>
        <v>0</v>
      </c>
      <c r="AC123" s="6">
        <f>$M$123*$W$123</f>
        <v>657.44550819999995</v>
      </c>
      <c r="AD123" s="6">
        <f>$O$123*$X$123</f>
        <v>406.43857149999997</v>
      </c>
      <c r="AE123" s="6">
        <f>$K$123*$Y$123</f>
        <v>0</v>
      </c>
      <c r="AF123" s="6">
        <f ca="1">$M$123*$Z$123</f>
        <v>899.46074617270722</v>
      </c>
      <c r="AG123" s="6">
        <f>$O$123*$AA$123</f>
        <v>383.88340530633684</v>
      </c>
    </row>
    <row r="124" spans="1:33" ht="11.25" hidden="1" customHeight="1" x14ac:dyDescent="0.3">
      <c r="A124" s="4" t="s">
        <v>21</v>
      </c>
      <c r="B124" s="4" t="s">
        <v>34</v>
      </c>
      <c r="C124" s="4" t="s">
        <v>35</v>
      </c>
      <c r="D124" s="4" t="s">
        <v>40</v>
      </c>
      <c r="E124" s="4" t="s">
        <v>25</v>
      </c>
      <c r="F124" s="4" t="s">
        <v>25</v>
      </c>
      <c r="G124" s="4" t="s">
        <v>25</v>
      </c>
      <c r="H124" s="4" t="s">
        <v>36</v>
      </c>
      <c r="I124" s="5">
        <v>44440</v>
      </c>
      <c r="J124" s="6">
        <v>0</v>
      </c>
      <c r="K124" s="6">
        <v>0</v>
      </c>
      <c r="L124" s="6">
        <v>3.89899</v>
      </c>
      <c r="M124" s="6">
        <v>3.89899</v>
      </c>
      <c r="N124" s="6">
        <v>3.89899</v>
      </c>
      <c r="O124" s="6">
        <v>3.89899</v>
      </c>
      <c r="P124" s="6">
        <v>0</v>
      </c>
      <c r="Q124" s="4" t="s">
        <v>26</v>
      </c>
      <c r="R124" s="4">
        <v>0</v>
      </c>
      <c r="S124" s="6">
        <v>0</v>
      </c>
      <c r="T124" s="6">
        <v>21</v>
      </c>
      <c r="U124" s="6">
        <v>83</v>
      </c>
      <c r="V124" s="6">
        <f>IF(ISERROR(VLOOKUP($S$124,'TAR FIN'!$A$1:$O$92,15,0)),0,VLOOKUP($S$124,'TAR FIN'!$A$1:$O$92,15,0))</f>
        <v>0</v>
      </c>
      <c r="W124" s="6">
        <f>IF(ISERROR(VLOOKUP($T$124,'TAR FIN'!$A$1:$O$92,15,0)),0,VLOOKUP($T$124,'TAR FIN'!$A$1:$O$92,15,0))</f>
        <v>789.62</v>
      </c>
      <c r="X124" s="6">
        <f>IF(ISERROR(VLOOKUP($U$124,'TAR FIN'!$A$1:$O$92,15,0)),0,VLOOKUP($U$124,'TAR FIN'!$A$1:$O$92,15,0))</f>
        <v>488.15</v>
      </c>
      <c r="Y124" s="6"/>
      <c r="Z124" s="6">
        <f ca="1">('TUSD BE'!$AM$15+'TUSD BF'!$AM$15+'TUSD CVA'!$AM$15)*1</f>
        <v>1080.2905876373179</v>
      </c>
      <c r="AA124" s="6">
        <f>('TE BE'!$AB$7+'TE BF'!$AB$7+'TE CVA'!$AB$7)*1</f>
        <v>461.06028669645673</v>
      </c>
      <c r="AB124" s="6">
        <f>$K$124*$V$124</f>
        <v>0</v>
      </c>
      <c r="AC124" s="6">
        <f>$M$124*$W$124</f>
        <v>3078.7204837999998</v>
      </c>
      <c r="AD124" s="6">
        <f>$O$124*$X$124</f>
        <v>1903.2919684999999</v>
      </c>
      <c r="AE124" s="6">
        <f>$K$124*$Y$124</f>
        <v>0</v>
      </c>
      <c r="AF124" s="6">
        <f ca="1">$M$124*$Z$124</f>
        <v>4212.0421982920261</v>
      </c>
      <c r="AG124" s="6">
        <f>$O$124*$AA$124</f>
        <v>1797.6694472266179</v>
      </c>
    </row>
    <row r="125" spans="1:33" ht="11.25" hidden="1" customHeight="1" x14ac:dyDescent="0.3">
      <c r="A125" s="4" t="s">
        <v>27</v>
      </c>
      <c r="B125" s="4" t="s">
        <v>34</v>
      </c>
      <c r="C125" s="4" t="s">
        <v>35</v>
      </c>
      <c r="D125" s="4" t="s">
        <v>40</v>
      </c>
      <c r="E125" s="4" t="s">
        <v>25</v>
      </c>
      <c r="F125" s="4" t="s">
        <v>25</v>
      </c>
      <c r="G125" s="4" t="s">
        <v>25</v>
      </c>
      <c r="H125" s="4" t="s">
        <v>36</v>
      </c>
      <c r="I125" s="5">
        <v>44440</v>
      </c>
      <c r="J125" s="6">
        <v>0</v>
      </c>
      <c r="K125" s="6">
        <v>0</v>
      </c>
      <c r="L125" s="6">
        <v>0.81979000000000002</v>
      </c>
      <c r="M125" s="6">
        <v>0.81979000000000002</v>
      </c>
      <c r="N125" s="6">
        <v>0.81979000000000002</v>
      </c>
      <c r="O125" s="6">
        <v>0.81979000000000002</v>
      </c>
      <c r="P125" s="6">
        <v>0</v>
      </c>
      <c r="Q125" s="4" t="s">
        <v>26</v>
      </c>
      <c r="R125" s="4">
        <v>0</v>
      </c>
      <c r="S125" s="6">
        <v>0</v>
      </c>
      <c r="T125" s="6">
        <v>21</v>
      </c>
      <c r="U125" s="6">
        <v>83</v>
      </c>
      <c r="V125" s="6">
        <f>IF(ISERROR(VLOOKUP($S$125,'TAR FIN'!$A$1:$O$92,15,0)),0,VLOOKUP($S$125,'TAR FIN'!$A$1:$O$92,15,0))</f>
        <v>0</v>
      </c>
      <c r="W125" s="6">
        <f>IF(ISERROR(VLOOKUP($T$125,'TAR FIN'!$A$1:$O$92,15,0)),0,VLOOKUP($T$125,'TAR FIN'!$A$1:$O$92,15,0))</f>
        <v>789.62</v>
      </c>
      <c r="X125" s="6">
        <f>IF(ISERROR(VLOOKUP($U$125,'TAR FIN'!$A$1:$O$92,15,0)),0,VLOOKUP($U$125,'TAR FIN'!$A$1:$O$92,15,0))</f>
        <v>488.15</v>
      </c>
      <c r="Y125" s="6"/>
      <c r="Z125" s="6">
        <f ca="1">('TUSD BE'!$AM$15+'TUSD BF'!$AM$15+'TUSD CVA'!$AM$15)*1</f>
        <v>1080.2905876373179</v>
      </c>
      <c r="AA125" s="6">
        <f>('TE BE'!$AB$7+'TE BF'!$AB$7+'TE CVA'!$AB$7)*1</f>
        <v>461.06028669645673</v>
      </c>
      <c r="AB125" s="6">
        <f>$K$125*$V$125</f>
        <v>0</v>
      </c>
      <c r="AC125" s="6">
        <f>$M$125*$W$125</f>
        <v>647.32257979999997</v>
      </c>
      <c r="AD125" s="6">
        <f>$O$125*$X$125</f>
        <v>400.18048849999997</v>
      </c>
      <c r="AE125" s="6">
        <f>$K$125*$Y$125</f>
        <v>0</v>
      </c>
      <c r="AF125" s="6">
        <f ca="1">$M$125*$Z$125</f>
        <v>885.61142083919685</v>
      </c>
      <c r="AG125" s="6">
        <f>$O$125*$AA$125</f>
        <v>377.97261243088826</v>
      </c>
    </row>
    <row r="126" spans="1:33" ht="11.25" hidden="1" customHeight="1" x14ac:dyDescent="0.3">
      <c r="A126" s="4" t="s">
        <v>21</v>
      </c>
      <c r="B126" s="4" t="s">
        <v>34</v>
      </c>
      <c r="C126" s="4" t="s">
        <v>35</v>
      </c>
      <c r="D126" s="4" t="s">
        <v>40</v>
      </c>
      <c r="E126" s="4" t="s">
        <v>25</v>
      </c>
      <c r="F126" s="4" t="s">
        <v>25</v>
      </c>
      <c r="G126" s="4" t="s">
        <v>25</v>
      </c>
      <c r="H126" s="4" t="s">
        <v>36</v>
      </c>
      <c r="I126" s="5">
        <v>44470</v>
      </c>
      <c r="J126" s="6">
        <v>0</v>
      </c>
      <c r="K126" s="6">
        <v>0</v>
      </c>
      <c r="L126" s="6">
        <v>3.68018</v>
      </c>
      <c r="M126" s="6">
        <v>3.68018</v>
      </c>
      <c r="N126" s="6">
        <v>3.68018</v>
      </c>
      <c r="O126" s="6">
        <v>3.68018</v>
      </c>
      <c r="P126" s="6">
        <v>0</v>
      </c>
      <c r="Q126" s="4" t="s">
        <v>26</v>
      </c>
      <c r="R126" s="4">
        <v>0</v>
      </c>
      <c r="S126" s="6">
        <v>0</v>
      </c>
      <c r="T126" s="6">
        <v>21</v>
      </c>
      <c r="U126" s="6">
        <v>83</v>
      </c>
      <c r="V126" s="6">
        <f>IF(ISERROR(VLOOKUP($S$126,'TAR FIN'!$A$1:$O$92,15,0)),0,VLOOKUP($S$126,'TAR FIN'!$A$1:$O$92,15,0))</f>
        <v>0</v>
      </c>
      <c r="W126" s="6">
        <f>IF(ISERROR(VLOOKUP($T$126,'TAR FIN'!$A$1:$O$92,15,0)),0,VLOOKUP($T$126,'TAR FIN'!$A$1:$O$92,15,0))</f>
        <v>789.62</v>
      </c>
      <c r="X126" s="6">
        <f>IF(ISERROR(VLOOKUP($U$126,'TAR FIN'!$A$1:$O$92,15,0)),0,VLOOKUP($U$126,'TAR FIN'!$A$1:$O$92,15,0))</f>
        <v>488.15</v>
      </c>
      <c r="Y126" s="6"/>
      <c r="Z126" s="6">
        <f ca="1">('TUSD BE'!$AM$15+'TUSD BF'!$AM$15+'TUSD CVA'!$AM$15)*1</f>
        <v>1080.2905876373179</v>
      </c>
      <c r="AA126" s="6">
        <f>('TE BE'!$AB$7+'TE BF'!$AB$7+'TE CVA'!$AB$7)*1</f>
        <v>461.06028669645673</v>
      </c>
      <c r="AB126" s="6">
        <f>$K$126*$V$126</f>
        <v>0</v>
      </c>
      <c r="AC126" s="6">
        <f>$M$126*$W$126</f>
        <v>2905.9437315999999</v>
      </c>
      <c r="AD126" s="6">
        <f>$O$126*$X$126</f>
        <v>1796.479867</v>
      </c>
      <c r="AE126" s="6">
        <f>$K$126*$Y$126</f>
        <v>0</v>
      </c>
      <c r="AF126" s="6">
        <f ca="1">$M$126*$Z$126</f>
        <v>3975.6638148111047</v>
      </c>
      <c r="AG126" s="6">
        <f>$O$126*$AA$126</f>
        <v>1696.7848458945662</v>
      </c>
    </row>
    <row r="127" spans="1:33" ht="11.25" hidden="1" customHeight="1" x14ac:dyDescent="0.3">
      <c r="A127" s="4" t="s">
        <v>27</v>
      </c>
      <c r="B127" s="4" t="s">
        <v>34</v>
      </c>
      <c r="C127" s="4" t="s">
        <v>35</v>
      </c>
      <c r="D127" s="4" t="s">
        <v>40</v>
      </c>
      <c r="E127" s="4" t="s">
        <v>25</v>
      </c>
      <c r="F127" s="4" t="s">
        <v>25</v>
      </c>
      <c r="G127" s="4" t="s">
        <v>25</v>
      </c>
      <c r="H127" s="4" t="s">
        <v>36</v>
      </c>
      <c r="I127" s="5">
        <v>44470</v>
      </c>
      <c r="J127" s="6">
        <v>0</v>
      </c>
      <c r="K127" s="6">
        <v>0</v>
      </c>
      <c r="L127" s="6">
        <v>0.80769999999999997</v>
      </c>
      <c r="M127" s="6">
        <v>0.80769999999999997</v>
      </c>
      <c r="N127" s="6">
        <v>0.80769999999999997</v>
      </c>
      <c r="O127" s="6">
        <v>0.80769999999999997</v>
      </c>
      <c r="P127" s="6">
        <v>0</v>
      </c>
      <c r="Q127" s="4" t="s">
        <v>26</v>
      </c>
      <c r="R127" s="4">
        <v>0</v>
      </c>
      <c r="S127" s="6">
        <v>0</v>
      </c>
      <c r="T127" s="6">
        <v>21</v>
      </c>
      <c r="U127" s="6">
        <v>83</v>
      </c>
      <c r="V127" s="6">
        <f>IF(ISERROR(VLOOKUP($S$127,'TAR FIN'!$A$1:$O$92,15,0)),0,VLOOKUP($S$127,'TAR FIN'!$A$1:$O$92,15,0))</f>
        <v>0</v>
      </c>
      <c r="W127" s="6">
        <f>IF(ISERROR(VLOOKUP($T$127,'TAR FIN'!$A$1:$O$92,15,0)),0,VLOOKUP($T$127,'TAR FIN'!$A$1:$O$92,15,0))</f>
        <v>789.62</v>
      </c>
      <c r="X127" s="6">
        <f>IF(ISERROR(VLOOKUP($U$127,'TAR FIN'!$A$1:$O$92,15,0)),0,VLOOKUP($U$127,'TAR FIN'!$A$1:$O$92,15,0))</f>
        <v>488.15</v>
      </c>
      <c r="Y127" s="6"/>
      <c r="Z127" s="6">
        <f ca="1">('TUSD BE'!$AM$15+'TUSD BF'!$AM$15+'TUSD CVA'!$AM$15)*1</f>
        <v>1080.2905876373179</v>
      </c>
      <c r="AA127" s="6">
        <f>('TE BE'!$AB$7+'TE BF'!$AB$7+'TE CVA'!$AB$7)*1</f>
        <v>461.06028669645673</v>
      </c>
      <c r="AB127" s="6">
        <f>$K$127*$V$127</f>
        <v>0</v>
      </c>
      <c r="AC127" s="6">
        <f>$M$127*$W$127</f>
        <v>637.77607399999999</v>
      </c>
      <c r="AD127" s="6">
        <f>$O$127*$X$127</f>
        <v>394.27875499999999</v>
      </c>
      <c r="AE127" s="6">
        <f>$K$127*$Y$127</f>
        <v>0</v>
      </c>
      <c r="AF127" s="6">
        <f ca="1">$M$127*$Z$127</f>
        <v>872.55070763466165</v>
      </c>
      <c r="AG127" s="6">
        <f>$O$127*$AA$127</f>
        <v>372.39839356472811</v>
      </c>
    </row>
    <row r="128" spans="1:33" ht="11.25" hidden="1" customHeight="1" x14ac:dyDescent="0.3">
      <c r="A128" s="4" t="s">
        <v>21</v>
      </c>
      <c r="B128" s="4" t="s">
        <v>34</v>
      </c>
      <c r="C128" s="4" t="s">
        <v>35</v>
      </c>
      <c r="D128" s="4" t="s">
        <v>40</v>
      </c>
      <c r="E128" s="4" t="s">
        <v>25</v>
      </c>
      <c r="F128" s="4" t="s">
        <v>25</v>
      </c>
      <c r="G128" s="4" t="s">
        <v>25</v>
      </c>
      <c r="H128" s="4" t="s">
        <v>36</v>
      </c>
      <c r="I128" s="5">
        <v>44501</v>
      </c>
      <c r="J128" s="6">
        <v>0</v>
      </c>
      <c r="K128" s="6">
        <v>0</v>
      </c>
      <c r="L128" s="6">
        <v>4.1459999999999999</v>
      </c>
      <c r="M128" s="6">
        <v>4.1459999999999999</v>
      </c>
      <c r="N128" s="6">
        <v>4.1459999999999999</v>
      </c>
      <c r="O128" s="6">
        <v>4.1459999999999999</v>
      </c>
      <c r="P128" s="6">
        <v>0</v>
      </c>
      <c r="Q128" s="4" t="s">
        <v>26</v>
      </c>
      <c r="R128" s="4">
        <v>0</v>
      </c>
      <c r="S128" s="6">
        <v>0</v>
      </c>
      <c r="T128" s="6">
        <v>21</v>
      </c>
      <c r="U128" s="6">
        <v>83</v>
      </c>
      <c r="V128" s="6">
        <f>IF(ISERROR(VLOOKUP($S$128,'TAR FIN'!$A$1:$O$92,15,0)),0,VLOOKUP($S$128,'TAR FIN'!$A$1:$O$92,15,0))</f>
        <v>0</v>
      </c>
      <c r="W128" s="6">
        <f>IF(ISERROR(VLOOKUP($T$128,'TAR FIN'!$A$1:$O$92,15,0)),0,VLOOKUP($T$128,'TAR FIN'!$A$1:$O$92,15,0))</f>
        <v>789.62</v>
      </c>
      <c r="X128" s="6">
        <f>IF(ISERROR(VLOOKUP($U$128,'TAR FIN'!$A$1:$O$92,15,0)),0,VLOOKUP($U$128,'TAR FIN'!$A$1:$O$92,15,0))</f>
        <v>488.15</v>
      </c>
      <c r="Y128" s="6"/>
      <c r="Z128" s="6">
        <f ca="1">('TUSD BE'!$AM$15+'TUSD BF'!$AM$15+'TUSD CVA'!$AM$15)*1</f>
        <v>1080.2905876373179</v>
      </c>
      <c r="AA128" s="6">
        <f>('TE BE'!$AB$7+'TE BF'!$AB$7+'TE CVA'!$AB$7)*1</f>
        <v>461.06028669645673</v>
      </c>
      <c r="AB128" s="6">
        <f>$K$128*$V$128</f>
        <v>0</v>
      </c>
      <c r="AC128" s="6">
        <f>$M$128*$W$128</f>
        <v>3273.7645199999997</v>
      </c>
      <c r="AD128" s="6">
        <f>$O$128*$X$128</f>
        <v>2023.8698999999999</v>
      </c>
      <c r="AE128" s="6">
        <f>$K$128*$Y$128</f>
        <v>0</v>
      </c>
      <c r="AF128" s="6">
        <f ca="1">$M$128*$Z$128</f>
        <v>4478.88477634432</v>
      </c>
      <c r="AG128" s="6">
        <f>$O$128*$AA$128</f>
        <v>1911.5559486435095</v>
      </c>
    </row>
    <row r="129" spans="1:33" ht="11.25" hidden="1" customHeight="1" x14ac:dyDescent="0.3">
      <c r="A129" s="4" t="s">
        <v>27</v>
      </c>
      <c r="B129" s="4" t="s">
        <v>34</v>
      </c>
      <c r="C129" s="4" t="s">
        <v>35</v>
      </c>
      <c r="D129" s="4" t="s">
        <v>40</v>
      </c>
      <c r="E129" s="4" t="s">
        <v>25</v>
      </c>
      <c r="F129" s="4" t="s">
        <v>25</v>
      </c>
      <c r="G129" s="4" t="s">
        <v>25</v>
      </c>
      <c r="H129" s="4" t="s">
        <v>36</v>
      </c>
      <c r="I129" s="5">
        <v>44501</v>
      </c>
      <c r="J129" s="6">
        <v>0</v>
      </c>
      <c r="K129" s="6">
        <v>0</v>
      </c>
      <c r="L129" s="6">
        <v>0.97399999999999998</v>
      </c>
      <c r="M129" s="6">
        <v>0.97399999999999998</v>
      </c>
      <c r="N129" s="6">
        <v>0.97399999999999998</v>
      </c>
      <c r="O129" s="6">
        <v>0.97399999999999998</v>
      </c>
      <c r="P129" s="6">
        <v>0</v>
      </c>
      <c r="Q129" s="4" t="s">
        <v>26</v>
      </c>
      <c r="R129" s="4">
        <v>0</v>
      </c>
      <c r="S129" s="6">
        <v>0</v>
      </c>
      <c r="T129" s="6">
        <v>21</v>
      </c>
      <c r="U129" s="6">
        <v>83</v>
      </c>
      <c r="V129" s="6">
        <f>IF(ISERROR(VLOOKUP($S$129,'TAR FIN'!$A$1:$O$92,15,0)),0,VLOOKUP($S$129,'TAR FIN'!$A$1:$O$92,15,0))</f>
        <v>0</v>
      </c>
      <c r="W129" s="6">
        <f>IF(ISERROR(VLOOKUP($T$129,'TAR FIN'!$A$1:$O$92,15,0)),0,VLOOKUP($T$129,'TAR FIN'!$A$1:$O$92,15,0))</f>
        <v>789.62</v>
      </c>
      <c r="X129" s="6">
        <f>IF(ISERROR(VLOOKUP($U$129,'TAR FIN'!$A$1:$O$92,15,0)),0,VLOOKUP($U$129,'TAR FIN'!$A$1:$O$92,15,0))</f>
        <v>488.15</v>
      </c>
      <c r="Y129" s="6"/>
      <c r="Z129" s="6">
        <f ca="1">('TUSD BE'!$AM$15+'TUSD BF'!$AM$15+'TUSD CVA'!$AM$15)*1</f>
        <v>1080.2905876373179</v>
      </c>
      <c r="AA129" s="6">
        <f>('TE BE'!$AB$7+'TE BF'!$AB$7+'TE CVA'!$AB$7)*1</f>
        <v>461.06028669645673</v>
      </c>
      <c r="AB129" s="6">
        <f>$K$129*$V$129</f>
        <v>0</v>
      </c>
      <c r="AC129" s="6">
        <f>$M$129*$W$129</f>
        <v>769.08987999999999</v>
      </c>
      <c r="AD129" s="6">
        <f>$O$129*$X$129</f>
        <v>475.45809999999994</v>
      </c>
      <c r="AE129" s="6">
        <f>$K$129*$Y$129</f>
        <v>0</v>
      </c>
      <c r="AF129" s="6">
        <f ca="1">$M$129*$Z$129</f>
        <v>1052.2030323587476</v>
      </c>
      <c r="AG129" s="6">
        <f>$O$129*$AA$129</f>
        <v>449.07271924234885</v>
      </c>
    </row>
    <row r="130" spans="1:33" ht="11.25" hidden="1" customHeight="1" x14ac:dyDescent="0.3">
      <c r="A130" s="4" t="s">
        <v>21</v>
      </c>
      <c r="B130" s="4" t="s">
        <v>34</v>
      </c>
      <c r="C130" s="4" t="s">
        <v>35</v>
      </c>
      <c r="D130" s="4" t="s">
        <v>40</v>
      </c>
      <c r="E130" s="4" t="s">
        <v>25</v>
      </c>
      <c r="F130" s="4" t="s">
        <v>25</v>
      </c>
      <c r="G130" s="4" t="s">
        <v>25</v>
      </c>
      <c r="H130" s="4" t="s">
        <v>36</v>
      </c>
      <c r="I130" s="5">
        <v>44531</v>
      </c>
      <c r="J130" s="6">
        <v>0</v>
      </c>
      <c r="K130" s="6">
        <v>0</v>
      </c>
      <c r="L130" s="6">
        <v>5.6028099999999998</v>
      </c>
      <c r="M130" s="6">
        <v>5.6028099999999998</v>
      </c>
      <c r="N130" s="6">
        <v>5.6028099999999998</v>
      </c>
      <c r="O130" s="6">
        <v>5.6028099999999998</v>
      </c>
      <c r="P130" s="6">
        <v>0</v>
      </c>
      <c r="Q130" s="4" t="s">
        <v>26</v>
      </c>
      <c r="R130" s="4">
        <v>0</v>
      </c>
      <c r="S130" s="6">
        <v>0</v>
      </c>
      <c r="T130" s="6">
        <v>21</v>
      </c>
      <c r="U130" s="6">
        <v>83</v>
      </c>
      <c r="V130" s="6">
        <f>IF(ISERROR(VLOOKUP($S$130,'TAR FIN'!$A$1:$O$92,15,0)),0,VLOOKUP($S$130,'TAR FIN'!$A$1:$O$92,15,0))</f>
        <v>0</v>
      </c>
      <c r="W130" s="6">
        <f>IF(ISERROR(VLOOKUP($T$130,'TAR FIN'!$A$1:$O$92,15,0)),0,VLOOKUP($T$130,'TAR FIN'!$A$1:$O$92,15,0))</f>
        <v>789.62</v>
      </c>
      <c r="X130" s="6">
        <f>IF(ISERROR(VLOOKUP($U$130,'TAR FIN'!$A$1:$O$92,15,0)),0,VLOOKUP($U$130,'TAR FIN'!$A$1:$O$92,15,0))</f>
        <v>488.15</v>
      </c>
      <c r="Y130" s="6"/>
      <c r="Z130" s="6">
        <f ca="1">('TUSD BE'!$AM$15+'TUSD BF'!$AM$15+'TUSD CVA'!$AM$15)*1</f>
        <v>1080.2905876373179</v>
      </c>
      <c r="AA130" s="6">
        <f>('TE BE'!$AB$7+'TE BF'!$AB$7+'TE CVA'!$AB$7)*1</f>
        <v>461.06028669645673</v>
      </c>
      <c r="AB130" s="6">
        <f>$K$130*$V$130</f>
        <v>0</v>
      </c>
      <c r="AC130" s="6">
        <f>$M$130*$W$130</f>
        <v>4424.0908321999996</v>
      </c>
      <c r="AD130" s="6">
        <f>$O$130*$X$130</f>
        <v>2735.0117014999996</v>
      </c>
      <c r="AE130" s="6">
        <f>$K$130*$Y$130</f>
        <v>0</v>
      </c>
      <c r="AF130" s="6">
        <f ca="1">$M$130*$Z$130</f>
        <v>6052.6629073202412</v>
      </c>
      <c r="AG130" s="6">
        <f>$O$130*$AA$130</f>
        <v>2583.2331849057746</v>
      </c>
    </row>
    <row r="131" spans="1:33" ht="11.25" hidden="1" customHeight="1" x14ac:dyDescent="0.3">
      <c r="A131" s="4" t="s">
        <v>27</v>
      </c>
      <c r="B131" s="4" t="s">
        <v>34</v>
      </c>
      <c r="C131" s="4" t="s">
        <v>35</v>
      </c>
      <c r="D131" s="4" t="s">
        <v>40</v>
      </c>
      <c r="E131" s="4" t="s">
        <v>25</v>
      </c>
      <c r="F131" s="4" t="s">
        <v>25</v>
      </c>
      <c r="G131" s="4" t="s">
        <v>25</v>
      </c>
      <c r="H131" s="4" t="s">
        <v>36</v>
      </c>
      <c r="I131" s="5">
        <v>44531</v>
      </c>
      <c r="J131" s="6">
        <v>0</v>
      </c>
      <c r="K131" s="6">
        <v>0</v>
      </c>
      <c r="L131" s="6">
        <v>1.288</v>
      </c>
      <c r="M131" s="6">
        <v>1.288</v>
      </c>
      <c r="N131" s="6">
        <v>1.288</v>
      </c>
      <c r="O131" s="6">
        <v>1.288</v>
      </c>
      <c r="P131" s="6">
        <v>0</v>
      </c>
      <c r="Q131" s="4" t="s">
        <v>26</v>
      </c>
      <c r="R131" s="4">
        <v>0</v>
      </c>
      <c r="S131" s="6">
        <v>0</v>
      </c>
      <c r="T131" s="6">
        <v>21</v>
      </c>
      <c r="U131" s="6">
        <v>83</v>
      </c>
      <c r="V131" s="6">
        <f>IF(ISERROR(VLOOKUP($S$131,'TAR FIN'!$A$1:$O$92,15,0)),0,VLOOKUP($S$131,'TAR FIN'!$A$1:$O$92,15,0))</f>
        <v>0</v>
      </c>
      <c r="W131" s="6">
        <f>IF(ISERROR(VLOOKUP($T$131,'TAR FIN'!$A$1:$O$92,15,0)),0,VLOOKUP($T$131,'TAR FIN'!$A$1:$O$92,15,0))</f>
        <v>789.62</v>
      </c>
      <c r="X131" s="6">
        <f>IF(ISERROR(VLOOKUP($U$131,'TAR FIN'!$A$1:$O$92,15,0)),0,VLOOKUP($U$131,'TAR FIN'!$A$1:$O$92,15,0))</f>
        <v>488.15</v>
      </c>
      <c r="Y131" s="6"/>
      <c r="Z131" s="6">
        <f ca="1">('TUSD BE'!$AM$15+'TUSD BF'!$AM$15+'TUSD CVA'!$AM$15)*1</f>
        <v>1080.2905876373179</v>
      </c>
      <c r="AA131" s="6">
        <f>('TE BE'!$AB$7+'TE BF'!$AB$7+'TE CVA'!$AB$7)*1</f>
        <v>461.06028669645673</v>
      </c>
      <c r="AB131" s="6">
        <f>$K$131*$V$131</f>
        <v>0</v>
      </c>
      <c r="AC131" s="6">
        <f>$M$131*$W$131</f>
        <v>1017.03056</v>
      </c>
      <c r="AD131" s="6">
        <f>$O$131*$X$131</f>
        <v>628.73720000000003</v>
      </c>
      <c r="AE131" s="6">
        <f>$K$131*$Y$131</f>
        <v>0</v>
      </c>
      <c r="AF131" s="6">
        <f ca="1">$M$131*$Z$131</f>
        <v>1391.4142768768654</v>
      </c>
      <c r="AG131" s="6">
        <f>$O$131*$AA$131</f>
        <v>593.84564926503629</v>
      </c>
    </row>
    <row r="132" spans="1:33" ht="11.25" hidden="1" customHeight="1" x14ac:dyDescent="0.3">
      <c r="A132" s="4" t="s">
        <v>21</v>
      </c>
      <c r="B132" s="4" t="s">
        <v>34</v>
      </c>
      <c r="C132" s="4" t="s">
        <v>35</v>
      </c>
      <c r="D132" s="4" t="s">
        <v>40</v>
      </c>
      <c r="E132" s="4" t="s">
        <v>25</v>
      </c>
      <c r="F132" s="4" t="s">
        <v>25</v>
      </c>
      <c r="G132" s="4" t="s">
        <v>25</v>
      </c>
      <c r="H132" s="4" t="s">
        <v>36</v>
      </c>
      <c r="I132" s="5">
        <v>44562</v>
      </c>
      <c r="J132" s="6">
        <v>0</v>
      </c>
      <c r="K132" s="6">
        <v>0</v>
      </c>
      <c r="L132" s="6">
        <v>5.6550000000000002</v>
      </c>
      <c r="M132" s="6">
        <v>5.6550000000000002</v>
      </c>
      <c r="N132" s="6">
        <v>5.6550000000000002</v>
      </c>
      <c r="O132" s="6">
        <v>5.6550000000000002</v>
      </c>
      <c r="P132" s="6">
        <v>0</v>
      </c>
      <c r="Q132" s="4" t="s">
        <v>26</v>
      </c>
      <c r="R132" s="4">
        <v>0</v>
      </c>
      <c r="S132" s="6">
        <v>0</v>
      </c>
      <c r="T132" s="6">
        <v>21</v>
      </c>
      <c r="U132" s="6">
        <v>83</v>
      </c>
      <c r="V132" s="6">
        <f>IF(ISERROR(VLOOKUP($S$132,'TAR FIN'!$A$1:$O$92,15,0)),0,VLOOKUP($S$132,'TAR FIN'!$A$1:$O$92,15,0))</f>
        <v>0</v>
      </c>
      <c r="W132" s="6">
        <f>IF(ISERROR(VLOOKUP($T$132,'TAR FIN'!$A$1:$O$92,15,0)),0,VLOOKUP($T$132,'TAR FIN'!$A$1:$O$92,15,0))</f>
        <v>789.62</v>
      </c>
      <c r="X132" s="6">
        <f>IF(ISERROR(VLOOKUP($U$132,'TAR FIN'!$A$1:$O$92,15,0)),0,VLOOKUP($U$132,'TAR FIN'!$A$1:$O$92,15,0))</f>
        <v>488.15</v>
      </c>
      <c r="Y132" s="6"/>
      <c r="Z132" s="6">
        <f ca="1">('TUSD BE'!$AM$15+'TUSD BF'!$AM$15+'TUSD CVA'!$AM$15)*1</f>
        <v>1080.2905876373179</v>
      </c>
      <c r="AA132" s="6">
        <f>('TE BE'!$AB$7+'TE BF'!$AB$7+'TE CVA'!$AB$7)*1</f>
        <v>461.06028669645673</v>
      </c>
      <c r="AB132" s="6">
        <f>$K$132*$V$132</f>
        <v>0</v>
      </c>
      <c r="AC132" s="6">
        <f>$M$132*$W$132</f>
        <v>4465.3011000000006</v>
      </c>
      <c r="AD132" s="6">
        <f>$O$132*$X$132</f>
        <v>2760.4882499999999</v>
      </c>
      <c r="AE132" s="6">
        <f>$K$132*$Y$132</f>
        <v>0</v>
      </c>
      <c r="AF132" s="6">
        <f ca="1">$M$132*$Z$132</f>
        <v>6109.0432730890334</v>
      </c>
      <c r="AG132" s="6">
        <f>$O$132*$AA$132</f>
        <v>2607.2959212684627</v>
      </c>
    </row>
    <row r="133" spans="1:33" ht="11.25" hidden="1" customHeight="1" x14ac:dyDescent="0.3">
      <c r="A133" s="4" t="s">
        <v>27</v>
      </c>
      <c r="B133" s="4" t="s">
        <v>34</v>
      </c>
      <c r="C133" s="4" t="s">
        <v>35</v>
      </c>
      <c r="D133" s="4" t="s">
        <v>40</v>
      </c>
      <c r="E133" s="4" t="s">
        <v>25</v>
      </c>
      <c r="F133" s="4" t="s">
        <v>25</v>
      </c>
      <c r="G133" s="4" t="s">
        <v>25</v>
      </c>
      <c r="H133" s="4" t="s">
        <v>36</v>
      </c>
      <c r="I133" s="5">
        <v>44562</v>
      </c>
      <c r="J133" s="6">
        <v>0</v>
      </c>
      <c r="K133" s="6">
        <v>0</v>
      </c>
      <c r="L133" s="6">
        <v>1.835</v>
      </c>
      <c r="M133" s="6">
        <v>1.835</v>
      </c>
      <c r="N133" s="6">
        <v>1.835</v>
      </c>
      <c r="O133" s="6">
        <v>1.835</v>
      </c>
      <c r="P133" s="6">
        <v>0</v>
      </c>
      <c r="Q133" s="4" t="s">
        <v>26</v>
      </c>
      <c r="R133" s="4">
        <v>0</v>
      </c>
      <c r="S133" s="6">
        <v>0</v>
      </c>
      <c r="T133" s="6">
        <v>21</v>
      </c>
      <c r="U133" s="6">
        <v>83</v>
      </c>
      <c r="V133" s="6">
        <f>IF(ISERROR(VLOOKUP($S$133,'TAR FIN'!$A$1:$O$92,15,0)),0,VLOOKUP($S$133,'TAR FIN'!$A$1:$O$92,15,0))</f>
        <v>0</v>
      </c>
      <c r="W133" s="6">
        <f>IF(ISERROR(VLOOKUP($T$133,'TAR FIN'!$A$1:$O$92,15,0)),0,VLOOKUP($T$133,'TAR FIN'!$A$1:$O$92,15,0))</f>
        <v>789.62</v>
      </c>
      <c r="X133" s="6">
        <f>IF(ISERROR(VLOOKUP($U$133,'TAR FIN'!$A$1:$O$92,15,0)),0,VLOOKUP($U$133,'TAR FIN'!$A$1:$O$92,15,0))</f>
        <v>488.15</v>
      </c>
      <c r="Y133" s="6"/>
      <c r="Z133" s="6">
        <f ca="1">('TUSD BE'!$AM$15+'TUSD BF'!$AM$15+'TUSD CVA'!$AM$15)*1</f>
        <v>1080.2905876373179</v>
      </c>
      <c r="AA133" s="6">
        <f>('TE BE'!$AB$7+'TE BF'!$AB$7+'TE CVA'!$AB$7)*1</f>
        <v>461.06028669645673</v>
      </c>
      <c r="AB133" s="6">
        <f>$K$133*$V$133</f>
        <v>0</v>
      </c>
      <c r="AC133" s="6">
        <f>$M$133*$W$133</f>
        <v>1448.9527</v>
      </c>
      <c r="AD133" s="6">
        <f>$O$133*$X$133</f>
        <v>895.75524999999993</v>
      </c>
      <c r="AE133" s="6">
        <f>$K$133*$Y$133</f>
        <v>0</v>
      </c>
      <c r="AF133" s="6">
        <f ca="1">$M$133*$Z$133</f>
        <v>1982.3332283144782</v>
      </c>
      <c r="AG133" s="6">
        <f>$O$133*$AA$133</f>
        <v>846.04562608799813</v>
      </c>
    </row>
    <row r="134" spans="1:33" ht="11.25" hidden="1" customHeight="1" x14ac:dyDescent="0.3">
      <c r="A134" s="4" t="s">
        <v>21</v>
      </c>
      <c r="B134" s="4" t="s">
        <v>34</v>
      </c>
      <c r="C134" s="4" t="s">
        <v>35</v>
      </c>
      <c r="D134" s="4" t="s">
        <v>40</v>
      </c>
      <c r="E134" s="4" t="s">
        <v>25</v>
      </c>
      <c r="F134" s="4" t="s">
        <v>25</v>
      </c>
      <c r="G134" s="4" t="s">
        <v>25</v>
      </c>
      <c r="H134" s="4" t="s">
        <v>36</v>
      </c>
      <c r="I134" s="5">
        <v>44593</v>
      </c>
      <c r="J134" s="6">
        <v>0</v>
      </c>
      <c r="K134" s="6">
        <v>0</v>
      </c>
      <c r="L134" s="6">
        <v>4.7380000000000004</v>
      </c>
      <c r="M134" s="6">
        <v>4.7380000000000004</v>
      </c>
      <c r="N134" s="6">
        <v>4.7380000000000004</v>
      </c>
      <c r="O134" s="6">
        <v>4.7380000000000004</v>
      </c>
      <c r="P134" s="6">
        <v>0</v>
      </c>
      <c r="Q134" s="4" t="s">
        <v>26</v>
      </c>
      <c r="R134" s="4">
        <v>0</v>
      </c>
      <c r="S134" s="6">
        <v>0</v>
      </c>
      <c r="T134" s="6">
        <v>21</v>
      </c>
      <c r="U134" s="6">
        <v>83</v>
      </c>
      <c r="V134" s="6">
        <f>IF(ISERROR(VLOOKUP($S$134,'TAR FIN'!$A$1:$O$92,15,0)),0,VLOOKUP($S$134,'TAR FIN'!$A$1:$O$92,15,0))</f>
        <v>0</v>
      </c>
      <c r="W134" s="6">
        <f>IF(ISERROR(VLOOKUP($T$134,'TAR FIN'!$A$1:$O$92,15,0)),0,VLOOKUP($T$134,'TAR FIN'!$A$1:$O$92,15,0))</f>
        <v>789.62</v>
      </c>
      <c r="X134" s="6">
        <f>IF(ISERROR(VLOOKUP($U$134,'TAR FIN'!$A$1:$O$92,15,0)),0,VLOOKUP($U$134,'TAR FIN'!$A$1:$O$92,15,0))</f>
        <v>488.15</v>
      </c>
      <c r="Y134" s="6"/>
      <c r="Z134" s="6">
        <f ca="1">('TUSD BE'!$AM$15+'TUSD BF'!$AM$15+'TUSD CVA'!$AM$15)*1</f>
        <v>1080.2905876373179</v>
      </c>
      <c r="AA134" s="6">
        <f>('TE BE'!$AB$7+'TE BF'!$AB$7+'TE CVA'!$AB$7)*1</f>
        <v>461.06028669645673</v>
      </c>
      <c r="AB134" s="6">
        <f>$K$134*$V$134</f>
        <v>0</v>
      </c>
      <c r="AC134" s="6">
        <f>$M$134*$W$134</f>
        <v>3741.2195600000005</v>
      </c>
      <c r="AD134" s="6">
        <f>$O$134*$X$134</f>
        <v>2312.8547000000003</v>
      </c>
      <c r="AE134" s="6">
        <f>$K$134*$Y$134</f>
        <v>0</v>
      </c>
      <c r="AF134" s="6">
        <f ca="1">$M$134*$Z$134</f>
        <v>5118.4168042256124</v>
      </c>
      <c r="AG134" s="6">
        <f>$O$134*$AA$134</f>
        <v>2184.5036383678121</v>
      </c>
    </row>
    <row r="135" spans="1:33" ht="11.25" hidden="1" customHeight="1" x14ac:dyDescent="0.3">
      <c r="A135" s="4" t="s">
        <v>27</v>
      </c>
      <c r="B135" s="4" t="s">
        <v>34</v>
      </c>
      <c r="C135" s="4" t="s">
        <v>35</v>
      </c>
      <c r="D135" s="4" t="s">
        <v>40</v>
      </c>
      <c r="E135" s="4" t="s">
        <v>25</v>
      </c>
      <c r="F135" s="4" t="s">
        <v>25</v>
      </c>
      <c r="G135" s="4" t="s">
        <v>25</v>
      </c>
      <c r="H135" s="4" t="s">
        <v>36</v>
      </c>
      <c r="I135" s="5">
        <v>44593</v>
      </c>
      <c r="J135" s="6">
        <v>0</v>
      </c>
      <c r="K135" s="6">
        <v>0</v>
      </c>
      <c r="L135" s="6">
        <v>1.76458</v>
      </c>
      <c r="M135" s="6">
        <v>1.76458</v>
      </c>
      <c r="N135" s="6">
        <v>1.76458</v>
      </c>
      <c r="O135" s="6">
        <v>1.76458</v>
      </c>
      <c r="P135" s="6">
        <v>0</v>
      </c>
      <c r="Q135" s="4" t="s">
        <v>26</v>
      </c>
      <c r="R135" s="4">
        <v>0</v>
      </c>
      <c r="S135" s="6">
        <v>0</v>
      </c>
      <c r="T135" s="6">
        <v>21</v>
      </c>
      <c r="U135" s="6">
        <v>83</v>
      </c>
      <c r="V135" s="6">
        <f>IF(ISERROR(VLOOKUP($S$135,'TAR FIN'!$A$1:$O$92,15,0)),0,VLOOKUP($S$135,'TAR FIN'!$A$1:$O$92,15,0))</f>
        <v>0</v>
      </c>
      <c r="W135" s="6">
        <f>IF(ISERROR(VLOOKUP($T$135,'TAR FIN'!$A$1:$O$92,15,0)),0,VLOOKUP($T$135,'TAR FIN'!$A$1:$O$92,15,0))</f>
        <v>789.62</v>
      </c>
      <c r="X135" s="6">
        <f>IF(ISERROR(VLOOKUP($U$135,'TAR FIN'!$A$1:$O$92,15,0)),0,VLOOKUP($U$135,'TAR FIN'!$A$1:$O$92,15,0))</f>
        <v>488.15</v>
      </c>
      <c r="Y135" s="6"/>
      <c r="Z135" s="6">
        <f ca="1">('TUSD BE'!$AM$15+'TUSD BF'!$AM$15+'TUSD CVA'!$AM$15)*1</f>
        <v>1080.2905876373179</v>
      </c>
      <c r="AA135" s="6">
        <f>('TE BE'!$AB$7+'TE BF'!$AB$7+'TE CVA'!$AB$7)*1</f>
        <v>461.06028669645673</v>
      </c>
      <c r="AB135" s="6">
        <f>$K$135*$V$135</f>
        <v>0</v>
      </c>
      <c r="AC135" s="6">
        <f>$M$135*$W$135</f>
        <v>1393.3476596</v>
      </c>
      <c r="AD135" s="6">
        <f>$O$135*$X$135</f>
        <v>861.379727</v>
      </c>
      <c r="AE135" s="6">
        <f>$K$135*$Y$135</f>
        <v>0</v>
      </c>
      <c r="AF135" s="6">
        <f ca="1">$M$135*$Z$135</f>
        <v>1906.2591651330586</v>
      </c>
      <c r="AG135" s="6">
        <f>$O$135*$AA$135</f>
        <v>813.57776069883369</v>
      </c>
    </row>
    <row r="136" spans="1:33" ht="11.25" hidden="1" customHeight="1" x14ac:dyDescent="0.3">
      <c r="A136" s="4" t="s">
        <v>21</v>
      </c>
      <c r="B136" s="4" t="s">
        <v>34</v>
      </c>
      <c r="C136" s="4" t="s">
        <v>35</v>
      </c>
      <c r="D136" s="4" t="s">
        <v>40</v>
      </c>
      <c r="E136" s="4" t="s">
        <v>25</v>
      </c>
      <c r="F136" s="4" t="s">
        <v>25</v>
      </c>
      <c r="G136" s="4" t="s">
        <v>25</v>
      </c>
      <c r="H136" s="4" t="s">
        <v>36</v>
      </c>
      <c r="I136" s="5">
        <v>44621</v>
      </c>
      <c r="J136" s="6">
        <v>0</v>
      </c>
      <c r="K136" s="6">
        <v>0</v>
      </c>
      <c r="L136" s="6">
        <v>4.5263299999999997</v>
      </c>
      <c r="M136" s="6">
        <v>4.5263299999999997</v>
      </c>
      <c r="N136" s="6">
        <v>4.5263299999999997</v>
      </c>
      <c r="O136" s="6">
        <v>4.5263299999999997</v>
      </c>
      <c r="P136" s="6">
        <v>0</v>
      </c>
      <c r="Q136" s="4" t="s">
        <v>26</v>
      </c>
      <c r="R136" s="4">
        <v>0</v>
      </c>
      <c r="S136" s="6">
        <v>0</v>
      </c>
      <c r="T136" s="6">
        <v>21</v>
      </c>
      <c r="U136" s="6">
        <v>83</v>
      </c>
      <c r="V136" s="6">
        <f>IF(ISERROR(VLOOKUP($S$136,'TAR FIN'!$A$1:$O$92,15,0)),0,VLOOKUP($S$136,'TAR FIN'!$A$1:$O$92,15,0))</f>
        <v>0</v>
      </c>
      <c r="W136" s="6">
        <f>IF(ISERROR(VLOOKUP($T$136,'TAR FIN'!$A$1:$O$92,15,0)),0,VLOOKUP($T$136,'TAR FIN'!$A$1:$O$92,15,0))</f>
        <v>789.62</v>
      </c>
      <c r="X136" s="6">
        <f>IF(ISERROR(VLOOKUP($U$136,'TAR FIN'!$A$1:$O$92,15,0)),0,VLOOKUP($U$136,'TAR FIN'!$A$1:$O$92,15,0))</f>
        <v>488.15</v>
      </c>
      <c r="Y136" s="6"/>
      <c r="Z136" s="6">
        <f ca="1">('TUSD BE'!$AM$15+'TUSD BF'!$AM$15+'TUSD CVA'!$AM$15)*1</f>
        <v>1080.2905876373179</v>
      </c>
      <c r="AA136" s="6">
        <f>('TE BE'!$AB$7+'TE BF'!$AB$7+'TE CVA'!$AB$7)*1</f>
        <v>461.06028669645673</v>
      </c>
      <c r="AB136" s="6">
        <f>$K$136*$V$136</f>
        <v>0</v>
      </c>
      <c r="AC136" s="6">
        <f>$M$136*$W$136</f>
        <v>3574.0806945999998</v>
      </c>
      <c r="AD136" s="6">
        <f>$O$136*$X$136</f>
        <v>2209.5279894999999</v>
      </c>
      <c r="AE136" s="6">
        <f>$K$136*$Y$136</f>
        <v>0</v>
      </c>
      <c r="AF136" s="6">
        <f ca="1">$M$136*$Z$136</f>
        <v>4889.7516955404208</v>
      </c>
      <c r="AG136" s="6">
        <f>$O$136*$AA$136</f>
        <v>2086.9110074827727</v>
      </c>
    </row>
    <row r="137" spans="1:33" ht="11.25" hidden="1" customHeight="1" x14ac:dyDescent="0.3">
      <c r="A137" s="4" t="s">
        <v>27</v>
      </c>
      <c r="B137" s="4" t="s">
        <v>34</v>
      </c>
      <c r="C137" s="4" t="s">
        <v>35</v>
      </c>
      <c r="D137" s="4" t="s">
        <v>40</v>
      </c>
      <c r="E137" s="4" t="s">
        <v>25</v>
      </c>
      <c r="F137" s="4" t="s">
        <v>25</v>
      </c>
      <c r="G137" s="4" t="s">
        <v>25</v>
      </c>
      <c r="H137" s="4" t="s">
        <v>36</v>
      </c>
      <c r="I137" s="5">
        <v>44621</v>
      </c>
      <c r="J137" s="6">
        <v>0</v>
      </c>
      <c r="K137" s="6">
        <v>0</v>
      </c>
      <c r="L137" s="6">
        <v>1.5145900000000001</v>
      </c>
      <c r="M137" s="6">
        <v>1.5145900000000001</v>
      </c>
      <c r="N137" s="6">
        <v>1.5145900000000001</v>
      </c>
      <c r="O137" s="6">
        <v>1.5145900000000001</v>
      </c>
      <c r="P137" s="6">
        <v>0</v>
      </c>
      <c r="Q137" s="4" t="s">
        <v>26</v>
      </c>
      <c r="R137" s="4">
        <v>0</v>
      </c>
      <c r="S137" s="6">
        <v>0</v>
      </c>
      <c r="T137" s="6">
        <v>21</v>
      </c>
      <c r="U137" s="6">
        <v>83</v>
      </c>
      <c r="V137" s="6">
        <f>IF(ISERROR(VLOOKUP($S$137,'TAR FIN'!$A$1:$O$92,15,0)),0,VLOOKUP($S$137,'TAR FIN'!$A$1:$O$92,15,0))</f>
        <v>0</v>
      </c>
      <c r="W137" s="6">
        <f>IF(ISERROR(VLOOKUP($T$137,'TAR FIN'!$A$1:$O$92,15,0)),0,VLOOKUP($T$137,'TAR FIN'!$A$1:$O$92,15,0))</f>
        <v>789.62</v>
      </c>
      <c r="X137" s="6">
        <f>IF(ISERROR(VLOOKUP($U$137,'TAR FIN'!$A$1:$O$92,15,0)),0,VLOOKUP($U$137,'TAR FIN'!$A$1:$O$92,15,0))</f>
        <v>488.15</v>
      </c>
      <c r="Y137" s="6"/>
      <c r="Z137" s="6">
        <f ca="1">('TUSD BE'!$AM$15+'TUSD BF'!$AM$15+'TUSD CVA'!$AM$15)*1</f>
        <v>1080.2905876373179</v>
      </c>
      <c r="AA137" s="6">
        <f>('TE BE'!$AB$7+'TE BF'!$AB$7+'TE CVA'!$AB$7)*1</f>
        <v>461.06028669645673</v>
      </c>
      <c r="AB137" s="6">
        <f>$K$137*$V$137</f>
        <v>0</v>
      </c>
      <c r="AC137" s="6">
        <f>$M$137*$W$137</f>
        <v>1195.9505558000001</v>
      </c>
      <c r="AD137" s="6">
        <f>$O$137*$X$137</f>
        <v>739.34710849999999</v>
      </c>
      <c r="AE137" s="6">
        <f>$K$137*$Y$137</f>
        <v>0</v>
      </c>
      <c r="AF137" s="6">
        <f ca="1">$M$137*$Z$137</f>
        <v>1636.1973211296054</v>
      </c>
      <c r="AG137" s="6">
        <f>$O$137*$AA$137</f>
        <v>698.31729962758641</v>
      </c>
    </row>
    <row r="138" spans="1:33" ht="11.25" hidden="1" customHeight="1" x14ac:dyDescent="0.3">
      <c r="A138" s="4" t="s">
        <v>21</v>
      </c>
      <c r="B138" s="4" t="s">
        <v>34</v>
      </c>
      <c r="C138" s="4" t="s">
        <v>35</v>
      </c>
      <c r="D138" s="4" t="s">
        <v>40</v>
      </c>
      <c r="E138" s="4" t="s">
        <v>25</v>
      </c>
      <c r="F138" s="4" t="s">
        <v>25</v>
      </c>
      <c r="G138" s="4" t="s">
        <v>25</v>
      </c>
      <c r="H138" s="4" t="s">
        <v>36</v>
      </c>
      <c r="I138" s="5">
        <v>44652</v>
      </c>
      <c r="J138" s="6">
        <v>0</v>
      </c>
      <c r="K138" s="6">
        <v>0</v>
      </c>
      <c r="L138" s="6">
        <v>3.3103699999999998</v>
      </c>
      <c r="M138" s="6">
        <v>3.3103699999999998</v>
      </c>
      <c r="N138" s="6">
        <v>3.3103699999999998</v>
      </c>
      <c r="O138" s="6">
        <v>3.3103699999999998</v>
      </c>
      <c r="P138" s="6">
        <v>0</v>
      </c>
      <c r="Q138" s="4" t="s">
        <v>26</v>
      </c>
      <c r="R138" s="4">
        <v>0</v>
      </c>
      <c r="S138" s="6">
        <v>0</v>
      </c>
      <c r="T138" s="6">
        <v>21</v>
      </c>
      <c r="U138" s="6">
        <v>83</v>
      </c>
      <c r="V138" s="6">
        <f>IF(ISERROR(VLOOKUP($S$138,'TAR FIN'!$A$1:$O$92,15,0)),0,VLOOKUP($S$138,'TAR FIN'!$A$1:$O$92,15,0))</f>
        <v>0</v>
      </c>
      <c r="W138" s="6">
        <f>IF(ISERROR(VLOOKUP($T$138,'TAR FIN'!$A$1:$O$92,15,0)),0,VLOOKUP($T$138,'TAR FIN'!$A$1:$O$92,15,0))</f>
        <v>789.62</v>
      </c>
      <c r="X138" s="6">
        <f>IF(ISERROR(VLOOKUP($U$138,'TAR FIN'!$A$1:$O$92,15,0)),0,VLOOKUP($U$138,'TAR FIN'!$A$1:$O$92,15,0))</f>
        <v>488.15</v>
      </c>
      <c r="Y138" s="6"/>
      <c r="Z138" s="6">
        <f ca="1">('TUSD BE'!$AM$15+'TUSD BF'!$AM$15+'TUSD CVA'!$AM$15)*1</f>
        <v>1080.2905876373179</v>
      </c>
      <c r="AA138" s="6">
        <f>('TE BE'!$AB$7+'TE BF'!$AB$7+'TE CVA'!$AB$7)*1</f>
        <v>461.06028669645673</v>
      </c>
      <c r="AB138" s="6">
        <f>$K$138*$V$138</f>
        <v>0</v>
      </c>
      <c r="AC138" s="6">
        <f>$M$138*$W$138</f>
        <v>2613.9343593999997</v>
      </c>
      <c r="AD138" s="6">
        <f>$O$138*$X$138</f>
        <v>1615.9571154999999</v>
      </c>
      <c r="AE138" s="6">
        <f>$K$138*$Y$138</f>
        <v>0</v>
      </c>
      <c r="AF138" s="6">
        <f ca="1">$M$138*$Z$138</f>
        <v>3576.1615525969478</v>
      </c>
      <c r="AG138" s="6">
        <f>$O$138*$AA$138</f>
        <v>1526.2801412713493</v>
      </c>
    </row>
    <row r="139" spans="1:33" ht="11.25" hidden="1" customHeight="1" x14ac:dyDescent="0.3">
      <c r="A139" s="4" t="s">
        <v>27</v>
      </c>
      <c r="B139" s="4" t="s">
        <v>34</v>
      </c>
      <c r="C139" s="4" t="s">
        <v>35</v>
      </c>
      <c r="D139" s="4" t="s">
        <v>40</v>
      </c>
      <c r="E139" s="4" t="s">
        <v>25</v>
      </c>
      <c r="F139" s="4" t="s">
        <v>25</v>
      </c>
      <c r="G139" s="4" t="s">
        <v>25</v>
      </c>
      <c r="H139" s="4" t="s">
        <v>36</v>
      </c>
      <c r="I139" s="5">
        <v>44652</v>
      </c>
      <c r="J139" s="6">
        <v>0</v>
      </c>
      <c r="K139" s="6">
        <v>0</v>
      </c>
      <c r="L139" s="6">
        <v>0.872</v>
      </c>
      <c r="M139" s="6">
        <v>0.872</v>
      </c>
      <c r="N139" s="6">
        <v>0.872</v>
      </c>
      <c r="O139" s="6">
        <v>0.872</v>
      </c>
      <c r="P139" s="6">
        <v>0</v>
      </c>
      <c r="Q139" s="4" t="s">
        <v>26</v>
      </c>
      <c r="R139" s="4">
        <v>0</v>
      </c>
      <c r="S139" s="6">
        <v>0</v>
      </c>
      <c r="T139" s="6">
        <v>21</v>
      </c>
      <c r="U139" s="6">
        <v>83</v>
      </c>
      <c r="V139" s="6">
        <f>IF(ISERROR(VLOOKUP($S$139,'TAR FIN'!$A$1:$O$92,15,0)),0,VLOOKUP($S$139,'TAR FIN'!$A$1:$O$92,15,0))</f>
        <v>0</v>
      </c>
      <c r="W139" s="6">
        <f>IF(ISERROR(VLOOKUP($T$139,'TAR FIN'!$A$1:$O$92,15,0)),0,VLOOKUP($T$139,'TAR FIN'!$A$1:$O$92,15,0))</f>
        <v>789.62</v>
      </c>
      <c r="X139" s="6">
        <f>IF(ISERROR(VLOOKUP($U$139,'TAR FIN'!$A$1:$O$92,15,0)),0,VLOOKUP($U$139,'TAR FIN'!$A$1:$O$92,15,0))</f>
        <v>488.15</v>
      </c>
      <c r="Y139" s="6"/>
      <c r="Z139" s="6">
        <f ca="1">('TUSD BE'!$AM$15+'TUSD BF'!$AM$15+'TUSD CVA'!$AM$15)*1</f>
        <v>1080.2905876373179</v>
      </c>
      <c r="AA139" s="6">
        <f>('TE BE'!$AB$7+'TE BF'!$AB$7+'TE CVA'!$AB$7)*1</f>
        <v>461.06028669645673</v>
      </c>
      <c r="AB139" s="6">
        <f>$K$139*$V$139</f>
        <v>0</v>
      </c>
      <c r="AC139" s="6">
        <f>$M$139*$W$139</f>
        <v>688.54863999999998</v>
      </c>
      <c r="AD139" s="6">
        <f>$O$139*$X$139</f>
        <v>425.66679999999997</v>
      </c>
      <c r="AE139" s="6">
        <f>$K$139*$Y$139</f>
        <v>0</v>
      </c>
      <c r="AF139" s="6">
        <f ca="1">$M$139*$Z$139</f>
        <v>942.01339241974119</v>
      </c>
      <c r="AG139" s="6">
        <f>$O$139*$AA$139</f>
        <v>402.04456999931028</v>
      </c>
    </row>
    <row r="140" spans="1:33" ht="11.25" hidden="1" customHeight="1" x14ac:dyDescent="0.3">
      <c r="A140" s="4" t="s">
        <v>21</v>
      </c>
      <c r="B140" s="4" t="s">
        <v>34</v>
      </c>
      <c r="C140" s="4" t="s">
        <v>35</v>
      </c>
      <c r="D140" s="4" t="s">
        <v>40</v>
      </c>
      <c r="E140" s="4" t="s">
        <v>25</v>
      </c>
      <c r="F140" s="4" t="s">
        <v>25</v>
      </c>
      <c r="G140" s="4" t="s">
        <v>25</v>
      </c>
      <c r="H140" s="4" t="s">
        <v>36</v>
      </c>
      <c r="I140" s="5">
        <v>44682</v>
      </c>
      <c r="J140" s="6">
        <v>0</v>
      </c>
      <c r="K140" s="6">
        <v>0</v>
      </c>
      <c r="L140" s="6">
        <v>3.5286</v>
      </c>
      <c r="M140" s="6">
        <v>3.5286</v>
      </c>
      <c r="N140" s="6">
        <v>3.5286</v>
      </c>
      <c r="O140" s="6">
        <v>3.5286</v>
      </c>
      <c r="P140" s="6">
        <v>0</v>
      </c>
      <c r="Q140" s="4" t="s">
        <v>26</v>
      </c>
      <c r="R140" s="4">
        <v>0</v>
      </c>
      <c r="S140" s="6">
        <v>0</v>
      </c>
      <c r="T140" s="6">
        <v>21</v>
      </c>
      <c r="U140" s="6">
        <v>83</v>
      </c>
      <c r="V140" s="6">
        <f>IF(ISERROR(VLOOKUP($S$140,'TAR FIN'!$A$1:$O$92,15,0)),0,VLOOKUP($S$140,'TAR FIN'!$A$1:$O$92,15,0))</f>
        <v>0</v>
      </c>
      <c r="W140" s="6">
        <f>IF(ISERROR(VLOOKUP($T$140,'TAR FIN'!$A$1:$O$92,15,0)),0,VLOOKUP($T$140,'TAR FIN'!$A$1:$O$92,15,0))</f>
        <v>789.62</v>
      </c>
      <c r="X140" s="6">
        <f>IF(ISERROR(VLOOKUP($U$140,'TAR FIN'!$A$1:$O$92,15,0)),0,VLOOKUP($U$140,'TAR FIN'!$A$1:$O$92,15,0))</f>
        <v>488.15</v>
      </c>
      <c r="Y140" s="6"/>
      <c r="Z140" s="6">
        <f ca="1">('TUSD BE'!$AM$15+'TUSD BF'!$AM$15+'TUSD CVA'!$AM$15)*1</f>
        <v>1080.2905876373179</v>
      </c>
      <c r="AA140" s="6">
        <f>('TE BE'!$AB$7+'TE BF'!$AB$7+'TE CVA'!$AB$7)*1</f>
        <v>461.06028669645673</v>
      </c>
      <c r="AB140" s="6">
        <f>$K$140*$V$140</f>
        <v>0</v>
      </c>
      <c r="AC140" s="6">
        <f>$M$140*$W$140</f>
        <v>2786.2531319999998</v>
      </c>
      <c r="AD140" s="6">
        <f>$O$140*$X$140</f>
        <v>1722.4860899999999</v>
      </c>
      <c r="AE140" s="6">
        <f>$K$140*$Y$140</f>
        <v>0</v>
      </c>
      <c r="AF140" s="6">
        <f ca="1">$M$140*$Z$140</f>
        <v>3811.9133675370399</v>
      </c>
      <c r="AG140" s="6">
        <f>$O$140*$AA$140</f>
        <v>1626.8973276371171</v>
      </c>
    </row>
    <row r="141" spans="1:33" ht="11.25" hidden="1" customHeight="1" x14ac:dyDescent="0.3">
      <c r="A141" s="4" t="s">
        <v>27</v>
      </c>
      <c r="B141" s="4" t="s">
        <v>34</v>
      </c>
      <c r="C141" s="4" t="s">
        <v>35</v>
      </c>
      <c r="D141" s="4" t="s">
        <v>40</v>
      </c>
      <c r="E141" s="4" t="s">
        <v>25</v>
      </c>
      <c r="F141" s="4" t="s">
        <v>25</v>
      </c>
      <c r="G141" s="4" t="s">
        <v>25</v>
      </c>
      <c r="H141" s="4" t="s">
        <v>36</v>
      </c>
      <c r="I141" s="5">
        <v>44682</v>
      </c>
      <c r="J141" s="6">
        <v>0</v>
      </c>
      <c r="K141" s="6">
        <v>0</v>
      </c>
      <c r="L141" s="6">
        <v>0.83333000000000002</v>
      </c>
      <c r="M141" s="6">
        <v>0.83333000000000002</v>
      </c>
      <c r="N141" s="6">
        <v>0.83333000000000002</v>
      </c>
      <c r="O141" s="6">
        <v>0.83333000000000002</v>
      </c>
      <c r="P141" s="6">
        <v>0</v>
      </c>
      <c r="Q141" s="4" t="s">
        <v>26</v>
      </c>
      <c r="R141" s="4">
        <v>0</v>
      </c>
      <c r="S141" s="6">
        <v>0</v>
      </c>
      <c r="T141" s="6">
        <v>21</v>
      </c>
      <c r="U141" s="6">
        <v>83</v>
      </c>
      <c r="V141" s="6">
        <f>IF(ISERROR(VLOOKUP($S$141,'TAR FIN'!$A$1:$O$92,15,0)),0,VLOOKUP($S$141,'TAR FIN'!$A$1:$O$92,15,0))</f>
        <v>0</v>
      </c>
      <c r="W141" s="6">
        <f>IF(ISERROR(VLOOKUP($T$141,'TAR FIN'!$A$1:$O$92,15,0)),0,VLOOKUP($T$141,'TAR FIN'!$A$1:$O$92,15,0))</f>
        <v>789.62</v>
      </c>
      <c r="X141" s="6">
        <f>IF(ISERROR(VLOOKUP($U$141,'TAR FIN'!$A$1:$O$92,15,0)),0,VLOOKUP($U$141,'TAR FIN'!$A$1:$O$92,15,0))</f>
        <v>488.15</v>
      </c>
      <c r="Y141" s="6"/>
      <c r="Z141" s="6">
        <f ca="1">('TUSD BE'!$AM$15+'TUSD BF'!$AM$15+'TUSD CVA'!$AM$15)*1</f>
        <v>1080.2905876373179</v>
      </c>
      <c r="AA141" s="6">
        <f>('TE BE'!$AB$7+'TE BF'!$AB$7+'TE CVA'!$AB$7)*1</f>
        <v>461.06028669645673</v>
      </c>
      <c r="AB141" s="6">
        <f>$K$141*$V$141</f>
        <v>0</v>
      </c>
      <c r="AC141" s="6">
        <f>$M$141*$W$141</f>
        <v>658.01403460000006</v>
      </c>
      <c r="AD141" s="6">
        <f>$O$141*$X$141</f>
        <v>406.79003949999998</v>
      </c>
      <c r="AE141" s="6">
        <f>$K$141*$Y$141</f>
        <v>0</v>
      </c>
      <c r="AF141" s="6">
        <f ca="1">$M$141*$Z$141</f>
        <v>900.2385553958062</v>
      </c>
      <c r="AG141" s="6">
        <f>$O$141*$AA$141</f>
        <v>384.21536871275828</v>
      </c>
    </row>
    <row r="142" spans="1:33" ht="11.25" hidden="1" customHeight="1" x14ac:dyDescent="0.3">
      <c r="A142" s="4" t="s">
        <v>21</v>
      </c>
      <c r="B142" s="4" t="s">
        <v>34</v>
      </c>
      <c r="C142" s="4" t="s">
        <v>35</v>
      </c>
      <c r="D142" s="4" t="s">
        <v>40</v>
      </c>
      <c r="E142" s="4" t="s">
        <v>25</v>
      </c>
      <c r="F142" s="4" t="s">
        <v>25</v>
      </c>
      <c r="G142" s="4" t="s">
        <v>25</v>
      </c>
      <c r="H142" s="4" t="s">
        <v>36</v>
      </c>
      <c r="I142" s="5">
        <v>44713</v>
      </c>
      <c r="J142" s="6">
        <v>0</v>
      </c>
      <c r="K142" s="6">
        <v>0</v>
      </c>
      <c r="L142" s="6">
        <v>3.0912799999999998</v>
      </c>
      <c r="M142" s="6">
        <v>3.0912799999999998</v>
      </c>
      <c r="N142" s="6">
        <v>3.0912799999999998</v>
      </c>
      <c r="O142" s="6">
        <v>3.0912799999999998</v>
      </c>
      <c r="P142" s="6">
        <v>0</v>
      </c>
      <c r="Q142" s="4" t="s">
        <v>26</v>
      </c>
      <c r="R142" s="4">
        <v>0</v>
      </c>
      <c r="S142" s="6">
        <v>0</v>
      </c>
      <c r="T142" s="6">
        <v>21</v>
      </c>
      <c r="U142" s="6">
        <v>83</v>
      </c>
      <c r="V142" s="6">
        <f>IF(ISERROR(VLOOKUP($S$142,'TAR FIN'!$A$1:$O$92,15,0)),0,VLOOKUP($S$142,'TAR FIN'!$A$1:$O$92,15,0))</f>
        <v>0</v>
      </c>
      <c r="W142" s="6">
        <f>IF(ISERROR(VLOOKUP($T$142,'TAR FIN'!$A$1:$O$92,15,0)),0,VLOOKUP($T$142,'TAR FIN'!$A$1:$O$92,15,0))</f>
        <v>789.62</v>
      </c>
      <c r="X142" s="6">
        <f>IF(ISERROR(VLOOKUP($U$142,'TAR FIN'!$A$1:$O$92,15,0)),0,VLOOKUP($U$142,'TAR FIN'!$A$1:$O$92,15,0))</f>
        <v>488.15</v>
      </c>
      <c r="Y142" s="6"/>
      <c r="Z142" s="6">
        <f ca="1">('TUSD BE'!$AM$15+'TUSD BF'!$AM$15+'TUSD CVA'!$AM$15)*1</f>
        <v>1080.2905876373179</v>
      </c>
      <c r="AA142" s="6">
        <f>('TE BE'!$AB$7+'TE BF'!$AB$7+'TE CVA'!$AB$7)*1</f>
        <v>461.06028669645673</v>
      </c>
      <c r="AB142" s="6">
        <f>$K$142*$V$142</f>
        <v>0</v>
      </c>
      <c r="AC142" s="6">
        <f>$M$142*$W$142</f>
        <v>2440.9365135999997</v>
      </c>
      <c r="AD142" s="6">
        <f>$O$142*$X$142</f>
        <v>1509.0083319999999</v>
      </c>
      <c r="AE142" s="6">
        <f>$K$142*$Y$142</f>
        <v>0</v>
      </c>
      <c r="AF142" s="6">
        <f ca="1">$M$142*$Z$142</f>
        <v>3339.4806877514879</v>
      </c>
      <c r="AG142" s="6">
        <f>$O$142*$AA$142</f>
        <v>1425.2664430590228</v>
      </c>
    </row>
    <row r="143" spans="1:33" ht="11.25" hidden="1" customHeight="1" x14ac:dyDescent="0.3">
      <c r="A143" s="4" t="s">
        <v>27</v>
      </c>
      <c r="B143" s="4" t="s">
        <v>34</v>
      </c>
      <c r="C143" s="4" t="s">
        <v>35</v>
      </c>
      <c r="D143" s="4" t="s">
        <v>40</v>
      </c>
      <c r="E143" s="4" t="s">
        <v>25</v>
      </c>
      <c r="F143" s="4" t="s">
        <v>25</v>
      </c>
      <c r="G143" s="4" t="s">
        <v>25</v>
      </c>
      <c r="H143" s="4" t="s">
        <v>36</v>
      </c>
      <c r="I143" s="5">
        <v>44713</v>
      </c>
      <c r="J143" s="6">
        <v>0</v>
      </c>
      <c r="K143" s="6">
        <v>0</v>
      </c>
      <c r="L143" s="6">
        <v>0.80100000000000005</v>
      </c>
      <c r="M143" s="6">
        <v>0.80100000000000005</v>
      </c>
      <c r="N143" s="6">
        <v>0.80100000000000005</v>
      </c>
      <c r="O143" s="6">
        <v>0.80100000000000005</v>
      </c>
      <c r="P143" s="6">
        <v>0</v>
      </c>
      <c r="Q143" s="4" t="s">
        <v>26</v>
      </c>
      <c r="R143" s="4">
        <v>0</v>
      </c>
      <c r="S143" s="6">
        <v>0</v>
      </c>
      <c r="T143" s="6">
        <v>21</v>
      </c>
      <c r="U143" s="6">
        <v>83</v>
      </c>
      <c r="V143" s="6">
        <f>IF(ISERROR(VLOOKUP($S$143,'TAR FIN'!$A$1:$O$92,15,0)),0,VLOOKUP($S$143,'TAR FIN'!$A$1:$O$92,15,0))</f>
        <v>0</v>
      </c>
      <c r="W143" s="6">
        <f>IF(ISERROR(VLOOKUP($T$143,'TAR FIN'!$A$1:$O$92,15,0)),0,VLOOKUP($T$143,'TAR FIN'!$A$1:$O$92,15,0))</f>
        <v>789.62</v>
      </c>
      <c r="X143" s="6">
        <f>IF(ISERROR(VLOOKUP($U$143,'TAR FIN'!$A$1:$O$92,15,0)),0,VLOOKUP($U$143,'TAR FIN'!$A$1:$O$92,15,0))</f>
        <v>488.15</v>
      </c>
      <c r="Y143" s="6"/>
      <c r="Z143" s="6">
        <f ca="1">('TUSD BE'!$AM$15+'TUSD BF'!$AM$15+'TUSD CVA'!$AM$15)*1</f>
        <v>1080.2905876373179</v>
      </c>
      <c r="AA143" s="6">
        <f>('TE BE'!$AB$7+'TE BF'!$AB$7+'TE CVA'!$AB$7)*1</f>
        <v>461.06028669645673</v>
      </c>
      <c r="AB143" s="6">
        <f>$K$143*$V$143</f>
        <v>0</v>
      </c>
      <c r="AC143" s="6">
        <f>$M$143*$W$143</f>
        <v>632.48562000000004</v>
      </c>
      <c r="AD143" s="6">
        <f>$O$143*$X$143</f>
        <v>391.00815</v>
      </c>
      <c r="AE143" s="6">
        <f>$K$143*$Y$143</f>
        <v>0</v>
      </c>
      <c r="AF143" s="6">
        <f ca="1">$M$143*$Z$143</f>
        <v>865.31276069749174</v>
      </c>
      <c r="AG143" s="6">
        <f>$O$143*$AA$143</f>
        <v>369.30928964386186</v>
      </c>
    </row>
    <row r="144" spans="1:33" ht="11.25" hidden="1" customHeight="1" x14ac:dyDescent="0.3">
      <c r="A144" s="4" t="s">
        <v>21</v>
      </c>
      <c r="B144" s="4" t="s">
        <v>34</v>
      </c>
      <c r="C144" s="4" t="s">
        <v>35</v>
      </c>
      <c r="D144" s="4" t="s">
        <v>40</v>
      </c>
      <c r="E144" s="4" t="s">
        <v>25</v>
      </c>
      <c r="F144" s="4" t="s">
        <v>25</v>
      </c>
      <c r="G144" s="4" t="s">
        <v>25</v>
      </c>
      <c r="H144" s="4" t="s">
        <v>36</v>
      </c>
      <c r="I144" s="5">
        <v>44743</v>
      </c>
      <c r="J144" s="6">
        <v>0</v>
      </c>
      <c r="K144" s="6">
        <v>0</v>
      </c>
      <c r="L144" s="6">
        <v>3.3119999999999998</v>
      </c>
      <c r="M144" s="6">
        <v>3.3119999999999998</v>
      </c>
      <c r="N144" s="6">
        <v>3.3119999999999998</v>
      </c>
      <c r="O144" s="6">
        <v>3.3119999999999998</v>
      </c>
      <c r="P144" s="6">
        <v>0</v>
      </c>
      <c r="Q144" s="4" t="s">
        <v>26</v>
      </c>
      <c r="R144" s="4">
        <v>0</v>
      </c>
      <c r="S144" s="6">
        <v>0</v>
      </c>
      <c r="T144" s="6">
        <v>21</v>
      </c>
      <c r="U144" s="6">
        <v>83</v>
      </c>
      <c r="V144" s="6">
        <f>IF(ISERROR(VLOOKUP($S$144,'TAR FIN'!$A$1:$O$92,15,0)),0,VLOOKUP($S$144,'TAR FIN'!$A$1:$O$92,15,0))</f>
        <v>0</v>
      </c>
      <c r="W144" s="6">
        <f>IF(ISERROR(VLOOKUP($T$144,'TAR FIN'!$A$1:$O$92,15,0)),0,VLOOKUP($T$144,'TAR FIN'!$A$1:$O$92,15,0))</f>
        <v>789.62</v>
      </c>
      <c r="X144" s="6">
        <f>IF(ISERROR(VLOOKUP($U$144,'TAR FIN'!$A$1:$O$92,15,0)),0,VLOOKUP($U$144,'TAR FIN'!$A$1:$O$92,15,0))</f>
        <v>488.15</v>
      </c>
      <c r="Y144" s="6"/>
      <c r="Z144" s="6">
        <f ca="1">('TUSD BE'!$AM$15+'TUSD BF'!$AM$15+'TUSD CVA'!$AM$15)*1</f>
        <v>1080.2905876373179</v>
      </c>
      <c r="AA144" s="6">
        <f>('TE BE'!$AB$7+'TE BF'!$AB$7+'TE CVA'!$AB$7)*1</f>
        <v>461.06028669645673</v>
      </c>
      <c r="AB144" s="6">
        <f>$K$144*$V$144</f>
        <v>0</v>
      </c>
      <c r="AC144" s="6">
        <f>$M$144*$W$144</f>
        <v>2615.2214399999998</v>
      </c>
      <c r="AD144" s="6">
        <f>$O$144*$X$144</f>
        <v>1616.7527999999998</v>
      </c>
      <c r="AE144" s="6">
        <f>$K$144*$Y$144</f>
        <v>0</v>
      </c>
      <c r="AF144" s="6">
        <f ca="1">$M$144*$Z$144</f>
        <v>3577.9224262547968</v>
      </c>
      <c r="AG144" s="6">
        <f>$O$144*$AA$144</f>
        <v>1527.0316695386646</v>
      </c>
    </row>
    <row r="145" spans="1:33" ht="11.25" hidden="1" customHeight="1" x14ac:dyDescent="0.3">
      <c r="A145" s="4" t="s">
        <v>27</v>
      </c>
      <c r="B145" s="4" t="s">
        <v>34</v>
      </c>
      <c r="C145" s="4" t="s">
        <v>35</v>
      </c>
      <c r="D145" s="4" t="s">
        <v>40</v>
      </c>
      <c r="E145" s="4" t="s">
        <v>25</v>
      </c>
      <c r="F145" s="4" t="s">
        <v>25</v>
      </c>
      <c r="G145" s="4" t="s">
        <v>25</v>
      </c>
      <c r="H145" s="4" t="s">
        <v>36</v>
      </c>
      <c r="I145" s="5">
        <v>44743</v>
      </c>
      <c r="J145" s="6">
        <v>0</v>
      </c>
      <c r="K145" s="6">
        <v>0</v>
      </c>
      <c r="L145" s="6">
        <v>0.75527999999999995</v>
      </c>
      <c r="M145" s="6">
        <v>0.75527999999999995</v>
      </c>
      <c r="N145" s="6">
        <v>0.75527999999999995</v>
      </c>
      <c r="O145" s="6">
        <v>0.75527999999999995</v>
      </c>
      <c r="P145" s="6">
        <v>0</v>
      </c>
      <c r="Q145" s="4" t="s">
        <v>26</v>
      </c>
      <c r="R145" s="4">
        <v>0</v>
      </c>
      <c r="S145" s="6">
        <v>0</v>
      </c>
      <c r="T145" s="6">
        <v>21</v>
      </c>
      <c r="U145" s="6">
        <v>83</v>
      </c>
      <c r="V145" s="6">
        <f>IF(ISERROR(VLOOKUP($S$145,'TAR FIN'!$A$1:$O$92,15,0)),0,VLOOKUP($S$145,'TAR FIN'!$A$1:$O$92,15,0))</f>
        <v>0</v>
      </c>
      <c r="W145" s="6">
        <f>IF(ISERROR(VLOOKUP($T$145,'TAR FIN'!$A$1:$O$92,15,0)),0,VLOOKUP($T$145,'TAR FIN'!$A$1:$O$92,15,0))</f>
        <v>789.62</v>
      </c>
      <c r="X145" s="6">
        <f>IF(ISERROR(VLOOKUP($U$145,'TAR FIN'!$A$1:$O$92,15,0)),0,VLOOKUP($U$145,'TAR FIN'!$A$1:$O$92,15,0))</f>
        <v>488.15</v>
      </c>
      <c r="Y145" s="6"/>
      <c r="Z145" s="6">
        <f ca="1">('TUSD BE'!$AM$15+'TUSD BF'!$AM$15+'TUSD CVA'!$AM$15)*1</f>
        <v>1080.2905876373179</v>
      </c>
      <c r="AA145" s="6">
        <f>('TE BE'!$AB$7+'TE BF'!$AB$7+'TE CVA'!$AB$7)*1</f>
        <v>461.06028669645673</v>
      </c>
      <c r="AB145" s="6">
        <f>$K$145*$V$145</f>
        <v>0</v>
      </c>
      <c r="AC145" s="6">
        <f>$M$145*$W$145</f>
        <v>596.3841936</v>
      </c>
      <c r="AD145" s="6">
        <f>$O$145*$X$145</f>
        <v>368.68993199999994</v>
      </c>
      <c r="AE145" s="6">
        <f>$K$145*$Y$145</f>
        <v>0</v>
      </c>
      <c r="AF145" s="6">
        <f ca="1">$M$145*$Z$145</f>
        <v>815.92187503071341</v>
      </c>
      <c r="AG145" s="6">
        <f>$O$145*$AA$145</f>
        <v>348.22961333609982</v>
      </c>
    </row>
    <row r="146" spans="1:33" ht="11.25" hidden="1" customHeight="1" x14ac:dyDescent="0.3">
      <c r="A146" s="4" t="s">
        <v>21</v>
      </c>
      <c r="B146" s="4" t="s">
        <v>34</v>
      </c>
      <c r="C146" s="4" t="s">
        <v>35</v>
      </c>
      <c r="D146" s="4" t="s">
        <v>33</v>
      </c>
      <c r="E146" s="4" t="s">
        <v>25</v>
      </c>
      <c r="F146" s="4" t="s">
        <v>55</v>
      </c>
      <c r="G146" s="4" t="s">
        <v>25</v>
      </c>
      <c r="H146" s="4" t="s">
        <v>37</v>
      </c>
      <c r="I146" s="5">
        <v>44409</v>
      </c>
      <c r="J146" s="6">
        <v>0</v>
      </c>
      <c r="K146" s="6">
        <v>0</v>
      </c>
      <c r="L146" s="6">
        <v>2970.8047099999999</v>
      </c>
      <c r="M146" s="6">
        <v>2970.8047099999999</v>
      </c>
      <c r="N146" s="6">
        <v>0</v>
      </c>
      <c r="O146" s="6">
        <v>0</v>
      </c>
      <c r="P146" s="6">
        <v>0</v>
      </c>
      <c r="Q146" s="4" t="s">
        <v>56</v>
      </c>
      <c r="R146" s="4">
        <v>0</v>
      </c>
      <c r="S146" s="6">
        <v>0</v>
      </c>
      <c r="T146" s="6">
        <v>22</v>
      </c>
      <c r="U146" s="6">
        <v>0</v>
      </c>
      <c r="V146" s="6">
        <f>IF(ISERROR(VLOOKUP($S$146,'TAR FIN'!$A$1:$O$92,15,0)),0,VLOOKUP($S$146,'TAR FIN'!$A$1:$O$92,15,0))</f>
        <v>0</v>
      </c>
      <c r="W146" s="6">
        <f>IF(ISERROR(VLOOKUP($T$146,'TAR FIN'!$A$1:$O$92,15,0)),0,VLOOKUP($T$146,'TAR FIN'!$A$1:$O$92,15,0))</f>
        <v>73.28</v>
      </c>
      <c r="X146" s="6">
        <f>IF(ISERROR(VLOOKUP($U$146,'TAR FIN'!$A$1:$O$92,15,0)),0,VLOOKUP($U$146,'TAR FIN'!$A$1:$O$92,15,0))</f>
        <v>0</v>
      </c>
      <c r="Y146" s="6"/>
      <c r="Z146" s="6">
        <f ca="1">('TUSD BE'!$AM$16+'TUSD BF'!$AM$16+'TUSD CVA'!$AM$16)*1</f>
        <v>139.98967941887983</v>
      </c>
      <c r="AA146" s="6"/>
      <c r="AB146" s="6">
        <f>$K$146*$V$146</f>
        <v>0</v>
      </c>
      <c r="AC146" s="6">
        <f>$M$146*$W$146</f>
        <v>217700.56914879999</v>
      </c>
      <c r="AD146" s="6">
        <f>$O$146*$X$146</f>
        <v>0</v>
      </c>
      <c r="AE146" s="6">
        <f>$K$146*$Y$146</f>
        <v>0</v>
      </c>
      <c r="AF146" s="6">
        <f ca="1">$M$146*$Z$146</f>
        <v>415881.99896899826</v>
      </c>
      <c r="AG146" s="6">
        <f>$O$146*$AA$146</f>
        <v>0</v>
      </c>
    </row>
    <row r="147" spans="1:33" ht="11.25" hidden="1" customHeight="1" x14ac:dyDescent="0.3">
      <c r="A147" s="4" t="s">
        <v>21</v>
      </c>
      <c r="B147" s="4" t="s">
        <v>34</v>
      </c>
      <c r="C147" s="4" t="s">
        <v>35</v>
      </c>
      <c r="D147" s="4" t="s">
        <v>33</v>
      </c>
      <c r="E147" s="4" t="s">
        <v>25</v>
      </c>
      <c r="F147" s="4" t="s">
        <v>55</v>
      </c>
      <c r="G147" s="4" t="s">
        <v>25</v>
      </c>
      <c r="H147" s="4" t="s">
        <v>37</v>
      </c>
      <c r="I147" s="5">
        <v>44440</v>
      </c>
      <c r="J147" s="6">
        <v>0</v>
      </c>
      <c r="K147" s="6">
        <v>0</v>
      </c>
      <c r="L147" s="6">
        <v>2776.491</v>
      </c>
      <c r="M147" s="6">
        <v>2776.491</v>
      </c>
      <c r="N147" s="6">
        <v>0</v>
      </c>
      <c r="O147" s="6">
        <v>0</v>
      </c>
      <c r="P147" s="6">
        <v>0</v>
      </c>
      <c r="Q147" s="4" t="s">
        <v>56</v>
      </c>
      <c r="R147" s="4">
        <v>0</v>
      </c>
      <c r="S147" s="6">
        <v>0</v>
      </c>
      <c r="T147" s="6">
        <v>22</v>
      </c>
      <c r="U147" s="6">
        <v>0</v>
      </c>
      <c r="V147" s="6">
        <f>IF(ISERROR(VLOOKUP($S$147,'TAR FIN'!$A$1:$O$92,15,0)),0,VLOOKUP($S$147,'TAR FIN'!$A$1:$O$92,15,0))</f>
        <v>0</v>
      </c>
      <c r="W147" s="6">
        <f>IF(ISERROR(VLOOKUP($T$147,'TAR FIN'!$A$1:$O$92,15,0)),0,VLOOKUP($T$147,'TAR FIN'!$A$1:$O$92,15,0))</f>
        <v>73.28</v>
      </c>
      <c r="X147" s="6">
        <f>IF(ISERROR(VLOOKUP($U$147,'TAR FIN'!$A$1:$O$92,15,0)),0,VLOOKUP($U$147,'TAR FIN'!$A$1:$O$92,15,0))</f>
        <v>0</v>
      </c>
      <c r="Y147" s="6"/>
      <c r="Z147" s="6">
        <f ca="1">('TUSD BE'!$AM$16+'TUSD BF'!$AM$16+'TUSD CVA'!$AM$16)*1</f>
        <v>139.98967941887983</v>
      </c>
      <c r="AA147" s="6"/>
      <c r="AB147" s="6">
        <f>$K$147*$V$147</f>
        <v>0</v>
      </c>
      <c r="AC147" s="6">
        <f>$M$147*$W$147</f>
        <v>203461.26048</v>
      </c>
      <c r="AD147" s="6">
        <f>$O$147*$X$147</f>
        <v>0</v>
      </c>
      <c r="AE147" s="6">
        <f>$K$147*$Y$147</f>
        <v>0</v>
      </c>
      <c r="AF147" s="6">
        <f ca="1">$M$147*$Z$147</f>
        <v>388680.08499940508</v>
      </c>
      <c r="AG147" s="6">
        <f>$O$147*$AA$147</f>
        <v>0</v>
      </c>
    </row>
    <row r="148" spans="1:33" ht="11.25" hidden="1" customHeight="1" x14ac:dyDescent="0.3">
      <c r="A148" s="4" t="s">
        <v>21</v>
      </c>
      <c r="B148" s="4" t="s">
        <v>34</v>
      </c>
      <c r="C148" s="4" t="s">
        <v>35</v>
      </c>
      <c r="D148" s="4" t="s">
        <v>33</v>
      </c>
      <c r="E148" s="4" t="s">
        <v>25</v>
      </c>
      <c r="F148" s="4" t="s">
        <v>55</v>
      </c>
      <c r="G148" s="4" t="s">
        <v>25</v>
      </c>
      <c r="H148" s="4" t="s">
        <v>37</v>
      </c>
      <c r="I148" s="5">
        <v>44470</v>
      </c>
      <c r="J148" s="6">
        <v>0</v>
      </c>
      <c r="K148" s="6">
        <v>0</v>
      </c>
      <c r="L148" s="6">
        <v>3080.5311900000002</v>
      </c>
      <c r="M148" s="6">
        <v>3080.5311900000002</v>
      </c>
      <c r="N148" s="6">
        <v>0</v>
      </c>
      <c r="O148" s="6">
        <v>0</v>
      </c>
      <c r="P148" s="6">
        <v>0</v>
      </c>
      <c r="Q148" s="4" t="s">
        <v>56</v>
      </c>
      <c r="R148" s="4">
        <v>0</v>
      </c>
      <c r="S148" s="6">
        <v>0</v>
      </c>
      <c r="T148" s="6">
        <v>22</v>
      </c>
      <c r="U148" s="6">
        <v>0</v>
      </c>
      <c r="V148" s="6">
        <f>IF(ISERROR(VLOOKUP($S$148,'TAR FIN'!$A$1:$O$92,15,0)),0,VLOOKUP($S$148,'TAR FIN'!$A$1:$O$92,15,0))</f>
        <v>0</v>
      </c>
      <c r="W148" s="6">
        <f>IF(ISERROR(VLOOKUP($T$148,'TAR FIN'!$A$1:$O$92,15,0)),0,VLOOKUP($T$148,'TAR FIN'!$A$1:$O$92,15,0))</f>
        <v>73.28</v>
      </c>
      <c r="X148" s="6">
        <f>IF(ISERROR(VLOOKUP($U$148,'TAR FIN'!$A$1:$O$92,15,0)),0,VLOOKUP($U$148,'TAR FIN'!$A$1:$O$92,15,0))</f>
        <v>0</v>
      </c>
      <c r="Y148" s="6"/>
      <c r="Z148" s="6">
        <f ca="1">('TUSD BE'!$AM$16+'TUSD BF'!$AM$16+'TUSD CVA'!$AM$16)*1</f>
        <v>139.98967941887983</v>
      </c>
      <c r="AA148" s="6"/>
      <c r="AB148" s="6">
        <f>$K$148*$V$148</f>
        <v>0</v>
      </c>
      <c r="AC148" s="6">
        <f>$M$148*$W$148</f>
        <v>225741.32560320001</v>
      </c>
      <c r="AD148" s="6">
        <f>$O$148*$X$148</f>
        <v>0</v>
      </c>
      <c r="AE148" s="6">
        <f>$K$148*$Y$148</f>
        <v>0</v>
      </c>
      <c r="AF148" s="6">
        <f ca="1">$M$148*$Z$148</f>
        <v>431242.57372796041</v>
      </c>
      <c r="AG148" s="6">
        <f>$O$148*$AA$148</f>
        <v>0</v>
      </c>
    </row>
    <row r="149" spans="1:33" ht="11.25" hidden="1" customHeight="1" x14ac:dyDescent="0.3">
      <c r="A149" s="4" t="s">
        <v>21</v>
      </c>
      <c r="B149" s="4" t="s">
        <v>34</v>
      </c>
      <c r="C149" s="4" t="s">
        <v>35</v>
      </c>
      <c r="D149" s="4" t="s">
        <v>33</v>
      </c>
      <c r="E149" s="4" t="s">
        <v>25</v>
      </c>
      <c r="F149" s="4" t="s">
        <v>55</v>
      </c>
      <c r="G149" s="4" t="s">
        <v>25</v>
      </c>
      <c r="H149" s="4" t="s">
        <v>37</v>
      </c>
      <c r="I149" s="5">
        <v>44501</v>
      </c>
      <c r="J149" s="6">
        <v>0</v>
      </c>
      <c r="K149" s="6">
        <v>0</v>
      </c>
      <c r="L149" s="6">
        <v>3219.0039999999999</v>
      </c>
      <c r="M149" s="6">
        <v>3219.0039999999999</v>
      </c>
      <c r="N149" s="6">
        <v>0</v>
      </c>
      <c r="O149" s="6">
        <v>0</v>
      </c>
      <c r="P149" s="6">
        <v>0</v>
      </c>
      <c r="Q149" s="4" t="s">
        <v>56</v>
      </c>
      <c r="R149" s="4">
        <v>0</v>
      </c>
      <c r="S149" s="6">
        <v>0</v>
      </c>
      <c r="T149" s="6">
        <v>22</v>
      </c>
      <c r="U149" s="6">
        <v>0</v>
      </c>
      <c r="V149" s="6">
        <f>IF(ISERROR(VLOOKUP($S$149,'TAR FIN'!$A$1:$O$92,15,0)),0,VLOOKUP($S$149,'TAR FIN'!$A$1:$O$92,15,0))</f>
        <v>0</v>
      </c>
      <c r="W149" s="6">
        <f>IF(ISERROR(VLOOKUP($T$149,'TAR FIN'!$A$1:$O$92,15,0)),0,VLOOKUP($T$149,'TAR FIN'!$A$1:$O$92,15,0))</f>
        <v>73.28</v>
      </c>
      <c r="X149" s="6">
        <f>IF(ISERROR(VLOOKUP($U$149,'TAR FIN'!$A$1:$O$92,15,0)),0,VLOOKUP($U$149,'TAR FIN'!$A$1:$O$92,15,0))</f>
        <v>0</v>
      </c>
      <c r="Y149" s="6"/>
      <c r="Z149" s="6">
        <f ca="1">('TUSD BE'!$AM$16+'TUSD BF'!$AM$16+'TUSD CVA'!$AM$16)*1</f>
        <v>139.98967941887983</v>
      </c>
      <c r="AA149" s="6"/>
      <c r="AB149" s="6">
        <f>$K$149*$V$149</f>
        <v>0</v>
      </c>
      <c r="AC149" s="6">
        <f>$M$149*$W$149</f>
        <v>235888.61311999999</v>
      </c>
      <c r="AD149" s="6">
        <f>$O$149*$X$149</f>
        <v>0</v>
      </c>
      <c r="AE149" s="6">
        <f>$K$149*$Y$149</f>
        <v>0</v>
      </c>
      <c r="AF149" s="6">
        <f ca="1">$M$149*$Z$149</f>
        <v>450627.33800809184</v>
      </c>
      <c r="AG149" s="6">
        <f>$O$149*$AA$149</f>
        <v>0</v>
      </c>
    </row>
    <row r="150" spans="1:33" ht="11.25" hidden="1" customHeight="1" x14ac:dyDescent="0.3">
      <c r="A150" s="4" t="s">
        <v>21</v>
      </c>
      <c r="B150" s="4" t="s">
        <v>34</v>
      </c>
      <c r="C150" s="4" t="s">
        <v>35</v>
      </c>
      <c r="D150" s="4" t="s">
        <v>33</v>
      </c>
      <c r="E150" s="4" t="s">
        <v>25</v>
      </c>
      <c r="F150" s="4" t="s">
        <v>55</v>
      </c>
      <c r="G150" s="4" t="s">
        <v>25</v>
      </c>
      <c r="H150" s="4" t="s">
        <v>37</v>
      </c>
      <c r="I150" s="5">
        <v>44531</v>
      </c>
      <c r="J150" s="6">
        <v>0</v>
      </c>
      <c r="K150" s="6">
        <v>0</v>
      </c>
      <c r="L150" s="6">
        <v>2476.0529999999999</v>
      </c>
      <c r="M150" s="6">
        <v>2476.0529999999999</v>
      </c>
      <c r="N150" s="6">
        <v>0</v>
      </c>
      <c r="O150" s="6">
        <v>0</v>
      </c>
      <c r="P150" s="6">
        <v>0</v>
      </c>
      <c r="Q150" s="4" t="s">
        <v>56</v>
      </c>
      <c r="R150" s="4">
        <v>0</v>
      </c>
      <c r="S150" s="6">
        <v>0</v>
      </c>
      <c r="T150" s="6">
        <v>22</v>
      </c>
      <c r="U150" s="6">
        <v>0</v>
      </c>
      <c r="V150" s="6">
        <f>IF(ISERROR(VLOOKUP($S$150,'TAR FIN'!$A$1:$O$92,15,0)),0,VLOOKUP($S$150,'TAR FIN'!$A$1:$O$92,15,0))</f>
        <v>0</v>
      </c>
      <c r="W150" s="6">
        <f>IF(ISERROR(VLOOKUP($T$150,'TAR FIN'!$A$1:$O$92,15,0)),0,VLOOKUP($T$150,'TAR FIN'!$A$1:$O$92,15,0))</f>
        <v>73.28</v>
      </c>
      <c r="X150" s="6">
        <f>IF(ISERROR(VLOOKUP($U$150,'TAR FIN'!$A$1:$O$92,15,0)),0,VLOOKUP($U$150,'TAR FIN'!$A$1:$O$92,15,0))</f>
        <v>0</v>
      </c>
      <c r="Y150" s="6"/>
      <c r="Z150" s="6">
        <f ca="1">('TUSD BE'!$AM$16+'TUSD BF'!$AM$16+'TUSD CVA'!$AM$16)*1</f>
        <v>139.98967941887983</v>
      </c>
      <c r="AA150" s="6"/>
      <c r="AB150" s="6">
        <f>$K$150*$V$150</f>
        <v>0</v>
      </c>
      <c r="AC150" s="6">
        <f>$M$150*$W$150</f>
        <v>181445.16383999999</v>
      </c>
      <c r="AD150" s="6">
        <f>$O$150*$X$150</f>
        <v>0</v>
      </c>
      <c r="AE150" s="6">
        <f>$K$150*$Y$150</f>
        <v>0</v>
      </c>
      <c r="AF150" s="6">
        <f ca="1">$M$150*$Z$150</f>
        <v>346621.86569415563</v>
      </c>
      <c r="AG150" s="6">
        <f>$O$150*$AA$150</f>
        <v>0</v>
      </c>
    </row>
    <row r="151" spans="1:33" ht="11.25" hidden="1" customHeight="1" x14ac:dyDescent="0.3">
      <c r="A151" s="4" t="s">
        <v>21</v>
      </c>
      <c r="B151" s="4" t="s">
        <v>34</v>
      </c>
      <c r="C151" s="4" t="s">
        <v>35</v>
      </c>
      <c r="D151" s="4" t="s">
        <v>33</v>
      </c>
      <c r="E151" s="4" t="s">
        <v>25</v>
      </c>
      <c r="F151" s="4" t="s">
        <v>55</v>
      </c>
      <c r="G151" s="4" t="s">
        <v>25</v>
      </c>
      <c r="H151" s="4" t="s">
        <v>37</v>
      </c>
      <c r="I151" s="5">
        <v>44562</v>
      </c>
      <c r="J151" s="6">
        <v>0</v>
      </c>
      <c r="K151" s="6">
        <v>0</v>
      </c>
      <c r="L151" s="6">
        <v>2614.6350000000002</v>
      </c>
      <c r="M151" s="6">
        <v>2614.6350000000002</v>
      </c>
      <c r="N151" s="6">
        <v>0</v>
      </c>
      <c r="O151" s="6">
        <v>0</v>
      </c>
      <c r="P151" s="6">
        <v>0</v>
      </c>
      <c r="Q151" s="4" t="s">
        <v>56</v>
      </c>
      <c r="R151" s="4">
        <v>0</v>
      </c>
      <c r="S151" s="6">
        <v>0</v>
      </c>
      <c r="T151" s="6">
        <v>22</v>
      </c>
      <c r="U151" s="6">
        <v>0</v>
      </c>
      <c r="V151" s="6">
        <f>IF(ISERROR(VLOOKUP($S$151,'TAR FIN'!$A$1:$O$92,15,0)),0,VLOOKUP($S$151,'TAR FIN'!$A$1:$O$92,15,0))</f>
        <v>0</v>
      </c>
      <c r="W151" s="6">
        <f>IF(ISERROR(VLOOKUP($T$151,'TAR FIN'!$A$1:$O$92,15,0)),0,VLOOKUP($T$151,'TAR FIN'!$A$1:$O$92,15,0))</f>
        <v>73.28</v>
      </c>
      <c r="X151" s="6">
        <f>IF(ISERROR(VLOOKUP($U$151,'TAR FIN'!$A$1:$O$92,15,0)),0,VLOOKUP($U$151,'TAR FIN'!$A$1:$O$92,15,0))</f>
        <v>0</v>
      </c>
      <c r="Y151" s="6"/>
      <c r="Z151" s="6">
        <f ca="1">('TUSD BE'!$AM$16+'TUSD BF'!$AM$16+'TUSD CVA'!$AM$16)*1</f>
        <v>139.98967941887983</v>
      </c>
      <c r="AA151" s="6"/>
      <c r="AB151" s="6">
        <f>$K$151*$V$151</f>
        <v>0</v>
      </c>
      <c r="AC151" s="6">
        <f>$M$151*$W$151</f>
        <v>191600.45280000003</v>
      </c>
      <c r="AD151" s="6">
        <f>$O$151*$X$151</f>
        <v>0</v>
      </c>
      <c r="AE151" s="6">
        <f>$K$151*$Y$151</f>
        <v>0</v>
      </c>
      <c r="AF151" s="6">
        <f ca="1">$M$151*$Z$151</f>
        <v>366021.9154473829</v>
      </c>
      <c r="AG151" s="6">
        <f>$O$151*$AA$151</f>
        <v>0</v>
      </c>
    </row>
    <row r="152" spans="1:33" ht="11.25" hidden="1" customHeight="1" x14ac:dyDescent="0.3">
      <c r="A152" s="4" t="s">
        <v>21</v>
      </c>
      <c r="B152" s="4" t="s">
        <v>34</v>
      </c>
      <c r="C152" s="4" t="s">
        <v>35</v>
      </c>
      <c r="D152" s="4" t="s">
        <v>33</v>
      </c>
      <c r="E152" s="4" t="s">
        <v>25</v>
      </c>
      <c r="F152" s="4" t="s">
        <v>55</v>
      </c>
      <c r="G152" s="4" t="s">
        <v>25</v>
      </c>
      <c r="H152" s="4" t="s">
        <v>37</v>
      </c>
      <c r="I152" s="5">
        <v>44593</v>
      </c>
      <c r="J152" s="6">
        <v>0</v>
      </c>
      <c r="K152" s="6">
        <v>0</v>
      </c>
      <c r="L152" s="6">
        <v>2692.8690000000001</v>
      </c>
      <c r="M152" s="6">
        <v>2692.8690000000001</v>
      </c>
      <c r="N152" s="6">
        <v>0</v>
      </c>
      <c r="O152" s="6">
        <v>0</v>
      </c>
      <c r="P152" s="6">
        <v>0</v>
      </c>
      <c r="Q152" s="4" t="s">
        <v>56</v>
      </c>
      <c r="R152" s="4">
        <v>0</v>
      </c>
      <c r="S152" s="6">
        <v>0</v>
      </c>
      <c r="T152" s="6">
        <v>22</v>
      </c>
      <c r="U152" s="6">
        <v>0</v>
      </c>
      <c r="V152" s="6">
        <f>IF(ISERROR(VLOOKUP($S$152,'TAR FIN'!$A$1:$O$92,15,0)),0,VLOOKUP($S$152,'TAR FIN'!$A$1:$O$92,15,0))</f>
        <v>0</v>
      </c>
      <c r="W152" s="6">
        <f>IF(ISERROR(VLOOKUP($T$152,'TAR FIN'!$A$1:$O$92,15,0)),0,VLOOKUP($T$152,'TAR FIN'!$A$1:$O$92,15,0))</f>
        <v>73.28</v>
      </c>
      <c r="X152" s="6">
        <f>IF(ISERROR(VLOOKUP($U$152,'TAR FIN'!$A$1:$O$92,15,0)),0,VLOOKUP($U$152,'TAR FIN'!$A$1:$O$92,15,0))</f>
        <v>0</v>
      </c>
      <c r="Y152" s="6"/>
      <c r="Z152" s="6">
        <f ca="1">('TUSD BE'!$AM$16+'TUSD BF'!$AM$16+'TUSD CVA'!$AM$16)*1</f>
        <v>139.98967941887983</v>
      </c>
      <c r="AA152" s="6"/>
      <c r="AB152" s="6">
        <f>$K$152*$V$152</f>
        <v>0</v>
      </c>
      <c r="AC152" s="6">
        <f>$M$152*$W$152</f>
        <v>197333.44032000002</v>
      </c>
      <c r="AD152" s="6">
        <f>$O$152*$X$152</f>
        <v>0</v>
      </c>
      <c r="AE152" s="6">
        <f>$K$152*$Y$152</f>
        <v>0</v>
      </c>
      <c r="AF152" s="6">
        <f ca="1">$M$152*$Z$152</f>
        <v>376973.86802703951</v>
      </c>
      <c r="AG152" s="6">
        <f>$O$152*$AA$152</f>
        <v>0</v>
      </c>
    </row>
    <row r="153" spans="1:33" ht="11.25" hidden="1" customHeight="1" x14ac:dyDescent="0.3">
      <c r="A153" s="4" t="s">
        <v>21</v>
      </c>
      <c r="B153" s="4" t="s">
        <v>34</v>
      </c>
      <c r="C153" s="4" t="s">
        <v>35</v>
      </c>
      <c r="D153" s="4" t="s">
        <v>33</v>
      </c>
      <c r="E153" s="4" t="s">
        <v>25</v>
      </c>
      <c r="F153" s="4" t="s">
        <v>55</v>
      </c>
      <c r="G153" s="4" t="s">
        <v>25</v>
      </c>
      <c r="H153" s="4" t="s">
        <v>37</v>
      </c>
      <c r="I153" s="5">
        <v>44621</v>
      </c>
      <c r="J153" s="6">
        <v>0</v>
      </c>
      <c r="K153" s="6">
        <v>0</v>
      </c>
      <c r="L153" s="6">
        <v>3033.424</v>
      </c>
      <c r="M153" s="6">
        <v>3033.424</v>
      </c>
      <c r="N153" s="6">
        <v>0</v>
      </c>
      <c r="O153" s="6">
        <v>0</v>
      </c>
      <c r="P153" s="6">
        <v>0</v>
      </c>
      <c r="Q153" s="4" t="s">
        <v>56</v>
      </c>
      <c r="R153" s="4">
        <v>0</v>
      </c>
      <c r="S153" s="6">
        <v>0</v>
      </c>
      <c r="T153" s="6">
        <v>22</v>
      </c>
      <c r="U153" s="6">
        <v>0</v>
      </c>
      <c r="V153" s="6">
        <f>IF(ISERROR(VLOOKUP($S$153,'TAR FIN'!$A$1:$O$92,15,0)),0,VLOOKUP($S$153,'TAR FIN'!$A$1:$O$92,15,0))</f>
        <v>0</v>
      </c>
      <c r="W153" s="6">
        <f>IF(ISERROR(VLOOKUP($T$153,'TAR FIN'!$A$1:$O$92,15,0)),0,VLOOKUP($T$153,'TAR FIN'!$A$1:$O$92,15,0))</f>
        <v>73.28</v>
      </c>
      <c r="X153" s="6">
        <f>IF(ISERROR(VLOOKUP($U$153,'TAR FIN'!$A$1:$O$92,15,0)),0,VLOOKUP($U$153,'TAR FIN'!$A$1:$O$92,15,0))</f>
        <v>0</v>
      </c>
      <c r="Y153" s="6"/>
      <c r="Z153" s="6">
        <f ca="1">('TUSD BE'!$AM$16+'TUSD BF'!$AM$16+'TUSD CVA'!$AM$16)*1</f>
        <v>139.98967941887983</v>
      </c>
      <c r="AA153" s="6"/>
      <c r="AB153" s="6">
        <f>$K$153*$V$153</f>
        <v>0</v>
      </c>
      <c r="AC153" s="6">
        <f>$M$153*$W$153</f>
        <v>222289.31072000001</v>
      </c>
      <c r="AD153" s="6">
        <f>$O$153*$X$153</f>
        <v>0</v>
      </c>
      <c r="AE153" s="6">
        <f>$K$153*$Y$153</f>
        <v>0</v>
      </c>
      <c r="AF153" s="6">
        <f ca="1">$M$153*$Z$153</f>
        <v>424648.05330153613</v>
      </c>
      <c r="AG153" s="6">
        <f>$O$153*$AA$153</f>
        <v>0</v>
      </c>
    </row>
    <row r="154" spans="1:33" ht="11.25" hidden="1" customHeight="1" x14ac:dyDescent="0.3">
      <c r="A154" s="4" t="s">
        <v>21</v>
      </c>
      <c r="B154" s="4" t="s">
        <v>34</v>
      </c>
      <c r="C154" s="4" t="s">
        <v>35</v>
      </c>
      <c r="D154" s="4" t="s">
        <v>33</v>
      </c>
      <c r="E154" s="4" t="s">
        <v>25</v>
      </c>
      <c r="F154" s="4" t="s">
        <v>55</v>
      </c>
      <c r="G154" s="4" t="s">
        <v>25</v>
      </c>
      <c r="H154" s="4" t="s">
        <v>37</v>
      </c>
      <c r="I154" s="5">
        <v>44652</v>
      </c>
      <c r="J154" s="6">
        <v>0</v>
      </c>
      <c r="K154" s="6">
        <v>0</v>
      </c>
      <c r="L154" s="6">
        <v>2854.1410000000001</v>
      </c>
      <c r="M154" s="6">
        <v>2854.1410000000001</v>
      </c>
      <c r="N154" s="6">
        <v>0</v>
      </c>
      <c r="O154" s="6">
        <v>0</v>
      </c>
      <c r="P154" s="6">
        <v>0</v>
      </c>
      <c r="Q154" s="4" t="s">
        <v>56</v>
      </c>
      <c r="R154" s="4">
        <v>0</v>
      </c>
      <c r="S154" s="6">
        <v>0</v>
      </c>
      <c r="T154" s="6">
        <v>22</v>
      </c>
      <c r="U154" s="6">
        <v>0</v>
      </c>
      <c r="V154" s="6">
        <f>IF(ISERROR(VLOOKUP($S$154,'TAR FIN'!$A$1:$O$92,15,0)),0,VLOOKUP($S$154,'TAR FIN'!$A$1:$O$92,15,0))</f>
        <v>0</v>
      </c>
      <c r="W154" s="6">
        <f>IF(ISERROR(VLOOKUP($T$154,'TAR FIN'!$A$1:$O$92,15,0)),0,VLOOKUP($T$154,'TAR FIN'!$A$1:$O$92,15,0))</f>
        <v>73.28</v>
      </c>
      <c r="X154" s="6">
        <f>IF(ISERROR(VLOOKUP($U$154,'TAR FIN'!$A$1:$O$92,15,0)),0,VLOOKUP($U$154,'TAR FIN'!$A$1:$O$92,15,0))</f>
        <v>0</v>
      </c>
      <c r="Y154" s="6"/>
      <c r="Z154" s="6">
        <f ca="1">('TUSD BE'!$AM$16+'TUSD BF'!$AM$16+'TUSD CVA'!$AM$16)*1</f>
        <v>139.98967941887983</v>
      </c>
      <c r="AA154" s="6"/>
      <c r="AB154" s="6">
        <f>$K$154*$V$154</f>
        <v>0</v>
      </c>
      <c r="AC154" s="6">
        <f>$M$154*$W$154</f>
        <v>209151.45248000001</v>
      </c>
      <c r="AD154" s="6">
        <f>$O$154*$X$154</f>
        <v>0</v>
      </c>
      <c r="AE154" s="6">
        <f>$K$154*$Y$154</f>
        <v>0</v>
      </c>
      <c r="AF154" s="6">
        <f ca="1">$M$154*$Z$154</f>
        <v>399550.2836062811</v>
      </c>
      <c r="AG154" s="6">
        <f>$O$154*$AA$154</f>
        <v>0</v>
      </c>
    </row>
    <row r="155" spans="1:33" ht="11.25" hidden="1" customHeight="1" x14ac:dyDescent="0.3">
      <c r="A155" s="4" t="s">
        <v>21</v>
      </c>
      <c r="B155" s="4" t="s">
        <v>34</v>
      </c>
      <c r="C155" s="4" t="s">
        <v>35</v>
      </c>
      <c r="D155" s="4" t="s">
        <v>33</v>
      </c>
      <c r="E155" s="4" t="s">
        <v>25</v>
      </c>
      <c r="F155" s="4" t="s">
        <v>55</v>
      </c>
      <c r="G155" s="4" t="s">
        <v>25</v>
      </c>
      <c r="H155" s="4" t="s">
        <v>37</v>
      </c>
      <c r="I155" s="5">
        <v>44682</v>
      </c>
      <c r="J155" s="6">
        <v>0</v>
      </c>
      <c r="K155" s="6">
        <v>0</v>
      </c>
      <c r="L155" s="6">
        <v>2914.23</v>
      </c>
      <c r="M155" s="6">
        <v>2914.23</v>
      </c>
      <c r="N155" s="6">
        <v>0</v>
      </c>
      <c r="O155" s="6">
        <v>0</v>
      </c>
      <c r="P155" s="6">
        <v>0</v>
      </c>
      <c r="Q155" s="4" t="s">
        <v>56</v>
      </c>
      <c r="R155" s="4">
        <v>0</v>
      </c>
      <c r="S155" s="6">
        <v>0</v>
      </c>
      <c r="T155" s="6">
        <v>22</v>
      </c>
      <c r="U155" s="6">
        <v>0</v>
      </c>
      <c r="V155" s="6">
        <f>IF(ISERROR(VLOOKUP($S$155,'TAR FIN'!$A$1:$O$92,15,0)),0,VLOOKUP($S$155,'TAR FIN'!$A$1:$O$92,15,0))</f>
        <v>0</v>
      </c>
      <c r="W155" s="6">
        <f>IF(ISERROR(VLOOKUP($T$155,'TAR FIN'!$A$1:$O$92,15,0)),0,VLOOKUP($T$155,'TAR FIN'!$A$1:$O$92,15,0))</f>
        <v>73.28</v>
      </c>
      <c r="X155" s="6">
        <f>IF(ISERROR(VLOOKUP($U$155,'TAR FIN'!$A$1:$O$92,15,0)),0,VLOOKUP($U$155,'TAR FIN'!$A$1:$O$92,15,0))</f>
        <v>0</v>
      </c>
      <c r="Y155" s="6"/>
      <c r="Z155" s="6">
        <f ca="1">('TUSD BE'!$AM$16+'TUSD BF'!$AM$16+'TUSD CVA'!$AM$16)*1</f>
        <v>139.98967941887983</v>
      </c>
      <c r="AA155" s="6"/>
      <c r="AB155" s="6">
        <f>$K$155*$V$155</f>
        <v>0</v>
      </c>
      <c r="AC155" s="6">
        <f>$M$155*$W$155</f>
        <v>213554.77439999999</v>
      </c>
      <c r="AD155" s="6">
        <f>$O$155*$X$155</f>
        <v>0</v>
      </c>
      <c r="AE155" s="6">
        <f>$K$155*$Y$155</f>
        <v>0</v>
      </c>
      <c r="AF155" s="6">
        <f ca="1">$M$155*$Z$155</f>
        <v>407962.12345288217</v>
      </c>
      <c r="AG155" s="6">
        <f>$O$155*$AA$155</f>
        <v>0</v>
      </c>
    </row>
    <row r="156" spans="1:33" ht="11.25" hidden="1" customHeight="1" x14ac:dyDescent="0.3">
      <c r="A156" s="4" t="s">
        <v>21</v>
      </c>
      <c r="B156" s="4" t="s">
        <v>34</v>
      </c>
      <c r="C156" s="4" t="s">
        <v>35</v>
      </c>
      <c r="D156" s="4" t="s">
        <v>33</v>
      </c>
      <c r="E156" s="4" t="s">
        <v>25</v>
      </c>
      <c r="F156" s="4" t="s">
        <v>55</v>
      </c>
      <c r="G156" s="4" t="s">
        <v>25</v>
      </c>
      <c r="H156" s="4" t="s">
        <v>37</v>
      </c>
      <c r="I156" s="5">
        <v>44713</v>
      </c>
      <c r="J156" s="6">
        <v>0</v>
      </c>
      <c r="K156" s="6">
        <v>0</v>
      </c>
      <c r="L156" s="6">
        <v>2965.4425299999998</v>
      </c>
      <c r="M156" s="6">
        <v>2965.4425299999998</v>
      </c>
      <c r="N156" s="6">
        <v>0</v>
      </c>
      <c r="O156" s="6">
        <v>0</v>
      </c>
      <c r="P156" s="6">
        <v>0</v>
      </c>
      <c r="Q156" s="4" t="s">
        <v>56</v>
      </c>
      <c r="R156" s="4">
        <v>0</v>
      </c>
      <c r="S156" s="6">
        <v>0</v>
      </c>
      <c r="T156" s="6">
        <v>22</v>
      </c>
      <c r="U156" s="6">
        <v>0</v>
      </c>
      <c r="V156" s="6">
        <f>IF(ISERROR(VLOOKUP($S$156,'TAR FIN'!$A$1:$O$92,15,0)),0,VLOOKUP($S$156,'TAR FIN'!$A$1:$O$92,15,0))</f>
        <v>0</v>
      </c>
      <c r="W156" s="6">
        <f>IF(ISERROR(VLOOKUP($T$156,'TAR FIN'!$A$1:$O$92,15,0)),0,VLOOKUP($T$156,'TAR FIN'!$A$1:$O$92,15,0))</f>
        <v>73.28</v>
      </c>
      <c r="X156" s="6">
        <f>IF(ISERROR(VLOOKUP($U$156,'TAR FIN'!$A$1:$O$92,15,0)),0,VLOOKUP($U$156,'TAR FIN'!$A$1:$O$92,15,0))</f>
        <v>0</v>
      </c>
      <c r="Y156" s="6"/>
      <c r="Z156" s="6">
        <f ca="1">('TUSD BE'!$AM$16+'TUSD BF'!$AM$16+'TUSD CVA'!$AM$16)*1</f>
        <v>139.98967941887983</v>
      </c>
      <c r="AA156" s="6"/>
      <c r="AB156" s="6">
        <f>$K$156*$V$156</f>
        <v>0</v>
      </c>
      <c r="AC156" s="6">
        <f>$M$156*$W$156</f>
        <v>217307.62859839998</v>
      </c>
      <c r="AD156" s="6">
        <f>$O$156*$X$156</f>
        <v>0</v>
      </c>
      <c r="AE156" s="6">
        <f>$K$156*$Y$156</f>
        <v>0</v>
      </c>
      <c r="AF156" s="6">
        <f ca="1">$M$156*$Z$156</f>
        <v>415131.34910981188</v>
      </c>
      <c r="AG156" s="6">
        <f>$O$156*$AA$156</f>
        <v>0</v>
      </c>
    </row>
    <row r="157" spans="1:33" ht="11.25" hidden="1" customHeight="1" x14ac:dyDescent="0.3">
      <c r="A157" s="4" t="s">
        <v>21</v>
      </c>
      <c r="B157" s="4" t="s">
        <v>34</v>
      </c>
      <c r="C157" s="4" t="s">
        <v>35</v>
      </c>
      <c r="D157" s="4" t="s">
        <v>33</v>
      </c>
      <c r="E157" s="4" t="s">
        <v>25</v>
      </c>
      <c r="F157" s="4" t="s">
        <v>55</v>
      </c>
      <c r="G157" s="4" t="s">
        <v>25</v>
      </c>
      <c r="H157" s="4" t="s">
        <v>37</v>
      </c>
      <c r="I157" s="5">
        <v>44743</v>
      </c>
      <c r="J157" s="6">
        <v>0</v>
      </c>
      <c r="K157" s="6">
        <v>0</v>
      </c>
      <c r="L157" s="6">
        <v>3008.4816900000001</v>
      </c>
      <c r="M157" s="6">
        <v>3008.4816900000001</v>
      </c>
      <c r="N157" s="6">
        <v>0</v>
      </c>
      <c r="O157" s="6">
        <v>0</v>
      </c>
      <c r="P157" s="6">
        <v>0</v>
      </c>
      <c r="Q157" s="4" t="s">
        <v>56</v>
      </c>
      <c r="R157" s="4">
        <v>0</v>
      </c>
      <c r="S157" s="6">
        <v>0</v>
      </c>
      <c r="T157" s="6">
        <v>22</v>
      </c>
      <c r="U157" s="6">
        <v>0</v>
      </c>
      <c r="V157" s="6">
        <f>IF(ISERROR(VLOOKUP($S$157,'TAR FIN'!$A$1:$O$92,15,0)),0,VLOOKUP($S$157,'TAR FIN'!$A$1:$O$92,15,0))</f>
        <v>0</v>
      </c>
      <c r="W157" s="6">
        <f>IF(ISERROR(VLOOKUP($T$157,'TAR FIN'!$A$1:$O$92,15,0)),0,VLOOKUP($T$157,'TAR FIN'!$A$1:$O$92,15,0))</f>
        <v>73.28</v>
      </c>
      <c r="X157" s="6">
        <f>IF(ISERROR(VLOOKUP($U$157,'TAR FIN'!$A$1:$O$92,15,0)),0,VLOOKUP($U$157,'TAR FIN'!$A$1:$O$92,15,0))</f>
        <v>0</v>
      </c>
      <c r="Y157" s="6"/>
      <c r="Z157" s="6">
        <f ca="1">('TUSD BE'!$AM$16+'TUSD BF'!$AM$16+'TUSD CVA'!$AM$16)*1</f>
        <v>139.98967941887983</v>
      </c>
      <c r="AA157" s="6"/>
      <c r="AB157" s="6">
        <f>$K$157*$V$157</f>
        <v>0</v>
      </c>
      <c r="AC157" s="6">
        <f>$M$157*$W$157</f>
        <v>220461.53824320002</v>
      </c>
      <c r="AD157" s="6">
        <f>$O$157*$X$157</f>
        <v>0</v>
      </c>
      <c r="AE157" s="6">
        <f>$K$157*$Y$157</f>
        <v>0</v>
      </c>
      <c r="AF157" s="6">
        <f ca="1">$M$157*$Z$157</f>
        <v>421156.38732066983</v>
      </c>
      <c r="AG157" s="6">
        <f>$O$157*$AA$157</f>
        <v>0</v>
      </c>
    </row>
    <row r="158" spans="1:33" ht="11.25" hidden="1" customHeight="1" x14ac:dyDescent="0.3">
      <c r="A158" s="4" t="s">
        <v>21</v>
      </c>
      <c r="B158" s="4" t="s">
        <v>34</v>
      </c>
      <c r="C158" s="4" t="s">
        <v>35</v>
      </c>
      <c r="D158" s="4" t="s">
        <v>33</v>
      </c>
      <c r="E158" s="4" t="s">
        <v>25</v>
      </c>
      <c r="F158" s="4" t="s">
        <v>55</v>
      </c>
      <c r="G158" s="4" t="s">
        <v>25</v>
      </c>
      <c r="H158" s="4" t="s">
        <v>25</v>
      </c>
      <c r="I158" s="5">
        <v>44409</v>
      </c>
      <c r="J158" s="6">
        <v>10860.54</v>
      </c>
      <c r="K158" s="6">
        <v>5493.7808088390002</v>
      </c>
      <c r="L158" s="6">
        <v>0</v>
      </c>
      <c r="M158" s="6">
        <v>0</v>
      </c>
      <c r="N158" s="6">
        <v>0</v>
      </c>
      <c r="O158" s="6">
        <v>0</v>
      </c>
      <c r="P158" s="6">
        <v>12</v>
      </c>
      <c r="Q158" s="4" t="s">
        <v>56</v>
      </c>
      <c r="R158" s="4">
        <v>0</v>
      </c>
      <c r="S158" s="6">
        <v>18</v>
      </c>
      <c r="T158" s="6">
        <v>0</v>
      </c>
      <c r="U158" s="6">
        <v>0</v>
      </c>
      <c r="V158" s="6">
        <f>IF(ISERROR(VLOOKUP($S$158,'TAR FIN'!$A$1:$O$92,15,0)),0,VLOOKUP($S$158,'TAR FIN'!$A$1:$O$92,15,0))</f>
        <v>18.489999999999998</v>
      </c>
      <c r="W158" s="6">
        <f>IF(ISERROR(VLOOKUP($T$158,'TAR FIN'!$A$1:$O$92,15,0)),0,VLOOKUP($T$158,'TAR FIN'!$A$1:$O$92,15,0))</f>
        <v>0</v>
      </c>
      <c r="X158" s="6">
        <f>IF(ISERROR(VLOOKUP($U$158,'TAR FIN'!$A$1:$O$92,15,0)),0,VLOOKUP($U$158,'TAR FIN'!$A$1:$O$92,15,0))</f>
        <v>0</v>
      </c>
      <c r="Y158" s="6">
        <f ca="1">('TUSD BE'!$AM$14+'TUSD BF'!$AM$14+'TUSD CVA'!$AM$14)*1</f>
        <v>23.643887023397856</v>
      </c>
      <c r="Z158" s="6"/>
      <c r="AA158" s="6"/>
      <c r="AB158" s="6">
        <f>$K$158*$V$158</f>
        <v>101580.00715543311</v>
      </c>
      <c r="AC158" s="6">
        <f>$M$158*$W$158</f>
        <v>0</v>
      </c>
      <c r="AD158" s="6">
        <f>$O$158*$X$158</f>
        <v>0</v>
      </c>
      <c r="AE158" s="6">
        <f ca="1">$K$158*$Y$158</f>
        <v>129894.33277550062</v>
      </c>
      <c r="AF158" s="6">
        <f>$M$158*$Z$158</f>
        <v>0</v>
      </c>
      <c r="AG158" s="6">
        <f>$O$158*$AA$158</f>
        <v>0</v>
      </c>
    </row>
    <row r="159" spans="1:33" ht="11.25" hidden="1" customHeight="1" x14ac:dyDescent="0.3">
      <c r="A159" s="4" t="s">
        <v>21</v>
      </c>
      <c r="B159" s="4" t="s">
        <v>34</v>
      </c>
      <c r="C159" s="4" t="s">
        <v>35</v>
      </c>
      <c r="D159" s="4" t="s">
        <v>33</v>
      </c>
      <c r="E159" s="4" t="s">
        <v>25</v>
      </c>
      <c r="F159" s="4" t="s">
        <v>55</v>
      </c>
      <c r="G159" s="4" t="s">
        <v>25</v>
      </c>
      <c r="H159" s="4" t="s">
        <v>25</v>
      </c>
      <c r="I159" s="5">
        <v>44440</v>
      </c>
      <c r="J159" s="6">
        <v>10843</v>
      </c>
      <c r="K159" s="6">
        <v>5470.3615940400005</v>
      </c>
      <c r="L159" s="6">
        <v>0</v>
      </c>
      <c r="M159" s="6">
        <v>0</v>
      </c>
      <c r="N159" s="6">
        <v>0</v>
      </c>
      <c r="O159" s="6">
        <v>0</v>
      </c>
      <c r="P159" s="6">
        <v>12</v>
      </c>
      <c r="Q159" s="4" t="s">
        <v>56</v>
      </c>
      <c r="R159" s="4">
        <v>0</v>
      </c>
      <c r="S159" s="6">
        <v>18</v>
      </c>
      <c r="T159" s="6">
        <v>0</v>
      </c>
      <c r="U159" s="6">
        <v>0</v>
      </c>
      <c r="V159" s="6">
        <f>IF(ISERROR(VLOOKUP($S$159,'TAR FIN'!$A$1:$O$92,15,0)),0,VLOOKUP($S$159,'TAR FIN'!$A$1:$O$92,15,0))</f>
        <v>18.489999999999998</v>
      </c>
      <c r="W159" s="6">
        <f>IF(ISERROR(VLOOKUP($T$159,'TAR FIN'!$A$1:$O$92,15,0)),0,VLOOKUP($T$159,'TAR FIN'!$A$1:$O$92,15,0))</f>
        <v>0</v>
      </c>
      <c r="X159" s="6">
        <f>IF(ISERROR(VLOOKUP($U$159,'TAR FIN'!$A$1:$O$92,15,0)),0,VLOOKUP($U$159,'TAR FIN'!$A$1:$O$92,15,0))</f>
        <v>0</v>
      </c>
      <c r="Y159" s="6">
        <f ca="1">('TUSD BE'!$AM$14+'TUSD BF'!$AM$14+'TUSD CVA'!$AM$14)*1</f>
        <v>23.643887023397856</v>
      </c>
      <c r="Z159" s="6"/>
      <c r="AA159" s="6"/>
      <c r="AB159" s="6">
        <f>$K$159*$V$159</f>
        <v>101146.9858737996</v>
      </c>
      <c r="AC159" s="6">
        <f>$M$159*$W$159</f>
        <v>0</v>
      </c>
      <c r="AD159" s="6">
        <f>$O$159*$X$159</f>
        <v>0</v>
      </c>
      <c r="AE159" s="6">
        <f ca="1">$K$159*$Y$159</f>
        <v>129340.61150661638</v>
      </c>
      <c r="AF159" s="6">
        <f>$M$159*$Z$159</f>
        <v>0</v>
      </c>
      <c r="AG159" s="6">
        <f>$O$159*$AA$159</f>
        <v>0</v>
      </c>
    </row>
    <row r="160" spans="1:33" ht="11.25" hidden="1" customHeight="1" x14ac:dyDescent="0.3">
      <c r="A160" s="4" t="s">
        <v>21</v>
      </c>
      <c r="B160" s="4" t="s">
        <v>34</v>
      </c>
      <c r="C160" s="4" t="s">
        <v>35</v>
      </c>
      <c r="D160" s="4" t="s">
        <v>33</v>
      </c>
      <c r="E160" s="4" t="s">
        <v>25</v>
      </c>
      <c r="F160" s="4" t="s">
        <v>55</v>
      </c>
      <c r="G160" s="4" t="s">
        <v>25</v>
      </c>
      <c r="H160" s="4" t="s">
        <v>25</v>
      </c>
      <c r="I160" s="5">
        <v>44470</v>
      </c>
      <c r="J160" s="6">
        <v>11240.22</v>
      </c>
      <c r="K160" s="6">
        <v>5671.8020857470001</v>
      </c>
      <c r="L160" s="6">
        <v>0</v>
      </c>
      <c r="M160" s="6">
        <v>0</v>
      </c>
      <c r="N160" s="6">
        <v>0</v>
      </c>
      <c r="O160" s="6">
        <v>0</v>
      </c>
      <c r="P160" s="6">
        <v>12</v>
      </c>
      <c r="Q160" s="4" t="s">
        <v>56</v>
      </c>
      <c r="R160" s="4">
        <v>0</v>
      </c>
      <c r="S160" s="6">
        <v>18</v>
      </c>
      <c r="T160" s="6">
        <v>0</v>
      </c>
      <c r="U160" s="6">
        <v>0</v>
      </c>
      <c r="V160" s="6">
        <f>IF(ISERROR(VLOOKUP($S$160,'TAR FIN'!$A$1:$O$92,15,0)),0,VLOOKUP($S$160,'TAR FIN'!$A$1:$O$92,15,0))</f>
        <v>18.489999999999998</v>
      </c>
      <c r="W160" s="6">
        <f>IF(ISERROR(VLOOKUP($T$160,'TAR FIN'!$A$1:$O$92,15,0)),0,VLOOKUP($T$160,'TAR FIN'!$A$1:$O$92,15,0))</f>
        <v>0</v>
      </c>
      <c r="X160" s="6">
        <f>IF(ISERROR(VLOOKUP($U$160,'TAR FIN'!$A$1:$O$92,15,0)),0,VLOOKUP($U$160,'TAR FIN'!$A$1:$O$92,15,0))</f>
        <v>0</v>
      </c>
      <c r="Y160" s="6">
        <f ca="1">('TUSD BE'!$AM$14+'TUSD BF'!$AM$14+'TUSD CVA'!$AM$14)*1</f>
        <v>23.643887023397856</v>
      </c>
      <c r="Z160" s="6"/>
      <c r="AA160" s="6"/>
      <c r="AB160" s="6">
        <f>$K$160*$V$160</f>
        <v>104871.62056546203</v>
      </c>
      <c r="AC160" s="6">
        <f>$M$160*$W$160</f>
        <v>0</v>
      </c>
      <c r="AD160" s="6">
        <f>$O$160*$X$160</f>
        <v>0</v>
      </c>
      <c r="AE160" s="6">
        <f ca="1">$K$160*$Y$160</f>
        <v>134103.44773447438</v>
      </c>
      <c r="AF160" s="6">
        <f>$M$160*$Z$160</f>
        <v>0</v>
      </c>
      <c r="AG160" s="6">
        <f>$O$160*$AA$160</f>
        <v>0</v>
      </c>
    </row>
    <row r="161" spans="1:33" ht="11.25" hidden="1" customHeight="1" x14ac:dyDescent="0.3">
      <c r="A161" s="4" t="s">
        <v>21</v>
      </c>
      <c r="B161" s="4" t="s">
        <v>34</v>
      </c>
      <c r="C161" s="4" t="s">
        <v>35</v>
      </c>
      <c r="D161" s="4" t="s">
        <v>33</v>
      </c>
      <c r="E161" s="4" t="s">
        <v>25</v>
      </c>
      <c r="F161" s="4" t="s">
        <v>55</v>
      </c>
      <c r="G161" s="4" t="s">
        <v>25</v>
      </c>
      <c r="H161" s="4" t="s">
        <v>25</v>
      </c>
      <c r="I161" s="5">
        <v>44501</v>
      </c>
      <c r="J161" s="6">
        <v>11461</v>
      </c>
      <c r="K161" s="6">
        <v>5831.1337689399998</v>
      </c>
      <c r="L161" s="6">
        <v>0</v>
      </c>
      <c r="M161" s="6">
        <v>0</v>
      </c>
      <c r="N161" s="6">
        <v>0</v>
      </c>
      <c r="O161" s="6">
        <v>0</v>
      </c>
      <c r="P161" s="6">
        <v>12</v>
      </c>
      <c r="Q161" s="4" t="s">
        <v>56</v>
      </c>
      <c r="R161" s="4">
        <v>0</v>
      </c>
      <c r="S161" s="6">
        <v>18</v>
      </c>
      <c r="T161" s="6">
        <v>0</v>
      </c>
      <c r="U161" s="6">
        <v>0</v>
      </c>
      <c r="V161" s="6">
        <f>IF(ISERROR(VLOOKUP($S$161,'TAR FIN'!$A$1:$O$92,15,0)),0,VLOOKUP($S$161,'TAR FIN'!$A$1:$O$92,15,0))</f>
        <v>18.489999999999998</v>
      </c>
      <c r="W161" s="6">
        <f>IF(ISERROR(VLOOKUP($T$161,'TAR FIN'!$A$1:$O$92,15,0)),0,VLOOKUP($T$161,'TAR FIN'!$A$1:$O$92,15,0))</f>
        <v>0</v>
      </c>
      <c r="X161" s="6">
        <f>IF(ISERROR(VLOOKUP($U$161,'TAR FIN'!$A$1:$O$92,15,0)),0,VLOOKUP($U$161,'TAR FIN'!$A$1:$O$92,15,0))</f>
        <v>0</v>
      </c>
      <c r="Y161" s="6">
        <f ca="1">('TUSD BE'!$AM$14+'TUSD BF'!$AM$14+'TUSD CVA'!$AM$14)*1</f>
        <v>23.643887023397856</v>
      </c>
      <c r="Z161" s="6"/>
      <c r="AA161" s="6"/>
      <c r="AB161" s="6">
        <f>$K$161*$V$161</f>
        <v>107817.66338770058</v>
      </c>
      <c r="AC161" s="6">
        <f>$M$161*$W$161</f>
        <v>0</v>
      </c>
      <c r="AD161" s="6">
        <f>$O$161*$X$161</f>
        <v>0</v>
      </c>
      <c r="AE161" s="6">
        <f ca="1">$K$161*$Y$161</f>
        <v>137870.6680511375</v>
      </c>
      <c r="AF161" s="6">
        <f>$M$161*$Z$161</f>
        <v>0</v>
      </c>
      <c r="AG161" s="6">
        <f>$O$161*$AA$161</f>
        <v>0</v>
      </c>
    </row>
    <row r="162" spans="1:33" ht="11.25" hidden="1" customHeight="1" x14ac:dyDescent="0.3">
      <c r="A162" s="4" t="s">
        <v>21</v>
      </c>
      <c r="B162" s="4" t="s">
        <v>34</v>
      </c>
      <c r="C162" s="4" t="s">
        <v>35</v>
      </c>
      <c r="D162" s="4" t="s">
        <v>33</v>
      </c>
      <c r="E162" s="4" t="s">
        <v>25</v>
      </c>
      <c r="F162" s="4" t="s">
        <v>55</v>
      </c>
      <c r="G162" s="4" t="s">
        <v>25</v>
      </c>
      <c r="H162" s="4" t="s">
        <v>25</v>
      </c>
      <c r="I162" s="5">
        <v>44531</v>
      </c>
      <c r="J162" s="6">
        <v>11352</v>
      </c>
      <c r="K162" s="6">
        <v>5753.7146567999998</v>
      </c>
      <c r="L162" s="6">
        <v>0</v>
      </c>
      <c r="M162" s="6">
        <v>0</v>
      </c>
      <c r="N162" s="6">
        <v>0</v>
      </c>
      <c r="O162" s="6">
        <v>0</v>
      </c>
      <c r="P162" s="6">
        <v>12</v>
      </c>
      <c r="Q162" s="4" t="s">
        <v>56</v>
      </c>
      <c r="R162" s="4">
        <v>0</v>
      </c>
      <c r="S162" s="6">
        <v>18</v>
      </c>
      <c r="T162" s="6">
        <v>0</v>
      </c>
      <c r="U162" s="6">
        <v>0</v>
      </c>
      <c r="V162" s="6">
        <f>IF(ISERROR(VLOOKUP($S$162,'TAR FIN'!$A$1:$O$92,15,0)),0,VLOOKUP($S$162,'TAR FIN'!$A$1:$O$92,15,0))</f>
        <v>18.489999999999998</v>
      </c>
      <c r="W162" s="6">
        <f>IF(ISERROR(VLOOKUP($T$162,'TAR FIN'!$A$1:$O$92,15,0)),0,VLOOKUP($T$162,'TAR FIN'!$A$1:$O$92,15,0))</f>
        <v>0</v>
      </c>
      <c r="X162" s="6">
        <f>IF(ISERROR(VLOOKUP($U$162,'TAR FIN'!$A$1:$O$92,15,0)),0,VLOOKUP($U$162,'TAR FIN'!$A$1:$O$92,15,0))</f>
        <v>0</v>
      </c>
      <c r="Y162" s="6">
        <f ca="1">('TUSD BE'!$AM$14+'TUSD BF'!$AM$14+'TUSD CVA'!$AM$14)*1</f>
        <v>23.643887023397856</v>
      </c>
      <c r="Z162" s="6"/>
      <c r="AA162" s="6"/>
      <c r="AB162" s="6">
        <f>$K$162*$V$162</f>
        <v>106386.18400423198</v>
      </c>
      <c r="AC162" s="6">
        <f>$M$162*$W$162</f>
        <v>0</v>
      </c>
      <c r="AD162" s="6">
        <f>$O$162*$X$162</f>
        <v>0</v>
      </c>
      <c r="AE162" s="6">
        <f ca="1">$K$162*$Y$162</f>
        <v>136040.17931024756</v>
      </c>
      <c r="AF162" s="6">
        <f>$M$162*$Z$162</f>
        <v>0</v>
      </c>
      <c r="AG162" s="6">
        <f>$O$162*$AA$162</f>
        <v>0</v>
      </c>
    </row>
    <row r="163" spans="1:33" ht="11.25" hidden="1" customHeight="1" x14ac:dyDescent="0.3">
      <c r="A163" s="4" t="s">
        <v>21</v>
      </c>
      <c r="B163" s="4" t="s">
        <v>34</v>
      </c>
      <c r="C163" s="4" t="s">
        <v>35</v>
      </c>
      <c r="D163" s="4" t="s">
        <v>33</v>
      </c>
      <c r="E163" s="4" t="s">
        <v>25</v>
      </c>
      <c r="F163" s="4" t="s">
        <v>55</v>
      </c>
      <c r="G163" s="4" t="s">
        <v>25</v>
      </c>
      <c r="H163" s="4" t="s">
        <v>25</v>
      </c>
      <c r="I163" s="5">
        <v>44562</v>
      </c>
      <c r="J163" s="6">
        <v>11339</v>
      </c>
      <c r="K163" s="6">
        <v>5732.9009979900002</v>
      </c>
      <c r="L163" s="6">
        <v>0</v>
      </c>
      <c r="M163" s="6">
        <v>0</v>
      </c>
      <c r="N163" s="6">
        <v>0</v>
      </c>
      <c r="O163" s="6">
        <v>0</v>
      </c>
      <c r="P163" s="6">
        <v>12</v>
      </c>
      <c r="Q163" s="4" t="s">
        <v>56</v>
      </c>
      <c r="R163" s="4">
        <v>0</v>
      </c>
      <c r="S163" s="6">
        <v>18</v>
      </c>
      <c r="T163" s="6">
        <v>0</v>
      </c>
      <c r="U163" s="6">
        <v>0</v>
      </c>
      <c r="V163" s="6">
        <f>IF(ISERROR(VLOOKUP($S$163,'TAR FIN'!$A$1:$O$92,15,0)),0,VLOOKUP($S$163,'TAR FIN'!$A$1:$O$92,15,0))</f>
        <v>18.489999999999998</v>
      </c>
      <c r="W163" s="6">
        <f>IF(ISERROR(VLOOKUP($T$163,'TAR FIN'!$A$1:$O$92,15,0)),0,VLOOKUP($T$163,'TAR FIN'!$A$1:$O$92,15,0))</f>
        <v>0</v>
      </c>
      <c r="X163" s="6">
        <f>IF(ISERROR(VLOOKUP($U$163,'TAR FIN'!$A$1:$O$92,15,0)),0,VLOOKUP($U$163,'TAR FIN'!$A$1:$O$92,15,0))</f>
        <v>0</v>
      </c>
      <c r="Y163" s="6">
        <f ca="1">('TUSD BE'!$AM$14+'TUSD BF'!$AM$14+'TUSD CVA'!$AM$14)*1</f>
        <v>23.643887023397856</v>
      </c>
      <c r="Z163" s="6"/>
      <c r="AA163" s="6"/>
      <c r="AB163" s="6">
        <f>$K$163*$V$163</f>
        <v>106001.33945283509</v>
      </c>
      <c r="AC163" s="6">
        <f>$M$163*$W$163</f>
        <v>0</v>
      </c>
      <c r="AD163" s="6">
        <f>$O$163*$X$163</f>
        <v>0</v>
      </c>
      <c r="AE163" s="6">
        <f ca="1">$K$163*$Y$163</f>
        <v>135548.06351280038</v>
      </c>
      <c r="AF163" s="6">
        <f>$M$163*$Z$163</f>
        <v>0</v>
      </c>
      <c r="AG163" s="6">
        <f>$O$163*$AA$163</f>
        <v>0</v>
      </c>
    </row>
    <row r="164" spans="1:33" ht="11.25" hidden="1" customHeight="1" x14ac:dyDescent="0.3">
      <c r="A164" s="4" t="s">
        <v>21</v>
      </c>
      <c r="B164" s="4" t="s">
        <v>34</v>
      </c>
      <c r="C164" s="4" t="s">
        <v>35</v>
      </c>
      <c r="D164" s="4" t="s">
        <v>33</v>
      </c>
      <c r="E164" s="4" t="s">
        <v>25</v>
      </c>
      <c r="F164" s="4" t="s">
        <v>55</v>
      </c>
      <c r="G164" s="4" t="s">
        <v>25</v>
      </c>
      <c r="H164" s="4" t="s">
        <v>25</v>
      </c>
      <c r="I164" s="5">
        <v>44593</v>
      </c>
      <c r="J164" s="6">
        <v>11178</v>
      </c>
      <c r="K164" s="6">
        <v>5654.33194482</v>
      </c>
      <c r="L164" s="6">
        <v>0</v>
      </c>
      <c r="M164" s="6">
        <v>0</v>
      </c>
      <c r="N164" s="6">
        <v>0</v>
      </c>
      <c r="O164" s="6">
        <v>0</v>
      </c>
      <c r="P164" s="6">
        <v>12</v>
      </c>
      <c r="Q164" s="4" t="s">
        <v>56</v>
      </c>
      <c r="R164" s="4">
        <v>0</v>
      </c>
      <c r="S164" s="6">
        <v>18</v>
      </c>
      <c r="T164" s="6">
        <v>0</v>
      </c>
      <c r="U164" s="6">
        <v>0</v>
      </c>
      <c r="V164" s="6">
        <f>IF(ISERROR(VLOOKUP($S$164,'TAR FIN'!$A$1:$O$92,15,0)),0,VLOOKUP($S$164,'TAR FIN'!$A$1:$O$92,15,0))</f>
        <v>18.489999999999998</v>
      </c>
      <c r="W164" s="6">
        <f>IF(ISERROR(VLOOKUP($T$164,'TAR FIN'!$A$1:$O$92,15,0)),0,VLOOKUP($T$164,'TAR FIN'!$A$1:$O$92,15,0))</f>
        <v>0</v>
      </c>
      <c r="X164" s="6">
        <f>IF(ISERROR(VLOOKUP($U$164,'TAR FIN'!$A$1:$O$92,15,0)),0,VLOOKUP($U$164,'TAR FIN'!$A$1:$O$92,15,0))</f>
        <v>0</v>
      </c>
      <c r="Y164" s="6">
        <f ca="1">('TUSD BE'!$AM$14+'TUSD BF'!$AM$14+'TUSD CVA'!$AM$14)*1</f>
        <v>23.643887023397856</v>
      </c>
      <c r="Z164" s="6"/>
      <c r="AA164" s="6"/>
      <c r="AB164" s="6">
        <f>$K$164*$V$164</f>
        <v>104548.5976597218</v>
      </c>
      <c r="AC164" s="6">
        <f>$M$164*$W$164</f>
        <v>0</v>
      </c>
      <c r="AD164" s="6">
        <f>$O$164*$X$164</f>
        <v>0</v>
      </c>
      <c r="AE164" s="6">
        <f ca="1">$K$164*$Y$164</f>
        <v>133690.38569611355</v>
      </c>
      <c r="AF164" s="6">
        <f>$M$164*$Z$164</f>
        <v>0</v>
      </c>
      <c r="AG164" s="6">
        <f>$O$164*$AA$164</f>
        <v>0</v>
      </c>
    </row>
    <row r="165" spans="1:33" ht="11.25" hidden="1" customHeight="1" x14ac:dyDescent="0.3">
      <c r="A165" s="4" t="s">
        <v>21</v>
      </c>
      <c r="B165" s="4" t="s">
        <v>34</v>
      </c>
      <c r="C165" s="4" t="s">
        <v>35</v>
      </c>
      <c r="D165" s="4" t="s">
        <v>33</v>
      </c>
      <c r="E165" s="4" t="s">
        <v>25</v>
      </c>
      <c r="F165" s="4" t="s">
        <v>55</v>
      </c>
      <c r="G165" s="4" t="s">
        <v>25</v>
      </c>
      <c r="H165" s="4" t="s">
        <v>25</v>
      </c>
      <c r="I165" s="5">
        <v>44621</v>
      </c>
      <c r="J165" s="6">
        <v>11143</v>
      </c>
      <c r="K165" s="6">
        <v>5667.1542977500003</v>
      </c>
      <c r="L165" s="6">
        <v>0</v>
      </c>
      <c r="M165" s="6">
        <v>0</v>
      </c>
      <c r="N165" s="6">
        <v>0</v>
      </c>
      <c r="O165" s="6">
        <v>0</v>
      </c>
      <c r="P165" s="6">
        <v>12</v>
      </c>
      <c r="Q165" s="4" t="s">
        <v>56</v>
      </c>
      <c r="R165" s="4">
        <v>0</v>
      </c>
      <c r="S165" s="6">
        <v>18</v>
      </c>
      <c r="T165" s="6">
        <v>0</v>
      </c>
      <c r="U165" s="6">
        <v>0</v>
      </c>
      <c r="V165" s="6">
        <f>IF(ISERROR(VLOOKUP($S$165,'TAR FIN'!$A$1:$O$92,15,0)),0,VLOOKUP($S$165,'TAR FIN'!$A$1:$O$92,15,0))</f>
        <v>18.489999999999998</v>
      </c>
      <c r="W165" s="6">
        <f>IF(ISERROR(VLOOKUP($T$165,'TAR FIN'!$A$1:$O$92,15,0)),0,VLOOKUP($T$165,'TAR FIN'!$A$1:$O$92,15,0))</f>
        <v>0</v>
      </c>
      <c r="X165" s="6">
        <f>IF(ISERROR(VLOOKUP($U$165,'TAR FIN'!$A$1:$O$92,15,0)),0,VLOOKUP($U$165,'TAR FIN'!$A$1:$O$92,15,0))</f>
        <v>0</v>
      </c>
      <c r="Y165" s="6">
        <f ca="1">('TUSD BE'!$AM$14+'TUSD BF'!$AM$14+'TUSD CVA'!$AM$14)*1</f>
        <v>23.643887023397856</v>
      </c>
      <c r="Z165" s="6"/>
      <c r="AA165" s="6"/>
      <c r="AB165" s="6">
        <f>$K$165*$V$165</f>
        <v>104785.6829653975</v>
      </c>
      <c r="AC165" s="6">
        <f>$M$165*$W$165</f>
        <v>0</v>
      </c>
      <c r="AD165" s="6">
        <f>$O$165*$X$165</f>
        <v>0</v>
      </c>
      <c r="AE165" s="6">
        <f ca="1">$K$165*$Y$165</f>
        <v>133993.55596016461</v>
      </c>
      <c r="AF165" s="6">
        <f>$M$165*$Z$165</f>
        <v>0</v>
      </c>
      <c r="AG165" s="6">
        <f>$O$165*$AA$165</f>
        <v>0</v>
      </c>
    </row>
    <row r="166" spans="1:33" ht="11.25" hidden="1" customHeight="1" x14ac:dyDescent="0.3">
      <c r="A166" s="4" t="s">
        <v>21</v>
      </c>
      <c r="B166" s="4" t="s">
        <v>34</v>
      </c>
      <c r="C166" s="4" t="s">
        <v>35</v>
      </c>
      <c r="D166" s="4" t="s">
        <v>33</v>
      </c>
      <c r="E166" s="4" t="s">
        <v>25</v>
      </c>
      <c r="F166" s="4" t="s">
        <v>55</v>
      </c>
      <c r="G166" s="4" t="s">
        <v>25</v>
      </c>
      <c r="H166" s="4" t="s">
        <v>25</v>
      </c>
      <c r="I166" s="5">
        <v>44652</v>
      </c>
      <c r="J166" s="6">
        <v>11145</v>
      </c>
      <c r="K166" s="6">
        <v>5626.5137967000001</v>
      </c>
      <c r="L166" s="6">
        <v>0</v>
      </c>
      <c r="M166" s="6">
        <v>0</v>
      </c>
      <c r="N166" s="6">
        <v>0</v>
      </c>
      <c r="O166" s="6">
        <v>0</v>
      </c>
      <c r="P166" s="6">
        <v>12</v>
      </c>
      <c r="Q166" s="4" t="s">
        <v>56</v>
      </c>
      <c r="R166" s="4">
        <v>0</v>
      </c>
      <c r="S166" s="6">
        <v>18</v>
      </c>
      <c r="T166" s="6">
        <v>0</v>
      </c>
      <c r="U166" s="6">
        <v>0</v>
      </c>
      <c r="V166" s="6">
        <f>IF(ISERROR(VLOOKUP($S$166,'TAR FIN'!$A$1:$O$92,15,0)),0,VLOOKUP($S$166,'TAR FIN'!$A$1:$O$92,15,0))</f>
        <v>18.489999999999998</v>
      </c>
      <c r="W166" s="6">
        <f>IF(ISERROR(VLOOKUP($T$166,'TAR FIN'!$A$1:$O$92,15,0)),0,VLOOKUP($T$166,'TAR FIN'!$A$1:$O$92,15,0))</f>
        <v>0</v>
      </c>
      <c r="X166" s="6">
        <f>IF(ISERROR(VLOOKUP($U$166,'TAR FIN'!$A$1:$O$92,15,0)),0,VLOOKUP($U$166,'TAR FIN'!$A$1:$O$92,15,0))</f>
        <v>0</v>
      </c>
      <c r="Y166" s="6">
        <f ca="1">('TUSD BE'!$AM$14+'TUSD BF'!$AM$14+'TUSD CVA'!$AM$14)*1</f>
        <v>23.643887023397856</v>
      </c>
      <c r="Z166" s="6"/>
      <c r="AA166" s="6"/>
      <c r="AB166" s="6">
        <f>$K$166*$V$166</f>
        <v>104034.24010098299</v>
      </c>
      <c r="AC166" s="6">
        <f>$M$166*$W$166</f>
        <v>0</v>
      </c>
      <c r="AD166" s="6">
        <f>$O$166*$X$166</f>
        <v>0</v>
      </c>
      <c r="AE166" s="6">
        <f ca="1">$K$166*$Y$166</f>
        <v>133032.65654476412</v>
      </c>
      <c r="AF166" s="6">
        <f>$M$166*$Z$166</f>
        <v>0</v>
      </c>
      <c r="AG166" s="6">
        <f>$O$166*$AA$166</f>
        <v>0</v>
      </c>
    </row>
    <row r="167" spans="1:33" ht="11.25" hidden="1" customHeight="1" x14ac:dyDescent="0.3">
      <c r="A167" s="4" t="s">
        <v>21</v>
      </c>
      <c r="B167" s="4" t="s">
        <v>34</v>
      </c>
      <c r="C167" s="4" t="s">
        <v>35</v>
      </c>
      <c r="D167" s="4" t="s">
        <v>33</v>
      </c>
      <c r="E167" s="4" t="s">
        <v>25</v>
      </c>
      <c r="F167" s="4" t="s">
        <v>55</v>
      </c>
      <c r="G167" s="4" t="s">
        <v>25</v>
      </c>
      <c r="H167" s="4" t="s">
        <v>25</v>
      </c>
      <c r="I167" s="5">
        <v>44682</v>
      </c>
      <c r="J167" s="6">
        <v>11192</v>
      </c>
      <c r="K167" s="6">
        <v>5663.6857464799996</v>
      </c>
      <c r="L167" s="6">
        <v>0</v>
      </c>
      <c r="M167" s="6">
        <v>0</v>
      </c>
      <c r="N167" s="6">
        <v>0</v>
      </c>
      <c r="O167" s="6">
        <v>0</v>
      </c>
      <c r="P167" s="6">
        <v>12</v>
      </c>
      <c r="Q167" s="4" t="s">
        <v>56</v>
      </c>
      <c r="R167" s="4">
        <v>0</v>
      </c>
      <c r="S167" s="6">
        <v>18</v>
      </c>
      <c r="T167" s="6">
        <v>0</v>
      </c>
      <c r="U167" s="6">
        <v>0</v>
      </c>
      <c r="V167" s="6">
        <f>IF(ISERROR(VLOOKUP($S$167,'TAR FIN'!$A$1:$O$92,15,0)),0,VLOOKUP($S$167,'TAR FIN'!$A$1:$O$92,15,0))</f>
        <v>18.489999999999998</v>
      </c>
      <c r="W167" s="6">
        <f>IF(ISERROR(VLOOKUP($T$167,'TAR FIN'!$A$1:$O$92,15,0)),0,VLOOKUP($T$167,'TAR FIN'!$A$1:$O$92,15,0))</f>
        <v>0</v>
      </c>
      <c r="X167" s="6">
        <f>IF(ISERROR(VLOOKUP($U$167,'TAR FIN'!$A$1:$O$92,15,0)),0,VLOOKUP($U$167,'TAR FIN'!$A$1:$O$92,15,0))</f>
        <v>0</v>
      </c>
      <c r="Y167" s="6">
        <f ca="1">('TUSD BE'!$AM$14+'TUSD BF'!$AM$14+'TUSD CVA'!$AM$14)*1</f>
        <v>23.643887023397856</v>
      </c>
      <c r="Z167" s="6"/>
      <c r="AA167" s="6"/>
      <c r="AB167" s="6">
        <f>$K$167*$V$167</f>
        <v>104721.54945241519</v>
      </c>
      <c r="AC167" s="6">
        <f>$M$167*$W$167</f>
        <v>0</v>
      </c>
      <c r="AD167" s="6">
        <f>$O$167*$X$167</f>
        <v>0</v>
      </c>
      <c r="AE167" s="6">
        <f ca="1">$K$167*$Y$167</f>
        <v>133911.54592580185</v>
      </c>
      <c r="AF167" s="6">
        <f>$M$167*$Z$167</f>
        <v>0</v>
      </c>
      <c r="AG167" s="6">
        <f>$O$167*$AA$167</f>
        <v>0</v>
      </c>
    </row>
    <row r="168" spans="1:33" ht="11.25" hidden="1" customHeight="1" x14ac:dyDescent="0.3">
      <c r="A168" s="4" t="s">
        <v>21</v>
      </c>
      <c r="B168" s="4" t="s">
        <v>34</v>
      </c>
      <c r="C168" s="4" t="s">
        <v>35</v>
      </c>
      <c r="D168" s="4" t="s">
        <v>33</v>
      </c>
      <c r="E168" s="4" t="s">
        <v>25</v>
      </c>
      <c r="F168" s="4" t="s">
        <v>55</v>
      </c>
      <c r="G168" s="4" t="s">
        <v>25</v>
      </c>
      <c r="H168" s="4" t="s">
        <v>25</v>
      </c>
      <c r="I168" s="5">
        <v>44713</v>
      </c>
      <c r="J168" s="6">
        <v>11135</v>
      </c>
      <c r="K168" s="6">
        <v>5673.2455318000002</v>
      </c>
      <c r="L168" s="6">
        <v>0</v>
      </c>
      <c r="M168" s="6">
        <v>0</v>
      </c>
      <c r="N168" s="6">
        <v>0</v>
      </c>
      <c r="O168" s="6">
        <v>0</v>
      </c>
      <c r="P168" s="6">
        <v>12</v>
      </c>
      <c r="Q168" s="4" t="s">
        <v>56</v>
      </c>
      <c r="R168" s="4">
        <v>0</v>
      </c>
      <c r="S168" s="6">
        <v>18</v>
      </c>
      <c r="T168" s="6">
        <v>0</v>
      </c>
      <c r="U168" s="6">
        <v>0</v>
      </c>
      <c r="V168" s="6">
        <f>IF(ISERROR(VLOOKUP($S$168,'TAR FIN'!$A$1:$O$92,15,0)),0,VLOOKUP($S$168,'TAR FIN'!$A$1:$O$92,15,0))</f>
        <v>18.489999999999998</v>
      </c>
      <c r="W168" s="6">
        <f>IF(ISERROR(VLOOKUP($T$168,'TAR FIN'!$A$1:$O$92,15,0)),0,VLOOKUP($T$168,'TAR FIN'!$A$1:$O$92,15,0))</f>
        <v>0</v>
      </c>
      <c r="X168" s="6">
        <f>IF(ISERROR(VLOOKUP($U$168,'TAR FIN'!$A$1:$O$92,15,0)),0,VLOOKUP($U$168,'TAR FIN'!$A$1:$O$92,15,0))</f>
        <v>0</v>
      </c>
      <c r="Y168" s="6">
        <f ca="1">('TUSD BE'!$AM$14+'TUSD BF'!$AM$14+'TUSD CVA'!$AM$14)*1</f>
        <v>23.643887023397856</v>
      </c>
      <c r="Z168" s="6"/>
      <c r="AA168" s="6"/>
      <c r="AB168" s="6">
        <f>$K$168*$V$168</f>
        <v>104898.30988298199</v>
      </c>
      <c r="AC168" s="6">
        <f>$M$168*$W$168</f>
        <v>0</v>
      </c>
      <c r="AD168" s="6">
        <f>$O$168*$X$168</f>
        <v>0</v>
      </c>
      <c r="AE168" s="6">
        <f ca="1">$K$168*$Y$168</f>
        <v>134137.57640987588</v>
      </c>
      <c r="AF168" s="6">
        <f>$M$168*$Z$168</f>
        <v>0</v>
      </c>
      <c r="AG168" s="6">
        <f>$O$168*$AA$168</f>
        <v>0</v>
      </c>
    </row>
    <row r="169" spans="1:33" ht="11.25" hidden="1" customHeight="1" x14ac:dyDescent="0.3">
      <c r="A169" s="4" t="s">
        <v>21</v>
      </c>
      <c r="B169" s="4" t="s">
        <v>34</v>
      </c>
      <c r="C169" s="4" t="s">
        <v>35</v>
      </c>
      <c r="D169" s="4" t="s">
        <v>33</v>
      </c>
      <c r="E169" s="4" t="s">
        <v>25</v>
      </c>
      <c r="F169" s="4" t="s">
        <v>55</v>
      </c>
      <c r="G169" s="4" t="s">
        <v>25</v>
      </c>
      <c r="H169" s="4" t="s">
        <v>25</v>
      </c>
      <c r="I169" s="5">
        <v>44743</v>
      </c>
      <c r="J169" s="6">
        <v>11165.48</v>
      </c>
      <c r="K169" s="6">
        <v>5624.0284935276004</v>
      </c>
      <c r="L169" s="6">
        <v>0</v>
      </c>
      <c r="M169" s="6">
        <v>0</v>
      </c>
      <c r="N169" s="6">
        <v>0</v>
      </c>
      <c r="O169" s="6">
        <v>0</v>
      </c>
      <c r="P169" s="6">
        <v>12</v>
      </c>
      <c r="Q169" s="4" t="s">
        <v>56</v>
      </c>
      <c r="R169" s="4">
        <v>0</v>
      </c>
      <c r="S169" s="6">
        <v>18</v>
      </c>
      <c r="T169" s="6">
        <v>0</v>
      </c>
      <c r="U169" s="6">
        <v>0</v>
      </c>
      <c r="V169" s="6">
        <f>IF(ISERROR(VLOOKUP($S$169,'TAR FIN'!$A$1:$O$92,15,0)),0,VLOOKUP($S$169,'TAR FIN'!$A$1:$O$92,15,0))</f>
        <v>18.489999999999998</v>
      </c>
      <c r="W169" s="6">
        <f>IF(ISERROR(VLOOKUP($T$169,'TAR FIN'!$A$1:$O$92,15,0)),0,VLOOKUP($T$169,'TAR FIN'!$A$1:$O$92,15,0))</f>
        <v>0</v>
      </c>
      <c r="X169" s="6">
        <f>IF(ISERROR(VLOOKUP($U$169,'TAR FIN'!$A$1:$O$92,15,0)),0,VLOOKUP($U$169,'TAR FIN'!$A$1:$O$92,15,0))</f>
        <v>0</v>
      </c>
      <c r="Y169" s="6">
        <f ca="1">('TUSD BE'!$AM$14+'TUSD BF'!$AM$14+'TUSD CVA'!$AM$14)*1</f>
        <v>23.643887023397856</v>
      </c>
      <c r="Z169" s="6"/>
      <c r="AA169" s="6"/>
      <c r="AB169" s="6">
        <f>$K$169*$V$169</f>
        <v>103988.28684532532</v>
      </c>
      <c r="AC169" s="6">
        <f>$M$169*$W$169</f>
        <v>0</v>
      </c>
      <c r="AD169" s="6">
        <f>$O$169*$X$169</f>
        <v>0</v>
      </c>
      <c r="AE169" s="6">
        <f ca="1">$K$169*$Y$169</f>
        <v>132973.89431733702</v>
      </c>
      <c r="AF169" s="6">
        <f>$M$169*$Z$169</f>
        <v>0</v>
      </c>
      <c r="AG169" s="6">
        <f>$O$169*$AA$169</f>
        <v>0</v>
      </c>
    </row>
    <row r="170" spans="1:33" ht="11.25" hidden="1" customHeight="1" x14ac:dyDescent="0.3">
      <c r="A170" s="4" t="s">
        <v>21</v>
      </c>
      <c r="B170" s="4" t="s">
        <v>34</v>
      </c>
      <c r="C170" s="4" t="s">
        <v>35</v>
      </c>
      <c r="D170" s="4" t="s">
        <v>33</v>
      </c>
      <c r="E170" s="4" t="s">
        <v>25</v>
      </c>
      <c r="F170" s="4" t="s">
        <v>55</v>
      </c>
      <c r="G170" s="4" t="s">
        <v>25</v>
      </c>
      <c r="H170" s="4" t="s">
        <v>36</v>
      </c>
      <c r="I170" s="5">
        <v>44409</v>
      </c>
      <c r="J170" s="6">
        <v>0</v>
      </c>
      <c r="K170" s="6">
        <v>0</v>
      </c>
      <c r="L170" s="6">
        <v>321.35113999999999</v>
      </c>
      <c r="M170" s="6">
        <v>162.49413787690801</v>
      </c>
      <c r="N170" s="6">
        <v>0</v>
      </c>
      <c r="O170" s="6">
        <v>0</v>
      </c>
      <c r="P170" s="6">
        <v>0</v>
      </c>
      <c r="Q170" s="4" t="s">
        <v>56</v>
      </c>
      <c r="R170" s="4">
        <v>0</v>
      </c>
      <c r="S170" s="6">
        <v>0</v>
      </c>
      <c r="T170" s="6">
        <v>21</v>
      </c>
      <c r="U170" s="6">
        <v>0</v>
      </c>
      <c r="V170" s="6">
        <f>IF(ISERROR(VLOOKUP($S$170,'TAR FIN'!$A$1:$O$92,15,0)),0,VLOOKUP($S$170,'TAR FIN'!$A$1:$O$92,15,0))</f>
        <v>0</v>
      </c>
      <c r="W170" s="6">
        <f>IF(ISERROR(VLOOKUP($T$170,'TAR FIN'!$A$1:$O$92,15,0)),0,VLOOKUP($T$170,'TAR FIN'!$A$1:$O$92,15,0))</f>
        <v>789.62</v>
      </c>
      <c r="X170" s="6">
        <f>IF(ISERROR(VLOOKUP($U$170,'TAR FIN'!$A$1:$O$92,15,0)),0,VLOOKUP($U$170,'TAR FIN'!$A$1:$O$92,15,0))</f>
        <v>0</v>
      </c>
      <c r="Y170" s="6"/>
      <c r="Z170" s="6">
        <f ca="1">('TUSD BE'!$AM$15+'TUSD BF'!$AM$15+'TUSD CVA'!$AM$15)*1</f>
        <v>1080.2905876373179</v>
      </c>
      <c r="AA170" s="6"/>
      <c r="AB170" s="6">
        <f>$K$170*$V$170</f>
        <v>0</v>
      </c>
      <c r="AC170" s="6">
        <f>$M$170*$W$170</f>
        <v>128308.62115036411</v>
      </c>
      <c r="AD170" s="6">
        <f>$O$170*$X$170</f>
        <v>0</v>
      </c>
      <c r="AE170" s="6">
        <f>$K$170*$Y$170</f>
        <v>0</v>
      </c>
      <c r="AF170" s="6">
        <f ca="1">$M$170*$Z$170</f>
        <v>175540.88769466433</v>
      </c>
      <c r="AG170" s="6">
        <f>$O$170*$AA$170</f>
        <v>0</v>
      </c>
    </row>
    <row r="171" spans="1:33" ht="11.25" hidden="1" customHeight="1" x14ac:dyDescent="0.3">
      <c r="A171" s="4" t="s">
        <v>21</v>
      </c>
      <c r="B171" s="4" t="s">
        <v>34</v>
      </c>
      <c r="C171" s="4" t="s">
        <v>35</v>
      </c>
      <c r="D171" s="4" t="s">
        <v>33</v>
      </c>
      <c r="E171" s="4" t="s">
        <v>25</v>
      </c>
      <c r="F171" s="4" t="s">
        <v>55</v>
      </c>
      <c r="G171" s="4" t="s">
        <v>25</v>
      </c>
      <c r="H171" s="4" t="s">
        <v>36</v>
      </c>
      <c r="I171" s="5">
        <v>44440</v>
      </c>
      <c r="J171" s="6">
        <v>0</v>
      </c>
      <c r="K171" s="6">
        <v>0</v>
      </c>
      <c r="L171" s="6">
        <v>283.25900000000001</v>
      </c>
      <c r="M171" s="6">
        <v>142.74908403008999</v>
      </c>
      <c r="N171" s="6">
        <v>0</v>
      </c>
      <c r="O171" s="6">
        <v>0</v>
      </c>
      <c r="P171" s="6">
        <v>0</v>
      </c>
      <c r="Q171" s="4" t="s">
        <v>56</v>
      </c>
      <c r="R171" s="4">
        <v>0</v>
      </c>
      <c r="S171" s="6">
        <v>0</v>
      </c>
      <c r="T171" s="6">
        <v>21</v>
      </c>
      <c r="U171" s="6">
        <v>0</v>
      </c>
      <c r="V171" s="6">
        <f>IF(ISERROR(VLOOKUP($S$171,'TAR FIN'!$A$1:$O$92,15,0)),0,VLOOKUP($S$171,'TAR FIN'!$A$1:$O$92,15,0))</f>
        <v>0</v>
      </c>
      <c r="W171" s="6">
        <f>IF(ISERROR(VLOOKUP($T$171,'TAR FIN'!$A$1:$O$92,15,0)),0,VLOOKUP($T$171,'TAR FIN'!$A$1:$O$92,15,0))</f>
        <v>789.62</v>
      </c>
      <c r="X171" s="6">
        <f>IF(ISERROR(VLOOKUP($U$171,'TAR FIN'!$A$1:$O$92,15,0)),0,VLOOKUP($U$171,'TAR FIN'!$A$1:$O$92,15,0))</f>
        <v>0</v>
      </c>
      <c r="Y171" s="6"/>
      <c r="Z171" s="6">
        <f ca="1">('TUSD BE'!$AM$15+'TUSD BF'!$AM$15+'TUSD CVA'!$AM$15)*1</f>
        <v>1080.2905876373179</v>
      </c>
      <c r="AA171" s="6"/>
      <c r="AB171" s="6">
        <f>$K$171*$V$171</f>
        <v>0</v>
      </c>
      <c r="AC171" s="6">
        <f>$M$171*$W$171</f>
        <v>112717.53173183966</v>
      </c>
      <c r="AD171" s="6">
        <f>$O$171*$X$171</f>
        <v>0</v>
      </c>
      <c r="AE171" s="6">
        <f>$K$171*$Y$171</f>
        <v>0</v>
      </c>
      <c r="AF171" s="6">
        <f ca="1">$M$171*$Z$171</f>
        <v>154210.49187155478</v>
      </c>
      <c r="AG171" s="6">
        <f>$O$171*$AA$171</f>
        <v>0</v>
      </c>
    </row>
    <row r="172" spans="1:33" ht="11.25" hidden="1" customHeight="1" x14ac:dyDescent="0.3">
      <c r="A172" s="4" t="s">
        <v>21</v>
      </c>
      <c r="B172" s="4" t="s">
        <v>34</v>
      </c>
      <c r="C172" s="4" t="s">
        <v>35</v>
      </c>
      <c r="D172" s="4" t="s">
        <v>33</v>
      </c>
      <c r="E172" s="4" t="s">
        <v>25</v>
      </c>
      <c r="F172" s="4" t="s">
        <v>55</v>
      </c>
      <c r="G172" s="4" t="s">
        <v>25</v>
      </c>
      <c r="H172" s="4" t="s">
        <v>36</v>
      </c>
      <c r="I172" s="5">
        <v>44470</v>
      </c>
      <c r="J172" s="6">
        <v>0</v>
      </c>
      <c r="K172" s="6">
        <v>0</v>
      </c>
      <c r="L172" s="6">
        <v>304.5573</v>
      </c>
      <c r="M172" s="6">
        <v>153.48364313974199</v>
      </c>
      <c r="N172" s="6">
        <v>0</v>
      </c>
      <c r="O172" s="6">
        <v>0</v>
      </c>
      <c r="P172" s="6">
        <v>0</v>
      </c>
      <c r="Q172" s="4" t="s">
        <v>56</v>
      </c>
      <c r="R172" s="4">
        <v>0</v>
      </c>
      <c r="S172" s="6">
        <v>0</v>
      </c>
      <c r="T172" s="6">
        <v>21</v>
      </c>
      <c r="U172" s="6">
        <v>0</v>
      </c>
      <c r="V172" s="6">
        <f>IF(ISERROR(VLOOKUP($S$172,'TAR FIN'!$A$1:$O$92,15,0)),0,VLOOKUP($S$172,'TAR FIN'!$A$1:$O$92,15,0))</f>
        <v>0</v>
      </c>
      <c r="W172" s="6">
        <f>IF(ISERROR(VLOOKUP($T$172,'TAR FIN'!$A$1:$O$92,15,0)),0,VLOOKUP($T$172,'TAR FIN'!$A$1:$O$92,15,0))</f>
        <v>789.62</v>
      </c>
      <c r="X172" s="6">
        <f>IF(ISERROR(VLOOKUP($U$172,'TAR FIN'!$A$1:$O$92,15,0)),0,VLOOKUP($U$172,'TAR FIN'!$A$1:$O$92,15,0))</f>
        <v>0</v>
      </c>
      <c r="Y172" s="6"/>
      <c r="Z172" s="6">
        <f ca="1">('TUSD BE'!$AM$15+'TUSD BF'!$AM$15+'TUSD CVA'!$AM$15)*1</f>
        <v>1080.2905876373179</v>
      </c>
      <c r="AA172" s="6"/>
      <c r="AB172" s="6">
        <f>$K$172*$V$172</f>
        <v>0</v>
      </c>
      <c r="AC172" s="6">
        <f>$M$172*$W$172</f>
        <v>121193.75429600307</v>
      </c>
      <c r="AD172" s="6">
        <f>$O$172*$X$172</f>
        <v>0</v>
      </c>
      <c r="AE172" s="6">
        <f>$K$172*$Y$172</f>
        <v>0</v>
      </c>
      <c r="AF172" s="6">
        <f ca="1">$M$172*$Z$172</f>
        <v>165806.93504014827</v>
      </c>
      <c r="AG172" s="6">
        <f>$O$172*$AA$172</f>
        <v>0</v>
      </c>
    </row>
    <row r="173" spans="1:33" ht="11.25" hidden="1" customHeight="1" x14ac:dyDescent="0.3">
      <c r="A173" s="4" t="s">
        <v>21</v>
      </c>
      <c r="B173" s="4" t="s">
        <v>34</v>
      </c>
      <c r="C173" s="4" t="s">
        <v>35</v>
      </c>
      <c r="D173" s="4" t="s">
        <v>33</v>
      </c>
      <c r="E173" s="4" t="s">
        <v>25</v>
      </c>
      <c r="F173" s="4" t="s">
        <v>55</v>
      </c>
      <c r="G173" s="4" t="s">
        <v>25</v>
      </c>
      <c r="H173" s="4" t="s">
        <v>36</v>
      </c>
      <c r="I173" s="5">
        <v>44501</v>
      </c>
      <c r="J173" s="6">
        <v>0</v>
      </c>
      <c r="K173" s="6">
        <v>0</v>
      </c>
      <c r="L173" s="6">
        <v>286.74200000000002</v>
      </c>
      <c r="M173" s="6">
        <v>145.64622895191999</v>
      </c>
      <c r="N173" s="6">
        <v>0</v>
      </c>
      <c r="O173" s="6">
        <v>0</v>
      </c>
      <c r="P173" s="6">
        <v>0</v>
      </c>
      <c r="Q173" s="4" t="s">
        <v>56</v>
      </c>
      <c r="R173" s="4">
        <v>0</v>
      </c>
      <c r="S173" s="6">
        <v>0</v>
      </c>
      <c r="T173" s="6">
        <v>21</v>
      </c>
      <c r="U173" s="6">
        <v>0</v>
      </c>
      <c r="V173" s="6">
        <f>IF(ISERROR(VLOOKUP($S$173,'TAR FIN'!$A$1:$O$92,15,0)),0,VLOOKUP($S$173,'TAR FIN'!$A$1:$O$92,15,0))</f>
        <v>0</v>
      </c>
      <c r="W173" s="6">
        <f>IF(ISERROR(VLOOKUP($T$173,'TAR FIN'!$A$1:$O$92,15,0)),0,VLOOKUP($T$173,'TAR FIN'!$A$1:$O$92,15,0))</f>
        <v>789.62</v>
      </c>
      <c r="X173" s="6">
        <f>IF(ISERROR(VLOOKUP($U$173,'TAR FIN'!$A$1:$O$92,15,0)),0,VLOOKUP($U$173,'TAR FIN'!$A$1:$O$92,15,0))</f>
        <v>0</v>
      </c>
      <c r="Y173" s="6"/>
      <c r="Z173" s="6">
        <f ca="1">('TUSD BE'!$AM$15+'TUSD BF'!$AM$15+'TUSD CVA'!$AM$15)*1</f>
        <v>1080.2905876373179</v>
      </c>
      <c r="AA173" s="6"/>
      <c r="AB173" s="6">
        <f>$K$173*$V$173</f>
        <v>0</v>
      </c>
      <c r="AC173" s="6">
        <f>$M$173*$W$173</f>
        <v>115005.17530501507</v>
      </c>
      <c r="AD173" s="6">
        <f>$O$173*$X$173</f>
        <v>0</v>
      </c>
      <c r="AE173" s="6">
        <f>$K$173*$Y$173</f>
        <v>0</v>
      </c>
      <c r="AF173" s="6">
        <f ca="1">$M$173*$Z$173</f>
        <v>157340.250261629</v>
      </c>
      <c r="AG173" s="6">
        <f>$O$173*$AA$173</f>
        <v>0</v>
      </c>
    </row>
    <row r="174" spans="1:33" ht="11.25" hidden="1" customHeight="1" x14ac:dyDescent="0.3">
      <c r="A174" s="4" t="s">
        <v>21</v>
      </c>
      <c r="B174" s="4" t="s">
        <v>34</v>
      </c>
      <c r="C174" s="4" t="s">
        <v>35</v>
      </c>
      <c r="D174" s="4" t="s">
        <v>33</v>
      </c>
      <c r="E174" s="4" t="s">
        <v>25</v>
      </c>
      <c r="F174" s="4" t="s">
        <v>55</v>
      </c>
      <c r="G174" s="4" t="s">
        <v>25</v>
      </c>
      <c r="H174" s="4" t="s">
        <v>36</v>
      </c>
      <c r="I174" s="5">
        <v>44531</v>
      </c>
      <c r="J174" s="6">
        <v>0</v>
      </c>
      <c r="K174" s="6">
        <v>0</v>
      </c>
      <c r="L174" s="6">
        <v>248.25200000000001</v>
      </c>
      <c r="M174" s="6">
        <v>125.5233980954</v>
      </c>
      <c r="N174" s="6">
        <v>0</v>
      </c>
      <c r="O174" s="6">
        <v>0</v>
      </c>
      <c r="P174" s="6">
        <v>0</v>
      </c>
      <c r="Q174" s="4" t="s">
        <v>56</v>
      </c>
      <c r="R174" s="4">
        <v>0</v>
      </c>
      <c r="S174" s="6">
        <v>0</v>
      </c>
      <c r="T174" s="6">
        <v>21</v>
      </c>
      <c r="U174" s="6">
        <v>0</v>
      </c>
      <c r="V174" s="6">
        <f>IF(ISERROR(VLOOKUP($S$174,'TAR FIN'!$A$1:$O$92,15,0)),0,VLOOKUP($S$174,'TAR FIN'!$A$1:$O$92,15,0))</f>
        <v>0</v>
      </c>
      <c r="W174" s="6">
        <f>IF(ISERROR(VLOOKUP($T$174,'TAR FIN'!$A$1:$O$92,15,0)),0,VLOOKUP($T$174,'TAR FIN'!$A$1:$O$92,15,0))</f>
        <v>789.62</v>
      </c>
      <c r="X174" s="6">
        <f>IF(ISERROR(VLOOKUP($U$174,'TAR FIN'!$A$1:$O$92,15,0)),0,VLOOKUP($U$174,'TAR FIN'!$A$1:$O$92,15,0))</f>
        <v>0</v>
      </c>
      <c r="Y174" s="6"/>
      <c r="Z174" s="6">
        <f ca="1">('TUSD BE'!$AM$15+'TUSD BF'!$AM$15+'TUSD CVA'!$AM$15)*1</f>
        <v>1080.2905876373179</v>
      </c>
      <c r="AA174" s="6"/>
      <c r="AB174" s="6">
        <f>$K$174*$V$174</f>
        <v>0</v>
      </c>
      <c r="AC174" s="6">
        <f>$M$174*$W$174</f>
        <v>99115.785604089746</v>
      </c>
      <c r="AD174" s="6">
        <f>$O$174*$X$174</f>
        <v>0</v>
      </c>
      <c r="AE174" s="6">
        <f>$K$174*$Y$174</f>
        <v>0</v>
      </c>
      <c r="AF174" s="6">
        <f ca="1">$M$174*$Z$174</f>
        <v>135601.74549071267</v>
      </c>
      <c r="AG174" s="6">
        <f>$O$174*$AA$174</f>
        <v>0</v>
      </c>
    </row>
    <row r="175" spans="1:33" ht="11.25" hidden="1" customHeight="1" x14ac:dyDescent="0.3">
      <c r="A175" s="4" t="s">
        <v>21</v>
      </c>
      <c r="B175" s="4" t="s">
        <v>34</v>
      </c>
      <c r="C175" s="4" t="s">
        <v>35</v>
      </c>
      <c r="D175" s="4" t="s">
        <v>33</v>
      </c>
      <c r="E175" s="4" t="s">
        <v>25</v>
      </c>
      <c r="F175" s="4" t="s">
        <v>55</v>
      </c>
      <c r="G175" s="4" t="s">
        <v>25</v>
      </c>
      <c r="H175" s="4" t="s">
        <v>36</v>
      </c>
      <c r="I175" s="5">
        <v>44562</v>
      </c>
      <c r="J175" s="6">
        <v>0</v>
      </c>
      <c r="K175" s="6">
        <v>0</v>
      </c>
      <c r="L175" s="6">
        <v>230.46899999999999</v>
      </c>
      <c r="M175" s="6">
        <v>116.43120336843</v>
      </c>
      <c r="N175" s="6">
        <v>0</v>
      </c>
      <c r="O175" s="6">
        <v>0</v>
      </c>
      <c r="P175" s="6">
        <v>0</v>
      </c>
      <c r="Q175" s="4" t="s">
        <v>56</v>
      </c>
      <c r="R175" s="4">
        <v>0</v>
      </c>
      <c r="S175" s="6">
        <v>0</v>
      </c>
      <c r="T175" s="6">
        <v>21</v>
      </c>
      <c r="U175" s="6">
        <v>0</v>
      </c>
      <c r="V175" s="6">
        <f>IF(ISERROR(VLOOKUP($S$175,'TAR FIN'!$A$1:$O$92,15,0)),0,VLOOKUP($S$175,'TAR FIN'!$A$1:$O$92,15,0))</f>
        <v>0</v>
      </c>
      <c r="W175" s="6">
        <f>IF(ISERROR(VLOOKUP($T$175,'TAR FIN'!$A$1:$O$92,15,0)),0,VLOOKUP($T$175,'TAR FIN'!$A$1:$O$92,15,0))</f>
        <v>789.62</v>
      </c>
      <c r="X175" s="6">
        <f>IF(ISERROR(VLOOKUP($U$175,'TAR FIN'!$A$1:$O$92,15,0)),0,VLOOKUP($U$175,'TAR FIN'!$A$1:$O$92,15,0))</f>
        <v>0</v>
      </c>
      <c r="Y175" s="6"/>
      <c r="Z175" s="6">
        <f ca="1">('TUSD BE'!$AM$15+'TUSD BF'!$AM$15+'TUSD CVA'!$AM$15)*1</f>
        <v>1080.2905876373179</v>
      </c>
      <c r="AA175" s="6"/>
      <c r="AB175" s="6">
        <f>$K$175*$V$175</f>
        <v>0</v>
      </c>
      <c r="AC175" s="6">
        <f>$M$175*$W$175</f>
        <v>91936.406803779697</v>
      </c>
      <c r="AD175" s="6">
        <f>$O$175*$X$175</f>
        <v>0</v>
      </c>
      <c r="AE175" s="6">
        <f>$K$175*$Y$175</f>
        <v>0</v>
      </c>
      <c r="AF175" s="6">
        <f ca="1">$M$175*$Z$175</f>
        <v>125779.53310620131</v>
      </c>
      <c r="AG175" s="6">
        <f>$O$175*$AA$175</f>
        <v>0</v>
      </c>
    </row>
    <row r="176" spans="1:33" ht="11.25" hidden="1" customHeight="1" x14ac:dyDescent="0.3">
      <c r="A176" s="4" t="s">
        <v>21</v>
      </c>
      <c r="B176" s="4" t="s">
        <v>34</v>
      </c>
      <c r="C176" s="4" t="s">
        <v>35</v>
      </c>
      <c r="D176" s="4" t="s">
        <v>33</v>
      </c>
      <c r="E176" s="4" t="s">
        <v>25</v>
      </c>
      <c r="F176" s="4" t="s">
        <v>55</v>
      </c>
      <c r="G176" s="4" t="s">
        <v>25</v>
      </c>
      <c r="H176" s="4" t="s">
        <v>36</v>
      </c>
      <c r="I176" s="5">
        <v>44593</v>
      </c>
      <c r="J176" s="6">
        <v>0</v>
      </c>
      <c r="K176" s="6">
        <v>0</v>
      </c>
      <c r="L176" s="6">
        <v>228.01300000000001</v>
      </c>
      <c r="M176" s="6">
        <v>115.24984120822</v>
      </c>
      <c r="N176" s="6">
        <v>0</v>
      </c>
      <c r="O176" s="6">
        <v>0</v>
      </c>
      <c r="P176" s="6">
        <v>0</v>
      </c>
      <c r="Q176" s="4" t="s">
        <v>56</v>
      </c>
      <c r="R176" s="4">
        <v>0</v>
      </c>
      <c r="S176" s="6">
        <v>0</v>
      </c>
      <c r="T176" s="6">
        <v>21</v>
      </c>
      <c r="U176" s="6">
        <v>0</v>
      </c>
      <c r="V176" s="6">
        <f>IF(ISERROR(VLOOKUP($S$176,'TAR FIN'!$A$1:$O$92,15,0)),0,VLOOKUP($S$176,'TAR FIN'!$A$1:$O$92,15,0))</f>
        <v>0</v>
      </c>
      <c r="W176" s="6">
        <f>IF(ISERROR(VLOOKUP($T$176,'TAR FIN'!$A$1:$O$92,15,0)),0,VLOOKUP($T$176,'TAR FIN'!$A$1:$O$92,15,0))</f>
        <v>789.62</v>
      </c>
      <c r="X176" s="6">
        <f>IF(ISERROR(VLOOKUP($U$176,'TAR FIN'!$A$1:$O$92,15,0)),0,VLOOKUP($U$176,'TAR FIN'!$A$1:$O$92,15,0))</f>
        <v>0</v>
      </c>
      <c r="Y176" s="6"/>
      <c r="Z176" s="6">
        <f ca="1">('TUSD BE'!$AM$15+'TUSD BF'!$AM$15+'TUSD CVA'!$AM$15)*1</f>
        <v>1080.2905876373179</v>
      </c>
      <c r="AA176" s="6"/>
      <c r="AB176" s="6">
        <f>$K$176*$V$176</f>
        <v>0</v>
      </c>
      <c r="AC176" s="6">
        <f>$M$176*$W$176</f>
        <v>91003.579614834685</v>
      </c>
      <c r="AD176" s="6">
        <f>$O$176*$X$176</f>
        <v>0</v>
      </c>
      <c r="AE176" s="6">
        <f>$K$176*$Y$176</f>
        <v>0</v>
      </c>
      <c r="AF176" s="6">
        <f ca="1">$M$176*$Z$176</f>
        <v>124503.31868393556</v>
      </c>
      <c r="AG176" s="6">
        <f>$O$176*$AA$176</f>
        <v>0</v>
      </c>
    </row>
    <row r="177" spans="1:33" ht="11.25" hidden="1" customHeight="1" x14ac:dyDescent="0.3">
      <c r="A177" s="4" t="s">
        <v>21</v>
      </c>
      <c r="B177" s="4" t="s">
        <v>34</v>
      </c>
      <c r="C177" s="4" t="s">
        <v>35</v>
      </c>
      <c r="D177" s="4" t="s">
        <v>33</v>
      </c>
      <c r="E177" s="4" t="s">
        <v>25</v>
      </c>
      <c r="F177" s="4" t="s">
        <v>55</v>
      </c>
      <c r="G177" s="4" t="s">
        <v>25</v>
      </c>
      <c r="H177" s="4" t="s">
        <v>36</v>
      </c>
      <c r="I177" s="5">
        <v>44621</v>
      </c>
      <c r="J177" s="6">
        <v>0</v>
      </c>
      <c r="K177" s="6">
        <v>0</v>
      </c>
      <c r="L177" s="6">
        <v>249.446</v>
      </c>
      <c r="M177" s="6">
        <v>126.737027004</v>
      </c>
      <c r="N177" s="6">
        <v>0</v>
      </c>
      <c r="O177" s="6">
        <v>0</v>
      </c>
      <c r="P177" s="6">
        <v>0</v>
      </c>
      <c r="Q177" s="4" t="s">
        <v>56</v>
      </c>
      <c r="R177" s="4">
        <v>0</v>
      </c>
      <c r="S177" s="6">
        <v>0</v>
      </c>
      <c r="T177" s="6">
        <v>21</v>
      </c>
      <c r="U177" s="6">
        <v>0</v>
      </c>
      <c r="V177" s="6">
        <f>IF(ISERROR(VLOOKUP($S$177,'TAR FIN'!$A$1:$O$92,15,0)),0,VLOOKUP($S$177,'TAR FIN'!$A$1:$O$92,15,0))</f>
        <v>0</v>
      </c>
      <c r="W177" s="6">
        <f>IF(ISERROR(VLOOKUP($T$177,'TAR FIN'!$A$1:$O$92,15,0)),0,VLOOKUP($T$177,'TAR FIN'!$A$1:$O$92,15,0))</f>
        <v>789.62</v>
      </c>
      <c r="X177" s="6">
        <f>IF(ISERROR(VLOOKUP($U$177,'TAR FIN'!$A$1:$O$92,15,0)),0,VLOOKUP($U$177,'TAR FIN'!$A$1:$O$92,15,0))</f>
        <v>0</v>
      </c>
      <c r="Y177" s="6"/>
      <c r="Z177" s="6">
        <f ca="1">('TUSD BE'!$AM$15+'TUSD BF'!$AM$15+'TUSD CVA'!$AM$15)*1</f>
        <v>1080.2905876373179</v>
      </c>
      <c r="AA177" s="6"/>
      <c r="AB177" s="6">
        <f>$K$177*$V$177</f>
        <v>0</v>
      </c>
      <c r="AC177" s="6">
        <f>$M$177*$W$177</f>
        <v>100074.09126289848</v>
      </c>
      <c r="AD177" s="6">
        <f>$O$177*$X$177</f>
        <v>0</v>
      </c>
      <c r="AE177" s="6">
        <f>$K$177*$Y$177</f>
        <v>0</v>
      </c>
      <c r="AF177" s="6">
        <f ca="1">$M$177*$Z$177</f>
        <v>136912.81737755777</v>
      </c>
      <c r="AG177" s="6">
        <f>$O$177*$AA$177</f>
        <v>0</v>
      </c>
    </row>
    <row r="178" spans="1:33" ht="11.25" hidden="1" customHeight="1" x14ac:dyDescent="0.3">
      <c r="A178" s="4" t="s">
        <v>21</v>
      </c>
      <c r="B178" s="4" t="s">
        <v>34</v>
      </c>
      <c r="C178" s="4" t="s">
        <v>35</v>
      </c>
      <c r="D178" s="4" t="s">
        <v>33</v>
      </c>
      <c r="E178" s="4" t="s">
        <v>25</v>
      </c>
      <c r="F178" s="4" t="s">
        <v>55</v>
      </c>
      <c r="G178" s="4" t="s">
        <v>25</v>
      </c>
      <c r="H178" s="4" t="s">
        <v>36</v>
      </c>
      <c r="I178" s="5">
        <v>44652</v>
      </c>
      <c r="J178" s="6">
        <v>0</v>
      </c>
      <c r="K178" s="6">
        <v>0</v>
      </c>
      <c r="L178" s="6">
        <v>214.226</v>
      </c>
      <c r="M178" s="6">
        <v>108.15031656815999</v>
      </c>
      <c r="N178" s="6">
        <v>0</v>
      </c>
      <c r="O178" s="6">
        <v>0</v>
      </c>
      <c r="P178" s="6">
        <v>0</v>
      </c>
      <c r="Q178" s="4" t="s">
        <v>56</v>
      </c>
      <c r="R178" s="4">
        <v>0</v>
      </c>
      <c r="S178" s="6">
        <v>0</v>
      </c>
      <c r="T178" s="6">
        <v>21</v>
      </c>
      <c r="U178" s="6">
        <v>0</v>
      </c>
      <c r="V178" s="6">
        <f>IF(ISERROR(VLOOKUP($S$178,'TAR FIN'!$A$1:$O$92,15,0)),0,VLOOKUP($S$178,'TAR FIN'!$A$1:$O$92,15,0))</f>
        <v>0</v>
      </c>
      <c r="W178" s="6">
        <f>IF(ISERROR(VLOOKUP($T$178,'TAR FIN'!$A$1:$O$92,15,0)),0,VLOOKUP($T$178,'TAR FIN'!$A$1:$O$92,15,0))</f>
        <v>789.62</v>
      </c>
      <c r="X178" s="6">
        <f>IF(ISERROR(VLOOKUP($U$178,'TAR FIN'!$A$1:$O$92,15,0)),0,VLOOKUP($U$178,'TAR FIN'!$A$1:$O$92,15,0))</f>
        <v>0</v>
      </c>
      <c r="Y178" s="6"/>
      <c r="Z178" s="6">
        <f ca="1">('TUSD BE'!$AM$15+'TUSD BF'!$AM$15+'TUSD CVA'!$AM$15)*1</f>
        <v>1080.2905876373179</v>
      </c>
      <c r="AA178" s="6"/>
      <c r="AB178" s="6">
        <f>$K$178*$V$178</f>
        <v>0</v>
      </c>
      <c r="AC178" s="6">
        <f>$M$178*$W$178</f>
        <v>85397.652968550494</v>
      </c>
      <c r="AD178" s="6">
        <f>$O$178*$X$178</f>
        <v>0</v>
      </c>
      <c r="AE178" s="6">
        <f>$K$178*$Y$178</f>
        <v>0</v>
      </c>
      <c r="AF178" s="6">
        <f ca="1">$M$178*$Z$178</f>
        <v>116833.76903857951</v>
      </c>
      <c r="AG178" s="6">
        <f>$O$178*$AA$178</f>
        <v>0</v>
      </c>
    </row>
    <row r="179" spans="1:33" ht="11.25" hidden="1" customHeight="1" x14ac:dyDescent="0.3">
      <c r="A179" s="4" t="s">
        <v>21</v>
      </c>
      <c r="B179" s="4" t="s">
        <v>34</v>
      </c>
      <c r="C179" s="4" t="s">
        <v>35</v>
      </c>
      <c r="D179" s="4" t="s">
        <v>33</v>
      </c>
      <c r="E179" s="4" t="s">
        <v>25</v>
      </c>
      <c r="F179" s="4" t="s">
        <v>55</v>
      </c>
      <c r="G179" s="4" t="s">
        <v>25</v>
      </c>
      <c r="H179" s="4" t="s">
        <v>36</v>
      </c>
      <c r="I179" s="5">
        <v>44682</v>
      </c>
      <c r="J179" s="6">
        <v>0</v>
      </c>
      <c r="K179" s="6">
        <v>0</v>
      </c>
      <c r="L179" s="6">
        <v>257.37099999999998</v>
      </c>
      <c r="M179" s="6">
        <v>130.17359853232</v>
      </c>
      <c r="N179" s="6">
        <v>0</v>
      </c>
      <c r="O179" s="6">
        <v>0</v>
      </c>
      <c r="P179" s="6">
        <v>0</v>
      </c>
      <c r="Q179" s="4" t="s">
        <v>56</v>
      </c>
      <c r="R179" s="4">
        <v>0</v>
      </c>
      <c r="S179" s="6">
        <v>0</v>
      </c>
      <c r="T179" s="6">
        <v>21</v>
      </c>
      <c r="U179" s="6">
        <v>0</v>
      </c>
      <c r="V179" s="6">
        <f>IF(ISERROR(VLOOKUP($S$179,'TAR FIN'!$A$1:$O$92,15,0)),0,VLOOKUP($S$179,'TAR FIN'!$A$1:$O$92,15,0))</f>
        <v>0</v>
      </c>
      <c r="W179" s="6">
        <f>IF(ISERROR(VLOOKUP($T$179,'TAR FIN'!$A$1:$O$92,15,0)),0,VLOOKUP($T$179,'TAR FIN'!$A$1:$O$92,15,0))</f>
        <v>789.62</v>
      </c>
      <c r="X179" s="6">
        <f>IF(ISERROR(VLOOKUP($U$179,'TAR FIN'!$A$1:$O$92,15,0)),0,VLOOKUP($U$179,'TAR FIN'!$A$1:$O$92,15,0))</f>
        <v>0</v>
      </c>
      <c r="Y179" s="6"/>
      <c r="Z179" s="6">
        <f ca="1">('TUSD BE'!$AM$15+'TUSD BF'!$AM$15+'TUSD CVA'!$AM$15)*1</f>
        <v>1080.2905876373179</v>
      </c>
      <c r="AA179" s="6"/>
      <c r="AB179" s="6">
        <f>$K$179*$V$179</f>
        <v>0</v>
      </c>
      <c r="AC179" s="6">
        <f>$M$179*$W$179</f>
        <v>102787.67687309052</v>
      </c>
      <c r="AD179" s="6">
        <f>$O$179*$X$179</f>
        <v>0</v>
      </c>
      <c r="AE179" s="6">
        <f>$K$179*$Y$179</f>
        <v>0</v>
      </c>
      <c r="AF179" s="6">
        <f ca="1">$M$179*$Z$179</f>
        <v>140625.31325334427</v>
      </c>
      <c r="AG179" s="6">
        <f>$O$179*$AA$179</f>
        <v>0</v>
      </c>
    </row>
    <row r="180" spans="1:33" ht="11.25" hidden="1" customHeight="1" x14ac:dyDescent="0.3">
      <c r="A180" s="4" t="s">
        <v>21</v>
      </c>
      <c r="B180" s="4" t="s">
        <v>34</v>
      </c>
      <c r="C180" s="4" t="s">
        <v>35</v>
      </c>
      <c r="D180" s="4" t="s">
        <v>33</v>
      </c>
      <c r="E180" s="4" t="s">
        <v>25</v>
      </c>
      <c r="F180" s="4" t="s">
        <v>55</v>
      </c>
      <c r="G180" s="4" t="s">
        <v>25</v>
      </c>
      <c r="H180" s="4" t="s">
        <v>36</v>
      </c>
      <c r="I180" s="5">
        <v>44713</v>
      </c>
      <c r="J180" s="6">
        <v>0</v>
      </c>
      <c r="K180" s="6">
        <v>0</v>
      </c>
      <c r="L180" s="6">
        <v>251.95477</v>
      </c>
      <c r="M180" s="6">
        <v>128.185312520916</v>
      </c>
      <c r="N180" s="6">
        <v>0</v>
      </c>
      <c r="O180" s="6">
        <v>0</v>
      </c>
      <c r="P180" s="6">
        <v>0</v>
      </c>
      <c r="Q180" s="4" t="s">
        <v>56</v>
      </c>
      <c r="R180" s="4">
        <v>0</v>
      </c>
      <c r="S180" s="6">
        <v>0</v>
      </c>
      <c r="T180" s="6">
        <v>21</v>
      </c>
      <c r="U180" s="6">
        <v>0</v>
      </c>
      <c r="V180" s="6">
        <f>IF(ISERROR(VLOOKUP($S$180,'TAR FIN'!$A$1:$O$92,15,0)),0,VLOOKUP($S$180,'TAR FIN'!$A$1:$O$92,15,0))</f>
        <v>0</v>
      </c>
      <c r="W180" s="6">
        <f>IF(ISERROR(VLOOKUP($T$180,'TAR FIN'!$A$1:$O$92,15,0)),0,VLOOKUP($T$180,'TAR FIN'!$A$1:$O$92,15,0))</f>
        <v>789.62</v>
      </c>
      <c r="X180" s="6">
        <f>IF(ISERROR(VLOOKUP($U$180,'TAR FIN'!$A$1:$O$92,15,0)),0,VLOOKUP($U$180,'TAR FIN'!$A$1:$O$92,15,0))</f>
        <v>0</v>
      </c>
      <c r="Y180" s="6"/>
      <c r="Z180" s="6">
        <f ca="1">('TUSD BE'!$AM$15+'TUSD BF'!$AM$15+'TUSD CVA'!$AM$15)*1</f>
        <v>1080.2905876373179</v>
      </c>
      <c r="AA180" s="6"/>
      <c r="AB180" s="6">
        <f>$K$180*$V$180</f>
        <v>0</v>
      </c>
      <c r="AC180" s="6">
        <f>$M$180*$W$180</f>
        <v>101217.68647276569</v>
      </c>
      <c r="AD180" s="6">
        <f>$O$180*$X$180</f>
        <v>0</v>
      </c>
      <c r="AE180" s="6">
        <f>$K$180*$Y$180</f>
        <v>0</v>
      </c>
      <c r="AF180" s="6">
        <f ca="1">$M$180*$Z$180</f>
        <v>138477.3865896936</v>
      </c>
      <c r="AG180" s="6">
        <f>$O$180*$AA$180</f>
        <v>0</v>
      </c>
    </row>
    <row r="181" spans="1:33" ht="11.25" hidden="1" customHeight="1" x14ac:dyDescent="0.3">
      <c r="A181" s="4" t="s">
        <v>21</v>
      </c>
      <c r="B181" s="4" t="s">
        <v>34</v>
      </c>
      <c r="C181" s="4" t="s">
        <v>35</v>
      </c>
      <c r="D181" s="4" t="s">
        <v>33</v>
      </c>
      <c r="E181" s="4" t="s">
        <v>25</v>
      </c>
      <c r="F181" s="4" t="s">
        <v>55</v>
      </c>
      <c r="G181" s="4" t="s">
        <v>25</v>
      </c>
      <c r="H181" s="4" t="s">
        <v>36</v>
      </c>
      <c r="I181" s="5">
        <v>44743</v>
      </c>
      <c r="J181" s="6">
        <v>0</v>
      </c>
      <c r="K181" s="6">
        <v>0</v>
      </c>
      <c r="L181" s="6">
        <v>246.23115999999999</v>
      </c>
      <c r="M181" s="6">
        <v>124.163633384801</v>
      </c>
      <c r="N181" s="6">
        <v>0</v>
      </c>
      <c r="O181" s="6">
        <v>0</v>
      </c>
      <c r="P181" s="6">
        <v>0</v>
      </c>
      <c r="Q181" s="4" t="s">
        <v>56</v>
      </c>
      <c r="R181" s="4">
        <v>0</v>
      </c>
      <c r="S181" s="6">
        <v>0</v>
      </c>
      <c r="T181" s="6">
        <v>21</v>
      </c>
      <c r="U181" s="6">
        <v>0</v>
      </c>
      <c r="V181" s="6">
        <f>IF(ISERROR(VLOOKUP($S$181,'TAR FIN'!$A$1:$O$92,15,0)),0,VLOOKUP($S$181,'TAR FIN'!$A$1:$O$92,15,0))</f>
        <v>0</v>
      </c>
      <c r="W181" s="6">
        <f>IF(ISERROR(VLOOKUP($T$181,'TAR FIN'!$A$1:$O$92,15,0)),0,VLOOKUP($T$181,'TAR FIN'!$A$1:$O$92,15,0))</f>
        <v>789.62</v>
      </c>
      <c r="X181" s="6">
        <f>IF(ISERROR(VLOOKUP($U$181,'TAR FIN'!$A$1:$O$92,15,0)),0,VLOOKUP($U$181,'TAR FIN'!$A$1:$O$92,15,0))</f>
        <v>0</v>
      </c>
      <c r="Y181" s="6"/>
      <c r="Z181" s="6">
        <f ca="1">('TUSD BE'!$AM$15+'TUSD BF'!$AM$15+'TUSD CVA'!$AM$15)*1</f>
        <v>1080.2905876373179</v>
      </c>
      <c r="AA181" s="6"/>
      <c r="AB181" s="6">
        <f>$K$181*$V$181</f>
        <v>0</v>
      </c>
      <c r="AC181" s="6">
        <f>$M$181*$W$181</f>
        <v>98042.088193306568</v>
      </c>
      <c r="AD181" s="6">
        <f>$O$181*$X$181</f>
        <v>0</v>
      </c>
      <c r="AE181" s="6">
        <f>$K$181*$Y$181</f>
        <v>0</v>
      </c>
      <c r="AF181" s="6">
        <f ca="1">$M$181*$Z$181</f>
        <v>134132.80447245119</v>
      </c>
      <c r="AG181" s="6">
        <f>$O$181*$AA$181</f>
        <v>0</v>
      </c>
    </row>
    <row r="182" spans="1:33" ht="11.25" hidden="1" customHeight="1" x14ac:dyDescent="0.3">
      <c r="A182" s="4" t="s">
        <v>21</v>
      </c>
      <c r="B182" s="4" t="s">
        <v>34</v>
      </c>
      <c r="C182" s="4" t="s">
        <v>35</v>
      </c>
      <c r="D182" s="4" t="s">
        <v>33</v>
      </c>
      <c r="E182" s="4" t="s">
        <v>25</v>
      </c>
      <c r="F182" s="4" t="s">
        <v>25</v>
      </c>
      <c r="G182" s="4" t="s">
        <v>25</v>
      </c>
      <c r="H182" s="4" t="s">
        <v>37</v>
      </c>
      <c r="I182" s="5">
        <v>44409</v>
      </c>
      <c r="J182" s="6">
        <v>0</v>
      </c>
      <c r="K182" s="6">
        <v>0</v>
      </c>
      <c r="L182" s="6">
        <v>187.76761999999999</v>
      </c>
      <c r="M182" s="6">
        <v>187.76761999999999</v>
      </c>
      <c r="N182" s="6">
        <v>187.76761999999999</v>
      </c>
      <c r="O182" s="6">
        <v>187.76761999999999</v>
      </c>
      <c r="P182" s="6">
        <v>0</v>
      </c>
      <c r="Q182" s="4" t="s">
        <v>26</v>
      </c>
      <c r="R182" s="4">
        <v>0</v>
      </c>
      <c r="S182" s="6">
        <v>0</v>
      </c>
      <c r="T182" s="6">
        <v>22</v>
      </c>
      <c r="U182" s="6">
        <v>84</v>
      </c>
      <c r="V182" s="6">
        <f>IF(ISERROR(VLOOKUP($S$182,'TAR FIN'!$A$1:$O$92,15,0)),0,VLOOKUP($S$182,'TAR FIN'!$A$1:$O$92,15,0))</f>
        <v>0</v>
      </c>
      <c r="W182" s="6">
        <f>IF(ISERROR(VLOOKUP($T$182,'TAR FIN'!$A$1:$O$92,15,0)),0,VLOOKUP($T$182,'TAR FIN'!$A$1:$O$92,15,0))</f>
        <v>73.28</v>
      </c>
      <c r="X182" s="6">
        <f>IF(ISERROR(VLOOKUP($U$182,'TAR FIN'!$A$1:$O$92,15,0)),0,VLOOKUP($U$182,'TAR FIN'!$A$1:$O$92,15,0))</f>
        <v>286.76</v>
      </c>
      <c r="Y182" s="6"/>
      <c r="Z182" s="6">
        <f ca="1">('TUSD BE'!$AM$16+'TUSD BF'!$AM$16+'TUSD CVA'!$AM$16)*1</f>
        <v>139.98967941887983</v>
      </c>
      <c r="AA182" s="6">
        <f>('TE BE'!$AB$8+'TE BF'!$AB$8+'TE CVA'!$AB$8)*1</f>
        <v>271.35516669689775</v>
      </c>
      <c r="AB182" s="6">
        <f>$K$182*$V$182</f>
        <v>0</v>
      </c>
      <c r="AC182" s="6">
        <f>$M$182*$W$182</f>
        <v>13759.6111936</v>
      </c>
      <c r="AD182" s="6">
        <f>$O$182*$X$182</f>
        <v>53844.242711199993</v>
      </c>
      <c r="AE182" s="6">
        <f>$K$182*$Y$182</f>
        <v>0</v>
      </c>
      <c r="AF182" s="6">
        <f ca="1">$M$182*$Z$182</f>
        <v>26285.52892904605</v>
      </c>
      <c r="AG182" s="6">
        <f>$O$182*$AA$182</f>
        <v>50951.713825379753</v>
      </c>
    </row>
    <row r="183" spans="1:33" ht="11.25" hidden="1" customHeight="1" x14ac:dyDescent="0.3">
      <c r="A183" s="4" t="s">
        <v>27</v>
      </c>
      <c r="B183" s="4" t="s">
        <v>34</v>
      </c>
      <c r="C183" s="4" t="s">
        <v>35</v>
      </c>
      <c r="D183" s="4" t="s">
        <v>33</v>
      </c>
      <c r="E183" s="4" t="s">
        <v>25</v>
      </c>
      <c r="F183" s="4" t="s">
        <v>25</v>
      </c>
      <c r="G183" s="4" t="s">
        <v>25</v>
      </c>
      <c r="H183" s="4" t="s">
        <v>37</v>
      </c>
      <c r="I183" s="5">
        <v>44409</v>
      </c>
      <c r="J183" s="6">
        <v>0</v>
      </c>
      <c r="K183" s="6">
        <v>0</v>
      </c>
      <c r="L183" s="6">
        <v>32.51632</v>
      </c>
      <c r="M183" s="6">
        <v>32.51632</v>
      </c>
      <c r="N183" s="6">
        <v>32.51632</v>
      </c>
      <c r="O183" s="6">
        <v>32.51632</v>
      </c>
      <c r="P183" s="6">
        <v>0</v>
      </c>
      <c r="Q183" s="4" t="s">
        <v>26</v>
      </c>
      <c r="R183" s="4">
        <v>0</v>
      </c>
      <c r="S183" s="6">
        <v>0</v>
      </c>
      <c r="T183" s="6">
        <v>22</v>
      </c>
      <c r="U183" s="6">
        <v>84</v>
      </c>
      <c r="V183" s="6">
        <f>IF(ISERROR(VLOOKUP($S$183,'TAR FIN'!$A$1:$O$92,15,0)),0,VLOOKUP($S$183,'TAR FIN'!$A$1:$O$92,15,0))</f>
        <v>0</v>
      </c>
      <c r="W183" s="6">
        <f>IF(ISERROR(VLOOKUP($T$183,'TAR FIN'!$A$1:$O$92,15,0)),0,VLOOKUP($T$183,'TAR FIN'!$A$1:$O$92,15,0))</f>
        <v>73.28</v>
      </c>
      <c r="X183" s="6">
        <f>IF(ISERROR(VLOOKUP($U$183,'TAR FIN'!$A$1:$O$92,15,0)),0,VLOOKUP($U$183,'TAR FIN'!$A$1:$O$92,15,0))</f>
        <v>286.76</v>
      </c>
      <c r="Y183" s="6"/>
      <c r="Z183" s="6">
        <f ca="1">('TUSD BE'!$AM$16+'TUSD BF'!$AM$16+'TUSD CVA'!$AM$16)*1</f>
        <v>139.98967941887983</v>
      </c>
      <c r="AA183" s="6">
        <f>('TE BE'!$AB$8+'TE BF'!$AB$8+'TE CVA'!$AB$8)*1</f>
        <v>271.35516669689775</v>
      </c>
      <c r="AB183" s="6">
        <f>$K$183*$V$183</f>
        <v>0</v>
      </c>
      <c r="AC183" s="6">
        <f>$M$183*$W$183</f>
        <v>2382.7959295999999</v>
      </c>
      <c r="AD183" s="6">
        <f>$O$183*$X$183</f>
        <v>9324.3799232000001</v>
      </c>
      <c r="AE183" s="6">
        <f>$K$183*$Y$183</f>
        <v>0</v>
      </c>
      <c r="AF183" s="6">
        <f ca="1">$M$183*$Z$183</f>
        <v>4551.9492126817104</v>
      </c>
      <c r="AG183" s="6">
        <f>$O$183*$AA$183</f>
        <v>8823.4714339696711</v>
      </c>
    </row>
    <row r="184" spans="1:33" ht="11.25" hidden="1" customHeight="1" x14ac:dyDescent="0.3">
      <c r="A184" s="4" t="s">
        <v>21</v>
      </c>
      <c r="B184" s="4" t="s">
        <v>34</v>
      </c>
      <c r="C184" s="4" t="s">
        <v>35</v>
      </c>
      <c r="D184" s="4" t="s">
        <v>33</v>
      </c>
      <c r="E184" s="4" t="s">
        <v>25</v>
      </c>
      <c r="F184" s="4" t="s">
        <v>25</v>
      </c>
      <c r="G184" s="4" t="s">
        <v>25</v>
      </c>
      <c r="H184" s="4" t="s">
        <v>37</v>
      </c>
      <c r="I184" s="5">
        <v>44440</v>
      </c>
      <c r="J184" s="6">
        <v>0</v>
      </c>
      <c r="K184" s="6">
        <v>0</v>
      </c>
      <c r="L184" s="6">
        <v>186.911</v>
      </c>
      <c r="M184" s="6">
        <v>186.911</v>
      </c>
      <c r="N184" s="6">
        <v>186.911</v>
      </c>
      <c r="O184" s="6">
        <v>186.911</v>
      </c>
      <c r="P184" s="6">
        <v>0</v>
      </c>
      <c r="Q184" s="4" t="s">
        <v>26</v>
      </c>
      <c r="R184" s="4">
        <v>0</v>
      </c>
      <c r="S184" s="6">
        <v>0</v>
      </c>
      <c r="T184" s="6">
        <v>22</v>
      </c>
      <c r="U184" s="6">
        <v>84</v>
      </c>
      <c r="V184" s="6">
        <f>IF(ISERROR(VLOOKUP($S$184,'TAR FIN'!$A$1:$O$92,15,0)),0,VLOOKUP($S$184,'TAR FIN'!$A$1:$O$92,15,0))</f>
        <v>0</v>
      </c>
      <c r="W184" s="6">
        <f>IF(ISERROR(VLOOKUP($T$184,'TAR FIN'!$A$1:$O$92,15,0)),0,VLOOKUP($T$184,'TAR FIN'!$A$1:$O$92,15,0))</f>
        <v>73.28</v>
      </c>
      <c r="X184" s="6">
        <f>IF(ISERROR(VLOOKUP($U$184,'TAR FIN'!$A$1:$O$92,15,0)),0,VLOOKUP($U$184,'TAR FIN'!$A$1:$O$92,15,0))</f>
        <v>286.76</v>
      </c>
      <c r="Y184" s="6"/>
      <c r="Z184" s="6">
        <f ca="1">('TUSD BE'!$AM$16+'TUSD BF'!$AM$16+'TUSD CVA'!$AM$16)*1</f>
        <v>139.98967941887983</v>
      </c>
      <c r="AA184" s="6">
        <f>('TE BE'!$AB$8+'TE BF'!$AB$8+'TE CVA'!$AB$8)*1</f>
        <v>271.35516669689775</v>
      </c>
      <c r="AB184" s="6">
        <f>$K$184*$V$184</f>
        <v>0</v>
      </c>
      <c r="AC184" s="6">
        <f>$M$184*$W$184</f>
        <v>13696.83808</v>
      </c>
      <c r="AD184" s="6">
        <f>$O$184*$X$184</f>
        <v>53598.598359999996</v>
      </c>
      <c r="AE184" s="6">
        <f>$K$184*$Y$184</f>
        <v>0</v>
      </c>
      <c r="AF184" s="6">
        <f ca="1">$M$184*$Z$184</f>
        <v>26165.610969862249</v>
      </c>
      <c r="AG184" s="6">
        <f>$O$184*$AA$184</f>
        <v>50719.265562483859</v>
      </c>
    </row>
    <row r="185" spans="1:33" ht="11.25" hidden="1" customHeight="1" x14ac:dyDescent="0.3">
      <c r="A185" s="4" t="s">
        <v>27</v>
      </c>
      <c r="B185" s="4" t="s">
        <v>34</v>
      </c>
      <c r="C185" s="4" t="s">
        <v>35</v>
      </c>
      <c r="D185" s="4" t="s">
        <v>33</v>
      </c>
      <c r="E185" s="4" t="s">
        <v>25</v>
      </c>
      <c r="F185" s="4" t="s">
        <v>25</v>
      </c>
      <c r="G185" s="4" t="s">
        <v>25</v>
      </c>
      <c r="H185" s="4" t="s">
        <v>37</v>
      </c>
      <c r="I185" s="5">
        <v>44440</v>
      </c>
      <c r="J185" s="6">
        <v>0</v>
      </c>
      <c r="K185" s="6">
        <v>0</v>
      </c>
      <c r="L185" s="6">
        <v>22.265999999999998</v>
      </c>
      <c r="M185" s="6">
        <v>22.265999999999998</v>
      </c>
      <c r="N185" s="6">
        <v>22.265999999999998</v>
      </c>
      <c r="O185" s="6">
        <v>22.265999999999998</v>
      </c>
      <c r="P185" s="6">
        <v>0</v>
      </c>
      <c r="Q185" s="4" t="s">
        <v>26</v>
      </c>
      <c r="R185" s="4">
        <v>0</v>
      </c>
      <c r="S185" s="6">
        <v>0</v>
      </c>
      <c r="T185" s="6">
        <v>22</v>
      </c>
      <c r="U185" s="6">
        <v>84</v>
      </c>
      <c r="V185" s="6">
        <f>IF(ISERROR(VLOOKUP($S$185,'TAR FIN'!$A$1:$O$92,15,0)),0,VLOOKUP($S$185,'TAR FIN'!$A$1:$O$92,15,0))</f>
        <v>0</v>
      </c>
      <c r="W185" s="6">
        <f>IF(ISERROR(VLOOKUP($T$185,'TAR FIN'!$A$1:$O$92,15,0)),0,VLOOKUP($T$185,'TAR FIN'!$A$1:$O$92,15,0))</f>
        <v>73.28</v>
      </c>
      <c r="X185" s="6">
        <f>IF(ISERROR(VLOOKUP($U$185,'TAR FIN'!$A$1:$O$92,15,0)),0,VLOOKUP($U$185,'TAR FIN'!$A$1:$O$92,15,0))</f>
        <v>286.76</v>
      </c>
      <c r="Y185" s="6"/>
      <c r="Z185" s="6">
        <f ca="1">('TUSD BE'!$AM$16+'TUSD BF'!$AM$16+'TUSD CVA'!$AM$16)*1</f>
        <v>139.98967941887983</v>
      </c>
      <c r="AA185" s="6">
        <f>('TE BE'!$AB$8+'TE BF'!$AB$8+'TE CVA'!$AB$8)*1</f>
        <v>271.35516669689775</v>
      </c>
      <c r="AB185" s="6">
        <f>$K$185*$V$185</f>
        <v>0</v>
      </c>
      <c r="AC185" s="6">
        <f>$M$185*$W$185</f>
        <v>1631.65248</v>
      </c>
      <c r="AD185" s="6">
        <f>$O$185*$X$185</f>
        <v>6384.9981599999992</v>
      </c>
      <c r="AE185" s="6">
        <f>$K$185*$Y$185</f>
        <v>0</v>
      </c>
      <c r="AF185" s="6">
        <f ca="1">$M$185*$Z$185</f>
        <v>3117.0102019407782</v>
      </c>
      <c r="AG185" s="6">
        <f>$O$185*$AA$185</f>
        <v>6041.9941416731253</v>
      </c>
    </row>
    <row r="186" spans="1:33" ht="11.25" hidden="1" customHeight="1" x14ac:dyDescent="0.3">
      <c r="A186" s="4" t="s">
        <v>21</v>
      </c>
      <c r="B186" s="4" t="s">
        <v>34</v>
      </c>
      <c r="C186" s="4" t="s">
        <v>35</v>
      </c>
      <c r="D186" s="4" t="s">
        <v>33</v>
      </c>
      <c r="E186" s="4" t="s">
        <v>25</v>
      </c>
      <c r="F186" s="4" t="s">
        <v>25</v>
      </c>
      <c r="G186" s="4" t="s">
        <v>25</v>
      </c>
      <c r="H186" s="4" t="s">
        <v>37</v>
      </c>
      <c r="I186" s="5">
        <v>44470</v>
      </c>
      <c r="J186" s="6">
        <v>0</v>
      </c>
      <c r="K186" s="6">
        <v>0</v>
      </c>
      <c r="L186" s="6">
        <v>177.922</v>
      </c>
      <c r="M186" s="6">
        <v>177.922</v>
      </c>
      <c r="N186" s="6">
        <v>177.922</v>
      </c>
      <c r="O186" s="6">
        <v>177.922</v>
      </c>
      <c r="P186" s="6">
        <v>0</v>
      </c>
      <c r="Q186" s="4" t="s">
        <v>26</v>
      </c>
      <c r="R186" s="4">
        <v>0</v>
      </c>
      <c r="S186" s="6">
        <v>0</v>
      </c>
      <c r="T186" s="6">
        <v>22</v>
      </c>
      <c r="U186" s="6">
        <v>84</v>
      </c>
      <c r="V186" s="6">
        <f>IF(ISERROR(VLOOKUP($S$186,'TAR FIN'!$A$1:$O$92,15,0)),0,VLOOKUP($S$186,'TAR FIN'!$A$1:$O$92,15,0))</f>
        <v>0</v>
      </c>
      <c r="W186" s="6">
        <f>IF(ISERROR(VLOOKUP($T$186,'TAR FIN'!$A$1:$O$92,15,0)),0,VLOOKUP($T$186,'TAR FIN'!$A$1:$O$92,15,0))</f>
        <v>73.28</v>
      </c>
      <c r="X186" s="6">
        <f>IF(ISERROR(VLOOKUP($U$186,'TAR FIN'!$A$1:$O$92,15,0)),0,VLOOKUP($U$186,'TAR FIN'!$A$1:$O$92,15,0))</f>
        <v>286.76</v>
      </c>
      <c r="Y186" s="6"/>
      <c r="Z186" s="6">
        <f ca="1">('TUSD BE'!$AM$16+'TUSD BF'!$AM$16+'TUSD CVA'!$AM$16)*1</f>
        <v>139.98967941887983</v>
      </c>
      <c r="AA186" s="6">
        <f>('TE BE'!$AB$8+'TE BF'!$AB$8+'TE CVA'!$AB$8)*1</f>
        <v>271.35516669689775</v>
      </c>
      <c r="AB186" s="6">
        <f>$K$186*$V$186</f>
        <v>0</v>
      </c>
      <c r="AC186" s="6">
        <f>$M$186*$W$186</f>
        <v>13038.124159999999</v>
      </c>
      <c r="AD186" s="6">
        <f>$O$186*$X$186</f>
        <v>51020.91272</v>
      </c>
      <c r="AE186" s="6">
        <f>$K$186*$Y$186</f>
        <v>0</v>
      </c>
      <c r="AF186" s="6">
        <f ca="1">$M$186*$Z$186</f>
        <v>24907.243741565937</v>
      </c>
      <c r="AG186" s="6">
        <f>$O$186*$AA$186</f>
        <v>48280.053969045439</v>
      </c>
    </row>
    <row r="187" spans="1:33" ht="11.25" hidden="1" customHeight="1" x14ac:dyDescent="0.3">
      <c r="A187" s="4" t="s">
        <v>27</v>
      </c>
      <c r="B187" s="4" t="s">
        <v>34</v>
      </c>
      <c r="C187" s="4" t="s">
        <v>35</v>
      </c>
      <c r="D187" s="4" t="s">
        <v>33</v>
      </c>
      <c r="E187" s="4" t="s">
        <v>25</v>
      </c>
      <c r="F187" s="4" t="s">
        <v>25</v>
      </c>
      <c r="G187" s="4" t="s">
        <v>25</v>
      </c>
      <c r="H187" s="4" t="s">
        <v>37</v>
      </c>
      <c r="I187" s="5">
        <v>44470</v>
      </c>
      <c r="J187" s="6">
        <v>0</v>
      </c>
      <c r="K187" s="6">
        <v>0</v>
      </c>
      <c r="L187" s="6">
        <v>16.67539</v>
      </c>
      <c r="M187" s="6">
        <v>16.67539</v>
      </c>
      <c r="N187" s="6">
        <v>16.67539</v>
      </c>
      <c r="O187" s="6">
        <v>16.67539</v>
      </c>
      <c r="P187" s="6">
        <v>0</v>
      </c>
      <c r="Q187" s="4" t="s">
        <v>26</v>
      </c>
      <c r="R187" s="4">
        <v>0</v>
      </c>
      <c r="S187" s="6">
        <v>0</v>
      </c>
      <c r="T187" s="6">
        <v>22</v>
      </c>
      <c r="U187" s="6">
        <v>84</v>
      </c>
      <c r="V187" s="6">
        <f>IF(ISERROR(VLOOKUP($S$187,'TAR FIN'!$A$1:$O$92,15,0)),0,VLOOKUP($S$187,'TAR FIN'!$A$1:$O$92,15,0))</f>
        <v>0</v>
      </c>
      <c r="W187" s="6">
        <f>IF(ISERROR(VLOOKUP($T$187,'TAR FIN'!$A$1:$O$92,15,0)),0,VLOOKUP($T$187,'TAR FIN'!$A$1:$O$92,15,0))</f>
        <v>73.28</v>
      </c>
      <c r="X187" s="6">
        <f>IF(ISERROR(VLOOKUP($U$187,'TAR FIN'!$A$1:$O$92,15,0)),0,VLOOKUP($U$187,'TAR FIN'!$A$1:$O$92,15,0))</f>
        <v>286.76</v>
      </c>
      <c r="Y187" s="6"/>
      <c r="Z187" s="6">
        <f ca="1">('TUSD BE'!$AM$16+'TUSD BF'!$AM$16+'TUSD CVA'!$AM$16)*1</f>
        <v>139.98967941887983</v>
      </c>
      <c r="AA187" s="6">
        <f>('TE BE'!$AB$8+'TE BF'!$AB$8+'TE CVA'!$AB$8)*1</f>
        <v>271.35516669689775</v>
      </c>
      <c r="AB187" s="6">
        <f>$K$187*$V$187</f>
        <v>0</v>
      </c>
      <c r="AC187" s="6">
        <f>$M$187*$W$187</f>
        <v>1221.9725791999999</v>
      </c>
      <c r="AD187" s="6">
        <f>$O$187*$X$187</f>
        <v>4781.8348364000003</v>
      </c>
      <c r="AE187" s="6">
        <f>$K$187*$Y$187</f>
        <v>0</v>
      </c>
      <c r="AF187" s="6">
        <f ca="1">$M$187*$Z$187</f>
        <v>2334.3825002847948</v>
      </c>
      <c r="AG187" s="6">
        <f>$O$187*$AA$187</f>
        <v>4524.9532331857818</v>
      </c>
    </row>
    <row r="188" spans="1:33" ht="11.25" hidden="1" customHeight="1" x14ac:dyDescent="0.3">
      <c r="A188" s="4" t="s">
        <v>21</v>
      </c>
      <c r="B188" s="4" t="s">
        <v>34</v>
      </c>
      <c r="C188" s="4" t="s">
        <v>35</v>
      </c>
      <c r="D188" s="4" t="s">
        <v>33</v>
      </c>
      <c r="E188" s="4" t="s">
        <v>25</v>
      </c>
      <c r="F188" s="4" t="s">
        <v>25</v>
      </c>
      <c r="G188" s="4" t="s">
        <v>25</v>
      </c>
      <c r="H188" s="4" t="s">
        <v>37</v>
      </c>
      <c r="I188" s="5">
        <v>44501</v>
      </c>
      <c r="J188" s="6">
        <v>0</v>
      </c>
      <c r="K188" s="6">
        <v>0</v>
      </c>
      <c r="L188" s="6">
        <v>177.07300000000001</v>
      </c>
      <c r="M188" s="6">
        <v>177.07300000000001</v>
      </c>
      <c r="N188" s="6">
        <v>177.07300000000001</v>
      </c>
      <c r="O188" s="6">
        <v>177.07300000000001</v>
      </c>
      <c r="P188" s="6">
        <v>0</v>
      </c>
      <c r="Q188" s="4" t="s">
        <v>26</v>
      </c>
      <c r="R188" s="4">
        <v>0</v>
      </c>
      <c r="S188" s="6">
        <v>0</v>
      </c>
      <c r="T188" s="6">
        <v>22</v>
      </c>
      <c r="U188" s="6">
        <v>84</v>
      </c>
      <c r="V188" s="6">
        <f>IF(ISERROR(VLOOKUP($S$188,'TAR FIN'!$A$1:$O$92,15,0)),0,VLOOKUP($S$188,'TAR FIN'!$A$1:$O$92,15,0))</f>
        <v>0</v>
      </c>
      <c r="W188" s="6">
        <f>IF(ISERROR(VLOOKUP($T$188,'TAR FIN'!$A$1:$O$92,15,0)),0,VLOOKUP($T$188,'TAR FIN'!$A$1:$O$92,15,0))</f>
        <v>73.28</v>
      </c>
      <c r="X188" s="6">
        <f>IF(ISERROR(VLOOKUP($U$188,'TAR FIN'!$A$1:$O$92,15,0)),0,VLOOKUP($U$188,'TAR FIN'!$A$1:$O$92,15,0))</f>
        <v>286.76</v>
      </c>
      <c r="Y188" s="6"/>
      <c r="Z188" s="6">
        <f ca="1">('TUSD BE'!$AM$16+'TUSD BF'!$AM$16+'TUSD CVA'!$AM$16)*1</f>
        <v>139.98967941887983</v>
      </c>
      <c r="AA188" s="6">
        <f>('TE BE'!$AB$8+'TE BF'!$AB$8+'TE CVA'!$AB$8)*1</f>
        <v>271.35516669689775</v>
      </c>
      <c r="AB188" s="6">
        <f>$K$188*$V$188</f>
        <v>0</v>
      </c>
      <c r="AC188" s="6">
        <f>$M$188*$W$188</f>
        <v>12975.909440000001</v>
      </c>
      <c r="AD188" s="6">
        <f>$O$188*$X$188</f>
        <v>50777.453480000004</v>
      </c>
      <c r="AE188" s="6">
        <f>$K$188*$Y$188</f>
        <v>0</v>
      </c>
      <c r="AF188" s="6">
        <f ca="1">$M$188*$Z$188</f>
        <v>24788.392503739309</v>
      </c>
      <c r="AG188" s="6">
        <f>$O$188*$AA$188</f>
        <v>48049.673432519776</v>
      </c>
    </row>
    <row r="189" spans="1:33" ht="11.25" hidden="1" customHeight="1" x14ac:dyDescent="0.3">
      <c r="A189" s="4" t="s">
        <v>27</v>
      </c>
      <c r="B189" s="4" t="s">
        <v>34</v>
      </c>
      <c r="C189" s="4" t="s">
        <v>35</v>
      </c>
      <c r="D189" s="4" t="s">
        <v>33</v>
      </c>
      <c r="E189" s="4" t="s">
        <v>25</v>
      </c>
      <c r="F189" s="4" t="s">
        <v>25</v>
      </c>
      <c r="G189" s="4" t="s">
        <v>25</v>
      </c>
      <c r="H189" s="4" t="s">
        <v>37</v>
      </c>
      <c r="I189" s="5">
        <v>44501</v>
      </c>
      <c r="J189" s="6">
        <v>0</v>
      </c>
      <c r="K189" s="6">
        <v>0</v>
      </c>
      <c r="L189" s="6">
        <v>10.463290000000001</v>
      </c>
      <c r="M189" s="6">
        <v>10.463290000000001</v>
      </c>
      <c r="N189" s="6">
        <v>10.463290000000001</v>
      </c>
      <c r="O189" s="6">
        <v>10.463290000000001</v>
      </c>
      <c r="P189" s="6">
        <v>0</v>
      </c>
      <c r="Q189" s="4" t="s">
        <v>26</v>
      </c>
      <c r="R189" s="4">
        <v>0</v>
      </c>
      <c r="S189" s="6">
        <v>0</v>
      </c>
      <c r="T189" s="6">
        <v>22</v>
      </c>
      <c r="U189" s="6">
        <v>84</v>
      </c>
      <c r="V189" s="6">
        <f>IF(ISERROR(VLOOKUP($S$189,'TAR FIN'!$A$1:$O$92,15,0)),0,VLOOKUP($S$189,'TAR FIN'!$A$1:$O$92,15,0))</f>
        <v>0</v>
      </c>
      <c r="W189" s="6">
        <f>IF(ISERROR(VLOOKUP($T$189,'TAR FIN'!$A$1:$O$92,15,0)),0,VLOOKUP($T$189,'TAR FIN'!$A$1:$O$92,15,0))</f>
        <v>73.28</v>
      </c>
      <c r="X189" s="6">
        <f>IF(ISERROR(VLOOKUP($U$189,'TAR FIN'!$A$1:$O$92,15,0)),0,VLOOKUP($U$189,'TAR FIN'!$A$1:$O$92,15,0))</f>
        <v>286.76</v>
      </c>
      <c r="Y189" s="6"/>
      <c r="Z189" s="6">
        <f ca="1">('TUSD BE'!$AM$16+'TUSD BF'!$AM$16+'TUSD CVA'!$AM$16)*1</f>
        <v>139.98967941887983</v>
      </c>
      <c r="AA189" s="6">
        <f>('TE BE'!$AB$8+'TE BF'!$AB$8+'TE CVA'!$AB$8)*1</f>
        <v>271.35516669689775</v>
      </c>
      <c r="AB189" s="6">
        <f>$K$189*$V$189</f>
        <v>0</v>
      </c>
      <c r="AC189" s="6">
        <f>$M$189*$W$189</f>
        <v>766.74989120000009</v>
      </c>
      <c r="AD189" s="6">
        <f>$O$189*$X$189</f>
        <v>3000.4530404000002</v>
      </c>
      <c r="AE189" s="6">
        <f>$K$189*$Y$189</f>
        <v>0</v>
      </c>
      <c r="AF189" s="6">
        <f ca="1">$M$189*$Z$189</f>
        <v>1464.7526127667713</v>
      </c>
      <c r="AG189" s="6">
        <f>$O$189*$AA$189</f>
        <v>2839.2678021479833</v>
      </c>
    </row>
    <row r="190" spans="1:33" ht="11.25" hidden="1" customHeight="1" x14ac:dyDescent="0.3">
      <c r="A190" s="4" t="s">
        <v>21</v>
      </c>
      <c r="B190" s="4" t="s">
        <v>34</v>
      </c>
      <c r="C190" s="4" t="s">
        <v>35</v>
      </c>
      <c r="D190" s="4" t="s">
        <v>33</v>
      </c>
      <c r="E190" s="4" t="s">
        <v>25</v>
      </c>
      <c r="F190" s="4" t="s">
        <v>25</v>
      </c>
      <c r="G190" s="4" t="s">
        <v>25</v>
      </c>
      <c r="H190" s="4" t="s">
        <v>37</v>
      </c>
      <c r="I190" s="5">
        <v>44531</v>
      </c>
      <c r="J190" s="6">
        <v>0</v>
      </c>
      <c r="K190" s="6">
        <v>0</v>
      </c>
      <c r="L190" s="6">
        <v>169.011</v>
      </c>
      <c r="M190" s="6">
        <v>169.011</v>
      </c>
      <c r="N190" s="6">
        <v>169.011</v>
      </c>
      <c r="O190" s="6">
        <v>169.011</v>
      </c>
      <c r="P190" s="6">
        <v>0</v>
      </c>
      <c r="Q190" s="4" t="s">
        <v>26</v>
      </c>
      <c r="R190" s="4">
        <v>0</v>
      </c>
      <c r="S190" s="6">
        <v>0</v>
      </c>
      <c r="T190" s="6">
        <v>22</v>
      </c>
      <c r="U190" s="6">
        <v>84</v>
      </c>
      <c r="V190" s="6">
        <f>IF(ISERROR(VLOOKUP($S$190,'TAR FIN'!$A$1:$O$92,15,0)),0,VLOOKUP($S$190,'TAR FIN'!$A$1:$O$92,15,0))</f>
        <v>0</v>
      </c>
      <c r="W190" s="6">
        <f>IF(ISERROR(VLOOKUP($T$190,'TAR FIN'!$A$1:$O$92,15,0)),0,VLOOKUP($T$190,'TAR FIN'!$A$1:$O$92,15,0))</f>
        <v>73.28</v>
      </c>
      <c r="X190" s="6">
        <f>IF(ISERROR(VLOOKUP($U$190,'TAR FIN'!$A$1:$O$92,15,0)),0,VLOOKUP($U$190,'TAR FIN'!$A$1:$O$92,15,0))</f>
        <v>286.76</v>
      </c>
      <c r="Y190" s="6"/>
      <c r="Z190" s="6">
        <f ca="1">('TUSD BE'!$AM$16+'TUSD BF'!$AM$16+'TUSD CVA'!$AM$16)*1</f>
        <v>139.98967941887983</v>
      </c>
      <c r="AA190" s="6">
        <f>('TE BE'!$AB$8+'TE BF'!$AB$8+'TE CVA'!$AB$8)*1</f>
        <v>271.35516669689775</v>
      </c>
      <c r="AB190" s="6">
        <f>$K$190*$V$190</f>
        <v>0</v>
      </c>
      <c r="AC190" s="6">
        <f>$M$190*$W$190</f>
        <v>12385.12608</v>
      </c>
      <c r="AD190" s="6">
        <f>$O$190*$X$190</f>
        <v>48465.594359999996</v>
      </c>
      <c r="AE190" s="6">
        <f>$K$190*$Y$190</f>
        <v>0</v>
      </c>
      <c r="AF190" s="6">
        <f ca="1">$M$190*$Z$190</f>
        <v>23659.795708264297</v>
      </c>
      <c r="AG190" s="6">
        <f>$O$190*$AA$190</f>
        <v>45862.008078609382</v>
      </c>
    </row>
    <row r="191" spans="1:33" ht="11.25" hidden="1" customHeight="1" x14ac:dyDescent="0.3">
      <c r="A191" s="4" t="s">
        <v>27</v>
      </c>
      <c r="B191" s="4" t="s">
        <v>34</v>
      </c>
      <c r="C191" s="4" t="s">
        <v>35</v>
      </c>
      <c r="D191" s="4" t="s">
        <v>33</v>
      </c>
      <c r="E191" s="4" t="s">
        <v>25</v>
      </c>
      <c r="F191" s="4" t="s">
        <v>25</v>
      </c>
      <c r="G191" s="4" t="s">
        <v>25</v>
      </c>
      <c r="H191" s="4" t="s">
        <v>37</v>
      </c>
      <c r="I191" s="5">
        <v>44531</v>
      </c>
      <c r="J191" s="6">
        <v>0</v>
      </c>
      <c r="K191" s="6">
        <v>0</v>
      </c>
      <c r="L191" s="6">
        <v>1.3240000000000001</v>
      </c>
      <c r="M191" s="6">
        <v>1.3240000000000001</v>
      </c>
      <c r="N191" s="6">
        <v>1.3240000000000001</v>
      </c>
      <c r="O191" s="6">
        <v>1.3240000000000001</v>
      </c>
      <c r="P191" s="6">
        <v>0</v>
      </c>
      <c r="Q191" s="4" t="s">
        <v>26</v>
      </c>
      <c r="R191" s="4">
        <v>0</v>
      </c>
      <c r="S191" s="6">
        <v>0</v>
      </c>
      <c r="T191" s="6">
        <v>22</v>
      </c>
      <c r="U191" s="6">
        <v>84</v>
      </c>
      <c r="V191" s="6">
        <f>IF(ISERROR(VLOOKUP($S$191,'TAR FIN'!$A$1:$O$92,15,0)),0,VLOOKUP($S$191,'TAR FIN'!$A$1:$O$92,15,0))</f>
        <v>0</v>
      </c>
      <c r="W191" s="6">
        <f>IF(ISERROR(VLOOKUP($T$191,'TAR FIN'!$A$1:$O$92,15,0)),0,VLOOKUP($T$191,'TAR FIN'!$A$1:$O$92,15,0))</f>
        <v>73.28</v>
      </c>
      <c r="X191" s="6">
        <f>IF(ISERROR(VLOOKUP($U$191,'TAR FIN'!$A$1:$O$92,15,0)),0,VLOOKUP($U$191,'TAR FIN'!$A$1:$O$92,15,0))</f>
        <v>286.76</v>
      </c>
      <c r="Y191" s="6"/>
      <c r="Z191" s="6">
        <f ca="1">('TUSD BE'!$AM$16+'TUSD BF'!$AM$16+'TUSD CVA'!$AM$16)*1</f>
        <v>139.98967941887983</v>
      </c>
      <c r="AA191" s="6">
        <f>('TE BE'!$AB$8+'TE BF'!$AB$8+'TE CVA'!$AB$8)*1</f>
        <v>271.35516669689775</v>
      </c>
      <c r="AB191" s="6">
        <f>$K$191*$V$191</f>
        <v>0</v>
      </c>
      <c r="AC191" s="6">
        <f>$M$191*$W$191</f>
        <v>97.022720000000007</v>
      </c>
      <c r="AD191" s="6">
        <f>$O$191*$X$191</f>
        <v>379.67023999999998</v>
      </c>
      <c r="AE191" s="6">
        <f>$K$191*$Y$191</f>
        <v>0</v>
      </c>
      <c r="AF191" s="6">
        <f ca="1">$M$191*$Z$191</f>
        <v>185.3463355505969</v>
      </c>
      <c r="AG191" s="6">
        <f>$O$191*$AA$191</f>
        <v>359.27424070669264</v>
      </c>
    </row>
    <row r="192" spans="1:33" ht="11.25" hidden="1" customHeight="1" x14ac:dyDescent="0.3">
      <c r="A192" s="4" t="s">
        <v>21</v>
      </c>
      <c r="B192" s="4" t="s">
        <v>34</v>
      </c>
      <c r="C192" s="4" t="s">
        <v>35</v>
      </c>
      <c r="D192" s="4" t="s">
        <v>33</v>
      </c>
      <c r="E192" s="4" t="s">
        <v>25</v>
      </c>
      <c r="F192" s="4" t="s">
        <v>25</v>
      </c>
      <c r="G192" s="4" t="s">
        <v>25</v>
      </c>
      <c r="H192" s="4" t="s">
        <v>37</v>
      </c>
      <c r="I192" s="5">
        <v>44562</v>
      </c>
      <c r="J192" s="6">
        <v>0</v>
      </c>
      <c r="K192" s="6">
        <v>0</v>
      </c>
      <c r="L192" s="6">
        <v>172.00299999999999</v>
      </c>
      <c r="M192" s="6">
        <v>172.00299999999999</v>
      </c>
      <c r="N192" s="6">
        <v>172.00299999999999</v>
      </c>
      <c r="O192" s="6">
        <v>172.00299999999999</v>
      </c>
      <c r="P192" s="6">
        <v>0</v>
      </c>
      <c r="Q192" s="4" t="s">
        <v>26</v>
      </c>
      <c r="R192" s="4">
        <v>0</v>
      </c>
      <c r="S192" s="6">
        <v>0</v>
      </c>
      <c r="T192" s="6">
        <v>22</v>
      </c>
      <c r="U192" s="6">
        <v>84</v>
      </c>
      <c r="V192" s="6">
        <f>IF(ISERROR(VLOOKUP($S$192,'TAR FIN'!$A$1:$O$92,15,0)),0,VLOOKUP($S$192,'TAR FIN'!$A$1:$O$92,15,0))</f>
        <v>0</v>
      </c>
      <c r="W192" s="6">
        <f>IF(ISERROR(VLOOKUP($T$192,'TAR FIN'!$A$1:$O$92,15,0)),0,VLOOKUP($T$192,'TAR FIN'!$A$1:$O$92,15,0))</f>
        <v>73.28</v>
      </c>
      <c r="X192" s="6">
        <f>IF(ISERROR(VLOOKUP($U$192,'TAR FIN'!$A$1:$O$92,15,0)),0,VLOOKUP($U$192,'TAR FIN'!$A$1:$O$92,15,0))</f>
        <v>286.76</v>
      </c>
      <c r="Y192" s="6"/>
      <c r="Z192" s="6">
        <f ca="1">('TUSD BE'!$AM$16+'TUSD BF'!$AM$16+'TUSD CVA'!$AM$16)*1</f>
        <v>139.98967941887983</v>
      </c>
      <c r="AA192" s="6">
        <f>('TE BE'!$AB$8+'TE BF'!$AB$8+'TE CVA'!$AB$8)*1</f>
        <v>271.35516669689775</v>
      </c>
      <c r="AB192" s="6">
        <f>$K$192*$V$192</f>
        <v>0</v>
      </c>
      <c r="AC192" s="6">
        <f>$M$192*$W$192</f>
        <v>12604.37984</v>
      </c>
      <c r="AD192" s="6">
        <f>$O$192*$X$192</f>
        <v>49323.580279999995</v>
      </c>
      <c r="AE192" s="6">
        <f>$K$192*$Y$192</f>
        <v>0</v>
      </c>
      <c r="AF192" s="6">
        <f ca="1">$M$192*$Z$192</f>
        <v>24078.644829085584</v>
      </c>
      <c r="AG192" s="6">
        <f>$O$192*$AA$192</f>
        <v>46673.902737366501</v>
      </c>
    </row>
    <row r="193" spans="1:33" ht="11.25" hidden="1" customHeight="1" x14ac:dyDescent="0.3">
      <c r="A193" s="4" t="s">
        <v>27</v>
      </c>
      <c r="B193" s="4" t="s">
        <v>34</v>
      </c>
      <c r="C193" s="4" t="s">
        <v>35</v>
      </c>
      <c r="D193" s="4" t="s">
        <v>33</v>
      </c>
      <c r="E193" s="4" t="s">
        <v>25</v>
      </c>
      <c r="F193" s="4" t="s">
        <v>25</v>
      </c>
      <c r="G193" s="4" t="s">
        <v>25</v>
      </c>
      <c r="H193" s="4" t="s">
        <v>37</v>
      </c>
      <c r="I193" s="5">
        <v>44562</v>
      </c>
      <c r="J193" s="6">
        <v>0</v>
      </c>
      <c r="K193" s="6">
        <v>0</v>
      </c>
      <c r="L193" s="6">
        <v>3.63</v>
      </c>
      <c r="M193" s="6">
        <v>3.63</v>
      </c>
      <c r="N193" s="6">
        <v>3.63</v>
      </c>
      <c r="O193" s="6">
        <v>3.63</v>
      </c>
      <c r="P193" s="6">
        <v>0</v>
      </c>
      <c r="Q193" s="4" t="s">
        <v>26</v>
      </c>
      <c r="R193" s="4">
        <v>0</v>
      </c>
      <c r="S193" s="6">
        <v>0</v>
      </c>
      <c r="T193" s="6">
        <v>22</v>
      </c>
      <c r="U193" s="6">
        <v>84</v>
      </c>
      <c r="V193" s="6">
        <f>IF(ISERROR(VLOOKUP($S$193,'TAR FIN'!$A$1:$O$92,15,0)),0,VLOOKUP($S$193,'TAR FIN'!$A$1:$O$92,15,0))</f>
        <v>0</v>
      </c>
      <c r="W193" s="6">
        <f>IF(ISERROR(VLOOKUP($T$193,'TAR FIN'!$A$1:$O$92,15,0)),0,VLOOKUP($T$193,'TAR FIN'!$A$1:$O$92,15,0))</f>
        <v>73.28</v>
      </c>
      <c r="X193" s="6">
        <f>IF(ISERROR(VLOOKUP($U$193,'TAR FIN'!$A$1:$O$92,15,0)),0,VLOOKUP($U$193,'TAR FIN'!$A$1:$O$92,15,0))</f>
        <v>286.76</v>
      </c>
      <c r="Y193" s="6"/>
      <c r="Z193" s="6">
        <f ca="1">('TUSD BE'!$AM$16+'TUSD BF'!$AM$16+'TUSD CVA'!$AM$16)*1</f>
        <v>139.98967941887983</v>
      </c>
      <c r="AA193" s="6">
        <f>('TE BE'!$AB$8+'TE BF'!$AB$8+'TE CVA'!$AB$8)*1</f>
        <v>271.35516669689775</v>
      </c>
      <c r="AB193" s="6">
        <f>$K$193*$V$193</f>
        <v>0</v>
      </c>
      <c r="AC193" s="6">
        <f>$M$193*$W$193</f>
        <v>266.00639999999999</v>
      </c>
      <c r="AD193" s="6">
        <f>$O$193*$X$193</f>
        <v>1040.9387999999999</v>
      </c>
      <c r="AE193" s="6">
        <f>$K$193*$Y$193</f>
        <v>0</v>
      </c>
      <c r="AF193" s="6">
        <f ca="1">$M$193*$Z$193</f>
        <v>508.16253629053375</v>
      </c>
      <c r="AG193" s="6">
        <f>$O$193*$AA$193</f>
        <v>985.01925510973876</v>
      </c>
    </row>
    <row r="194" spans="1:33" ht="11.25" hidden="1" customHeight="1" x14ac:dyDescent="0.3">
      <c r="A194" s="4" t="s">
        <v>21</v>
      </c>
      <c r="B194" s="4" t="s">
        <v>34</v>
      </c>
      <c r="C194" s="4" t="s">
        <v>35</v>
      </c>
      <c r="D194" s="4" t="s">
        <v>33</v>
      </c>
      <c r="E194" s="4" t="s">
        <v>25</v>
      </c>
      <c r="F194" s="4" t="s">
        <v>25</v>
      </c>
      <c r="G194" s="4" t="s">
        <v>25</v>
      </c>
      <c r="H194" s="4" t="s">
        <v>37</v>
      </c>
      <c r="I194" s="5">
        <v>44593</v>
      </c>
      <c r="J194" s="6">
        <v>0</v>
      </c>
      <c r="K194" s="6">
        <v>0</v>
      </c>
      <c r="L194" s="6">
        <v>165.65600000000001</v>
      </c>
      <c r="M194" s="6">
        <v>165.65600000000001</v>
      </c>
      <c r="N194" s="6">
        <v>165.65600000000001</v>
      </c>
      <c r="O194" s="6">
        <v>165.65600000000001</v>
      </c>
      <c r="P194" s="6">
        <v>0</v>
      </c>
      <c r="Q194" s="4" t="s">
        <v>26</v>
      </c>
      <c r="R194" s="4">
        <v>0</v>
      </c>
      <c r="S194" s="6">
        <v>0</v>
      </c>
      <c r="T194" s="6">
        <v>22</v>
      </c>
      <c r="U194" s="6">
        <v>84</v>
      </c>
      <c r="V194" s="6">
        <f>IF(ISERROR(VLOOKUP($S$194,'TAR FIN'!$A$1:$O$92,15,0)),0,VLOOKUP($S$194,'TAR FIN'!$A$1:$O$92,15,0))</f>
        <v>0</v>
      </c>
      <c r="W194" s="6">
        <f>IF(ISERROR(VLOOKUP($T$194,'TAR FIN'!$A$1:$O$92,15,0)),0,VLOOKUP($T$194,'TAR FIN'!$A$1:$O$92,15,0))</f>
        <v>73.28</v>
      </c>
      <c r="X194" s="6">
        <f>IF(ISERROR(VLOOKUP($U$194,'TAR FIN'!$A$1:$O$92,15,0)),0,VLOOKUP($U$194,'TAR FIN'!$A$1:$O$92,15,0))</f>
        <v>286.76</v>
      </c>
      <c r="Y194" s="6"/>
      <c r="Z194" s="6">
        <f ca="1">('TUSD BE'!$AM$16+'TUSD BF'!$AM$16+'TUSD CVA'!$AM$16)*1</f>
        <v>139.98967941887983</v>
      </c>
      <c r="AA194" s="6">
        <f>('TE BE'!$AB$8+'TE BF'!$AB$8+'TE CVA'!$AB$8)*1</f>
        <v>271.35516669689775</v>
      </c>
      <c r="AB194" s="6">
        <f>$K$194*$V$194</f>
        <v>0</v>
      </c>
      <c r="AC194" s="6">
        <f>$M$194*$W$194</f>
        <v>12139.27168</v>
      </c>
      <c r="AD194" s="6">
        <f>$O$194*$X$194</f>
        <v>47503.514560000003</v>
      </c>
      <c r="AE194" s="6">
        <f>$K$194*$Y$194</f>
        <v>0</v>
      </c>
      <c r="AF194" s="6">
        <f ca="1">$M$194*$Z$194</f>
        <v>23190.130333813959</v>
      </c>
      <c r="AG194" s="6">
        <f>$O$194*$AA$194</f>
        <v>44951.611494341298</v>
      </c>
    </row>
    <row r="195" spans="1:33" ht="11.25" hidden="1" customHeight="1" x14ac:dyDescent="0.3">
      <c r="A195" s="4" t="s">
        <v>27</v>
      </c>
      <c r="B195" s="4" t="s">
        <v>34</v>
      </c>
      <c r="C195" s="4" t="s">
        <v>35</v>
      </c>
      <c r="D195" s="4" t="s">
        <v>33</v>
      </c>
      <c r="E195" s="4" t="s">
        <v>25</v>
      </c>
      <c r="F195" s="4" t="s">
        <v>25</v>
      </c>
      <c r="G195" s="4" t="s">
        <v>25</v>
      </c>
      <c r="H195" s="4" t="s">
        <v>37</v>
      </c>
      <c r="I195" s="5">
        <v>44593</v>
      </c>
      <c r="J195" s="6">
        <v>0</v>
      </c>
      <c r="K195" s="6">
        <v>0</v>
      </c>
      <c r="L195" s="6">
        <v>8.5209200000000003</v>
      </c>
      <c r="M195" s="6">
        <v>8.5209200000000003</v>
      </c>
      <c r="N195" s="6">
        <v>8.5209200000000003</v>
      </c>
      <c r="O195" s="6">
        <v>8.5209200000000003</v>
      </c>
      <c r="P195" s="6">
        <v>0</v>
      </c>
      <c r="Q195" s="4" t="s">
        <v>26</v>
      </c>
      <c r="R195" s="4">
        <v>0</v>
      </c>
      <c r="S195" s="6">
        <v>0</v>
      </c>
      <c r="T195" s="6">
        <v>22</v>
      </c>
      <c r="U195" s="6">
        <v>84</v>
      </c>
      <c r="V195" s="6">
        <f>IF(ISERROR(VLOOKUP($S$195,'TAR FIN'!$A$1:$O$92,15,0)),0,VLOOKUP($S$195,'TAR FIN'!$A$1:$O$92,15,0))</f>
        <v>0</v>
      </c>
      <c r="W195" s="6">
        <f>IF(ISERROR(VLOOKUP($T$195,'TAR FIN'!$A$1:$O$92,15,0)),0,VLOOKUP($T$195,'TAR FIN'!$A$1:$O$92,15,0))</f>
        <v>73.28</v>
      </c>
      <c r="X195" s="6">
        <f>IF(ISERROR(VLOOKUP($U$195,'TAR FIN'!$A$1:$O$92,15,0)),0,VLOOKUP($U$195,'TAR FIN'!$A$1:$O$92,15,0))</f>
        <v>286.76</v>
      </c>
      <c r="Y195" s="6"/>
      <c r="Z195" s="6">
        <f ca="1">('TUSD BE'!$AM$16+'TUSD BF'!$AM$16+'TUSD CVA'!$AM$16)*1</f>
        <v>139.98967941887983</v>
      </c>
      <c r="AA195" s="6">
        <f>('TE BE'!$AB$8+'TE BF'!$AB$8+'TE CVA'!$AB$8)*1</f>
        <v>271.35516669689775</v>
      </c>
      <c r="AB195" s="6">
        <f>$K$195*$V$195</f>
        <v>0</v>
      </c>
      <c r="AC195" s="6">
        <f>$M$195*$W$195</f>
        <v>624.41301759999999</v>
      </c>
      <c r="AD195" s="6">
        <f>$O$195*$X$195</f>
        <v>2443.4590192000001</v>
      </c>
      <c r="AE195" s="6">
        <f>$K$195*$Y$195</f>
        <v>0</v>
      </c>
      <c r="AF195" s="6">
        <f ca="1">$M$195*$Z$195</f>
        <v>1192.8408591539217</v>
      </c>
      <c r="AG195" s="6">
        <f>$O$195*$AA$195</f>
        <v>2312.1956670109303</v>
      </c>
    </row>
    <row r="196" spans="1:33" ht="11.25" hidden="1" customHeight="1" x14ac:dyDescent="0.3">
      <c r="A196" s="4" t="s">
        <v>21</v>
      </c>
      <c r="B196" s="4" t="s">
        <v>34</v>
      </c>
      <c r="C196" s="4" t="s">
        <v>35</v>
      </c>
      <c r="D196" s="4" t="s">
        <v>33</v>
      </c>
      <c r="E196" s="4" t="s">
        <v>25</v>
      </c>
      <c r="F196" s="4" t="s">
        <v>25</v>
      </c>
      <c r="G196" s="4" t="s">
        <v>25</v>
      </c>
      <c r="H196" s="4" t="s">
        <v>37</v>
      </c>
      <c r="I196" s="5">
        <v>44621</v>
      </c>
      <c r="J196" s="6">
        <v>0</v>
      </c>
      <c r="K196" s="6">
        <v>0</v>
      </c>
      <c r="L196" s="6">
        <v>188.005</v>
      </c>
      <c r="M196" s="6">
        <v>188.005</v>
      </c>
      <c r="N196" s="6">
        <v>188.005</v>
      </c>
      <c r="O196" s="6">
        <v>188.005</v>
      </c>
      <c r="P196" s="6">
        <v>0</v>
      </c>
      <c r="Q196" s="4" t="s">
        <v>26</v>
      </c>
      <c r="R196" s="4">
        <v>0</v>
      </c>
      <c r="S196" s="6">
        <v>0</v>
      </c>
      <c r="T196" s="6">
        <v>22</v>
      </c>
      <c r="U196" s="6">
        <v>84</v>
      </c>
      <c r="V196" s="6">
        <f>IF(ISERROR(VLOOKUP($S$196,'TAR FIN'!$A$1:$O$92,15,0)),0,VLOOKUP($S$196,'TAR FIN'!$A$1:$O$92,15,0))</f>
        <v>0</v>
      </c>
      <c r="W196" s="6">
        <f>IF(ISERROR(VLOOKUP($T$196,'TAR FIN'!$A$1:$O$92,15,0)),0,VLOOKUP($T$196,'TAR FIN'!$A$1:$O$92,15,0))</f>
        <v>73.28</v>
      </c>
      <c r="X196" s="6">
        <f>IF(ISERROR(VLOOKUP($U$196,'TAR FIN'!$A$1:$O$92,15,0)),0,VLOOKUP($U$196,'TAR FIN'!$A$1:$O$92,15,0))</f>
        <v>286.76</v>
      </c>
      <c r="Y196" s="6"/>
      <c r="Z196" s="6">
        <f ca="1">('TUSD BE'!$AM$16+'TUSD BF'!$AM$16+'TUSD CVA'!$AM$16)*1</f>
        <v>139.98967941887983</v>
      </c>
      <c r="AA196" s="6">
        <f>('TE BE'!$AB$8+'TE BF'!$AB$8+'TE CVA'!$AB$8)*1</f>
        <v>271.35516669689775</v>
      </c>
      <c r="AB196" s="6">
        <f>$K$196*$V$196</f>
        <v>0</v>
      </c>
      <c r="AC196" s="6">
        <f>$M$196*$W$196</f>
        <v>13777.0064</v>
      </c>
      <c r="AD196" s="6">
        <f>$O$196*$X$196</f>
        <v>53912.313799999996</v>
      </c>
      <c r="AE196" s="6">
        <f>$K$196*$Y$196</f>
        <v>0</v>
      </c>
      <c r="AF196" s="6">
        <f ca="1">$M$196*$Z$196</f>
        <v>26318.7596791465</v>
      </c>
      <c r="AG196" s="6">
        <f>$O$196*$AA$196</f>
        <v>51016.12811485026</v>
      </c>
    </row>
    <row r="197" spans="1:33" ht="11.25" hidden="1" customHeight="1" x14ac:dyDescent="0.3">
      <c r="A197" s="4" t="s">
        <v>27</v>
      </c>
      <c r="B197" s="4" t="s">
        <v>34</v>
      </c>
      <c r="C197" s="4" t="s">
        <v>35</v>
      </c>
      <c r="D197" s="4" t="s">
        <v>33</v>
      </c>
      <c r="E197" s="4" t="s">
        <v>25</v>
      </c>
      <c r="F197" s="4" t="s">
        <v>25</v>
      </c>
      <c r="G197" s="4" t="s">
        <v>25</v>
      </c>
      <c r="H197" s="4" t="s">
        <v>37</v>
      </c>
      <c r="I197" s="5">
        <v>44621</v>
      </c>
      <c r="J197" s="6">
        <v>0</v>
      </c>
      <c r="K197" s="6">
        <v>0</v>
      </c>
      <c r="L197" s="6">
        <v>20.262239999999998</v>
      </c>
      <c r="M197" s="6">
        <v>20.262239999999998</v>
      </c>
      <c r="N197" s="6">
        <v>20.262239999999998</v>
      </c>
      <c r="O197" s="6">
        <v>20.262239999999998</v>
      </c>
      <c r="P197" s="6">
        <v>0</v>
      </c>
      <c r="Q197" s="4" t="s">
        <v>26</v>
      </c>
      <c r="R197" s="4">
        <v>0</v>
      </c>
      <c r="S197" s="6">
        <v>0</v>
      </c>
      <c r="T197" s="6">
        <v>22</v>
      </c>
      <c r="U197" s="6">
        <v>84</v>
      </c>
      <c r="V197" s="6">
        <f>IF(ISERROR(VLOOKUP($S$197,'TAR FIN'!$A$1:$O$92,15,0)),0,VLOOKUP($S$197,'TAR FIN'!$A$1:$O$92,15,0))</f>
        <v>0</v>
      </c>
      <c r="W197" s="6">
        <f>IF(ISERROR(VLOOKUP($T$197,'TAR FIN'!$A$1:$O$92,15,0)),0,VLOOKUP($T$197,'TAR FIN'!$A$1:$O$92,15,0))</f>
        <v>73.28</v>
      </c>
      <c r="X197" s="6">
        <f>IF(ISERROR(VLOOKUP($U$197,'TAR FIN'!$A$1:$O$92,15,0)),0,VLOOKUP($U$197,'TAR FIN'!$A$1:$O$92,15,0))</f>
        <v>286.76</v>
      </c>
      <c r="Y197" s="6"/>
      <c r="Z197" s="6">
        <f ca="1">('TUSD BE'!$AM$16+'TUSD BF'!$AM$16+'TUSD CVA'!$AM$16)*1</f>
        <v>139.98967941887983</v>
      </c>
      <c r="AA197" s="6">
        <f>('TE BE'!$AB$8+'TE BF'!$AB$8+'TE CVA'!$AB$8)*1</f>
        <v>271.35516669689775</v>
      </c>
      <c r="AB197" s="6">
        <f>$K$197*$V$197</f>
        <v>0</v>
      </c>
      <c r="AC197" s="6">
        <f>$M$197*$W$197</f>
        <v>1484.8169472</v>
      </c>
      <c r="AD197" s="6">
        <f>$O$197*$X$197</f>
        <v>5810.3999423999994</v>
      </c>
      <c r="AE197" s="6">
        <f>$K$197*$Y$197</f>
        <v>0</v>
      </c>
      <c r="AF197" s="6">
        <f ca="1">$M$197*$Z$197</f>
        <v>2836.5044819084032</v>
      </c>
      <c r="AG197" s="6">
        <f>$O$197*$AA$197</f>
        <v>5498.263512852549</v>
      </c>
    </row>
    <row r="198" spans="1:33" ht="11.25" hidden="1" customHeight="1" x14ac:dyDescent="0.3">
      <c r="A198" s="4" t="s">
        <v>21</v>
      </c>
      <c r="B198" s="4" t="s">
        <v>34</v>
      </c>
      <c r="C198" s="4" t="s">
        <v>35</v>
      </c>
      <c r="D198" s="4" t="s">
        <v>33</v>
      </c>
      <c r="E198" s="4" t="s">
        <v>25</v>
      </c>
      <c r="F198" s="4" t="s">
        <v>25</v>
      </c>
      <c r="G198" s="4" t="s">
        <v>25</v>
      </c>
      <c r="H198" s="4" t="s">
        <v>37</v>
      </c>
      <c r="I198" s="5">
        <v>44652</v>
      </c>
      <c r="J198" s="6">
        <v>0</v>
      </c>
      <c r="K198" s="6">
        <v>0</v>
      </c>
      <c r="L198" s="6">
        <v>157.31800000000001</v>
      </c>
      <c r="M198" s="6">
        <v>157.31800000000001</v>
      </c>
      <c r="N198" s="6">
        <v>157.31800000000001</v>
      </c>
      <c r="O198" s="6">
        <v>157.31800000000001</v>
      </c>
      <c r="P198" s="6">
        <v>0</v>
      </c>
      <c r="Q198" s="4" t="s">
        <v>26</v>
      </c>
      <c r="R198" s="4">
        <v>0</v>
      </c>
      <c r="S198" s="6">
        <v>0</v>
      </c>
      <c r="T198" s="6">
        <v>22</v>
      </c>
      <c r="U198" s="6">
        <v>84</v>
      </c>
      <c r="V198" s="6">
        <f>IF(ISERROR(VLOOKUP($S$198,'TAR FIN'!$A$1:$O$92,15,0)),0,VLOOKUP($S$198,'TAR FIN'!$A$1:$O$92,15,0))</f>
        <v>0</v>
      </c>
      <c r="W198" s="6">
        <f>IF(ISERROR(VLOOKUP($T$198,'TAR FIN'!$A$1:$O$92,15,0)),0,VLOOKUP($T$198,'TAR FIN'!$A$1:$O$92,15,0))</f>
        <v>73.28</v>
      </c>
      <c r="X198" s="6">
        <f>IF(ISERROR(VLOOKUP($U$198,'TAR FIN'!$A$1:$O$92,15,0)),0,VLOOKUP($U$198,'TAR FIN'!$A$1:$O$92,15,0))</f>
        <v>286.76</v>
      </c>
      <c r="Y198" s="6"/>
      <c r="Z198" s="6">
        <f ca="1">('TUSD BE'!$AM$16+'TUSD BF'!$AM$16+'TUSD CVA'!$AM$16)*1</f>
        <v>139.98967941887983</v>
      </c>
      <c r="AA198" s="6">
        <f>('TE BE'!$AB$8+'TE BF'!$AB$8+'TE CVA'!$AB$8)*1</f>
        <v>271.35516669689775</v>
      </c>
      <c r="AB198" s="6">
        <f>$K$198*$V$198</f>
        <v>0</v>
      </c>
      <c r="AC198" s="6">
        <f>$M$198*$W$198</f>
        <v>11528.263040000002</v>
      </c>
      <c r="AD198" s="6">
        <f>$O$198*$X$198</f>
        <v>45112.509680000003</v>
      </c>
      <c r="AE198" s="6">
        <f>$K$198*$Y$198</f>
        <v>0</v>
      </c>
      <c r="AF198" s="6">
        <f ca="1">$M$198*$Z$198</f>
        <v>22022.896386819339</v>
      </c>
      <c r="AG198" s="6">
        <f>$O$198*$AA$198</f>
        <v>42689.052114422564</v>
      </c>
    </row>
    <row r="199" spans="1:33" ht="11.25" hidden="1" customHeight="1" x14ac:dyDescent="0.3">
      <c r="A199" s="4" t="s">
        <v>27</v>
      </c>
      <c r="B199" s="4" t="s">
        <v>34</v>
      </c>
      <c r="C199" s="4" t="s">
        <v>35</v>
      </c>
      <c r="D199" s="4" t="s">
        <v>33</v>
      </c>
      <c r="E199" s="4" t="s">
        <v>25</v>
      </c>
      <c r="F199" s="4" t="s">
        <v>25</v>
      </c>
      <c r="G199" s="4" t="s">
        <v>25</v>
      </c>
      <c r="H199" s="4" t="s">
        <v>37</v>
      </c>
      <c r="I199" s="5">
        <v>44652</v>
      </c>
      <c r="J199" s="6">
        <v>0</v>
      </c>
      <c r="K199" s="6">
        <v>0</v>
      </c>
      <c r="L199" s="6">
        <v>17.570340000000002</v>
      </c>
      <c r="M199" s="6">
        <v>17.570340000000002</v>
      </c>
      <c r="N199" s="6">
        <v>17.570340000000002</v>
      </c>
      <c r="O199" s="6">
        <v>17.570340000000002</v>
      </c>
      <c r="P199" s="6">
        <v>0</v>
      </c>
      <c r="Q199" s="4" t="s">
        <v>26</v>
      </c>
      <c r="R199" s="4">
        <v>0</v>
      </c>
      <c r="S199" s="6">
        <v>0</v>
      </c>
      <c r="T199" s="6">
        <v>22</v>
      </c>
      <c r="U199" s="6">
        <v>84</v>
      </c>
      <c r="V199" s="6">
        <f>IF(ISERROR(VLOOKUP($S$199,'TAR FIN'!$A$1:$O$92,15,0)),0,VLOOKUP($S$199,'TAR FIN'!$A$1:$O$92,15,0))</f>
        <v>0</v>
      </c>
      <c r="W199" s="6">
        <f>IF(ISERROR(VLOOKUP($T$199,'TAR FIN'!$A$1:$O$92,15,0)),0,VLOOKUP($T$199,'TAR FIN'!$A$1:$O$92,15,0))</f>
        <v>73.28</v>
      </c>
      <c r="X199" s="6">
        <f>IF(ISERROR(VLOOKUP($U$199,'TAR FIN'!$A$1:$O$92,15,0)),0,VLOOKUP($U$199,'TAR FIN'!$A$1:$O$92,15,0))</f>
        <v>286.76</v>
      </c>
      <c r="Y199" s="6"/>
      <c r="Z199" s="6">
        <f ca="1">('TUSD BE'!$AM$16+'TUSD BF'!$AM$16+'TUSD CVA'!$AM$16)*1</f>
        <v>139.98967941887983</v>
      </c>
      <c r="AA199" s="6">
        <f>('TE BE'!$AB$8+'TE BF'!$AB$8+'TE CVA'!$AB$8)*1</f>
        <v>271.35516669689775</v>
      </c>
      <c r="AB199" s="6">
        <f>$K$199*$V$199</f>
        <v>0</v>
      </c>
      <c r="AC199" s="6">
        <f>$M$199*$W$199</f>
        <v>1287.5545152000002</v>
      </c>
      <c r="AD199" s="6">
        <f>$O$199*$X$199</f>
        <v>5038.4706984000004</v>
      </c>
      <c r="AE199" s="6">
        <f>$K$199*$Y$199</f>
        <v>0</v>
      </c>
      <c r="AF199" s="6">
        <f ca="1">$M$199*$Z$199</f>
        <v>2459.6662638807211</v>
      </c>
      <c r="AG199" s="6">
        <f>$O$199*$AA$199</f>
        <v>4767.8025396211706</v>
      </c>
    </row>
    <row r="200" spans="1:33" ht="11.25" hidden="1" customHeight="1" x14ac:dyDescent="0.3">
      <c r="A200" s="4" t="s">
        <v>21</v>
      </c>
      <c r="B200" s="4" t="s">
        <v>34</v>
      </c>
      <c r="C200" s="4" t="s">
        <v>35</v>
      </c>
      <c r="D200" s="4" t="s">
        <v>33</v>
      </c>
      <c r="E200" s="4" t="s">
        <v>25</v>
      </c>
      <c r="F200" s="4" t="s">
        <v>25</v>
      </c>
      <c r="G200" s="4" t="s">
        <v>25</v>
      </c>
      <c r="H200" s="4" t="s">
        <v>37</v>
      </c>
      <c r="I200" s="5">
        <v>44682</v>
      </c>
      <c r="J200" s="6">
        <v>0</v>
      </c>
      <c r="K200" s="6">
        <v>0</v>
      </c>
      <c r="L200" s="6">
        <v>175.25800000000001</v>
      </c>
      <c r="M200" s="6">
        <v>175.25800000000001</v>
      </c>
      <c r="N200" s="6">
        <v>175.25800000000001</v>
      </c>
      <c r="O200" s="6">
        <v>175.25800000000001</v>
      </c>
      <c r="P200" s="6">
        <v>0</v>
      </c>
      <c r="Q200" s="4" t="s">
        <v>26</v>
      </c>
      <c r="R200" s="4">
        <v>0</v>
      </c>
      <c r="S200" s="6">
        <v>0</v>
      </c>
      <c r="T200" s="6">
        <v>22</v>
      </c>
      <c r="U200" s="6">
        <v>84</v>
      </c>
      <c r="V200" s="6">
        <f>IF(ISERROR(VLOOKUP($S$200,'TAR FIN'!$A$1:$O$92,15,0)),0,VLOOKUP($S$200,'TAR FIN'!$A$1:$O$92,15,0))</f>
        <v>0</v>
      </c>
      <c r="W200" s="6">
        <f>IF(ISERROR(VLOOKUP($T$200,'TAR FIN'!$A$1:$O$92,15,0)),0,VLOOKUP($T$200,'TAR FIN'!$A$1:$O$92,15,0))</f>
        <v>73.28</v>
      </c>
      <c r="X200" s="6">
        <f>IF(ISERROR(VLOOKUP($U$200,'TAR FIN'!$A$1:$O$92,15,0)),0,VLOOKUP($U$200,'TAR FIN'!$A$1:$O$92,15,0))</f>
        <v>286.76</v>
      </c>
      <c r="Y200" s="6"/>
      <c r="Z200" s="6">
        <f ca="1">('TUSD BE'!$AM$16+'TUSD BF'!$AM$16+'TUSD CVA'!$AM$16)*1</f>
        <v>139.98967941887983</v>
      </c>
      <c r="AA200" s="6">
        <f>('TE BE'!$AB$8+'TE BF'!$AB$8+'TE CVA'!$AB$8)*1</f>
        <v>271.35516669689775</v>
      </c>
      <c r="AB200" s="6">
        <f>$K$200*$V$200</f>
        <v>0</v>
      </c>
      <c r="AC200" s="6">
        <f>$M$200*$W$200</f>
        <v>12842.90624</v>
      </c>
      <c r="AD200" s="6">
        <f>$O$200*$X$200</f>
        <v>50256.984080000002</v>
      </c>
      <c r="AE200" s="6">
        <f>$K$200*$Y$200</f>
        <v>0</v>
      </c>
      <c r="AF200" s="6">
        <f ca="1">$M$200*$Z$200</f>
        <v>24534.311235594043</v>
      </c>
      <c r="AG200" s="6">
        <f>$O$200*$AA$200</f>
        <v>47557.163804964912</v>
      </c>
    </row>
    <row r="201" spans="1:33" ht="11.25" hidden="1" customHeight="1" x14ac:dyDescent="0.3">
      <c r="A201" s="4" t="s">
        <v>27</v>
      </c>
      <c r="B201" s="4" t="s">
        <v>34</v>
      </c>
      <c r="C201" s="4" t="s">
        <v>35</v>
      </c>
      <c r="D201" s="4" t="s">
        <v>33</v>
      </c>
      <c r="E201" s="4" t="s">
        <v>25</v>
      </c>
      <c r="F201" s="4" t="s">
        <v>25</v>
      </c>
      <c r="G201" s="4" t="s">
        <v>25</v>
      </c>
      <c r="H201" s="4" t="s">
        <v>37</v>
      </c>
      <c r="I201" s="5">
        <v>44682</v>
      </c>
      <c r="J201" s="6">
        <v>0</v>
      </c>
      <c r="K201" s="6">
        <v>0</v>
      </c>
      <c r="L201" s="6">
        <v>24.851900000000001</v>
      </c>
      <c r="M201" s="6">
        <v>24.851900000000001</v>
      </c>
      <c r="N201" s="6">
        <v>24.851900000000001</v>
      </c>
      <c r="O201" s="6">
        <v>24.851900000000001</v>
      </c>
      <c r="P201" s="6">
        <v>0</v>
      </c>
      <c r="Q201" s="4" t="s">
        <v>26</v>
      </c>
      <c r="R201" s="4">
        <v>0</v>
      </c>
      <c r="S201" s="6">
        <v>0</v>
      </c>
      <c r="T201" s="6">
        <v>22</v>
      </c>
      <c r="U201" s="6">
        <v>84</v>
      </c>
      <c r="V201" s="6">
        <f>IF(ISERROR(VLOOKUP($S$201,'TAR FIN'!$A$1:$O$92,15,0)),0,VLOOKUP($S$201,'TAR FIN'!$A$1:$O$92,15,0))</f>
        <v>0</v>
      </c>
      <c r="W201" s="6">
        <f>IF(ISERROR(VLOOKUP($T$201,'TAR FIN'!$A$1:$O$92,15,0)),0,VLOOKUP($T$201,'TAR FIN'!$A$1:$O$92,15,0))</f>
        <v>73.28</v>
      </c>
      <c r="X201" s="6">
        <f>IF(ISERROR(VLOOKUP($U$201,'TAR FIN'!$A$1:$O$92,15,0)),0,VLOOKUP($U$201,'TAR FIN'!$A$1:$O$92,15,0))</f>
        <v>286.76</v>
      </c>
      <c r="Y201" s="6"/>
      <c r="Z201" s="6">
        <f ca="1">('TUSD BE'!$AM$16+'TUSD BF'!$AM$16+'TUSD CVA'!$AM$16)*1</f>
        <v>139.98967941887983</v>
      </c>
      <c r="AA201" s="6">
        <f>('TE BE'!$AB$8+'TE BF'!$AB$8+'TE CVA'!$AB$8)*1</f>
        <v>271.35516669689775</v>
      </c>
      <c r="AB201" s="6">
        <f>$K$201*$V$201</f>
        <v>0</v>
      </c>
      <c r="AC201" s="6">
        <f>$M$201*$W$201</f>
        <v>1821.147232</v>
      </c>
      <c r="AD201" s="6">
        <f>$O$201*$X$201</f>
        <v>7126.5308439999999</v>
      </c>
      <c r="AE201" s="6">
        <f>$K$201*$Y$201</f>
        <v>0</v>
      </c>
      <c r="AF201" s="6">
        <f ca="1">$M$201*$Z$201</f>
        <v>3479.00951395006</v>
      </c>
      <c r="AG201" s="6">
        <f>$O$201*$AA$201</f>
        <v>6743.6914672346338</v>
      </c>
    </row>
    <row r="202" spans="1:33" ht="11.25" hidden="1" customHeight="1" x14ac:dyDescent="0.3">
      <c r="A202" s="4" t="s">
        <v>21</v>
      </c>
      <c r="B202" s="4" t="s">
        <v>34</v>
      </c>
      <c r="C202" s="4" t="s">
        <v>35</v>
      </c>
      <c r="D202" s="4" t="s">
        <v>33</v>
      </c>
      <c r="E202" s="4" t="s">
        <v>25</v>
      </c>
      <c r="F202" s="4" t="s">
        <v>25</v>
      </c>
      <c r="G202" s="4" t="s">
        <v>25</v>
      </c>
      <c r="H202" s="4" t="s">
        <v>37</v>
      </c>
      <c r="I202" s="5">
        <v>44713</v>
      </c>
      <c r="J202" s="6">
        <v>0</v>
      </c>
      <c r="K202" s="6">
        <v>0</v>
      </c>
      <c r="L202" s="6">
        <v>157.922</v>
      </c>
      <c r="M202" s="6">
        <v>157.922</v>
      </c>
      <c r="N202" s="6">
        <v>157.922</v>
      </c>
      <c r="O202" s="6">
        <v>157.922</v>
      </c>
      <c r="P202" s="6">
        <v>0</v>
      </c>
      <c r="Q202" s="4" t="s">
        <v>26</v>
      </c>
      <c r="R202" s="4">
        <v>0</v>
      </c>
      <c r="S202" s="6">
        <v>0</v>
      </c>
      <c r="T202" s="6">
        <v>22</v>
      </c>
      <c r="U202" s="6">
        <v>84</v>
      </c>
      <c r="V202" s="6">
        <f>IF(ISERROR(VLOOKUP($S$202,'TAR FIN'!$A$1:$O$92,15,0)),0,VLOOKUP($S$202,'TAR FIN'!$A$1:$O$92,15,0))</f>
        <v>0</v>
      </c>
      <c r="W202" s="6">
        <f>IF(ISERROR(VLOOKUP($T$202,'TAR FIN'!$A$1:$O$92,15,0)),0,VLOOKUP($T$202,'TAR FIN'!$A$1:$O$92,15,0))</f>
        <v>73.28</v>
      </c>
      <c r="X202" s="6">
        <f>IF(ISERROR(VLOOKUP($U$202,'TAR FIN'!$A$1:$O$92,15,0)),0,VLOOKUP($U$202,'TAR FIN'!$A$1:$O$92,15,0))</f>
        <v>286.76</v>
      </c>
      <c r="Y202" s="6"/>
      <c r="Z202" s="6">
        <f ca="1">('TUSD BE'!$AM$16+'TUSD BF'!$AM$16+'TUSD CVA'!$AM$16)*1</f>
        <v>139.98967941887983</v>
      </c>
      <c r="AA202" s="6">
        <f>('TE BE'!$AB$8+'TE BF'!$AB$8+'TE CVA'!$AB$8)*1</f>
        <v>271.35516669689775</v>
      </c>
      <c r="AB202" s="6">
        <f>$K$202*$V$202</f>
        <v>0</v>
      </c>
      <c r="AC202" s="6">
        <f>$M$202*$W$202</f>
        <v>11572.524160000001</v>
      </c>
      <c r="AD202" s="6">
        <f>$O$202*$X$202</f>
        <v>45285.712719999996</v>
      </c>
      <c r="AE202" s="6">
        <f>$K$202*$Y$202</f>
        <v>0</v>
      </c>
      <c r="AF202" s="6">
        <f ca="1">$M$202*$Z$202</f>
        <v>22107.45015318834</v>
      </c>
      <c r="AG202" s="6">
        <f>$O$202*$AA$202</f>
        <v>42852.950635107489</v>
      </c>
    </row>
    <row r="203" spans="1:33" ht="11.25" hidden="1" customHeight="1" x14ac:dyDescent="0.3">
      <c r="A203" s="4" t="s">
        <v>27</v>
      </c>
      <c r="B203" s="4" t="s">
        <v>34</v>
      </c>
      <c r="C203" s="4" t="s">
        <v>35</v>
      </c>
      <c r="D203" s="4" t="s">
        <v>33</v>
      </c>
      <c r="E203" s="4" t="s">
        <v>25</v>
      </c>
      <c r="F203" s="4" t="s">
        <v>25</v>
      </c>
      <c r="G203" s="4" t="s">
        <v>25</v>
      </c>
      <c r="H203" s="4" t="s">
        <v>37</v>
      </c>
      <c r="I203" s="5">
        <v>44713</v>
      </c>
      <c r="J203" s="6">
        <v>0</v>
      </c>
      <c r="K203" s="6">
        <v>0</v>
      </c>
      <c r="L203" s="6">
        <v>26.805409999999998</v>
      </c>
      <c r="M203" s="6">
        <v>26.805409999999998</v>
      </c>
      <c r="N203" s="6">
        <v>26.805409999999998</v>
      </c>
      <c r="O203" s="6">
        <v>26.805409999999998</v>
      </c>
      <c r="P203" s="6">
        <v>0</v>
      </c>
      <c r="Q203" s="4" t="s">
        <v>26</v>
      </c>
      <c r="R203" s="4">
        <v>0</v>
      </c>
      <c r="S203" s="6">
        <v>0</v>
      </c>
      <c r="T203" s="6">
        <v>22</v>
      </c>
      <c r="U203" s="6">
        <v>84</v>
      </c>
      <c r="V203" s="6">
        <f>IF(ISERROR(VLOOKUP($S$203,'TAR FIN'!$A$1:$O$92,15,0)),0,VLOOKUP($S$203,'TAR FIN'!$A$1:$O$92,15,0))</f>
        <v>0</v>
      </c>
      <c r="W203" s="6">
        <f>IF(ISERROR(VLOOKUP($T$203,'TAR FIN'!$A$1:$O$92,15,0)),0,VLOOKUP($T$203,'TAR FIN'!$A$1:$O$92,15,0))</f>
        <v>73.28</v>
      </c>
      <c r="X203" s="6">
        <f>IF(ISERROR(VLOOKUP($U$203,'TAR FIN'!$A$1:$O$92,15,0)),0,VLOOKUP($U$203,'TAR FIN'!$A$1:$O$92,15,0))</f>
        <v>286.76</v>
      </c>
      <c r="Y203" s="6"/>
      <c r="Z203" s="6">
        <f ca="1">('TUSD BE'!$AM$16+'TUSD BF'!$AM$16+'TUSD CVA'!$AM$16)*1</f>
        <v>139.98967941887983</v>
      </c>
      <c r="AA203" s="6">
        <f>('TE BE'!$AB$8+'TE BF'!$AB$8+'TE CVA'!$AB$8)*1</f>
        <v>271.35516669689775</v>
      </c>
      <c r="AB203" s="6">
        <f>$K$203*$V$203</f>
        <v>0</v>
      </c>
      <c r="AC203" s="6">
        <f>$M$203*$W$203</f>
        <v>1964.3004447999999</v>
      </c>
      <c r="AD203" s="6">
        <f>$O$203*$X$203</f>
        <v>7686.7193715999992</v>
      </c>
      <c r="AE203" s="6">
        <f>$K$203*$Y$203</f>
        <v>0</v>
      </c>
      <c r="AF203" s="6">
        <f ca="1">$M$203*$Z$203</f>
        <v>3752.4807525916353</v>
      </c>
      <c r="AG203" s="6">
        <f>$O$203*$AA$203</f>
        <v>7273.78649892869</v>
      </c>
    </row>
    <row r="204" spans="1:33" ht="11.25" hidden="1" customHeight="1" x14ac:dyDescent="0.3">
      <c r="A204" s="4" t="s">
        <v>21</v>
      </c>
      <c r="B204" s="4" t="s">
        <v>34</v>
      </c>
      <c r="C204" s="4" t="s">
        <v>35</v>
      </c>
      <c r="D204" s="4" t="s">
        <v>33</v>
      </c>
      <c r="E204" s="4" t="s">
        <v>25</v>
      </c>
      <c r="F204" s="4" t="s">
        <v>25</v>
      </c>
      <c r="G204" s="4" t="s">
        <v>25</v>
      </c>
      <c r="H204" s="4" t="s">
        <v>37</v>
      </c>
      <c r="I204" s="5">
        <v>44743</v>
      </c>
      <c r="J204" s="6">
        <v>0</v>
      </c>
      <c r="K204" s="6">
        <v>0</v>
      </c>
      <c r="L204" s="6">
        <v>153.59897000000001</v>
      </c>
      <c r="M204" s="6">
        <v>153.59897000000001</v>
      </c>
      <c r="N204" s="6">
        <v>153.59897000000001</v>
      </c>
      <c r="O204" s="6">
        <v>153.59897000000001</v>
      </c>
      <c r="P204" s="6">
        <v>0</v>
      </c>
      <c r="Q204" s="4" t="s">
        <v>26</v>
      </c>
      <c r="R204" s="4">
        <v>0</v>
      </c>
      <c r="S204" s="6">
        <v>0</v>
      </c>
      <c r="T204" s="6">
        <v>22</v>
      </c>
      <c r="U204" s="6">
        <v>84</v>
      </c>
      <c r="V204" s="6">
        <f>IF(ISERROR(VLOOKUP($S$204,'TAR FIN'!$A$1:$O$92,15,0)),0,VLOOKUP($S$204,'TAR FIN'!$A$1:$O$92,15,0))</f>
        <v>0</v>
      </c>
      <c r="W204" s="6">
        <f>IF(ISERROR(VLOOKUP($T$204,'TAR FIN'!$A$1:$O$92,15,0)),0,VLOOKUP($T$204,'TAR FIN'!$A$1:$O$92,15,0))</f>
        <v>73.28</v>
      </c>
      <c r="X204" s="6">
        <f>IF(ISERROR(VLOOKUP($U$204,'TAR FIN'!$A$1:$O$92,15,0)),0,VLOOKUP($U$204,'TAR FIN'!$A$1:$O$92,15,0))</f>
        <v>286.76</v>
      </c>
      <c r="Y204" s="6"/>
      <c r="Z204" s="6">
        <f ca="1">('TUSD BE'!$AM$16+'TUSD BF'!$AM$16+'TUSD CVA'!$AM$16)*1</f>
        <v>139.98967941887983</v>
      </c>
      <c r="AA204" s="6">
        <f>('TE BE'!$AB$8+'TE BF'!$AB$8+'TE CVA'!$AB$8)*1</f>
        <v>271.35516669689775</v>
      </c>
      <c r="AB204" s="6">
        <f>$K$204*$V$204</f>
        <v>0</v>
      </c>
      <c r="AC204" s="6">
        <f>$M$204*$W$204</f>
        <v>11255.732521600001</v>
      </c>
      <c r="AD204" s="6">
        <f>$O$204*$X$204</f>
        <v>44046.0406372</v>
      </c>
      <c r="AE204" s="6">
        <f>$K$204*$Y$204</f>
        <v>0</v>
      </c>
      <c r="AF204" s="6">
        <f ca="1">$M$204*$Z$204</f>
        <v>21502.270569370143</v>
      </c>
      <c r="AG204" s="6">
        <f>$O$204*$AA$204</f>
        <v>41679.874108821801</v>
      </c>
    </row>
    <row r="205" spans="1:33" ht="11.25" hidden="1" customHeight="1" x14ac:dyDescent="0.3">
      <c r="A205" s="4" t="s">
        <v>27</v>
      </c>
      <c r="B205" s="4" t="s">
        <v>34</v>
      </c>
      <c r="C205" s="4" t="s">
        <v>35</v>
      </c>
      <c r="D205" s="4" t="s">
        <v>33</v>
      </c>
      <c r="E205" s="4" t="s">
        <v>25</v>
      </c>
      <c r="F205" s="4" t="s">
        <v>25</v>
      </c>
      <c r="G205" s="4" t="s">
        <v>25</v>
      </c>
      <c r="H205" s="4" t="s">
        <v>37</v>
      </c>
      <c r="I205" s="5">
        <v>44743</v>
      </c>
      <c r="J205" s="6">
        <v>0</v>
      </c>
      <c r="K205" s="6">
        <v>0</v>
      </c>
      <c r="L205" s="6">
        <v>41.171619999999997</v>
      </c>
      <c r="M205" s="6">
        <v>41.171619999999997</v>
      </c>
      <c r="N205" s="6">
        <v>41.171619999999997</v>
      </c>
      <c r="O205" s="6">
        <v>41.171619999999997</v>
      </c>
      <c r="P205" s="6">
        <v>0</v>
      </c>
      <c r="Q205" s="4" t="s">
        <v>26</v>
      </c>
      <c r="R205" s="4">
        <v>0</v>
      </c>
      <c r="S205" s="6">
        <v>0</v>
      </c>
      <c r="T205" s="6">
        <v>22</v>
      </c>
      <c r="U205" s="6">
        <v>84</v>
      </c>
      <c r="V205" s="6">
        <f>IF(ISERROR(VLOOKUP($S$205,'TAR FIN'!$A$1:$O$92,15,0)),0,VLOOKUP($S$205,'TAR FIN'!$A$1:$O$92,15,0))</f>
        <v>0</v>
      </c>
      <c r="W205" s="6">
        <f>IF(ISERROR(VLOOKUP($T$205,'TAR FIN'!$A$1:$O$92,15,0)),0,VLOOKUP($T$205,'TAR FIN'!$A$1:$O$92,15,0))</f>
        <v>73.28</v>
      </c>
      <c r="X205" s="6">
        <f>IF(ISERROR(VLOOKUP($U$205,'TAR FIN'!$A$1:$O$92,15,0)),0,VLOOKUP($U$205,'TAR FIN'!$A$1:$O$92,15,0))</f>
        <v>286.76</v>
      </c>
      <c r="Y205" s="6"/>
      <c r="Z205" s="6">
        <f ca="1">('TUSD BE'!$AM$16+'TUSD BF'!$AM$16+'TUSD CVA'!$AM$16)*1</f>
        <v>139.98967941887983</v>
      </c>
      <c r="AA205" s="6">
        <f>('TE BE'!$AB$8+'TE BF'!$AB$8+'TE CVA'!$AB$8)*1</f>
        <v>271.35516669689775</v>
      </c>
      <c r="AB205" s="6">
        <f>$K$205*$V$205</f>
        <v>0</v>
      </c>
      <c r="AC205" s="6">
        <f>$M$205*$W$205</f>
        <v>3017.0563136000001</v>
      </c>
      <c r="AD205" s="6">
        <f>$O$205*$X$205</f>
        <v>11806.373751199999</v>
      </c>
      <c r="AE205" s="6">
        <f>$K$205*$Y$205</f>
        <v>0</v>
      </c>
      <c r="AF205" s="6">
        <f ca="1">$M$205*$Z$205</f>
        <v>5763.6018849559405</v>
      </c>
      <c r="AG205" s="6">
        <f>$O$205*$AA$205</f>
        <v>11172.131808281329</v>
      </c>
    </row>
    <row r="206" spans="1:33" ht="11.25" hidden="1" customHeight="1" x14ac:dyDescent="0.3">
      <c r="A206" s="4" t="s">
        <v>21</v>
      </c>
      <c r="B206" s="4" t="s">
        <v>34</v>
      </c>
      <c r="C206" s="4" t="s">
        <v>35</v>
      </c>
      <c r="D206" s="4" t="s">
        <v>33</v>
      </c>
      <c r="E206" s="4" t="s">
        <v>25</v>
      </c>
      <c r="F206" s="4" t="s">
        <v>25</v>
      </c>
      <c r="G206" s="4" t="s">
        <v>25</v>
      </c>
      <c r="H206" s="4" t="s">
        <v>25</v>
      </c>
      <c r="I206" s="5">
        <v>44409</v>
      </c>
      <c r="J206" s="6">
        <v>1378.57</v>
      </c>
      <c r="K206" s="6">
        <v>1378.57</v>
      </c>
      <c r="L206" s="6">
        <v>0</v>
      </c>
      <c r="M206" s="6">
        <v>0</v>
      </c>
      <c r="N206" s="6">
        <v>0</v>
      </c>
      <c r="O206" s="6">
        <v>0</v>
      </c>
      <c r="P206" s="6">
        <v>10</v>
      </c>
      <c r="Q206" s="4" t="s">
        <v>26</v>
      </c>
      <c r="R206" s="4">
        <v>0</v>
      </c>
      <c r="S206" s="6">
        <v>18</v>
      </c>
      <c r="T206" s="6">
        <v>0</v>
      </c>
      <c r="U206" s="6">
        <v>0</v>
      </c>
      <c r="V206" s="6">
        <f>IF(ISERROR(VLOOKUP($S$206,'TAR FIN'!$A$1:$O$92,15,0)),0,VLOOKUP($S$206,'TAR FIN'!$A$1:$O$92,15,0))</f>
        <v>18.489999999999998</v>
      </c>
      <c r="W206" s="6">
        <f>IF(ISERROR(VLOOKUP($T$206,'TAR FIN'!$A$1:$O$92,15,0)),0,VLOOKUP($T$206,'TAR FIN'!$A$1:$O$92,15,0))</f>
        <v>0</v>
      </c>
      <c r="X206" s="6">
        <f>IF(ISERROR(VLOOKUP($U$206,'TAR FIN'!$A$1:$O$92,15,0)),0,VLOOKUP($U$206,'TAR FIN'!$A$1:$O$92,15,0))</f>
        <v>0</v>
      </c>
      <c r="Y206" s="6">
        <f ca="1">('TUSD BE'!$AM$14+'TUSD BF'!$AM$14+'TUSD CVA'!$AM$14)*1</f>
        <v>23.643887023397856</v>
      </c>
      <c r="Z206" s="6"/>
      <c r="AA206" s="6"/>
      <c r="AB206" s="6">
        <f>$K$206*$V$206</f>
        <v>25489.759299999998</v>
      </c>
      <c r="AC206" s="6">
        <f>$M$206*$W$206</f>
        <v>0</v>
      </c>
      <c r="AD206" s="6">
        <f>$O$206*$X$206</f>
        <v>0</v>
      </c>
      <c r="AE206" s="6">
        <f ca="1">$K$206*$Y$206</f>
        <v>32594.75333384558</v>
      </c>
      <c r="AF206" s="6">
        <f>$M$206*$Z$206</f>
        <v>0</v>
      </c>
      <c r="AG206" s="6">
        <f>$O$206*$AA$206</f>
        <v>0</v>
      </c>
    </row>
    <row r="207" spans="1:33" ht="11.25" hidden="1" customHeight="1" x14ac:dyDescent="0.3">
      <c r="A207" s="4" t="s">
        <v>27</v>
      </c>
      <c r="B207" s="4" t="s">
        <v>34</v>
      </c>
      <c r="C207" s="4" t="s">
        <v>35</v>
      </c>
      <c r="D207" s="4" t="s">
        <v>33</v>
      </c>
      <c r="E207" s="4" t="s">
        <v>25</v>
      </c>
      <c r="F207" s="4" t="s">
        <v>25</v>
      </c>
      <c r="G207" s="4" t="s">
        <v>25</v>
      </c>
      <c r="H207" s="4" t="s">
        <v>25</v>
      </c>
      <c r="I207" s="5">
        <v>44409</v>
      </c>
      <c r="J207" s="6">
        <v>350</v>
      </c>
      <c r="K207" s="6">
        <v>350</v>
      </c>
      <c r="L207" s="6">
        <v>0</v>
      </c>
      <c r="M207" s="6">
        <v>0</v>
      </c>
      <c r="N207" s="6">
        <v>0</v>
      </c>
      <c r="O207" s="6">
        <v>0</v>
      </c>
      <c r="P207" s="6">
        <v>2</v>
      </c>
      <c r="Q207" s="4" t="s">
        <v>26</v>
      </c>
      <c r="R207" s="4">
        <v>0</v>
      </c>
      <c r="S207" s="6">
        <v>18</v>
      </c>
      <c r="T207" s="6">
        <v>0</v>
      </c>
      <c r="U207" s="6">
        <v>0</v>
      </c>
      <c r="V207" s="6">
        <f>IF(ISERROR(VLOOKUP($S$207,'TAR FIN'!$A$1:$O$92,15,0)),0,VLOOKUP($S$207,'TAR FIN'!$A$1:$O$92,15,0))</f>
        <v>18.489999999999998</v>
      </c>
      <c r="W207" s="6">
        <f>IF(ISERROR(VLOOKUP($T$207,'TAR FIN'!$A$1:$O$92,15,0)),0,VLOOKUP($T$207,'TAR FIN'!$A$1:$O$92,15,0))</f>
        <v>0</v>
      </c>
      <c r="X207" s="6">
        <f>IF(ISERROR(VLOOKUP($U$207,'TAR FIN'!$A$1:$O$92,15,0)),0,VLOOKUP($U$207,'TAR FIN'!$A$1:$O$92,15,0))</f>
        <v>0</v>
      </c>
      <c r="Y207" s="6">
        <f ca="1">('TUSD BE'!$AM$14+'TUSD BF'!$AM$14+'TUSD CVA'!$AM$14)*1</f>
        <v>23.643887023397856</v>
      </c>
      <c r="Z207" s="6"/>
      <c r="AA207" s="6"/>
      <c r="AB207" s="6">
        <f>$K$207*$V$207</f>
        <v>6471.4999999999991</v>
      </c>
      <c r="AC207" s="6">
        <f>$M$207*$W$207</f>
        <v>0</v>
      </c>
      <c r="AD207" s="6">
        <f>$O$207*$X$207</f>
        <v>0</v>
      </c>
      <c r="AE207" s="6">
        <f ca="1">$K$207*$Y$207</f>
        <v>8275.3604581892487</v>
      </c>
      <c r="AF207" s="6">
        <f>$M$207*$Z$207</f>
        <v>0</v>
      </c>
      <c r="AG207" s="6">
        <f>$O$207*$AA$207</f>
        <v>0</v>
      </c>
    </row>
    <row r="208" spans="1:33" ht="11.25" hidden="1" customHeight="1" x14ac:dyDescent="0.3">
      <c r="A208" s="4" t="s">
        <v>21</v>
      </c>
      <c r="B208" s="4" t="s">
        <v>34</v>
      </c>
      <c r="C208" s="4" t="s">
        <v>35</v>
      </c>
      <c r="D208" s="4" t="s">
        <v>33</v>
      </c>
      <c r="E208" s="4" t="s">
        <v>25</v>
      </c>
      <c r="F208" s="4" t="s">
        <v>25</v>
      </c>
      <c r="G208" s="4" t="s">
        <v>25</v>
      </c>
      <c r="H208" s="4" t="s">
        <v>25</v>
      </c>
      <c r="I208" s="5">
        <v>44440</v>
      </c>
      <c r="J208" s="6">
        <v>1369</v>
      </c>
      <c r="K208" s="6">
        <v>1369</v>
      </c>
      <c r="L208" s="6">
        <v>0</v>
      </c>
      <c r="M208" s="6">
        <v>0</v>
      </c>
      <c r="N208" s="6">
        <v>0</v>
      </c>
      <c r="O208" s="6">
        <v>0</v>
      </c>
      <c r="P208" s="6">
        <v>10</v>
      </c>
      <c r="Q208" s="4" t="s">
        <v>26</v>
      </c>
      <c r="R208" s="4">
        <v>0</v>
      </c>
      <c r="S208" s="6">
        <v>18</v>
      </c>
      <c r="T208" s="6">
        <v>0</v>
      </c>
      <c r="U208" s="6">
        <v>0</v>
      </c>
      <c r="V208" s="6">
        <f>IF(ISERROR(VLOOKUP($S$208,'TAR FIN'!$A$1:$O$92,15,0)),0,VLOOKUP($S$208,'TAR FIN'!$A$1:$O$92,15,0))</f>
        <v>18.489999999999998</v>
      </c>
      <c r="W208" s="6">
        <f>IF(ISERROR(VLOOKUP($T$208,'TAR FIN'!$A$1:$O$92,15,0)),0,VLOOKUP($T$208,'TAR FIN'!$A$1:$O$92,15,0))</f>
        <v>0</v>
      </c>
      <c r="X208" s="6">
        <f>IF(ISERROR(VLOOKUP($U$208,'TAR FIN'!$A$1:$O$92,15,0)),0,VLOOKUP($U$208,'TAR FIN'!$A$1:$O$92,15,0))</f>
        <v>0</v>
      </c>
      <c r="Y208" s="6">
        <f ca="1">('TUSD BE'!$AM$14+'TUSD BF'!$AM$14+'TUSD CVA'!$AM$14)*1</f>
        <v>23.643887023397856</v>
      </c>
      <c r="Z208" s="6"/>
      <c r="AA208" s="6"/>
      <c r="AB208" s="6">
        <f>$K$208*$V$208</f>
        <v>25312.809999999998</v>
      </c>
      <c r="AC208" s="6">
        <f>$M$208*$W$208</f>
        <v>0</v>
      </c>
      <c r="AD208" s="6">
        <f>$O$208*$X$208</f>
        <v>0</v>
      </c>
      <c r="AE208" s="6">
        <f ca="1">$K$208*$Y$208</f>
        <v>32368.481335031665</v>
      </c>
      <c r="AF208" s="6">
        <f>$M$208*$Z$208</f>
        <v>0</v>
      </c>
      <c r="AG208" s="6">
        <f>$O$208*$AA$208</f>
        <v>0</v>
      </c>
    </row>
    <row r="209" spans="1:33" ht="11.25" hidden="1" customHeight="1" x14ac:dyDescent="0.3">
      <c r="A209" s="4" t="s">
        <v>27</v>
      </c>
      <c r="B209" s="4" t="s">
        <v>34</v>
      </c>
      <c r="C209" s="4" t="s">
        <v>35</v>
      </c>
      <c r="D209" s="4" t="s">
        <v>33</v>
      </c>
      <c r="E209" s="4" t="s">
        <v>25</v>
      </c>
      <c r="F209" s="4" t="s">
        <v>25</v>
      </c>
      <c r="G209" s="4" t="s">
        <v>25</v>
      </c>
      <c r="H209" s="4" t="s">
        <v>25</v>
      </c>
      <c r="I209" s="5">
        <v>44440</v>
      </c>
      <c r="J209" s="6">
        <v>350</v>
      </c>
      <c r="K209" s="6">
        <v>350</v>
      </c>
      <c r="L209" s="6">
        <v>0</v>
      </c>
      <c r="M209" s="6">
        <v>0</v>
      </c>
      <c r="N209" s="6">
        <v>0</v>
      </c>
      <c r="O209" s="6">
        <v>0</v>
      </c>
      <c r="P209" s="6">
        <v>2</v>
      </c>
      <c r="Q209" s="4" t="s">
        <v>26</v>
      </c>
      <c r="R209" s="4">
        <v>0</v>
      </c>
      <c r="S209" s="6">
        <v>18</v>
      </c>
      <c r="T209" s="6">
        <v>0</v>
      </c>
      <c r="U209" s="6">
        <v>0</v>
      </c>
      <c r="V209" s="6">
        <f>IF(ISERROR(VLOOKUP($S$209,'TAR FIN'!$A$1:$O$92,15,0)),0,VLOOKUP($S$209,'TAR FIN'!$A$1:$O$92,15,0))</f>
        <v>18.489999999999998</v>
      </c>
      <c r="W209" s="6">
        <f>IF(ISERROR(VLOOKUP($T$209,'TAR FIN'!$A$1:$O$92,15,0)),0,VLOOKUP($T$209,'TAR FIN'!$A$1:$O$92,15,0))</f>
        <v>0</v>
      </c>
      <c r="X209" s="6">
        <f>IF(ISERROR(VLOOKUP($U$209,'TAR FIN'!$A$1:$O$92,15,0)),0,VLOOKUP($U$209,'TAR FIN'!$A$1:$O$92,15,0))</f>
        <v>0</v>
      </c>
      <c r="Y209" s="6">
        <f ca="1">('TUSD BE'!$AM$14+'TUSD BF'!$AM$14+'TUSD CVA'!$AM$14)*1</f>
        <v>23.643887023397856</v>
      </c>
      <c r="Z209" s="6"/>
      <c r="AA209" s="6"/>
      <c r="AB209" s="6">
        <f>$K$209*$V$209</f>
        <v>6471.4999999999991</v>
      </c>
      <c r="AC209" s="6">
        <f>$M$209*$W$209</f>
        <v>0</v>
      </c>
      <c r="AD209" s="6">
        <f>$O$209*$X$209</f>
        <v>0</v>
      </c>
      <c r="AE209" s="6">
        <f ca="1">$K$209*$Y$209</f>
        <v>8275.3604581892487</v>
      </c>
      <c r="AF209" s="6">
        <f>$M$209*$Z$209</f>
        <v>0</v>
      </c>
      <c r="AG209" s="6">
        <f>$O$209*$AA$209</f>
        <v>0</v>
      </c>
    </row>
    <row r="210" spans="1:33" ht="11.25" hidden="1" customHeight="1" x14ac:dyDescent="0.3">
      <c r="A210" s="4" t="s">
        <v>21</v>
      </c>
      <c r="B210" s="4" t="s">
        <v>34</v>
      </c>
      <c r="C210" s="4" t="s">
        <v>35</v>
      </c>
      <c r="D210" s="4" t="s">
        <v>33</v>
      </c>
      <c r="E210" s="4" t="s">
        <v>25</v>
      </c>
      <c r="F210" s="4" t="s">
        <v>25</v>
      </c>
      <c r="G210" s="4" t="s">
        <v>25</v>
      </c>
      <c r="H210" s="4" t="s">
        <v>25</v>
      </c>
      <c r="I210" s="5">
        <v>44470</v>
      </c>
      <c r="J210" s="6">
        <v>1399</v>
      </c>
      <c r="K210" s="6">
        <v>1399</v>
      </c>
      <c r="L210" s="6">
        <v>0</v>
      </c>
      <c r="M210" s="6">
        <v>0</v>
      </c>
      <c r="N210" s="6">
        <v>0</v>
      </c>
      <c r="O210" s="6">
        <v>0</v>
      </c>
      <c r="P210" s="6">
        <v>10</v>
      </c>
      <c r="Q210" s="4" t="s">
        <v>26</v>
      </c>
      <c r="R210" s="4">
        <v>0</v>
      </c>
      <c r="S210" s="6">
        <v>18</v>
      </c>
      <c r="T210" s="6">
        <v>0</v>
      </c>
      <c r="U210" s="6">
        <v>0</v>
      </c>
      <c r="V210" s="6">
        <f>IF(ISERROR(VLOOKUP($S$210,'TAR FIN'!$A$1:$O$92,15,0)),0,VLOOKUP($S$210,'TAR FIN'!$A$1:$O$92,15,0))</f>
        <v>18.489999999999998</v>
      </c>
      <c r="W210" s="6">
        <f>IF(ISERROR(VLOOKUP($T$210,'TAR FIN'!$A$1:$O$92,15,0)),0,VLOOKUP($T$210,'TAR FIN'!$A$1:$O$92,15,0))</f>
        <v>0</v>
      </c>
      <c r="X210" s="6">
        <f>IF(ISERROR(VLOOKUP($U$210,'TAR FIN'!$A$1:$O$92,15,0)),0,VLOOKUP($U$210,'TAR FIN'!$A$1:$O$92,15,0))</f>
        <v>0</v>
      </c>
      <c r="Y210" s="6">
        <f ca="1">('TUSD BE'!$AM$14+'TUSD BF'!$AM$14+'TUSD CVA'!$AM$14)*1</f>
        <v>23.643887023397856</v>
      </c>
      <c r="Z210" s="6"/>
      <c r="AA210" s="6"/>
      <c r="AB210" s="6">
        <f>$K$210*$V$210</f>
        <v>25867.51</v>
      </c>
      <c r="AC210" s="6">
        <f>$M$210*$W$210</f>
        <v>0</v>
      </c>
      <c r="AD210" s="6">
        <f>$O$210*$X$210</f>
        <v>0</v>
      </c>
      <c r="AE210" s="6">
        <f ca="1">$K$210*$Y$210</f>
        <v>33077.797945733597</v>
      </c>
      <c r="AF210" s="6">
        <f>$M$210*$Z$210</f>
        <v>0</v>
      </c>
      <c r="AG210" s="6">
        <f>$O$210*$AA$210</f>
        <v>0</v>
      </c>
    </row>
    <row r="211" spans="1:33" ht="11.25" hidden="1" customHeight="1" x14ac:dyDescent="0.3">
      <c r="A211" s="4" t="s">
        <v>27</v>
      </c>
      <c r="B211" s="4" t="s">
        <v>34</v>
      </c>
      <c r="C211" s="4" t="s">
        <v>35</v>
      </c>
      <c r="D211" s="4" t="s">
        <v>33</v>
      </c>
      <c r="E211" s="4" t="s">
        <v>25</v>
      </c>
      <c r="F211" s="4" t="s">
        <v>25</v>
      </c>
      <c r="G211" s="4" t="s">
        <v>25</v>
      </c>
      <c r="H211" s="4" t="s">
        <v>25</v>
      </c>
      <c r="I211" s="5">
        <v>44470</v>
      </c>
      <c r="J211" s="6">
        <v>350</v>
      </c>
      <c r="K211" s="6">
        <v>350</v>
      </c>
      <c r="L211" s="6">
        <v>0</v>
      </c>
      <c r="M211" s="6">
        <v>0</v>
      </c>
      <c r="N211" s="6">
        <v>0</v>
      </c>
      <c r="O211" s="6">
        <v>0</v>
      </c>
      <c r="P211" s="6">
        <v>2</v>
      </c>
      <c r="Q211" s="4" t="s">
        <v>26</v>
      </c>
      <c r="R211" s="4">
        <v>0</v>
      </c>
      <c r="S211" s="6">
        <v>18</v>
      </c>
      <c r="T211" s="6">
        <v>0</v>
      </c>
      <c r="U211" s="6">
        <v>0</v>
      </c>
      <c r="V211" s="6">
        <f>IF(ISERROR(VLOOKUP($S$211,'TAR FIN'!$A$1:$O$92,15,0)),0,VLOOKUP($S$211,'TAR FIN'!$A$1:$O$92,15,0))</f>
        <v>18.489999999999998</v>
      </c>
      <c r="W211" s="6">
        <f>IF(ISERROR(VLOOKUP($T$211,'TAR FIN'!$A$1:$O$92,15,0)),0,VLOOKUP($T$211,'TAR FIN'!$A$1:$O$92,15,0))</f>
        <v>0</v>
      </c>
      <c r="X211" s="6">
        <f>IF(ISERROR(VLOOKUP($U$211,'TAR FIN'!$A$1:$O$92,15,0)),0,VLOOKUP($U$211,'TAR FIN'!$A$1:$O$92,15,0))</f>
        <v>0</v>
      </c>
      <c r="Y211" s="6">
        <f ca="1">('TUSD BE'!$AM$14+'TUSD BF'!$AM$14+'TUSD CVA'!$AM$14)*1</f>
        <v>23.643887023397856</v>
      </c>
      <c r="Z211" s="6"/>
      <c r="AA211" s="6"/>
      <c r="AB211" s="6">
        <f>$K$211*$V$211</f>
        <v>6471.4999999999991</v>
      </c>
      <c r="AC211" s="6">
        <f>$M$211*$W$211</f>
        <v>0</v>
      </c>
      <c r="AD211" s="6">
        <f>$O$211*$X$211</f>
        <v>0</v>
      </c>
      <c r="AE211" s="6">
        <f ca="1">$K$211*$Y$211</f>
        <v>8275.3604581892487</v>
      </c>
      <c r="AF211" s="6">
        <f>$M$211*$Z$211</f>
        <v>0</v>
      </c>
      <c r="AG211" s="6">
        <f>$O$211*$AA$211</f>
        <v>0</v>
      </c>
    </row>
    <row r="212" spans="1:33" ht="11.25" hidden="1" customHeight="1" x14ac:dyDescent="0.3">
      <c r="A212" s="4" t="s">
        <v>21</v>
      </c>
      <c r="B212" s="4" t="s">
        <v>34</v>
      </c>
      <c r="C212" s="4" t="s">
        <v>35</v>
      </c>
      <c r="D212" s="4" t="s">
        <v>33</v>
      </c>
      <c r="E212" s="4" t="s">
        <v>25</v>
      </c>
      <c r="F212" s="4" t="s">
        <v>25</v>
      </c>
      <c r="G212" s="4" t="s">
        <v>25</v>
      </c>
      <c r="H212" s="4" t="s">
        <v>25</v>
      </c>
      <c r="I212" s="5">
        <v>44501</v>
      </c>
      <c r="J212" s="6">
        <v>1397</v>
      </c>
      <c r="K212" s="6">
        <v>1397</v>
      </c>
      <c r="L212" s="6">
        <v>0</v>
      </c>
      <c r="M212" s="6">
        <v>0</v>
      </c>
      <c r="N212" s="6">
        <v>0</v>
      </c>
      <c r="O212" s="6">
        <v>0</v>
      </c>
      <c r="P212" s="6">
        <v>10</v>
      </c>
      <c r="Q212" s="4" t="s">
        <v>26</v>
      </c>
      <c r="R212" s="4">
        <v>0</v>
      </c>
      <c r="S212" s="6">
        <v>18</v>
      </c>
      <c r="T212" s="6">
        <v>0</v>
      </c>
      <c r="U212" s="6">
        <v>0</v>
      </c>
      <c r="V212" s="6">
        <f>IF(ISERROR(VLOOKUP($S$212,'TAR FIN'!$A$1:$O$92,15,0)),0,VLOOKUP($S$212,'TAR FIN'!$A$1:$O$92,15,0))</f>
        <v>18.489999999999998</v>
      </c>
      <c r="W212" s="6">
        <f>IF(ISERROR(VLOOKUP($T$212,'TAR FIN'!$A$1:$O$92,15,0)),0,VLOOKUP($T$212,'TAR FIN'!$A$1:$O$92,15,0))</f>
        <v>0</v>
      </c>
      <c r="X212" s="6">
        <f>IF(ISERROR(VLOOKUP($U$212,'TAR FIN'!$A$1:$O$92,15,0)),0,VLOOKUP($U$212,'TAR FIN'!$A$1:$O$92,15,0))</f>
        <v>0</v>
      </c>
      <c r="Y212" s="6">
        <f ca="1">('TUSD BE'!$AM$14+'TUSD BF'!$AM$14+'TUSD CVA'!$AM$14)*1</f>
        <v>23.643887023397856</v>
      </c>
      <c r="Z212" s="6"/>
      <c r="AA212" s="6"/>
      <c r="AB212" s="6">
        <f>$K$212*$V$212</f>
        <v>25830.53</v>
      </c>
      <c r="AC212" s="6">
        <f>$M$212*$W$212</f>
        <v>0</v>
      </c>
      <c r="AD212" s="6">
        <f>$O$212*$X$212</f>
        <v>0</v>
      </c>
      <c r="AE212" s="6">
        <f ca="1">$K$212*$Y$212</f>
        <v>33030.510171686801</v>
      </c>
      <c r="AF212" s="6">
        <f>$M$212*$Z$212</f>
        <v>0</v>
      </c>
      <c r="AG212" s="6">
        <f>$O$212*$AA$212</f>
        <v>0</v>
      </c>
    </row>
    <row r="213" spans="1:33" ht="11.25" hidden="1" customHeight="1" x14ac:dyDescent="0.3">
      <c r="A213" s="4" t="s">
        <v>27</v>
      </c>
      <c r="B213" s="4" t="s">
        <v>34</v>
      </c>
      <c r="C213" s="4" t="s">
        <v>35</v>
      </c>
      <c r="D213" s="4" t="s">
        <v>33</v>
      </c>
      <c r="E213" s="4" t="s">
        <v>25</v>
      </c>
      <c r="F213" s="4" t="s">
        <v>25</v>
      </c>
      <c r="G213" s="4" t="s">
        <v>25</v>
      </c>
      <c r="H213" s="4" t="s">
        <v>25</v>
      </c>
      <c r="I213" s="5">
        <v>44501</v>
      </c>
      <c r="J213" s="6">
        <v>350</v>
      </c>
      <c r="K213" s="6">
        <v>350</v>
      </c>
      <c r="L213" s="6">
        <v>0</v>
      </c>
      <c r="M213" s="6">
        <v>0</v>
      </c>
      <c r="N213" s="6">
        <v>0</v>
      </c>
      <c r="O213" s="6">
        <v>0</v>
      </c>
      <c r="P213" s="6">
        <v>2</v>
      </c>
      <c r="Q213" s="4" t="s">
        <v>26</v>
      </c>
      <c r="R213" s="4">
        <v>0</v>
      </c>
      <c r="S213" s="6">
        <v>18</v>
      </c>
      <c r="T213" s="6">
        <v>0</v>
      </c>
      <c r="U213" s="6">
        <v>0</v>
      </c>
      <c r="V213" s="6">
        <f>IF(ISERROR(VLOOKUP($S$213,'TAR FIN'!$A$1:$O$92,15,0)),0,VLOOKUP($S$213,'TAR FIN'!$A$1:$O$92,15,0))</f>
        <v>18.489999999999998</v>
      </c>
      <c r="W213" s="6">
        <f>IF(ISERROR(VLOOKUP($T$213,'TAR FIN'!$A$1:$O$92,15,0)),0,VLOOKUP($T$213,'TAR FIN'!$A$1:$O$92,15,0))</f>
        <v>0</v>
      </c>
      <c r="X213" s="6">
        <f>IF(ISERROR(VLOOKUP($U$213,'TAR FIN'!$A$1:$O$92,15,0)),0,VLOOKUP($U$213,'TAR FIN'!$A$1:$O$92,15,0))</f>
        <v>0</v>
      </c>
      <c r="Y213" s="6">
        <f ca="1">('TUSD BE'!$AM$14+'TUSD BF'!$AM$14+'TUSD CVA'!$AM$14)*1</f>
        <v>23.643887023397856</v>
      </c>
      <c r="Z213" s="6"/>
      <c r="AA213" s="6"/>
      <c r="AB213" s="6">
        <f>$K$213*$V$213</f>
        <v>6471.4999999999991</v>
      </c>
      <c r="AC213" s="6">
        <f>$M$213*$W$213</f>
        <v>0</v>
      </c>
      <c r="AD213" s="6">
        <f>$O$213*$X$213</f>
        <v>0</v>
      </c>
      <c r="AE213" s="6">
        <f ca="1">$K$213*$Y$213</f>
        <v>8275.3604581892487</v>
      </c>
      <c r="AF213" s="6">
        <f>$M$213*$Z$213</f>
        <v>0</v>
      </c>
      <c r="AG213" s="6">
        <f>$O$213*$AA$213</f>
        <v>0</v>
      </c>
    </row>
    <row r="214" spans="1:33" ht="11.25" hidden="1" customHeight="1" x14ac:dyDescent="0.3">
      <c r="A214" s="4" t="s">
        <v>21</v>
      </c>
      <c r="B214" s="4" t="s">
        <v>34</v>
      </c>
      <c r="C214" s="4" t="s">
        <v>35</v>
      </c>
      <c r="D214" s="4" t="s">
        <v>33</v>
      </c>
      <c r="E214" s="4" t="s">
        <v>25</v>
      </c>
      <c r="F214" s="4" t="s">
        <v>25</v>
      </c>
      <c r="G214" s="4" t="s">
        <v>25</v>
      </c>
      <c r="H214" s="4" t="s">
        <v>25</v>
      </c>
      <c r="I214" s="5">
        <v>44531</v>
      </c>
      <c r="J214" s="6">
        <v>1411</v>
      </c>
      <c r="K214" s="6">
        <v>1411</v>
      </c>
      <c r="L214" s="6">
        <v>0</v>
      </c>
      <c r="M214" s="6">
        <v>0</v>
      </c>
      <c r="N214" s="6">
        <v>0</v>
      </c>
      <c r="O214" s="6">
        <v>0</v>
      </c>
      <c r="P214" s="6">
        <v>10</v>
      </c>
      <c r="Q214" s="4" t="s">
        <v>26</v>
      </c>
      <c r="R214" s="4">
        <v>0</v>
      </c>
      <c r="S214" s="6">
        <v>18</v>
      </c>
      <c r="T214" s="6">
        <v>0</v>
      </c>
      <c r="U214" s="6">
        <v>0</v>
      </c>
      <c r="V214" s="6">
        <f>IF(ISERROR(VLOOKUP($S$214,'TAR FIN'!$A$1:$O$92,15,0)),0,VLOOKUP($S$214,'TAR FIN'!$A$1:$O$92,15,0))</f>
        <v>18.489999999999998</v>
      </c>
      <c r="W214" s="6">
        <f>IF(ISERROR(VLOOKUP($T$214,'TAR FIN'!$A$1:$O$92,15,0)),0,VLOOKUP($T$214,'TAR FIN'!$A$1:$O$92,15,0))</f>
        <v>0</v>
      </c>
      <c r="X214" s="6">
        <f>IF(ISERROR(VLOOKUP($U$214,'TAR FIN'!$A$1:$O$92,15,0)),0,VLOOKUP($U$214,'TAR FIN'!$A$1:$O$92,15,0))</f>
        <v>0</v>
      </c>
      <c r="Y214" s="6">
        <f ca="1">('TUSD BE'!$AM$14+'TUSD BF'!$AM$14+'TUSD CVA'!$AM$14)*1</f>
        <v>23.643887023397856</v>
      </c>
      <c r="Z214" s="6"/>
      <c r="AA214" s="6"/>
      <c r="AB214" s="6">
        <f>$K$214*$V$214</f>
        <v>26089.39</v>
      </c>
      <c r="AC214" s="6">
        <f>$M$214*$W$214</f>
        <v>0</v>
      </c>
      <c r="AD214" s="6">
        <f>$O$214*$X$214</f>
        <v>0</v>
      </c>
      <c r="AE214" s="6">
        <f ca="1">$K$214*$Y$214</f>
        <v>33361.524590014371</v>
      </c>
      <c r="AF214" s="6">
        <f>$M$214*$Z$214</f>
        <v>0</v>
      </c>
      <c r="AG214" s="6">
        <f>$O$214*$AA$214</f>
        <v>0</v>
      </c>
    </row>
    <row r="215" spans="1:33" ht="11.25" hidden="1" customHeight="1" x14ac:dyDescent="0.3">
      <c r="A215" s="4" t="s">
        <v>27</v>
      </c>
      <c r="B215" s="4" t="s">
        <v>34</v>
      </c>
      <c r="C215" s="4" t="s">
        <v>35</v>
      </c>
      <c r="D215" s="4" t="s">
        <v>33</v>
      </c>
      <c r="E215" s="4" t="s">
        <v>25</v>
      </c>
      <c r="F215" s="4" t="s">
        <v>25</v>
      </c>
      <c r="G215" s="4" t="s">
        <v>25</v>
      </c>
      <c r="H215" s="4" t="s">
        <v>25</v>
      </c>
      <c r="I215" s="5">
        <v>44531</v>
      </c>
      <c r="J215" s="6">
        <v>350</v>
      </c>
      <c r="K215" s="6">
        <v>350</v>
      </c>
      <c r="L215" s="6">
        <v>0</v>
      </c>
      <c r="M215" s="6">
        <v>0</v>
      </c>
      <c r="N215" s="6">
        <v>0</v>
      </c>
      <c r="O215" s="6">
        <v>0</v>
      </c>
      <c r="P215" s="6">
        <v>2</v>
      </c>
      <c r="Q215" s="4" t="s">
        <v>26</v>
      </c>
      <c r="R215" s="4">
        <v>0</v>
      </c>
      <c r="S215" s="6">
        <v>18</v>
      </c>
      <c r="T215" s="6">
        <v>0</v>
      </c>
      <c r="U215" s="6">
        <v>0</v>
      </c>
      <c r="V215" s="6">
        <f>IF(ISERROR(VLOOKUP($S$215,'TAR FIN'!$A$1:$O$92,15,0)),0,VLOOKUP($S$215,'TAR FIN'!$A$1:$O$92,15,0))</f>
        <v>18.489999999999998</v>
      </c>
      <c r="W215" s="6">
        <f>IF(ISERROR(VLOOKUP($T$215,'TAR FIN'!$A$1:$O$92,15,0)),0,VLOOKUP($T$215,'TAR FIN'!$A$1:$O$92,15,0))</f>
        <v>0</v>
      </c>
      <c r="X215" s="6">
        <f>IF(ISERROR(VLOOKUP($U$215,'TAR FIN'!$A$1:$O$92,15,0)),0,VLOOKUP($U$215,'TAR FIN'!$A$1:$O$92,15,0))</f>
        <v>0</v>
      </c>
      <c r="Y215" s="6">
        <f ca="1">('TUSD BE'!$AM$14+'TUSD BF'!$AM$14+'TUSD CVA'!$AM$14)*1</f>
        <v>23.643887023397856</v>
      </c>
      <c r="Z215" s="6"/>
      <c r="AA215" s="6"/>
      <c r="AB215" s="6">
        <f>$K$215*$V$215</f>
        <v>6471.4999999999991</v>
      </c>
      <c r="AC215" s="6">
        <f>$M$215*$W$215</f>
        <v>0</v>
      </c>
      <c r="AD215" s="6">
        <f>$O$215*$X$215</f>
        <v>0</v>
      </c>
      <c r="AE215" s="6">
        <f ca="1">$K$215*$Y$215</f>
        <v>8275.3604581892487</v>
      </c>
      <c r="AF215" s="6">
        <f>$M$215*$Z$215</f>
        <v>0</v>
      </c>
      <c r="AG215" s="6">
        <f>$O$215*$AA$215</f>
        <v>0</v>
      </c>
    </row>
    <row r="216" spans="1:33" ht="11.25" hidden="1" customHeight="1" x14ac:dyDescent="0.3">
      <c r="A216" s="4" t="s">
        <v>21</v>
      </c>
      <c r="B216" s="4" t="s">
        <v>34</v>
      </c>
      <c r="C216" s="4" t="s">
        <v>35</v>
      </c>
      <c r="D216" s="4" t="s">
        <v>33</v>
      </c>
      <c r="E216" s="4" t="s">
        <v>25</v>
      </c>
      <c r="F216" s="4" t="s">
        <v>25</v>
      </c>
      <c r="G216" s="4" t="s">
        <v>25</v>
      </c>
      <c r="H216" s="4" t="s">
        <v>25</v>
      </c>
      <c r="I216" s="5">
        <v>44562</v>
      </c>
      <c r="J216" s="6">
        <v>1310</v>
      </c>
      <c r="K216" s="6">
        <v>1310</v>
      </c>
      <c r="L216" s="6">
        <v>0</v>
      </c>
      <c r="M216" s="6">
        <v>0</v>
      </c>
      <c r="N216" s="6">
        <v>0</v>
      </c>
      <c r="O216" s="6">
        <v>0</v>
      </c>
      <c r="P216" s="6">
        <v>10</v>
      </c>
      <c r="Q216" s="4" t="s">
        <v>26</v>
      </c>
      <c r="R216" s="4">
        <v>0</v>
      </c>
      <c r="S216" s="6">
        <v>18</v>
      </c>
      <c r="T216" s="6">
        <v>0</v>
      </c>
      <c r="U216" s="6">
        <v>0</v>
      </c>
      <c r="V216" s="6">
        <f>IF(ISERROR(VLOOKUP($S$216,'TAR FIN'!$A$1:$O$92,15,0)),0,VLOOKUP($S$216,'TAR FIN'!$A$1:$O$92,15,0))</f>
        <v>18.489999999999998</v>
      </c>
      <c r="W216" s="6">
        <f>IF(ISERROR(VLOOKUP($T$216,'TAR FIN'!$A$1:$O$92,15,0)),0,VLOOKUP($T$216,'TAR FIN'!$A$1:$O$92,15,0))</f>
        <v>0</v>
      </c>
      <c r="X216" s="6">
        <f>IF(ISERROR(VLOOKUP($U$216,'TAR FIN'!$A$1:$O$92,15,0)),0,VLOOKUP($U$216,'TAR FIN'!$A$1:$O$92,15,0))</f>
        <v>0</v>
      </c>
      <c r="Y216" s="6">
        <f ca="1">('TUSD BE'!$AM$14+'TUSD BF'!$AM$14+'TUSD CVA'!$AM$14)*1</f>
        <v>23.643887023397856</v>
      </c>
      <c r="Z216" s="6"/>
      <c r="AA216" s="6"/>
      <c r="AB216" s="6">
        <f>$K$216*$V$216</f>
        <v>24221.899999999998</v>
      </c>
      <c r="AC216" s="6">
        <f>$M$216*$W$216</f>
        <v>0</v>
      </c>
      <c r="AD216" s="6">
        <f>$O$216*$X$216</f>
        <v>0</v>
      </c>
      <c r="AE216" s="6">
        <f ca="1">$K$216*$Y$216</f>
        <v>30973.492000651189</v>
      </c>
      <c r="AF216" s="6">
        <f>$M$216*$Z$216</f>
        <v>0</v>
      </c>
      <c r="AG216" s="6">
        <f>$O$216*$AA$216</f>
        <v>0</v>
      </c>
    </row>
    <row r="217" spans="1:33" ht="11.25" hidden="1" customHeight="1" x14ac:dyDescent="0.3">
      <c r="A217" s="4" t="s">
        <v>27</v>
      </c>
      <c r="B217" s="4" t="s">
        <v>34</v>
      </c>
      <c r="C217" s="4" t="s">
        <v>35</v>
      </c>
      <c r="D217" s="4" t="s">
        <v>33</v>
      </c>
      <c r="E217" s="4" t="s">
        <v>25</v>
      </c>
      <c r="F217" s="4" t="s">
        <v>25</v>
      </c>
      <c r="G217" s="4" t="s">
        <v>25</v>
      </c>
      <c r="H217" s="4" t="s">
        <v>25</v>
      </c>
      <c r="I217" s="5">
        <v>44562</v>
      </c>
      <c r="J217" s="6">
        <v>350</v>
      </c>
      <c r="K217" s="6">
        <v>350</v>
      </c>
      <c r="L217" s="6">
        <v>0</v>
      </c>
      <c r="M217" s="6">
        <v>0</v>
      </c>
      <c r="N217" s="6">
        <v>0</v>
      </c>
      <c r="O217" s="6">
        <v>0</v>
      </c>
      <c r="P217" s="6">
        <v>2</v>
      </c>
      <c r="Q217" s="4" t="s">
        <v>26</v>
      </c>
      <c r="R217" s="4">
        <v>0</v>
      </c>
      <c r="S217" s="6">
        <v>18</v>
      </c>
      <c r="T217" s="6">
        <v>0</v>
      </c>
      <c r="U217" s="6">
        <v>0</v>
      </c>
      <c r="V217" s="6">
        <f>IF(ISERROR(VLOOKUP($S$217,'TAR FIN'!$A$1:$O$92,15,0)),0,VLOOKUP($S$217,'TAR FIN'!$A$1:$O$92,15,0))</f>
        <v>18.489999999999998</v>
      </c>
      <c r="W217" s="6">
        <f>IF(ISERROR(VLOOKUP($T$217,'TAR FIN'!$A$1:$O$92,15,0)),0,VLOOKUP($T$217,'TAR FIN'!$A$1:$O$92,15,0))</f>
        <v>0</v>
      </c>
      <c r="X217" s="6">
        <f>IF(ISERROR(VLOOKUP($U$217,'TAR FIN'!$A$1:$O$92,15,0)),0,VLOOKUP($U$217,'TAR FIN'!$A$1:$O$92,15,0))</f>
        <v>0</v>
      </c>
      <c r="Y217" s="6">
        <f ca="1">('TUSD BE'!$AM$14+'TUSD BF'!$AM$14+'TUSD CVA'!$AM$14)*1</f>
        <v>23.643887023397856</v>
      </c>
      <c r="Z217" s="6"/>
      <c r="AA217" s="6"/>
      <c r="AB217" s="6">
        <f>$K$217*$V$217</f>
        <v>6471.4999999999991</v>
      </c>
      <c r="AC217" s="6">
        <f>$M$217*$W$217</f>
        <v>0</v>
      </c>
      <c r="AD217" s="6">
        <f>$O$217*$X$217</f>
        <v>0</v>
      </c>
      <c r="AE217" s="6">
        <f ca="1">$K$217*$Y$217</f>
        <v>8275.3604581892487</v>
      </c>
      <c r="AF217" s="6">
        <f>$M$217*$Z$217</f>
        <v>0</v>
      </c>
      <c r="AG217" s="6">
        <f>$O$217*$AA$217</f>
        <v>0</v>
      </c>
    </row>
    <row r="218" spans="1:33" ht="11.25" hidden="1" customHeight="1" x14ac:dyDescent="0.3">
      <c r="A218" s="4" t="s">
        <v>21</v>
      </c>
      <c r="B218" s="4" t="s">
        <v>34</v>
      </c>
      <c r="C218" s="4" t="s">
        <v>35</v>
      </c>
      <c r="D218" s="4" t="s">
        <v>33</v>
      </c>
      <c r="E218" s="4" t="s">
        <v>25</v>
      </c>
      <c r="F218" s="4" t="s">
        <v>25</v>
      </c>
      <c r="G218" s="4" t="s">
        <v>25</v>
      </c>
      <c r="H218" s="4" t="s">
        <v>25</v>
      </c>
      <c r="I218" s="5">
        <v>44593</v>
      </c>
      <c r="J218" s="6">
        <v>1336</v>
      </c>
      <c r="K218" s="6">
        <v>1336</v>
      </c>
      <c r="L218" s="6">
        <v>0</v>
      </c>
      <c r="M218" s="6">
        <v>0</v>
      </c>
      <c r="N218" s="6">
        <v>0</v>
      </c>
      <c r="O218" s="6">
        <v>0</v>
      </c>
      <c r="P218" s="6">
        <v>10</v>
      </c>
      <c r="Q218" s="4" t="s">
        <v>26</v>
      </c>
      <c r="R218" s="4">
        <v>0</v>
      </c>
      <c r="S218" s="6">
        <v>18</v>
      </c>
      <c r="T218" s="6">
        <v>0</v>
      </c>
      <c r="U218" s="6">
        <v>0</v>
      </c>
      <c r="V218" s="6">
        <f>IF(ISERROR(VLOOKUP($S$218,'TAR FIN'!$A$1:$O$92,15,0)),0,VLOOKUP($S$218,'TAR FIN'!$A$1:$O$92,15,0))</f>
        <v>18.489999999999998</v>
      </c>
      <c r="W218" s="6">
        <f>IF(ISERROR(VLOOKUP($T$218,'TAR FIN'!$A$1:$O$92,15,0)),0,VLOOKUP($T$218,'TAR FIN'!$A$1:$O$92,15,0))</f>
        <v>0</v>
      </c>
      <c r="X218" s="6">
        <f>IF(ISERROR(VLOOKUP($U$218,'TAR FIN'!$A$1:$O$92,15,0)),0,VLOOKUP($U$218,'TAR FIN'!$A$1:$O$92,15,0))</f>
        <v>0</v>
      </c>
      <c r="Y218" s="6">
        <f ca="1">('TUSD BE'!$AM$14+'TUSD BF'!$AM$14+'TUSD CVA'!$AM$14)*1</f>
        <v>23.643887023397856</v>
      </c>
      <c r="Z218" s="6"/>
      <c r="AA218" s="6"/>
      <c r="AB218" s="6">
        <f>$K$218*$V$218</f>
        <v>24702.639999999999</v>
      </c>
      <c r="AC218" s="6">
        <f>$M$218*$W$218</f>
        <v>0</v>
      </c>
      <c r="AD218" s="6">
        <f>$O$218*$X$218</f>
        <v>0</v>
      </c>
      <c r="AE218" s="6">
        <f ca="1">$K$218*$Y$218</f>
        <v>31588.233063259537</v>
      </c>
      <c r="AF218" s="6">
        <f>$M$218*$Z$218</f>
        <v>0</v>
      </c>
      <c r="AG218" s="6">
        <f>$O$218*$AA$218</f>
        <v>0</v>
      </c>
    </row>
    <row r="219" spans="1:33" ht="11.25" hidden="1" customHeight="1" x14ac:dyDescent="0.3">
      <c r="A219" s="4" t="s">
        <v>27</v>
      </c>
      <c r="B219" s="4" t="s">
        <v>34</v>
      </c>
      <c r="C219" s="4" t="s">
        <v>35</v>
      </c>
      <c r="D219" s="4" t="s">
        <v>33</v>
      </c>
      <c r="E219" s="4" t="s">
        <v>25</v>
      </c>
      <c r="F219" s="4" t="s">
        <v>25</v>
      </c>
      <c r="G219" s="4" t="s">
        <v>25</v>
      </c>
      <c r="H219" s="4" t="s">
        <v>25</v>
      </c>
      <c r="I219" s="5">
        <v>44593</v>
      </c>
      <c r="J219" s="6">
        <v>350</v>
      </c>
      <c r="K219" s="6">
        <v>350</v>
      </c>
      <c r="L219" s="6">
        <v>0</v>
      </c>
      <c r="M219" s="6">
        <v>0</v>
      </c>
      <c r="N219" s="6">
        <v>0</v>
      </c>
      <c r="O219" s="6">
        <v>0</v>
      </c>
      <c r="P219" s="6">
        <v>2</v>
      </c>
      <c r="Q219" s="4" t="s">
        <v>26</v>
      </c>
      <c r="R219" s="4">
        <v>0</v>
      </c>
      <c r="S219" s="6">
        <v>18</v>
      </c>
      <c r="T219" s="6">
        <v>0</v>
      </c>
      <c r="U219" s="6">
        <v>0</v>
      </c>
      <c r="V219" s="6">
        <f>IF(ISERROR(VLOOKUP($S$219,'TAR FIN'!$A$1:$O$92,15,0)),0,VLOOKUP($S$219,'TAR FIN'!$A$1:$O$92,15,0))</f>
        <v>18.489999999999998</v>
      </c>
      <c r="W219" s="6">
        <f>IF(ISERROR(VLOOKUP($T$219,'TAR FIN'!$A$1:$O$92,15,0)),0,VLOOKUP($T$219,'TAR FIN'!$A$1:$O$92,15,0))</f>
        <v>0</v>
      </c>
      <c r="X219" s="6">
        <f>IF(ISERROR(VLOOKUP($U$219,'TAR FIN'!$A$1:$O$92,15,0)),0,VLOOKUP($U$219,'TAR FIN'!$A$1:$O$92,15,0))</f>
        <v>0</v>
      </c>
      <c r="Y219" s="6">
        <f ca="1">('TUSD BE'!$AM$14+'TUSD BF'!$AM$14+'TUSD CVA'!$AM$14)*1</f>
        <v>23.643887023397856</v>
      </c>
      <c r="Z219" s="6"/>
      <c r="AA219" s="6"/>
      <c r="AB219" s="6">
        <f>$K$219*$V$219</f>
        <v>6471.4999999999991</v>
      </c>
      <c r="AC219" s="6">
        <f>$M$219*$W$219</f>
        <v>0</v>
      </c>
      <c r="AD219" s="6">
        <f>$O$219*$X$219</f>
        <v>0</v>
      </c>
      <c r="AE219" s="6">
        <f ca="1">$K$219*$Y$219</f>
        <v>8275.3604581892487</v>
      </c>
      <c r="AF219" s="6">
        <f>$M$219*$Z$219</f>
        <v>0</v>
      </c>
      <c r="AG219" s="6">
        <f>$O$219*$AA$219</f>
        <v>0</v>
      </c>
    </row>
    <row r="220" spans="1:33" ht="11.25" hidden="1" customHeight="1" x14ac:dyDescent="0.3">
      <c r="A220" s="4" t="s">
        <v>21</v>
      </c>
      <c r="B220" s="4" t="s">
        <v>34</v>
      </c>
      <c r="C220" s="4" t="s">
        <v>35</v>
      </c>
      <c r="D220" s="4" t="s">
        <v>33</v>
      </c>
      <c r="E220" s="4" t="s">
        <v>25</v>
      </c>
      <c r="F220" s="4" t="s">
        <v>25</v>
      </c>
      <c r="G220" s="4" t="s">
        <v>25</v>
      </c>
      <c r="H220" s="4" t="s">
        <v>25</v>
      </c>
      <c r="I220" s="5">
        <v>44621</v>
      </c>
      <c r="J220" s="6">
        <v>1179</v>
      </c>
      <c r="K220" s="6">
        <v>1179</v>
      </c>
      <c r="L220" s="6">
        <v>0</v>
      </c>
      <c r="M220" s="6">
        <v>0</v>
      </c>
      <c r="N220" s="6">
        <v>0</v>
      </c>
      <c r="O220" s="6">
        <v>0</v>
      </c>
      <c r="P220" s="6">
        <v>9</v>
      </c>
      <c r="Q220" s="4" t="s">
        <v>26</v>
      </c>
      <c r="R220" s="4">
        <v>0</v>
      </c>
      <c r="S220" s="6">
        <v>18</v>
      </c>
      <c r="T220" s="6">
        <v>0</v>
      </c>
      <c r="U220" s="6">
        <v>0</v>
      </c>
      <c r="V220" s="6">
        <f>IF(ISERROR(VLOOKUP($S$220,'TAR FIN'!$A$1:$O$92,15,0)),0,VLOOKUP($S$220,'TAR FIN'!$A$1:$O$92,15,0))</f>
        <v>18.489999999999998</v>
      </c>
      <c r="W220" s="6">
        <f>IF(ISERROR(VLOOKUP($T$220,'TAR FIN'!$A$1:$O$92,15,0)),0,VLOOKUP($T$220,'TAR FIN'!$A$1:$O$92,15,0))</f>
        <v>0</v>
      </c>
      <c r="X220" s="6">
        <f>IF(ISERROR(VLOOKUP($U$220,'TAR FIN'!$A$1:$O$92,15,0)),0,VLOOKUP($U$220,'TAR FIN'!$A$1:$O$92,15,0))</f>
        <v>0</v>
      </c>
      <c r="Y220" s="6">
        <f ca="1">('TUSD BE'!$AM$14+'TUSD BF'!$AM$14+'TUSD CVA'!$AM$14)*1</f>
        <v>23.643887023397856</v>
      </c>
      <c r="Z220" s="6"/>
      <c r="AA220" s="6"/>
      <c r="AB220" s="6">
        <f>$K$220*$V$220</f>
        <v>21799.71</v>
      </c>
      <c r="AC220" s="6">
        <f>$M$220*$W$220</f>
        <v>0</v>
      </c>
      <c r="AD220" s="6">
        <f>$O$220*$X$220</f>
        <v>0</v>
      </c>
      <c r="AE220" s="6">
        <f ca="1">$K$220*$Y$220</f>
        <v>27876.142800586073</v>
      </c>
      <c r="AF220" s="6">
        <f>$M$220*$Z$220</f>
        <v>0</v>
      </c>
      <c r="AG220" s="6">
        <f>$O$220*$AA$220</f>
        <v>0</v>
      </c>
    </row>
    <row r="221" spans="1:33" ht="11.25" hidden="1" customHeight="1" x14ac:dyDescent="0.3">
      <c r="A221" s="4" t="s">
        <v>27</v>
      </c>
      <c r="B221" s="4" t="s">
        <v>34</v>
      </c>
      <c r="C221" s="4" t="s">
        <v>35</v>
      </c>
      <c r="D221" s="4" t="s">
        <v>33</v>
      </c>
      <c r="E221" s="4" t="s">
        <v>25</v>
      </c>
      <c r="F221" s="4" t="s">
        <v>25</v>
      </c>
      <c r="G221" s="4" t="s">
        <v>25</v>
      </c>
      <c r="H221" s="4" t="s">
        <v>25</v>
      </c>
      <c r="I221" s="5">
        <v>44621</v>
      </c>
      <c r="J221" s="6">
        <v>350</v>
      </c>
      <c r="K221" s="6">
        <v>350</v>
      </c>
      <c r="L221" s="6">
        <v>0</v>
      </c>
      <c r="M221" s="6">
        <v>0</v>
      </c>
      <c r="N221" s="6">
        <v>0</v>
      </c>
      <c r="O221" s="6">
        <v>0</v>
      </c>
      <c r="P221" s="6">
        <v>2</v>
      </c>
      <c r="Q221" s="4" t="s">
        <v>26</v>
      </c>
      <c r="R221" s="4">
        <v>0</v>
      </c>
      <c r="S221" s="6">
        <v>18</v>
      </c>
      <c r="T221" s="6">
        <v>0</v>
      </c>
      <c r="U221" s="6">
        <v>0</v>
      </c>
      <c r="V221" s="6">
        <f>IF(ISERROR(VLOOKUP($S$221,'TAR FIN'!$A$1:$O$92,15,0)),0,VLOOKUP($S$221,'TAR FIN'!$A$1:$O$92,15,0))</f>
        <v>18.489999999999998</v>
      </c>
      <c r="W221" s="6">
        <f>IF(ISERROR(VLOOKUP($T$221,'TAR FIN'!$A$1:$O$92,15,0)),0,VLOOKUP($T$221,'TAR FIN'!$A$1:$O$92,15,0))</f>
        <v>0</v>
      </c>
      <c r="X221" s="6">
        <f>IF(ISERROR(VLOOKUP($U$221,'TAR FIN'!$A$1:$O$92,15,0)),0,VLOOKUP($U$221,'TAR FIN'!$A$1:$O$92,15,0))</f>
        <v>0</v>
      </c>
      <c r="Y221" s="6">
        <f ca="1">('TUSD BE'!$AM$14+'TUSD BF'!$AM$14+'TUSD CVA'!$AM$14)*1</f>
        <v>23.643887023397856</v>
      </c>
      <c r="Z221" s="6"/>
      <c r="AA221" s="6"/>
      <c r="AB221" s="6">
        <f>$K$221*$V$221</f>
        <v>6471.4999999999991</v>
      </c>
      <c r="AC221" s="6">
        <f>$M$221*$W$221</f>
        <v>0</v>
      </c>
      <c r="AD221" s="6">
        <f>$O$221*$X$221</f>
        <v>0</v>
      </c>
      <c r="AE221" s="6">
        <f ca="1">$K$221*$Y$221</f>
        <v>8275.3604581892487</v>
      </c>
      <c r="AF221" s="6">
        <f>$M$221*$Z$221</f>
        <v>0</v>
      </c>
      <c r="AG221" s="6">
        <f>$O$221*$AA$221</f>
        <v>0</v>
      </c>
    </row>
    <row r="222" spans="1:33" ht="11.25" hidden="1" customHeight="1" x14ac:dyDescent="0.3">
      <c r="A222" s="4" t="s">
        <v>21</v>
      </c>
      <c r="B222" s="4" t="s">
        <v>34</v>
      </c>
      <c r="C222" s="4" t="s">
        <v>35</v>
      </c>
      <c r="D222" s="4" t="s">
        <v>33</v>
      </c>
      <c r="E222" s="4" t="s">
        <v>25</v>
      </c>
      <c r="F222" s="4" t="s">
        <v>25</v>
      </c>
      <c r="G222" s="4" t="s">
        <v>25</v>
      </c>
      <c r="H222" s="4" t="s">
        <v>25</v>
      </c>
      <c r="I222" s="5">
        <v>44652</v>
      </c>
      <c r="J222" s="6">
        <v>1394</v>
      </c>
      <c r="K222" s="6">
        <v>1394</v>
      </c>
      <c r="L222" s="6">
        <v>0</v>
      </c>
      <c r="M222" s="6">
        <v>0</v>
      </c>
      <c r="N222" s="6">
        <v>0</v>
      </c>
      <c r="O222" s="6">
        <v>0</v>
      </c>
      <c r="P222" s="6">
        <v>9</v>
      </c>
      <c r="Q222" s="4" t="s">
        <v>26</v>
      </c>
      <c r="R222" s="4">
        <v>0</v>
      </c>
      <c r="S222" s="6">
        <v>18</v>
      </c>
      <c r="T222" s="6">
        <v>0</v>
      </c>
      <c r="U222" s="6">
        <v>0</v>
      </c>
      <c r="V222" s="6">
        <f>IF(ISERROR(VLOOKUP($S$222,'TAR FIN'!$A$1:$O$92,15,0)),0,VLOOKUP($S$222,'TAR FIN'!$A$1:$O$92,15,0))</f>
        <v>18.489999999999998</v>
      </c>
      <c r="W222" s="6">
        <f>IF(ISERROR(VLOOKUP($T$222,'TAR FIN'!$A$1:$O$92,15,0)),0,VLOOKUP($T$222,'TAR FIN'!$A$1:$O$92,15,0))</f>
        <v>0</v>
      </c>
      <c r="X222" s="6">
        <f>IF(ISERROR(VLOOKUP($U$222,'TAR FIN'!$A$1:$O$92,15,0)),0,VLOOKUP($U$222,'TAR FIN'!$A$1:$O$92,15,0))</f>
        <v>0</v>
      </c>
      <c r="Y222" s="6">
        <f ca="1">('TUSD BE'!$AM$14+'TUSD BF'!$AM$14+'TUSD CVA'!$AM$14)*1</f>
        <v>23.643887023397856</v>
      </c>
      <c r="Z222" s="6"/>
      <c r="AA222" s="6"/>
      <c r="AB222" s="6">
        <f>$K$222*$V$222</f>
        <v>25775.059999999998</v>
      </c>
      <c r="AC222" s="6">
        <f>$M$222*$W$222</f>
        <v>0</v>
      </c>
      <c r="AD222" s="6">
        <f>$O$222*$X$222</f>
        <v>0</v>
      </c>
      <c r="AE222" s="6">
        <f ca="1">$K$222*$Y$222</f>
        <v>32959.578510616608</v>
      </c>
      <c r="AF222" s="6">
        <f>$M$222*$Z$222</f>
        <v>0</v>
      </c>
      <c r="AG222" s="6">
        <f>$O$222*$AA$222</f>
        <v>0</v>
      </c>
    </row>
    <row r="223" spans="1:33" ht="11.25" hidden="1" customHeight="1" x14ac:dyDescent="0.3">
      <c r="A223" s="4" t="s">
        <v>27</v>
      </c>
      <c r="B223" s="4" t="s">
        <v>34</v>
      </c>
      <c r="C223" s="4" t="s">
        <v>35</v>
      </c>
      <c r="D223" s="4" t="s">
        <v>33</v>
      </c>
      <c r="E223" s="4" t="s">
        <v>25</v>
      </c>
      <c r="F223" s="4" t="s">
        <v>25</v>
      </c>
      <c r="G223" s="4" t="s">
        <v>25</v>
      </c>
      <c r="H223" s="4" t="s">
        <v>25</v>
      </c>
      <c r="I223" s="5">
        <v>44652</v>
      </c>
      <c r="J223" s="6">
        <v>350</v>
      </c>
      <c r="K223" s="6">
        <v>350</v>
      </c>
      <c r="L223" s="6">
        <v>0</v>
      </c>
      <c r="M223" s="6">
        <v>0</v>
      </c>
      <c r="N223" s="6">
        <v>0</v>
      </c>
      <c r="O223" s="6">
        <v>0</v>
      </c>
      <c r="P223" s="6">
        <v>2</v>
      </c>
      <c r="Q223" s="4" t="s">
        <v>26</v>
      </c>
      <c r="R223" s="4">
        <v>0</v>
      </c>
      <c r="S223" s="6">
        <v>18</v>
      </c>
      <c r="T223" s="6">
        <v>0</v>
      </c>
      <c r="U223" s="6">
        <v>0</v>
      </c>
      <c r="V223" s="6">
        <f>IF(ISERROR(VLOOKUP($S$223,'TAR FIN'!$A$1:$O$92,15,0)),0,VLOOKUP($S$223,'TAR FIN'!$A$1:$O$92,15,0))</f>
        <v>18.489999999999998</v>
      </c>
      <c r="W223" s="6">
        <f>IF(ISERROR(VLOOKUP($T$223,'TAR FIN'!$A$1:$O$92,15,0)),0,VLOOKUP($T$223,'TAR FIN'!$A$1:$O$92,15,0))</f>
        <v>0</v>
      </c>
      <c r="X223" s="6">
        <f>IF(ISERROR(VLOOKUP($U$223,'TAR FIN'!$A$1:$O$92,15,0)),0,VLOOKUP($U$223,'TAR FIN'!$A$1:$O$92,15,0))</f>
        <v>0</v>
      </c>
      <c r="Y223" s="6">
        <f ca="1">('TUSD BE'!$AM$14+'TUSD BF'!$AM$14+'TUSD CVA'!$AM$14)*1</f>
        <v>23.643887023397856</v>
      </c>
      <c r="Z223" s="6"/>
      <c r="AA223" s="6"/>
      <c r="AB223" s="6">
        <f>$K$223*$V$223</f>
        <v>6471.4999999999991</v>
      </c>
      <c r="AC223" s="6">
        <f>$M$223*$W$223</f>
        <v>0</v>
      </c>
      <c r="AD223" s="6">
        <f>$O$223*$X$223</f>
        <v>0</v>
      </c>
      <c r="AE223" s="6">
        <f ca="1">$K$223*$Y$223</f>
        <v>8275.3604581892487</v>
      </c>
      <c r="AF223" s="6">
        <f>$M$223*$Z$223</f>
        <v>0</v>
      </c>
      <c r="AG223" s="6">
        <f>$O$223*$AA$223</f>
        <v>0</v>
      </c>
    </row>
    <row r="224" spans="1:33" ht="11.25" hidden="1" customHeight="1" x14ac:dyDescent="0.3">
      <c r="A224" s="4" t="s">
        <v>21</v>
      </c>
      <c r="B224" s="4" t="s">
        <v>34</v>
      </c>
      <c r="C224" s="4" t="s">
        <v>35</v>
      </c>
      <c r="D224" s="4" t="s">
        <v>33</v>
      </c>
      <c r="E224" s="4" t="s">
        <v>25</v>
      </c>
      <c r="F224" s="4" t="s">
        <v>25</v>
      </c>
      <c r="G224" s="4" t="s">
        <v>25</v>
      </c>
      <c r="H224" s="4" t="s">
        <v>25</v>
      </c>
      <c r="I224" s="5">
        <v>44682</v>
      </c>
      <c r="J224" s="6">
        <v>1382</v>
      </c>
      <c r="K224" s="6">
        <v>1382</v>
      </c>
      <c r="L224" s="6">
        <v>0</v>
      </c>
      <c r="M224" s="6">
        <v>0</v>
      </c>
      <c r="N224" s="6">
        <v>0</v>
      </c>
      <c r="O224" s="6">
        <v>0</v>
      </c>
      <c r="P224" s="6">
        <v>9</v>
      </c>
      <c r="Q224" s="4" t="s">
        <v>26</v>
      </c>
      <c r="R224" s="4">
        <v>0</v>
      </c>
      <c r="S224" s="6">
        <v>18</v>
      </c>
      <c r="T224" s="6">
        <v>0</v>
      </c>
      <c r="U224" s="6">
        <v>0</v>
      </c>
      <c r="V224" s="6">
        <f>IF(ISERROR(VLOOKUP($S$224,'TAR FIN'!$A$1:$O$92,15,0)),0,VLOOKUP($S$224,'TAR FIN'!$A$1:$O$92,15,0))</f>
        <v>18.489999999999998</v>
      </c>
      <c r="W224" s="6">
        <f>IF(ISERROR(VLOOKUP($T$224,'TAR FIN'!$A$1:$O$92,15,0)),0,VLOOKUP($T$224,'TAR FIN'!$A$1:$O$92,15,0))</f>
        <v>0</v>
      </c>
      <c r="X224" s="6">
        <f>IF(ISERROR(VLOOKUP($U$224,'TAR FIN'!$A$1:$O$92,15,0)),0,VLOOKUP($U$224,'TAR FIN'!$A$1:$O$92,15,0))</f>
        <v>0</v>
      </c>
      <c r="Y224" s="6">
        <f ca="1">('TUSD BE'!$AM$14+'TUSD BF'!$AM$14+'TUSD CVA'!$AM$14)*1</f>
        <v>23.643887023397856</v>
      </c>
      <c r="Z224" s="6"/>
      <c r="AA224" s="6"/>
      <c r="AB224" s="6">
        <f>$K$224*$V$224</f>
        <v>25553.179999999997</v>
      </c>
      <c r="AC224" s="6">
        <f>$M$224*$W$224</f>
        <v>0</v>
      </c>
      <c r="AD224" s="6">
        <f>$O$224*$X$224</f>
        <v>0</v>
      </c>
      <c r="AE224" s="6">
        <f ca="1">$K$224*$Y$224</f>
        <v>32675.851866335837</v>
      </c>
      <c r="AF224" s="6">
        <f>$M$224*$Z$224</f>
        <v>0</v>
      </c>
      <c r="AG224" s="6">
        <f>$O$224*$AA$224</f>
        <v>0</v>
      </c>
    </row>
    <row r="225" spans="1:33" ht="11.25" hidden="1" customHeight="1" x14ac:dyDescent="0.3">
      <c r="A225" s="4" t="s">
        <v>27</v>
      </c>
      <c r="B225" s="4" t="s">
        <v>34</v>
      </c>
      <c r="C225" s="4" t="s">
        <v>35</v>
      </c>
      <c r="D225" s="4" t="s">
        <v>33</v>
      </c>
      <c r="E225" s="4" t="s">
        <v>25</v>
      </c>
      <c r="F225" s="4" t="s">
        <v>25</v>
      </c>
      <c r="G225" s="4" t="s">
        <v>25</v>
      </c>
      <c r="H225" s="4" t="s">
        <v>25</v>
      </c>
      <c r="I225" s="5">
        <v>44682</v>
      </c>
      <c r="J225" s="6">
        <v>250</v>
      </c>
      <c r="K225" s="6">
        <v>250</v>
      </c>
      <c r="L225" s="6">
        <v>0</v>
      </c>
      <c r="M225" s="6">
        <v>0</v>
      </c>
      <c r="N225" s="6">
        <v>0</v>
      </c>
      <c r="O225" s="6">
        <v>0</v>
      </c>
      <c r="P225" s="6">
        <v>1</v>
      </c>
      <c r="Q225" s="4" t="s">
        <v>26</v>
      </c>
      <c r="R225" s="4">
        <v>0</v>
      </c>
      <c r="S225" s="6">
        <v>18</v>
      </c>
      <c r="T225" s="6">
        <v>0</v>
      </c>
      <c r="U225" s="6">
        <v>0</v>
      </c>
      <c r="V225" s="6">
        <f>IF(ISERROR(VLOOKUP($S$225,'TAR FIN'!$A$1:$O$92,15,0)),0,VLOOKUP($S$225,'TAR FIN'!$A$1:$O$92,15,0))</f>
        <v>18.489999999999998</v>
      </c>
      <c r="W225" s="6">
        <f>IF(ISERROR(VLOOKUP($T$225,'TAR FIN'!$A$1:$O$92,15,0)),0,VLOOKUP($T$225,'TAR FIN'!$A$1:$O$92,15,0))</f>
        <v>0</v>
      </c>
      <c r="X225" s="6">
        <f>IF(ISERROR(VLOOKUP($U$225,'TAR FIN'!$A$1:$O$92,15,0)),0,VLOOKUP($U$225,'TAR FIN'!$A$1:$O$92,15,0))</f>
        <v>0</v>
      </c>
      <c r="Y225" s="6">
        <f ca="1">('TUSD BE'!$AM$14+'TUSD BF'!$AM$14+'TUSD CVA'!$AM$14)*1</f>
        <v>23.643887023397856</v>
      </c>
      <c r="Z225" s="6"/>
      <c r="AA225" s="6"/>
      <c r="AB225" s="6">
        <f>$K$225*$V$225</f>
        <v>4622.5</v>
      </c>
      <c r="AC225" s="6">
        <f>$M$225*$W$225</f>
        <v>0</v>
      </c>
      <c r="AD225" s="6">
        <f>$O$225*$X$225</f>
        <v>0</v>
      </c>
      <c r="AE225" s="6">
        <f ca="1">$K$225*$Y$225</f>
        <v>5910.971755849464</v>
      </c>
      <c r="AF225" s="6">
        <f>$M$225*$Z$225</f>
        <v>0</v>
      </c>
      <c r="AG225" s="6">
        <f>$O$225*$AA$225</f>
        <v>0</v>
      </c>
    </row>
    <row r="226" spans="1:33" ht="11.25" hidden="1" customHeight="1" x14ac:dyDescent="0.3">
      <c r="A226" s="4" t="s">
        <v>21</v>
      </c>
      <c r="B226" s="4" t="s">
        <v>34</v>
      </c>
      <c r="C226" s="4" t="s">
        <v>35</v>
      </c>
      <c r="D226" s="4" t="s">
        <v>33</v>
      </c>
      <c r="E226" s="4" t="s">
        <v>25</v>
      </c>
      <c r="F226" s="4" t="s">
        <v>25</v>
      </c>
      <c r="G226" s="4" t="s">
        <v>25</v>
      </c>
      <c r="H226" s="4" t="s">
        <v>25</v>
      </c>
      <c r="I226" s="5">
        <v>44713</v>
      </c>
      <c r="J226" s="6">
        <v>1251</v>
      </c>
      <c r="K226" s="6">
        <v>1251</v>
      </c>
      <c r="L226" s="6">
        <v>0</v>
      </c>
      <c r="M226" s="6">
        <v>0</v>
      </c>
      <c r="N226" s="6">
        <v>0</v>
      </c>
      <c r="O226" s="6">
        <v>0</v>
      </c>
      <c r="P226" s="6">
        <v>8</v>
      </c>
      <c r="Q226" s="4" t="s">
        <v>26</v>
      </c>
      <c r="R226" s="4">
        <v>0</v>
      </c>
      <c r="S226" s="6">
        <v>18</v>
      </c>
      <c r="T226" s="6">
        <v>0</v>
      </c>
      <c r="U226" s="6">
        <v>0</v>
      </c>
      <c r="V226" s="6">
        <f>IF(ISERROR(VLOOKUP($S$226,'TAR FIN'!$A$1:$O$92,15,0)),0,VLOOKUP($S$226,'TAR FIN'!$A$1:$O$92,15,0))</f>
        <v>18.489999999999998</v>
      </c>
      <c r="W226" s="6">
        <f>IF(ISERROR(VLOOKUP($T$226,'TAR FIN'!$A$1:$O$92,15,0)),0,VLOOKUP($T$226,'TAR FIN'!$A$1:$O$92,15,0))</f>
        <v>0</v>
      </c>
      <c r="X226" s="6">
        <f>IF(ISERROR(VLOOKUP($U$226,'TAR FIN'!$A$1:$O$92,15,0)),0,VLOOKUP($U$226,'TAR FIN'!$A$1:$O$92,15,0))</f>
        <v>0</v>
      </c>
      <c r="Y226" s="6">
        <f ca="1">('TUSD BE'!$AM$14+'TUSD BF'!$AM$14+'TUSD CVA'!$AM$14)*1</f>
        <v>23.643887023397856</v>
      </c>
      <c r="Z226" s="6"/>
      <c r="AA226" s="6"/>
      <c r="AB226" s="6">
        <f>$K$226*$V$226</f>
        <v>23130.989999999998</v>
      </c>
      <c r="AC226" s="6">
        <f>$M$226*$W$226</f>
        <v>0</v>
      </c>
      <c r="AD226" s="6">
        <f>$O$226*$X$226</f>
        <v>0</v>
      </c>
      <c r="AE226" s="6">
        <f ca="1">$K$226*$Y$226</f>
        <v>29578.502666270717</v>
      </c>
      <c r="AF226" s="6">
        <f>$M$226*$Z$226</f>
        <v>0</v>
      </c>
      <c r="AG226" s="6">
        <f>$O$226*$AA$226</f>
        <v>0</v>
      </c>
    </row>
    <row r="227" spans="1:33" ht="11.25" hidden="1" customHeight="1" x14ac:dyDescent="0.3">
      <c r="A227" s="4" t="s">
        <v>27</v>
      </c>
      <c r="B227" s="4" t="s">
        <v>34</v>
      </c>
      <c r="C227" s="4" t="s">
        <v>35</v>
      </c>
      <c r="D227" s="4" t="s">
        <v>33</v>
      </c>
      <c r="E227" s="4" t="s">
        <v>25</v>
      </c>
      <c r="F227" s="4" t="s">
        <v>25</v>
      </c>
      <c r="G227" s="4" t="s">
        <v>25</v>
      </c>
      <c r="H227" s="4" t="s">
        <v>25</v>
      </c>
      <c r="I227" s="5">
        <v>44713</v>
      </c>
      <c r="J227" s="6">
        <v>370</v>
      </c>
      <c r="K227" s="6">
        <v>370</v>
      </c>
      <c r="L227" s="6">
        <v>0</v>
      </c>
      <c r="M227" s="6">
        <v>0</v>
      </c>
      <c r="N227" s="6">
        <v>0</v>
      </c>
      <c r="O227" s="6">
        <v>0</v>
      </c>
      <c r="P227" s="6">
        <v>2</v>
      </c>
      <c r="Q227" s="4" t="s">
        <v>26</v>
      </c>
      <c r="R227" s="4">
        <v>0</v>
      </c>
      <c r="S227" s="6">
        <v>18</v>
      </c>
      <c r="T227" s="6">
        <v>0</v>
      </c>
      <c r="U227" s="6">
        <v>0</v>
      </c>
      <c r="V227" s="6">
        <f>IF(ISERROR(VLOOKUP($S$227,'TAR FIN'!$A$1:$O$92,15,0)),0,VLOOKUP($S$227,'TAR FIN'!$A$1:$O$92,15,0))</f>
        <v>18.489999999999998</v>
      </c>
      <c r="W227" s="6">
        <f>IF(ISERROR(VLOOKUP($T$227,'TAR FIN'!$A$1:$O$92,15,0)),0,VLOOKUP($T$227,'TAR FIN'!$A$1:$O$92,15,0))</f>
        <v>0</v>
      </c>
      <c r="X227" s="6">
        <f>IF(ISERROR(VLOOKUP($U$227,'TAR FIN'!$A$1:$O$92,15,0)),0,VLOOKUP($U$227,'TAR FIN'!$A$1:$O$92,15,0))</f>
        <v>0</v>
      </c>
      <c r="Y227" s="6">
        <f ca="1">('TUSD BE'!$AM$14+'TUSD BF'!$AM$14+'TUSD CVA'!$AM$14)*1</f>
        <v>23.643887023397856</v>
      </c>
      <c r="Z227" s="6"/>
      <c r="AA227" s="6"/>
      <c r="AB227" s="6">
        <f>$K$227*$V$227</f>
        <v>6841.2999999999993</v>
      </c>
      <c r="AC227" s="6">
        <f>$M$227*$W$227</f>
        <v>0</v>
      </c>
      <c r="AD227" s="6">
        <f>$O$227*$X$227</f>
        <v>0</v>
      </c>
      <c r="AE227" s="6">
        <f ca="1">$K$227*$Y$227</f>
        <v>8748.2381986572072</v>
      </c>
      <c r="AF227" s="6">
        <f>$M$227*$Z$227</f>
        <v>0</v>
      </c>
      <c r="AG227" s="6">
        <f>$O$227*$AA$227</f>
        <v>0</v>
      </c>
    </row>
    <row r="228" spans="1:33" ht="11.25" hidden="1" customHeight="1" x14ac:dyDescent="0.3">
      <c r="A228" s="4" t="s">
        <v>21</v>
      </c>
      <c r="B228" s="4" t="s">
        <v>34</v>
      </c>
      <c r="C228" s="4" t="s">
        <v>35</v>
      </c>
      <c r="D228" s="4" t="s">
        <v>33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44743</v>
      </c>
      <c r="J228" s="6">
        <v>1251.6600000000001</v>
      </c>
      <c r="K228" s="6">
        <v>1251.6600000000001</v>
      </c>
      <c r="L228" s="6">
        <v>0</v>
      </c>
      <c r="M228" s="6">
        <v>0</v>
      </c>
      <c r="N228" s="6">
        <v>0</v>
      </c>
      <c r="O228" s="6">
        <v>0</v>
      </c>
      <c r="P228" s="6">
        <v>8</v>
      </c>
      <c r="Q228" s="4" t="s">
        <v>26</v>
      </c>
      <c r="R228" s="4">
        <v>0</v>
      </c>
      <c r="S228" s="6">
        <v>18</v>
      </c>
      <c r="T228" s="6">
        <v>0</v>
      </c>
      <c r="U228" s="6">
        <v>0</v>
      </c>
      <c r="V228" s="6">
        <f>IF(ISERROR(VLOOKUP($S$228,'TAR FIN'!$A$1:$O$92,15,0)),0,VLOOKUP($S$228,'TAR FIN'!$A$1:$O$92,15,0))</f>
        <v>18.489999999999998</v>
      </c>
      <c r="W228" s="6">
        <f>IF(ISERROR(VLOOKUP($T$228,'TAR FIN'!$A$1:$O$92,15,0)),0,VLOOKUP($T$228,'TAR FIN'!$A$1:$O$92,15,0))</f>
        <v>0</v>
      </c>
      <c r="X228" s="6">
        <f>IF(ISERROR(VLOOKUP($U$228,'TAR FIN'!$A$1:$O$92,15,0)),0,VLOOKUP($U$228,'TAR FIN'!$A$1:$O$92,15,0))</f>
        <v>0</v>
      </c>
      <c r="Y228" s="6">
        <f ca="1">('TUSD BE'!$AM$14+'TUSD BF'!$AM$14+'TUSD CVA'!$AM$14)*1</f>
        <v>23.643887023397856</v>
      </c>
      <c r="Z228" s="6"/>
      <c r="AA228" s="6"/>
      <c r="AB228" s="6">
        <f>$K$228*$V$228</f>
        <v>23143.1934</v>
      </c>
      <c r="AC228" s="6">
        <f>$M$228*$W$228</f>
        <v>0</v>
      </c>
      <c r="AD228" s="6">
        <f>$O$228*$X$228</f>
        <v>0</v>
      </c>
      <c r="AE228" s="6">
        <f ca="1">$K$228*$Y$228</f>
        <v>29594.107631706163</v>
      </c>
      <c r="AF228" s="6">
        <f>$M$228*$Z$228</f>
        <v>0</v>
      </c>
      <c r="AG228" s="6">
        <f>$O$228*$AA$228</f>
        <v>0</v>
      </c>
    </row>
    <row r="229" spans="1:33" ht="11.25" hidden="1" customHeight="1" x14ac:dyDescent="0.3">
      <c r="A229" s="4" t="s">
        <v>27</v>
      </c>
      <c r="B229" s="4" t="s">
        <v>34</v>
      </c>
      <c r="C229" s="4" t="s">
        <v>35</v>
      </c>
      <c r="D229" s="4" t="s">
        <v>33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44743</v>
      </c>
      <c r="J229" s="6">
        <v>370</v>
      </c>
      <c r="K229" s="6">
        <v>370</v>
      </c>
      <c r="L229" s="6">
        <v>0</v>
      </c>
      <c r="M229" s="6">
        <v>0</v>
      </c>
      <c r="N229" s="6">
        <v>0</v>
      </c>
      <c r="O229" s="6">
        <v>0</v>
      </c>
      <c r="P229" s="6">
        <v>2</v>
      </c>
      <c r="Q229" s="4" t="s">
        <v>26</v>
      </c>
      <c r="R229" s="4">
        <v>0</v>
      </c>
      <c r="S229" s="6">
        <v>18</v>
      </c>
      <c r="T229" s="6">
        <v>0</v>
      </c>
      <c r="U229" s="6">
        <v>0</v>
      </c>
      <c r="V229" s="6">
        <f>IF(ISERROR(VLOOKUP($S$229,'TAR FIN'!$A$1:$O$92,15,0)),0,VLOOKUP($S$229,'TAR FIN'!$A$1:$O$92,15,0))</f>
        <v>18.489999999999998</v>
      </c>
      <c r="W229" s="6">
        <f>IF(ISERROR(VLOOKUP($T$229,'TAR FIN'!$A$1:$O$92,15,0)),0,VLOOKUP($T$229,'TAR FIN'!$A$1:$O$92,15,0))</f>
        <v>0</v>
      </c>
      <c r="X229" s="6">
        <f>IF(ISERROR(VLOOKUP($U$229,'TAR FIN'!$A$1:$O$92,15,0)),0,VLOOKUP($U$229,'TAR FIN'!$A$1:$O$92,15,0))</f>
        <v>0</v>
      </c>
      <c r="Y229" s="6">
        <f ca="1">('TUSD BE'!$AM$14+'TUSD BF'!$AM$14+'TUSD CVA'!$AM$14)*1</f>
        <v>23.643887023397856</v>
      </c>
      <c r="Z229" s="6"/>
      <c r="AA229" s="6"/>
      <c r="AB229" s="6">
        <f>$K$229*$V$229</f>
        <v>6841.2999999999993</v>
      </c>
      <c r="AC229" s="6">
        <f>$M$229*$W$229</f>
        <v>0</v>
      </c>
      <c r="AD229" s="6">
        <f>$O$229*$X$229</f>
        <v>0</v>
      </c>
      <c r="AE229" s="6">
        <f ca="1">$K$229*$Y$229</f>
        <v>8748.2381986572072</v>
      </c>
      <c r="AF229" s="6">
        <f>$M$229*$Z$229</f>
        <v>0</v>
      </c>
      <c r="AG229" s="6">
        <f>$O$229*$AA$229</f>
        <v>0</v>
      </c>
    </row>
    <row r="230" spans="1:33" ht="11.25" hidden="1" customHeight="1" x14ac:dyDescent="0.3">
      <c r="A230" s="4" t="s">
        <v>21</v>
      </c>
      <c r="B230" s="4" t="s">
        <v>34</v>
      </c>
      <c r="C230" s="4" t="s">
        <v>35</v>
      </c>
      <c r="D230" s="4" t="s">
        <v>33</v>
      </c>
      <c r="E230" s="4" t="s">
        <v>25</v>
      </c>
      <c r="F230" s="4" t="s">
        <v>25</v>
      </c>
      <c r="G230" s="4" t="s">
        <v>25</v>
      </c>
      <c r="H230" s="4" t="s">
        <v>36</v>
      </c>
      <c r="I230" s="5">
        <v>44409</v>
      </c>
      <c r="J230" s="6">
        <v>0</v>
      </c>
      <c r="K230" s="6">
        <v>0</v>
      </c>
      <c r="L230" s="6">
        <v>17.806629999999998</v>
      </c>
      <c r="M230" s="6">
        <v>17.806629999999998</v>
      </c>
      <c r="N230" s="6">
        <v>17.806629999999998</v>
      </c>
      <c r="O230" s="6">
        <v>17.806629999999998</v>
      </c>
      <c r="P230" s="6">
        <v>0</v>
      </c>
      <c r="Q230" s="4" t="s">
        <v>26</v>
      </c>
      <c r="R230" s="4">
        <v>0</v>
      </c>
      <c r="S230" s="6">
        <v>0</v>
      </c>
      <c r="T230" s="6">
        <v>21</v>
      </c>
      <c r="U230" s="6">
        <v>83</v>
      </c>
      <c r="V230" s="6">
        <f>IF(ISERROR(VLOOKUP($S$230,'TAR FIN'!$A$1:$O$92,15,0)),0,VLOOKUP($S$230,'TAR FIN'!$A$1:$O$92,15,0))</f>
        <v>0</v>
      </c>
      <c r="W230" s="6">
        <f>IF(ISERROR(VLOOKUP($T$230,'TAR FIN'!$A$1:$O$92,15,0)),0,VLOOKUP($T$230,'TAR FIN'!$A$1:$O$92,15,0))</f>
        <v>789.62</v>
      </c>
      <c r="X230" s="6">
        <f>IF(ISERROR(VLOOKUP($U$230,'TAR FIN'!$A$1:$O$92,15,0)),0,VLOOKUP($U$230,'TAR FIN'!$A$1:$O$92,15,0))</f>
        <v>488.15</v>
      </c>
      <c r="Y230" s="6"/>
      <c r="Z230" s="6">
        <f ca="1">('TUSD BE'!$AM$15+'TUSD BF'!$AM$15+'TUSD CVA'!$AM$15)*1</f>
        <v>1080.2905876373179</v>
      </c>
      <c r="AA230" s="6">
        <f>('TE BE'!$AB$7+'TE BF'!$AB$7+'TE CVA'!$AB$7)*1</f>
        <v>461.06028669645673</v>
      </c>
      <c r="AB230" s="6">
        <f>$K$230*$V$230</f>
        <v>0</v>
      </c>
      <c r="AC230" s="6">
        <f>$M$230*$W$230</f>
        <v>14060.4711806</v>
      </c>
      <c r="AD230" s="6">
        <f>$O$230*$X$230</f>
        <v>8692.3064344999984</v>
      </c>
      <c r="AE230" s="6">
        <f>$K$230*$Y$230</f>
        <v>0</v>
      </c>
      <c r="AF230" s="6">
        <f ca="1">$M$230*$Z$230</f>
        <v>19236.334786540294</v>
      </c>
      <c r="AG230" s="6">
        <f>$O$230*$AA$230</f>
        <v>8209.9299328977268</v>
      </c>
    </row>
    <row r="231" spans="1:33" ht="11.25" hidden="1" customHeight="1" x14ac:dyDescent="0.3">
      <c r="A231" s="4" t="s">
        <v>27</v>
      </c>
      <c r="B231" s="4" t="s">
        <v>34</v>
      </c>
      <c r="C231" s="4" t="s">
        <v>35</v>
      </c>
      <c r="D231" s="4" t="s">
        <v>33</v>
      </c>
      <c r="E231" s="4" t="s">
        <v>25</v>
      </c>
      <c r="F231" s="4" t="s">
        <v>25</v>
      </c>
      <c r="G231" s="4" t="s">
        <v>25</v>
      </c>
      <c r="H231" s="4" t="s">
        <v>36</v>
      </c>
      <c r="I231" s="5">
        <v>44409</v>
      </c>
      <c r="J231" s="6">
        <v>0</v>
      </c>
      <c r="K231" s="6">
        <v>0</v>
      </c>
      <c r="L231" s="6">
        <v>0.58309</v>
      </c>
      <c r="M231" s="6">
        <v>0.58309</v>
      </c>
      <c r="N231" s="6">
        <v>0.58309</v>
      </c>
      <c r="O231" s="6">
        <v>0.58309</v>
      </c>
      <c r="P231" s="6">
        <v>0</v>
      </c>
      <c r="Q231" s="4" t="s">
        <v>26</v>
      </c>
      <c r="R231" s="4">
        <v>0</v>
      </c>
      <c r="S231" s="6">
        <v>0</v>
      </c>
      <c r="T231" s="6">
        <v>21</v>
      </c>
      <c r="U231" s="6">
        <v>83</v>
      </c>
      <c r="V231" s="6">
        <f>IF(ISERROR(VLOOKUP($S$231,'TAR FIN'!$A$1:$O$92,15,0)),0,VLOOKUP($S$231,'TAR FIN'!$A$1:$O$92,15,0))</f>
        <v>0</v>
      </c>
      <c r="W231" s="6">
        <f>IF(ISERROR(VLOOKUP($T$231,'TAR FIN'!$A$1:$O$92,15,0)),0,VLOOKUP($T$231,'TAR FIN'!$A$1:$O$92,15,0))</f>
        <v>789.62</v>
      </c>
      <c r="X231" s="6">
        <f>IF(ISERROR(VLOOKUP($U$231,'TAR FIN'!$A$1:$O$92,15,0)),0,VLOOKUP($U$231,'TAR FIN'!$A$1:$O$92,15,0))</f>
        <v>488.15</v>
      </c>
      <c r="Y231" s="6"/>
      <c r="Z231" s="6">
        <f ca="1">('TUSD BE'!$AM$15+'TUSD BF'!$AM$15+'TUSD CVA'!$AM$15)*1</f>
        <v>1080.2905876373179</v>
      </c>
      <c r="AA231" s="6">
        <f>('TE BE'!$AB$7+'TE BF'!$AB$7+'TE CVA'!$AB$7)*1</f>
        <v>461.06028669645673</v>
      </c>
      <c r="AB231" s="6">
        <f>$K$231*$V$231</f>
        <v>0</v>
      </c>
      <c r="AC231" s="6">
        <f>$M$231*$W$231</f>
        <v>460.41952579999997</v>
      </c>
      <c r="AD231" s="6">
        <f>$O$231*$X$231</f>
        <v>284.63538349999999</v>
      </c>
      <c r="AE231" s="6">
        <f>$K$231*$Y$231</f>
        <v>0</v>
      </c>
      <c r="AF231" s="6">
        <f ca="1">$M$231*$Z$231</f>
        <v>629.90663874544373</v>
      </c>
      <c r="AG231" s="6">
        <f>$O$231*$AA$231</f>
        <v>268.83964256983694</v>
      </c>
    </row>
    <row r="232" spans="1:33" ht="11.25" hidden="1" customHeight="1" x14ac:dyDescent="0.3">
      <c r="A232" s="4" t="s">
        <v>21</v>
      </c>
      <c r="B232" s="4" t="s">
        <v>34</v>
      </c>
      <c r="C232" s="4" t="s">
        <v>35</v>
      </c>
      <c r="D232" s="4" t="s">
        <v>33</v>
      </c>
      <c r="E232" s="4" t="s">
        <v>25</v>
      </c>
      <c r="F232" s="4" t="s">
        <v>25</v>
      </c>
      <c r="G232" s="4" t="s">
        <v>25</v>
      </c>
      <c r="H232" s="4" t="s">
        <v>36</v>
      </c>
      <c r="I232" s="5">
        <v>44440</v>
      </c>
      <c r="J232" s="6">
        <v>0</v>
      </c>
      <c r="K232" s="6">
        <v>0</v>
      </c>
      <c r="L232" s="6">
        <v>17.073</v>
      </c>
      <c r="M232" s="6">
        <v>17.073</v>
      </c>
      <c r="N232" s="6">
        <v>17.073</v>
      </c>
      <c r="O232" s="6">
        <v>17.073</v>
      </c>
      <c r="P232" s="6">
        <v>0</v>
      </c>
      <c r="Q232" s="4" t="s">
        <v>26</v>
      </c>
      <c r="R232" s="4">
        <v>0</v>
      </c>
      <c r="S232" s="6">
        <v>0</v>
      </c>
      <c r="T232" s="6">
        <v>21</v>
      </c>
      <c r="U232" s="6">
        <v>83</v>
      </c>
      <c r="V232" s="6">
        <f>IF(ISERROR(VLOOKUP($S$232,'TAR FIN'!$A$1:$O$92,15,0)),0,VLOOKUP($S$232,'TAR FIN'!$A$1:$O$92,15,0))</f>
        <v>0</v>
      </c>
      <c r="W232" s="6">
        <f>IF(ISERROR(VLOOKUP($T$232,'TAR FIN'!$A$1:$O$92,15,0)),0,VLOOKUP($T$232,'TAR FIN'!$A$1:$O$92,15,0))</f>
        <v>789.62</v>
      </c>
      <c r="X232" s="6">
        <f>IF(ISERROR(VLOOKUP($U$232,'TAR FIN'!$A$1:$O$92,15,0)),0,VLOOKUP($U$232,'TAR FIN'!$A$1:$O$92,15,0))</f>
        <v>488.15</v>
      </c>
      <c r="Y232" s="6"/>
      <c r="Z232" s="6">
        <f ca="1">('TUSD BE'!$AM$15+'TUSD BF'!$AM$15+'TUSD CVA'!$AM$15)*1</f>
        <v>1080.2905876373179</v>
      </c>
      <c r="AA232" s="6">
        <f>('TE BE'!$AB$7+'TE BF'!$AB$7+'TE CVA'!$AB$7)*1</f>
        <v>461.06028669645673</v>
      </c>
      <c r="AB232" s="6">
        <f>$K$232*$V$232</f>
        <v>0</v>
      </c>
      <c r="AC232" s="6">
        <f>$M$232*$W$232</f>
        <v>13481.18226</v>
      </c>
      <c r="AD232" s="6">
        <f>$O$232*$X$232</f>
        <v>8334.1849499999989</v>
      </c>
      <c r="AE232" s="6">
        <f>$K$232*$Y$232</f>
        <v>0</v>
      </c>
      <c r="AF232" s="6">
        <f ca="1">$M$232*$Z$232</f>
        <v>18443.801202731927</v>
      </c>
      <c r="AG232" s="6">
        <f>$O$232*$AA$232</f>
        <v>7871.6822747686056</v>
      </c>
    </row>
    <row r="233" spans="1:33" ht="11.25" hidden="1" customHeight="1" x14ac:dyDescent="0.3">
      <c r="A233" s="4" t="s">
        <v>27</v>
      </c>
      <c r="B233" s="4" t="s">
        <v>34</v>
      </c>
      <c r="C233" s="4" t="s">
        <v>35</v>
      </c>
      <c r="D233" s="4" t="s">
        <v>33</v>
      </c>
      <c r="E233" s="4" t="s">
        <v>25</v>
      </c>
      <c r="F233" s="4" t="s">
        <v>25</v>
      </c>
      <c r="G233" s="4" t="s">
        <v>25</v>
      </c>
      <c r="H233" s="4" t="s">
        <v>36</v>
      </c>
      <c r="I233" s="5">
        <v>44440</v>
      </c>
      <c r="J233" s="6">
        <v>0</v>
      </c>
      <c r="K233" s="6">
        <v>0</v>
      </c>
      <c r="L233" s="6">
        <v>0.39</v>
      </c>
      <c r="M233" s="6">
        <v>0.39</v>
      </c>
      <c r="N233" s="6">
        <v>0.39</v>
      </c>
      <c r="O233" s="6">
        <v>0.39</v>
      </c>
      <c r="P233" s="6">
        <v>0</v>
      </c>
      <c r="Q233" s="4" t="s">
        <v>26</v>
      </c>
      <c r="R233" s="4">
        <v>0</v>
      </c>
      <c r="S233" s="6">
        <v>0</v>
      </c>
      <c r="T233" s="6">
        <v>21</v>
      </c>
      <c r="U233" s="6">
        <v>83</v>
      </c>
      <c r="V233" s="6">
        <f>IF(ISERROR(VLOOKUP($S$233,'TAR FIN'!$A$1:$O$92,15,0)),0,VLOOKUP($S$233,'TAR FIN'!$A$1:$O$92,15,0))</f>
        <v>0</v>
      </c>
      <c r="W233" s="6">
        <f>IF(ISERROR(VLOOKUP($T$233,'TAR FIN'!$A$1:$O$92,15,0)),0,VLOOKUP($T$233,'TAR FIN'!$A$1:$O$92,15,0))</f>
        <v>789.62</v>
      </c>
      <c r="X233" s="6">
        <f>IF(ISERROR(VLOOKUP($U$233,'TAR FIN'!$A$1:$O$92,15,0)),0,VLOOKUP($U$233,'TAR FIN'!$A$1:$O$92,15,0))</f>
        <v>488.15</v>
      </c>
      <c r="Y233" s="6"/>
      <c r="Z233" s="6">
        <f ca="1">('TUSD BE'!$AM$15+'TUSD BF'!$AM$15+'TUSD CVA'!$AM$15)*1</f>
        <v>1080.2905876373179</v>
      </c>
      <c r="AA233" s="6">
        <f>('TE BE'!$AB$7+'TE BF'!$AB$7+'TE CVA'!$AB$7)*1</f>
        <v>461.06028669645673</v>
      </c>
      <c r="AB233" s="6">
        <f>$K$233*$V$233</f>
        <v>0</v>
      </c>
      <c r="AC233" s="6">
        <f>$M$233*$W$233</f>
        <v>307.95179999999999</v>
      </c>
      <c r="AD233" s="6">
        <f>$O$233*$X$233</f>
        <v>190.3785</v>
      </c>
      <c r="AE233" s="6">
        <f>$K$233*$Y$233</f>
        <v>0</v>
      </c>
      <c r="AF233" s="6">
        <f ca="1">$M$233*$Z$233</f>
        <v>421.313329178554</v>
      </c>
      <c r="AG233" s="6">
        <f>$O$233*$AA$233</f>
        <v>179.81351181161813</v>
      </c>
    </row>
    <row r="234" spans="1:33" ht="11.25" hidden="1" customHeight="1" x14ac:dyDescent="0.3">
      <c r="A234" s="4" t="s">
        <v>21</v>
      </c>
      <c r="B234" s="4" t="s">
        <v>34</v>
      </c>
      <c r="C234" s="4" t="s">
        <v>35</v>
      </c>
      <c r="D234" s="4" t="s">
        <v>33</v>
      </c>
      <c r="E234" s="4" t="s">
        <v>25</v>
      </c>
      <c r="F234" s="4" t="s">
        <v>25</v>
      </c>
      <c r="G234" s="4" t="s">
        <v>25</v>
      </c>
      <c r="H234" s="4" t="s">
        <v>36</v>
      </c>
      <c r="I234" s="5">
        <v>44470</v>
      </c>
      <c r="J234" s="6">
        <v>0</v>
      </c>
      <c r="K234" s="6">
        <v>0</v>
      </c>
      <c r="L234" s="6">
        <v>15.673</v>
      </c>
      <c r="M234" s="6">
        <v>15.673</v>
      </c>
      <c r="N234" s="6">
        <v>15.673</v>
      </c>
      <c r="O234" s="6">
        <v>15.673</v>
      </c>
      <c r="P234" s="6">
        <v>0</v>
      </c>
      <c r="Q234" s="4" t="s">
        <v>26</v>
      </c>
      <c r="R234" s="4">
        <v>0</v>
      </c>
      <c r="S234" s="6">
        <v>0</v>
      </c>
      <c r="T234" s="6">
        <v>21</v>
      </c>
      <c r="U234" s="6">
        <v>83</v>
      </c>
      <c r="V234" s="6">
        <f>IF(ISERROR(VLOOKUP($S$234,'TAR FIN'!$A$1:$O$92,15,0)),0,VLOOKUP($S$234,'TAR FIN'!$A$1:$O$92,15,0))</f>
        <v>0</v>
      </c>
      <c r="W234" s="6">
        <f>IF(ISERROR(VLOOKUP($T$234,'TAR FIN'!$A$1:$O$92,15,0)),0,VLOOKUP($T$234,'TAR FIN'!$A$1:$O$92,15,0))</f>
        <v>789.62</v>
      </c>
      <c r="X234" s="6">
        <f>IF(ISERROR(VLOOKUP($U$234,'TAR FIN'!$A$1:$O$92,15,0)),0,VLOOKUP($U$234,'TAR FIN'!$A$1:$O$92,15,0))</f>
        <v>488.15</v>
      </c>
      <c r="Y234" s="6"/>
      <c r="Z234" s="6">
        <f ca="1">('TUSD BE'!$AM$15+'TUSD BF'!$AM$15+'TUSD CVA'!$AM$15)*1</f>
        <v>1080.2905876373179</v>
      </c>
      <c r="AA234" s="6">
        <f>('TE BE'!$AB$7+'TE BF'!$AB$7+'TE CVA'!$AB$7)*1</f>
        <v>461.06028669645673</v>
      </c>
      <c r="AB234" s="6">
        <f>$K$234*$V$234</f>
        <v>0</v>
      </c>
      <c r="AC234" s="6">
        <f>$M$234*$W$234</f>
        <v>12375.714260000001</v>
      </c>
      <c r="AD234" s="6">
        <f>$O$234*$X$234</f>
        <v>7650.77495</v>
      </c>
      <c r="AE234" s="6">
        <f>$K$234*$Y$234</f>
        <v>0</v>
      </c>
      <c r="AF234" s="6">
        <f ca="1">$M$234*$Z$234</f>
        <v>16931.394380039685</v>
      </c>
      <c r="AG234" s="6">
        <f>$O$234*$AA$234</f>
        <v>7226.1978733935666</v>
      </c>
    </row>
    <row r="235" spans="1:33" ht="11.25" hidden="1" customHeight="1" x14ac:dyDescent="0.3">
      <c r="A235" s="4" t="s">
        <v>27</v>
      </c>
      <c r="B235" s="4" t="s">
        <v>34</v>
      </c>
      <c r="C235" s="4" t="s">
        <v>35</v>
      </c>
      <c r="D235" s="4" t="s">
        <v>33</v>
      </c>
      <c r="E235" s="4" t="s">
        <v>25</v>
      </c>
      <c r="F235" s="4" t="s">
        <v>25</v>
      </c>
      <c r="G235" s="4" t="s">
        <v>25</v>
      </c>
      <c r="H235" s="4" t="s">
        <v>36</v>
      </c>
      <c r="I235" s="5">
        <v>44470</v>
      </c>
      <c r="J235" s="6">
        <v>0</v>
      </c>
      <c r="K235" s="6">
        <v>0</v>
      </c>
      <c r="L235" s="6">
        <v>0.42138999999999999</v>
      </c>
      <c r="M235" s="6">
        <v>0.42138999999999999</v>
      </c>
      <c r="N235" s="6">
        <v>0.42138999999999999</v>
      </c>
      <c r="O235" s="6">
        <v>0.42138999999999999</v>
      </c>
      <c r="P235" s="6">
        <v>0</v>
      </c>
      <c r="Q235" s="4" t="s">
        <v>26</v>
      </c>
      <c r="R235" s="4">
        <v>0</v>
      </c>
      <c r="S235" s="6">
        <v>0</v>
      </c>
      <c r="T235" s="6">
        <v>21</v>
      </c>
      <c r="U235" s="6">
        <v>83</v>
      </c>
      <c r="V235" s="6">
        <f>IF(ISERROR(VLOOKUP($S$235,'TAR FIN'!$A$1:$O$92,15,0)),0,VLOOKUP($S$235,'TAR FIN'!$A$1:$O$92,15,0))</f>
        <v>0</v>
      </c>
      <c r="W235" s="6">
        <f>IF(ISERROR(VLOOKUP($T$235,'TAR FIN'!$A$1:$O$92,15,0)),0,VLOOKUP($T$235,'TAR FIN'!$A$1:$O$92,15,0))</f>
        <v>789.62</v>
      </c>
      <c r="X235" s="6">
        <f>IF(ISERROR(VLOOKUP($U$235,'TAR FIN'!$A$1:$O$92,15,0)),0,VLOOKUP($U$235,'TAR FIN'!$A$1:$O$92,15,0))</f>
        <v>488.15</v>
      </c>
      <c r="Y235" s="6"/>
      <c r="Z235" s="6">
        <f ca="1">('TUSD BE'!$AM$15+'TUSD BF'!$AM$15+'TUSD CVA'!$AM$15)*1</f>
        <v>1080.2905876373179</v>
      </c>
      <c r="AA235" s="6">
        <f>('TE BE'!$AB$7+'TE BF'!$AB$7+'TE CVA'!$AB$7)*1</f>
        <v>461.06028669645673</v>
      </c>
      <c r="AB235" s="6">
        <f>$K$235*$V$235</f>
        <v>0</v>
      </c>
      <c r="AC235" s="6">
        <f>$M$235*$W$235</f>
        <v>332.73797179999997</v>
      </c>
      <c r="AD235" s="6">
        <f>$O$235*$X$235</f>
        <v>205.70152849999999</v>
      </c>
      <c r="AE235" s="6">
        <f>$K$235*$Y$235</f>
        <v>0</v>
      </c>
      <c r="AF235" s="6">
        <f ca="1">$M$235*$Z$235</f>
        <v>455.2236507244894</v>
      </c>
      <c r="AG235" s="6">
        <f>$O$235*$AA$235</f>
        <v>194.2861942110199</v>
      </c>
    </row>
    <row r="236" spans="1:33" ht="11.25" hidden="1" customHeight="1" x14ac:dyDescent="0.3">
      <c r="A236" s="4" t="s">
        <v>21</v>
      </c>
      <c r="B236" s="4" t="s">
        <v>34</v>
      </c>
      <c r="C236" s="4" t="s">
        <v>35</v>
      </c>
      <c r="D236" s="4" t="s">
        <v>33</v>
      </c>
      <c r="E236" s="4" t="s">
        <v>25</v>
      </c>
      <c r="F236" s="4" t="s">
        <v>25</v>
      </c>
      <c r="G236" s="4" t="s">
        <v>25</v>
      </c>
      <c r="H236" s="4" t="s">
        <v>36</v>
      </c>
      <c r="I236" s="5">
        <v>44501</v>
      </c>
      <c r="J236" s="6">
        <v>0</v>
      </c>
      <c r="K236" s="6">
        <v>0</v>
      </c>
      <c r="L236" s="6">
        <v>15.188000000000001</v>
      </c>
      <c r="M236" s="6">
        <v>15.188000000000001</v>
      </c>
      <c r="N236" s="6">
        <v>15.188000000000001</v>
      </c>
      <c r="O236" s="6">
        <v>15.188000000000001</v>
      </c>
      <c r="P236" s="6">
        <v>0</v>
      </c>
      <c r="Q236" s="4" t="s">
        <v>26</v>
      </c>
      <c r="R236" s="4">
        <v>0</v>
      </c>
      <c r="S236" s="6">
        <v>0</v>
      </c>
      <c r="T236" s="6">
        <v>21</v>
      </c>
      <c r="U236" s="6">
        <v>83</v>
      </c>
      <c r="V236" s="6">
        <f>IF(ISERROR(VLOOKUP($S$236,'TAR FIN'!$A$1:$O$92,15,0)),0,VLOOKUP($S$236,'TAR FIN'!$A$1:$O$92,15,0))</f>
        <v>0</v>
      </c>
      <c r="W236" s="6">
        <f>IF(ISERROR(VLOOKUP($T$236,'TAR FIN'!$A$1:$O$92,15,0)),0,VLOOKUP($T$236,'TAR FIN'!$A$1:$O$92,15,0))</f>
        <v>789.62</v>
      </c>
      <c r="X236" s="6">
        <f>IF(ISERROR(VLOOKUP($U$236,'TAR FIN'!$A$1:$O$92,15,0)),0,VLOOKUP($U$236,'TAR FIN'!$A$1:$O$92,15,0))</f>
        <v>488.15</v>
      </c>
      <c r="Y236" s="6"/>
      <c r="Z236" s="6">
        <f ca="1">('TUSD BE'!$AM$15+'TUSD BF'!$AM$15+'TUSD CVA'!$AM$15)*1</f>
        <v>1080.2905876373179</v>
      </c>
      <c r="AA236" s="6">
        <f>('TE BE'!$AB$7+'TE BF'!$AB$7+'TE CVA'!$AB$7)*1</f>
        <v>461.06028669645673</v>
      </c>
      <c r="AB236" s="6">
        <f>$K$236*$V$236</f>
        <v>0</v>
      </c>
      <c r="AC236" s="6">
        <f>$M$236*$W$236</f>
        <v>11992.74856</v>
      </c>
      <c r="AD236" s="6">
        <f>$O$236*$X$236</f>
        <v>7414.0222000000003</v>
      </c>
      <c r="AE236" s="6">
        <f>$K$236*$Y$236</f>
        <v>0</v>
      </c>
      <c r="AF236" s="6">
        <f ca="1">$M$236*$Z$236</f>
        <v>16407.453445035586</v>
      </c>
      <c r="AG236" s="6">
        <f>$O$236*$AA$236</f>
        <v>7002.583634345785</v>
      </c>
    </row>
    <row r="237" spans="1:33" ht="11.25" hidden="1" customHeight="1" x14ac:dyDescent="0.3">
      <c r="A237" s="4" t="s">
        <v>27</v>
      </c>
      <c r="B237" s="4" t="s">
        <v>34</v>
      </c>
      <c r="C237" s="4" t="s">
        <v>35</v>
      </c>
      <c r="D237" s="4" t="s">
        <v>33</v>
      </c>
      <c r="E237" s="4" t="s">
        <v>25</v>
      </c>
      <c r="F237" s="4" t="s">
        <v>25</v>
      </c>
      <c r="G237" s="4" t="s">
        <v>25</v>
      </c>
      <c r="H237" s="4" t="s">
        <v>36</v>
      </c>
      <c r="I237" s="5">
        <v>44501</v>
      </c>
      <c r="J237" s="6">
        <v>0</v>
      </c>
      <c r="K237" s="6">
        <v>0</v>
      </c>
      <c r="L237" s="6">
        <v>0.43491000000000002</v>
      </c>
      <c r="M237" s="6">
        <v>0.43491000000000002</v>
      </c>
      <c r="N237" s="6">
        <v>0.43491000000000002</v>
      </c>
      <c r="O237" s="6">
        <v>0.43491000000000002</v>
      </c>
      <c r="P237" s="6">
        <v>0</v>
      </c>
      <c r="Q237" s="4" t="s">
        <v>26</v>
      </c>
      <c r="R237" s="4">
        <v>0</v>
      </c>
      <c r="S237" s="6">
        <v>0</v>
      </c>
      <c r="T237" s="6">
        <v>21</v>
      </c>
      <c r="U237" s="6">
        <v>83</v>
      </c>
      <c r="V237" s="6">
        <f>IF(ISERROR(VLOOKUP($S$237,'TAR FIN'!$A$1:$O$92,15,0)),0,VLOOKUP($S$237,'TAR FIN'!$A$1:$O$92,15,0))</f>
        <v>0</v>
      </c>
      <c r="W237" s="6">
        <f>IF(ISERROR(VLOOKUP($T$237,'TAR FIN'!$A$1:$O$92,15,0)),0,VLOOKUP($T$237,'TAR FIN'!$A$1:$O$92,15,0))</f>
        <v>789.62</v>
      </c>
      <c r="X237" s="6">
        <f>IF(ISERROR(VLOOKUP($U$237,'TAR FIN'!$A$1:$O$92,15,0)),0,VLOOKUP($U$237,'TAR FIN'!$A$1:$O$92,15,0))</f>
        <v>488.15</v>
      </c>
      <c r="Y237" s="6"/>
      <c r="Z237" s="6">
        <f ca="1">('TUSD BE'!$AM$15+'TUSD BF'!$AM$15+'TUSD CVA'!$AM$15)*1</f>
        <v>1080.2905876373179</v>
      </c>
      <c r="AA237" s="6">
        <f>('TE BE'!$AB$7+'TE BF'!$AB$7+'TE CVA'!$AB$7)*1</f>
        <v>461.06028669645673</v>
      </c>
      <c r="AB237" s="6">
        <f>$K$237*$V$237</f>
        <v>0</v>
      </c>
      <c r="AC237" s="6">
        <f>$M$237*$W$237</f>
        <v>343.41363419999999</v>
      </c>
      <c r="AD237" s="6">
        <f>$O$237*$X$237</f>
        <v>212.30131650000001</v>
      </c>
      <c r="AE237" s="6">
        <f>$K$237*$Y$237</f>
        <v>0</v>
      </c>
      <c r="AF237" s="6">
        <f ca="1">$M$237*$Z$237</f>
        <v>469.82917946934595</v>
      </c>
      <c r="AG237" s="6">
        <f>$O$237*$AA$237</f>
        <v>200.519729287156</v>
      </c>
    </row>
    <row r="238" spans="1:33" ht="11.25" hidden="1" customHeight="1" x14ac:dyDescent="0.3">
      <c r="A238" s="4" t="s">
        <v>21</v>
      </c>
      <c r="B238" s="4" t="s">
        <v>34</v>
      </c>
      <c r="C238" s="4" t="s">
        <v>35</v>
      </c>
      <c r="D238" s="4" t="s">
        <v>33</v>
      </c>
      <c r="E238" s="4" t="s">
        <v>25</v>
      </c>
      <c r="F238" s="4" t="s">
        <v>25</v>
      </c>
      <c r="G238" s="4" t="s">
        <v>25</v>
      </c>
      <c r="H238" s="4" t="s">
        <v>36</v>
      </c>
      <c r="I238" s="5">
        <v>44531</v>
      </c>
      <c r="J238" s="6">
        <v>0</v>
      </c>
      <c r="K238" s="6">
        <v>0</v>
      </c>
      <c r="L238" s="6">
        <v>14.321</v>
      </c>
      <c r="M238" s="6">
        <v>14.321</v>
      </c>
      <c r="N238" s="6">
        <v>14.321</v>
      </c>
      <c r="O238" s="6">
        <v>14.321</v>
      </c>
      <c r="P238" s="6">
        <v>0</v>
      </c>
      <c r="Q238" s="4" t="s">
        <v>26</v>
      </c>
      <c r="R238" s="4">
        <v>0</v>
      </c>
      <c r="S238" s="6">
        <v>0</v>
      </c>
      <c r="T238" s="6">
        <v>21</v>
      </c>
      <c r="U238" s="6">
        <v>83</v>
      </c>
      <c r="V238" s="6">
        <f>IF(ISERROR(VLOOKUP($S$238,'TAR FIN'!$A$1:$O$92,15,0)),0,VLOOKUP($S$238,'TAR FIN'!$A$1:$O$92,15,0))</f>
        <v>0</v>
      </c>
      <c r="W238" s="6">
        <f>IF(ISERROR(VLOOKUP($T$238,'TAR FIN'!$A$1:$O$92,15,0)),0,VLOOKUP($T$238,'TAR FIN'!$A$1:$O$92,15,0))</f>
        <v>789.62</v>
      </c>
      <c r="X238" s="6">
        <f>IF(ISERROR(VLOOKUP($U$238,'TAR FIN'!$A$1:$O$92,15,0)),0,VLOOKUP($U$238,'TAR FIN'!$A$1:$O$92,15,0))</f>
        <v>488.15</v>
      </c>
      <c r="Y238" s="6"/>
      <c r="Z238" s="6">
        <f ca="1">('TUSD BE'!$AM$15+'TUSD BF'!$AM$15+'TUSD CVA'!$AM$15)*1</f>
        <v>1080.2905876373179</v>
      </c>
      <c r="AA238" s="6">
        <f>('TE BE'!$AB$7+'TE BF'!$AB$7+'TE CVA'!$AB$7)*1</f>
        <v>461.06028669645673</v>
      </c>
      <c r="AB238" s="6">
        <f>$K$238*$V$238</f>
        <v>0</v>
      </c>
      <c r="AC238" s="6">
        <f>$M$238*$W$238</f>
        <v>11308.148020000001</v>
      </c>
      <c r="AD238" s="6">
        <f>$O$238*$X$238</f>
        <v>6990.7961499999992</v>
      </c>
      <c r="AE238" s="6">
        <f>$K$238*$Y$238</f>
        <v>0</v>
      </c>
      <c r="AF238" s="6">
        <f ca="1">$M$238*$Z$238</f>
        <v>15470.84150555403</v>
      </c>
      <c r="AG238" s="6">
        <f>$O$238*$AA$238</f>
        <v>6602.8443657799571</v>
      </c>
    </row>
    <row r="239" spans="1:33" ht="11.25" hidden="1" customHeight="1" x14ac:dyDescent="0.3">
      <c r="A239" s="4" t="s">
        <v>27</v>
      </c>
      <c r="B239" s="4" t="s">
        <v>34</v>
      </c>
      <c r="C239" s="4" t="s">
        <v>35</v>
      </c>
      <c r="D239" s="4" t="s">
        <v>33</v>
      </c>
      <c r="E239" s="4" t="s">
        <v>25</v>
      </c>
      <c r="F239" s="4" t="s">
        <v>25</v>
      </c>
      <c r="G239" s="4" t="s">
        <v>25</v>
      </c>
      <c r="H239" s="4" t="s">
        <v>36</v>
      </c>
      <c r="I239" s="5">
        <v>44531</v>
      </c>
      <c r="J239" s="6">
        <v>0</v>
      </c>
      <c r="K239" s="6">
        <v>0</v>
      </c>
      <c r="L239" s="6">
        <v>0.32100000000000001</v>
      </c>
      <c r="M239" s="6">
        <v>0.32100000000000001</v>
      </c>
      <c r="N239" s="6">
        <v>0.32100000000000001</v>
      </c>
      <c r="O239" s="6">
        <v>0.32100000000000001</v>
      </c>
      <c r="P239" s="6">
        <v>0</v>
      </c>
      <c r="Q239" s="4" t="s">
        <v>26</v>
      </c>
      <c r="R239" s="4">
        <v>0</v>
      </c>
      <c r="S239" s="6">
        <v>0</v>
      </c>
      <c r="T239" s="6">
        <v>21</v>
      </c>
      <c r="U239" s="6">
        <v>83</v>
      </c>
      <c r="V239" s="6">
        <f>IF(ISERROR(VLOOKUP($S$239,'TAR FIN'!$A$1:$O$92,15,0)),0,VLOOKUP($S$239,'TAR FIN'!$A$1:$O$92,15,0))</f>
        <v>0</v>
      </c>
      <c r="W239" s="6">
        <f>IF(ISERROR(VLOOKUP($T$239,'TAR FIN'!$A$1:$O$92,15,0)),0,VLOOKUP($T$239,'TAR FIN'!$A$1:$O$92,15,0))</f>
        <v>789.62</v>
      </c>
      <c r="X239" s="6">
        <f>IF(ISERROR(VLOOKUP($U$239,'TAR FIN'!$A$1:$O$92,15,0)),0,VLOOKUP($U$239,'TAR FIN'!$A$1:$O$92,15,0))</f>
        <v>488.15</v>
      </c>
      <c r="Y239" s="6"/>
      <c r="Z239" s="6">
        <f ca="1">('TUSD BE'!$AM$15+'TUSD BF'!$AM$15+'TUSD CVA'!$AM$15)*1</f>
        <v>1080.2905876373179</v>
      </c>
      <c r="AA239" s="6">
        <f>('TE BE'!$AB$7+'TE BF'!$AB$7+'TE CVA'!$AB$7)*1</f>
        <v>461.06028669645673</v>
      </c>
      <c r="AB239" s="6">
        <f>$K$239*$V$239</f>
        <v>0</v>
      </c>
      <c r="AC239" s="6">
        <f>$M$239*$W$239</f>
        <v>253.46802</v>
      </c>
      <c r="AD239" s="6">
        <f>$O$239*$X$239</f>
        <v>156.69614999999999</v>
      </c>
      <c r="AE239" s="6">
        <f>$K$239*$Y$239</f>
        <v>0</v>
      </c>
      <c r="AF239" s="6">
        <f ca="1">$M$239*$Z$239</f>
        <v>346.77327863157905</v>
      </c>
      <c r="AG239" s="6">
        <f>$O$239*$AA$239</f>
        <v>148.00035202956261</v>
      </c>
    </row>
    <row r="240" spans="1:33" ht="11.25" hidden="1" customHeight="1" x14ac:dyDescent="0.3">
      <c r="A240" s="4" t="s">
        <v>21</v>
      </c>
      <c r="B240" s="4" t="s">
        <v>34</v>
      </c>
      <c r="C240" s="4" t="s">
        <v>35</v>
      </c>
      <c r="D240" s="4" t="s">
        <v>33</v>
      </c>
      <c r="E240" s="4" t="s">
        <v>25</v>
      </c>
      <c r="F240" s="4" t="s">
        <v>25</v>
      </c>
      <c r="G240" s="4" t="s">
        <v>25</v>
      </c>
      <c r="H240" s="4" t="s">
        <v>36</v>
      </c>
      <c r="I240" s="5">
        <v>44562</v>
      </c>
      <c r="J240" s="6">
        <v>0</v>
      </c>
      <c r="K240" s="6">
        <v>0</v>
      </c>
      <c r="L240" s="6">
        <v>14.286</v>
      </c>
      <c r="M240" s="6">
        <v>14.286</v>
      </c>
      <c r="N240" s="6">
        <v>14.286</v>
      </c>
      <c r="O240" s="6">
        <v>14.286</v>
      </c>
      <c r="P240" s="6">
        <v>0</v>
      </c>
      <c r="Q240" s="4" t="s">
        <v>26</v>
      </c>
      <c r="R240" s="4">
        <v>0</v>
      </c>
      <c r="S240" s="6">
        <v>0</v>
      </c>
      <c r="T240" s="6">
        <v>21</v>
      </c>
      <c r="U240" s="6">
        <v>83</v>
      </c>
      <c r="V240" s="6">
        <f>IF(ISERROR(VLOOKUP($S$240,'TAR FIN'!$A$1:$O$92,15,0)),0,VLOOKUP($S$240,'TAR FIN'!$A$1:$O$92,15,0))</f>
        <v>0</v>
      </c>
      <c r="W240" s="6">
        <f>IF(ISERROR(VLOOKUP($T$240,'TAR FIN'!$A$1:$O$92,15,0)),0,VLOOKUP($T$240,'TAR FIN'!$A$1:$O$92,15,0))</f>
        <v>789.62</v>
      </c>
      <c r="X240" s="6">
        <f>IF(ISERROR(VLOOKUP($U$240,'TAR FIN'!$A$1:$O$92,15,0)),0,VLOOKUP($U$240,'TAR FIN'!$A$1:$O$92,15,0))</f>
        <v>488.15</v>
      </c>
      <c r="Y240" s="6"/>
      <c r="Z240" s="6">
        <f ca="1">('TUSD BE'!$AM$15+'TUSD BF'!$AM$15+'TUSD CVA'!$AM$15)*1</f>
        <v>1080.2905876373179</v>
      </c>
      <c r="AA240" s="6">
        <f>('TE BE'!$AB$7+'TE BF'!$AB$7+'TE CVA'!$AB$7)*1</f>
        <v>461.06028669645673</v>
      </c>
      <c r="AB240" s="6">
        <f>$K$240*$V$240</f>
        <v>0</v>
      </c>
      <c r="AC240" s="6">
        <f>$M$240*$W$240</f>
        <v>11280.51132</v>
      </c>
      <c r="AD240" s="6">
        <f>$O$240*$X$240</f>
        <v>6973.7108999999991</v>
      </c>
      <c r="AE240" s="6">
        <f>$K$240*$Y$240</f>
        <v>0</v>
      </c>
      <c r="AF240" s="6">
        <f ca="1">$M$240*$Z$240</f>
        <v>15433.031334986723</v>
      </c>
      <c r="AG240" s="6">
        <f>$O$240*$AA$240</f>
        <v>6586.7072557455804</v>
      </c>
    </row>
    <row r="241" spans="1:33" ht="11.25" hidden="1" customHeight="1" x14ac:dyDescent="0.3">
      <c r="A241" s="4" t="s">
        <v>27</v>
      </c>
      <c r="B241" s="4" t="s">
        <v>34</v>
      </c>
      <c r="C241" s="4" t="s">
        <v>35</v>
      </c>
      <c r="D241" s="4" t="s">
        <v>33</v>
      </c>
      <c r="E241" s="4" t="s">
        <v>25</v>
      </c>
      <c r="F241" s="4" t="s">
        <v>25</v>
      </c>
      <c r="G241" s="4" t="s">
        <v>25</v>
      </c>
      <c r="H241" s="4" t="s">
        <v>36</v>
      </c>
      <c r="I241" s="5">
        <v>44562</v>
      </c>
      <c r="J241" s="6">
        <v>0</v>
      </c>
      <c r="K241" s="6">
        <v>0</v>
      </c>
      <c r="L241" s="6">
        <v>0.29899999999999999</v>
      </c>
      <c r="M241" s="6">
        <v>0.29899999999999999</v>
      </c>
      <c r="N241" s="6">
        <v>0.29899999999999999</v>
      </c>
      <c r="O241" s="6">
        <v>0.29899999999999999</v>
      </c>
      <c r="P241" s="6">
        <v>0</v>
      </c>
      <c r="Q241" s="4" t="s">
        <v>26</v>
      </c>
      <c r="R241" s="4">
        <v>0</v>
      </c>
      <c r="S241" s="6">
        <v>0</v>
      </c>
      <c r="T241" s="6">
        <v>21</v>
      </c>
      <c r="U241" s="6">
        <v>83</v>
      </c>
      <c r="V241" s="6">
        <f>IF(ISERROR(VLOOKUP($S$241,'TAR FIN'!$A$1:$O$92,15,0)),0,VLOOKUP($S$241,'TAR FIN'!$A$1:$O$92,15,0))</f>
        <v>0</v>
      </c>
      <c r="W241" s="6">
        <f>IF(ISERROR(VLOOKUP($T$241,'TAR FIN'!$A$1:$O$92,15,0)),0,VLOOKUP($T$241,'TAR FIN'!$A$1:$O$92,15,0))</f>
        <v>789.62</v>
      </c>
      <c r="X241" s="6">
        <f>IF(ISERROR(VLOOKUP($U$241,'TAR FIN'!$A$1:$O$92,15,0)),0,VLOOKUP($U$241,'TAR FIN'!$A$1:$O$92,15,0))</f>
        <v>488.15</v>
      </c>
      <c r="Y241" s="6"/>
      <c r="Z241" s="6">
        <f ca="1">('TUSD BE'!$AM$15+'TUSD BF'!$AM$15+'TUSD CVA'!$AM$15)*1</f>
        <v>1080.2905876373179</v>
      </c>
      <c r="AA241" s="6">
        <f>('TE BE'!$AB$7+'TE BF'!$AB$7+'TE CVA'!$AB$7)*1</f>
        <v>461.06028669645673</v>
      </c>
      <c r="AB241" s="6">
        <f>$K$241*$V$241</f>
        <v>0</v>
      </c>
      <c r="AC241" s="6">
        <f>$M$241*$W$241</f>
        <v>236.09637999999998</v>
      </c>
      <c r="AD241" s="6">
        <f>$O$241*$X$241</f>
        <v>145.95684999999997</v>
      </c>
      <c r="AE241" s="6">
        <f>$K$241*$Y$241</f>
        <v>0</v>
      </c>
      <c r="AF241" s="6">
        <f ca="1">$M$241*$Z$241</f>
        <v>323.00688570355805</v>
      </c>
      <c r="AG241" s="6">
        <f>$O$241*$AA$241</f>
        <v>137.85702572224056</v>
      </c>
    </row>
    <row r="242" spans="1:33" ht="11.25" hidden="1" customHeight="1" x14ac:dyDescent="0.3">
      <c r="A242" s="4" t="s">
        <v>21</v>
      </c>
      <c r="B242" s="4" t="s">
        <v>34</v>
      </c>
      <c r="C242" s="4" t="s">
        <v>35</v>
      </c>
      <c r="D242" s="4" t="s">
        <v>33</v>
      </c>
      <c r="E242" s="4" t="s">
        <v>25</v>
      </c>
      <c r="F242" s="4" t="s">
        <v>25</v>
      </c>
      <c r="G242" s="4" t="s">
        <v>25</v>
      </c>
      <c r="H242" s="4" t="s">
        <v>36</v>
      </c>
      <c r="I242" s="5">
        <v>44593</v>
      </c>
      <c r="J242" s="6">
        <v>0</v>
      </c>
      <c r="K242" s="6">
        <v>0</v>
      </c>
      <c r="L242" s="6">
        <v>14.051</v>
      </c>
      <c r="M242" s="6">
        <v>14.051</v>
      </c>
      <c r="N242" s="6">
        <v>14.051</v>
      </c>
      <c r="O242" s="6">
        <v>14.051</v>
      </c>
      <c r="P242" s="6">
        <v>0</v>
      </c>
      <c r="Q242" s="4" t="s">
        <v>26</v>
      </c>
      <c r="R242" s="4">
        <v>0</v>
      </c>
      <c r="S242" s="6">
        <v>0</v>
      </c>
      <c r="T242" s="6">
        <v>21</v>
      </c>
      <c r="U242" s="6">
        <v>83</v>
      </c>
      <c r="V242" s="6">
        <f>IF(ISERROR(VLOOKUP($S$242,'TAR FIN'!$A$1:$O$92,15,0)),0,VLOOKUP($S$242,'TAR FIN'!$A$1:$O$92,15,0))</f>
        <v>0</v>
      </c>
      <c r="W242" s="6">
        <f>IF(ISERROR(VLOOKUP($T$242,'TAR FIN'!$A$1:$O$92,15,0)),0,VLOOKUP($T$242,'TAR FIN'!$A$1:$O$92,15,0))</f>
        <v>789.62</v>
      </c>
      <c r="X242" s="6">
        <f>IF(ISERROR(VLOOKUP($U$242,'TAR FIN'!$A$1:$O$92,15,0)),0,VLOOKUP($U$242,'TAR FIN'!$A$1:$O$92,15,0))</f>
        <v>488.15</v>
      </c>
      <c r="Y242" s="6"/>
      <c r="Z242" s="6">
        <f ca="1">('TUSD BE'!$AM$15+'TUSD BF'!$AM$15+'TUSD CVA'!$AM$15)*1</f>
        <v>1080.2905876373179</v>
      </c>
      <c r="AA242" s="6">
        <f>('TE BE'!$AB$7+'TE BF'!$AB$7+'TE CVA'!$AB$7)*1</f>
        <v>461.06028669645673</v>
      </c>
      <c r="AB242" s="6">
        <f>$K$242*$V$242</f>
        <v>0</v>
      </c>
      <c r="AC242" s="6">
        <f>$M$242*$W$242</f>
        <v>11094.95062</v>
      </c>
      <c r="AD242" s="6">
        <f>$O$242*$X$242</f>
        <v>6858.9956499999998</v>
      </c>
      <c r="AE242" s="6">
        <f>$K$242*$Y$242</f>
        <v>0</v>
      </c>
      <c r="AF242" s="6">
        <f ca="1">$M$242*$Z$242</f>
        <v>15179.163046891954</v>
      </c>
      <c r="AG242" s="6">
        <f>$O$242*$AA$242</f>
        <v>6478.3580883719133</v>
      </c>
    </row>
    <row r="243" spans="1:33" ht="11.25" hidden="1" customHeight="1" x14ac:dyDescent="0.3">
      <c r="A243" s="4" t="s">
        <v>27</v>
      </c>
      <c r="B243" s="4" t="s">
        <v>34</v>
      </c>
      <c r="C243" s="4" t="s">
        <v>35</v>
      </c>
      <c r="D243" s="4" t="s">
        <v>33</v>
      </c>
      <c r="E243" s="4" t="s">
        <v>25</v>
      </c>
      <c r="F243" s="4" t="s">
        <v>25</v>
      </c>
      <c r="G243" s="4" t="s">
        <v>25</v>
      </c>
      <c r="H243" s="4" t="s">
        <v>36</v>
      </c>
      <c r="I243" s="5">
        <v>44593</v>
      </c>
      <c r="J243" s="6">
        <v>0</v>
      </c>
      <c r="K243" s="6">
        <v>0</v>
      </c>
      <c r="L243" s="6">
        <v>0.39291999999999999</v>
      </c>
      <c r="M243" s="6">
        <v>0.39291999999999999</v>
      </c>
      <c r="N243" s="6">
        <v>0.39291999999999999</v>
      </c>
      <c r="O243" s="6">
        <v>0.39291999999999999</v>
      </c>
      <c r="P243" s="6">
        <v>0</v>
      </c>
      <c r="Q243" s="4" t="s">
        <v>26</v>
      </c>
      <c r="R243" s="4">
        <v>0</v>
      </c>
      <c r="S243" s="6">
        <v>0</v>
      </c>
      <c r="T243" s="6">
        <v>21</v>
      </c>
      <c r="U243" s="6">
        <v>83</v>
      </c>
      <c r="V243" s="6">
        <f>IF(ISERROR(VLOOKUP($S$243,'TAR FIN'!$A$1:$O$92,15,0)),0,VLOOKUP($S$243,'TAR FIN'!$A$1:$O$92,15,0))</f>
        <v>0</v>
      </c>
      <c r="W243" s="6">
        <f>IF(ISERROR(VLOOKUP($T$243,'TAR FIN'!$A$1:$O$92,15,0)),0,VLOOKUP($T$243,'TAR FIN'!$A$1:$O$92,15,0))</f>
        <v>789.62</v>
      </c>
      <c r="X243" s="6">
        <f>IF(ISERROR(VLOOKUP($U$243,'TAR FIN'!$A$1:$O$92,15,0)),0,VLOOKUP($U$243,'TAR FIN'!$A$1:$O$92,15,0))</f>
        <v>488.15</v>
      </c>
      <c r="Y243" s="6"/>
      <c r="Z243" s="6">
        <f ca="1">('TUSD BE'!$AM$15+'TUSD BF'!$AM$15+'TUSD CVA'!$AM$15)*1</f>
        <v>1080.2905876373179</v>
      </c>
      <c r="AA243" s="6">
        <f>('TE BE'!$AB$7+'TE BF'!$AB$7+'TE CVA'!$AB$7)*1</f>
        <v>461.06028669645673</v>
      </c>
      <c r="AB243" s="6">
        <f>$K$243*$V$243</f>
        <v>0</v>
      </c>
      <c r="AC243" s="6">
        <f>$M$243*$W$243</f>
        <v>310.25749039999999</v>
      </c>
      <c r="AD243" s="6">
        <f>$O$243*$X$243</f>
        <v>191.80389799999998</v>
      </c>
      <c r="AE243" s="6">
        <f>$K$243*$Y$243</f>
        <v>0</v>
      </c>
      <c r="AF243" s="6">
        <f ca="1">$M$243*$Z$243</f>
        <v>424.46777769445492</v>
      </c>
      <c r="AG243" s="6">
        <f>$O$243*$AA$243</f>
        <v>181.15980784877178</v>
      </c>
    </row>
    <row r="244" spans="1:33" ht="11.25" hidden="1" customHeight="1" x14ac:dyDescent="0.3">
      <c r="A244" s="4" t="s">
        <v>21</v>
      </c>
      <c r="B244" s="4" t="s">
        <v>34</v>
      </c>
      <c r="C244" s="4" t="s">
        <v>35</v>
      </c>
      <c r="D244" s="4" t="s">
        <v>33</v>
      </c>
      <c r="E244" s="4" t="s">
        <v>25</v>
      </c>
      <c r="F244" s="4" t="s">
        <v>25</v>
      </c>
      <c r="G244" s="4" t="s">
        <v>25</v>
      </c>
      <c r="H244" s="4" t="s">
        <v>36</v>
      </c>
      <c r="I244" s="5">
        <v>44621</v>
      </c>
      <c r="J244" s="6">
        <v>0</v>
      </c>
      <c r="K244" s="6">
        <v>0</v>
      </c>
      <c r="L244" s="6">
        <v>14.566000000000001</v>
      </c>
      <c r="M244" s="6">
        <v>14.566000000000001</v>
      </c>
      <c r="N244" s="6">
        <v>14.566000000000001</v>
      </c>
      <c r="O244" s="6">
        <v>14.566000000000001</v>
      </c>
      <c r="P244" s="6">
        <v>0</v>
      </c>
      <c r="Q244" s="4" t="s">
        <v>26</v>
      </c>
      <c r="R244" s="4">
        <v>0</v>
      </c>
      <c r="S244" s="6">
        <v>0</v>
      </c>
      <c r="T244" s="6">
        <v>21</v>
      </c>
      <c r="U244" s="6">
        <v>83</v>
      </c>
      <c r="V244" s="6">
        <f>IF(ISERROR(VLOOKUP($S$244,'TAR FIN'!$A$1:$O$92,15,0)),0,VLOOKUP($S$244,'TAR FIN'!$A$1:$O$92,15,0))</f>
        <v>0</v>
      </c>
      <c r="W244" s="6">
        <f>IF(ISERROR(VLOOKUP($T$244,'TAR FIN'!$A$1:$O$92,15,0)),0,VLOOKUP($T$244,'TAR FIN'!$A$1:$O$92,15,0))</f>
        <v>789.62</v>
      </c>
      <c r="X244" s="6">
        <f>IF(ISERROR(VLOOKUP($U$244,'TAR FIN'!$A$1:$O$92,15,0)),0,VLOOKUP($U$244,'TAR FIN'!$A$1:$O$92,15,0))</f>
        <v>488.15</v>
      </c>
      <c r="Y244" s="6"/>
      <c r="Z244" s="6">
        <f ca="1">('TUSD BE'!$AM$15+'TUSD BF'!$AM$15+'TUSD CVA'!$AM$15)*1</f>
        <v>1080.2905876373179</v>
      </c>
      <c r="AA244" s="6">
        <f>('TE BE'!$AB$7+'TE BF'!$AB$7+'TE CVA'!$AB$7)*1</f>
        <v>461.06028669645673</v>
      </c>
      <c r="AB244" s="6">
        <f>$K$244*$V$244</f>
        <v>0</v>
      </c>
      <c r="AC244" s="6">
        <f>$M$244*$W$244</f>
        <v>11501.60492</v>
      </c>
      <c r="AD244" s="6">
        <f>$O$244*$X$244</f>
        <v>7110.3928999999998</v>
      </c>
      <c r="AE244" s="6">
        <f>$K$244*$Y$244</f>
        <v>0</v>
      </c>
      <c r="AF244" s="6">
        <f ca="1">$M$244*$Z$244</f>
        <v>15735.512699525174</v>
      </c>
      <c r="AG244" s="6">
        <f>$O$244*$AA$244</f>
        <v>6715.8041360205889</v>
      </c>
    </row>
    <row r="245" spans="1:33" ht="11.25" hidden="1" customHeight="1" x14ac:dyDescent="0.3">
      <c r="A245" s="4" t="s">
        <v>27</v>
      </c>
      <c r="B245" s="4" t="s">
        <v>34</v>
      </c>
      <c r="C245" s="4" t="s">
        <v>35</v>
      </c>
      <c r="D245" s="4" t="s">
        <v>33</v>
      </c>
      <c r="E245" s="4" t="s">
        <v>25</v>
      </c>
      <c r="F245" s="4" t="s">
        <v>25</v>
      </c>
      <c r="G245" s="4" t="s">
        <v>25</v>
      </c>
      <c r="H245" s="4" t="s">
        <v>36</v>
      </c>
      <c r="I245" s="5">
        <v>44621</v>
      </c>
      <c r="J245" s="6">
        <v>0</v>
      </c>
      <c r="K245" s="6">
        <v>0</v>
      </c>
      <c r="L245" s="6">
        <v>0.40798000000000001</v>
      </c>
      <c r="M245" s="6">
        <v>0.40798000000000001</v>
      </c>
      <c r="N245" s="6">
        <v>0.40798000000000001</v>
      </c>
      <c r="O245" s="6">
        <v>0.40798000000000001</v>
      </c>
      <c r="P245" s="6">
        <v>0</v>
      </c>
      <c r="Q245" s="4" t="s">
        <v>26</v>
      </c>
      <c r="R245" s="4">
        <v>0</v>
      </c>
      <c r="S245" s="6">
        <v>0</v>
      </c>
      <c r="T245" s="6">
        <v>21</v>
      </c>
      <c r="U245" s="6">
        <v>83</v>
      </c>
      <c r="V245" s="6">
        <f>IF(ISERROR(VLOOKUP($S$245,'TAR FIN'!$A$1:$O$92,15,0)),0,VLOOKUP($S$245,'TAR FIN'!$A$1:$O$92,15,0))</f>
        <v>0</v>
      </c>
      <c r="W245" s="6">
        <f>IF(ISERROR(VLOOKUP($T$245,'TAR FIN'!$A$1:$O$92,15,0)),0,VLOOKUP($T$245,'TAR FIN'!$A$1:$O$92,15,0))</f>
        <v>789.62</v>
      </c>
      <c r="X245" s="6">
        <f>IF(ISERROR(VLOOKUP($U$245,'TAR FIN'!$A$1:$O$92,15,0)),0,VLOOKUP($U$245,'TAR FIN'!$A$1:$O$92,15,0))</f>
        <v>488.15</v>
      </c>
      <c r="Y245" s="6"/>
      <c r="Z245" s="6">
        <f ca="1">('TUSD BE'!$AM$15+'TUSD BF'!$AM$15+'TUSD CVA'!$AM$15)*1</f>
        <v>1080.2905876373179</v>
      </c>
      <c r="AA245" s="6">
        <f>('TE BE'!$AB$7+'TE BF'!$AB$7+'TE CVA'!$AB$7)*1</f>
        <v>461.06028669645673</v>
      </c>
      <c r="AB245" s="6">
        <f>$K$245*$V$245</f>
        <v>0</v>
      </c>
      <c r="AC245" s="6">
        <f>$M$245*$W$245</f>
        <v>322.1491676</v>
      </c>
      <c r="AD245" s="6">
        <f>$O$245*$X$245</f>
        <v>199.15543700000001</v>
      </c>
      <c r="AE245" s="6">
        <f>$K$245*$Y$245</f>
        <v>0</v>
      </c>
      <c r="AF245" s="6">
        <f ca="1">$M$245*$Z$245</f>
        <v>440.73695394427295</v>
      </c>
      <c r="AG245" s="6">
        <f>$O$245*$AA$245</f>
        <v>188.10337576642041</v>
      </c>
    </row>
    <row r="246" spans="1:33" ht="11.25" hidden="1" customHeight="1" x14ac:dyDescent="0.3">
      <c r="A246" s="4" t="s">
        <v>21</v>
      </c>
      <c r="B246" s="4" t="s">
        <v>34</v>
      </c>
      <c r="C246" s="4" t="s">
        <v>35</v>
      </c>
      <c r="D246" s="4" t="s">
        <v>33</v>
      </c>
      <c r="E246" s="4" t="s">
        <v>25</v>
      </c>
      <c r="F246" s="4" t="s">
        <v>25</v>
      </c>
      <c r="G246" s="4" t="s">
        <v>25</v>
      </c>
      <c r="H246" s="4" t="s">
        <v>36</v>
      </c>
      <c r="I246" s="5">
        <v>44652</v>
      </c>
      <c r="J246" s="6">
        <v>0</v>
      </c>
      <c r="K246" s="6">
        <v>0</v>
      </c>
      <c r="L246" s="6">
        <v>11.105</v>
      </c>
      <c r="M246" s="6">
        <v>11.105</v>
      </c>
      <c r="N246" s="6">
        <v>11.105</v>
      </c>
      <c r="O246" s="6">
        <v>11.105</v>
      </c>
      <c r="P246" s="6">
        <v>0</v>
      </c>
      <c r="Q246" s="4" t="s">
        <v>26</v>
      </c>
      <c r="R246" s="4">
        <v>0</v>
      </c>
      <c r="S246" s="6">
        <v>0</v>
      </c>
      <c r="T246" s="6">
        <v>21</v>
      </c>
      <c r="U246" s="6">
        <v>83</v>
      </c>
      <c r="V246" s="6">
        <f>IF(ISERROR(VLOOKUP($S$246,'TAR FIN'!$A$1:$O$92,15,0)),0,VLOOKUP($S$246,'TAR FIN'!$A$1:$O$92,15,0))</f>
        <v>0</v>
      </c>
      <c r="W246" s="6">
        <f>IF(ISERROR(VLOOKUP($T$246,'TAR FIN'!$A$1:$O$92,15,0)),0,VLOOKUP($T$246,'TAR FIN'!$A$1:$O$92,15,0))</f>
        <v>789.62</v>
      </c>
      <c r="X246" s="6">
        <f>IF(ISERROR(VLOOKUP($U$246,'TAR FIN'!$A$1:$O$92,15,0)),0,VLOOKUP($U$246,'TAR FIN'!$A$1:$O$92,15,0))</f>
        <v>488.15</v>
      </c>
      <c r="Y246" s="6"/>
      <c r="Z246" s="6">
        <f ca="1">('TUSD BE'!$AM$15+'TUSD BF'!$AM$15+'TUSD CVA'!$AM$15)*1</f>
        <v>1080.2905876373179</v>
      </c>
      <c r="AA246" s="6">
        <f>('TE BE'!$AB$7+'TE BF'!$AB$7+'TE CVA'!$AB$7)*1</f>
        <v>461.06028669645673</v>
      </c>
      <c r="AB246" s="6">
        <f>$K$246*$V$246</f>
        <v>0</v>
      </c>
      <c r="AC246" s="6">
        <f>$M$246*$W$246</f>
        <v>8768.7301000000007</v>
      </c>
      <c r="AD246" s="6">
        <f>$O$246*$X$246</f>
        <v>5420.9057499999999</v>
      </c>
      <c r="AE246" s="6">
        <f>$K$246*$Y$246</f>
        <v>0</v>
      </c>
      <c r="AF246" s="6">
        <f ca="1">$M$246*$Z$246</f>
        <v>11996.626975712416</v>
      </c>
      <c r="AG246" s="6">
        <f>$O$246*$AA$246</f>
        <v>5120.0744837641523</v>
      </c>
    </row>
    <row r="247" spans="1:33" ht="11.25" hidden="1" customHeight="1" x14ac:dyDescent="0.3">
      <c r="A247" s="4" t="s">
        <v>27</v>
      </c>
      <c r="B247" s="4" t="s">
        <v>34</v>
      </c>
      <c r="C247" s="4" t="s">
        <v>35</v>
      </c>
      <c r="D247" s="4" t="s">
        <v>33</v>
      </c>
      <c r="E247" s="4" t="s">
        <v>25</v>
      </c>
      <c r="F247" s="4" t="s">
        <v>25</v>
      </c>
      <c r="G247" s="4" t="s">
        <v>25</v>
      </c>
      <c r="H247" s="4" t="s">
        <v>36</v>
      </c>
      <c r="I247" s="5">
        <v>44652</v>
      </c>
      <c r="J247" s="6">
        <v>0</v>
      </c>
      <c r="K247" s="6">
        <v>0</v>
      </c>
      <c r="L247" s="6">
        <v>0.38883000000000001</v>
      </c>
      <c r="M247" s="6">
        <v>0.38883000000000001</v>
      </c>
      <c r="N247" s="6">
        <v>0.38883000000000001</v>
      </c>
      <c r="O247" s="6">
        <v>0.38883000000000001</v>
      </c>
      <c r="P247" s="6">
        <v>0</v>
      </c>
      <c r="Q247" s="4" t="s">
        <v>26</v>
      </c>
      <c r="R247" s="4">
        <v>0</v>
      </c>
      <c r="S247" s="6">
        <v>0</v>
      </c>
      <c r="T247" s="6">
        <v>21</v>
      </c>
      <c r="U247" s="6">
        <v>83</v>
      </c>
      <c r="V247" s="6">
        <f>IF(ISERROR(VLOOKUP($S$247,'TAR FIN'!$A$1:$O$92,15,0)),0,VLOOKUP($S$247,'TAR FIN'!$A$1:$O$92,15,0))</f>
        <v>0</v>
      </c>
      <c r="W247" s="6">
        <f>IF(ISERROR(VLOOKUP($T$247,'TAR FIN'!$A$1:$O$92,15,0)),0,VLOOKUP($T$247,'TAR FIN'!$A$1:$O$92,15,0))</f>
        <v>789.62</v>
      </c>
      <c r="X247" s="6">
        <f>IF(ISERROR(VLOOKUP($U$247,'TAR FIN'!$A$1:$O$92,15,0)),0,VLOOKUP($U$247,'TAR FIN'!$A$1:$O$92,15,0))</f>
        <v>488.15</v>
      </c>
      <c r="Y247" s="6"/>
      <c r="Z247" s="6">
        <f ca="1">('TUSD BE'!$AM$15+'TUSD BF'!$AM$15+'TUSD CVA'!$AM$15)*1</f>
        <v>1080.2905876373179</v>
      </c>
      <c r="AA247" s="6">
        <f>('TE BE'!$AB$7+'TE BF'!$AB$7+'TE CVA'!$AB$7)*1</f>
        <v>461.06028669645673</v>
      </c>
      <c r="AB247" s="6">
        <f>$K$247*$V$247</f>
        <v>0</v>
      </c>
      <c r="AC247" s="6">
        <f>$M$247*$W$247</f>
        <v>307.02794460000001</v>
      </c>
      <c r="AD247" s="6">
        <f>$O$247*$X$247</f>
        <v>189.80736450000001</v>
      </c>
      <c r="AE247" s="6">
        <f>$K$247*$Y$247</f>
        <v>0</v>
      </c>
      <c r="AF247" s="6">
        <f ca="1">$M$247*$Z$247</f>
        <v>420.04938919101835</v>
      </c>
      <c r="AG247" s="6">
        <f>$O$247*$AA$247</f>
        <v>179.27407127618326</v>
      </c>
    </row>
    <row r="248" spans="1:33" ht="11.25" hidden="1" customHeight="1" x14ac:dyDescent="0.3">
      <c r="A248" s="4" t="s">
        <v>21</v>
      </c>
      <c r="B248" s="4" t="s">
        <v>34</v>
      </c>
      <c r="C248" s="4" t="s">
        <v>35</v>
      </c>
      <c r="D248" s="4" t="s">
        <v>33</v>
      </c>
      <c r="E248" s="4" t="s">
        <v>25</v>
      </c>
      <c r="F248" s="4" t="s">
        <v>25</v>
      </c>
      <c r="G248" s="4" t="s">
        <v>25</v>
      </c>
      <c r="H248" s="4" t="s">
        <v>36</v>
      </c>
      <c r="I248" s="5">
        <v>44682</v>
      </c>
      <c r="J248" s="6">
        <v>0</v>
      </c>
      <c r="K248" s="6">
        <v>0</v>
      </c>
      <c r="L248" s="6">
        <v>15.603999999999999</v>
      </c>
      <c r="M248" s="6">
        <v>15.603999999999999</v>
      </c>
      <c r="N248" s="6">
        <v>15.603999999999999</v>
      </c>
      <c r="O248" s="6">
        <v>15.603999999999999</v>
      </c>
      <c r="P248" s="6">
        <v>0</v>
      </c>
      <c r="Q248" s="4" t="s">
        <v>26</v>
      </c>
      <c r="R248" s="4">
        <v>0</v>
      </c>
      <c r="S248" s="6">
        <v>0</v>
      </c>
      <c r="T248" s="6">
        <v>21</v>
      </c>
      <c r="U248" s="6">
        <v>83</v>
      </c>
      <c r="V248" s="6">
        <f>IF(ISERROR(VLOOKUP($S$248,'TAR FIN'!$A$1:$O$92,15,0)),0,VLOOKUP($S$248,'TAR FIN'!$A$1:$O$92,15,0))</f>
        <v>0</v>
      </c>
      <c r="W248" s="6">
        <f>IF(ISERROR(VLOOKUP($T$248,'TAR FIN'!$A$1:$O$92,15,0)),0,VLOOKUP($T$248,'TAR FIN'!$A$1:$O$92,15,0))</f>
        <v>789.62</v>
      </c>
      <c r="X248" s="6">
        <f>IF(ISERROR(VLOOKUP($U$248,'TAR FIN'!$A$1:$O$92,15,0)),0,VLOOKUP($U$248,'TAR FIN'!$A$1:$O$92,15,0))</f>
        <v>488.15</v>
      </c>
      <c r="Y248" s="6"/>
      <c r="Z248" s="6">
        <f ca="1">('TUSD BE'!$AM$15+'TUSD BF'!$AM$15+'TUSD CVA'!$AM$15)*1</f>
        <v>1080.2905876373179</v>
      </c>
      <c r="AA248" s="6">
        <f>('TE BE'!$AB$7+'TE BF'!$AB$7+'TE CVA'!$AB$7)*1</f>
        <v>461.06028669645673</v>
      </c>
      <c r="AB248" s="6">
        <f>$K$248*$V$248</f>
        <v>0</v>
      </c>
      <c r="AC248" s="6">
        <f>$M$248*$W$248</f>
        <v>12321.23048</v>
      </c>
      <c r="AD248" s="6">
        <f>$O$248*$X$248</f>
        <v>7617.092599999999</v>
      </c>
      <c r="AE248" s="6">
        <f>$K$248*$Y$248</f>
        <v>0</v>
      </c>
      <c r="AF248" s="6">
        <f ca="1">$M$248*$Z$248</f>
        <v>16856.854329492708</v>
      </c>
      <c r="AG248" s="6">
        <f>$O$248*$AA$248</f>
        <v>7194.3847136115101</v>
      </c>
    </row>
    <row r="249" spans="1:33" ht="11.25" hidden="1" customHeight="1" x14ac:dyDescent="0.3">
      <c r="A249" s="4" t="s">
        <v>27</v>
      </c>
      <c r="B249" s="4" t="s">
        <v>34</v>
      </c>
      <c r="C249" s="4" t="s">
        <v>35</v>
      </c>
      <c r="D249" s="4" t="s">
        <v>33</v>
      </c>
      <c r="E249" s="4" t="s">
        <v>25</v>
      </c>
      <c r="F249" s="4" t="s">
        <v>25</v>
      </c>
      <c r="G249" s="4" t="s">
        <v>25</v>
      </c>
      <c r="H249" s="4" t="s">
        <v>36</v>
      </c>
      <c r="I249" s="5">
        <v>44682</v>
      </c>
      <c r="J249" s="6">
        <v>0</v>
      </c>
      <c r="K249" s="6">
        <v>0</v>
      </c>
      <c r="L249" s="6">
        <v>0.49231999999999998</v>
      </c>
      <c r="M249" s="6">
        <v>0.49231999999999998</v>
      </c>
      <c r="N249" s="6">
        <v>0.49231999999999998</v>
      </c>
      <c r="O249" s="6">
        <v>0.49231999999999998</v>
      </c>
      <c r="P249" s="6">
        <v>0</v>
      </c>
      <c r="Q249" s="4" t="s">
        <v>26</v>
      </c>
      <c r="R249" s="4">
        <v>0</v>
      </c>
      <c r="S249" s="6">
        <v>0</v>
      </c>
      <c r="T249" s="6">
        <v>21</v>
      </c>
      <c r="U249" s="6">
        <v>83</v>
      </c>
      <c r="V249" s="6">
        <f>IF(ISERROR(VLOOKUP($S$249,'TAR FIN'!$A$1:$O$92,15,0)),0,VLOOKUP($S$249,'TAR FIN'!$A$1:$O$92,15,0))</f>
        <v>0</v>
      </c>
      <c r="W249" s="6">
        <f>IF(ISERROR(VLOOKUP($T$249,'TAR FIN'!$A$1:$O$92,15,0)),0,VLOOKUP($T$249,'TAR FIN'!$A$1:$O$92,15,0))</f>
        <v>789.62</v>
      </c>
      <c r="X249" s="6">
        <f>IF(ISERROR(VLOOKUP($U$249,'TAR FIN'!$A$1:$O$92,15,0)),0,VLOOKUP($U$249,'TAR FIN'!$A$1:$O$92,15,0))</f>
        <v>488.15</v>
      </c>
      <c r="Y249" s="6"/>
      <c r="Z249" s="6">
        <f ca="1">('TUSD BE'!$AM$15+'TUSD BF'!$AM$15+'TUSD CVA'!$AM$15)*1</f>
        <v>1080.2905876373179</v>
      </c>
      <c r="AA249" s="6">
        <f>('TE BE'!$AB$7+'TE BF'!$AB$7+'TE CVA'!$AB$7)*1</f>
        <v>461.06028669645673</v>
      </c>
      <c r="AB249" s="6">
        <f>$K$249*$V$249</f>
        <v>0</v>
      </c>
      <c r="AC249" s="6">
        <f>$M$249*$W$249</f>
        <v>388.74571839999999</v>
      </c>
      <c r="AD249" s="6">
        <f>$O$249*$X$249</f>
        <v>240.32600799999997</v>
      </c>
      <c r="AE249" s="6">
        <f>$K$249*$Y$249</f>
        <v>0</v>
      </c>
      <c r="AF249" s="6">
        <f ca="1">$M$249*$Z$249</f>
        <v>531.84866210560438</v>
      </c>
      <c r="AG249" s="6">
        <f>$O$249*$AA$249</f>
        <v>226.98920034639957</v>
      </c>
    </row>
    <row r="250" spans="1:33" ht="11.25" hidden="1" customHeight="1" x14ac:dyDescent="0.3">
      <c r="A250" s="4" t="s">
        <v>21</v>
      </c>
      <c r="B250" s="4" t="s">
        <v>34</v>
      </c>
      <c r="C250" s="4" t="s">
        <v>35</v>
      </c>
      <c r="D250" s="4" t="s">
        <v>33</v>
      </c>
      <c r="E250" s="4" t="s">
        <v>25</v>
      </c>
      <c r="F250" s="4" t="s">
        <v>25</v>
      </c>
      <c r="G250" s="4" t="s">
        <v>25</v>
      </c>
      <c r="H250" s="4" t="s">
        <v>36</v>
      </c>
      <c r="I250" s="5">
        <v>44713</v>
      </c>
      <c r="J250" s="6">
        <v>0</v>
      </c>
      <c r="K250" s="6">
        <v>0</v>
      </c>
      <c r="L250" s="6">
        <v>14.263</v>
      </c>
      <c r="M250" s="6">
        <v>14.263</v>
      </c>
      <c r="N250" s="6">
        <v>14.263</v>
      </c>
      <c r="O250" s="6">
        <v>14.263</v>
      </c>
      <c r="P250" s="6">
        <v>0</v>
      </c>
      <c r="Q250" s="4" t="s">
        <v>26</v>
      </c>
      <c r="R250" s="4">
        <v>0</v>
      </c>
      <c r="S250" s="6">
        <v>0</v>
      </c>
      <c r="T250" s="6">
        <v>21</v>
      </c>
      <c r="U250" s="6">
        <v>83</v>
      </c>
      <c r="V250" s="6">
        <f>IF(ISERROR(VLOOKUP($S$250,'TAR FIN'!$A$1:$O$92,15,0)),0,VLOOKUP($S$250,'TAR FIN'!$A$1:$O$92,15,0))</f>
        <v>0</v>
      </c>
      <c r="W250" s="6">
        <f>IF(ISERROR(VLOOKUP($T$250,'TAR FIN'!$A$1:$O$92,15,0)),0,VLOOKUP($T$250,'TAR FIN'!$A$1:$O$92,15,0))</f>
        <v>789.62</v>
      </c>
      <c r="X250" s="6">
        <f>IF(ISERROR(VLOOKUP($U$250,'TAR FIN'!$A$1:$O$92,15,0)),0,VLOOKUP($U$250,'TAR FIN'!$A$1:$O$92,15,0))</f>
        <v>488.15</v>
      </c>
      <c r="Y250" s="6"/>
      <c r="Z250" s="6">
        <f ca="1">('TUSD BE'!$AM$15+'TUSD BF'!$AM$15+'TUSD CVA'!$AM$15)*1</f>
        <v>1080.2905876373179</v>
      </c>
      <c r="AA250" s="6">
        <f>('TE BE'!$AB$7+'TE BF'!$AB$7+'TE CVA'!$AB$7)*1</f>
        <v>461.06028669645673</v>
      </c>
      <c r="AB250" s="6">
        <f>$K$250*$V$250</f>
        <v>0</v>
      </c>
      <c r="AC250" s="6">
        <f>$M$250*$W$250</f>
        <v>11262.350060000001</v>
      </c>
      <c r="AD250" s="6">
        <f>$O$250*$X$250</f>
        <v>6962.4834499999997</v>
      </c>
      <c r="AE250" s="6">
        <f>$K$250*$Y$250</f>
        <v>0</v>
      </c>
      <c r="AF250" s="6">
        <f ca="1">$M$250*$Z$250</f>
        <v>15408.184651471065</v>
      </c>
      <c r="AG250" s="6">
        <f>$O$250*$AA$250</f>
        <v>6576.1028691515621</v>
      </c>
    </row>
    <row r="251" spans="1:33" ht="11.25" hidden="1" customHeight="1" x14ac:dyDescent="0.3">
      <c r="A251" s="4" t="s">
        <v>27</v>
      </c>
      <c r="B251" s="4" t="s">
        <v>34</v>
      </c>
      <c r="C251" s="4" t="s">
        <v>35</v>
      </c>
      <c r="D251" s="4" t="s">
        <v>33</v>
      </c>
      <c r="E251" s="4" t="s">
        <v>25</v>
      </c>
      <c r="F251" s="4" t="s">
        <v>25</v>
      </c>
      <c r="G251" s="4" t="s">
        <v>25</v>
      </c>
      <c r="H251" s="4" t="s">
        <v>36</v>
      </c>
      <c r="I251" s="5">
        <v>44713</v>
      </c>
      <c r="J251" s="6">
        <v>0</v>
      </c>
      <c r="K251" s="6">
        <v>0</v>
      </c>
      <c r="L251" s="6">
        <v>0.80052000000000001</v>
      </c>
      <c r="M251" s="6">
        <v>0.80052000000000001</v>
      </c>
      <c r="N251" s="6">
        <v>0.80052000000000001</v>
      </c>
      <c r="O251" s="6">
        <v>0.80052000000000001</v>
      </c>
      <c r="P251" s="6">
        <v>0</v>
      </c>
      <c r="Q251" s="4" t="s">
        <v>26</v>
      </c>
      <c r="R251" s="4">
        <v>0</v>
      </c>
      <c r="S251" s="6">
        <v>0</v>
      </c>
      <c r="T251" s="6">
        <v>21</v>
      </c>
      <c r="U251" s="6">
        <v>83</v>
      </c>
      <c r="V251" s="6">
        <f>IF(ISERROR(VLOOKUP($S$251,'TAR FIN'!$A$1:$O$92,15,0)),0,VLOOKUP($S$251,'TAR FIN'!$A$1:$O$92,15,0))</f>
        <v>0</v>
      </c>
      <c r="W251" s="6">
        <f>IF(ISERROR(VLOOKUP($T$251,'TAR FIN'!$A$1:$O$92,15,0)),0,VLOOKUP($T$251,'TAR FIN'!$A$1:$O$92,15,0))</f>
        <v>789.62</v>
      </c>
      <c r="X251" s="6">
        <f>IF(ISERROR(VLOOKUP($U$251,'TAR FIN'!$A$1:$O$92,15,0)),0,VLOOKUP($U$251,'TAR FIN'!$A$1:$O$92,15,0))</f>
        <v>488.15</v>
      </c>
      <c r="Y251" s="6"/>
      <c r="Z251" s="6">
        <f ca="1">('TUSD BE'!$AM$15+'TUSD BF'!$AM$15+'TUSD CVA'!$AM$15)*1</f>
        <v>1080.2905876373179</v>
      </c>
      <c r="AA251" s="6">
        <f>('TE BE'!$AB$7+'TE BF'!$AB$7+'TE CVA'!$AB$7)*1</f>
        <v>461.06028669645673</v>
      </c>
      <c r="AB251" s="6">
        <f>$K$251*$V$251</f>
        <v>0</v>
      </c>
      <c r="AC251" s="6">
        <f>$M$251*$W$251</f>
        <v>632.10660240000004</v>
      </c>
      <c r="AD251" s="6">
        <f>$O$251*$X$251</f>
        <v>390.77383800000001</v>
      </c>
      <c r="AE251" s="6">
        <f>$K$251*$Y$251</f>
        <v>0</v>
      </c>
      <c r="AF251" s="6">
        <f ca="1">$M$251*$Z$251</f>
        <v>864.79422121542575</v>
      </c>
      <c r="AG251" s="6">
        <f>$O$251*$AA$251</f>
        <v>369.08798070624755</v>
      </c>
    </row>
    <row r="252" spans="1:33" ht="11.25" hidden="1" customHeight="1" x14ac:dyDescent="0.3">
      <c r="A252" s="4" t="s">
        <v>21</v>
      </c>
      <c r="B252" s="4" t="s">
        <v>34</v>
      </c>
      <c r="C252" s="4" t="s">
        <v>35</v>
      </c>
      <c r="D252" s="4" t="s">
        <v>33</v>
      </c>
      <c r="E252" s="4" t="s">
        <v>25</v>
      </c>
      <c r="F252" s="4" t="s">
        <v>25</v>
      </c>
      <c r="G252" s="4" t="s">
        <v>25</v>
      </c>
      <c r="H252" s="4" t="s">
        <v>36</v>
      </c>
      <c r="I252" s="5">
        <v>44743</v>
      </c>
      <c r="J252" s="6">
        <v>0</v>
      </c>
      <c r="K252" s="6">
        <v>0</v>
      </c>
      <c r="L252" s="6">
        <v>13.87434</v>
      </c>
      <c r="M252" s="6">
        <v>13.87434</v>
      </c>
      <c r="N252" s="6">
        <v>13.87434</v>
      </c>
      <c r="O252" s="6">
        <v>13.87434</v>
      </c>
      <c r="P252" s="6">
        <v>0</v>
      </c>
      <c r="Q252" s="4" t="s">
        <v>26</v>
      </c>
      <c r="R252" s="4">
        <v>0</v>
      </c>
      <c r="S252" s="6">
        <v>0</v>
      </c>
      <c r="T252" s="6">
        <v>21</v>
      </c>
      <c r="U252" s="6">
        <v>83</v>
      </c>
      <c r="V252" s="6">
        <f>IF(ISERROR(VLOOKUP($S$252,'TAR FIN'!$A$1:$O$92,15,0)),0,VLOOKUP($S$252,'TAR FIN'!$A$1:$O$92,15,0))</f>
        <v>0</v>
      </c>
      <c r="W252" s="6">
        <f>IF(ISERROR(VLOOKUP($T$252,'TAR FIN'!$A$1:$O$92,15,0)),0,VLOOKUP($T$252,'TAR FIN'!$A$1:$O$92,15,0))</f>
        <v>789.62</v>
      </c>
      <c r="X252" s="6">
        <f>IF(ISERROR(VLOOKUP($U$252,'TAR FIN'!$A$1:$O$92,15,0)),0,VLOOKUP($U$252,'TAR FIN'!$A$1:$O$92,15,0))</f>
        <v>488.15</v>
      </c>
      <c r="Y252" s="6"/>
      <c r="Z252" s="6">
        <f ca="1">('TUSD BE'!$AM$15+'TUSD BF'!$AM$15+'TUSD CVA'!$AM$15)*1</f>
        <v>1080.2905876373179</v>
      </c>
      <c r="AA252" s="6">
        <f>('TE BE'!$AB$7+'TE BF'!$AB$7+'TE CVA'!$AB$7)*1</f>
        <v>461.06028669645673</v>
      </c>
      <c r="AB252" s="6">
        <f>$K$252*$V$252</f>
        <v>0</v>
      </c>
      <c r="AC252" s="6">
        <f>$M$252*$W$252</f>
        <v>10955.456350800001</v>
      </c>
      <c r="AD252" s="6">
        <f>$O$252*$X$252</f>
        <v>6772.7590709999995</v>
      </c>
      <c r="AE252" s="6">
        <f>$K$252*$Y$252</f>
        <v>0</v>
      </c>
      <c r="AF252" s="6">
        <f ca="1">$M$252*$Z$252</f>
        <v>14988.318911679946</v>
      </c>
      <c r="AG252" s="6">
        <f>$O$252*$AA$252</f>
        <v>6396.9071781241173</v>
      </c>
    </row>
    <row r="253" spans="1:33" ht="11.25" hidden="1" customHeight="1" x14ac:dyDescent="0.3">
      <c r="A253" s="4" t="s">
        <v>27</v>
      </c>
      <c r="B253" s="4" t="s">
        <v>34</v>
      </c>
      <c r="C253" s="4" t="s">
        <v>35</v>
      </c>
      <c r="D253" s="4" t="s">
        <v>33</v>
      </c>
      <c r="E253" s="4" t="s">
        <v>25</v>
      </c>
      <c r="F253" s="4" t="s">
        <v>25</v>
      </c>
      <c r="G253" s="4" t="s">
        <v>25</v>
      </c>
      <c r="H253" s="4" t="s">
        <v>36</v>
      </c>
      <c r="I253" s="5">
        <v>44743</v>
      </c>
      <c r="J253" s="6">
        <v>0</v>
      </c>
      <c r="K253" s="6">
        <v>0</v>
      </c>
      <c r="L253" s="6">
        <v>1.2235799999999999</v>
      </c>
      <c r="M253" s="6">
        <v>1.2235799999999999</v>
      </c>
      <c r="N253" s="6">
        <v>1.2235799999999999</v>
      </c>
      <c r="O253" s="6">
        <v>1.2235799999999999</v>
      </c>
      <c r="P253" s="6">
        <v>0</v>
      </c>
      <c r="Q253" s="4" t="s">
        <v>26</v>
      </c>
      <c r="R253" s="4">
        <v>0</v>
      </c>
      <c r="S253" s="6">
        <v>0</v>
      </c>
      <c r="T253" s="6">
        <v>21</v>
      </c>
      <c r="U253" s="6">
        <v>83</v>
      </c>
      <c r="V253" s="6">
        <f>IF(ISERROR(VLOOKUP($S$253,'TAR FIN'!$A$1:$O$92,15,0)),0,VLOOKUP($S$253,'TAR FIN'!$A$1:$O$92,15,0))</f>
        <v>0</v>
      </c>
      <c r="W253" s="6">
        <f>IF(ISERROR(VLOOKUP($T$253,'TAR FIN'!$A$1:$O$92,15,0)),0,VLOOKUP($T$253,'TAR FIN'!$A$1:$O$92,15,0))</f>
        <v>789.62</v>
      </c>
      <c r="X253" s="6">
        <f>IF(ISERROR(VLOOKUP($U$253,'TAR FIN'!$A$1:$O$92,15,0)),0,VLOOKUP($U$253,'TAR FIN'!$A$1:$O$92,15,0))</f>
        <v>488.15</v>
      </c>
      <c r="Y253" s="6"/>
      <c r="Z253" s="6">
        <f ca="1">('TUSD BE'!$AM$15+'TUSD BF'!$AM$15+'TUSD CVA'!$AM$15)*1</f>
        <v>1080.2905876373179</v>
      </c>
      <c r="AA253" s="6">
        <f>('TE BE'!$AB$7+'TE BF'!$AB$7+'TE CVA'!$AB$7)*1</f>
        <v>461.06028669645673</v>
      </c>
      <c r="AB253" s="6">
        <f>$K$253*$V$253</f>
        <v>0</v>
      </c>
      <c r="AC253" s="6">
        <f>$M$253*$W$253</f>
        <v>966.16323959999988</v>
      </c>
      <c r="AD253" s="6">
        <f>$O$253*$X$253</f>
        <v>597.29057699999987</v>
      </c>
      <c r="AE253" s="6">
        <f>$K$253*$Y$253</f>
        <v>0</v>
      </c>
      <c r="AF253" s="6">
        <f ca="1">$M$253*$Z$253</f>
        <v>1321.8219572212693</v>
      </c>
      <c r="AG253" s="6">
        <f>$O$253*$AA$253</f>
        <v>564.14414559605052</v>
      </c>
    </row>
    <row r="254" spans="1:33" ht="11.25" hidden="1" customHeight="1" x14ac:dyDescent="0.3">
      <c r="A254" s="4" t="s">
        <v>21</v>
      </c>
      <c r="B254" s="4" t="s">
        <v>34</v>
      </c>
      <c r="C254" s="4" t="s">
        <v>35</v>
      </c>
      <c r="D254" s="4" t="s">
        <v>43</v>
      </c>
      <c r="E254" s="4" t="s">
        <v>25</v>
      </c>
      <c r="F254" s="4" t="s">
        <v>25</v>
      </c>
      <c r="G254" s="4" t="s">
        <v>25</v>
      </c>
      <c r="H254" s="4" t="s">
        <v>37</v>
      </c>
      <c r="I254" s="5">
        <v>44409</v>
      </c>
      <c r="J254" s="6">
        <v>0</v>
      </c>
      <c r="K254" s="6">
        <v>0</v>
      </c>
      <c r="L254" s="6">
        <v>9.8829999999999991</v>
      </c>
      <c r="M254" s="6">
        <v>9.8829999999999991</v>
      </c>
      <c r="N254" s="6">
        <v>9.8829999999999991</v>
      </c>
      <c r="O254" s="6">
        <v>9.8829999999999991</v>
      </c>
      <c r="P254" s="6">
        <v>0</v>
      </c>
      <c r="Q254" s="4" t="s">
        <v>26</v>
      </c>
      <c r="R254" s="4">
        <v>0</v>
      </c>
      <c r="S254" s="6">
        <v>0</v>
      </c>
      <c r="T254" s="6">
        <v>22</v>
      </c>
      <c r="U254" s="6">
        <v>84</v>
      </c>
      <c r="V254" s="6">
        <f>IF(ISERROR(VLOOKUP($S$254,'TAR FIN'!$A$1:$O$92,15,0)),0,VLOOKUP($S$254,'TAR FIN'!$A$1:$O$92,15,0))</f>
        <v>0</v>
      </c>
      <c r="W254" s="6">
        <f>IF(ISERROR(VLOOKUP($T$254,'TAR FIN'!$A$1:$O$92,15,0)),0,VLOOKUP($T$254,'TAR FIN'!$A$1:$O$92,15,0))</f>
        <v>73.28</v>
      </c>
      <c r="X254" s="6">
        <f>IF(ISERROR(VLOOKUP($U$254,'TAR FIN'!$A$1:$O$92,15,0)),0,VLOOKUP($U$254,'TAR FIN'!$A$1:$O$92,15,0))</f>
        <v>286.76</v>
      </c>
      <c r="Y254" s="6"/>
      <c r="Z254" s="6">
        <f ca="1">('TUSD BE'!$AM$16+'TUSD BF'!$AM$16+'TUSD CVA'!$AM$16)*1</f>
        <v>139.98967941887983</v>
      </c>
      <c r="AA254" s="6">
        <f>('TE BE'!$AB$8+'TE BF'!$AB$8+'TE CVA'!$AB$8)*1</f>
        <v>271.35516669689775</v>
      </c>
      <c r="AB254" s="6">
        <f>$K$254*$V$254</f>
        <v>0</v>
      </c>
      <c r="AC254" s="6">
        <f>$M$254*$W$254</f>
        <v>724.22623999999996</v>
      </c>
      <c r="AD254" s="6">
        <f>$O$254*$X$254</f>
        <v>2834.0490799999998</v>
      </c>
      <c r="AE254" s="6">
        <f>$K$254*$Y$254</f>
        <v>0</v>
      </c>
      <c r="AF254" s="6">
        <f ca="1">$M$254*$Z$254</f>
        <v>1383.5180016967893</v>
      </c>
      <c r="AG254" s="6">
        <f>$O$254*$AA$254</f>
        <v>2681.8031124654403</v>
      </c>
    </row>
    <row r="255" spans="1:33" ht="11.25" hidden="1" customHeight="1" x14ac:dyDescent="0.3">
      <c r="A255" s="4" t="s">
        <v>21</v>
      </c>
      <c r="B255" s="4" t="s">
        <v>34</v>
      </c>
      <c r="C255" s="4" t="s">
        <v>35</v>
      </c>
      <c r="D255" s="4" t="s">
        <v>43</v>
      </c>
      <c r="E255" s="4" t="s">
        <v>25</v>
      </c>
      <c r="F255" s="4" t="s">
        <v>25</v>
      </c>
      <c r="G255" s="4" t="s">
        <v>25</v>
      </c>
      <c r="H255" s="4" t="s">
        <v>37</v>
      </c>
      <c r="I255" s="5">
        <v>44440</v>
      </c>
      <c r="J255" s="6">
        <v>0</v>
      </c>
      <c r="K255" s="6">
        <v>0</v>
      </c>
      <c r="L255" s="6">
        <v>11.0678</v>
      </c>
      <c r="M255" s="6">
        <v>11.0678</v>
      </c>
      <c r="N255" s="6">
        <v>11.0678</v>
      </c>
      <c r="O255" s="6">
        <v>11.0678</v>
      </c>
      <c r="P255" s="6">
        <v>0</v>
      </c>
      <c r="Q255" s="4" t="s">
        <v>26</v>
      </c>
      <c r="R255" s="4">
        <v>0</v>
      </c>
      <c r="S255" s="6">
        <v>0</v>
      </c>
      <c r="T255" s="6">
        <v>22</v>
      </c>
      <c r="U255" s="6">
        <v>84</v>
      </c>
      <c r="V255" s="6">
        <f>IF(ISERROR(VLOOKUP($S$255,'TAR FIN'!$A$1:$O$92,15,0)),0,VLOOKUP($S$255,'TAR FIN'!$A$1:$O$92,15,0))</f>
        <v>0</v>
      </c>
      <c r="W255" s="6">
        <f>IF(ISERROR(VLOOKUP($T$255,'TAR FIN'!$A$1:$O$92,15,0)),0,VLOOKUP($T$255,'TAR FIN'!$A$1:$O$92,15,0))</f>
        <v>73.28</v>
      </c>
      <c r="X255" s="6">
        <f>IF(ISERROR(VLOOKUP($U$255,'TAR FIN'!$A$1:$O$92,15,0)),0,VLOOKUP($U$255,'TAR FIN'!$A$1:$O$92,15,0))</f>
        <v>286.76</v>
      </c>
      <c r="Y255" s="6"/>
      <c r="Z255" s="6">
        <f ca="1">('TUSD BE'!$AM$16+'TUSD BF'!$AM$16+'TUSD CVA'!$AM$16)*1</f>
        <v>139.98967941887983</v>
      </c>
      <c r="AA255" s="6">
        <f>('TE BE'!$AB$8+'TE BF'!$AB$8+'TE CVA'!$AB$8)*1</f>
        <v>271.35516669689775</v>
      </c>
      <c r="AB255" s="6">
        <f>$K$255*$V$255</f>
        <v>0</v>
      </c>
      <c r="AC255" s="6">
        <f>$M$255*$W$255</f>
        <v>811.04838400000006</v>
      </c>
      <c r="AD255" s="6">
        <f>$O$255*$X$255</f>
        <v>3173.8023279999998</v>
      </c>
      <c r="AE255" s="6">
        <f>$K$255*$Y$255</f>
        <v>0</v>
      </c>
      <c r="AF255" s="6">
        <f ca="1">$M$255*$Z$255</f>
        <v>1549.3777738722781</v>
      </c>
      <c r="AG255" s="6">
        <f>$O$255*$AA$255</f>
        <v>3003.3047139679252</v>
      </c>
    </row>
    <row r="256" spans="1:33" ht="11.25" hidden="1" customHeight="1" x14ac:dyDescent="0.3">
      <c r="A256" s="4" t="s">
        <v>21</v>
      </c>
      <c r="B256" s="4" t="s">
        <v>34</v>
      </c>
      <c r="C256" s="4" t="s">
        <v>35</v>
      </c>
      <c r="D256" s="4" t="s">
        <v>43</v>
      </c>
      <c r="E256" s="4" t="s">
        <v>25</v>
      </c>
      <c r="F256" s="4" t="s">
        <v>25</v>
      </c>
      <c r="G256" s="4" t="s">
        <v>25</v>
      </c>
      <c r="H256" s="4" t="s">
        <v>37</v>
      </c>
      <c r="I256" s="5">
        <v>44470</v>
      </c>
      <c r="J256" s="6">
        <v>0</v>
      </c>
      <c r="K256" s="6">
        <v>0</v>
      </c>
      <c r="L256" s="6">
        <v>11.593</v>
      </c>
      <c r="M256" s="6">
        <v>11.593</v>
      </c>
      <c r="N256" s="6">
        <v>11.593</v>
      </c>
      <c r="O256" s="6">
        <v>11.593</v>
      </c>
      <c r="P256" s="6">
        <v>0</v>
      </c>
      <c r="Q256" s="4" t="s">
        <v>26</v>
      </c>
      <c r="R256" s="4">
        <v>0</v>
      </c>
      <c r="S256" s="6">
        <v>0</v>
      </c>
      <c r="T256" s="6">
        <v>22</v>
      </c>
      <c r="U256" s="6">
        <v>84</v>
      </c>
      <c r="V256" s="6">
        <f>IF(ISERROR(VLOOKUP($S$256,'TAR FIN'!$A$1:$O$92,15,0)),0,VLOOKUP($S$256,'TAR FIN'!$A$1:$O$92,15,0))</f>
        <v>0</v>
      </c>
      <c r="W256" s="6">
        <f>IF(ISERROR(VLOOKUP($T$256,'TAR FIN'!$A$1:$O$92,15,0)),0,VLOOKUP($T$256,'TAR FIN'!$A$1:$O$92,15,0))</f>
        <v>73.28</v>
      </c>
      <c r="X256" s="6">
        <f>IF(ISERROR(VLOOKUP($U$256,'TAR FIN'!$A$1:$O$92,15,0)),0,VLOOKUP($U$256,'TAR FIN'!$A$1:$O$92,15,0))</f>
        <v>286.76</v>
      </c>
      <c r="Y256" s="6"/>
      <c r="Z256" s="6">
        <f ca="1">('TUSD BE'!$AM$16+'TUSD BF'!$AM$16+'TUSD CVA'!$AM$16)*1</f>
        <v>139.98967941887983</v>
      </c>
      <c r="AA256" s="6">
        <f>('TE BE'!$AB$8+'TE BF'!$AB$8+'TE CVA'!$AB$8)*1</f>
        <v>271.35516669689775</v>
      </c>
      <c r="AB256" s="6">
        <f>$K$256*$V$256</f>
        <v>0</v>
      </c>
      <c r="AC256" s="6">
        <f>$M$256*$W$256</f>
        <v>849.53503999999998</v>
      </c>
      <c r="AD256" s="6">
        <f>$O$256*$X$256</f>
        <v>3324.40868</v>
      </c>
      <c r="AE256" s="6">
        <f>$K$256*$Y$256</f>
        <v>0</v>
      </c>
      <c r="AF256" s="6">
        <f ca="1">$M$256*$Z$256</f>
        <v>1622.9003535030738</v>
      </c>
      <c r="AG256" s="6">
        <f>$O$256*$AA$256</f>
        <v>3145.8204475171356</v>
      </c>
    </row>
    <row r="257" spans="1:33" ht="11.25" hidden="1" customHeight="1" x14ac:dyDescent="0.3">
      <c r="A257" s="4" t="s">
        <v>21</v>
      </c>
      <c r="B257" s="4" t="s">
        <v>34</v>
      </c>
      <c r="C257" s="4" t="s">
        <v>35</v>
      </c>
      <c r="D257" s="4" t="s">
        <v>43</v>
      </c>
      <c r="E257" s="4" t="s">
        <v>25</v>
      </c>
      <c r="F257" s="4" t="s">
        <v>25</v>
      </c>
      <c r="G257" s="4" t="s">
        <v>25</v>
      </c>
      <c r="H257" s="4" t="s">
        <v>37</v>
      </c>
      <c r="I257" s="5">
        <v>44501</v>
      </c>
      <c r="J257" s="6">
        <v>0</v>
      </c>
      <c r="K257" s="6">
        <v>0</v>
      </c>
      <c r="L257" s="6">
        <v>13.98794</v>
      </c>
      <c r="M257" s="6">
        <v>13.98794</v>
      </c>
      <c r="N257" s="6">
        <v>13.98794</v>
      </c>
      <c r="O257" s="6">
        <v>13.98794</v>
      </c>
      <c r="P257" s="6">
        <v>0</v>
      </c>
      <c r="Q257" s="4" t="s">
        <v>26</v>
      </c>
      <c r="R257" s="4">
        <v>0</v>
      </c>
      <c r="S257" s="6">
        <v>0</v>
      </c>
      <c r="T257" s="6">
        <v>22</v>
      </c>
      <c r="U257" s="6">
        <v>84</v>
      </c>
      <c r="V257" s="6">
        <f>IF(ISERROR(VLOOKUP($S$257,'TAR FIN'!$A$1:$O$92,15,0)),0,VLOOKUP($S$257,'TAR FIN'!$A$1:$O$92,15,0))</f>
        <v>0</v>
      </c>
      <c r="W257" s="6">
        <f>IF(ISERROR(VLOOKUP($T$257,'TAR FIN'!$A$1:$O$92,15,0)),0,VLOOKUP($T$257,'TAR FIN'!$A$1:$O$92,15,0))</f>
        <v>73.28</v>
      </c>
      <c r="X257" s="6">
        <f>IF(ISERROR(VLOOKUP($U$257,'TAR FIN'!$A$1:$O$92,15,0)),0,VLOOKUP($U$257,'TAR FIN'!$A$1:$O$92,15,0))</f>
        <v>286.76</v>
      </c>
      <c r="Y257" s="6"/>
      <c r="Z257" s="6">
        <f ca="1">('TUSD BE'!$AM$16+'TUSD BF'!$AM$16+'TUSD CVA'!$AM$16)*1</f>
        <v>139.98967941887983</v>
      </c>
      <c r="AA257" s="6">
        <f>('TE BE'!$AB$8+'TE BF'!$AB$8+'TE CVA'!$AB$8)*1</f>
        <v>271.35516669689775</v>
      </c>
      <c r="AB257" s="6">
        <f>$K$257*$V$257</f>
        <v>0</v>
      </c>
      <c r="AC257" s="6">
        <f>$M$257*$W$257</f>
        <v>1025.0362431999999</v>
      </c>
      <c r="AD257" s="6">
        <f>$O$257*$X$257</f>
        <v>4011.1816743999998</v>
      </c>
      <c r="AE257" s="6">
        <f>$K$257*$Y$257</f>
        <v>0</v>
      </c>
      <c r="AF257" s="6">
        <f ca="1">$M$257*$Z$257</f>
        <v>1958.1672363305258</v>
      </c>
      <c r="AG257" s="6">
        <f>$O$257*$AA$257</f>
        <v>3795.6997904462041</v>
      </c>
    </row>
    <row r="258" spans="1:33" ht="11.25" hidden="1" customHeight="1" x14ac:dyDescent="0.3">
      <c r="A258" s="4" t="s">
        <v>21</v>
      </c>
      <c r="B258" s="4" t="s">
        <v>34</v>
      </c>
      <c r="C258" s="4" t="s">
        <v>35</v>
      </c>
      <c r="D258" s="4" t="s">
        <v>43</v>
      </c>
      <c r="E258" s="4" t="s">
        <v>25</v>
      </c>
      <c r="F258" s="4" t="s">
        <v>25</v>
      </c>
      <c r="G258" s="4" t="s">
        <v>25</v>
      </c>
      <c r="H258" s="4" t="s">
        <v>37</v>
      </c>
      <c r="I258" s="5">
        <v>44531</v>
      </c>
      <c r="J258" s="6">
        <v>0</v>
      </c>
      <c r="K258" s="6">
        <v>0</v>
      </c>
      <c r="L258" s="6">
        <v>16.49072</v>
      </c>
      <c r="M258" s="6">
        <v>16.49072</v>
      </c>
      <c r="N258" s="6">
        <v>16.49072</v>
      </c>
      <c r="O258" s="6">
        <v>16.49072</v>
      </c>
      <c r="P258" s="6">
        <v>0</v>
      </c>
      <c r="Q258" s="4" t="s">
        <v>26</v>
      </c>
      <c r="R258" s="4">
        <v>0</v>
      </c>
      <c r="S258" s="6">
        <v>0</v>
      </c>
      <c r="T258" s="6">
        <v>22</v>
      </c>
      <c r="U258" s="6">
        <v>84</v>
      </c>
      <c r="V258" s="6">
        <f>IF(ISERROR(VLOOKUP($S$258,'TAR FIN'!$A$1:$O$92,15,0)),0,VLOOKUP($S$258,'TAR FIN'!$A$1:$O$92,15,0))</f>
        <v>0</v>
      </c>
      <c r="W258" s="6">
        <f>IF(ISERROR(VLOOKUP($T$258,'TAR FIN'!$A$1:$O$92,15,0)),0,VLOOKUP($T$258,'TAR FIN'!$A$1:$O$92,15,0))</f>
        <v>73.28</v>
      </c>
      <c r="X258" s="6">
        <f>IF(ISERROR(VLOOKUP($U$258,'TAR FIN'!$A$1:$O$92,15,0)),0,VLOOKUP($U$258,'TAR FIN'!$A$1:$O$92,15,0))</f>
        <v>286.76</v>
      </c>
      <c r="Y258" s="6"/>
      <c r="Z258" s="6">
        <f ca="1">('TUSD BE'!$AM$16+'TUSD BF'!$AM$16+'TUSD CVA'!$AM$16)*1</f>
        <v>139.98967941887983</v>
      </c>
      <c r="AA258" s="6">
        <f>('TE BE'!$AB$8+'TE BF'!$AB$8+'TE CVA'!$AB$8)*1</f>
        <v>271.35516669689775</v>
      </c>
      <c r="AB258" s="6">
        <f>$K$258*$V$258</f>
        <v>0</v>
      </c>
      <c r="AC258" s="6">
        <f>$M$258*$W$258</f>
        <v>1208.4399616000001</v>
      </c>
      <c r="AD258" s="6">
        <f>$O$258*$X$258</f>
        <v>4728.8788672000001</v>
      </c>
      <c r="AE258" s="6">
        <f>$K$258*$Y$258</f>
        <v>0</v>
      </c>
      <c r="AF258" s="6">
        <f ca="1">$M$258*$Z$258</f>
        <v>2308.5306061865099</v>
      </c>
      <c r="AG258" s="6">
        <f>$O$258*$AA$258</f>
        <v>4474.8420745518661</v>
      </c>
    </row>
    <row r="259" spans="1:33" ht="11.25" hidden="1" customHeight="1" x14ac:dyDescent="0.3">
      <c r="A259" s="4" t="s">
        <v>21</v>
      </c>
      <c r="B259" s="4" t="s">
        <v>34</v>
      </c>
      <c r="C259" s="4" t="s">
        <v>35</v>
      </c>
      <c r="D259" s="4" t="s">
        <v>43</v>
      </c>
      <c r="E259" s="4" t="s">
        <v>25</v>
      </c>
      <c r="F259" s="4" t="s">
        <v>25</v>
      </c>
      <c r="G259" s="4" t="s">
        <v>25</v>
      </c>
      <c r="H259" s="4" t="s">
        <v>37</v>
      </c>
      <c r="I259" s="5">
        <v>44562</v>
      </c>
      <c r="J259" s="6">
        <v>0</v>
      </c>
      <c r="K259" s="6">
        <v>0</v>
      </c>
      <c r="L259" s="6">
        <v>20.244700000000002</v>
      </c>
      <c r="M259" s="6">
        <v>20.244700000000002</v>
      </c>
      <c r="N259" s="6">
        <v>20.244700000000002</v>
      </c>
      <c r="O259" s="6">
        <v>20.244700000000002</v>
      </c>
      <c r="P259" s="6">
        <v>0</v>
      </c>
      <c r="Q259" s="4" t="s">
        <v>26</v>
      </c>
      <c r="R259" s="4">
        <v>0</v>
      </c>
      <c r="S259" s="6">
        <v>0</v>
      </c>
      <c r="T259" s="6">
        <v>22</v>
      </c>
      <c r="U259" s="6">
        <v>84</v>
      </c>
      <c r="V259" s="6">
        <f>IF(ISERROR(VLOOKUP($S$259,'TAR FIN'!$A$1:$O$92,15,0)),0,VLOOKUP($S$259,'TAR FIN'!$A$1:$O$92,15,0))</f>
        <v>0</v>
      </c>
      <c r="W259" s="6">
        <f>IF(ISERROR(VLOOKUP($T$259,'TAR FIN'!$A$1:$O$92,15,0)),0,VLOOKUP($T$259,'TAR FIN'!$A$1:$O$92,15,0))</f>
        <v>73.28</v>
      </c>
      <c r="X259" s="6">
        <f>IF(ISERROR(VLOOKUP($U$259,'TAR FIN'!$A$1:$O$92,15,0)),0,VLOOKUP($U$259,'TAR FIN'!$A$1:$O$92,15,0))</f>
        <v>286.76</v>
      </c>
      <c r="Y259" s="6"/>
      <c r="Z259" s="6">
        <f ca="1">('TUSD BE'!$AM$16+'TUSD BF'!$AM$16+'TUSD CVA'!$AM$16)*1</f>
        <v>139.98967941887983</v>
      </c>
      <c r="AA259" s="6">
        <f>('TE BE'!$AB$8+'TE BF'!$AB$8+'TE CVA'!$AB$8)*1</f>
        <v>271.35516669689775</v>
      </c>
      <c r="AB259" s="6">
        <f>$K$259*$V$259</f>
        <v>0</v>
      </c>
      <c r="AC259" s="6">
        <f>$M$259*$W$259</f>
        <v>1483.5316160000002</v>
      </c>
      <c r="AD259" s="6">
        <f>$O$259*$X$259</f>
        <v>5805.3701719999999</v>
      </c>
      <c r="AE259" s="6">
        <f>$K$259*$Y$259</f>
        <v>0</v>
      </c>
      <c r="AF259" s="6">
        <f ca="1">$M$259*$Z$259</f>
        <v>2834.0490629313967</v>
      </c>
      <c r="AG259" s="6">
        <f>$O$259*$AA$259</f>
        <v>5493.5039432286867</v>
      </c>
    </row>
    <row r="260" spans="1:33" ht="11.25" hidden="1" customHeight="1" x14ac:dyDescent="0.3">
      <c r="A260" s="4" t="s">
        <v>21</v>
      </c>
      <c r="B260" s="4" t="s">
        <v>34</v>
      </c>
      <c r="C260" s="4" t="s">
        <v>35</v>
      </c>
      <c r="D260" s="4" t="s">
        <v>43</v>
      </c>
      <c r="E260" s="4" t="s">
        <v>25</v>
      </c>
      <c r="F260" s="4" t="s">
        <v>25</v>
      </c>
      <c r="G260" s="4" t="s">
        <v>25</v>
      </c>
      <c r="H260" s="4" t="s">
        <v>37</v>
      </c>
      <c r="I260" s="5">
        <v>44593</v>
      </c>
      <c r="J260" s="6">
        <v>0</v>
      </c>
      <c r="K260" s="6">
        <v>0</v>
      </c>
      <c r="L260" s="6">
        <v>17.725000000000001</v>
      </c>
      <c r="M260" s="6">
        <v>17.725000000000001</v>
      </c>
      <c r="N260" s="6">
        <v>17.725000000000001</v>
      </c>
      <c r="O260" s="6">
        <v>17.725000000000001</v>
      </c>
      <c r="P260" s="6">
        <v>0</v>
      </c>
      <c r="Q260" s="4" t="s">
        <v>26</v>
      </c>
      <c r="R260" s="4">
        <v>0</v>
      </c>
      <c r="S260" s="6">
        <v>0</v>
      </c>
      <c r="T260" s="6">
        <v>22</v>
      </c>
      <c r="U260" s="6">
        <v>84</v>
      </c>
      <c r="V260" s="6">
        <f>IF(ISERROR(VLOOKUP($S$260,'TAR FIN'!$A$1:$O$92,15,0)),0,VLOOKUP($S$260,'TAR FIN'!$A$1:$O$92,15,0))</f>
        <v>0</v>
      </c>
      <c r="W260" s="6">
        <f>IF(ISERROR(VLOOKUP($T$260,'TAR FIN'!$A$1:$O$92,15,0)),0,VLOOKUP($T$260,'TAR FIN'!$A$1:$O$92,15,0))</f>
        <v>73.28</v>
      </c>
      <c r="X260" s="6">
        <f>IF(ISERROR(VLOOKUP($U$260,'TAR FIN'!$A$1:$O$92,15,0)),0,VLOOKUP($U$260,'TAR FIN'!$A$1:$O$92,15,0))</f>
        <v>286.76</v>
      </c>
      <c r="Y260" s="6"/>
      <c r="Z260" s="6">
        <f ca="1">('TUSD BE'!$AM$16+'TUSD BF'!$AM$16+'TUSD CVA'!$AM$16)*1</f>
        <v>139.98967941887983</v>
      </c>
      <c r="AA260" s="6">
        <f>('TE BE'!$AB$8+'TE BF'!$AB$8+'TE CVA'!$AB$8)*1</f>
        <v>271.35516669689775</v>
      </c>
      <c r="AB260" s="6">
        <f>$K$260*$V$260</f>
        <v>0</v>
      </c>
      <c r="AC260" s="6">
        <f>$M$260*$W$260</f>
        <v>1298.8880000000001</v>
      </c>
      <c r="AD260" s="6">
        <f>$O$260*$X$260</f>
        <v>5082.8209999999999</v>
      </c>
      <c r="AE260" s="6">
        <f>$K$260*$Y$260</f>
        <v>0</v>
      </c>
      <c r="AF260" s="6">
        <f ca="1">$M$260*$Z$260</f>
        <v>2481.3170676996451</v>
      </c>
      <c r="AG260" s="6">
        <f>$O$260*$AA$260</f>
        <v>4809.7703297025128</v>
      </c>
    </row>
    <row r="261" spans="1:33" ht="11.25" hidden="1" customHeight="1" x14ac:dyDescent="0.3">
      <c r="A261" s="4" t="s">
        <v>21</v>
      </c>
      <c r="B261" s="4" t="s">
        <v>34</v>
      </c>
      <c r="C261" s="4" t="s">
        <v>35</v>
      </c>
      <c r="D261" s="4" t="s">
        <v>43</v>
      </c>
      <c r="E261" s="4" t="s">
        <v>25</v>
      </c>
      <c r="F261" s="4" t="s">
        <v>25</v>
      </c>
      <c r="G261" s="4" t="s">
        <v>25</v>
      </c>
      <c r="H261" s="4" t="s">
        <v>37</v>
      </c>
      <c r="I261" s="5">
        <v>44621</v>
      </c>
      <c r="J261" s="6">
        <v>0</v>
      </c>
      <c r="K261" s="6">
        <v>0</v>
      </c>
      <c r="L261" s="6">
        <v>17.638680000000001</v>
      </c>
      <c r="M261" s="6">
        <v>17.638680000000001</v>
      </c>
      <c r="N261" s="6">
        <v>17.638680000000001</v>
      </c>
      <c r="O261" s="6">
        <v>17.638680000000001</v>
      </c>
      <c r="P261" s="6">
        <v>0</v>
      </c>
      <c r="Q261" s="4" t="s">
        <v>26</v>
      </c>
      <c r="R261" s="4">
        <v>0</v>
      </c>
      <c r="S261" s="6">
        <v>0</v>
      </c>
      <c r="T261" s="6">
        <v>22</v>
      </c>
      <c r="U261" s="6">
        <v>84</v>
      </c>
      <c r="V261" s="6">
        <f>IF(ISERROR(VLOOKUP($S$261,'TAR FIN'!$A$1:$O$92,15,0)),0,VLOOKUP($S$261,'TAR FIN'!$A$1:$O$92,15,0))</f>
        <v>0</v>
      </c>
      <c r="W261" s="6">
        <f>IF(ISERROR(VLOOKUP($T$261,'TAR FIN'!$A$1:$O$92,15,0)),0,VLOOKUP($T$261,'TAR FIN'!$A$1:$O$92,15,0))</f>
        <v>73.28</v>
      </c>
      <c r="X261" s="6">
        <f>IF(ISERROR(VLOOKUP($U$261,'TAR FIN'!$A$1:$O$92,15,0)),0,VLOOKUP($U$261,'TAR FIN'!$A$1:$O$92,15,0))</f>
        <v>286.76</v>
      </c>
      <c r="Y261" s="6"/>
      <c r="Z261" s="6">
        <f ca="1">('TUSD BE'!$AM$16+'TUSD BF'!$AM$16+'TUSD CVA'!$AM$16)*1</f>
        <v>139.98967941887983</v>
      </c>
      <c r="AA261" s="6">
        <f>('TE BE'!$AB$8+'TE BF'!$AB$8+'TE CVA'!$AB$8)*1</f>
        <v>271.35516669689775</v>
      </c>
      <c r="AB261" s="6">
        <f>$K$261*$V$261</f>
        <v>0</v>
      </c>
      <c r="AC261" s="6">
        <f>$M$261*$W$261</f>
        <v>1292.5624704000002</v>
      </c>
      <c r="AD261" s="6">
        <f>$O$261*$X$261</f>
        <v>5058.0678767999998</v>
      </c>
      <c r="AE261" s="6">
        <f>$K$261*$Y$261</f>
        <v>0</v>
      </c>
      <c r="AF261" s="6">
        <f ca="1">$M$261*$Z$261</f>
        <v>2469.2331585722072</v>
      </c>
      <c r="AG261" s="6">
        <f>$O$261*$AA$261</f>
        <v>4786.3469517132371</v>
      </c>
    </row>
    <row r="262" spans="1:33" ht="11.25" hidden="1" customHeight="1" x14ac:dyDescent="0.3">
      <c r="A262" s="4" t="s">
        <v>21</v>
      </c>
      <c r="B262" s="4" t="s">
        <v>34</v>
      </c>
      <c r="C262" s="4" t="s">
        <v>35</v>
      </c>
      <c r="D262" s="4" t="s">
        <v>43</v>
      </c>
      <c r="E262" s="4" t="s">
        <v>25</v>
      </c>
      <c r="F262" s="4" t="s">
        <v>25</v>
      </c>
      <c r="G262" s="4" t="s">
        <v>25</v>
      </c>
      <c r="H262" s="4" t="s">
        <v>37</v>
      </c>
      <c r="I262" s="5">
        <v>44652</v>
      </c>
      <c r="J262" s="6">
        <v>0</v>
      </c>
      <c r="K262" s="6">
        <v>0</v>
      </c>
      <c r="L262" s="6">
        <v>12.5853</v>
      </c>
      <c r="M262" s="6">
        <v>12.5853</v>
      </c>
      <c r="N262" s="6">
        <v>12.5853</v>
      </c>
      <c r="O262" s="6">
        <v>12.5853</v>
      </c>
      <c r="P262" s="6">
        <v>0</v>
      </c>
      <c r="Q262" s="4" t="s">
        <v>26</v>
      </c>
      <c r="R262" s="4">
        <v>0</v>
      </c>
      <c r="S262" s="6">
        <v>0</v>
      </c>
      <c r="T262" s="6">
        <v>22</v>
      </c>
      <c r="U262" s="6">
        <v>84</v>
      </c>
      <c r="V262" s="6">
        <f>IF(ISERROR(VLOOKUP($S$262,'TAR FIN'!$A$1:$O$92,15,0)),0,VLOOKUP($S$262,'TAR FIN'!$A$1:$O$92,15,0))</f>
        <v>0</v>
      </c>
      <c r="W262" s="6">
        <f>IF(ISERROR(VLOOKUP($T$262,'TAR FIN'!$A$1:$O$92,15,0)),0,VLOOKUP($T$262,'TAR FIN'!$A$1:$O$92,15,0))</f>
        <v>73.28</v>
      </c>
      <c r="X262" s="6">
        <f>IF(ISERROR(VLOOKUP($U$262,'TAR FIN'!$A$1:$O$92,15,0)),0,VLOOKUP($U$262,'TAR FIN'!$A$1:$O$92,15,0))</f>
        <v>286.76</v>
      </c>
      <c r="Y262" s="6"/>
      <c r="Z262" s="6">
        <f ca="1">('TUSD BE'!$AM$16+'TUSD BF'!$AM$16+'TUSD CVA'!$AM$16)*1</f>
        <v>139.98967941887983</v>
      </c>
      <c r="AA262" s="6">
        <f>('TE BE'!$AB$8+'TE BF'!$AB$8+'TE CVA'!$AB$8)*1</f>
        <v>271.35516669689775</v>
      </c>
      <c r="AB262" s="6">
        <f>$K$262*$V$262</f>
        <v>0</v>
      </c>
      <c r="AC262" s="6">
        <f>$M$262*$W$262</f>
        <v>922.25078400000007</v>
      </c>
      <c r="AD262" s="6">
        <f>$O$262*$X$262</f>
        <v>3608.9606279999998</v>
      </c>
      <c r="AE262" s="6">
        <f>$K$262*$Y$262</f>
        <v>0</v>
      </c>
      <c r="AF262" s="6">
        <f ca="1">$M$262*$Z$262</f>
        <v>1761.8121123904284</v>
      </c>
      <c r="AG262" s="6">
        <f>$O$262*$AA$262</f>
        <v>3415.0861794304674</v>
      </c>
    </row>
    <row r="263" spans="1:33" ht="11.25" hidden="1" customHeight="1" x14ac:dyDescent="0.3">
      <c r="A263" s="4" t="s">
        <v>21</v>
      </c>
      <c r="B263" s="4" t="s">
        <v>34</v>
      </c>
      <c r="C263" s="4" t="s">
        <v>35</v>
      </c>
      <c r="D263" s="4" t="s">
        <v>43</v>
      </c>
      <c r="E263" s="4" t="s">
        <v>25</v>
      </c>
      <c r="F263" s="4" t="s">
        <v>25</v>
      </c>
      <c r="G263" s="4" t="s">
        <v>25</v>
      </c>
      <c r="H263" s="4" t="s">
        <v>37</v>
      </c>
      <c r="I263" s="5">
        <v>44682</v>
      </c>
      <c r="J263" s="6">
        <v>0</v>
      </c>
      <c r="K263" s="6">
        <v>0</v>
      </c>
      <c r="L263" s="6">
        <v>9.7867800000000003</v>
      </c>
      <c r="M263" s="6">
        <v>9.7867800000000003</v>
      </c>
      <c r="N263" s="6">
        <v>9.7867800000000003</v>
      </c>
      <c r="O263" s="6">
        <v>9.7867800000000003</v>
      </c>
      <c r="P263" s="6">
        <v>0</v>
      </c>
      <c r="Q263" s="4" t="s">
        <v>26</v>
      </c>
      <c r="R263" s="4">
        <v>0</v>
      </c>
      <c r="S263" s="6">
        <v>0</v>
      </c>
      <c r="T263" s="6">
        <v>22</v>
      </c>
      <c r="U263" s="6">
        <v>84</v>
      </c>
      <c r="V263" s="6">
        <f>IF(ISERROR(VLOOKUP($S$263,'TAR FIN'!$A$1:$O$92,15,0)),0,VLOOKUP($S$263,'TAR FIN'!$A$1:$O$92,15,0))</f>
        <v>0</v>
      </c>
      <c r="W263" s="6">
        <f>IF(ISERROR(VLOOKUP($T$263,'TAR FIN'!$A$1:$O$92,15,0)),0,VLOOKUP($T$263,'TAR FIN'!$A$1:$O$92,15,0))</f>
        <v>73.28</v>
      </c>
      <c r="X263" s="6">
        <f>IF(ISERROR(VLOOKUP($U$263,'TAR FIN'!$A$1:$O$92,15,0)),0,VLOOKUP($U$263,'TAR FIN'!$A$1:$O$92,15,0))</f>
        <v>286.76</v>
      </c>
      <c r="Y263" s="6"/>
      <c r="Z263" s="6">
        <f ca="1">('TUSD BE'!$AM$16+'TUSD BF'!$AM$16+'TUSD CVA'!$AM$16)*1</f>
        <v>139.98967941887983</v>
      </c>
      <c r="AA263" s="6">
        <f>('TE BE'!$AB$8+'TE BF'!$AB$8+'TE CVA'!$AB$8)*1</f>
        <v>271.35516669689775</v>
      </c>
      <c r="AB263" s="6">
        <f>$K$263*$V$263</f>
        <v>0</v>
      </c>
      <c r="AC263" s="6">
        <f>$M$263*$W$263</f>
        <v>717.17523840000001</v>
      </c>
      <c r="AD263" s="6">
        <f>$O$263*$X$263</f>
        <v>2806.4570328</v>
      </c>
      <c r="AE263" s="6">
        <f>$K$263*$Y$263</f>
        <v>0</v>
      </c>
      <c r="AF263" s="6">
        <f ca="1">$M$263*$Z$263</f>
        <v>1370.0481947431049</v>
      </c>
      <c r="AG263" s="6">
        <f>$O$263*$AA$263</f>
        <v>2655.6933183258652</v>
      </c>
    </row>
    <row r="264" spans="1:33" ht="11.25" hidden="1" customHeight="1" x14ac:dyDescent="0.3">
      <c r="A264" s="4" t="s">
        <v>21</v>
      </c>
      <c r="B264" s="4" t="s">
        <v>34</v>
      </c>
      <c r="C264" s="4" t="s">
        <v>35</v>
      </c>
      <c r="D264" s="4" t="s">
        <v>43</v>
      </c>
      <c r="E264" s="4" t="s">
        <v>25</v>
      </c>
      <c r="F264" s="4" t="s">
        <v>25</v>
      </c>
      <c r="G264" s="4" t="s">
        <v>25</v>
      </c>
      <c r="H264" s="4" t="s">
        <v>37</v>
      </c>
      <c r="I264" s="5">
        <v>44713</v>
      </c>
      <c r="J264" s="6">
        <v>0</v>
      </c>
      <c r="K264" s="6">
        <v>0</v>
      </c>
      <c r="L264" s="6">
        <v>8.5603899999999999</v>
      </c>
      <c r="M264" s="6">
        <v>8.5603899999999999</v>
      </c>
      <c r="N264" s="6">
        <v>8.5603899999999999</v>
      </c>
      <c r="O264" s="6">
        <v>8.5603899999999999</v>
      </c>
      <c r="P264" s="6">
        <v>0</v>
      </c>
      <c r="Q264" s="4" t="s">
        <v>26</v>
      </c>
      <c r="R264" s="4">
        <v>0</v>
      </c>
      <c r="S264" s="6">
        <v>0</v>
      </c>
      <c r="T264" s="6">
        <v>22</v>
      </c>
      <c r="U264" s="6">
        <v>84</v>
      </c>
      <c r="V264" s="6">
        <f>IF(ISERROR(VLOOKUP($S$264,'TAR FIN'!$A$1:$O$92,15,0)),0,VLOOKUP($S$264,'TAR FIN'!$A$1:$O$92,15,0))</f>
        <v>0</v>
      </c>
      <c r="W264" s="6">
        <f>IF(ISERROR(VLOOKUP($T$264,'TAR FIN'!$A$1:$O$92,15,0)),0,VLOOKUP($T$264,'TAR FIN'!$A$1:$O$92,15,0))</f>
        <v>73.28</v>
      </c>
      <c r="X264" s="6">
        <f>IF(ISERROR(VLOOKUP($U$264,'TAR FIN'!$A$1:$O$92,15,0)),0,VLOOKUP($U$264,'TAR FIN'!$A$1:$O$92,15,0))</f>
        <v>286.76</v>
      </c>
      <c r="Y264" s="6"/>
      <c r="Z264" s="6">
        <f ca="1">('TUSD BE'!$AM$16+'TUSD BF'!$AM$16+'TUSD CVA'!$AM$16)*1</f>
        <v>139.98967941887983</v>
      </c>
      <c r="AA264" s="6">
        <f>('TE BE'!$AB$8+'TE BF'!$AB$8+'TE CVA'!$AB$8)*1</f>
        <v>271.35516669689775</v>
      </c>
      <c r="AB264" s="6">
        <f>$K$264*$V$264</f>
        <v>0</v>
      </c>
      <c r="AC264" s="6">
        <f>$M$264*$W$264</f>
        <v>627.30537920000006</v>
      </c>
      <c r="AD264" s="6">
        <f>$O$264*$X$264</f>
        <v>2454.7774363999997</v>
      </c>
      <c r="AE264" s="6">
        <f>$K$264*$Y$264</f>
        <v>0</v>
      </c>
      <c r="AF264" s="6">
        <f ca="1">$M$264*$Z$264</f>
        <v>1198.3662518005847</v>
      </c>
      <c r="AG264" s="6">
        <f>$O$264*$AA$264</f>
        <v>2322.9060554404564</v>
      </c>
    </row>
    <row r="265" spans="1:33" ht="11.25" hidden="1" customHeight="1" x14ac:dyDescent="0.3">
      <c r="A265" s="4" t="s">
        <v>21</v>
      </c>
      <c r="B265" s="4" t="s">
        <v>34</v>
      </c>
      <c r="C265" s="4" t="s">
        <v>35</v>
      </c>
      <c r="D265" s="4" t="s">
        <v>43</v>
      </c>
      <c r="E265" s="4" t="s">
        <v>25</v>
      </c>
      <c r="F265" s="4" t="s">
        <v>25</v>
      </c>
      <c r="G265" s="4" t="s">
        <v>25</v>
      </c>
      <c r="H265" s="4" t="s">
        <v>37</v>
      </c>
      <c r="I265" s="5">
        <v>44743</v>
      </c>
      <c r="J265" s="6">
        <v>0</v>
      </c>
      <c r="K265" s="6">
        <v>0</v>
      </c>
      <c r="L265" s="6">
        <v>10.27472</v>
      </c>
      <c r="M265" s="6">
        <v>10.27472</v>
      </c>
      <c r="N265" s="6">
        <v>10.27472</v>
      </c>
      <c r="O265" s="6">
        <v>10.27472</v>
      </c>
      <c r="P265" s="6">
        <v>0</v>
      </c>
      <c r="Q265" s="4" t="s">
        <v>26</v>
      </c>
      <c r="R265" s="4">
        <v>0</v>
      </c>
      <c r="S265" s="6">
        <v>0</v>
      </c>
      <c r="T265" s="6">
        <v>22</v>
      </c>
      <c r="U265" s="6">
        <v>84</v>
      </c>
      <c r="V265" s="6">
        <f>IF(ISERROR(VLOOKUP($S$265,'TAR FIN'!$A$1:$O$92,15,0)),0,VLOOKUP($S$265,'TAR FIN'!$A$1:$O$92,15,0))</f>
        <v>0</v>
      </c>
      <c r="W265" s="6">
        <f>IF(ISERROR(VLOOKUP($T$265,'TAR FIN'!$A$1:$O$92,15,0)),0,VLOOKUP($T$265,'TAR FIN'!$A$1:$O$92,15,0))</f>
        <v>73.28</v>
      </c>
      <c r="X265" s="6">
        <f>IF(ISERROR(VLOOKUP($U$265,'TAR FIN'!$A$1:$O$92,15,0)),0,VLOOKUP($U$265,'TAR FIN'!$A$1:$O$92,15,0))</f>
        <v>286.76</v>
      </c>
      <c r="Y265" s="6"/>
      <c r="Z265" s="6">
        <f ca="1">('TUSD BE'!$AM$16+'TUSD BF'!$AM$16+'TUSD CVA'!$AM$16)*1</f>
        <v>139.98967941887983</v>
      </c>
      <c r="AA265" s="6">
        <f>('TE BE'!$AB$8+'TE BF'!$AB$8+'TE CVA'!$AB$8)*1</f>
        <v>271.35516669689775</v>
      </c>
      <c r="AB265" s="6">
        <f>$K$265*$V$265</f>
        <v>0</v>
      </c>
      <c r="AC265" s="6">
        <f>$M$265*$W$265</f>
        <v>752.93148159999998</v>
      </c>
      <c r="AD265" s="6">
        <f>$O$265*$X$265</f>
        <v>2946.3787072</v>
      </c>
      <c r="AE265" s="6">
        <f>$K$265*$Y$265</f>
        <v>0</v>
      </c>
      <c r="AF265" s="6">
        <f ca="1">$M$265*$Z$265</f>
        <v>1438.3547589187531</v>
      </c>
      <c r="AG265" s="6">
        <f>$O$265*$AA$265</f>
        <v>2788.0983583639495</v>
      </c>
    </row>
    <row r="266" spans="1:33" ht="11.25" hidden="1" customHeight="1" x14ac:dyDescent="0.3">
      <c r="A266" s="4" t="s">
        <v>21</v>
      </c>
      <c r="B266" s="4" t="s">
        <v>34</v>
      </c>
      <c r="C266" s="4" t="s">
        <v>35</v>
      </c>
      <c r="D266" s="4" t="s">
        <v>43</v>
      </c>
      <c r="E266" s="4" t="s">
        <v>25</v>
      </c>
      <c r="F266" s="4" t="s">
        <v>25</v>
      </c>
      <c r="G266" s="4" t="s">
        <v>25</v>
      </c>
      <c r="H266" s="4" t="s">
        <v>25</v>
      </c>
      <c r="I266" s="5">
        <v>44409</v>
      </c>
      <c r="J266" s="6">
        <v>115</v>
      </c>
      <c r="K266" s="6">
        <v>115</v>
      </c>
      <c r="L266" s="6">
        <v>0</v>
      </c>
      <c r="M266" s="6">
        <v>0</v>
      </c>
      <c r="N266" s="6">
        <v>0</v>
      </c>
      <c r="O266" s="6">
        <v>0</v>
      </c>
      <c r="P266" s="6">
        <v>2</v>
      </c>
      <c r="Q266" s="4" t="s">
        <v>26</v>
      </c>
      <c r="R266" s="4">
        <v>0</v>
      </c>
      <c r="S266" s="6">
        <v>18</v>
      </c>
      <c r="T266" s="6">
        <v>0</v>
      </c>
      <c r="U266" s="6">
        <v>0</v>
      </c>
      <c r="V266" s="6">
        <f>IF(ISERROR(VLOOKUP($S$266,'TAR FIN'!$A$1:$O$92,15,0)),0,VLOOKUP($S$266,'TAR FIN'!$A$1:$O$92,15,0))</f>
        <v>18.489999999999998</v>
      </c>
      <c r="W266" s="6">
        <f>IF(ISERROR(VLOOKUP($T$266,'TAR FIN'!$A$1:$O$92,15,0)),0,VLOOKUP($T$266,'TAR FIN'!$A$1:$O$92,15,0))</f>
        <v>0</v>
      </c>
      <c r="X266" s="6">
        <f>IF(ISERROR(VLOOKUP($U$266,'TAR FIN'!$A$1:$O$92,15,0)),0,VLOOKUP($U$266,'TAR FIN'!$A$1:$O$92,15,0))</f>
        <v>0</v>
      </c>
      <c r="Y266" s="6">
        <f ca="1">('TUSD BE'!$AM$14+'TUSD BF'!$AM$14+'TUSD CVA'!$AM$14)*1</f>
        <v>23.643887023397856</v>
      </c>
      <c r="Z266" s="6"/>
      <c r="AA266" s="6"/>
      <c r="AB266" s="6">
        <f>$K$266*$V$266</f>
        <v>2126.35</v>
      </c>
      <c r="AC266" s="6">
        <f>$M$266*$W$266</f>
        <v>0</v>
      </c>
      <c r="AD266" s="6">
        <f>$O$266*$X$266</f>
        <v>0</v>
      </c>
      <c r="AE266" s="6">
        <f ca="1">$K$266*$Y$266</f>
        <v>2719.0470076907532</v>
      </c>
      <c r="AF266" s="6">
        <f>$M$266*$Z$266</f>
        <v>0</v>
      </c>
      <c r="AG266" s="6">
        <f>$O$266*$AA$266</f>
        <v>0</v>
      </c>
    </row>
    <row r="267" spans="1:33" ht="11.25" hidden="1" customHeight="1" x14ac:dyDescent="0.3">
      <c r="A267" s="4" t="s">
        <v>21</v>
      </c>
      <c r="B267" s="4" t="s">
        <v>34</v>
      </c>
      <c r="C267" s="4" t="s">
        <v>35</v>
      </c>
      <c r="D267" s="4" t="s">
        <v>43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44440</v>
      </c>
      <c r="J267" s="6">
        <v>115</v>
      </c>
      <c r="K267" s="6">
        <v>115</v>
      </c>
      <c r="L267" s="6">
        <v>0</v>
      </c>
      <c r="M267" s="6">
        <v>0</v>
      </c>
      <c r="N267" s="6">
        <v>0</v>
      </c>
      <c r="O267" s="6">
        <v>0</v>
      </c>
      <c r="P267" s="6">
        <v>2</v>
      </c>
      <c r="Q267" s="4" t="s">
        <v>26</v>
      </c>
      <c r="R267" s="4">
        <v>0</v>
      </c>
      <c r="S267" s="6">
        <v>18</v>
      </c>
      <c r="T267" s="6">
        <v>0</v>
      </c>
      <c r="U267" s="6">
        <v>0</v>
      </c>
      <c r="V267" s="6">
        <f>IF(ISERROR(VLOOKUP($S$267,'TAR FIN'!$A$1:$O$92,15,0)),0,VLOOKUP($S$267,'TAR FIN'!$A$1:$O$92,15,0))</f>
        <v>18.489999999999998</v>
      </c>
      <c r="W267" s="6">
        <f>IF(ISERROR(VLOOKUP($T$267,'TAR FIN'!$A$1:$O$92,15,0)),0,VLOOKUP($T$267,'TAR FIN'!$A$1:$O$92,15,0))</f>
        <v>0</v>
      </c>
      <c r="X267" s="6">
        <f>IF(ISERROR(VLOOKUP($U$267,'TAR FIN'!$A$1:$O$92,15,0)),0,VLOOKUP($U$267,'TAR FIN'!$A$1:$O$92,15,0))</f>
        <v>0</v>
      </c>
      <c r="Y267" s="6">
        <f ca="1">('TUSD BE'!$AM$14+'TUSD BF'!$AM$14+'TUSD CVA'!$AM$14)*1</f>
        <v>23.643887023397856</v>
      </c>
      <c r="Z267" s="6"/>
      <c r="AA267" s="6"/>
      <c r="AB267" s="6">
        <f>$K$267*$V$267</f>
        <v>2126.35</v>
      </c>
      <c r="AC267" s="6">
        <f>$M$267*$W$267</f>
        <v>0</v>
      </c>
      <c r="AD267" s="6">
        <f>$O$267*$X$267</f>
        <v>0</v>
      </c>
      <c r="AE267" s="6">
        <f ca="1">$K$267*$Y$267</f>
        <v>2719.0470076907532</v>
      </c>
      <c r="AF267" s="6">
        <f>$M$267*$Z$267</f>
        <v>0</v>
      </c>
      <c r="AG267" s="6">
        <f>$O$267*$AA$267</f>
        <v>0</v>
      </c>
    </row>
    <row r="268" spans="1:33" ht="11.25" hidden="1" customHeight="1" x14ac:dyDescent="0.3">
      <c r="A268" s="4" t="s">
        <v>21</v>
      </c>
      <c r="B268" s="4" t="s">
        <v>34</v>
      </c>
      <c r="C268" s="4" t="s">
        <v>35</v>
      </c>
      <c r="D268" s="4" t="s">
        <v>43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44470</v>
      </c>
      <c r="J268" s="6">
        <v>115</v>
      </c>
      <c r="K268" s="6">
        <v>115</v>
      </c>
      <c r="L268" s="6">
        <v>0</v>
      </c>
      <c r="M268" s="6">
        <v>0</v>
      </c>
      <c r="N268" s="6">
        <v>0</v>
      </c>
      <c r="O268" s="6">
        <v>0</v>
      </c>
      <c r="P268" s="6">
        <v>2</v>
      </c>
      <c r="Q268" s="4" t="s">
        <v>26</v>
      </c>
      <c r="R268" s="4">
        <v>0</v>
      </c>
      <c r="S268" s="6">
        <v>18</v>
      </c>
      <c r="T268" s="6">
        <v>0</v>
      </c>
      <c r="U268" s="6">
        <v>0</v>
      </c>
      <c r="V268" s="6">
        <f>IF(ISERROR(VLOOKUP($S$268,'TAR FIN'!$A$1:$O$92,15,0)),0,VLOOKUP($S$268,'TAR FIN'!$A$1:$O$92,15,0))</f>
        <v>18.489999999999998</v>
      </c>
      <c r="W268" s="6">
        <f>IF(ISERROR(VLOOKUP($T$268,'TAR FIN'!$A$1:$O$92,15,0)),0,VLOOKUP($T$268,'TAR FIN'!$A$1:$O$92,15,0))</f>
        <v>0</v>
      </c>
      <c r="X268" s="6">
        <f>IF(ISERROR(VLOOKUP($U$268,'TAR FIN'!$A$1:$O$92,15,0)),0,VLOOKUP($U$268,'TAR FIN'!$A$1:$O$92,15,0))</f>
        <v>0</v>
      </c>
      <c r="Y268" s="6">
        <f ca="1">('TUSD BE'!$AM$14+'TUSD BF'!$AM$14+'TUSD CVA'!$AM$14)*1</f>
        <v>23.643887023397856</v>
      </c>
      <c r="Z268" s="6"/>
      <c r="AA268" s="6"/>
      <c r="AB268" s="6">
        <f>$K$268*$V$268</f>
        <v>2126.35</v>
      </c>
      <c r="AC268" s="6">
        <f>$M$268*$W$268</f>
        <v>0</v>
      </c>
      <c r="AD268" s="6">
        <f>$O$268*$X$268</f>
        <v>0</v>
      </c>
      <c r="AE268" s="6">
        <f ca="1">$K$268*$Y$268</f>
        <v>2719.0470076907532</v>
      </c>
      <c r="AF268" s="6">
        <f>$M$268*$Z$268</f>
        <v>0</v>
      </c>
      <c r="AG268" s="6">
        <f>$O$268*$AA$268</f>
        <v>0</v>
      </c>
    </row>
    <row r="269" spans="1:33" ht="11.25" hidden="1" customHeight="1" x14ac:dyDescent="0.3">
      <c r="A269" s="4" t="s">
        <v>21</v>
      </c>
      <c r="B269" s="4" t="s">
        <v>34</v>
      </c>
      <c r="C269" s="4" t="s">
        <v>35</v>
      </c>
      <c r="D269" s="4" t="s">
        <v>43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44501</v>
      </c>
      <c r="J269" s="6">
        <v>115.01</v>
      </c>
      <c r="K269" s="6">
        <v>115.01</v>
      </c>
      <c r="L269" s="6">
        <v>0</v>
      </c>
      <c r="M269" s="6">
        <v>0</v>
      </c>
      <c r="N269" s="6">
        <v>0</v>
      </c>
      <c r="O269" s="6">
        <v>0</v>
      </c>
      <c r="P269" s="6">
        <v>2</v>
      </c>
      <c r="Q269" s="4" t="s">
        <v>26</v>
      </c>
      <c r="R269" s="4">
        <v>0</v>
      </c>
      <c r="S269" s="6">
        <v>18</v>
      </c>
      <c r="T269" s="6">
        <v>0</v>
      </c>
      <c r="U269" s="6">
        <v>0</v>
      </c>
      <c r="V269" s="6">
        <f>IF(ISERROR(VLOOKUP($S$269,'TAR FIN'!$A$1:$O$92,15,0)),0,VLOOKUP($S$269,'TAR FIN'!$A$1:$O$92,15,0))</f>
        <v>18.489999999999998</v>
      </c>
      <c r="W269" s="6">
        <f>IF(ISERROR(VLOOKUP($T$269,'TAR FIN'!$A$1:$O$92,15,0)),0,VLOOKUP($T$269,'TAR FIN'!$A$1:$O$92,15,0))</f>
        <v>0</v>
      </c>
      <c r="X269" s="6">
        <f>IF(ISERROR(VLOOKUP($U$269,'TAR FIN'!$A$1:$O$92,15,0)),0,VLOOKUP($U$269,'TAR FIN'!$A$1:$O$92,15,0))</f>
        <v>0</v>
      </c>
      <c r="Y269" s="6">
        <f ca="1">('TUSD BE'!$AM$14+'TUSD BF'!$AM$14+'TUSD CVA'!$AM$14)*1</f>
        <v>23.643887023397856</v>
      </c>
      <c r="Z269" s="6"/>
      <c r="AA269" s="6"/>
      <c r="AB269" s="6">
        <f>$K$269*$V$269</f>
        <v>2126.5349000000001</v>
      </c>
      <c r="AC269" s="6">
        <f>$M$269*$W$269</f>
        <v>0</v>
      </c>
      <c r="AD269" s="6">
        <f>$O$269*$X$269</f>
        <v>0</v>
      </c>
      <c r="AE269" s="6">
        <f ca="1">$K$269*$Y$269</f>
        <v>2719.2834465609876</v>
      </c>
      <c r="AF269" s="6">
        <f>$M$269*$Z$269</f>
        <v>0</v>
      </c>
      <c r="AG269" s="6">
        <f>$O$269*$AA$269</f>
        <v>0</v>
      </c>
    </row>
    <row r="270" spans="1:33" ht="11.25" hidden="1" customHeight="1" x14ac:dyDescent="0.3">
      <c r="A270" s="4" t="s">
        <v>21</v>
      </c>
      <c r="B270" s="4" t="s">
        <v>34</v>
      </c>
      <c r="C270" s="4" t="s">
        <v>35</v>
      </c>
      <c r="D270" s="4" t="s">
        <v>43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44531</v>
      </c>
      <c r="J270" s="6">
        <v>115</v>
      </c>
      <c r="K270" s="6">
        <v>115</v>
      </c>
      <c r="L270" s="6">
        <v>0</v>
      </c>
      <c r="M270" s="6">
        <v>0</v>
      </c>
      <c r="N270" s="6">
        <v>0</v>
      </c>
      <c r="O270" s="6">
        <v>0</v>
      </c>
      <c r="P270" s="6">
        <v>2</v>
      </c>
      <c r="Q270" s="4" t="s">
        <v>26</v>
      </c>
      <c r="R270" s="4">
        <v>0</v>
      </c>
      <c r="S270" s="6">
        <v>18</v>
      </c>
      <c r="T270" s="6">
        <v>0</v>
      </c>
      <c r="U270" s="6">
        <v>0</v>
      </c>
      <c r="V270" s="6">
        <f>IF(ISERROR(VLOOKUP($S$270,'TAR FIN'!$A$1:$O$92,15,0)),0,VLOOKUP($S$270,'TAR FIN'!$A$1:$O$92,15,0))</f>
        <v>18.489999999999998</v>
      </c>
      <c r="W270" s="6">
        <f>IF(ISERROR(VLOOKUP($T$270,'TAR FIN'!$A$1:$O$92,15,0)),0,VLOOKUP($T$270,'TAR FIN'!$A$1:$O$92,15,0))</f>
        <v>0</v>
      </c>
      <c r="X270" s="6">
        <f>IF(ISERROR(VLOOKUP($U$270,'TAR FIN'!$A$1:$O$92,15,0)),0,VLOOKUP($U$270,'TAR FIN'!$A$1:$O$92,15,0))</f>
        <v>0</v>
      </c>
      <c r="Y270" s="6">
        <f ca="1">('TUSD BE'!$AM$14+'TUSD BF'!$AM$14+'TUSD CVA'!$AM$14)*1</f>
        <v>23.643887023397856</v>
      </c>
      <c r="Z270" s="6"/>
      <c r="AA270" s="6"/>
      <c r="AB270" s="6">
        <f>$K$270*$V$270</f>
        <v>2126.35</v>
      </c>
      <c r="AC270" s="6">
        <f>$M$270*$W$270</f>
        <v>0</v>
      </c>
      <c r="AD270" s="6">
        <f>$O$270*$X$270</f>
        <v>0</v>
      </c>
      <c r="AE270" s="6">
        <f ca="1">$K$270*$Y$270</f>
        <v>2719.0470076907532</v>
      </c>
      <c r="AF270" s="6">
        <f>$M$270*$Z$270</f>
        <v>0</v>
      </c>
      <c r="AG270" s="6">
        <f>$O$270*$AA$270</f>
        <v>0</v>
      </c>
    </row>
    <row r="271" spans="1:33" ht="11.25" hidden="1" customHeight="1" x14ac:dyDescent="0.3">
      <c r="A271" s="4" t="s">
        <v>21</v>
      </c>
      <c r="B271" s="4" t="s">
        <v>34</v>
      </c>
      <c r="C271" s="4" t="s">
        <v>35</v>
      </c>
      <c r="D271" s="4" t="s">
        <v>43</v>
      </c>
      <c r="E271" s="4" t="s">
        <v>25</v>
      </c>
      <c r="F271" s="4" t="s">
        <v>25</v>
      </c>
      <c r="G271" s="4" t="s">
        <v>25</v>
      </c>
      <c r="H271" s="4" t="s">
        <v>25</v>
      </c>
      <c r="I271" s="5">
        <v>44562</v>
      </c>
      <c r="J271" s="6">
        <v>115</v>
      </c>
      <c r="K271" s="6">
        <v>115</v>
      </c>
      <c r="L271" s="6">
        <v>0</v>
      </c>
      <c r="M271" s="6">
        <v>0</v>
      </c>
      <c r="N271" s="6">
        <v>0</v>
      </c>
      <c r="O271" s="6">
        <v>0</v>
      </c>
      <c r="P271" s="6">
        <v>2</v>
      </c>
      <c r="Q271" s="4" t="s">
        <v>26</v>
      </c>
      <c r="R271" s="4">
        <v>0</v>
      </c>
      <c r="S271" s="6">
        <v>18</v>
      </c>
      <c r="T271" s="6">
        <v>0</v>
      </c>
      <c r="U271" s="6">
        <v>0</v>
      </c>
      <c r="V271" s="6">
        <f>IF(ISERROR(VLOOKUP($S$271,'TAR FIN'!$A$1:$O$92,15,0)),0,VLOOKUP($S$271,'TAR FIN'!$A$1:$O$92,15,0))</f>
        <v>18.489999999999998</v>
      </c>
      <c r="W271" s="6">
        <f>IF(ISERROR(VLOOKUP($T$271,'TAR FIN'!$A$1:$O$92,15,0)),0,VLOOKUP($T$271,'TAR FIN'!$A$1:$O$92,15,0))</f>
        <v>0</v>
      </c>
      <c r="X271" s="6">
        <f>IF(ISERROR(VLOOKUP($U$271,'TAR FIN'!$A$1:$O$92,15,0)),0,VLOOKUP($U$271,'TAR FIN'!$A$1:$O$92,15,0))</f>
        <v>0</v>
      </c>
      <c r="Y271" s="6">
        <f ca="1">('TUSD BE'!$AM$14+'TUSD BF'!$AM$14+'TUSD CVA'!$AM$14)*1</f>
        <v>23.643887023397856</v>
      </c>
      <c r="Z271" s="6"/>
      <c r="AA271" s="6"/>
      <c r="AB271" s="6">
        <f>$K$271*$V$271</f>
        <v>2126.35</v>
      </c>
      <c r="AC271" s="6">
        <f>$M$271*$W$271</f>
        <v>0</v>
      </c>
      <c r="AD271" s="6">
        <f>$O$271*$X$271</f>
        <v>0</v>
      </c>
      <c r="AE271" s="6">
        <f ca="1">$K$271*$Y$271</f>
        <v>2719.0470076907532</v>
      </c>
      <c r="AF271" s="6">
        <f>$M$271*$Z$271</f>
        <v>0</v>
      </c>
      <c r="AG271" s="6">
        <f>$O$271*$AA$271</f>
        <v>0</v>
      </c>
    </row>
    <row r="272" spans="1:33" ht="11.25" hidden="1" customHeight="1" x14ac:dyDescent="0.3">
      <c r="A272" s="4" t="s">
        <v>21</v>
      </c>
      <c r="B272" s="4" t="s">
        <v>34</v>
      </c>
      <c r="C272" s="4" t="s">
        <v>35</v>
      </c>
      <c r="D272" s="4" t="s">
        <v>43</v>
      </c>
      <c r="E272" s="4" t="s">
        <v>25</v>
      </c>
      <c r="F272" s="4" t="s">
        <v>25</v>
      </c>
      <c r="G272" s="4" t="s">
        <v>25</v>
      </c>
      <c r="H272" s="4" t="s">
        <v>25</v>
      </c>
      <c r="I272" s="5">
        <v>44593</v>
      </c>
      <c r="J272" s="6">
        <v>115</v>
      </c>
      <c r="K272" s="6">
        <v>115</v>
      </c>
      <c r="L272" s="6">
        <v>0</v>
      </c>
      <c r="M272" s="6">
        <v>0</v>
      </c>
      <c r="N272" s="6">
        <v>0</v>
      </c>
      <c r="O272" s="6">
        <v>0</v>
      </c>
      <c r="P272" s="6">
        <v>2</v>
      </c>
      <c r="Q272" s="4" t="s">
        <v>26</v>
      </c>
      <c r="R272" s="4">
        <v>0</v>
      </c>
      <c r="S272" s="6">
        <v>18</v>
      </c>
      <c r="T272" s="6">
        <v>0</v>
      </c>
      <c r="U272" s="6">
        <v>0</v>
      </c>
      <c r="V272" s="6">
        <f>IF(ISERROR(VLOOKUP($S$272,'TAR FIN'!$A$1:$O$92,15,0)),0,VLOOKUP($S$272,'TAR FIN'!$A$1:$O$92,15,0))</f>
        <v>18.489999999999998</v>
      </c>
      <c r="W272" s="6">
        <f>IF(ISERROR(VLOOKUP($T$272,'TAR FIN'!$A$1:$O$92,15,0)),0,VLOOKUP($T$272,'TAR FIN'!$A$1:$O$92,15,0))</f>
        <v>0</v>
      </c>
      <c r="X272" s="6">
        <f>IF(ISERROR(VLOOKUP($U$272,'TAR FIN'!$A$1:$O$92,15,0)),0,VLOOKUP($U$272,'TAR FIN'!$A$1:$O$92,15,0))</f>
        <v>0</v>
      </c>
      <c r="Y272" s="6">
        <f ca="1">('TUSD BE'!$AM$14+'TUSD BF'!$AM$14+'TUSD CVA'!$AM$14)*1</f>
        <v>23.643887023397856</v>
      </c>
      <c r="Z272" s="6"/>
      <c r="AA272" s="6"/>
      <c r="AB272" s="6">
        <f>$K$272*$V$272</f>
        <v>2126.35</v>
      </c>
      <c r="AC272" s="6">
        <f>$M$272*$W$272</f>
        <v>0</v>
      </c>
      <c r="AD272" s="6">
        <f>$O$272*$X$272</f>
        <v>0</v>
      </c>
      <c r="AE272" s="6">
        <f ca="1">$K$272*$Y$272</f>
        <v>2719.0470076907532</v>
      </c>
      <c r="AF272" s="6">
        <f>$M$272*$Z$272</f>
        <v>0</v>
      </c>
      <c r="AG272" s="6">
        <f>$O$272*$AA$272</f>
        <v>0</v>
      </c>
    </row>
    <row r="273" spans="1:33" ht="11.25" hidden="1" customHeight="1" x14ac:dyDescent="0.3">
      <c r="A273" s="4" t="s">
        <v>21</v>
      </c>
      <c r="B273" s="4" t="s">
        <v>34</v>
      </c>
      <c r="C273" s="4" t="s">
        <v>35</v>
      </c>
      <c r="D273" s="4" t="s">
        <v>43</v>
      </c>
      <c r="E273" s="4" t="s">
        <v>25</v>
      </c>
      <c r="F273" s="4" t="s">
        <v>25</v>
      </c>
      <c r="G273" s="4" t="s">
        <v>25</v>
      </c>
      <c r="H273" s="4" t="s">
        <v>25</v>
      </c>
      <c r="I273" s="5">
        <v>44621</v>
      </c>
      <c r="J273" s="6">
        <v>115</v>
      </c>
      <c r="K273" s="6">
        <v>115</v>
      </c>
      <c r="L273" s="6">
        <v>0</v>
      </c>
      <c r="M273" s="6">
        <v>0</v>
      </c>
      <c r="N273" s="6">
        <v>0</v>
      </c>
      <c r="O273" s="6">
        <v>0</v>
      </c>
      <c r="P273" s="6">
        <v>2</v>
      </c>
      <c r="Q273" s="4" t="s">
        <v>26</v>
      </c>
      <c r="R273" s="4">
        <v>0</v>
      </c>
      <c r="S273" s="6">
        <v>18</v>
      </c>
      <c r="T273" s="6">
        <v>0</v>
      </c>
      <c r="U273" s="6">
        <v>0</v>
      </c>
      <c r="V273" s="6">
        <f>IF(ISERROR(VLOOKUP($S$273,'TAR FIN'!$A$1:$O$92,15,0)),0,VLOOKUP($S$273,'TAR FIN'!$A$1:$O$92,15,0))</f>
        <v>18.489999999999998</v>
      </c>
      <c r="W273" s="6">
        <f>IF(ISERROR(VLOOKUP($T$273,'TAR FIN'!$A$1:$O$92,15,0)),0,VLOOKUP($T$273,'TAR FIN'!$A$1:$O$92,15,0))</f>
        <v>0</v>
      </c>
      <c r="X273" s="6">
        <f>IF(ISERROR(VLOOKUP($U$273,'TAR FIN'!$A$1:$O$92,15,0)),0,VLOOKUP($U$273,'TAR FIN'!$A$1:$O$92,15,0))</f>
        <v>0</v>
      </c>
      <c r="Y273" s="6">
        <f ca="1">('TUSD BE'!$AM$14+'TUSD BF'!$AM$14+'TUSD CVA'!$AM$14)*1</f>
        <v>23.643887023397856</v>
      </c>
      <c r="Z273" s="6"/>
      <c r="AA273" s="6"/>
      <c r="AB273" s="6">
        <f>$K$273*$V$273</f>
        <v>2126.35</v>
      </c>
      <c r="AC273" s="6">
        <f>$M$273*$W$273</f>
        <v>0</v>
      </c>
      <c r="AD273" s="6">
        <f>$O$273*$X$273</f>
        <v>0</v>
      </c>
      <c r="AE273" s="6">
        <f ca="1">$K$273*$Y$273</f>
        <v>2719.0470076907532</v>
      </c>
      <c r="AF273" s="6">
        <f>$M$273*$Z$273</f>
        <v>0</v>
      </c>
      <c r="AG273" s="6">
        <f>$O$273*$AA$273</f>
        <v>0</v>
      </c>
    </row>
    <row r="274" spans="1:33" ht="11.25" hidden="1" customHeight="1" x14ac:dyDescent="0.3">
      <c r="A274" s="4" t="s">
        <v>21</v>
      </c>
      <c r="B274" s="4" t="s">
        <v>34</v>
      </c>
      <c r="C274" s="4" t="s">
        <v>35</v>
      </c>
      <c r="D274" s="4" t="s">
        <v>43</v>
      </c>
      <c r="E274" s="4" t="s">
        <v>25</v>
      </c>
      <c r="F274" s="4" t="s">
        <v>25</v>
      </c>
      <c r="G274" s="4" t="s">
        <v>25</v>
      </c>
      <c r="H274" s="4" t="s">
        <v>25</v>
      </c>
      <c r="I274" s="5">
        <v>44652</v>
      </c>
      <c r="J274" s="6">
        <v>115</v>
      </c>
      <c r="K274" s="6">
        <v>115</v>
      </c>
      <c r="L274" s="6">
        <v>0</v>
      </c>
      <c r="M274" s="6">
        <v>0</v>
      </c>
      <c r="N274" s="6">
        <v>0</v>
      </c>
      <c r="O274" s="6">
        <v>0</v>
      </c>
      <c r="P274" s="6">
        <v>2</v>
      </c>
      <c r="Q274" s="4" t="s">
        <v>26</v>
      </c>
      <c r="R274" s="4">
        <v>0</v>
      </c>
      <c r="S274" s="6">
        <v>18</v>
      </c>
      <c r="T274" s="6">
        <v>0</v>
      </c>
      <c r="U274" s="6">
        <v>0</v>
      </c>
      <c r="V274" s="6">
        <f>IF(ISERROR(VLOOKUP($S$274,'TAR FIN'!$A$1:$O$92,15,0)),0,VLOOKUP($S$274,'TAR FIN'!$A$1:$O$92,15,0))</f>
        <v>18.489999999999998</v>
      </c>
      <c r="W274" s="6">
        <f>IF(ISERROR(VLOOKUP($T$274,'TAR FIN'!$A$1:$O$92,15,0)),0,VLOOKUP($T$274,'TAR FIN'!$A$1:$O$92,15,0))</f>
        <v>0</v>
      </c>
      <c r="X274" s="6">
        <f>IF(ISERROR(VLOOKUP($U$274,'TAR FIN'!$A$1:$O$92,15,0)),0,VLOOKUP($U$274,'TAR FIN'!$A$1:$O$92,15,0))</f>
        <v>0</v>
      </c>
      <c r="Y274" s="6">
        <f ca="1">('TUSD BE'!$AM$14+'TUSD BF'!$AM$14+'TUSD CVA'!$AM$14)*1</f>
        <v>23.643887023397856</v>
      </c>
      <c r="Z274" s="6"/>
      <c r="AA274" s="6"/>
      <c r="AB274" s="6">
        <f>$K$274*$V$274</f>
        <v>2126.35</v>
      </c>
      <c r="AC274" s="6">
        <f>$M$274*$W$274</f>
        <v>0</v>
      </c>
      <c r="AD274" s="6">
        <f>$O$274*$X$274</f>
        <v>0</v>
      </c>
      <c r="AE274" s="6">
        <f ca="1">$K$274*$Y$274</f>
        <v>2719.0470076907532</v>
      </c>
      <c r="AF274" s="6">
        <f>$M$274*$Z$274</f>
        <v>0</v>
      </c>
      <c r="AG274" s="6">
        <f>$O$274*$AA$274</f>
        <v>0</v>
      </c>
    </row>
    <row r="275" spans="1:33" ht="11.25" hidden="1" customHeight="1" x14ac:dyDescent="0.3">
      <c r="A275" s="4" t="s">
        <v>21</v>
      </c>
      <c r="B275" s="4" t="s">
        <v>34</v>
      </c>
      <c r="C275" s="4" t="s">
        <v>35</v>
      </c>
      <c r="D275" s="4" t="s">
        <v>43</v>
      </c>
      <c r="E275" s="4" t="s">
        <v>25</v>
      </c>
      <c r="F275" s="4" t="s">
        <v>25</v>
      </c>
      <c r="G275" s="4" t="s">
        <v>25</v>
      </c>
      <c r="H275" s="4" t="s">
        <v>25</v>
      </c>
      <c r="I275" s="5">
        <v>44682</v>
      </c>
      <c r="J275" s="6">
        <v>115</v>
      </c>
      <c r="K275" s="6">
        <v>115</v>
      </c>
      <c r="L275" s="6">
        <v>0</v>
      </c>
      <c r="M275" s="6">
        <v>0</v>
      </c>
      <c r="N275" s="6">
        <v>0</v>
      </c>
      <c r="O275" s="6">
        <v>0</v>
      </c>
      <c r="P275" s="6">
        <v>2</v>
      </c>
      <c r="Q275" s="4" t="s">
        <v>26</v>
      </c>
      <c r="R275" s="4">
        <v>0</v>
      </c>
      <c r="S275" s="6">
        <v>18</v>
      </c>
      <c r="T275" s="6">
        <v>0</v>
      </c>
      <c r="U275" s="6">
        <v>0</v>
      </c>
      <c r="V275" s="6">
        <f>IF(ISERROR(VLOOKUP($S$275,'TAR FIN'!$A$1:$O$92,15,0)),0,VLOOKUP($S$275,'TAR FIN'!$A$1:$O$92,15,0))</f>
        <v>18.489999999999998</v>
      </c>
      <c r="W275" s="6">
        <f>IF(ISERROR(VLOOKUP($T$275,'TAR FIN'!$A$1:$O$92,15,0)),0,VLOOKUP($T$275,'TAR FIN'!$A$1:$O$92,15,0))</f>
        <v>0</v>
      </c>
      <c r="X275" s="6">
        <f>IF(ISERROR(VLOOKUP($U$275,'TAR FIN'!$A$1:$O$92,15,0)),0,VLOOKUP($U$275,'TAR FIN'!$A$1:$O$92,15,0))</f>
        <v>0</v>
      </c>
      <c r="Y275" s="6">
        <f ca="1">('TUSD BE'!$AM$14+'TUSD BF'!$AM$14+'TUSD CVA'!$AM$14)*1</f>
        <v>23.643887023397856</v>
      </c>
      <c r="Z275" s="6"/>
      <c r="AA275" s="6"/>
      <c r="AB275" s="6">
        <f>$K$275*$V$275</f>
        <v>2126.35</v>
      </c>
      <c r="AC275" s="6">
        <f>$M$275*$W$275</f>
        <v>0</v>
      </c>
      <c r="AD275" s="6">
        <f>$O$275*$X$275</f>
        <v>0</v>
      </c>
      <c r="AE275" s="6">
        <f ca="1">$K$275*$Y$275</f>
        <v>2719.0470076907532</v>
      </c>
      <c r="AF275" s="6">
        <f>$M$275*$Z$275</f>
        <v>0</v>
      </c>
      <c r="AG275" s="6">
        <f>$O$275*$AA$275</f>
        <v>0</v>
      </c>
    </row>
    <row r="276" spans="1:33" ht="11.25" hidden="1" customHeight="1" x14ac:dyDescent="0.3">
      <c r="A276" s="4" t="s">
        <v>21</v>
      </c>
      <c r="B276" s="4" t="s">
        <v>34</v>
      </c>
      <c r="C276" s="4" t="s">
        <v>35</v>
      </c>
      <c r="D276" s="4" t="s">
        <v>43</v>
      </c>
      <c r="E276" s="4" t="s">
        <v>25</v>
      </c>
      <c r="F276" s="4" t="s">
        <v>25</v>
      </c>
      <c r="G276" s="4" t="s">
        <v>25</v>
      </c>
      <c r="H276" s="4" t="s">
        <v>25</v>
      </c>
      <c r="I276" s="5">
        <v>44713</v>
      </c>
      <c r="J276" s="6">
        <v>115</v>
      </c>
      <c r="K276" s="6">
        <v>115</v>
      </c>
      <c r="L276" s="6">
        <v>0</v>
      </c>
      <c r="M276" s="6">
        <v>0</v>
      </c>
      <c r="N276" s="6">
        <v>0</v>
      </c>
      <c r="O276" s="6">
        <v>0</v>
      </c>
      <c r="P276" s="6">
        <v>2</v>
      </c>
      <c r="Q276" s="4" t="s">
        <v>26</v>
      </c>
      <c r="R276" s="4">
        <v>0</v>
      </c>
      <c r="S276" s="6">
        <v>18</v>
      </c>
      <c r="T276" s="6">
        <v>0</v>
      </c>
      <c r="U276" s="6">
        <v>0</v>
      </c>
      <c r="V276" s="6">
        <f>IF(ISERROR(VLOOKUP($S$276,'TAR FIN'!$A$1:$O$92,15,0)),0,VLOOKUP($S$276,'TAR FIN'!$A$1:$O$92,15,0))</f>
        <v>18.489999999999998</v>
      </c>
      <c r="W276" s="6">
        <f>IF(ISERROR(VLOOKUP($T$276,'TAR FIN'!$A$1:$O$92,15,0)),0,VLOOKUP($T$276,'TAR FIN'!$A$1:$O$92,15,0))</f>
        <v>0</v>
      </c>
      <c r="X276" s="6">
        <f>IF(ISERROR(VLOOKUP($U$276,'TAR FIN'!$A$1:$O$92,15,0)),0,VLOOKUP($U$276,'TAR FIN'!$A$1:$O$92,15,0))</f>
        <v>0</v>
      </c>
      <c r="Y276" s="6">
        <f ca="1">('TUSD BE'!$AM$14+'TUSD BF'!$AM$14+'TUSD CVA'!$AM$14)*1</f>
        <v>23.643887023397856</v>
      </c>
      <c r="Z276" s="6"/>
      <c r="AA276" s="6"/>
      <c r="AB276" s="6">
        <f>$K$276*$V$276</f>
        <v>2126.35</v>
      </c>
      <c r="AC276" s="6">
        <f>$M$276*$W$276</f>
        <v>0</v>
      </c>
      <c r="AD276" s="6">
        <f>$O$276*$X$276</f>
        <v>0</v>
      </c>
      <c r="AE276" s="6">
        <f ca="1">$K$276*$Y$276</f>
        <v>2719.0470076907532</v>
      </c>
      <c r="AF276" s="6">
        <f>$M$276*$Z$276</f>
        <v>0</v>
      </c>
      <c r="AG276" s="6">
        <f>$O$276*$AA$276</f>
        <v>0</v>
      </c>
    </row>
    <row r="277" spans="1:33" ht="11.25" hidden="1" customHeight="1" x14ac:dyDescent="0.3">
      <c r="A277" s="4" t="s">
        <v>21</v>
      </c>
      <c r="B277" s="4" t="s">
        <v>34</v>
      </c>
      <c r="C277" s="4" t="s">
        <v>35</v>
      </c>
      <c r="D277" s="4" t="s">
        <v>43</v>
      </c>
      <c r="E277" s="4" t="s">
        <v>25</v>
      </c>
      <c r="F277" s="4" t="s">
        <v>25</v>
      </c>
      <c r="G277" s="4" t="s">
        <v>25</v>
      </c>
      <c r="H277" s="4" t="s">
        <v>25</v>
      </c>
      <c r="I277" s="5">
        <v>44743</v>
      </c>
      <c r="J277" s="6">
        <v>115</v>
      </c>
      <c r="K277" s="6">
        <v>115</v>
      </c>
      <c r="L277" s="6">
        <v>0</v>
      </c>
      <c r="M277" s="6">
        <v>0</v>
      </c>
      <c r="N277" s="6">
        <v>0</v>
      </c>
      <c r="O277" s="6">
        <v>0</v>
      </c>
      <c r="P277" s="6">
        <v>2</v>
      </c>
      <c r="Q277" s="4" t="s">
        <v>26</v>
      </c>
      <c r="R277" s="4">
        <v>0</v>
      </c>
      <c r="S277" s="6">
        <v>18</v>
      </c>
      <c r="T277" s="6">
        <v>0</v>
      </c>
      <c r="U277" s="6">
        <v>0</v>
      </c>
      <c r="V277" s="6">
        <f>IF(ISERROR(VLOOKUP($S$277,'TAR FIN'!$A$1:$O$92,15,0)),0,VLOOKUP($S$277,'TAR FIN'!$A$1:$O$92,15,0))</f>
        <v>18.489999999999998</v>
      </c>
      <c r="W277" s="6">
        <f>IF(ISERROR(VLOOKUP($T$277,'TAR FIN'!$A$1:$O$92,15,0)),0,VLOOKUP($T$277,'TAR FIN'!$A$1:$O$92,15,0))</f>
        <v>0</v>
      </c>
      <c r="X277" s="6">
        <f>IF(ISERROR(VLOOKUP($U$277,'TAR FIN'!$A$1:$O$92,15,0)),0,VLOOKUP($U$277,'TAR FIN'!$A$1:$O$92,15,0))</f>
        <v>0</v>
      </c>
      <c r="Y277" s="6">
        <f ca="1">('TUSD BE'!$AM$14+'TUSD BF'!$AM$14+'TUSD CVA'!$AM$14)*1</f>
        <v>23.643887023397856</v>
      </c>
      <c r="Z277" s="6"/>
      <c r="AA277" s="6"/>
      <c r="AB277" s="6">
        <f>$K$277*$V$277</f>
        <v>2126.35</v>
      </c>
      <c r="AC277" s="6">
        <f>$M$277*$W$277</f>
        <v>0</v>
      </c>
      <c r="AD277" s="6">
        <f>$O$277*$X$277</f>
        <v>0</v>
      </c>
      <c r="AE277" s="6">
        <f ca="1">$K$277*$Y$277</f>
        <v>2719.0470076907532</v>
      </c>
      <c r="AF277" s="6">
        <f>$M$277*$Z$277</f>
        <v>0</v>
      </c>
      <c r="AG277" s="6">
        <f>$O$277*$AA$277</f>
        <v>0</v>
      </c>
    </row>
    <row r="278" spans="1:33" ht="11.25" hidden="1" customHeight="1" x14ac:dyDescent="0.3">
      <c r="A278" s="4" t="s">
        <v>21</v>
      </c>
      <c r="B278" s="4" t="s">
        <v>34</v>
      </c>
      <c r="C278" s="4" t="s">
        <v>35</v>
      </c>
      <c r="D278" s="4" t="s">
        <v>43</v>
      </c>
      <c r="E278" s="4" t="s">
        <v>25</v>
      </c>
      <c r="F278" s="4" t="s">
        <v>25</v>
      </c>
      <c r="G278" s="4" t="s">
        <v>25</v>
      </c>
      <c r="H278" s="4" t="s">
        <v>36</v>
      </c>
      <c r="I278" s="5">
        <v>44409</v>
      </c>
      <c r="J278" s="6">
        <v>0</v>
      </c>
      <c r="K278" s="6">
        <v>0</v>
      </c>
      <c r="L278" s="6">
        <v>0.81699999999999995</v>
      </c>
      <c r="M278" s="6">
        <v>0.81699999999999995</v>
      </c>
      <c r="N278" s="6">
        <v>0.81699999999999995</v>
      </c>
      <c r="O278" s="6">
        <v>0.81699999999999995</v>
      </c>
      <c r="P278" s="6">
        <v>0</v>
      </c>
      <c r="Q278" s="4" t="s">
        <v>26</v>
      </c>
      <c r="R278" s="4">
        <v>0</v>
      </c>
      <c r="S278" s="6">
        <v>0</v>
      </c>
      <c r="T278" s="6">
        <v>21</v>
      </c>
      <c r="U278" s="6">
        <v>83</v>
      </c>
      <c r="V278" s="6">
        <f>IF(ISERROR(VLOOKUP($S$278,'TAR FIN'!$A$1:$O$92,15,0)),0,VLOOKUP($S$278,'TAR FIN'!$A$1:$O$92,15,0))</f>
        <v>0</v>
      </c>
      <c r="W278" s="6">
        <f>IF(ISERROR(VLOOKUP($T$278,'TAR FIN'!$A$1:$O$92,15,0)),0,VLOOKUP($T$278,'TAR FIN'!$A$1:$O$92,15,0))</f>
        <v>789.62</v>
      </c>
      <c r="X278" s="6">
        <f>IF(ISERROR(VLOOKUP($U$278,'TAR FIN'!$A$1:$O$92,15,0)),0,VLOOKUP($U$278,'TAR FIN'!$A$1:$O$92,15,0))</f>
        <v>488.15</v>
      </c>
      <c r="Y278" s="6"/>
      <c r="Z278" s="6">
        <f ca="1">('TUSD BE'!$AM$15+'TUSD BF'!$AM$15+'TUSD CVA'!$AM$15)*1</f>
        <v>1080.2905876373179</v>
      </c>
      <c r="AA278" s="6">
        <f>('TE BE'!$AB$7+'TE BF'!$AB$7+'TE CVA'!$AB$7)*1</f>
        <v>461.06028669645673</v>
      </c>
      <c r="AB278" s="6">
        <f>$K$278*$V$278</f>
        <v>0</v>
      </c>
      <c r="AC278" s="6">
        <f>$M$278*$W$278</f>
        <v>645.11953999999992</v>
      </c>
      <c r="AD278" s="6">
        <f>$O$278*$X$278</f>
        <v>398.81854999999996</v>
      </c>
      <c r="AE278" s="6">
        <f>$K$278*$Y$278</f>
        <v>0</v>
      </c>
      <c r="AF278" s="6">
        <f ca="1">$M$278*$Z$278</f>
        <v>882.59741009968866</v>
      </c>
      <c r="AG278" s="6">
        <f>$O$278*$AA$278</f>
        <v>376.68625423100514</v>
      </c>
    </row>
    <row r="279" spans="1:33" ht="11.25" hidden="1" customHeight="1" x14ac:dyDescent="0.3">
      <c r="A279" s="4" t="s">
        <v>21</v>
      </c>
      <c r="B279" s="4" t="s">
        <v>34</v>
      </c>
      <c r="C279" s="4" t="s">
        <v>35</v>
      </c>
      <c r="D279" s="4" t="s">
        <v>43</v>
      </c>
      <c r="E279" s="4" t="s">
        <v>25</v>
      </c>
      <c r="F279" s="4" t="s">
        <v>25</v>
      </c>
      <c r="G279" s="4" t="s">
        <v>25</v>
      </c>
      <c r="H279" s="4" t="s">
        <v>36</v>
      </c>
      <c r="I279" s="5">
        <v>44440</v>
      </c>
      <c r="J279" s="6">
        <v>0</v>
      </c>
      <c r="K279" s="6">
        <v>0</v>
      </c>
      <c r="L279" s="6">
        <v>0.82306000000000001</v>
      </c>
      <c r="M279" s="6">
        <v>0.82306000000000001</v>
      </c>
      <c r="N279" s="6">
        <v>0.82306000000000001</v>
      </c>
      <c r="O279" s="6">
        <v>0.82306000000000001</v>
      </c>
      <c r="P279" s="6">
        <v>0</v>
      </c>
      <c r="Q279" s="4" t="s">
        <v>26</v>
      </c>
      <c r="R279" s="4">
        <v>0</v>
      </c>
      <c r="S279" s="6">
        <v>0</v>
      </c>
      <c r="T279" s="6">
        <v>21</v>
      </c>
      <c r="U279" s="6">
        <v>83</v>
      </c>
      <c r="V279" s="6">
        <f>IF(ISERROR(VLOOKUP($S$279,'TAR FIN'!$A$1:$O$92,15,0)),0,VLOOKUP($S$279,'TAR FIN'!$A$1:$O$92,15,0))</f>
        <v>0</v>
      </c>
      <c r="W279" s="6">
        <f>IF(ISERROR(VLOOKUP($T$279,'TAR FIN'!$A$1:$O$92,15,0)),0,VLOOKUP($T$279,'TAR FIN'!$A$1:$O$92,15,0))</f>
        <v>789.62</v>
      </c>
      <c r="X279" s="6">
        <f>IF(ISERROR(VLOOKUP($U$279,'TAR FIN'!$A$1:$O$92,15,0)),0,VLOOKUP($U$279,'TAR FIN'!$A$1:$O$92,15,0))</f>
        <v>488.15</v>
      </c>
      <c r="Y279" s="6"/>
      <c r="Z279" s="6">
        <f ca="1">('TUSD BE'!$AM$15+'TUSD BF'!$AM$15+'TUSD CVA'!$AM$15)*1</f>
        <v>1080.2905876373179</v>
      </c>
      <c r="AA279" s="6">
        <f>('TE BE'!$AB$7+'TE BF'!$AB$7+'TE CVA'!$AB$7)*1</f>
        <v>461.06028669645673</v>
      </c>
      <c r="AB279" s="6">
        <f>$K$279*$V$279</f>
        <v>0</v>
      </c>
      <c r="AC279" s="6">
        <f>$M$279*$W$279</f>
        <v>649.90463720000002</v>
      </c>
      <c r="AD279" s="6">
        <f>$O$279*$X$279</f>
        <v>401.77673899999996</v>
      </c>
      <c r="AE279" s="6">
        <f>$K$279*$Y$279</f>
        <v>0</v>
      </c>
      <c r="AF279" s="6">
        <f ca="1">$M$279*$Z$279</f>
        <v>889.14397106077092</v>
      </c>
      <c r="AG279" s="6">
        <f>$O$279*$AA$279</f>
        <v>379.4802795683857</v>
      </c>
    </row>
    <row r="280" spans="1:33" ht="11.25" hidden="1" customHeight="1" x14ac:dyDescent="0.3">
      <c r="A280" s="4" t="s">
        <v>21</v>
      </c>
      <c r="B280" s="4" t="s">
        <v>34</v>
      </c>
      <c r="C280" s="4" t="s">
        <v>35</v>
      </c>
      <c r="D280" s="4" t="s">
        <v>43</v>
      </c>
      <c r="E280" s="4" t="s">
        <v>25</v>
      </c>
      <c r="F280" s="4" t="s">
        <v>25</v>
      </c>
      <c r="G280" s="4" t="s">
        <v>25</v>
      </c>
      <c r="H280" s="4" t="s">
        <v>36</v>
      </c>
      <c r="I280" s="5">
        <v>44470</v>
      </c>
      <c r="J280" s="6">
        <v>0</v>
      </c>
      <c r="K280" s="6">
        <v>0</v>
      </c>
      <c r="L280" s="6">
        <v>0.76600000000000001</v>
      </c>
      <c r="M280" s="6">
        <v>0.76600000000000001</v>
      </c>
      <c r="N280" s="6">
        <v>0.76600000000000001</v>
      </c>
      <c r="O280" s="6">
        <v>0.76600000000000001</v>
      </c>
      <c r="P280" s="6">
        <v>0</v>
      </c>
      <c r="Q280" s="4" t="s">
        <v>26</v>
      </c>
      <c r="R280" s="4">
        <v>0</v>
      </c>
      <c r="S280" s="6">
        <v>0</v>
      </c>
      <c r="T280" s="6">
        <v>21</v>
      </c>
      <c r="U280" s="6">
        <v>83</v>
      </c>
      <c r="V280" s="6">
        <f>IF(ISERROR(VLOOKUP($S$280,'TAR FIN'!$A$1:$O$92,15,0)),0,VLOOKUP($S$280,'TAR FIN'!$A$1:$O$92,15,0))</f>
        <v>0</v>
      </c>
      <c r="W280" s="6">
        <f>IF(ISERROR(VLOOKUP($T$280,'TAR FIN'!$A$1:$O$92,15,0)),0,VLOOKUP($T$280,'TAR FIN'!$A$1:$O$92,15,0))</f>
        <v>789.62</v>
      </c>
      <c r="X280" s="6">
        <f>IF(ISERROR(VLOOKUP($U$280,'TAR FIN'!$A$1:$O$92,15,0)),0,VLOOKUP($U$280,'TAR FIN'!$A$1:$O$92,15,0))</f>
        <v>488.15</v>
      </c>
      <c r="Y280" s="6"/>
      <c r="Z280" s="6">
        <f ca="1">('TUSD BE'!$AM$15+'TUSD BF'!$AM$15+'TUSD CVA'!$AM$15)*1</f>
        <v>1080.2905876373179</v>
      </c>
      <c r="AA280" s="6">
        <f>('TE BE'!$AB$7+'TE BF'!$AB$7+'TE CVA'!$AB$7)*1</f>
        <v>461.06028669645673</v>
      </c>
      <c r="AB280" s="6">
        <f>$K$280*$V$280</f>
        <v>0</v>
      </c>
      <c r="AC280" s="6">
        <f>$M$280*$W$280</f>
        <v>604.84892000000002</v>
      </c>
      <c r="AD280" s="6">
        <f>$O$280*$X$280</f>
        <v>373.92289999999997</v>
      </c>
      <c r="AE280" s="6">
        <f>$K$280*$Y$280</f>
        <v>0</v>
      </c>
      <c r="AF280" s="6">
        <f ca="1">$M$280*$Z$280</f>
        <v>827.50259013018558</v>
      </c>
      <c r="AG280" s="6">
        <f>$O$280*$AA$280</f>
        <v>353.17217960948585</v>
      </c>
    </row>
    <row r="281" spans="1:33" ht="11.25" hidden="1" customHeight="1" x14ac:dyDescent="0.3">
      <c r="A281" s="4" t="s">
        <v>21</v>
      </c>
      <c r="B281" s="4" t="s">
        <v>34</v>
      </c>
      <c r="C281" s="4" t="s">
        <v>35</v>
      </c>
      <c r="D281" s="4" t="s">
        <v>43</v>
      </c>
      <c r="E281" s="4" t="s">
        <v>25</v>
      </c>
      <c r="F281" s="4" t="s">
        <v>25</v>
      </c>
      <c r="G281" s="4" t="s">
        <v>25</v>
      </c>
      <c r="H281" s="4" t="s">
        <v>36</v>
      </c>
      <c r="I281" s="5">
        <v>44501</v>
      </c>
      <c r="J281" s="6">
        <v>0</v>
      </c>
      <c r="K281" s="6">
        <v>0</v>
      </c>
      <c r="L281" s="6">
        <v>0.80735000000000001</v>
      </c>
      <c r="M281" s="6">
        <v>0.80735000000000001</v>
      </c>
      <c r="N281" s="6">
        <v>0.80735000000000001</v>
      </c>
      <c r="O281" s="6">
        <v>0.80735000000000001</v>
      </c>
      <c r="P281" s="6">
        <v>0</v>
      </c>
      <c r="Q281" s="4" t="s">
        <v>26</v>
      </c>
      <c r="R281" s="4">
        <v>0</v>
      </c>
      <c r="S281" s="6">
        <v>0</v>
      </c>
      <c r="T281" s="6">
        <v>21</v>
      </c>
      <c r="U281" s="6">
        <v>83</v>
      </c>
      <c r="V281" s="6">
        <f>IF(ISERROR(VLOOKUP($S$281,'TAR FIN'!$A$1:$O$92,15,0)),0,VLOOKUP($S$281,'TAR FIN'!$A$1:$O$92,15,0))</f>
        <v>0</v>
      </c>
      <c r="W281" s="6">
        <f>IF(ISERROR(VLOOKUP($T$281,'TAR FIN'!$A$1:$O$92,15,0)),0,VLOOKUP($T$281,'TAR FIN'!$A$1:$O$92,15,0))</f>
        <v>789.62</v>
      </c>
      <c r="X281" s="6">
        <f>IF(ISERROR(VLOOKUP($U$281,'TAR FIN'!$A$1:$O$92,15,0)),0,VLOOKUP($U$281,'TAR FIN'!$A$1:$O$92,15,0))</f>
        <v>488.15</v>
      </c>
      <c r="Y281" s="6"/>
      <c r="Z281" s="6">
        <f ca="1">('TUSD BE'!$AM$15+'TUSD BF'!$AM$15+'TUSD CVA'!$AM$15)*1</f>
        <v>1080.2905876373179</v>
      </c>
      <c r="AA281" s="6">
        <f>('TE BE'!$AB$7+'TE BF'!$AB$7+'TE CVA'!$AB$7)*1</f>
        <v>461.06028669645673</v>
      </c>
      <c r="AB281" s="6">
        <f>$K$281*$V$281</f>
        <v>0</v>
      </c>
      <c r="AC281" s="6">
        <f>$M$281*$W$281</f>
        <v>637.49970700000006</v>
      </c>
      <c r="AD281" s="6">
        <f>$O$281*$X$281</f>
        <v>394.10790249999997</v>
      </c>
      <c r="AE281" s="6">
        <f>$K$281*$Y$281</f>
        <v>0</v>
      </c>
      <c r="AF281" s="6">
        <f ca="1">$M$281*$Z$281</f>
        <v>872.17260592898867</v>
      </c>
      <c r="AG281" s="6">
        <f>$O$281*$AA$281</f>
        <v>372.23702246438432</v>
      </c>
    </row>
    <row r="282" spans="1:33" ht="11.25" hidden="1" customHeight="1" x14ac:dyDescent="0.3">
      <c r="A282" s="4" t="s">
        <v>21</v>
      </c>
      <c r="B282" s="4" t="s">
        <v>34</v>
      </c>
      <c r="C282" s="4" t="s">
        <v>35</v>
      </c>
      <c r="D282" s="4" t="s">
        <v>43</v>
      </c>
      <c r="E282" s="4" t="s">
        <v>25</v>
      </c>
      <c r="F282" s="4" t="s">
        <v>25</v>
      </c>
      <c r="G282" s="4" t="s">
        <v>25</v>
      </c>
      <c r="H282" s="4" t="s">
        <v>36</v>
      </c>
      <c r="I282" s="5">
        <v>44531</v>
      </c>
      <c r="J282" s="6">
        <v>0</v>
      </c>
      <c r="K282" s="6">
        <v>0</v>
      </c>
      <c r="L282" s="6">
        <v>0.97685999999999995</v>
      </c>
      <c r="M282" s="6">
        <v>0.97685999999999995</v>
      </c>
      <c r="N282" s="6">
        <v>0.97685999999999995</v>
      </c>
      <c r="O282" s="6">
        <v>0.97685999999999995</v>
      </c>
      <c r="P282" s="6">
        <v>0</v>
      </c>
      <c r="Q282" s="4" t="s">
        <v>26</v>
      </c>
      <c r="R282" s="4">
        <v>0</v>
      </c>
      <c r="S282" s="6">
        <v>0</v>
      </c>
      <c r="T282" s="6">
        <v>21</v>
      </c>
      <c r="U282" s="6">
        <v>83</v>
      </c>
      <c r="V282" s="6">
        <f>IF(ISERROR(VLOOKUP($S$282,'TAR FIN'!$A$1:$O$92,15,0)),0,VLOOKUP($S$282,'TAR FIN'!$A$1:$O$92,15,0))</f>
        <v>0</v>
      </c>
      <c r="W282" s="6">
        <f>IF(ISERROR(VLOOKUP($T$282,'TAR FIN'!$A$1:$O$92,15,0)),0,VLOOKUP($T$282,'TAR FIN'!$A$1:$O$92,15,0))</f>
        <v>789.62</v>
      </c>
      <c r="X282" s="6">
        <f>IF(ISERROR(VLOOKUP($U$282,'TAR FIN'!$A$1:$O$92,15,0)),0,VLOOKUP($U$282,'TAR FIN'!$A$1:$O$92,15,0))</f>
        <v>488.15</v>
      </c>
      <c r="Y282" s="6"/>
      <c r="Z282" s="6">
        <f ca="1">('TUSD BE'!$AM$15+'TUSD BF'!$AM$15+'TUSD CVA'!$AM$15)*1</f>
        <v>1080.2905876373179</v>
      </c>
      <c r="AA282" s="6">
        <f>('TE BE'!$AB$7+'TE BF'!$AB$7+'TE CVA'!$AB$7)*1</f>
        <v>461.06028669645673</v>
      </c>
      <c r="AB282" s="6">
        <f>$K$282*$V$282</f>
        <v>0</v>
      </c>
      <c r="AC282" s="6">
        <f>$M$282*$W$282</f>
        <v>771.34819319999997</v>
      </c>
      <c r="AD282" s="6">
        <f>$O$282*$X$282</f>
        <v>476.85420899999997</v>
      </c>
      <c r="AE282" s="6">
        <f>$K$282*$Y$282</f>
        <v>0</v>
      </c>
      <c r="AF282" s="6">
        <f ca="1">$M$282*$Z$282</f>
        <v>1055.2926634393903</v>
      </c>
      <c r="AG282" s="6">
        <f>$O$282*$AA$282</f>
        <v>450.39135166230068</v>
      </c>
    </row>
    <row r="283" spans="1:33" ht="11.25" hidden="1" customHeight="1" x14ac:dyDescent="0.3">
      <c r="A283" s="4" t="s">
        <v>21</v>
      </c>
      <c r="B283" s="4" t="s">
        <v>34</v>
      </c>
      <c r="C283" s="4" t="s">
        <v>35</v>
      </c>
      <c r="D283" s="4" t="s">
        <v>43</v>
      </c>
      <c r="E283" s="4" t="s">
        <v>25</v>
      </c>
      <c r="F283" s="4" t="s">
        <v>25</v>
      </c>
      <c r="G283" s="4" t="s">
        <v>25</v>
      </c>
      <c r="H283" s="4" t="s">
        <v>36</v>
      </c>
      <c r="I283" s="5">
        <v>44562</v>
      </c>
      <c r="J283" s="6">
        <v>0</v>
      </c>
      <c r="K283" s="6">
        <v>0</v>
      </c>
      <c r="L283" s="6">
        <v>1.06816</v>
      </c>
      <c r="M283" s="6">
        <v>1.06816</v>
      </c>
      <c r="N283" s="6">
        <v>1.06816</v>
      </c>
      <c r="O283" s="6">
        <v>1.06816</v>
      </c>
      <c r="P283" s="6">
        <v>0</v>
      </c>
      <c r="Q283" s="4" t="s">
        <v>26</v>
      </c>
      <c r="R283" s="4">
        <v>0</v>
      </c>
      <c r="S283" s="6">
        <v>0</v>
      </c>
      <c r="T283" s="6">
        <v>21</v>
      </c>
      <c r="U283" s="6">
        <v>83</v>
      </c>
      <c r="V283" s="6">
        <f>IF(ISERROR(VLOOKUP($S$283,'TAR FIN'!$A$1:$O$92,15,0)),0,VLOOKUP($S$283,'TAR FIN'!$A$1:$O$92,15,0))</f>
        <v>0</v>
      </c>
      <c r="W283" s="6">
        <f>IF(ISERROR(VLOOKUP($T$283,'TAR FIN'!$A$1:$O$92,15,0)),0,VLOOKUP($T$283,'TAR FIN'!$A$1:$O$92,15,0))</f>
        <v>789.62</v>
      </c>
      <c r="X283" s="6">
        <f>IF(ISERROR(VLOOKUP($U$283,'TAR FIN'!$A$1:$O$92,15,0)),0,VLOOKUP($U$283,'TAR FIN'!$A$1:$O$92,15,0))</f>
        <v>488.15</v>
      </c>
      <c r="Y283" s="6"/>
      <c r="Z283" s="6">
        <f ca="1">('TUSD BE'!$AM$15+'TUSD BF'!$AM$15+'TUSD CVA'!$AM$15)*1</f>
        <v>1080.2905876373179</v>
      </c>
      <c r="AA283" s="6">
        <f>('TE BE'!$AB$7+'TE BF'!$AB$7+'TE CVA'!$AB$7)*1</f>
        <v>461.06028669645673</v>
      </c>
      <c r="AB283" s="6">
        <f>$K$283*$V$283</f>
        <v>0</v>
      </c>
      <c r="AC283" s="6">
        <f>$M$283*$W$283</f>
        <v>843.44049919999998</v>
      </c>
      <c r="AD283" s="6">
        <f>$O$283*$X$283</f>
        <v>521.42230399999994</v>
      </c>
      <c r="AE283" s="6">
        <f>$K$283*$Y$283</f>
        <v>0</v>
      </c>
      <c r="AF283" s="6">
        <f ca="1">$M$283*$Z$283</f>
        <v>1153.9231940906775</v>
      </c>
      <c r="AG283" s="6">
        <f>$O$283*$AA$283</f>
        <v>492.48615583768719</v>
      </c>
    </row>
    <row r="284" spans="1:33" ht="11.25" hidden="1" customHeight="1" x14ac:dyDescent="0.3">
      <c r="A284" s="4" t="s">
        <v>21</v>
      </c>
      <c r="B284" s="4" t="s">
        <v>34</v>
      </c>
      <c r="C284" s="4" t="s">
        <v>35</v>
      </c>
      <c r="D284" s="4" t="s">
        <v>43</v>
      </c>
      <c r="E284" s="4" t="s">
        <v>25</v>
      </c>
      <c r="F284" s="4" t="s">
        <v>25</v>
      </c>
      <c r="G284" s="4" t="s">
        <v>25</v>
      </c>
      <c r="H284" s="4" t="s">
        <v>36</v>
      </c>
      <c r="I284" s="5">
        <v>44593</v>
      </c>
      <c r="J284" s="6">
        <v>0</v>
      </c>
      <c r="K284" s="6">
        <v>0</v>
      </c>
      <c r="L284" s="6">
        <v>0.998</v>
      </c>
      <c r="M284" s="6">
        <v>0.998</v>
      </c>
      <c r="N284" s="6">
        <v>0.998</v>
      </c>
      <c r="O284" s="6">
        <v>0.998</v>
      </c>
      <c r="P284" s="6">
        <v>0</v>
      </c>
      <c r="Q284" s="4" t="s">
        <v>26</v>
      </c>
      <c r="R284" s="4">
        <v>0</v>
      </c>
      <c r="S284" s="6">
        <v>0</v>
      </c>
      <c r="T284" s="6">
        <v>21</v>
      </c>
      <c r="U284" s="6">
        <v>83</v>
      </c>
      <c r="V284" s="6">
        <f>IF(ISERROR(VLOOKUP($S$284,'TAR FIN'!$A$1:$O$92,15,0)),0,VLOOKUP($S$284,'TAR FIN'!$A$1:$O$92,15,0))</f>
        <v>0</v>
      </c>
      <c r="W284" s="6">
        <f>IF(ISERROR(VLOOKUP($T$284,'TAR FIN'!$A$1:$O$92,15,0)),0,VLOOKUP($T$284,'TAR FIN'!$A$1:$O$92,15,0))</f>
        <v>789.62</v>
      </c>
      <c r="X284" s="6">
        <f>IF(ISERROR(VLOOKUP($U$284,'TAR FIN'!$A$1:$O$92,15,0)),0,VLOOKUP($U$284,'TAR FIN'!$A$1:$O$92,15,0))</f>
        <v>488.15</v>
      </c>
      <c r="Y284" s="6"/>
      <c r="Z284" s="6">
        <f ca="1">('TUSD BE'!$AM$15+'TUSD BF'!$AM$15+'TUSD CVA'!$AM$15)*1</f>
        <v>1080.2905876373179</v>
      </c>
      <c r="AA284" s="6">
        <f>('TE BE'!$AB$7+'TE BF'!$AB$7+'TE CVA'!$AB$7)*1</f>
        <v>461.06028669645673</v>
      </c>
      <c r="AB284" s="6">
        <f>$K$284*$V$284</f>
        <v>0</v>
      </c>
      <c r="AC284" s="6">
        <f>$M$284*$W$284</f>
        <v>788.04075999999998</v>
      </c>
      <c r="AD284" s="6">
        <f>$O$284*$X$284</f>
        <v>487.1737</v>
      </c>
      <c r="AE284" s="6">
        <f>$K$284*$Y$284</f>
        <v>0</v>
      </c>
      <c r="AF284" s="6">
        <f ca="1">$M$284*$Z$284</f>
        <v>1078.1300064620432</v>
      </c>
      <c r="AG284" s="6">
        <f>$O$284*$AA$284</f>
        <v>460.1381661230638</v>
      </c>
    </row>
    <row r="285" spans="1:33" ht="11.25" hidden="1" customHeight="1" x14ac:dyDescent="0.3">
      <c r="A285" s="4" t="s">
        <v>21</v>
      </c>
      <c r="B285" s="4" t="s">
        <v>34</v>
      </c>
      <c r="C285" s="4" t="s">
        <v>35</v>
      </c>
      <c r="D285" s="4" t="s">
        <v>43</v>
      </c>
      <c r="E285" s="4" t="s">
        <v>25</v>
      </c>
      <c r="F285" s="4" t="s">
        <v>25</v>
      </c>
      <c r="G285" s="4" t="s">
        <v>25</v>
      </c>
      <c r="H285" s="4" t="s">
        <v>36</v>
      </c>
      <c r="I285" s="5">
        <v>44621</v>
      </c>
      <c r="J285" s="6">
        <v>0</v>
      </c>
      <c r="K285" s="6">
        <v>0</v>
      </c>
      <c r="L285" s="6">
        <v>1.04671</v>
      </c>
      <c r="M285" s="6">
        <v>1.04671</v>
      </c>
      <c r="N285" s="6">
        <v>1.04671</v>
      </c>
      <c r="O285" s="6">
        <v>1.04671</v>
      </c>
      <c r="P285" s="6">
        <v>0</v>
      </c>
      <c r="Q285" s="4" t="s">
        <v>26</v>
      </c>
      <c r="R285" s="4">
        <v>0</v>
      </c>
      <c r="S285" s="6">
        <v>0</v>
      </c>
      <c r="T285" s="6">
        <v>21</v>
      </c>
      <c r="U285" s="6">
        <v>83</v>
      </c>
      <c r="V285" s="6">
        <f>IF(ISERROR(VLOOKUP($S$285,'TAR FIN'!$A$1:$O$92,15,0)),0,VLOOKUP($S$285,'TAR FIN'!$A$1:$O$92,15,0))</f>
        <v>0</v>
      </c>
      <c r="W285" s="6">
        <f>IF(ISERROR(VLOOKUP($T$285,'TAR FIN'!$A$1:$O$92,15,0)),0,VLOOKUP($T$285,'TAR FIN'!$A$1:$O$92,15,0))</f>
        <v>789.62</v>
      </c>
      <c r="X285" s="6">
        <f>IF(ISERROR(VLOOKUP($U$285,'TAR FIN'!$A$1:$O$92,15,0)),0,VLOOKUP($U$285,'TAR FIN'!$A$1:$O$92,15,0))</f>
        <v>488.15</v>
      </c>
      <c r="Y285" s="6"/>
      <c r="Z285" s="6">
        <f ca="1">('TUSD BE'!$AM$15+'TUSD BF'!$AM$15+'TUSD CVA'!$AM$15)*1</f>
        <v>1080.2905876373179</v>
      </c>
      <c r="AA285" s="6">
        <f>('TE BE'!$AB$7+'TE BF'!$AB$7+'TE CVA'!$AB$7)*1</f>
        <v>461.06028669645673</v>
      </c>
      <c r="AB285" s="6">
        <f>$K$285*$V$285</f>
        <v>0</v>
      </c>
      <c r="AC285" s="6">
        <f>$M$285*$W$285</f>
        <v>826.50315020000005</v>
      </c>
      <c r="AD285" s="6">
        <f>$O$285*$X$285</f>
        <v>510.95148649999999</v>
      </c>
      <c r="AE285" s="6">
        <f>$K$285*$Y$285</f>
        <v>0</v>
      </c>
      <c r="AF285" s="6">
        <f ca="1">$M$285*$Z$285</f>
        <v>1130.7509609858571</v>
      </c>
      <c r="AG285" s="6">
        <f>$O$285*$AA$285</f>
        <v>482.59641268804825</v>
      </c>
    </row>
    <row r="286" spans="1:33" ht="11.25" hidden="1" customHeight="1" x14ac:dyDescent="0.3">
      <c r="A286" s="4" t="s">
        <v>21</v>
      </c>
      <c r="B286" s="4" t="s">
        <v>34</v>
      </c>
      <c r="C286" s="4" t="s">
        <v>35</v>
      </c>
      <c r="D286" s="4" t="s">
        <v>43</v>
      </c>
      <c r="E286" s="4" t="s">
        <v>25</v>
      </c>
      <c r="F286" s="4" t="s">
        <v>25</v>
      </c>
      <c r="G286" s="4" t="s">
        <v>25</v>
      </c>
      <c r="H286" s="4" t="s">
        <v>36</v>
      </c>
      <c r="I286" s="5">
        <v>44652</v>
      </c>
      <c r="J286" s="6">
        <v>0</v>
      </c>
      <c r="K286" s="6">
        <v>0</v>
      </c>
      <c r="L286" s="6">
        <v>0.77219000000000004</v>
      </c>
      <c r="M286" s="6">
        <v>0.77219000000000004</v>
      </c>
      <c r="N286" s="6">
        <v>0.77219000000000004</v>
      </c>
      <c r="O286" s="6">
        <v>0.77219000000000004</v>
      </c>
      <c r="P286" s="6">
        <v>0</v>
      </c>
      <c r="Q286" s="4" t="s">
        <v>26</v>
      </c>
      <c r="R286" s="4">
        <v>0</v>
      </c>
      <c r="S286" s="6">
        <v>0</v>
      </c>
      <c r="T286" s="6">
        <v>21</v>
      </c>
      <c r="U286" s="6">
        <v>83</v>
      </c>
      <c r="V286" s="6">
        <f>IF(ISERROR(VLOOKUP($S$286,'TAR FIN'!$A$1:$O$92,15,0)),0,VLOOKUP($S$286,'TAR FIN'!$A$1:$O$92,15,0))</f>
        <v>0</v>
      </c>
      <c r="W286" s="6">
        <f>IF(ISERROR(VLOOKUP($T$286,'TAR FIN'!$A$1:$O$92,15,0)),0,VLOOKUP($T$286,'TAR FIN'!$A$1:$O$92,15,0))</f>
        <v>789.62</v>
      </c>
      <c r="X286" s="6">
        <f>IF(ISERROR(VLOOKUP($U$286,'TAR FIN'!$A$1:$O$92,15,0)),0,VLOOKUP($U$286,'TAR FIN'!$A$1:$O$92,15,0))</f>
        <v>488.15</v>
      </c>
      <c r="Y286" s="6"/>
      <c r="Z286" s="6">
        <f ca="1">('TUSD BE'!$AM$15+'TUSD BF'!$AM$15+'TUSD CVA'!$AM$15)*1</f>
        <v>1080.2905876373179</v>
      </c>
      <c r="AA286" s="6">
        <f>('TE BE'!$AB$7+'TE BF'!$AB$7+'TE CVA'!$AB$7)*1</f>
        <v>461.06028669645673</v>
      </c>
      <c r="AB286" s="6">
        <f>$K$286*$V$286</f>
        <v>0</v>
      </c>
      <c r="AC286" s="6">
        <f>$M$286*$W$286</f>
        <v>609.73666780000008</v>
      </c>
      <c r="AD286" s="6">
        <f>$O$286*$X$286</f>
        <v>376.9445485</v>
      </c>
      <c r="AE286" s="6">
        <f>$K$286*$Y$286</f>
        <v>0</v>
      </c>
      <c r="AF286" s="6">
        <f ca="1">$M$286*$Z$286</f>
        <v>834.18958886766052</v>
      </c>
      <c r="AG286" s="6">
        <f>$O$286*$AA$286</f>
        <v>356.02614278413694</v>
      </c>
    </row>
    <row r="287" spans="1:33" ht="11.25" hidden="1" customHeight="1" x14ac:dyDescent="0.3">
      <c r="A287" s="4" t="s">
        <v>21</v>
      </c>
      <c r="B287" s="4" t="s">
        <v>34</v>
      </c>
      <c r="C287" s="4" t="s">
        <v>35</v>
      </c>
      <c r="D287" s="4" t="s">
        <v>43</v>
      </c>
      <c r="E287" s="4" t="s">
        <v>25</v>
      </c>
      <c r="F287" s="4" t="s">
        <v>25</v>
      </c>
      <c r="G287" s="4" t="s">
        <v>25</v>
      </c>
      <c r="H287" s="4" t="s">
        <v>36</v>
      </c>
      <c r="I287" s="5">
        <v>44682</v>
      </c>
      <c r="J287" s="6">
        <v>0</v>
      </c>
      <c r="K287" s="6">
        <v>0</v>
      </c>
      <c r="L287" s="6">
        <v>0.79690000000000005</v>
      </c>
      <c r="M287" s="6">
        <v>0.79690000000000005</v>
      </c>
      <c r="N287" s="6">
        <v>0.79690000000000005</v>
      </c>
      <c r="O287" s="6">
        <v>0.79690000000000005</v>
      </c>
      <c r="P287" s="6">
        <v>0</v>
      </c>
      <c r="Q287" s="4" t="s">
        <v>26</v>
      </c>
      <c r="R287" s="4">
        <v>0</v>
      </c>
      <c r="S287" s="6">
        <v>0</v>
      </c>
      <c r="T287" s="6">
        <v>21</v>
      </c>
      <c r="U287" s="6">
        <v>83</v>
      </c>
      <c r="V287" s="6">
        <f>IF(ISERROR(VLOOKUP($S$287,'TAR FIN'!$A$1:$O$92,15,0)),0,VLOOKUP($S$287,'TAR FIN'!$A$1:$O$92,15,0))</f>
        <v>0</v>
      </c>
      <c r="W287" s="6">
        <f>IF(ISERROR(VLOOKUP($T$287,'TAR FIN'!$A$1:$O$92,15,0)),0,VLOOKUP($T$287,'TAR FIN'!$A$1:$O$92,15,0))</f>
        <v>789.62</v>
      </c>
      <c r="X287" s="6">
        <f>IF(ISERROR(VLOOKUP($U$287,'TAR FIN'!$A$1:$O$92,15,0)),0,VLOOKUP($U$287,'TAR FIN'!$A$1:$O$92,15,0))</f>
        <v>488.15</v>
      </c>
      <c r="Y287" s="6"/>
      <c r="Z287" s="6">
        <f ca="1">('TUSD BE'!$AM$15+'TUSD BF'!$AM$15+'TUSD CVA'!$AM$15)*1</f>
        <v>1080.2905876373179</v>
      </c>
      <c r="AA287" s="6">
        <f>('TE BE'!$AB$7+'TE BF'!$AB$7+'TE CVA'!$AB$7)*1</f>
        <v>461.06028669645673</v>
      </c>
      <c r="AB287" s="6">
        <f>$K$287*$V$287</f>
        <v>0</v>
      </c>
      <c r="AC287" s="6">
        <f>$M$287*$W$287</f>
        <v>629.24817800000005</v>
      </c>
      <c r="AD287" s="6">
        <f>$O$287*$X$287</f>
        <v>389.00673499999999</v>
      </c>
      <c r="AE287" s="6">
        <f>$K$287*$Y$287</f>
        <v>0</v>
      </c>
      <c r="AF287" s="6">
        <f ca="1">$M$287*$Z$287</f>
        <v>860.88356928817871</v>
      </c>
      <c r="AG287" s="6">
        <f>$O$287*$AA$287</f>
        <v>367.41894246840639</v>
      </c>
    </row>
    <row r="288" spans="1:33" ht="11.25" hidden="1" customHeight="1" x14ac:dyDescent="0.3">
      <c r="A288" s="4" t="s">
        <v>21</v>
      </c>
      <c r="B288" s="4" t="s">
        <v>34</v>
      </c>
      <c r="C288" s="4" t="s">
        <v>35</v>
      </c>
      <c r="D288" s="4" t="s">
        <v>43</v>
      </c>
      <c r="E288" s="4" t="s">
        <v>25</v>
      </c>
      <c r="F288" s="4" t="s">
        <v>25</v>
      </c>
      <c r="G288" s="4" t="s">
        <v>25</v>
      </c>
      <c r="H288" s="4" t="s">
        <v>36</v>
      </c>
      <c r="I288" s="5">
        <v>44713</v>
      </c>
      <c r="J288" s="6">
        <v>0</v>
      </c>
      <c r="K288" s="6">
        <v>0</v>
      </c>
      <c r="L288" s="6">
        <v>0.72843999999999998</v>
      </c>
      <c r="M288" s="6">
        <v>0.72843999999999998</v>
      </c>
      <c r="N288" s="6">
        <v>0.72843999999999998</v>
      </c>
      <c r="O288" s="6">
        <v>0.72843999999999998</v>
      </c>
      <c r="P288" s="6">
        <v>0</v>
      </c>
      <c r="Q288" s="4" t="s">
        <v>26</v>
      </c>
      <c r="R288" s="4">
        <v>0</v>
      </c>
      <c r="S288" s="6">
        <v>0</v>
      </c>
      <c r="T288" s="6">
        <v>21</v>
      </c>
      <c r="U288" s="6">
        <v>83</v>
      </c>
      <c r="V288" s="6">
        <f>IF(ISERROR(VLOOKUP($S$288,'TAR FIN'!$A$1:$O$92,15,0)),0,VLOOKUP($S$288,'TAR FIN'!$A$1:$O$92,15,0))</f>
        <v>0</v>
      </c>
      <c r="W288" s="6">
        <f>IF(ISERROR(VLOOKUP($T$288,'TAR FIN'!$A$1:$O$92,15,0)),0,VLOOKUP($T$288,'TAR FIN'!$A$1:$O$92,15,0))</f>
        <v>789.62</v>
      </c>
      <c r="X288" s="6">
        <f>IF(ISERROR(VLOOKUP($U$288,'TAR FIN'!$A$1:$O$92,15,0)),0,VLOOKUP($U$288,'TAR FIN'!$A$1:$O$92,15,0))</f>
        <v>488.15</v>
      </c>
      <c r="Y288" s="6"/>
      <c r="Z288" s="6">
        <f ca="1">('TUSD BE'!$AM$15+'TUSD BF'!$AM$15+'TUSD CVA'!$AM$15)*1</f>
        <v>1080.2905876373179</v>
      </c>
      <c r="AA288" s="6">
        <f>('TE BE'!$AB$7+'TE BF'!$AB$7+'TE CVA'!$AB$7)*1</f>
        <v>461.06028669645673</v>
      </c>
      <c r="AB288" s="6">
        <f>$K$288*$V$288</f>
        <v>0</v>
      </c>
      <c r="AC288" s="6">
        <f>$M$288*$W$288</f>
        <v>575.19079279999994</v>
      </c>
      <c r="AD288" s="6">
        <f>$O$288*$X$288</f>
        <v>355.58798599999994</v>
      </c>
      <c r="AE288" s="6">
        <f>$K$288*$Y$288</f>
        <v>0</v>
      </c>
      <c r="AF288" s="6">
        <f ca="1">$M$288*$Z$288</f>
        <v>786.92687565852782</v>
      </c>
      <c r="AG288" s="6">
        <f>$O$288*$AA$288</f>
        <v>335.85475524116691</v>
      </c>
    </row>
    <row r="289" spans="1:33" ht="11.25" hidden="1" customHeight="1" x14ac:dyDescent="0.3">
      <c r="A289" s="4" t="s">
        <v>21</v>
      </c>
      <c r="B289" s="4" t="s">
        <v>34</v>
      </c>
      <c r="C289" s="4" t="s">
        <v>35</v>
      </c>
      <c r="D289" s="4" t="s">
        <v>43</v>
      </c>
      <c r="E289" s="4" t="s">
        <v>25</v>
      </c>
      <c r="F289" s="4" t="s">
        <v>25</v>
      </c>
      <c r="G289" s="4" t="s">
        <v>25</v>
      </c>
      <c r="H289" s="4" t="s">
        <v>36</v>
      </c>
      <c r="I289" s="5">
        <v>44743</v>
      </c>
      <c r="J289" s="6">
        <v>0</v>
      </c>
      <c r="K289" s="6">
        <v>0</v>
      </c>
      <c r="L289" s="6">
        <v>0.79681999999999997</v>
      </c>
      <c r="M289" s="6">
        <v>0.79681999999999997</v>
      </c>
      <c r="N289" s="6">
        <v>0.79681999999999997</v>
      </c>
      <c r="O289" s="6">
        <v>0.79681999999999997</v>
      </c>
      <c r="P289" s="6">
        <v>0</v>
      </c>
      <c r="Q289" s="4" t="s">
        <v>26</v>
      </c>
      <c r="R289" s="4">
        <v>0</v>
      </c>
      <c r="S289" s="6">
        <v>0</v>
      </c>
      <c r="T289" s="6">
        <v>21</v>
      </c>
      <c r="U289" s="6">
        <v>83</v>
      </c>
      <c r="V289" s="6">
        <f>IF(ISERROR(VLOOKUP($S$289,'TAR FIN'!$A$1:$O$92,15,0)),0,VLOOKUP($S$289,'TAR FIN'!$A$1:$O$92,15,0))</f>
        <v>0</v>
      </c>
      <c r="W289" s="6">
        <f>IF(ISERROR(VLOOKUP($T$289,'TAR FIN'!$A$1:$O$92,15,0)),0,VLOOKUP($T$289,'TAR FIN'!$A$1:$O$92,15,0))</f>
        <v>789.62</v>
      </c>
      <c r="X289" s="6">
        <f>IF(ISERROR(VLOOKUP($U$289,'TAR FIN'!$A$1:$O$92,15,0)),0,VLOOKUP($U$289,'TAR FIN'!$A$1:$O$92,15,0))</f>
        <v>488.15</v>
      </c>
      <c r="Y289" s="6"/>
      <c r="Z289" s="6">
        <f ca="1">('TUSD BE'!$AM$15+'TUSD BF'!$AM$15+'TUSD CVA'!$AM$15)*1</f>
        <v>1080.2905876373179</v>
      </c>
      <c r="AA289" s="6">
        <f>('TE BE'!$AB$7+'TE BF'!$AB$7+'TE CVA'!$AB$7)*1</f>
        <v>461.06028669645673</v>
      </c>
      <c r="AB289" s="6">
        <f>$K$289*$V$289</f>
        <v>0</v>
      </c>
      <c r="AC289" s="6">
        <f>$M$289*$W$289</f>
        <v>629.18500840000002</v>
      </c>
      <c r="AD289" s="6">
        <f>$O$289*$X$289</f>
        <v>388.96768299999997</v>
      </c>
      <c r="AE289" s="6">
        <f>$K$289*$Y$289</f>
        <v>0</v>
      </c>
      <c r="AF289" s="6">
        <f ca="1">$M$289*$Z$289</f>
        <v>860.79714604116759</v>
      </c>
      <c r="AG289" s="6">
        <f>$O$289*$AA$289</f>
        <v>367.38205764547064</v>
      </c>
    </row>
    <row r="290" spans="1:33" ht="11.25" customHeight="1" x14ac:dyDescent="0.3">
      <c r="A290" s="4" t="s">
        <v>21</v>
      </c>
      <c r="B290" s="4" t="s">
        <v>22</v>
      </c>
      <c r="C290" s="4" t="s">
        <v>23</v>
      </c>
      <c r="D290" s="4" t="s">
        <v>24</v>
      </c>
      <c r="E290" s="4" t="s">
        <v>24</v>
      </c>
      <c r="F290" s="4" t="s">
        <v>25</v>
      </c>
      <c r="G290" s="4" t="s">
        <v>25</v>
      </c>
      <c r="H290" s="4" t="s">
        <v>25</v>
      </c>
      <c r="I290" s="5">
        <v>44409</v>
      </c>
      <c r="J290" s="6">
        <v>0</v>
      </c>
      <c r="K290" s="6">
        <v>0</v>
      </c>
      <c r="L290" s="6">
        <v>905.87900000000002</v>
      </c>
      <c r="M290" s="6">
        <v>905.87900000000002</v>
      </c>
      <c r="N290" s="6">
        <v>905.87900000000002</v>
      </c>
      <c r="O290" s="6">
        <v>905.87900000000002</v>
      </c>
      <c r="P290" s="6">
        <v>5048</v>
      </c>
      <c r="Q290" s="4" t="s">
        <v>26</v>
      </c>
      <c r="R290" s="4">
        <v>0</v>
      </c>
      <c r="S290" s="6">
        <v>0</v>
      </c>
      <c r="T290" s="6">
        <v>38</v>
      </c>
      <c r="U290" s="6">
        <v>89</v>
      </c>
      <c r="V290" s="6">
        <f>IF(ISERROR(VLOOKUP($S$290,'TAR FIN'!$A$1:$O$92,15,0)),0,VLOOKUP($S$290,'TAR FIN'!$A$1:$O$92,15,0))</f>
        <v>0</v>
      </c>
      <c r="W290" s="6">
        <f>IF(ISERROR(VLOOKUP($T$290,'TAR FIN'!$A$1:$O$92,15,0)),0,VLOOKUP($T$290,'TAR FIN'!$A$1:$O$92,15,0))</f>
        <v>343.17</v>
      </c>
      <c r="X290" s="6">
        <f>IF(ISERROR(VLOOKUP($U$290,'TAR FIN'!$A$1:$O$92,15,0)),0,VLOOKUP($U$290,'TAR FIN'!$A$1:$O$92,15,0))</f>
        <v>303.54000000000002</v>
      </c>
      <c r="Y290" s="6"/>
      <c r="Z290" s="6">
        <f ca="1">('TUSD BE'!$AM$24+'TUSD BF'!$AM$24+'TUSD CVA'!$AM$24)*1</f>
        <v>471.78110106754735</v>
      </c>
      <c r="AA290" s="6">
        <f>('TE BE'!$AB$12+'TE BF'!$AB$12+'TE CVA'!$AB$12)*1</f>
        <v>287.16392669686104</v>
      </c>
      <c r="AB290" s="6">
        <f>$K$290*$V$290</f>
        <v>0</v>
      </c>
      <c r="AC290" s="6">
        <f>$M$290*$W$290</f>
        <v>310870.49643</v>
      </c>
      <c r="AD290" s="6">
        <f>$O$290*$X$290</f>
        <v>274970.51166000002</v>
      </c>
      <c r="AE290" s="6">
        <f>$K$290*$Y$290</f>
        <v>0</v>
      </c>
      <c r="AF290" s="6">
        <f ca="1">$M$290*$Z$290</f>
        <v>427376.59205396875</v>
      </c>
      <c r="AG290" s="6">
        <f>$O$290*$AA$290</f>
        <v>260135.7707522258</v>
      </c>
    </row>
    <row r="291" spans="1:33" ht="11.25" customHeight="1" x14ac:dyDescent="0.3">
      <c r="A291" s="4" t="s">
        <v>27</v>
      </c>
      <c r="B291" s="4" t="s">
        <v>22</v>
      </c>
      <c r="C291" s="4" t="s">
        <v>23</v>
      </c>
      <c r="D291" s="4" t="s">
        <v>24</v>
      </c>
      <c r="E291" s="4" t="s">
        <v>24</v>
      </c>
      <c r="F291" s="4" t="s">
        <v>25</v>
      </c>
      <c r="G291" s="4" t="s">
        <v>25</v>
      </c>
      <c r="H291" s="4" t="s">
        <v>25</v>
      </c>
      <c r="I291" s="5">
        <v>44409</v>
      </c>
      <c r="J291" s="6">
        <v>0</v>
      </c>
      <c r="K291" s="6">
        <v>0</v>
      </c>
      <c r="L291" s="6">
        <v>8.3460000000000001</v>
      </c>
      <c r="M291" s="6">
        <v>8.3460000000000001</v>
      </c>
      <c r="N291" s="6">
        <v>8.3460000000000001</v>
      </c>
      <c r="O291" s="6">
        <v>8.3460000000000001</v>
      </c>
      <c r="P291" s="6">
        <v>66</v>
      </c>
      <c r="Q291" s="4" t="s">
        <v>26</v>
      </c>
      <c r="R291" s="4">
        <v>0</v>
      </c>
      <c r="S291" s="6">
        <v>0</v>
      </c>
      <c r="T291" s="6">
        <v>38</v>
      </c>
      <c r="U291" s="6">
        <v>89</v>
      </c>
      <c r="V291" s="6">
        <f>IF(ISERROR(VLOOKUP($S$291,'TAR FIN'!$A$1:$O$92,15,0)),0,VLOOKUP($S$291,'TAR FIN'!$A$1:$O$92,15,0))</f>
        <v>0</v>
      </c>
      <c r="W291" s="6">
        <f>IF(ISERROR(VLOOKUP($T$291,'TAR FIN'!$A$1:$O$92,15,0)),0,VLOOKUP($T$291,'TAR FIN'!$A$1:$O$92,15,0))</f>
        <v>343.17</v>
      </c>
      <c r="X291" s="6">
        <f>IF(ISERROR(VLOOKUP($U$291,'TAR FIN'!$A$1:$O$92,15,0)),0,VLOOKUP($U$291,'TAR FIN'!$A$1:$O$92,15,0))</f>
        <v>303.54000000000002</v>
      </c>
      <c r="Y291" s="6"/>
      <c r="Z291" s="6">
        <f ca="1">('TUSD BE'!$AM$24+'TUSD BF'!$AM$24+'TUSD CVA'!$AM$24)*1</f>
        <v>471.78110106754735</v>
      </c>
      <c r="AA291" s="6">
        <f>('TE BE'!$AB$12+'TE BF'!$AB$12+'TE CVA'!$AB$12)*1</f>
        <v>287.16392669686104</v>
      </c>
      <c r="AB291" s="6">
        <f>$K$291*$V$291</f>
        <v>0</v>
      </c>
      <c r="AC291" s="6">
        <f>$M$291*$W$291</f>
        <v>2864.0968200000002</v>
      </c>
      <c r="AD291" s="6">
        <f>$O$291*$X$291</f>
        <v>2533.3448400000002</v>
      </c>
      <c r="AE291" s="6">
        <f>$K$291*$Y$291</f>
        <v>0</v>
      </c>
      <c r="AF291" s="6">
        <f ca="1">$M$291*$Z$291</f>
        <v>3937.4850695097502</v>
      </c>
      <c r="AG291" s="6">
        <f>$O$291*$AA$291</f>
        <v>2396.670132212002</v>
      </c>
    </row>
    <row r="292" spans="1:33" ht="11.25" customHeight="1" x14ac:dyDescent="0.3">
      <c r="A292" s="4" t="s">
        <v>21</v>
      </c>
      <c r="B292" s="4" t="s">
        <v>22</v>
      </c>
      <c r="C292" s="4" t="s">
        <v>23</v>
      </c>
      <c r="D292" s="4" t="s">
        <v>24</v>
      </c>
      <c r="E292" s="4" t="s">
        <v>24</v>
      </c>
      <c r="F292" s="4" t="s">
        <v>25</v>
      </c>
      <c r="G292" s="4" t="s">
        <v>25</v>
      </c>
      <c r="H292" s="4" t="s">
        <v>25</v>
      </c>
      <c r="I292" s="5">
        <v>44440</v>
      </c>
      <c r="J292" s="6">
        <v>0</v>
      </c>
      <c r="K292" s="6">
        <v>0</v>
      </c>
      <c r="L292" s="6">
        <v>965.36699999999996</v>
      </c>
      <c r="M292" s="6">
        <v>965.36699999999996</v>
      </c>
      <c r="N292" s="6">
        <v>965.36699999999996</v>
      </c>
      <c r="O292" s="6">
        <v>965.36699999999996</v>
      </c>
      <c r="P292" s="6">
        <v>5063</v>
      </c>
      <c r="Q292" s="4" t="s">
        <v>26</v>
      </c>
      <c r="R292" s="4">
        <v>0</v>
      </c>
      <c r="S292" s="6">
        <v>0</v>
      </c>
      <c r="T292" s="6">
        <v>38</v>
      </c>
      <c r="U292" s="6">
        <v>89</v>
      </c>
      <c r="V292" s="6">
        <f>IF(ISERROR(VLOOKUP($S$292,'TAR FIN'!$A$1:$O$92,15,0)),0,VLOOKUP($S$292,'TAR FIN'!$A$1:$O$92,15,0))</f>
        <v>0</v>
      </c>
      <c r="W292" s="6">
        <f>IF(ISERROR(VLOOKUP($T$292,'TAR FIN'!$A$1:$O$92,15,0)),0,VLOOKUP($T$292,'TAR FIN'!$A$1:$O$92,15,0))</f>
        <v>343.17</v>
      </c>
      <c r="X292" s="6">
        <f>IF(ISERROR(VLOOKUP($U$292,'TAR FIN'!$A$1:$O$92,15,0)),0,VLOOKUP($U$292,'TAR FIN'!$A$1:$O$92,15,0))</f>
        <v>303.54000000000002</v>
      </c>
      <c r="Y292" s="6"/>
      <c r="Z292" s="6">
        <f ca="1">('TUSD BE'!$AM$24+'TUSD BF'!$AM$24+'TUSD CVA'!$AM$24)*1</f>
        <v>471.78110106754735</v>
      </c>
      <c r="AA292" s="6">
        <f>('TE BE'!$AB$12+'TE BF'!$AB$12+'TE CVA'!$AB$12)*1</f>
        <v>287.16392669686104</v>
      </c>
      <c r="AB292" s="6">
        <f>$K$292*$V$292</f>
        <v>0</v>
      </c>
      <c r="AC292" s="6">
        <f>$M$292*$W$292</f>
        <v>331284.99339000002</v>
      </c>
      <c r="AD292" s="6">
        <f>$O$292*$X$292</f>
        <v>293027.49917999998</v>
      </c>
      <c r="AE292" s="6">
        <f>$K$292*$Y$292</f>
        <v>0</v>
      </c>
      <c r="AF292" s="6">
        <f ca="1">$M$292*$Z$292</f>
        <v>455441.90619427495</v>
      </c>
      <c r="AG292" s="6">
        <f>$O$292*$AA$292</f>
        <v>277218.57842356863</v>
      </c>
    </row>
    <row r="293" spans="1:33" ht="11.25" customHeight="1" x14ac:dyDescent="0.3">
      <c r="A293" s="4" t="s">
        <v>27</v>
      </c>
      <c r="B293" s="4" t="s">
        <v>22</v>
      </c>
      <c r="C293" s="4" t="s">
        <v>23</v>
      </c>
      <c r="D293" s="4" t="s">
        <v>24</v>
      </c>
      <c r="E293" s="4" t="s">
        <v>24</v>
      </c>
      <c r="F293" s="4" t="s">
        <v>25</v>
      </c>
      <c r="G293" s="4" t="s">
        <v>25</v>
      </c>
      <c r="H293" s="4" t="s">
        <v>25</v>
      </c>
      <c r="I293" s="5">
        <v>44440</v>
      </c>
      <c r="J293" s="6">
        <v>0</v>
      </c>
      <c r="K293" s="6">
        <v>0</v>
      </c>
      <c r="L293" s="6">
        <v>8.8989999999999991</v>
      </c>
      <c r="M293" s="6">
        <v>8.8989999999999991</v>
      </c>
      <c r="N293" s="6">
        <v>8.8989999999999991</v>
      </c>
      <c r="O293" s="6">
        <v>8.8989999999999991</v>
      </c>
      <c r="P293" s="6">
        <v>70</v>
      </c>
      <c r="Q293" s="4" t="s">
        <v>26</v>
      </c>
      <c r="R293" s="4">
        <v>0</v>
      </c>
      <c r="S293" s="6">
        <v>0</v>
      </c>
      <c r="T293" s="6">
        <v>38</v>
      </c>
      <c r="U293" s="6">
        <v>89</v>
      </c>
      <c r="V293" s="6">
        <f>IF(ISERROR(VLOOKUP($S$293,'TAR FIN'!$A$1:$O$92,15,0)),0,VLOOKUP($S$293,'TAR FIN'!$A$1:$O$92,15,0))</f>
        <v>0</v>
      </c>
      <c r="W293" s="6">
        <f>IF(ISERROR(VLOOKUP($T$293,'TAR FIN'!$A$1:$O$92,15,0)),0,VLOOKUP($T$293,'TAR FIN'!$A$1:$O$92,15,0))</f>
        <v>343.17</v>
      </c>
      <c r="X293" s="6">
        <f>IF(ISERROR(VLOOKUP($U$293,'TAR FIN'!$A$1:$O$92,15,0)),0,VLOOKUP($U$293,'TAR FIN'!$A$1:$O$92,15,0))</f>
        <v>303.54000000000002</v>
      </c>
      <c r="Y293" s="6"/>
      <c r="Z293" s="6">
        <f ca="1">('TUSD BE'!$AM$24+'TUSD BF'!$AM$24+'TUSD CVA'!$AM$24)*1</f>
        <v>471.78110106754735</v>
      </c>
      <c r="AA293" s="6">
        <f>('TE BE'!$AB$12+'TE BF'!$AB$12+'TE CVA'!$AB$12)*1</f>
        <v>287.16392669686104</v>
      </c>
      <c r="AB293" s="6">
        <f>$K$293*$V$293</f>
        <v>0</v>
      </c>
      <c r="AC293" s="6">
        <f>$M$293*$W$293</f>
        <v>3053.8698299999996</v>
      </c>
      <c r="AD293" s="6">
        <f>$O$293*$X$293</f>
        <v>2701.20246</v>
      </c>
      <c r="AE293" s="6">
        <f>$K$293*$Y$293</f>
        <v>0</v>
      </c>
      <c r="AF293" s="6">
        <f ca="1">$M$293*$Z$293</f>
        <v>4198.3800184001038</v>
      </c>
      <c r="AG293" s="6">
        <f>$O$293*$AA$293</f>
        <v>2555.4717836753662</v>
      </c>
    </row>
    <row r="294" spans="1:33" ht="11.25" customHeight="1" x14ac:dyDescent="0.3">
      <c r="A294" s="4" t="s">
        <v>21</v>
      </c>
      <c r="B294" s="4" t="s">
        <v>22</v>
      </c>
      <c r="C294" s="4" t="s">
        <v>23</v>
      </c>
      <c r="D294" s="4" t="s">
        <v>24</v>
      </c>
      <c r="E294" s="4" t="s">
        <v>24</v>
      </c>
      <c r="F294" s="4" t="s">
        <v>25</v>
      </c>
      <c r="G294" s="4" t="s">
        <v>25</v>
      </c>
      <c r="H294" s="4" t="s">
        <v>25</v>
      </c>
      <c r="I294" s="5">
        <v>44470</v>
      </c>
      <c r="J294" s="6">
        <v>0</v>
      </c>
      <c r="K294" s="6">
        <v>0</v>
      </c>
      <c r="L294" s="6">
        <v>857.79</v>
      </c>
      <c r="M294" s="6">
        <v>857.79</v>
      </c>
      <c r="N294" s="6">
        <v>857.79</v>
      </c>
      <c r="O294" s="6">
        <v>857.79</v>
      </c>
      <c r="P294" s="6">
        <v>5084</v>
      </c>
      <c r="Q294" s="4" t="s">
        <v>26</v>
      </c>
      <c r="R294" s="4">
        <v>0</v>
      </c>
      <c r="S294" s="6">
        <v>0</v>
      </c>
      <c r="T294" s="6">
        <v>38</v>
      </c>
      <c r="U294" s="6">
        <v>89</v>
      </c>
      <c r="V294" s="6">
        <f>IF(ISERROR(VLOOKUP($S$294,'TAR FIN'!$A$1:$O$92,15,0)),0,VLOOKUP($S$294,'TAR FIN'!$A$1:$O$92,15,0))</f>
        <v>0</v>
      </c>
      <c r="W294" s="6">
        <f>IF(ISERROR(VLOOKUP($T$294,'TAR FIN'!$A$1:$O$92,15,0)),0,VLOOKUP($T$294,'TAR FIN'!$A$1:$O$92,15,0))</f>
        <v>343.17</v>
      </c>
      <c r="X294" s="6">
        <f>IF(ISERROR(VLOOKUP($U$294,'TAR FIN'!$A$1:$O$92,15,0)),0,VLOOKUP($U$294,'TAR FIN'!$A$1:$O$92,15,0))</f>
        <v>303.54000000000002</v>
      </c>
      <c r="Y294" s="6"/>
      <c r="Z294" s="6">
        <f ca="1">('TUSD BE'!$AM$24+'TUSD BF'!$AM$24+'TUSD CVA'!$AM$24)*1</f>
        <v>471.78110106754735</v>
      </c>
      <c r="AA294" s="6">
        <f>('TE BE'!$AB$12+'TE BF'!$AB$12+'TE CVA'!$AB$12)*1</f>
        <v>287.16392669686104</v>
      </c>
      <c r="AB294" s="6">
        <f>$K$294*$V$294</f>
        <v>0</v>
      </c>
      <c r="AC294" s="6">
        <f>$M$294*$W$294</f>
        <v>294367.79430000001</v>
      </c>
      <c r="AD294" s="6">
        <f>$O$294*$X$294</f>
        <v>260373.5766</v>
      </c>
      <c r="AE294" s="6">
        <f>$K$294*$Y$294</f>
        <v>0</v>
      </c>
      <c r="AF294" s="6">
        <f ca="1">$M$294*$Z$294</f>
        <v>404689.11068473145</v>
      </c>
      <c r="AG294" s="6">
        <f>$O$294*$AA$294</f>
        <v>246326.34468130043</v>
      </c>
    </row>
    <row r="295" spans="1:33" ht="11.25" customHeight="1" x14ac:dyDescent="0.3">
      <c r="A295" s="4" t="s">
        <v>27</v>
      </c>
      <c r="B295" s="4" t="s">
        <v>22</v>
      </c>
      <c r="C295" s="4" t="s">
        <v>23</v>
      </c>
      <c r="D295" s="4" t="s">
        <v>24</v>
      </c>
      <c r="E295" s="4" t="s">
        <v>24</v>
      </c>
      <c r="F295" s="4" t="s">
        <v>25</v>
      </c>
      <c r="G295" s="4" t="s">
        <v>25</v>
      </c>
      <c r="H295" s="4" t="s">
        <v>25</v>
      </c>
      <c r="I295" s="5">
        <v>44470</v>
      </c>
      <c r="J295" s="6">
        <v>0</v>
      </c>
      <c r="K295" s="6">
        <v>0</v>
      </c>
      <c r="L295" s="6">
        <v>7.76</v>
      </c>
      <c r="M295" s="6">
        <v>7.76</v>
      </c>
      <c r="N295" s="6">
        <v>7.76</v>
      </c>
      <c r="O295" s="6">
        <v>7.76</v>
      </c>
      <c r="P295" s="6">
        <v>71</v>
      </c>
      <c r="Q295" s="4" t="s">
        <v>26</v>
      </c>
      <c r="R295" s="4">
        <v>0</v>
      </c>
      <c r="S295" s="6">
        <v>0</v>
      </c>
      <c r="T295" s="6">
        <v>38</v>
      </c>
      <c r="U295" s="6">
        <v>89</v>
      </c>
      <c r="V295" s="6">
        <f>IF(ISERROR(VLOOKUP($S$295,'TAR FIN'!$A$1:$O$92,15,0)),0,VLOOKUP($S$295,'TAR FIN'!$A$1:$O$92,15,0))</f>
        <v>0</v>
      </c>
      <c r="W295" s="6">
        <f>IF(ISERROR(VLOOKUP($T$295,'TAR FIN'!$A$1:$O$92,15,0)),0,VLOOKUP($T$295,'TAR FIN'!$A$1:$O$92,15,0))</f>
        <v>343.17</v>
      </c>
      <c r="X295" s="6">
        <f>IF(ISERROR(VLOOKUP($U$295,'TAR FIN'!$A$1:$O$92,15,0)),0,VLOOKUP($U$295,'TAR FIN'!$A$1:$O$92,15,0))</f>
        <v>303.54000000000002</v>
      </c>
      <c r="Y295" s="6"/>
      <c r="Z295" s="6">
        <f ca="1">('TUSD BE'!$AM$24+'TUSD BF'!$AM$24+'TUSD CVA'!$AM$24)*1</f>
        <v>471.78110106754735</v>
      </c>
      <c r="AA295" s="6">
        <f>('TE BE'!$AB$12+'TE BF'!$AB$12+'TE CVA'!$AB$12)*1</f>
        <v>287.16392669686104</v>
      </c>
      <c r="AB295" s="6">
        <f>$K$295*$V$295</f>
        <v>0</v>
      </c>
      <c r="AC295" s="6">
        <f>$M$295*$W$295</f>
        <v>2662.9992000000002</v>
      </c>
      <c r="AD295" s="6">
        <f>$O$295*$X$295</f>
        <v>2355.4704000000002</v>
      </c>
      <c r="AE295" s="6">
        <f>$K$295*$Y$295</f>
        <v>0</v>
      </c>
      <c r="AF295" s="6">
        <f ca="1">$M$295*$Z$295</f>
        <v>3661.0213442841673</v>
      </c>
      <c r="AG295" s="6">
        <f>$O$295*$AA$295</f>
        <v>2228.3920711676415</v>
      </c>
    </row>
    <row r="296" spans="1:33" ht="11.25" customHeight="1" x14ac:dyDescent="0.3">
      <c r="A296" s="4" t="s">
        <v>21</v>
      </c>
      <c r="B296" s="4" t="s">
        <v>22</v>
      </c>
      <c r="C296" s="4" t="s">
        <v>23</v>
      </c>
      <c r="D296" s="4" t="s">
        <v>24</v>
      </c>
      <c r="E296" s="4" t="s">
        <v>24</v>
      </c>
      <c r="F296" s="4" t="s">
        <v>25</v>
      </c>
      <c r="G296" s="4" t="s">
        <v>25</v>
      </c>
      <c r="H296" s="4" t="s">
        <v>25</v>
      </c>
      <c r="I296" s="5">
        <v>44501</v>
      </c>
      <c r="J296" s="6">
        <v>0</v>
      </c>
      <c r="K296" s="6">
        <v>0</v>
      </c>
      <c r="L296" s="6">
        <v>850.14300000000003</v>
      </c>
      <c r="M296" s="6">
        <v>850.14300000000003</v>
      </c>
      <c r="N296" s="6">
        <v>850.14300000000003</v>
      </c>
      <c r="O296" s="6">
        <v>850.14300000000003</v>
      </c>
      <c r="P296" s="6">
        <v>5097</v>
      </c>
      <c r="Q296" s="4" t="s">
        <v>26</v>
      </c>
      <c r="R296" s="4">
        <v>0</v>
      </c>
      <c r="S296" s="6">
        <v>0</v>
      </c>
      <c r="T296" s="6">
        <v>38</v>
      </c>
      <c r="U296" s="6">
        <v>89</v>
      </c>
      <c r="V296" s="6">
        <f>IF(ISERROR(VLOOKUP($S$296,'TAR FIN'!$A$1:$O$92,15,0)),0,VLOOKUP($S$296,'TAR FIN'!$A$1:$O$92,15,0))</f>
        <v>0</v>
      </c>
      <c r="W296" s="6">
        <f>IF(ISERROR(VLOOKUP($T$296,'TAR FIN'!$A$1:$O$92,15,0)),0,VLOOKUP($T$296,'TAR FIN'!$A$1:$O$92,15,0))</f>
        <v>343.17</v>
      </c>
      <c r="X296" s="6">
        <f>IF(ISERROR(VLOOKUP($U$296,'TAR FIN'!$A$1:$O$92,15,0)),0,VLOOKUP($U$296,'TAR FIN'!$A$1:$O$92,15,0))</f>
        <v>303.54000000000002</v>
      </c>
      <c r="Y296" s="6"/>
      <c r="Z296" s="6">
        <f ca="1">('TUSD BE'!$AM$24+'TUSD BF'!$AM$24+'TUSD CVA'!$AM$24)*1</f>
        <v>471.78110106754735</v>
      </c>
      <c r="AA296" s="6">
        <f>('TE BE'!$AB$12+'TE BF'!$AB$12+'TE CVA'!$AB$12)*1</f>
        <v>287.16392669686104</v>
      </c>
      <c r="AB296" s="6">
        <f>$K$296*$V$296</f>
        <v>0</v>
      </c>
      <c r="AC296" s="6">
        <f>$M$296*$W$296</f>
        <v>291743.57331000001</v>
      </c>
      <c r="AD296" s="6">
        <f>$O$296*$X$296</f>
        <v>258052.40622000003</v>
      </c>
      <c r="AE296" s="6">
        <f>$K$296*$Y$296</f>
        <v>0</v>
      </c>
      <c r="AF296" s="6">
        <f ca="1">$M$296*$Z$296</f>
        <v>401081.4006048679</v>
      </c>
      <c r="AG296" s="6">
        <f>$O$296*$AA$296</f>
        <v>244130.40213384954</v>
      </c>
    </row>
    <row r="297" spans="1:33" ht="11.25" customHeight="1" x14ac:dyDescent="0.3">
      <c r="A297" s="4" t="s">
        <v>27</v>
      </c>
      <c r="B297" s="4" t="s">
        <v>22</v>
      </c>
      <c r="C297" s="4" t="s">
        <v>23</v>
      </c>
      <c r="D297" s="4" t="s">
        <v>24</v>
      </c>
      <c r="E297" s="4" t="s">
        <v>24</v>
      </c>
      <c r="F297" s="4" t="s">
        <v>25</v>
      </c>
      <c r="G297" s="4" t="s">
        <v>25</v>
      </c>
      <c r="H297" s="4" t="s">
        <v>25</v>
      </c>
      <c r="I297" s="5">
        <v>44501</v>
      </c>
      <c r="J297" s="6">
        <v>0</v>
      </c>
      <c r="K297" s="6">
        <v>0</v>
      </c>
      <c r="L297" s="6">
        <v>6.6920000000000002</v>
      </c>
      <c r="M297" s="6">
        <v>6.6920000000000002</v>
      </c>
      <c r="N297" s="6">
        <v>6.6920000000000002</v>
      </c>
      <c r="O297" s="6">
        <v>6.6920000000000002</v>
      </c>
      <c r="P297" s="6">
        <v>72</v>
      </c>
      <c r="Q297" s="4" t="s">
        <v>26</v>
      </c>
      <c r="R297" s="4">
        <v>0</v>
      </c>
      <c r="S297" s="6">
        <v>0</v>
      </c>
      <c r="T297" s="6">
        <v>38</v>
      </c>
      <c r="U297" s="6">
        <v>89</v>
      </c>
      <c r="V297" s="6">
        <f>IF(ISERROR(VLOOKUP($S$297,'TAR FIN'!$A$1:$O$92,15,0)),0,VLOOKUP($S$297,'TAR FIN'!$A$1:$O$92,15,0))</f>
        <v>0</v>
      </c>
      <c r="W297" s="6">
        <f>IF(ISERROR(VLOOKUP($T$297,'TAR FIN'!$A$1:$O$92,15,0)),0,VLOOKUP($T$297,'TAR FIN'!$A$1:$O$92,15,0))</f>
        <v>343.17</v>
      </c>
      <c r="X297" s="6">
        <f>IF(ISERROR(VLOOKUP($U$297,'TAR FIN'!$A$1:$O$92,15,0)),0,VLOOKUP($U$297,'TAR FIN'!$A$1:$O$92,15,0))</f>
        <v>303.54000000000002</v>
      </c>
      <c r="Y297" s="6"/>
      <c r="Z297" s="6">
        <f ca="1">('TUSD BE'!$AM$24+'TUSD BF'!$AM$24+'TUSD CVA'!$AM$24)*1</f>
        <v>471.78110106754735</v>
      </c>
      <c r="AA297" s="6">
        <f>('TE BE'!$AB$12+'TE BF'!$AB$12+'TE CVA'!$AB$12)*1</f>
        <v>287.16392669686104</v>
      </c>
      <c r="AB297" s="6">
        <f>$K$297*$V$297</f>
        <v>0</v>
      </c>
      <c r="AC297" s="6">
        <f>$M$297*$W$297</f>
        <v>2296.4936400000001</v>
      </c>
      <c r="AD297" s="6">
        <f>$O$297*$X$297</f>
        <v>2031.2896800000001</v>
      </c>
      <c r="AE297" s="6">
        <f>$K$297*$Y$297</f>
        <v>0</v>
      </c>
      <c r="AF297" s="6">
        <f ca="1">$M$297*$Z$297</f>
        <v>3157.1591283440271</v>
      </c>
      <c r="AG297" s="6">
        <f>$O$297*$AA$297</f>
        <v>1921.7009974553941</v>
      </c>
    </row>
    <row r="298" spans="1:33" ht="11.25" customHeight="1" x14ac:dyDescent="0.3">
      <c r="A298" s="4" t="s">
        <v>21</v>
      </c>
      <c r="B298" s="4" t="s">
        <v>22</v>
      </c>
      <c r="C298" s="4" t="s">
        <v>23</v>
      </c>
      <c r="D298" s="4" t="s">
        <v>24</v>
      </c>
      <c r="E298" s="4" t="s">
        <v>24</v>
      </c>
      <c r="F298" s="4" t="s">
        <v>25</v>
      </c>
      <c r="G298" s="4" t="s">
        <v>25</v>
      </c>
      <c r="H298" s="4" t="s">
        <v>25</v>
      </c>
      <c r="I298" s="5">
        <v>44531</v>
      </c>
      <c r="J298" s="6">
        <v>0</v>
      </c>
      <c r="K298" s="6">
        <v>0</v>
      </c>
      <c r="L298" s="6">
        <v>960.702</v>
      </c>
      <c r="M298" s="6">
        <v>960.702</v>
      </c>
      <c r="N298" s="6">
        <v>960.702</v>
      </c>
      <c r="O298" s="6">
        <v>960.702</v>
      </c>
      <c r="P298" s="6">
        <v>5105</v>
      </c>
      <c r="Q298" s="4" t="s">
        <v>26</v>
      </c>
      <c r="R298" s="4">
        <v>0</v>
      </c>
      <c r="S298" s="6">
        <v>0</v>
      </c>
      <c r="T298" s="6">
        <v>38</v>
      </c>
      <c r="U298" s="6">
        <v>89</v>
      </c>
      <c r="V298" s="6">
        <f>IF(ISERROR(VLOOKUP($S$298,'TAR FIN'!$A$1:$O$92,15,0)),0,VLOOKUP($S$298,'TAR FIN'!$A$1:$O$92,15,0))</f>
        <v>0</v>
      </c>
      <c r="W298" s="6">
        <f>IF(ISERROR(VLOOKUP($T$298,'TAR FIN'!$A$1:$O$92,15,0)),0,VLOOKUP($T$298,'TAR FIN'!$A$1:$O$92,15,0))</f>
        <v>343.17</v>
      </c>
      <c r="X298" s="6">
        <f>IF(ISERROR(VLOOKUP($U$298,'TAR FIN'!$A$1:$O$92,15,0)),0,VLOOKUP($U$298,'TAR FIN'!$A$1:$O$92,15,0))</f>
        <v>303.54000000000002</v>
      </c>
      <c r="Y298" s="6"/>
      <c r="Z298" s="6">
        <f ca="1">('TUSD BE'!$AM$24+'TUSD BF'!$AM$24+'TUSD CVA'!$AM$24)*1</f>
        <v>471.78110106754735</v>
      </c>
      <c r="AA298" s="6">
        <f>('TE BE'!$AB$12+'TE BF'!$AB$12+'TE CVA'!$AB$12)*1</f>
        <v>287.16392669686104</v>
      </c>
      <c r="AB298" s="6">
        <f>$K$298*$V$298</f>
        <v>0</v>
      </c>
      <c r="AC298" s="6">
        <f>$M$298*$W$298</f>
        <v>329684.10534000001</v>
      </c>
      <c r="AD298" s="6">
        <f>$O$298*$X$298</f>
        <v>291611.48508000001</v>
      </c>
      <c r="AE298" s="6">
        <f>$K$298*$Y$298</f>
        <v>0</v>
      </c>
      <c r="AF298" s="6">
        <f ca="1">$M$298*$Z$298</f>
        <v>453241.04735779489</v>
      </c>
      <c r="AG298" s="6">
        <f>$O$298*$AA$298</f>
        <v>275878.95870552777</v>
      </c>
    </row>
    <row r="299" spans="1:33" ht="11.25" customHeight="1" x14ac:dyDescent="0.3">
      <c r="A299" s="4" t="s">
        <v>27</v>
      </c>
      <c r="B299" s="4" t="s">
        <v>22</v>
      </c>
      <c r="C299" s="4" t="s">
        <v>23</v>
      </c>
      <c r="D299" s="4" t="s">
        <v>24</v>
      </c>
      <c r="E299" s="4" t="s">
        <v>24</v>
      </c>
      <c r="F299" s="4" t="s">
        <v>25</v>
      </c>
      <c r="G299" s="4" t="s">
        <v>25</v>
      </c>
      <c r="H299" s="4" t="s">
        <v>25</v>
      </c>
      <c r="I299" s="5">
        <v>44531</v>
      </c>
      <c r="J299" s="6">
        <v>0</v>
      </c>
      <c r="K299" s="6">
        <v>0</v>
      </c>
      <c r="L299" s="6">
        <v>7.8049999999999997</v>
      </c>
      <c r="M299" s="6">
        <v>7.8049999999999997</v>
      </c>
      <c r="N299" s="6">
        <v>7.8049999999999997</v>
      </c>
      <c r="O299" s="6">
        <v>7.8049999999999997</v>
      </c>
      <c r="P299" s="6">
        <v>78</v>
      </c>
      <c r="Q299" s="4" t="s">
        <v>26</v>
      </c>
      <c r="R299" s="4">
        <v>0</v>
      </c>
      <c r="S299" s="6">
        <v>0</v>
      </c>
      <c r="T299" s="6">
        <v>38</v>
      </c>
      <c r="U299" s="6">
        <v>89</v>
      </c>
      <c r="V299" s="6">
        <f>IF(ISERROR(VLOOKUP($S$299,'TAR FIN'!$A$1:$O$92,15,0)),0,VLOOKUP($S$299,'TAR FIN'!$A$1:$O$92,15,0))</f>
        <v>0</v>
      </c>
      <c r="W299" s="6">
        <f>IF(ISERROR(VLOOKUP($T$299,'TAR FIN'!$A$1:$O$92,15,0)),0,VLOOKUP($T$299,'TAR FIN'!$A$1:$O$92,15,0))</f>
        <v>343.17</v>
      </c>
      <c r="X299" s="6">
        <f>IF(ISERROR(VLOOKUP($U$299,'TAR FIN'!$A$1:$O$92,15,0)),0,VLOOKUP($U$299,'TAR FIN'!$A$1:$O$92,15,0))</f>
        <v>303.54000000000002</v>
      </c>
      <c r="Y299" s="6"/>
      <c r="Z299" s="6">
        <f ca="1">('TUSD BE'!$AM$24+'TUSD BF'!$AM$24+'TUSD CVA'!$AM$24)*1</f>
        <v>471.78110106754735</v>
      </c>
      <c r="AA299" s="6">
        <f>('TE BE'!$AB$12+'TE BF'!$AB$12+'TE CVA'!$AB$12)*1</f>
        <v>287.16392669686104</v>
      </c>
      <c r="AB299" s="6">
        <f>$K$299*$V$299</f>
        <v>0</v>
      </c>
      <c r="AC299" s="6">
        <f>$M$299*$W$299</f>
        <v>2678.4418500000002</v>
      </c>
      <c r="AD299" s="6">
        <f>$O$299*$X$299</f>
        <v>2369.1297</v>
      </c>
      <c r="AE299" s="6">
        <f>$K$299*$Y$299</f>
        <v>0</v>
      </c>
      <c r="AF299" s="6">
        <f ca="1">$M$299*$Z$299</f>
        <v>3682.251493832207</v>
      </c>
      <c r="AG299" s="6">
        <f>$O$299*$AA$299</f>
        <v>2241.3144478690006</v>
      </c>
    </row>
    <row r="300" spans="1:33" ht="11.25" customHeight="1" x14ac:dyDescent="0.3">
      <c r="A300" s="4" t="s">
        <v>21</v>
      </c>
      <c r="B300" s="4" t="s">
        <v>22</v>
      </c>
      <c r="C300" s="4" t="s">
        <v>23</v>
      </c>
      <c r="D300" s="4" t="s">
        <v>24</v>
      </c>
      <c r="E300" s="4" t="s">
        <v>24</v>
      </c>
      <c r="F300" s="4" t="s">
        <v>25</v>
      </c>
      <c r="G300" s="4" t="s">
        <v>25</v>
      </c>
      <c r="H300" s="4" t="s">
        <v>25</v>
      </c>
      <c r="I300" s="5">
        <v>44562</v>
      </c>
      <c r="J300" s="6">
        <v>0</v>
      </c>
      <c r="K300" s="6">
        <v>0</v>
      </c>
      <c r="L300" s="6">
        <v>935.45699999999999</v>
      </c>
      <c r="M300" s="6">
        <v>935.45699999999999</v>
      </c>
      <c r="N300" s="6">
        <v>935.45699999999999</v>
      </c>
      <c r="O300" s="6">
        <v>935.45699999999999</v>
      </c>
      <c r="P300" s="6">
        <v>5108</v>
      </c>
      <c r="Q300" s="4" t="s">
        <v>26</v>
      </c>
      <c r="R300" s="4">
        <v>0</v>
      </c>
      <c r="S300" s="6">
        <v>0</v>
      </c>
      <c r="T300" s="6">
        <v>38</v>
      </c>
      <c r="U300" s="6">
        <v>89</v>
      </c>
      <c r="V300" s="6">
        <f>IF(ISERROR(VLOOKUP($S$300,'TAR FIN'!$A$1:$O$92,15,0)),0,VLOOKUP($S$300,'TAR FIN'!$A$1:$O$92,15,0))</f>
        <v>0</v>
      </c>
      <c r="W300" s="6">
        <f>IF(ISERROR(VLOOKUP($T$300,'TAR FIN'!$A$1:$O$92,15,0)),0,VLOOKUP($T$300,'TAR FIN'!$A$1:$O$92,15,0))</f>
        <v>343.17</v>
      </c>
      <c r="X300" s="6">
        <f>IF(ISERROR(VLOOKUP($U$300,'TAR FIN'!$A$1:$O$92,15,0)),0,VLOOKUP($U$300,'TAR FIN'!$A$1:$O$92,15,0))</f>
        <v>303.54000000000002</v>
      </c>
      <c r="Y300" s="6"/>
      <c r="Z300" s="6">
        <f ca="1">('TUSD BE'!$AM$24+'TUSD BF'!$AM$24+'TUSD CVA'!$AM$24)*1</f>
        <v>471.78110106754735</v>
      </c>
      <c r="AA300" s="6">
        <f>('TE BE'!$AB$12+'TE BF'!$AB$12+'TE CVA'!$AB$12)*1</f>
        <v>287.16392669686104</v>
      </c>
      <c r="AB300" s="6">
        <f>$K$300*$V$300</f>
        <v>0</v>
      </c>
      <c r="AC300" s="6">
        <f>$M$300*$W$300</f>
        <v>321020.77869000001</v>
      </c>
      <c r="AD300" s="6">
        <f>$O$300*$X$300</f>
        <v>283948.61778000003</v>
      </c>
      <c r="AE300" s="6">
        <f>$K$300*$Y$300</f>
        <v>0</v>
      </c>
      <c r="AF300" s="6">
        <f ca="1">$M$300*$Z$300</f>
        <v>441330.93346134463</v>
      </c>
      <c r="AG300" s="6">
        <f>$O$300*$AA$300</f>
        <v>268629.50537606556</v>
      </c>
    </row>
    <row r="301" spans="1:33" ht="11.25" customHeight="1" x14ac:dyDescent="0.3">
      <c r="A301" s="4" t="s">
        <v>27</v>
      </c>
      <c r="B301" s="4" t="s">
        <v>22</v>
      </c>
      <c r="C301" s="4" t="s">
        <v>23</v>
      </c>
      <c r="D301" s="4" t="s">
        <v>24</v>
      </c>
      <c r="E301" s="4" t="s">
        <v>24</v>
      </c>
      <c r="F301" s="4" t="s">
        <v>25</v>
      </c>
      <c r="G301" s="4" t="s">
        <v>25</v>
      </c>
      <c r="H301" s="4" t="s">
        <v>25</v>
      </c>
      <c r="I301" s="5">
        <v>44562</v>
      </c>
      <c r="J301" s="6">
        <v>0</v>
      </c>
      <c r="K301" s="6">
        <v>0</v>
      </c>
      <c r="L301" s="6">
        <v>8.8699999999999992</v>
      </c>
      <c r="M301" s="6">
        <v>8.8699999999999992</v>
      </c>
      <c r="N301" s="6">
        <v>8.8699999999999992</v>
      </c>
      <c r="O301" s="6">
        <v>8.8699999999999992</v>
      </c>
      <c r="P301" s="6">
        <v>84</v>
      </c>
      <c r="Q301" s="4" t="s">
        <v>26</v>
      </c>
      <c r="R301" s="4">
        <v>0</v>
      </c>
      <c r="S301" s="6">
        <v>0</v>
      </c>
      <c r="T301" s="6">
        <v>38</v>
      </c>
      <c r="U301" s="6">
        <v>89</v>
      </c>
      <c r="V301" s="6">
        <f>IF(ISERROR(VLOOKUP($S$301,'TAR FIN'!$A$1:$O$92,15,0)),0,VLOOKUP($S$301,'TAR FIN'!$A$1:$O$92,15,0))</f>
        <v>0</v>
      </c>
      <c r="W301" s="6">
        <f>IF(ISERROR(VLOOKUP($T$301,'TAR FIN'!$A$1:$O$92,15,0)),0,VLOOKUP($T$301,'TAR FIN'!$A$1:$O$92,15,0))</f>
        <v>343.17</v>
      </c>
      <c r="X301" s="6">
        <f>IF(ISERROR(VLOOKUP($U$301,'TAR FIN'!$A$1:$O$92,15,0)),0,VLOOKUP($U$301,'TAR FIN'!$A$1:$O$92,15,0))</f>
        <v>303.54000000000002</v>
      </c>
      <c r="Y301" s="6"/>
      <c r="Z301" s="6">
        <f ca="1">('TUSD BE'!$AM$24+'TUSD BF'!$AM$24+'TUSD CVA'!$AM$24)*1</f>
        <v>471.78110106754735</v>
      </c>
      <c r="AA301" s="6">
        <f>('TE BE'!$AB$12+'TE BF'!$AB$12+'TE CVA'!$AB$12)*1</f>
        <v>287.16392669686104</v>
      </c>
      <c r="AB301" s="6">
        <f>$K$301*$V$301</f>
        <v>0</v>
      </c>
      <c r="AC301" s="6">
        <f>$M$301*$W$301</f>
        <v>3043.9178999999999</v>
      </c>
      <c r="AD301" s="6">
        <f>$O$301*$X$301</f>
        <v>2692.3998000000001</v>
      </c>
      <c r="AE301" s="6">
        <f>$K$301*$Y$301</f>
        <v>0</v>
      </c>
      <c r="AF301" s="6">
        <f ca="1">$M$301*$Z$301</f>
        <v>4184.6983664691443</v>
      </c>
      <c r="AG301" s="6">
        <f>$O$301*$AA$301</f>
        <v>2547.1440298011571</v>
      </c>
    </row>
    <row r="302" spans="1:33" ht="11.25" customHeight="1" x14ac:dyDescent="0.3">
      <c r="A302" s="4" t="s">
        <v>21</v>
      </c>
      <c r="B302" s="4" t="s">
        <v>22</v>
      </c>
      <c r="C302" s="4" t="s">
        <v>23</v>
      </c>
      <c r="D302" s="4" t="s">
        <v>24</v>
      </c>
      <c r="E302" s="4" t="s">
        <v>24</v>
      </c>
      <c r="F302" s="4" t="s">
        <v>25</v>
      </c>
      <c r="G302" s="4" t="s">
        <v>25</v>
      </c>
      <c r="H302" s="4" t="s">
        <v>25</v>
      </c>
      <c r="I302" s="5">
        <v>44593</v>
      </c>
      <c r="J302" s="6">
        <v>0</v>
      </c>
      <c r="K302" s="6">
        <v>0</v>
      </c>
      <c r="L302" s="6">
        <v>1210.3520000000001</v>
      </c>
      <c r="M302" s="6">
        <v>1210.3520000000001</v>
      </c>
      <c r="N302" s="6">
        <v>1210.3520000000001</v>
      </c>
      <c r="O302" s="6">
        <v>1210.3520000000001</v>
      </c>
      <c r="P302" s="6">
        <v>5094</v>
      </c>
      <c r="Q302" s="4" t="s">
        <v>26</v>
      </c>
      <c r="R302" s="4">
        <v>0</v>
      </c>
      <c r="S302" s="6">
        <v>0</v>
      </c>
      <c r="T302" s="6">
        <v>38</v>
      </c>
      <c r="U302" s="6">
        <v>89</v>
      </c>
      <c r="V302" s="6">
        <f>IF(ISERROR(VLOOKUP($S$302,'TAR FIN'!$A$1:$O$92,15,0)),0,VLOOKUP($S$302,'TAR FIN'!$A$1:$O$92,15,0))</f>
        <v>0</v>
      </c>
      <c r="W302" s="6">
        <f>IF(ISERROR(VLOOKUP($T$302,'TAR FIN'!$A$1:$O$92,15,0)),0,VLOOKUP($T$302,'TAR FIN'!$A$1:$O$92,15,0))</f>
        <v>343.17</v>
      </c>
      <c r="X302" s="6">
        <f>IF(ISERROR(VLOOKUP($U$302,'TAR FIN'!$A$1:$O$92,15,0)),0,VLOOKUP($U$302,'TAR FIN'!$A$1:$O$92,15,0))</f>
        <v>303.54000000000002</v>
      </c>
      <c r="Y302" s="6"/>
      <c r="Z302" s="6">
        <f ca="1">('TUSD BE'!$AM$24+'TUSD BF'!$AM$24+'TUSD CVA'!$AM$24)*1</f>
        <v>471.78110106754735</v>
      </c>
      <c r="AA302" s="6">
        <f>('TE BE'!$AB$12+'TE BF'!$AB$12+'TE CVA'!$AB$12)*1</f>
        <v>287.16392669686104</v>
      </c>
      <c r="AB302" s="6">
        <f>$K$302*$V$302</f>
        <v>0</v>
      </c>
      <c r="AC302" s="6">
        <f>$M$302*$W$302</f>
        <v>415356.49584000005</v>
      </c>
      <c r="AD302" s="6">
        <f>$O$302*$X$302</f>
        <v>367390.24608000007</v>
      </c>
      <c r="AE302" s="6">
        <f>$K$302*$Y$302</f>
        <v>0</v>
      </c>
      <c r="AF302" s="6">
        <f ca="1">$M$302*$Z$302</f>
        <v>571021.19923930813</v>
      </c>
      <c r="AG302" s="6">
        <f>$O$302*$AA$302</f>
        <v>347569.43300539919</v>
      </c>
    </row>
    <row r="303" spans="1:33" ht="11.25" customHeight="1" x14ac:dyDescent="0.3">
      <c r="A303" s="4" t="s">
        <v>27</v>
      </c>
      <c r="B303" s="4" t="s">
        <v>22</v>
      </c>
      <c r="C303" s="4" t="s">
        <v>23</v>
      </c>
      <c r="D303" s="4" t="s">
        <v>24</v>
      </c>
      <c r="E303" s="4" t="s">
        <v>24</v>
      </c>
      <c r="F303" s="4" t="s">
        <v>25</v>
      </c>
      <c r="G303" s="4" t="s">
        <v>25</v>
      </c>
      <c r="H303" s="4" t="s">
        <v>25</v>
      </c>
      <c r="I303" s="5">
        <v>44593</v>
      </c>
      <c r="J303" s="6">
        <v>0</v>
      </c>
      <c r="K303" s="6">
        <v>0</v>
      </c>
      <c r="L303" s="6">
        <v>12.363</v>
      </c>
      <c r="M303" s="6">
        <v>12.363</v>
      </c>
      <c r="N303" s="6">
        <v>12.363</v>
      </c>
      <c r="O303" s="6">
        <v>12.363</v>
      </c>
      <c r="P303" s="6">
        <v>85</v>
      </c>
      <c r="Q303" s="4" t="s">
        <v>26</v>
      </c>
      <c r="R303" s="4">
        <v>0</v>
      </c>
      <c r="S303" s="6">
        <v>0</v>
      </c>
      <c r="T303" s="6">
        <v>38</v>
      </c>
      <c r="U303" s="6">
        <v>89</v>
      </c>
      <c r="V303" s="6">
        <f>IF(ISERROR(VLOOKUP($S$303,'TAR FIN'!$A$1:$O$92,15,0)),0,VLOOKUP($S$303,'TAR FIN'!$A$1:$O$92,15,0))</f>
        <v>0</v>
      </c>
      <c r="W303" s="6">
        <f>IF(ISERROR(VLOOKUP($T$303,'TAR FIN'!$A$1:$O$92,15,0)),0,VLOOKUP($T$303,'TAR FIN'!$A$1:$O$92,15,0))</f>
        <v>343.17</v>
      </c>
      <c r="X303" s="6">
        <f>IF(ISERROR(VLOOKUP($U$303,'TAR FIN'!$A$1:$O$92,15,0)),0,VLOOKUP($U$303,'TAR FIN'!$A$1:$O$92,15,0))</f>
        <v>303.54000000000002</v>
      </c>
      <c r="Y303" s="6"/>
      <c r="Z303" s="6">
        <f ca="1">('TUSD BE'!$AM$24+'TUSD BF'!$AM$24+'TUSD CVA'!$AM$24)*1</f>
        <v>471.78110106754735</v>
      </c>
      <c r="AA303" s="6">
        <f>('TE BE'!$AB$12+'TE BF'!$AB$12+'TE CVA'!$AB$12)*1</f>
        <v>287.16392669686104</v>
      </c>
      <c r="AB303" s="6">
        <f>$K$303*$V$303</f>
        <v>0</v>
      </c>
      <c r="AC303" s="6">
        <f>$M$303*$W$303</f>
        <v>4242.6107099999999</v>
      </c>
      <c r="AD303" s="6">
        <f>$O$303*$X$303</f>
        <v>3752.6650199999999</v>
      </c>
      <c r="AE303" s="6">
        <f>$K$303*$Y$303</f>
        <v>0</v>
      </c>
      <c r="AF303" s="6">
        <f ca="1">$M$303*$Z$303</f>
        <v>5832.6297524980873</v>
      </c>
      <c r="AG303" s="6">
        <f>$O$303*$AA$303</f>
        <v>3550.2076257532931</v>
      </c>
    </row>
    <row r="304" spans="1:33" ht="11.25" customHeight="1" x14ac:dyDescent="0.3">
      <c r="A304" s="4" t="s">
        <v>21</v>
      </c>
      <c r="B304" s="4" t="s">
        <v>22</v>
      </c>
      <c r="C304" s="4" t="s">
        <v>23</v>
      </c>
      <c r="D304" s="4" t="s">
        <v>24</v>
      </c>
      <c r="E304" s="4" t="s">
        <v>24</v>
      </c>
      <c r="F304" s="4" t="s">
        <v>25</v>
      </c>
      <c r="G304" s="4" t="s">
        <v>25</v>
      </c>
      <c r="H304" s="4" t="s">
        <v>25</v>
      </c>
      <c r="I304" s="5">
        <v>44621</v>
      </c>
      <c r="J304" s="6">
        <v>0</v>
      </c>
      <c r="K304" s="6">
        <v>0</v>
      </c>
      <c r="L304" s="6">
        <v>1064.2370000000001</v>
      </c>
      <c r="M304" s="6">
        <v>1064.2370000000001</v>
      </c>
      <c r="N304" s="6">
        <v>1064.2370000000001</v>
      </c>
      <c r="O304" s="6">
        <v>1064.2370000000001</v>
      </c>
      <c r="P304" s="6">
        <v>5065</v>
      </c>
      <c r="Q304" s="4" t="s">
        <v>26</v>
      </c>
      <c r="R304" s="4">
        <v>0</v>
      </c>
      <c r="S304" s="6">
        <v>0</v>
      </c>
      <c r="T304" s="6">
        <v>38</v>
      </c>
      <c r="U304" s="6">
        <v>89</v>
      </c>
      <c r="V304" s="6">
        <f>IF(ISERROR(VLOOKUP($S$304,'TAR FIN'!$A$1:$O$92,15,0)),0,VLOOKUP($S$304,'TAR FIN'!$A$1:$O$92,15,0))</f>
        <v>0</v>
      </c>
      <c r="W304" s="6">
        <f>IF(ISERROR(VLOOKUP($T$304,'TAR FIN'!$A$1:$O$92,15,0)),0,VLOOKUP($T$304,'TAR FIN'!$A$1:$O$92,15,0))</f>
        <v>343.17</v>
      </c>
      <c r="X304" s="6">
        <f>IF(ISERROR(VLOOKUP($U$304,'TAR FIN'!$A$1:$O$92,15,0)),0,VLOOKUP($U$304,'TAR FIN'!$A$1:$O$92,15,0))</f>
        <v>303.54000000000002</v>
      </c>
      <c r="Y304" s="6"/>
      <c r="Z304" s="6">
        <f ca="1">('TUSD BE'!$AM$24+'TUSD BF'!$AM$24+'TUSD CVA'!$AM$24)*1</f>
        <v>471.78110106754735</v>
      </c>
      <c r="AA304" s="6">
        <f>('TE BE'!$AB$12+'TE BF'!$AB$12+'TE CVA'!$AB$12)*1</f>
        <v>287.16392669686104</v>
      </c>
      <c r="AB304" s="6">
        <f>$K$304*$V$304</f>
        <v>0</v>
      </c>
      <c r="AC304" s="6">
        <f>$M$304*$W$304</f>
        <v>365214.21129000006</v>
      </c>
      <c r="AD304" s="6">
        <f>$O$304*$X$304</f>
        <v>323038.49898000003</v>
      </c>
      <c r="AE304" s="6">
        <f>$K$304*$Y$304</f>
        <v>0</v>
      </c>
      <c r="AF304" s="6">
        <f ca="1">$M$304*$Z$304</f>
        <v>502086.90365682344</v>
      </c>
      <c r="AG304" s="6">
        <f>$O$304*$AA$304</f>
        <v>305610.47585608735</v>
      </c>
    </row>
    <row r="305" spans="1:33" ht="11.25" customHeight="1" x14ac:dyDescent="0.3">
      <c r="A305" s="4" t="s">
        <v>27</v>
      </c>
      <c r="B305" s="4" t="s">
        <v>22</v>
      </c>
      <c r="C305" s="4" t="s">
        <v>23</v>
      </c>
      <c r="D305" s="4" t="s">
        <v>24</v>
      </c>
      <c r="E305" s="4" t="s">
        <v>24</v>
      </c>
      <c r="F305" s="4" t="s">
        <v>25</v>
      </c>
      <c r="G305" s="4" t="s">
        <v>25</v>
      </c>
      <c r="H305" s="4" t="s">
        <v>25</v>
      </c>
      <c r="I305" s="5">
        <v>44621</v>
      </c>
      <c r="J305" s="6">
        <v>0</v>
      </c>
      <c r="K305" s="6">
        <v>0</v>
      </c>
      <c r="L305" s="6">
        <v>11.416</v>
      </c>
      <c r="M305" s="6">
        <v>11.416</v>
      </c>
      <c r="N305" s="6">
        <v>11.416</v>
      </c>
      <c r="O305" s="6">
        <v>11.416</v>
      </c>
      <c r="P305" s="6">
        <v>91</v>
      </c>
      <c r="Q305" s="4" t="s">
        <v>26</v>
      </c>
      <c r="R305" s="4">
        <v>0</v>
      </c>
      <c r="S305" s="6">
        <v>0</v>
      </c>
      <c r="T305" s="6">
        <v>38</v>
      </c>
      <c r="U305" s="6">
        <v>89</v>
      </c>
      <c r="V305" s="6">
        <f>IF(ISERROR(VLOOKUP($S$305,'TAR FIN'!$A$1:$O$92,15,0)),0,VLOOKUP($S$305,'TAR FIN'!$A$1:$O$92,15,0))</f>
        <v>0</v>
      </c>
      <c r="W305" s="6">
        <f>IF(ISERROR(VLOOKUP($T$305,'TAR FIN'!$A$1:$O$92,15,0)),0,VLOOKUP($T$305,'TAR FIN'!$A$1:$O$92,15,0))</f>
        <v>343.17</v>
      </c>
      <c r="X305" s="6">
        <f>IF(ISERROR(VLOOKUP($U$305,'TAR FIN'!$A$1:$O$92,15,0)),0,VLOOKUP($U$305,'TAR FIN'!$A$1:$O$92,15,0))</f>
        <v>303.54000000000002</v>
      </c>
      <c r="Y305" s="6"/>
      <c r="Z305" s="6">
        <f ca="1">('TUSD BE'!$AM$24+'TUSD BF'!$AM$24+'TUSD CVA'!$AM$24)*1</f>
        <v>471.78110106754735</v>
      </c>
      <c r="AA305" s="6">
        <f>('TE BE'!$AB$12+'TE BF'!$AB$12+'TE CVA'!$AB$12)*1</f>
        <v>287.16392669686104</v>
      </c>
      <c r="AB305" s="6">
        <f>$K$305*$V$305</f>
        <v>0</v>
      </c>
      <c r="AC305" s="6">
        <f>$M$305*$W$305</f>
        <v>3917.6287200000002</v>
      </c>
      <c r="AD305" s="6">
        <f>$O$305*$X$305</f>
        <v>3465.2126400000002</v>
      </c>
      <c r="AE305" s="6">
        <f>$K$305*$Y$305</f>
        <v>0</v>
      </c>
      <c r="AF305" s="6">
        <f ca="1">$M$305*$Z$305</f>
        <v>5385.8530497871207</v>
      </c>
      <c r="AG305" s="6">
        <f>$O$305*$AA$305</f>
        <v>3278.2633871713656</v>
      </c>
    </row>
    <row r="306" spans="1:33" ht="11.25" customHeight="1" x14ac:dyDescent="0.3">
      <c r="A306" s="4" t="s">
        <v>21</v>
      </c>
      <c r="B306" s="4" t="s">
        <v>22</v>
      </c>
      <c r="C306" s="4" t="s">
        <v>23</v>
      </c>
      <c r="D306" s="4" t="s">
        <v>24</v>
      </c>
      <c r="E306" s="4" t="s">
        <v>24</v>
      </c>
      <c r="F306" s="4" t="s">
        <v>25</v>
      </c>
      <c r="G306" s="4" t="s">
        <v>25</v>
      </c>
      <c r="H306" s="4" t="s">
        <v>25</v>
      </c>
      <c r="I306" s="5">
        <v>44652</v>
      </c>
      <c r="J306" s="6">
        <v>0</v>
      </c>
      <c r="K306" s="6">
        <v>0</v>
      </c>
      <c r="L306" s="6">
        <v>938.63199999999995</v>
      </c>
      <c r="M306" s="6">
        <v>938.63199999999995</v>
      </c>
      <c r="N306" s="6">
        <v>938.63199999999995</v>
      </c>
      <c r="O306" s="6">
        <v>938.63199999999995</v>
      </c>
      <c r="P306" s="6">
        <v>5073</v>
      </c>
      <c r="Q306" s="4" t="s">
        <v>26</v>
      </c>
      <c r="R306" s="4">
        <v>0</v>
      </c>
      <c r="S306" s="6">
        <v>0</v>
      </c>
      <c r="T306" s="6">
        <v>38</v>
      </c>
      <c r="U306" s="6">
        <v>89</v>
      </c>
      <c r="V306" s="6">
        <f>IF(ISERROR(VLOOKUP($S$306,'TAR FIN'!$A$1:$O$92,15,0)),0,VLOOKUP($S$306,'TAR FIN'!$A$1:$O$92,15,0))</f>
        <v>0</v>
      </c>
      <c r="W306" s="6">
        <f>IF(ISERROR(VLOOKUP($T$306,'TAR FIN'!$A$1:$O$92,15,0)),0,VLOOKUP($T$306,'TAR FIN'!$A$1:$O$92,15,0))</f>
        <v>343.17</v>
      </c>
      <c r="X306" s="6">
        <f>IF(ISERROR(VLOOKUP($U$306,'TAR FIN'!$A$1:$O$92,15,0)),0,VLOOKUP($U$306,'TAR FIN'!$A$1:$O$92,15,0))</f>
        <v>303.54000000000002</v>
      </c>
      <c r="Y306" s="6"/>
      <c r="Z306" s="6">
        <f ca="1">('TUSD BE'!$AM$24+'TUSD BF'!$AM$24+'TUSD CVA'!$AM$24)*1</f>
        <v>471.78110106754735</v>
      </c>
      <c r="AA306" s="6">
        <f>('TE BE'!$AB$12+'TE BF'!$AB$12+'TE CVA'!$AB$12)*1</f>
        <v>287.16392669686104</v>
      </c>
      <c r="AB306" s="6">
        <f>$K$306*$V$306</f>
        <v>0</v>
      </c>
      <c r="AC306" s="6">
        <f>$M$306*$W$306</f>
        <v>322110.34344000003</v>
      </c>
      <c r="AD306" s="6">
        <f>$O$306*$X$306</f>
        <v>284912.35728</v>
      </c>
      <c r="AE306" s="6">
        <f>$K$306*$Y$306</f>
        <v>0</v>
      </c>
      <c r="AF306" s="6">
        <f ca="1">$M$306*$Z$306</f>
        <v>442828.83845723409</v>
      </c>
      <c r="AG306" s="6">
        <f>$O$306*$AA$306</f>
        <v>269541.25084332807</v>
      </c>
    </row>
    <row r="307" spans="1:33" ht="11.25" customHeight="1" x14ac:dyDescent="0.3">
      <c r="A307" s="4" t="s">
        <v>27</v>
      </c>
      <c r="B307" s="4" t="s">
        <v>22</v>
      </c>
      <c r="C307" s="4" t="s">
        <v>23</v>
      </c>
      <c r="D307" s="4" t="s">
        <v>24</v>
      </c>
      <c r="E307" s="4" t="s">
        <v>24</v>
      </c>
      <c r="F307" s="4" t="s">
        <v>25</v>
      </c>
      <c r="G307" s="4" t="s">
        <v>25</v>
      </c>
      <c r="H307" s="4" t="s">
        <v>25</v>
      </c>
      <c r="I307" s="5">
        <v>44652</v>
      </c>
      <c r="J307" s="6">
        <v>0</v>
      </c>
      <c r="K307" s="6">
        <v>0</v>
      </c>
      <c r="L307" s="6">
        <v>11.135999999999999</v>
      </c>
      <c r="M307" s="6">
        <v>11.135999999999999</v>
      </c>
      <c r="N307" s="6">
        <v>11.135999999999999</v>
      </c>
      <c r="O307" s="6">
        <v>11.135999999999999</v>
      </c>
      <c r="P307" s="6">
        <v>94</v>
      </c>
      <c r="Q307" s="4" t="s">
        <v>26</v>
      </c>
      <c r="R307" s="4">
        <v>0</v>
      </c>
      <c r="S307" s="6">
        <v>0</v>
      </c>
      <c r="T307" s="6">
        <v>38</v>
      </c>
      <c r="U307" s="6">
        <v>89</v>
      </c>
      <c r="V307" s="6">
        <f>IF(ISERROR(VLOOKUP($S$307,'TAR FIN'!$A$1:$O$92,15,0)),0,VLOOKUP($S$307,'TAR FIN'!$A$1:$O$92,15,0))</f>
        <v>0</v>
      </c>
      <c r="W307" s="6">
        <f>IF(ISERROR(VLOOKUP($T$307,'TAR FIN'!$A$1:$O$92,15,0)),0,VLOOKUP($T$307,'TAR FIN'!$A$1:$O$92,15,0))</f>
        <v>343.17</v>
      </c>
      <c r="X307" s="6">
        <f>IF(ISERROR(VLOOKUP($U$307,'TAR FIN'!$A$1:$O$92,15,0)),0,VLOOKUP($U$307,'TAR FIN'!$A$1:$O$92,15,0))</f>
        <v>303.54000000000002</v>
      </c>
      <c r="Y307" s="6"/>
      <c r="Z307" s="6">
        <f ca="1">('TUSD BE'!$AM$24+'TUSD BF'!$AM$24+'TUSD CVA'!$AM$24)*1</f>
        <v>471.78110106754735</v>
      </c>
      <c r="AA307" s="6">
        <f>('TE BE'!$AB$12+'TE BF'!$AB$12+'TE CVA'!$AB$12)*1</f>
        <v>287.16392669686104</v>
      </c>
      <c r="AB307" s="6">
        <f>$K$307*$V$307</f>
        <v>0</v>
      </c>
      <c r="AC307" s="6">
        <f>$M$307*$W$307</f>
        <v>3821.5411199999999</v>
      </c>
      <c r="AD307" s="6">
        <f>$O$307*$X$307</f>
        <v>3380.2214399999998</v>
      </c>
      <c r="AE307" s="6">
        <f>$K$307*$Y$307</f>
        <v>0</v>
      </c>
      <c r="AF307" s="6">
        <f ca="1">$M$307*$Z$307</f>
        <v>5253.7543414882066</v>
      </c>
      <c r="AG307" s="6">
        <f>$O$307*$AA$307</f>
        <v>3197.8574876962443</v>
      </c>
    </row>
    <row r="308" spans="1:33" ht="11.25" customHeight="1" x14ac:dyDescent="0.3">
      <c r="A308" s="4" t="s">
        <v>21</v>
      </c>
      <c r="B308" s="4" t="s">
        <v>22</v>
      </c>
      <c r="C308" s="4" t="s">
        <v>23</v>
      </c>
      <c r="D308" s="4" t="s">
        <v>24</v>
      </c>
      <c r="E308" s="4" t="s">
        <v>24</v>
      </c>
      <c r="F308" s="4" t="s">
        <v>25</v>
      </c>
      <c r="G308" s="4" t="s">
        <v>25</v>
      </c>
      <c r="H308" s="4" t="s">
        <v>25</v>
      </c>
      <c r="I308" s="5">
        <v>44682</v>
      </c>
      <c r="J308" s="6">
        <v>0</v>
      </c>
      <c r="K308" s="6">
        <v>0</v>
      </c>
      <c r="L308" s="6">
        <v>825.43399999999997</v>
      </c>
      <c r="M308" s="6">
        <v>825.43399999999997</v>
      </c>
      <c r="N308" s="6">
        <v>825.43399999999997</v>
      </c>
      <c r="O308" s="6">
        <v>825.43399999999997</v>
      </c>
      <c r="P308" s="6">
        <v>5049</v>
      </c>
      <c r="Q308" s="4" t="s">
        <v>26</v>
      </c>
      <c r="R308" s="4">
        <v>0</v>
      </c>
      <c r="S308" s="6">
        <v>0</v>
      </c>
      <c r="T308" s="6">
        <v>38</v>
      </c>
      <c r="U308" s="6">
        <v>89</v>
      </c>
      <c r="V308" s="6">
        <f>IF(ISERROR(VLOOKUP($S$308,'TAR FIN'!$A$1:$O$92,15,0)),0,VLOOKUP($S$308,'TAR FIN'!$A$1:$O$92,15,0))</f>
        <v>0</v>
      </c>
      <c r="W308" s="6">
        <f>IF(ISERROR(VLOOKUP($T$308,'TAR FIN'!$A$1:$O$92,15,0)),0,VLOOKUP($T$308,'TAR FIN'!$A$1:$O$92,15,0))</f>
        <v>343.17</v>
      </c>
      <c r="X308" s="6">
        <f>IF(ISERROR(VLOOKUP($U$308,'TAR FIN'!$A$1:$O$92,15,0)),0,VLOOKUP($U$308,'TAR FIN'!$A$1:$O$92,15,0))</f>
        <v>303.54000000000002</v>
      </c>
      <c r="Y308" s="6"/>
      <c r="Z308" s="6">
        <f ca="1">('TUSD BE'!$AM$24+'TUSD BF'!$AM$24+'TUSD CVA'!$AM$24)*1</f>
        <v>471.78110106754735</v>
      </c>
      <c r="AA308" s="6">
        <f>('TE BE'!$AB$12+'TE BF'!$AB$12+'TE CVA'!$AB$12)*1</f>
        <v>287.16392669686104</v>
      </c>
      <c r="AB308" s="6">
        <f>$K$308*$V$308</f>
        <v>0</v>
      </c>
      <c r="AC308" s="6">
        <f>$M$308*$W$308</f>
        <v>283264.18578</v>
      </c>
      <c r="AD308" s="6">
        <f>$O$308*$X$308</f>
        <v>250552.23636000001</v>
      </c>
      <c r="AE308" s="6">
        <f>$K$308*$Y$308</f>
        <v>0</v>
      </c>
      <c r="AF308" s="6">
        <f ca="1">$M$308*$Z$308</f>
        <v>389424.16137858987</v>
      </c>
      <c r="AG308" s="6">
        <f>$O$308*$AA$308</f>
        <v>237034.86866909679</v>
      </c>
    </row>
    <row r="309" spans="1:33" ht="11.25" customHeight="1" x14ac:dyDescent="0.3">
      <c r="A309" s="4" t="s">
        <v>27</v>
      </c>
      <c r="B309" s="4" t="s">
        <v>22</v>
      </c>
      <c r="C309" s="4" t="s">
        <v>23</v>
      </c>
      <c r="D309" s="4" t="s">
        <v>24</v>
      </c>
      <c r="E309" s="4" t="s">
        <v>24</v>
      </c>
      <c r="F309" s="4" t="s">
        <v>25</v>
      </c>
      <c r="G309" s="4" t="s">
        <v>25</v>
      </c>
      <c r="H309" s="4" t="s">
        <v>25</v>
      </c>
      <c r="I309" s="5">
        <v>44682</v>
      </c>
      <c r="J309" s="6">
        <v>0</v>
      </c>
      <c r="K309" s="6">
        <v>0</v>
      </c>
      <c r="L309" s="6">
        <v>8.3059999999999992</v>
      </c>
      <c r="M309" s="6">
        <v>8.3059999999999992</v>
      </c>
      <c r="N309" s="6">
        <v>8.3059999999999992</v>
      </c>
      <c r="O309" s="6">
        <v>8.3059999999999992</v>
      </c>
      <c r="P309" s="6">
        <v>100</v>
      </c>
      <c r="Q309" s="4" t="s">
        <v>26</v>
      </c>
      <c r="R309" s="4">
        <v>0</v>
      </c>
      <c r="S309" s="6">
        <v>0</v>
      </c>
      <c r="T309" s="6">
        <v>38</v>
      </c>
      <c r="U309" s="6">
        <v>89</v>
      </c>
      <c r="V309" s="6">
        <f>IF(ISERROR(VLOOKUP($S$309,'TAR FIN'!$A$1:$O$92,15,0)),0,VLOOKUP($S$309,'TAR FIN'!$A$1:$O$92,15,0))</f>
        <v>0</v>
      </c>
      <c r="W309" s="6">
        <f>IF(ISERROR(VLOOKUP($T$309,'TAR FIN'!$A$1:$O$92,15,0)),0,VLOOKUP($T$309,'TAR FIN'!$A$1:$O$92,15,0))</f>
        <v>343.17</v>
      </c>
      <c r="X309" s="6">
        <f>IF(ISERROR(VLOOKUP($U$309,'TAR FIN'!$A$1:$O$92,15,0)),0,VLOOKUP($U$309,'TAR FIN'!$A$1:$O$92,15,0))</f>
        <v>303.54000000000002</v>
      </c>
      <c r="Y309" s="6"/>
      <c r="Z309" s="6">
        <f ca="1">('TUSD BE'!$AM$24+'TUSD BF'!$AM$24+'TUSD CVA'!$AM$24)*1</f>
        <v>471.78110106754735</v>
      </c>
      <c r="AA309" s="6">
        <f>('TE BE'!$AB$12+'TE BF'!$AB$12+'TE CVA'!$AB$12)*1</f>
        <v>287.16392669686104</v>
      </c>
      <c r="AB309" s="6">
        <f>$K$309*$V$309</f>
        <v>0</v>
      </c>
      <c r="AC309" s="6">
        <f>$M$309*$W$309</f>
        <v>2850.3700199999998</v>
      </c>
      <c r="AD309" s="6">
        <f>$O$309*$X$309</f>
        <v>2521.2032399999998</v>
      </c>
      <c r="AE309" s="6">
        <f>$K$309*$Y$309</f>
        <v>0</v>
      </c>
      <c r="AF309" s="6">
        <f ca="1">$M$309*$Z$309</f>
        <v>3918.6138254670477</v>
      </c>
      <c r="AG309" s="6">
        <f>$O$309*$AA$309</f>
        <v>2385.1835751441276</v>
      </c>
    </row>
    <row r="310" spans="1:33" ht="11.25" customHeight="1" x14ac:dyDescent="0.3">
      <c r="A310" s="4" t="s">
        <v>21</v>
      </c>
      <c r="B310" s="4" t="s">
        <v>22</v>
      </c>
      <c r="C310" s="4" t="s">
        <v>23</v>
      </c>
      <c r="D310" s="4" t="s">
        <v>24</v>
      </c>
      <c r="E310" s="4" t="s">
        <v>24</v>
      </c>
      <c r="F310" s="4" t="s">
        <v>25</v>
      </c>
      <c r="G310" s="4" t="s">
        <v>25</v>
      </c>
      <c r="H310" s="4" t="s">
        <v>25</v>
      </c>
      <c r="I310" s="5">
        <v>44713</v>
      </c>
      <c r="J310" s="6">
        <v>0</v>
      </c>
      <c r="K310" s="6">
        <v>0</v>
      </c>
      <c r="L310" s="6">
        <v>939.94399999999996</v>
      </c>
      <c r="M310" s="6">
        <v>939.94399999999996</v>
      </c>
      <c r="N310" s="6">
        <v>939.94399999999996</v>
      </c>
      <c r="O310" s="6">
        <v>939.94399999999996</v>
      </c>
      <c r="P310" s="6">
        <v>5130</v>
      </c>
      <c r="Q310" s="4" t="s">
        <v>26</v>
      </c>
      <c r="R310" s="4">
        <v>0</v>
      </c>
      <c r="S310" s="6">
        <v>0</v>
      </c>
      <c r="T310" s="6">
        <v>38</v>
      </c>
      <c r="U310" s="6">
        <v>89</v>
      </c>
      <c r="V310" s="6">
        <f>IF(ISERROR(VLOOKUP($S$310,'TAR FIN'!$A$1:$O$92,15,0)),0,VLOOKUP($S$310,'TAR FIN'!$A$1:$O$92,15,0))</f>
        <v>0</v>
      </c>
      <c r="W310" s="6">
        <f>IF(ISERROR(VLOOKUP($T$310,'TAR FIN'!$A$1:$O$92,15,0)),0,VLOOKUP($T$310,'TAR FIN'!$A$1:$O$92,15,0))</f>
        <v>343.17</v>
      </c>
      <c r="X310" s="6">
        <f>IF(ISERROR(VLOOKUP($U$310,'TAR FIN'!$A$1:$O$92,15,0)),0,VLOOKUP($U$310,'TAR FIN'!$A$1:$O$92,15,0))</f>
        <v>303.54000000000002</v>
      </c>
      <c r="Y310" s="6"/>
      <c r="Z310" s="6">
        <f ca="1">('TUSD BE'!$AM$24+'TUSD BF'!$AM$24+'TUSD CVA'!$AM$24)*1</f>
        <v>471.78110106754735</v>
      </c>
      <c r="AA310" s="6">
        <f>('TE BE'!$AB$12+'TE BF'!$AB$12+'TE CVA'!$AB$12)*1</f>
        <v>287.16392669686104</v>
      </c>
      <c r="AB310" s="6">
        <f>$K$310*$V$310</f>
        <v>0</v>
      </c>
      <c r="AC310" s="6">
        <f>$M$310*$W$310</f>
        <v>322560.58247999998</v>
      </c>
      <c r="AD310" s="6">
        <f>$O$310*$X$310</f>
        <v>285310.60175999999</v>
      </c>
      <c r="AE310" s="6">
        <f>$K$310*$Y$310</f>
        <v>0</v>
      </c>
      <c r="AF310" s="6">
        <f ca="1">$M$310*$Z$310</f>
        <v>443447.81526183471</v>
      </c>
      <c r="AG310" s="6">
        <f>$O$310*$AA$310</f>
        <v>269918.00991515437</v>
      </c>
    </row>
    <row r="311" spans="1:33" ht="11.25" customHeight="1" x14ac:dyDescent="0.3">
      <c r="A311" s="4" t="s">
        <v>27</v>
      </c>
      <c r="B311" s="4" t="s">
        <v>22</v>
      </c>
      <c r="C311" s="4" t="s">
        <v>23</v>
      </c>
      <c r="D311" s="4" t="s">
        <v>24</v>
      </c>
      <c r="E311" s="4" t="s">
        <v>24</v>
      </c>
      <c r="F311" s="4" t="s">
        <v>25</v>
      </c>
      <c r="G311" s="4" t="s">
        <v>25</v>
      </c>
      <c r="H311" s="4" t="s">
        <v>25</v>
      </c>
      <c r="I311" s="5">
        <v>44713</v>
      </c>
      <c r="J311" s="6">
        <v>0</v>
      </c>
      <c r="K311" s="6">
        <v>0</v>
      </c>
      <c r="L311" s="6">
        <v>12.606</v>
      </c>
      <c r="M311" s="6">
        <v>12.606</v>
      </c>
      <c r="N311" s="6">
        <v>12.606</v>
      </c>
      <c r="O311" s="6">
        <v>12.606</v>
      </c>
      <c r="P311" s="6">
        <v>101</v>
      </c>
      <c r="Q311" s="4" t="s">
        <v>26</v>
      </c>
      <c r="R311" s="4">
        <v>0</v>
      </c>
      <c r="S311" s="6">
        <v>0</v>
      </c>
      <c r="T311" s="6">
        <v>38</v>
      </c>
      <c r="U311" s="6">
        <v>89</v>
      </c>
      <c r="V311" s="6">
        <f>IF(ISERROR(VLOOKUP($S$311,'TAR FIN'!$A$1:$O$92,15,0)),0,VLOOKUP($S$311,'TAR FIN'!$A$1:$O$92,15,0))</f>
        <v>0</v>
      </c>
      <c r="W311" s="6">
        <f>IF(ISERROR(VLOOKUP($T$311,'TAR FIN'!$A$1:$O$92,15,0)),0,VLOOKUP($T$311,'TAR FIN'!$A$1:$O$92,15,0))</f>
        <v>343.17</v>
      </c>
      <c r="X311" s="6">
        <f>IF(ISERROR(VLOOKUP($U$311,'TAR FIN'!$A$1:$O$92,15,0)),0,VLOOKUP($U$311,'TAR FIN'!$A$1:$O$92,15,0))</f>
        <v>303.54000000000002</v>
      </c>
      <c r="Y311" s="6"/>
      <c r="Z311" s="6">
        <f ca="1">('TUSD BE'!$AM$24+'TUSD BF'!$AM$24+'TUSD CVA'!$AM$24)*1</f>
        <v>471.78110106754735</v>
      </c>
      <c r="AA311" s="6">
        <f>('TE BE'!$AB$12+'TE BF'!$AB$12+'TE CVA'!$AB$12)*1</f>
        <v>287.16392669686104</v>
      </c>
      <c r="AB311" s="6">
        <f>$K$311*$V$311</f>
        <v>0</v>
      </c>
      <c r="AC311" s="6">
        <f>$M$311*$W$311</f>
        <v>4326.0010200000006</v>
      </c>
      <c r="AD311" s="6">
        <f>$O$311*$X$311</f>
        <v>3826.42524</v>
      </c>
      <c r="AE311" s="6">
        <f>$K$311*$Y$311</f>
        <v>0</v>
      </c>
      <c r="AF311" s="6">
        <f ca="1">$M$311*$Z$311</f>
        <v>5947.2725600575022</v>
      </c>
      <c r="AG311" s="6">
        <f>$O$311*$AA$311</f>
        <v>3619.98845994063</v>
      </c>
    </row>
    <row r="312" spans="1:33" ht="11.25" customHeight="1" x14ac:dyDescent="0.3">
      <c r="A312" s="4" t="s">
        <v>21</v>
      </c>
      <c r="B312" s="4" t="s">
        <v>22</v>
      </c>
      <c r="C312" s="4" t="s">
        <v>23</v>
      </c>
      <c r="D312" s="4" t="s">
        <v>24</v>
      </c>
      <c r="E312" s="4" t="s">
        <v>24</v>
      </c>
      <c r="F312" s="4" t="s">
        <v>25</v>
      </c>
      <c r="G312" s="4" t="s">
        <v>25</v>
      </c>
      <c r="H312" s="4" t="s">
        <v>25</v>
      </c>
      <c r="I312" s="5">
        <v>44743</v>
      </c>
      <c r="J312" s="6">
        <v>0</v>
      </c>
      <c r="K312" s="6">
        <v>0</v>
      </c>
      <c r="L312" s="6">
        <v>954.72799999999995</v>
      </c>
      <c r="M312" s="6">
        <v>954.72799999999995</v>
      </c>
      <c r="N312" s="6">
        <v>954.72799999999995</v>
      </c>
      <c r="O312" s="6">
        <v>954.72799999999995</v>
      </c>
      <c r="P312" s="6">
        <v>5090</v>
      </c>
      <c r="Q312" s="4" t="s">
        <v>26</v>
      </c>
      <c r="R312" s="4">
        <v>0</v>
      </c>
      <c r="S312" s="6">
        <v>0</v>
      </c>
      <c r="T312" s="6">
        <v>38</v>
      </c>
      <c r="U312" s="6">
        <v>89</v>
      </c>
      <c r="V312" s="6">
        <f>IF(ISERROR(VLOOKUP($S$312,'TAR FIN'!$A$1:$O$92,15,0)),0,VLOOKUP($S$312,'TAR FIN'!$A$1:$O$92,15,0))</f>
        <v>0</v>
      </c>
      <c r="W312" s="6">
        <f>IF(ISERROR(VLOOKUP($T$312,'TAR FIN'!$A$1:$O$92,15,0)),0,VLOOKUP($T$312,'TAR FIN'!$A$1:$O$92,15,0))</f>
        <v>343.17</v>
      </c>
      <c r="X312" s="6">
        <f>IF(ISERROR(VLOOKUP($U$312,'TAR FIN'!$A$1:$O$92,15,0)),0,VLOOKUP($U$312,'TAR FIN'!$A$1:$O$92,15,0))</f>
        <v>303.54000000000002</v>
      </c>
      <c r="Y312" s="6"/>
      <c r="Z312" s="6">
        <f ca="1">('TUSD BE'!$AM$24+'TUSD BF'!$AM$24+'TUSD CVA'!$AM$24)*1</f>
        <v>471.78110106754735</v>
      </c>
      <c r="AA312" s="6">
        <f>('TE BE'!$AB$12+'TE BF'!$AB$12+'TE CVA'!$AB$12)*1</f>
        <v>287.16392669686104</v>
      </c>
      <c r="AB312" s="6">
        <f>$K$312*$V$312</f>
        <v>0</v>
      </c>
      <c r="AC312" s="6">
        <f>$M$312*$W$312</f>
        <v>327634.00776000001</v>
      </c>
      <c r="AD312" s="6">
        <f>$O$312*$X$312</f>
        <v>289798.13712000003</v>
      </c>
      <c r="AE312" s="6">
        <f>$K$312*$Y$312</f>
        <v>0</v>
      </c>
      <c r="AF312" s="6">
        <f ca="1">$M$312*$Z$312</f>
        <v>450422.62706001732</v>
      </c>
      <c r="AG312" s="6">
        <f>$O$312*$AA$312</f>
        <v>274163.44140744075</v>
      </c>
    </row>
    <row r="313" spans="1:33" ht="11.25" customHeight="1" x14ac:dyDescent="0.3">
      <c r="A313" s="4" t="s">
        <v>27</v>
      </c>
      <c r="B313" s="4" t="s">
        <v>22</v>
      </c>
      <c r="C313" s="4" t="s">
        <v>23</v>
      </c>
      <c r="D313" s="4" t="s">
        <v>24</v>
      </c>
      <c r="E313" s="4" t="s">
        <v>24</v>
      </c>
      <c r="F313" s="4" t="s">
        <v>25</v>
      </c>
      <c r="G313" s="4" t="s">
        <v>25</v>
      </c>
      <c r="H313" s="4" t="s">
        <v>25</v>
      </c>
      <c r="I313" s="5">
        <v>44743</v>
      </c>
      <c r="J313" s="6">
        <v>0</v>
      </c>
      <c r="K313" s="6">
        <v>0</v>
      </c>
      <c r="L313" s="6">
        <v>17.584</v>
      </c>
      <c r="M313" s="6">
        <v>17.584</v>
      </c>
      <c r="N313" s="6">
        <v>17.584</v>
      </c>
      <c r="O313" s="6">
        <v>17.584</v>
      </c>
      <c r="P313" s="6">
        <v>104</v>
      </c>
      <c r="Q313" s="4" t="s">
        <v>26</v>
      </c>
      <c r="R313" s="4">
        <v>0</v>
      </c>
      <c r="S313" s="6">
        <v>0</v>
      </c>
      <c r="T313" s="6">
        <v>38</v>
      </c>
      <c r="U313" s="6">
        <v>89</v>
      </c>
      <c r="V313" s="6">
        <f>IF(ISERROR(VLOOKUP($S$313,'TAR FIN'!$A$1:$O$92,15,0)),0,VLOOKUP($S$313,'TAR FIN'!$A$1:$O$92,15,0))</f>
        <v>0</v>
      </c>
      <c r="W313" s="6">
        <f>IF(ISERROR(VLOOKUP($T$313,'TAR FIN'!$A$1:$O$92,15,0)),0,VLOOKUP($T$313,'TAR FIN'!$A$1:$O$92,15,0))</f>
        <v>343.17</v>
      </c>
      <c r="X313" s="6">
        <f>IF(ISERROR(VLOOKUP($U$313,'TAR FIN'!$A$1:$O$92,15,0)),0,VLOOKUP($U$313,'TAR FIN'!$A$1:$O$92,15,0))</f>
        <v>303.54000000000002</v>
      </c>
      <c r="Y313" s="6"/>
      <c r="Z313" s="6">
        <f ca="1">('TUSD BE'!$AM$24+'TUSD BF'!$AM$24+'TUSD CVA'!$AM$24)*1</f>
        <v>471.78110106754735</v>
      </c>
      <c r="AA313" s="6">
        <f>('TE BE'!$AB$12+'TE BF'!$AB$12+'TE CVA'!$AB$12)*1</f>
        <v>287.16392669686104</v>
      </c>
      <c r="AB313" s="6">
        <f>$K$313*$V$313</f>
        <v>0</v>
      </c>
      <c r="AC313" s="6">
        <f>$M$313*$W$313</f>
        <v>6034.3012800000006</v>
      </c>
      <c r="AD313" s="6">
        <f>$O$313*$X$313</f>
        <v>5337.4473600000001</v>
      </c>
      <c r="AE313" s="6">
        <f>$K$313*$Y$313</f>
        <v>0</v>
      </c>
      <c r="AF313" s="6">
        <f ca="1">$M$313*$Z$313</f>
        <v>8295.7988811717532</v>
      </c>
      <c r="AG313" s="6">
        <f>$O$313*$AA$313</f>
        <v>5049.490487037604</v>
      </c>
    </row>
    <row r="314" spans="1:33" ht="11.25" customHeight="1" x14ac:dyDescent="0.3">
      <c r="A314" s="4" t="s">
        <v>21</v>
      </c>
      <c r="B314" s="4" t="s">
        <v>22</v>
      </c>
      <c r="C314" s="4" t="s">
        <v>23</v>
      </c>
      <c r="D314" s="4" t="s">
        <v>24</v>
      </c>
      <c r="E314" s="4" t="s">
        <v>28</v>
      </c>
      <c r="F314" s="4" t="s">
        <v>25</v>
      </c>
      <c r="G314" s="4" t="s">
        <v>25</v>
      </c>
      <c r="H314" s="4" t="s">
        <v>25</v>
      </c>
      <c r="I314" s="5">
        <v>44409</v>
      </c>
      <c r="J314" s="6">
        <v>0</v>
      </c>
      <c r="K314" s="6">
        <v>0</v>
      </c>
      <c r="L314" s="6">
        <v>8.9700000000000006</v>
      </c>
      <c r="M314" s="6">
        <v>8.9700000000000006</v>
      </c>
      <c r="N314" s="6">
        <v>8.9700000000000006</v>
      </c>
      <c r="O314" s="6">
        <v>8.9700000000000006</v>
      </c>
      <c r="P314" s="6">
        <v>14</v>
      </c>
      <c r="Q314" s="4" t="s">
        <v>26</v>
      </c>
      <c r="R314" s="4">
        <v>0</v>
      </c>
      <c r="S314" s="6">
        <v>0</v>
      </c>
      <c r="T314" s="6">
        <v>41</v>
      </c>
      <c r="U314" s="6">
        <v>90</v>
      </c>
      <c r="V314" s="6">
        <f>IF(ISERROR(VLOOKUP($S$314,'TAR FIN'!$A$1:$O$92,15,0)),0,VLOOKUP($S$314,'TAR FIN'!$A$1:$O$92,15,0))</f>
        <v>0</v>
      </c>
      <c r="W314" s="6">
        <f>IF(ISERROR(VLOOKUP($T$314,'TAR FIN'!$A$1:$O$92,15,0)),0,VLOOKUP($T$314,'TAR FIN'!$A$1:$O$92,15,0))</f>
        <v>94.95</v>
      </c>
      <c r="X314" s="6">
        <f>IF(ISERROR(VLOOKUP($U$314,'TAR FIN'!$A$1:$O$92,15,0)),0,VLOOKUP($U$314,'TAR FIN'!$A$1:$O$92,15,0))</f>
        <v>106.24</v>
      </c>
      <c r="Y314" s="6"/>
      <c r="Z314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314" s="6">
        <f>('TE BE'!$AB$13+'TE BF'!$AB$13+'TE CVA'!$AB$13)*(1-CUSTOS!$M$34)</f>
        <v>100.50737434390136</v>
      </c>
      <c r="AB314" s="6">
        <f>$K$314*$V$314</f>
        <v>0</v>
      </c>
      <c r="AC314" s="6">
        <f>$M$314*$W$314</f>
        <v>851.70150000000012</v>
      </c>
      <c r="AD314" s="6">
        <f>$O$314*$X$314</f>
        <v>952.97280000000001</v>
      </c>
      <c r="AE314" s="6">
        <f>$K$314*$Y$314</f>
        <v>0</v>
      </c>
      <c r="AF314" s="6">
        <f ca="1">$M$314*$Z$314</f>
        <v>1004.1255247458007</v>
      </c>
      <c r="AG314" s="6">
        <f>$O$314*$AA$314</f>
        <v>901.55114786479533</v>
      </c>
    </row>
    <row r="315" spans="1:33" ht="11.25" customHeight="1" x14ac:dyDescent="0.3">
      <c r="A315" s="4" t="s">
        <v>21</v>
      </c>
      <c r="B315" s="4" t="s">
        <v>22</v>
      </c>
      <c r="C315" s="4" t="s">
        <v>23</v>
      </c>
      <c r="D315" s="4" t="s">
        <v>24</v>
      </c>
      <c r="E315" s="4" t="s">
        <v>28</v>
      </c>
      <c r="F315" s="4" t="s">
        <v>25</v>
      </c>
      <c r="G315" s="4" t="s">
        <v>25</v>
      </c>
      <c r="H315" s="4" t="s">
        <v>25</v>
      </c>
      <c r="I315" s="5">
        <v>44440</v>
      </c>
      <c r="J315" s="6">
        <v>0</v>
      </c>
      <c r="K315" s="6">
        <v>0</v>
      </c>
      <c r="L315" s="6">
        <v>9.2100000000000009</v>
      </c>
      <c r="M315" s="6">
        <v>9.2100000000000009</v>
      </c>
      <c r="N315" s="6">
        <v>9.2100000000000009</v>
      </c>
      <c r="O315" s="6">
        <v>9.2100000000000009</v>
      </c>
      <c r="P315" s="6">
        <v>10</v>
      </c>
      <c r="Q315" s="4" t="s">
        <v>26</v>
      </c>
      <c r="R315" s="4">
        <v>0</v>
      </c>
      <c r="S315" s="6">
        <v>0</v>
      </c>
      <c r="T315" s="6">
        <v>41</v>
      </c>
      <c r="U315" s="6">
        <v>90</v>
      </c>
      <c r="V315" s="6">
        <f>IF(ISERROR(VLOOKUP($S$315,'TAR FIN'!$A$1:$O$92,15,0)),0,VLOOKUP($S$315,'TAR FIN'!$A$1:$O$92,15,0))</f>
        <v>0</v>
      </c>
      <c r="W315" s="6">
        <f>IF(ISERROR(VLOOKUP($T$315,'TAR FIN'!$A$1:$O$92,15,0)),0,VLOOKUP($T$315,'TAR FIN'!$A$1:$O$92,15,0))</f>
        <v>94.95</v>
      </c>
      <c r="X315" s="6">
        <f>IF(ISERROR(VLOOKUP($U$315,'TAR FIN'!$A$1:$O$92,15,0)),0,VLOOKUP($U$315,'TAR FIN'!$A$1:$O$92,15,0))</f>
        <v>106.24</v>
      </c>
      <c r="Y315" s="6"/>
      <c r="Z315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315" s="6">
        <f>('TE BE'!$AB$13+'TE BF'!$AB$13+'TE CVA'!$AB$13)*(1-CUSTOS!$M$34)</f>
        <v>100.50737434390136</v>
      </c>
      <c r="AB315" s="6">
        <f>$K$315*$V$315</f>
        <v>0</v>
      </c>
      <c r="AC315" s="6">
        <f>$M$315*$W$315</f>
        <v>874.48950000000013</v>
      </c>
      <c r="AD315" s="6">
        <f>$O$315*$X$315</f>
        <v>978.47040000000004</v>
      </c>
      <c r="AE315" s="6">
        <f>$K$315*$Y$315</f>
        <v>0</v>
      </c>
      <c r="AF315" s="6">
        <f ca="1">$M$315*$Z$315</f>
        <v>1030.9917595216079</v>
      </c>
      <c r="AG315" s="6">
        <f>$O$315*$AA$315</f>
        <v>925.67291770733164</v>
      </c>
    </row>
    <row r="316" spans="1:33" ht="11.25" customHeight="1" x14ac:dyDescent="0.3">
      <c r="A316" s="4" t="s">
        <v>21</v>
      </c>
      <c r="B316" s="4" t="s">
        <v>22</v>
      </c>
      <c r="C316" s="4" t="s">
        <v>23</v>
      </c>
      <c r="D316" s="4" t="s">
        <v>24</v>
      </c>
      <c r="E316" s="4" t="s">
        <v>28</v>
      </c>
      <c r="F316" s="4" t="s">
        <v>25</v>
      </c>
      <c r="G316" s="4" t="s">
        <v>25</v>
      </c>
      <c r="H316" s="4" t="s">
        <v>25</v>
      </c>
      <c r="I316" s="5">
        <v>44470</v>
      </c>
      <c r="J316" s="6">
        <v>0</v>
      </c>
      <c r="K316" s="6">
        <v>0</v>
      </c>
      <c r="L316" s="6">
        <v>9.09</v>
      </c>
      <c r="M316" s="6">
        <v>9.09</v>
      </c>
      <c r="N316" s="6">
        <v>9.09</v>
      </c>
      <c r="O316" s="6">
        <v>9.09</v>
      </c>
      <c r="P316" s="6">
        <v>11</v>
      </c>
      <c r="Q316" s="4" t="s">
        <v>26</v>
      </c>
      <c r="R316" s="4">
        <v>0</v>
      </c>
      <c r="S316" s="6">
        <v>0</v>
      </c>
      <c r="T316" s="6">
        <v>41</v>
      </c>
      <c r="U316" s="6">
        <v>90</v>
      </c>
      <c r="V316" s="6">
        <f>IF(ISERROR(VLOOKUP($S$316,'TAR FIN'!$A$1:$O$92,15,0)),0,VLOOKUP($S$316,'TAR FIN'!$A$1:$O$92,15,0))</f>
        <v>0</v>
      </c>
      <c r="W316" s="6">
        <f>IF(ISERROR(VLOOKUP($T$316,'TAR FIN'!$A$1:$O$92,15,0)),0,VLOOKUP($T$316,'TAR FIN'!$A$1:$O$92,15,0))</f>
        <v>94.95</v>
      </c>
      <c r="X316" s="6">
        <f>IF(ISERROR(VLOOKUP($U$316,'TAR FIN'!$A$1:$O$92,15,0)),0,VLOOKUP($U$316,'TAR FIN'!$A$1:$O$92,15,0))</f>
        <v>106.24</v>
      </c>
      <c r="Y316" s="6"/>
      <c r="Z316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316" s="6">
        <f>('TE BE'!$AB$13+'TE BF'!$AB$13+'TE CVA'!$AB$13)*(1-CUSTOS!$M$34)</f>
        <v>100.50737434390136</v>
      </c>
      <c r="AB316" s="6">
        <f>$K$316*$V$316</f>
        <v>0</v>
      </c>
      <c r="AC316" s="6">
        <f>$M$316*$W$316</f>
        <v>863.09550000000002</v>
      </c>
      <c r="AD316" s="6">
        <f>$O$316*$X$316</f>
        <v>965.72159999999997</v>
      </c>
      <c r="AE316" s="6">
        <f>$K$316*$Y$316</f>
        <v>0</v>
      </c>
      <c r="AF316" s="6">
        <f ca="1">$M$316*$Z$316</f>
        <v>1017.5586421337042</v>
      </c>
      <c r="AG316" s="6">
        <f>$O$316*$AA$316</f>
        <v>913.61203278606331</v>
      </c>
    </row>
    <row r="317" spans="1:33" ht="11.25" customHeight="1" x14ac:dyDescent="0.3">
      <c r="A317" s="4" t="s">
        <v>21</v>
      </c>
      <c r="B317" s="4" t="s">
        <v>22</v>
      </c>
      <c r="C317" s="4" t="s">
        <v>23</v>
      </c>
      <c r="D317" s="4" t="s">
        <v>24</v>
      </c>
      <c r="E317" s="4" t="s">
        <v>28</v>
      </c>
      <c r="F317" s="4" t="s">
        <v>25</v>
      </c>
      <c r="G317" s="4" t="s">
        <v>25</v>
      </c>
      <c r="H317" s="4" t="s">
        <v>25</v>
      </c>
      <c r="I317" s="5">
        <v>44501</v>
      </c>
      <c r="J317" s="6">
        <v>0</v>
      </c>
      <c r="K317" s="6">
        <v>0</v>
      </c>
      <c r="L317" s="6">
        <v>9.27</v>
      </c>
      <c r="M317" s="6">
        <v>9.27</v>
      </c>
      <c r="N317" s="6">
        <v>9.27</v>
      </c>
      <c r="O317" s="6">
        <v>9.27</v>
      </c>
      <c r="P317" s="6">
        <v>12</v>
      </c>
      <c r="Q317" s="4" t="s">
        <v>26</v>
      </c>
      <c r="R317" s="4">
        <v>0</v>
      </c>
      <c r="S317" s="6">
        <v>0</v>
      </c>
      <c r="T317" s="6">
        <v>41</v>
      </c>
      <c r="U317" s="6">
        <v>90</v>
      </c>
      <c r="V317" s="6">
        <f>IF(ISERROR(VLOOKUP($S$317,'TAR FIN'!$A$1:$O$92,15,0)),0,VLOOKUP($S$317,'TAR FIN'!$A$1:$O$92,15,0))</f>
        <v>0</v>
      </c>
      <c r="W317" s="6">
        <f>IF(ISERROR(VLOOKUP($T$317,'TAR FIN'!$A$1:$O$92,15,0)),0,VLOOKUP($T$317,'TAR FIN'!$A$1:$O$92,15,0))</f>
        <v>94.95</v>
      </c>
      <c r="X317" s="6">
        <f>IF(ISERROR(VLOOKUP($U$317,'TAR FIN'!$A$1:$O$92,15,0)),0,VLOOKUP($U$317,'TAR FIN'!$A$1:$O$92,15,0))</f>
        <v>106.24</v>
      </c>
      <c r="Y317" s="6"/>
      <c r="Z317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317" s="6">
        <f>('TE BE'!$AB$13+'TE BF'!$AB$13+'TE CVA'!$AB$13)*(1-CUSTOS!$M$34)</f>
        <v>100.50737434390136</v>
      </c>
      <c r="AB317" s="6">
        <f>$K$317*$V$317</f>
        <v>0</v>
      </c>
      <c r="AC317" s="6">
        <f>$M$317*$W$317</f>
        <v>880.18650000000002</v>
      </c>
      <c r="AD317" s="6">
        <f>$O$317*$X$317</f>
        <v>984.84479999999996</v>
      </c>
      <c r="AE317" s="6">
        <f>$K$317*$Y$317</f>
        <v>0</v>
      </c>
      <c r="AF317" s="6">
        <f ca="1">$M$317*$Z$317</f>
        <v>1037.7083182155598</v>
      </c>
      <c r="AG317" s="6">
        <f>$O$317*$AA$317</f>
        <v>931.70336016796557</v>
      </c>
    </row>
    <row r="318" spans="1:33" ht="11.25" customHeight="1" x14ac:dyDescent="0.3">
      <c r="A318" s="4" t="s">
        <v>21</v>
      </c>
      <c r="B318" s="4" t="s">
        <v>22</v>
      </c>
      <c r="C318" s="4" t="s">
        <v>23</v>
      </c>
      <c r="D318" s="4" t="s">
        <v>24</v>
      </c>
      <c r="E318" s="4" t="s">
        <v>28</v>
      </c>
      <c r="F318" s="4" t="s">
        <v>25</v>
      </c>
      <c r="G318" s="4" t="s">
        <v>25</v>
      </c>
      <c r="H318" s="4" t="s">
        <v>25</v>
      </c>
      <c r="I318" s="5">
        <v>44531</v>
      </c>
      <c r="J318" s="6">
        <v>0</v>
      </c>
      <c r="K318" s="6">
        <v>0</v>
      </c>
      <c r="L318" s="6">
        <v>9.48</v>
      </c>
      <c r="M318" s="6">
        <v>9.48</v>
      </c>
      <c r="N318" s="6">
        <v>9.48</v>
      </c>
      <c r="O318" s="6">
        <v>9.48</v>
      </c>
      <c r="P318" s="6">
        <v>11</v>
      </c>
      <c r="Q318" s="4" t="s">
        <v>26</v>
      </c>
      <c r="R318" s="4">
        <v>0</v>
      </c>
      <c r="S318" s="6">
        <v>0</v>
      </c>
      <c r="T318" s="6">
        <v>41</v>
      </c>
      <c r="U318" s="6">
        <v>90</v>
      </c>
      <c r="V318" s="6">
        <f>IF(ISERROR(VLOOKUP($S$318,'TAR FIN'!$A$1:$O$92,15,0)),0,VLOOKUP($S$318,'TAR FIN'!$A$1:$O$92,15,0))</f>
        <v>0</v>
      </c>
      <c r="W318" s="6">
        <f>IF(ISERROR(VLOOKUP($T$318,'TAR FIN'!$A$1:$O$92,15,0)),0,VLOOKUP($T$318,'TAR FIN'!$A$1:$O$92,15,0))</f>
        <v>94.95</v>
      </c>
      <c r="X318" s="6">
        <f>IF(ISERROR(VLOOKUP($U$318,'TAR FIN'!$A$1:$O$92,15,0)),0,VLOOKUP($U$318,'TAR FIN'!$A$1:$O$92,15,0))</f>
        <v>106.24</v>
      </c>
      <c r="Y318" s="6"/>
      <c r="Z318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318" s="6">
        <f>('TE BE'!$AB$13+'TE BF'!$AB$13+'TE CVA'!$AB$13)*(1-CUSTOS!$M$34)</f>
        <v>100.50737434390136</v>
      </c>
      <c r="AB318" s="6">
        <f>$K$318*$V$318</f>
        <v>0</v>
      </c>
      <c r="AC318" s="6">
        <f>$M$318*$W$318</f>
        <v>900.12600000000009</v>
      </c>
      <c r="AD318" s="6">
        <f>$O$318*$X$318</f>
        <v>1007.1552</v>
      </c>
      <c r="AE318" s="6">
        <f>$K$318*$Y$318</f>
        <v>0</v>
      </c>
      <c r="AF318" s="6">
        <f ca="1">$M$318*$Z$318</f>
        <v>1061.2162736443913</v>
      </c>
      <c r="AG318" s="6">
        <f>$O$318*$AA$318</f>
        <v>952.80990878018497</v>
      </c>
    </row>
    <row r="319" spans="1:33" ht="11.25" customHeight="1" x14ac:dyDescent="0.3">
      <c r="A319" s="4" t="s">
        <v>21</v>
      </c>
      <c r="B319" s="4" t="s">
        <v>22</v>
      </c>
      <c r="C319" s="4" t="s">
        <v>23</v>
      </c>
      <c r="D319" s="4" t="s">
        <v>24</v>
      </c>
      <c r="E319" s="4" t="s">
        <v>28</v>
      </c>
      <c r="F319" s="4" t="s">
        <v>25</v>
      </c>
      <c r="G319" s="4" t="s">
        <v>25</v>
      </c>
      <c r="H319" s="4" t="s">
        <v>25</v>
      </c>
      <c r="I319" s="5">
        <v>44562</v>
      </c>
      <c r="J319" s="6">
        <v>0</v>
      </c>
      <c r="K319" s="6">
        <v>0</v>
      </c>
      <c r="L319" s="6">
        <v>9.69</v>
      </c>
      <c r="M319" s="6">
        <v>9.69</v>
      </c>
      <c r="N319" s="6">
        <v>9.69</v>
      </c>
      <c r="O319" s="6">
        <v>9.69</v>
      </c>
      <c r="P319" s="6">
        <v>10</v>
      </c>
      <c r="Q319" s="4" t="s">
        <v>26</v>
      </c>
      <c r="R319" s="4">
        <v>0</v>
      </c>
      <c r="S319" s="6">
        <v>0</v>
      </c>
      <c r="T319" s="6">
        <v>41</v>
      </c>
      <c r="U319" s="6">
        <v>90</v>
      </c>
      <c r="V319" s="6">
        <f>IF(ISERROR(VLOOKUP($S$319,'TAR FIN'!$A$1:$O$92,15,0)),0,VLOOKUP($S$319,'TAR FIN'!$A$1:$O$92,15,0))</f>
        <v>0</v>
      </c>
      <c r="W319" s="6">
        <f>IF(ISERROR(VLOOKUP($T$319,'TAR FIN'!$A$1:$O$92,15,0)),0,VLOOKUP($T$319,'TAR FIN'!$A$1:$O$92,15,0))</f>
        <v>94.95</v>
      </c>
      <c r="X319" s="6">
        <f>IF(ISERROR(VLOOKUP($U$319,'TAR FIN'!$A$1:$O$92,15,0)),0,VLOOKUP($U$319,'TAR FIN'!$A$1:$O$92,15,0))</f>
        <v>106.24</v>
      </c>
      <c r="Y319" s="6"/>
      <c r="Z319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319" s="6">
        <f>('TE BE'!$AB$13+'TE BF'!$AB$13+'TE CVA'!$AB$13)*(1-CUSTOS!$M$34)</f>
        <v>100.50737434390136</v>
      </c>
      <c r="AB319" s="6">
        <f>$K$319*$V$319</f>
        <v>0</v>
      </c>
      <c r="AC319" s="6">
        <f>$M$319*$W$319</f>
        <v>920.06549999999993</v>
      </c>
      <c r="AD319" s="6">
        <f>$O$319*$X$319</f>
        <v>1029.4656</v>
      </c>
      <c r="AE319" s="6">
        <f>$K$319*$Y$319</f>
        <v>0</v>
      </c>
      <c r="AF319" s="6">
        <f ca="1">$M$319*$Z$319</f>
        <v>1084.7242290732227</v>
      </c>
      <c r="AG319" s="6">
        <f>$O$319*$AA$319</f>
        <v>973.91645739240414</v>
      </c>
    </row>
    <row r="320" spans="1:33" ht="11.25" customHeight="1" x14ac:dyDescent="0.3">
      <c r="A320" s="4" t="s">
        <v>21</v>
      </c>
      <c r="B320" s="4" t="s">
        <v>22</v>
      </c>
      <c r="C320" s="4" t="s">
        <v>23</v>
      </c>
      <c r="D320" s="4" t="s">
        <v>24</v>
      </c>
      <c r="E320" s="4" t="s">
        <v>28</v>
      </c>
      <c r="F320" s="4" t="s">
        <v>25</v>
      </c>
      <c r="G320" s="4" t="s">
        <v>25</v>
      </c>
      <c r="H320" s="4" t="s">
        <v>25</v>
      </c>
      <c r="I320" s="5">
        <v>44593</v>
      </c>
      <c r="J320" s="6">
        <v>0</v>
      </c>
      <c r="K320" s="6">
        <v>0</v>
      </c>
      <c r="L320" s="6">
        <v>10.56</v>
      </c>
      <c r="M320" s="6">
        <v>10.56</v>
      </c>
      <c r="N320" s="6">
        <v>10.56</v>
      </c>
      <c r="O320" s="6">
        <v>10.56</v>
      </c>
      <c r="P320" s="6">
        <v>9</v>
      </c>
      <c r="Q320" s="4" t="s">
        <v>26</v>
      </c>
      <c r="R320" s="4">
        <v>0</v>
      </c>
      <c r="S320" s="6">
        <v>0</v>
      </c>
      <c r="T320" s="6">
        <v>41</v>
      </c>
      <c r="U320" s="6">
        <v>90</v>
      </c>
      <c r="V320" s="6">
        <f>IF(ISERROR(VLOOKUP($S$320,'TAR FIN'!$A$1:$O$92,15,0)),0,VLOOKUP($S$320,'TAR FIN'!$A$1:$O$92,15,0))</f>
        <v>0</v>
      </c>
      <c r="W320" s="6">
        <f>IF(ISERROR(VLOOKUP($T$320,'TAR FIN'!$A$1:$O$92,15,0)),0,VLOOKUP($T$320,'TAR FIN'!$A$1:$O$92,15,0))</f>
        <v>94.95</v>
      </c>
      <c r="X320" s="6">
        <f>IF(ISERROR(VLOOKUP($U$320,'TAR FIN'!$A$1:$O$92,15,0)),0,VLOOKUP($U$320,'TAR FIN'!$A$1:$O$92,15,0))</f>
        <v>106.24</v>
      </c>
      <c r="Y320" s="6"/>
      <c r="Z320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320" s="6">
        <f>('TE BE'!$AB$13+'TE BF'!$AB$13+'TE CVA'!$AB$13)*(1-CUSTOS!$M$34)</f>
        <v>100.50737434390136</v>
      </c>
      <c r="AB320" s="6">
        <f>$K$320*$V$320</f>
        <v>0</v>
      </c>
      <c r="AC320" s="6">
        <f>$M$320*$W$320</f>
        <v>1002.672</v>
      </c>
      <c r="AD320" s="6">
        <f>$O$320*$X$320</f>
        <v>1121.8943999999999</v>
      </c>
      <c r="AE320" s="6">
        <f>$K$320*$Y$320</f>
        <v>0</v>
      </c>
      <c r="AF320" s="6">
        <f ca="1">$M$320*$Z$320</f>
        <v>1182.1143301355246</v>
      </c>
      <c r="AG320" s="6">
        <f>$O$320*$AA$320</f>
        <v>1061.3578730715985</v>
      </c>
    </row>
    <row r="321" spans="1:33" ht="11.25" customHeight="1" x14ac:dyDescent="0.3">
      <c r="A321" s="4" t="s">
        <v>21</v>
      </c>
      <c r="B321" s="4" t="s">
        <v>22</v>
      </c>
      <c r="C321" s="4" t="s">
        <v>23</v>
      </c>
      <c r="D321" s="4" t="s">
        <v>24</v>
      </c>
      <c r="E321" s="4" t="s">
        <v>28</v>
      </c>
      <c r="F321" s="4" t="s">
        <v>25</v>
      </c>
      <c r="G321" s="4" t="s">
        <v>25</v>
      </c>
      <c r="H321" s="4" t="s">
        <v>25</v>
      </c>
      <c r="I321" s="5">
        <v>44621</v>
      </c>
      <c r="J321" s="6">
        <v>0</v>
      </c>
      <c r="K321" s="6">
        <v>0</v>
      </c>
      <c r="L321" s="6">
        <v>11.22</v>
      </c>
      <c r="M321" s="6">
        <v>11.22</v>
      </c>
      <c r="N321" s="6">
        <v>11.22</v>
      </c>
      <c r="O321" s="6">
        <v>11.22</v>
      </c>
      <c r="P321" s="6">
        <v>11</v>
      </c>
      <c r="Q321" s="4" t="s">
        <v>26</v>
      </c>
      <c r="R321" s="4">
        <v>0</v>
      </c>
      <c r="S321" s="6">
        <v>0</v>
      </c>
      <c r="T321" s="6">
        <v>41</v>
      </c>
      <c r="U321" s="6">
        <v>90</v>
      </c>
      <c r="V321" s="6">
        <f>IF(ISERROR(VLOOKUP($S$321,'TAR FIN'!$A$1:$O$92,15,0)),0,VLOOKUP($S$321,'TAR FIN'!$A$1:$O$92,15,0))</f>
        <v>0</v>
      </c>
      <c r="W321" s="6">
        <f>IF(ISERROR(VLOOKUP($T$321,'TAR FIN'!$A$1:$O$92,15,0)),0,VLOOKUP($T$321,'TAR FIN'!$A$1:$O$92,15,0))</f>
        <v>94.95</v>
      </c>
      <c r="X321" s="6">
        <f>IF(ISERROR(VLOOKUP($U$321,'TAR FIN'!$A$1:$O$92,15,0)),0,VLOOKUP($U$321,'TAR FIN'!$A$1:$O$92,15,0))</f>
        <v>106.24</v>
      </c>
      <c r="Y321" s="6"/>
      <c r="Z321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321" s="6">
        <f>('TE BE'!$AB$13+'TE BF'!$AB$13+'TE CVA'!$AB$13)*(1-CUSTOS!$M$34)</f>
        <v>100.50737434390136</v>
      </c>
      <c r="AB321" s="6">
        <f>$K$321*$V$321</f>
        <v>0</v>
      </c>
      <c r="AC321" s="6">
        <f>$M$321*$W$321</f>
        <v>1065.3390000000002</v>
      </c>
      <c r="AD321" s="6">
        <f>$O$321*$X$321</f>
        <v>1192.0128</v>
      </c>
      <c r="AE321" s="6">
        <f>$K$321*$Y$321</f>
        <v>0</v>
      </c>
      <c r="AF321" s="6">
        <f ca="1">$M$321*$Z$321</f>
        <v>1255.9964757689947</v>
      </c>
      <c r="AG321" s="6">
        <f>$O$321*$AA$321</f>
        <v>1127.6927401385733</v>
      </c>
    </row>
    <row r="322" spans="1:33" ht="11.25" customHeight="1" x14ac:dyDescent="0.3">
      <c r="A322" s="4" t="s">
        <v>21</v>
      </c>
      <c r="B322" s="4" t="s">
        <v>22</v>
      </c>
      <c r="C322" s="4" t="s">
        <v>23</v>
      </c>
      <c r="D322" s="4" t="s">
        <v>24</v>
      </c>
      <c r="E322" s="4" t="s">
        <v>28</v>
      </c>
      <c r="F322" s="4" t="s">
        <v>25</v>
      </c>
      <c r="G322" s="4" t="s">
        <v>25</v>
      </c>
      <c r="H322" s="4" t="s">
        <v>25</v>
      </c>
      <c r="I322" s="5">
        <v>44652</v>
      </c>
      <c r="J322" s="6">
        <v>0</v>
      </c>
      <c r="K322" s="6">
        <v>0</v>
      </c>
      <c r="L322" s="6">
        <v>11.37</v>
      </c>
      <c r="M322" s="6">
        <v>11.37</v>
      </c>
      <c r="N322" s="6">
        <v>11.37</v>
      </c>
      <c r="O322" s="6">
        <v>11.37</v>
      </c>
      <c r="P322" s="6">
        <v>14</v>
      </c>
      <c r="Q322" s="4" t="s">
        <v>26</v>
      </c>
      <c r="R322" s="4">
        <v>0</v>
      </c>
      <c r="S322" s="6">
        <v>0</v>
      </c>
      <c r="T322" s="6">
        <v>41</v>
      </c>
      <c r="U322" s="6">
        <v>90</v>
      </c>
      <c r="V322" s="6">
        <f>IF(ISERROR(VLOOKUP($S$322,'TAR FIN'!$A$1:$O$92,15,0)),0,VLOOKUP($S$322,'TAR FIN'!$A$1:$O$92,15,0))</f>
        <v>0</v>
      </c>
      <c r="W322" s="6">
        <f>IF(ISERROR(VLOOKUP($T$322,'TAR FIN'!$A$1:$O$92,15,0)),0,VLOOKUP($T$322,'TAR FIN'!$A$1:$O$92,15,0))</f>
        <v>94.95</v>
      </c>
      <c r="X322" s="6">
        <f>IF(ISERROR(VLOOKUP($U$322,'TAR FIN'!$A$1:$O$92,15,0)),0,VLOOKUP($U$322,'TAR FIN'!$A$1:$O$92,15,0))</f>
        <v>106.24</v>
      </c>
      <c r="Y322" s="6"/>
      <c r="Z322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322" s="6">
        <f>('TE BE'!$AB$13+'TE BF'!$AB$13+'TE CVA'!$AB$13)*(1-CUSTOS!$M$34)</f>
        <v>100.50737434390136</v>
      </c>
      <c r="AB322" s="6">
        <f>$K$322*$V$322</f>
        <v>0</v>
      </c>
      <c r="AC322" s="6">
        <f>$M$322*$W$322</f>
        <v>1079.5815</v>
      </c>
      <c r="AD322" s="6">
        <f>$O$322*$X$322</f>
        <v>1207.9487999999999</v>
      </c>
      <c r="AE322" s="6">
        <f>$K$322*$Y$322</f>
        <v>0</v>
      </c>
      <c r="AF322" s="6">
        <f ca="1">$M$322*$Z$322</f>
        <v>1272.7878725038743</v>
      </c>
      <c r="AG322" s="6">
        <f>$O$322*$AA$322</f>
        <v>1142.7688462901583</v>
      </c>
    </row>
    <row r="323" spans="1:33" ht="11.25" customHeight="1" x14ac:dyDescent="0.3">
      <c r="A323" s="4" t="s">
        <v>21</v>
      </c>
      <c r="B323" s="4" t="s">
        <v>22</v>
      </c>
      <c r="C323" s="4" t="s">
        <v>23</v>
      </c>
      <c r="D323" s="4" t="s">
        <v>24</v>
      </c>
      <c r="E323" s="4" t="s">
        <v>28</v>
      </c>
      <c r="F323" s="4" t="s">
        <v>25</v>
      </c>
      <c r="G323" s="4" t="s">
        <v>25</v>
      </c>
      <c r="H323" s="4" t="s">
        <v>25</v>
      </c>
      <c r="I323" s="5">
        <v>44682</v>
      </c>
      <c r="J323" s="6">
        <v>0</v>
      </c>
      <c r="K323" s="6">
        <v>0</v>
      </c>
      <c r="L323" s="6">
        <v>11.82</v>
      </c>
      <c r="M323" s="6">
        <v>11.82</v>
      </c>
      <c r="N323" s="6">
        <v>11.82</v>
      </c>
      <c r="O323" s="6">
        <v>11.82</v>
      </c>
      <c r="P323" s="6">
        <v>9</v>
      </c>
      <c r="Q323" s="4" t="s">
        <v>26</v>
      </c>
      <c r="R323" s="4">
        <v>0</v>
      </c>
      <c r="S323" s="6">
        <v>0</v>
      </c>
      <c r="T323" s="6">
        <v>41</v>
      </c>
      <c r="U323" s="6">
        <v>90</v>
      </c>
      <c r="V323" s="6">
        <f>IF(ISERROR(VLOOKUP($S$323,'TAR FIN'!$A$1:$O$92,15,0)),0,VLOOKUP($S$323,'TAR FIN'!$A$1:$O$92,15,0))</f>
        <v>0</v>
      </c>
      <c r="W323" s="6">
        <f>IF(ISERROR(VLOOKUP($T$323,'TAR FIN'!$A$1:$O$92,15,0)),0,VLOOKUP($T$323,'TAR FIN'!$A$1:$O$92,15,0))</f>
        <v>94.95</v>
      </c>
      <c r="X323" s="6">
        <f>IF(ISERROR(VLOOKUP($U$323,'TAR FIN'!$A$1:$O$92,15,0)),0,VLOOKUP($U$323,'TAR FIN'!$A$1:$O$92,15,0))</f>
        <v>106.24</v>
      </c>
      <c r="Y323" s="6"/>
      <c r="Z323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323" s="6">
        <f>('TE BE'!$AB$13+'TE BF'!$AB$13+'TE CVA'!$AB$13)*(1-CUSTOS!$M$34)</f>
        <v>100.50737434390136</v>
      </c>
      <c r="AB323" s="6">
        <f>$K$323*$V$323</f>
        <v>0</v>
      </c>
      <c r="AC323" s="6">
        <f>$M$323*$W$323</f>
        <v>1122.309</v>
      </c>
      <c r="AD323" s="6">
        <f>$O$323*$X$323</f>
        <v>1255.7567999999999</v>
      </c>
      <c r="AE323" s="6">
        <f>$K$323*$Y$323</f>
        <v>0</v>
      </c>
      <c r="AF323" s="6">
        <f ca="1">$M$323*$Z$323</f>
        <v>1323.1620627085131</v>
      </c>
      <c r="AG323" s="6">
        <f>$O$323*$AA$323</f>
        <v>1187.997164744914</v>
      </c>
    </row>
    <row r="324" spans="1:33" ht="11.25" customHeight="1" x14ac:dyDescent="0.3">
      <c r="A324" s="4" t="s">
        <v>21</v>
      </c>
      <c r="B324" s="4" t="s">
        <v>22</v>
      </c>
      <c r="C324" s="4" t="s">
        <v>23</v>
      </c>
      <c r="D324" s="4" t="s">
        <v>24</v>
      </c>
      <c r="E324" s="4" t="s">
        <v>28</v>
      </c>
      <c r="F324" s="4" t="s">
        <v>25</v>
      </c>
      <c r="G324" s="4" t="s">
        <v>25</v>
      </c>
      <c r="H324" s="4" t="s">
        <v>25</v>
      </c>
      <c r="I324" s="5">
        <v>44713</v>
      </c>
      <c r="J324" s="6">
        <v>0</v>
      </c>
      <c r="K324" s="6">
        <v>0</v>
      </c>
      <c r="L324" s="6">
        <v>9.6300000000000008</v>
      </c>
      <c r="M324" s="6">
        <v>9.6300000000000008</v>
      </c>
      <c r="N324" s="6">
        <v>9.6300000000000008</v>
      </c>
      <c r="O324" s="6">
        <v>9.6300000000000008</v>
      </c>
      <c r="P324" s="6">
        <v>10</v>
      </c>
      <c r="Q324" s="4" t="s">
        <v>26</v>
      </c>
      <c r="R324" s="4">
        <v>0</v>
      </c>
      <c r="S324" s="6">
        <v>0</v>
      </c>
      <c r="T324" s="6">
        <v>41</v>
      </c>
      <c r="U324" s="6">
        <v>90</v>
      </c>
      <c r="V324" s="6">
        <f>IF(ISERROR(VLOOKUP($S$324,'TAR FIN'!$A$1:$O$92,15,0)),0,VLOOKUP($S$324,'TAR FIN'!$A$1:$O$92,15,0))</f>
        <v>0</v>
      </c>
      <c r="W324" s="6">
        <f>IF(ISERROR(VLOOKUP($T$324,'TAR FIN'!$A$1:$O$92,15,0)),0,VLOOKUP($T$324,'TAR FIN'!$A$1:$O$92,15,0))</f>
        <v>94.95</v>
      </c>
      <c r="X324" s="6">
        <f>IF(ISERROR(VLOOKUP($U$324,'TAR FIN'!$A$1:$O$92,15,0)),0,VLOOKUP($U$324,'TAR FIN'!$A$1:$O$92,15,0))</f>
        <v>106.24</v>
      </c>
      <c r="Y324" s="6"/>
      <c r="Z324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324" s="6">
        <f>('TE BE'!$AB$13+'TE BF'!$AB$13+'TE CVA'!$AB$13)*(1-CUSTOS!$M$34)</f>
        <v>100.50737434390136</v>
      </c>
      <c r="AB324" s="6">
        <f>$K$324*$V$324</f>
        <v>0</v>
      </c>
      <c r="AC324" s="6">
        <f>$M$324*$W$324</f>
        <v>914.36850000000015</v>
      </c>
      <c r="AD324" s="6">
        <f>$O$324*$X$324</f>
        <v>1023.0912000000001</v>
      </c>
      <c r="AE324" s="6">
        <f>$K$324*$Y$324</f>
        <v>0</v>
      </c>
      <c r="AF324" s="6">
        <f ca="1">$M$324*$Z$324</f>
        <v>1078.0076703792708</v>
      </c>
      <c r="AG324" s="6">
        <f>$O$324*$AA$324</f>
        <v>967.88601493177021</v>
      </c>
    </row>
    <row r="325" spans="1:33" ht="11.25" customHeight="1" x14ac:dyDescent="0.3">
      <c r="A325" s="4" t="s">
        <v>21</v>
      </c>
      <c r="B325" s="4" t="s">
        <v>22</v>
      </c>
      <c r="C325" s="4" t="s">
        <v>23</v>
      </c>
      <c r="D325" s="4" t="s">
        <v>24</v>
      </c>
      <c r="E325" s="4" t="s">
        <v>28</v>
      </c>
      <c r="F325" s="4" t="s">
        <v>25</v>
      </c>
      <c r="G325" s="4" t="s">
        <v>25</v>
      </c>
      <c r="H325" s="4" t="s">
        <v>25</v>
      </c>
      <c r="I325" s="5">
        <v>44743</v>
      </c>
      <c r="J325" s="6">
        <v>0</v>
      </c>
      <c r="K325" s="6">
        <v>0</v>
      </c>
      <c r="L325" s="6">
        <v>10.95</v>
      </c>
      <c r="M325" s="6">
        <v>10.95</v>
      </c>
      <c r="N325" s="6">
        <v>10.95</v>
      </c>
      <c r="O325" s="6">
        <v>10.95</v>
      </c>
      <c r="P325" s="6">
        <v>17</v>
      </c>
      <c r="Q325" s="4" t="s">
        <v>26</v>
      </c>
      <c r="R325" s="4">
        <v>0</v>
      </c>
      <c r="S325" s="6">
        <v>0</v>
      </c>
      <c r="T325" s="6">
        <v>41</v>
      </c>
      <c r="U325" s="6">
        <v>90</v>
      </c>
      <c r="V325" s="6">
        <f>IF(ISERROR(VLOOKUP($S$325,'TAR FIN'!$A$1:$O$92,15,0)),0,VLOOKUP($S$325,'TAR FIN'!$A$1:$O$92,15,0))</f>
        <v>0</v>
      </c>
      <c r="W325" s="6">
        <f>IF(ISERROR(VLOOKUP($T$325,'TAR FIN'!$A$1:$O$92,15,0)),0,VLOOKUP($T$325,'TAR FIN'!$A$1:$O$92,15,0))</f>
        <v>94.95</v>
      </c>
      <c r="X325" s="6">
        <f>IF(ISERROR(VLOOKUP($U$325,'TAR FIN'!$A$1:$O$92,15,0)),0,VLOOKUP($U$325,'TAR FIN'!$A$1:$O$92,15,0))</f>
        <v>106.24</v>
      </c>
      <c r="Y325" s="6"/>
      <c r="Z325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325" s="6">
        <f>('TE BE'!$AB$13+'TE BF'!$AB$13+'TE CVA'!$AB$13)*(1-CUSTOS!$M$34)</f>
        <v>100.50737434390136</v>
      </c>
      <c r="AB325" s="6">
        <f>$K$325*$V$325</f>
        <v>0</v>
      </c>
      <c r="AC325" s="6">
        <f>$M$325*$W$325</f>
        <v>1039.7024999999999</v>
      </c>
      <c r="AD325" s="6">
        <f>$O$325*$X$325</f>
        <v>1163.328</v>
      </c>
      <c r="AE325" s="6">
        <f>$K$325*$Y$325</f>
        <v>0</v>
      </c>
      <c r="AF325" s="6">
        <f ca="1">$M$325*$Z$325</f>
        <v>1225.7719616462114</v>
      </c>
      <c r="AG325" s="6">
        <f>$O$325*$AA$325</f>
        <v>1100.5557490657197</v>
      </c>
    </row>
    <row r="326" spans="1:33" ht="11.25" customHeight="1" x14ac:dyDescent="0.3">
      <c r="A326" s="4" t="s">
        <v>21</v>
      </c>
      <c r="B326" s="4" t="s">
        <v>22</v>
      </c>
      <c r="C326" s="4" t="s">
        <v>23</v>
      </c>
      <c r="D326" s="4" t="s">
        <v>24</v>
      </c>
      <c r="E326" s="4" t="s">
        <v>29</v>
      </c>
      <c r="F326" s="4" t="s">
        <v>25</v>
      </c>
      <c r="G326" s="4" t="s">
        <v>25</v>
      </c>
      <c r="H326" s="4" t="s">
        <v>25</v>
      </c>
      <c r="I326" s="5">
        <v>44409</v>
      </c>
      <c r="J326" s="6">
        <v>0</v>
      </c>
      <c r="K326" s="6">
        <v>0</v>
      </c>
      <c r="L326" s="6">
        <v>18.370999999999999</v>
      </c>
      <c r="M326" s="6">
        <v>18.370999999999999</v>
      </c>
      <c r="N326" s="6">
        <v>18.370999999999999</v>
      </c>
      <c r="O326" s="6">
        <v>18.370999999999999</v>
      </c>
      <c r="P326" s="6">
        <v>56</v>
      </c>
      <c r="Q326" s="4" t="s">
        <v>26</v>
      </c>
      <c r="R326" s="4">
        <v>0</v>
      </c>
      <c r="S326" s="6">
        <v>0</v>
      </c>
      <c r="T326" s="6">
        <v>42</v>
      </c>
      <c r="U326" s="6">
        <v>91</v>
      </c>
      <c r="V326" s="6">
        <f>IF(ISERROR(VLOOKUP($S$326,'TAR FIN'!$A$1:$O$92,15,0)),0,VLOOKUP($S$326,'TAR FIN'!$A$1:$O$92,15,0))</f>
        <v>0</v>
      </c>
      <c r="W326" s="6">
        <f>IF(ISERROR(VLOOKUP($T$326,'TAR FIN'!$A$1:$O$92,15,0)),0,VLOOKUP($T$326,'TAR FIN'!$A$1:$O$92,15,0))</f>
        <v>162.77000000000001</v>
      </c>
      <c r="X326" s="6">
        <f>IF(ISERROR(VLOOKUP($U$326,'TAR FIN'!$A$1:$O$92,15,0)),0,VLOOKUP($U$326,'TAR FIN'!$A$1:$O$92,15,0))</f>
        <v>182.12</v>
      </c>
      <c r="Y326" s="6"/>
      <c r="Z326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326" s="6">
        <f>('TE BE'!$AB$14+'TE BF'!$AB$14+'TE CVA'!$AB$14)*(1-CUSTOS!$M$35)</f>
        <v>172.29835601811661</v>
      </c>
      <c r="AB326" s="6">
        <f>$K$326*$V$326</f>
        <v>0</v>
      </c>
      <c r="AC326" s="6">
        <f>$M$326*$W$326</f>
        <v>2990.2476699999997</v>
      </c>
      <c r="AD326" s="6">
        <f>$O$326*$X$326</f>
        <v>3345.7265199999997</v>
      </c>
      <c r="AE326" s="6">
        <f>$K$326*$Y$326</f>
        <v>0</v>
      </c>
      <c r="AF326" s="6">
        <f ca="1">$M$326*$Z$326</f>
        <v>3525.4257076168374</v>
      </c>
      <c r="AG326" s="6">
        <f>$O$326*$AA$326</f>
        <v>3165.2930984088198</v>
      </c>
    </row>
    <row r="327" spans="1:33" ht="11.25" customHeight="1" x14ac:dyDescent="0.3">
      <c r="A327" s="4" t="s">
        <v>21</v>
      </c>
      <c r="B327" s="4" t="s">
        <v>22</v>
      </c>
      <c r="C327" s="4" t="s">
        <v>23</v>
      </c>
      <c r="D327" s="4" t="s">
        <v>24</v>
      </c>
      <c r="E327" s="4" t="s">
        <v>29</v>
      </c>
      <c r="F327" s="4" t="s">
        <v>25</v>
      </c>
      <c r="G327" s="4" t="s">
        <v>25</v>
      </c>
      <c r="H327" s="4" t="s">
        <v>25</v>
      </c>
      <c r="I327" s="5">
        <v>44440</v>
      </c>
      <c r="J327" s="6">
        <v>0</v>
      </c>
      <c r="K327" s="6">
        <v>0</v>
      </c>
      <c r="L327" s="6">
        <v>19.5</v>
      </c>
      <c r="M327" s="6">
        <v>19.5</v>
      </c>
      <c r="N327" s="6">
        <v>19.5</v>
      </c>
      <c r="O327" s="6">
        <v>19.5</v>
      </c>
      <c r="P327" s="6">
        <v>42</v>
      </c>
      <c r="Q327" s="4" t="s">
        <v>26</v>
      </c>
      <c r="R327" s="4">
        <v>0</v>
      </c>
      <c r="S327" s="6">
        <v>0</v>
      </c>
      <c r="T327" s="6">
        <v>42</v>
      </c>
      <c r="U327" s="6">
        <v>91</v>
      </c>
      <c r="V327" s="6">
        <f>IF(ISERROR(VLOOKUP($S$327,'TAR FIN'!$A$1:$O$92,15,0)),0,VLOOKUP($S$327,'TAR FIN'!$A$1:$O$92,15,0))</f>
        <v>0</v>
      </c>
      <c r="W327" s="6">
        <f>IF(ISERROR(VLOOKUP($T$327,'TAR FIN'!$A$1:$O$92,15,0)),0,VLOOKUP($T$327,'TAR FIN'!$A$1:$O$92,15,0))</f>
        <v>162.77000000000001</v>
      </c>
      <c r="X327" s="6">
        <f>IF(ISERROR(VLOOKUP($U$327,'TAR FIN'!$A$1:$O$92,15,0)),0,VLOOKUP($U$327,'TAR FIN'!$A$1:$O$92,15,0))</f>
        <v>182.12</v>
      </c>
      <c r="Y327" s="6"/>
      <c r="Z327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327" s="6">
        <f>('TE BE'!$AB$14+'TE BF'!$AB$14+'TE CVA'!$AB$14)*(1-CUSTOS!$M$35)</f>
        <v>172.29835601811661</v>
      </c>
      <c r="AB327" s="6">
        <f>$K$327*$V$327</f>
        <v>0</v>
      </c>
      <c r="AC327" s="6">
        <f>$M$327*$W$327</f>
        <v>3174.0150000000003</v>
      </c>
      <c r="AD327" s="6">
        <f>$O$327*$X$327</f>
        <v>3551.34</v>
      </c>
      <c r="AE327" s="6">
        <f>$K$327*$Y$327</f>
        <v>0</v>
      </c>
      <c r="AF327" s="6">
        <f ca="1">$M$327*$Z$327</f>
        <v>3742.0827009160271</v>
      </c>
      <c r="AG327" s="6">
        <f>$O$327*$AA$327</f>
        <v>3359.8179423532738</v>
      </c>
    </row>
    <row r="328" spans="1:33" ht="11.25" customHeight="1" x14ac:dyDescent="0.3">
      <c r="A328" s="4" t="s">
        <v>21</v>
      </c>
      <c r="B328" s="4" t="s">
        <v>22</v>
      </c>
      <c r="C328" s="4" t="s">
        <v>23</v>
      </c>
      <c r="D328" s="4" t="s">
        <v>24</v>
      </c>
      <c r="E328" s="4" t="s">
        <v>29</v>
      </c>
      <c r="F328" s="4" t="s">
        <v>25</v>
      </c>
      <c r="G328" s="4" t="s">
        <v>25</v>
      </c>
      <c r="H328" s="4" t="s">
        <v>25</v>
      </c>
      <c r="I328" s="5">
        <v>44470</v>
      </c>
      <c r="J328" s="6">
        <v>0</v>
      </c>
      <c r="K328" s="6">
        <v>0</v>
      </c>
      <c r="L328" s="6">
        <v>19.084</v>
      </c>
      <c r="M328" s="6">
        <v>19.084</v>
      </c>
      <c r="N328" s="6">
        <v>19.084</v>
      </c>
      <c r="O328" s="6">
        <v>19.084</v>
      </c>
      <c r="P328" s="6">
        <v>58</v>
      </c>
      <c r="Q328" s="4" t="s">
        <v>26</v>
      </c>
      <c r="R328" s="4">
        <v>0</v>
      </c>
      <c r="S328" s="6">
        <v>0</v>
      </c>
      <c r="T328" s="6">
        <v>42</v>
      </c>
      <c r="U328" s="6">
        <v>91</v>
      </c>
      <c r="V328" s="6">
        <f>IF(ISERROR(VLOOKUP($S$328,'TAR FIN'!$A$1:$O$92,15,0)),0,VLOOKUP($S$328,'TAR FIN'!$A$1:$O$92,15,0))</f>
        <v>0</v>
      </c>
      <c r="W328" s="6">
        <f>IF(ISERROR(VLOOKUP($T$328,'TAR FIN'!$A$1:$O$92,15,0)),0,VLOOKUP($T$328,'TAR FIN'!$A$1:$O$92,15,0))</f>
        <v>162.77000000000001</v>
      </c>
      <c r="X328" s="6">
        <f>IF(ISERROR(VLOOKUP($U$328,'TAR FIN'!$A$1:$O$92,15,0)),0,VLOOKUP($U$328,'TAR FIN'!$A$1:$O$92,15,0))</f>
        <v>182.12</v>
      </c>
      <c r="Y328" s="6"/>
      <c r="Z328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328" s="6">
        <f>('TE BE'!$AB$14+'TE BF'!$AB$14+'TE CVA'!$AB$14)*(1-CUSTOS!$M$35)</f>
        <v>172.29835601811661</v>
      </c>
      <c r="AB328" s="6">
        <f>$K$328*$V$328</f>
        <v>0</v>
      </c>
      <c r="AC328" s="6">
        <f>$M$328*$W$328</f>
        <v>3106.3026800000002</v>
      </c>
      <c r="AD328" s="6">
        <f>$O$328*$X$328</f>
        <v>3475.5780800000002</v>
      </c>
      <c r="AE328" s="6">
        <f>$K$328*$Y$328</f>
        <v>0</v>
      </c>
      <c r="AF328" s="6">
        <f ca="1">$M$328*$Z$328</f>
        <v>3662.2516032964854</v>
      </c>
      <c r="AG328" s="6">
        <f>$O$328*$AA$328</f>
        <v>3288.1418262497373</v>
      </c>
    </row>
    <row r="329" spans="1:33" ht="11.25" customHeight="1" x14ac:dyDescent="0.3">
      <c r="A329" s="4" t="s">
        <v>21</v>
      </c>
      <c r="B329" s="4" t="s">
        <v>22</v>
      </c>
      <c r="C329" s="4" t="s">
        <v>23</v>
      </c>
      <c r="D329" s="4" t="s">
        <v>24</v>
      </c>
      <c r="E329" s="4" t="s">
        <v>29</v>
      </c>
      <c r="F329" s="4" t="s">
        <v>25</v>
      </c>
      <c r="G329" s="4" t="s">
        <v>25</v>
      </c>
      <c r="H329" s="4" t="s">
        <v>25</v>
      </c>
      <c r="I329" s="5">
        <v>44501</v>
      </c>
      <c r="J329" s="6">
        <v>0</v>
      </c>
      <c r="K329" s="6">
        <v>0</v>
      </c>
      <c r="L329" s="6">
        <v>18.992999999999999</v>
      </c>
      <c r="M329" s="6">
        <v>18.992999999999999</v>
      </c>
      <c r="N329" s="6">
        <v>18.992999999999999</v>
      </c>
      <c r="O329" s="6">
        <v>18.992999999999999</v>
      </c>
      <c r="P329" s="6">
        <v>67</v>
      </c>
      <c r="Q329" s="4" t="s">
        <v>26</v>
      </c>
      <c r="R329" s="4">
        <v>0</v>
      </c>
      <c r="S329" s="6">
        <v>0</v>
      </c>
      <c r="T329" s="6">
        <v>42</v>
      </c>
      <c r="U329" s="6">
        <v>91</v>
      </c>
      <c r="V329" s="6">
        <f>IF(ISERROR(VLOOKUP($S$329,'TAR FIN'!$A$1:$O$92,15,0)),0,VLOOKUP($S$329,'TAR FIN'!$A$1:$O$92,15,0))</f>
        <v>0</v>
      </c>
      <c r="W329" s="6">
        <f>IF(ISERROR(VLOOKUP($T$329,'TAR FIN'!$A$1:$O$92,15,0)),0,VLOOKUP($T$329,'TAR FIN'!$A$1:$O$92,15,0))</f>
        <v>162.77000000000001</v>
      </c>
      <c r="X329" s="6">
        <f>IF(ISERROR(VLOOKUP($U$329,'TAR FIN'!$A$1:$O$92,15,0)),0,VLOOKUP($U$329,'TAR FIN'!$A$1:$O$92,15,0))</f>
        <v>182.12</v>
      </c>
      <c r="Y329" s="6"/>
      <c r="Z329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329" s="6">
        <f>('TE BE'!$AB$14+'TE BF'!$AB$14+'TE CVA'!$AB$14)*(1-CUSTOS!$M$35)</f>
        <v>172.29835601811661</v>
      </c>
      <c r="AB329" s="6">
        <f>$K$329*$V$329</f>
        <v>0</v>
      </c>
      <c r="AC329" s="6">
        <f>$M$329*$W$329</f>
        <v>3091.4906099999998</v>
      </c>
      <c r="AD329" s="6">
        <f>$O$329*$X$329</f>
        <v>3459.0051599999997</v>
      </c>
      <c r="AE329" s="6">
        <f>$K$329*$Y$329</f>
        <v>0</v>
      </c>
      <c r="AF329" s="6">
        <f ca="1">$M$329*$Z$329</f>
        <v>3644.7885506922103</v>
      </c>
      <c r="AG329" s="6">
        <f>$O$329*$AA$329</f>
        <v>3272.4626758520885</v>
      </c>
    </row>
    <row r="330" spans="1:33" ht="11.25" customHeight="1" x14ac:dyDescent="0.3">
      <c r="A330" s="4" t="s">
        <v>21</v>
      </c>
      <c r="B330" s="4" t="s">
        <v>22</v>
      </c>
      <c r="C330" s="4" t="s">
        <v>23</v>
      </c>
      <c r="D330" s="4" t="s">
        <v>24</v>
      </c>
      <c r="E330" s="4" t="s">
        <v>29</v>
      </c>
      <c r="F330" s="4" t="s">
        <v>25</v>
      </c>
      <c r="G330" s="4" t="s">
        <v>25</v>
      </c>
      <c r="H330" s="4" t="s">
        <v>25</v>
      </c>
      <c r="I330" s="5">
        <v>44531</v>
      </c>
      <c r="J330" s="6">
        <v>0</v>
      </c>
      <c r="K330" s="6">
        <v>0</v>
      </c>
      <c r="L330" s="6">
        <v>20.306999999999999</v>
      </c>
      <c r="M330" s="6">
        <v>20.306999999999999</v>
      </c>
      <c r="N330" s="6">
        <v>20.306999999999999</v>
      </c>
      <c r="O330" s="6">
        <v>20.306999999999999</v>
      </c>
      <c r="P330" s="6">
        <v>47</v>
      </c>
      <c r="Q330" s="4" t="s">
        <v>26</v>
      </c>
      <c r="R330" s="4">
        <v>0</v>
      </c>
      <c r="S330" s="6">
        <v>0</v>
      </c>
      <c r="T330" s="6">
        <v>42</v>
      </c>
      <c r="U330" s="6">
        <v>91</v>
      </c>
      <c r="V330" s="6">
        <f>IF(ISERROR(VLOOKUP($S$330,'TAR FIN'!$A$1:$O$92,15,0)),0,VLOOKUP($S$330,'TAR FIN'!$A$1:$O$92,15,0))</f>
        <v>0</v>
      </c>
      <c r="W330" s="6">
        <f>IF(ISERROR(VLOOKUP($T$330,'TAR FIN'!$A$1:$O$92,15,0)),0,VLOOKUP($T$330,'TAR FIN'!$A$1:$O$92,15,0))</f>
        <v>162.77000000000001</v>
      </c>
      <c r="X330" s="6">
        <f>IF(ISERROR(VLOOKUP($U$330,'TAR FIN'!$A$1:$O$92,15,0)),0,VLOOKUP($U$330,'TAR FIN'!$A$1:$O$92,15,0))</f>
        <v>182.12</v>
      </c>
      <c r="Y330" s="6"/>
      <c r="Z330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330" s="6">
        <f>('TE BE'!$AB$14+'TE BF'!$AB$14+'TE CVA'!$AB$14)*(1-CUSTOS!$M$35)</f>
        <v>172.29835601811661</v>
      </c>
      <c r="AB330" s="6">
        <f>$K$330*$V$330</f>
        <v>0</v>
      </c>
      <c r="AC330" s="6">
        <f>$M$330*$W$330</f>
        <v>3305.37039</v>
      </c>
      <c r="AD330" s="6">
        <f>$O$330*$X$330</f>
        <v>3698.3108399999996</v>
      </c>
      <c r="AE330" s="6">
        <f>$K$330*$Y$330</f>
        <v>0</v>
      </c>
      <c r="AF330" s="6">
        <f ca="1">$M$330*$Z$330</f>
        <v>3896.9473542308592</v>
      </c>
      <c r="AG330" s="6">
        <f>$O$330*$AA$330</f>
        <v>3498.8627156598936</v>
      </c>
    </row>
    <row r="331" spans="1:33" ht="11.25" customHeight="1" x14ac:dyDescent="0.3">
      <c r="A331" s="4" t="s">
        <v>21</v>
      </c>
      <c r="B331" s="4" t="s">
        <v>22</v>
      </c>
      <c r="C331" s="4" t="s">
        <v>23</v>
      </c>
      <c r="D331" s="4" t="s">
        <v>24</v>
      </c>
      <c r="E331" s="4" t="s">
        <v>29</v>
      </c>
      <c r="F331" s="4" t="s">
        <v>25</v>
      </c>
      <c r="G331" s="4" t="s">
        <v>25</v>
      </c>
      <c r="H331" s="4" t="s">
        <v>25</v>
      </c>
      <c r="I331" s="5">
        <v>44562</v>
      </c>
      <c r="J331" s="6">
        <v>0</v>
      </c>
      <c r="K331" s="6">
        <v>0</v>
      </c>
      <c r="L331" s="6">
        <v>20.56</v>
      </c>
      <c r="M331" s="6">
        <v>20.56</v>
      </c>
      <c r="N331" s="6">
        <v>20.56</v>
      </c>
      <c r="O331" s="6">
        <v>20.56</v>
      </c>
      <c r="P331" s="6">
        <v>54</v>
      </c>
      <c r="Q331" s="4" t="s">
        <v>26</v>
      </c>
      <c r="R331" s="4">
        <v>0</v>
      </c>
      <c r="S331" s="6">
        <v>0</v>
      </c>
      <c r="T331" s="6">
        <v>42</v>
      </c>
      <c r="U331" s="6">
        <v>91</v>
      </c>
      <c r="V331" s="6">
        <f>IF(ISERROR(VLOOKUP($S$331,'TAR FIN'!$A$1:$O$92,15,0)),0,VLOOKUP($S$331,'TAR FIN'!$A$1:$O$92,15,0))</f>
        <v>0</v>
      </c>
      <c r="W331" s="6">
        <f>IF(ISERROR(VLOOKUP($T$331,'TAR FIN'!$A$1:$O$92,15,0)),0,VLOOKUP($T$331,'TAR FIN'!$A$1:$O$92,15,0))</f>
        <v>162.77000000000001</v>
      </c>
      <c r="X331" s="6">
        <f>IF(ISERROR(VLOOKUP($U$331,'TAR FIN'!$A$1:$O$92,15,0)),0,VLOOKUP($U$331,'TAR FIN'!$A$1:$O$92,15,0))</f>
        <v>182.12</v>
      </c>
      <c r="Y331" s="6"/>
      <c r="Z331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331" s="6">
        <f>('TE BE'!$AB$14+'TE BF'!$AB$14+'TE CVA'!$AB$14)*(1-CUSTOS!$M$35)</f>
        <v>172.29835601811661</v>
      </c>
      <c r="AB331" s="6">
        <f>$K$331*$V$331</f>
        <v>0</v>
      </c>
      <c r="AC331" s="6">
        <f>$M$331*$W$331</f>
        <v>3346.5511999999999</v>
      </c>
      <c r="AD331" s="6">
        <f>$O$331*$X$331</f>
        <v>3744.3871999999997</v>
      </c>
      <c r="AE331" s="6">
        <f>$K$331*$Y$331</f>
        <v>0</v>
      </c>
      <c r="AF331" s="6">
        <f ca="1">$M$331*$Z$331</f>
        <v>3945.498478504283</v>
      </c>
      <c r="AG331" s="6">
        <f>$O$331*$AA$331</f>
        <v>3542.4541997324773</v>
      </c>
    </row>
    <row r="332" spans="1:33" ht="11.25" customHeight="1" x14ac:dyDescent="0.3">
      <c r="A332" s="4" t="s">
        <v>21</v>
      </c>
      <c r="B332" s="4" t="s">
        <v>22</v>
      </c>
      <c r="C332" s="4" t="s">
        <v>23</v>
      </c>
      <c r="D332" s="4" t="s">
        <v>24</v>
      </c>
      <c r="E332" s="4" t="s">
        <v>29</v>
      </c>
      <c r="F332" s="4" t="s">
        <v>25</v>
      </c>
      <c r="G332" s="4" t="s">
        <v>25</v>
      </c>
      <c r="H332" s="4" t="s">
        <v>25</v>
      </c>
      <c r="I332" s="5">
        <v>44593</v>
      </c>
      <c r="J332" s="6">
        <v>0</v>
      </c>
      <c r="K332" s="6">
        <v>0</v>
      </c>
      <c r="L332" s="6">
        <v>23.015999999999998</v>
      </c>
      <c r="M332" s="6">
        <v>23.015999999999998</v>
      </c>
      <c r="N332" s="6">
        <v>23.015999999999998</v>
      </c>
      <c r="O332" s="6">
        <v>23.015999999999998</v>
      </c>
      <c r="P332" s="6">
        <v>37</v>
      </c>
      <c r="Q332" s="4" t="s">
        <v>26</v>
      </c>
      <c r="R332" s="4">
        <v>0</v>
      </c>
      <c r="S332" s="6">
        <v>0</v>
      </c>
      <c r="T332" s="6">
        <v>42</v>
      </c>
      <c r="U332" s="6">
        <v>91</v>
      </c>
      <c r="V332" s="6">
        <f>IF(ISERROR(VLOOKUP($S$332,'TAR FIN'!$A$1:$O$92,15,0)),0,VLOOKUP($S$332,'TAR FIN'!$A$1:$O$92,15,0))</f>
        <v>0</v>
      </c>
      <c r="W332" s="6">
        <f>IF(ISERROR(VLOOKUP($T$332,'TAR FIN'!$A$1:$O$92,15,0)),0,VLOOKUP($T$332,'TAR FIN'!$A$1:$O$92,15,0))</f>
        <v>162.77000000000001</v>
      </c>
      <c r="X332" s="6">
        <f>IF(ISERROR(VLOOKUP($U$332,'TAR FIN'!$A$1:$O$92,15,0)),0,VLOOKUP($U$332,'TAR FIN'!$A$1:$O$92,15,0))</f>
        <v>182.12</v>
      </c>
      <c r="Y332" s="6"/>
      <c r="Z332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332" s="6">
        <f>('TE BE'!$AB$14+'TE BF'!$AB$14+'TE CVA'!$AB$14)*(1-CUSTOS!$M$35)</f>
        <v>172.29835601811661</v>
      </c>
      <c r="AB332" s="6">
        <f>$K$332*$V$332</f>
        <v>0</v>
      </c>
      <c r="AC332" s="6">
        <f>$M$332*$W$332</f>
        <v>3746.31432</v>
      </c>
      <c r="AD332" s="6">
        <f>$O$332*$X$332</f>
        <v>4191.6739200000002</v>
      </c>
      <c r="AE332" s="6">
        <f>$K$332*$Y$332</f>
        <v>0</v>
      </c>
      <c r="AF332" s="6">
        <f ca="1">$M$332*$Z$332</f>
        <v>4416.8089971427316</v>
      </c>
      <c r="AG332" s="6">
        <f>$O$332*$AA$332</f>
        <v>3965.6189621129715</v>
      </c>
    </row>
    <row r="333" spans="1:33" ht="11.25" customHeight="1" x14ac:dyDescent="0.3">
      <c r="A333" s="4" t="s">
        <v>21</v>
      </c>
      <c r="B333" s="4" t="s">
        <v>22</v>
      </c>
      <c r="C333" s="4" t="s">
        <v>23</v>
      </c>
      <c r="D333" s="4" t="s">
        <v>24</v>
      </c>
      <c r="E333" s="4" t="s">
        <v>29</v>
      </c>
      <c r="F333" s="4" t="s">
        <v>25</v>
      </c>
      <c r="G333" s="4" t="s">
        <v>25</v>
      </c>
      <c r="H333" s="4" t="s">
        <v>25</v>
      </c>
      <c r="I333" s="5">
        <v>44621</v>
      </c>
      <c r="J333" s="6">
        <v>0</v>
      </c>
      <c r="K333" s="6">
        <v>0</v>
      </c>
      <c r="L333" s="6">
        <v>24</v>
      </c>
      <c r="M333" s="6">
        <v>24</v>
      </c>
      <c r="N333" s="6">
        <v>24</v>
      </c>
      <c r="O333" s="6">
        <v>24</v>
      </c>
      <c r="P333" s="6">
        <v>55</v>
      </c>
      <c r="Q333" s="4" t="s">
        <v>26</v>
      </c>
      <c r="R333" s="4">
        <v>0</v>
      </c>
      <c r="S333" s="6">
        <v>0</v>
      </c>
      <c r="T333" s="6">
        <v>42</v>
      </c>
      <c r="U333" s="6">
        <v>91</v>
      </c>
      <c r="V333" s="6">
        <f>IF(ISERROR(VLOOKUP($S$333,'TAR FIN'!$A$1:$O$92,15,0)),0,VLOOKUP($S$333,'TAR FIN'!$A$1:$O$92,15,0))</f>
        <v>0</v>
      </c>
      <c r="W333" s="6">
        <f>IF(ISERROR(VLOOKUP($T$333,'TAR FIN'!$A$1:$O$92,15,0)),0,VLOOKUP($T$333,'TAR FIN'!$A$1:$O$92,15,0))</f>
        <v>162.77000000000001</v>
      </c>
      <c r="X333" s="6">
        <f>IF(ISERROR(VLOOKUP($U$333,'TAR FIN'!$A$1:$O$92,15,0)),0,VLOOKUP($U$333,'TAR FIN'!$A$1:$O$92,15,0))</f>
        <v>182.12</v>
      </c>
      <c r="Y333" s="6"/>
      <c r="Z333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333" s="6">
        <f>('TE BE'!$AB$14+'TE BF'!$AB$14+'TE CVA'!$AB$14)*(1-CUSTOS!$M$35)</f>
        <v>172.29835601811661</v>
      </c>
      <c r="AB333" s="6">
        <f>$K$333*$V$333</f>
        <v>0</v>
      </c>
      <c r="AC333" s="6">
        <f>$M$333*$W$333</f>
        <v>3906.4800000000005</v>
      </c>
      <c r="AD333" s="6">
        <f>$O$333*$X$333</f>
        <v>4370.88</v>
      </c>
      <c r="AE333" s="6">
        <f>$K$333*$Y$333</f>
        <v>0</v>
      </c>
      <c r="AF333" s="6">
        <f ca="1">$M$333*$Z$333</f>
        <v>4605.6402472812642</v>
      </c>
      <c r="AG333" s="6">
        <f>$O$333*$AA$333</f>
        <v>4135.1605444347988</v>
      </c>
    </row>
    <row r="334" spans="1:33" ht="11.25" customHeight="1" x14ac:dyDescent="0.3">
      <c r="A334" s="4" t="s">
        <v>21</v>
      </c>
      <c r="B334" s="4" t="s">
        <v>22</v>
      </c>
      <c r="C334" s="4" t="s">
        <v>23</v>
      </c>
      <c r="D334" s="4" t="s">
        <v>24</v>
      </c>
      <c r="E334" s="4" t="s">
        <v>29</v>
      </c>
      <c r="F334" s="4" t="s">
        <v>25</v>
      </c>
      <c r="G334" s="4" t="s">
        <v>25</v>
      </c>
      <c r="H334" s="4" t="s">
        <v>25</v>
      </c>
      <c r="I334" s="5">
        <v>44652</v>
      </c>
      <c r="J334" s="6">
        <v>0</v>
      </c>
      <c r="K334" s="6">
        <v>0</v>
      </c>
      <c r="L334" s="6">
        <v>23.969000000000001</v>
      </c>
      <c r="M334" s="6">
        <v>23.969000000000001</v>
      </c>
      <c r="N334" s="6">
        <v>23.969000000000001</v>
      </c>
      <c r="O334" s="6">
        <v>23.969000000000001</v>
      </c>
      <c r="P334" s="6">
        <v>65</v>
      </c>
      <c r="Q334" s="4" t="s">
        <v>26</v>
      </c>
      <c r="R334" s="4">
        <v>0</v>
      </c>
      <c r="S334" s="6">
        <v>0</v>
      </c>
      <c r="T334" s="6">
        <v>42</v>
      </c>
      <c r="U334" s="6">
        <v>91</v>
      </c>
      <c r="V334" s="6">
        <f>IF(ISERROR(VLOOKUP($S$334,'TAR FIN'!$A$1:$O$92,15,0)),0,VLOOKUP($S$334,'TAR FIN'!$A$1:$O$92,15,0))</f>
        <v>0</v>
      </c>
      <c r="W334" s="6">
        <f>IF(ISERROR(VLOOKUP($T$334,'TAR FIN'!$A$1:$O$92,15,0)),0,VLOOKUP($T$334,'TAR FIN'!$A$1:$O$92,15,0))</f>
        <v>162.77000000000001</v>
      </c>
      <c r="X334" s="6">
        <f>IF(ISERROR(VLOOKUP($U$334,'TAR FIN'!$A$1:$O$92,15,0)),0,VLOOKUP($U$334,'TAR FIN'!$A$1:$O$92,15,0))</f>
        <v>182.12</v>
      </c>
      <c r="Y334" s="6"/>
      <c r="Z334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334" s="6">
        <f>('TE BE'!$AB$14+'TE BF'!$AB$14+'TE CVA'!$AB$14)*(1-CUSTOS!$M$35)</f>
        <v>172.29835601811661</v>
      </c>
      <c r="AB334" s="6">
        <f>$K$334*$V$334</f>
        <v>0</v>
      </c>
      <c r="AC334" s="6">
        <f>$M$334*$W$334</f>
        <v>3901.4341300000006</v>
      </c>
      <c r="AD334" s="6">
        <f>$O$334*$X$334</f>
        <v>4365.2342800000006</v>
      </c>
      <c r="AE334" s="6">
        <f>$K$334*$Y$334</f>
        <v>0</v>
      </c>
      <c r="AF334" s="6">
        <f ca="1">$M$334*$Z$334</f>
        <v>4599.6912952951925</v>
      </c>
      <c r="AG334" s="6">
        <f>$O$334*$AA$334</f>
        <v>4129.819295398237</v>
      </c>
    </row>
    <row r="335" spans="1:33" ht="11.25" customHeight="1" x14ac:dyDescent="0.3">
      <c r="A335" s="4" t="s">
        <v>21</v>
      </c>
      <c r="B335" s="4" t="s">
        <v>22</v>
      </c>
      <c r="C335" s="4" t="s">
        <v>23</v>
      </c>
      <c r="D335" s="4" t="s">
        <v>24</v>
      </c>
      <c r="E335" s="4" t="s">
        <v>29</v>
      </c>
      <c r="F335" s="4" t="s">
        <v>25</v>
      </c>
      <c r="G335" s="4" t="s">
        <v>25</v>
      </c>
      <c r="H335" s="4" t="s">
        <v>25</v>
      </c>
      <c r="I335" s="5">
        <v>44682</v>
      </c>
      <c r="J335" s="6">
        <v>0</v>
      </c>
      <c r="K335" s="6">
        <v>0</v>
      </c>
      <c r="L335" s="6">
        <v>24.436</v>
      </c>
      <c r="M335" s="6">
        <v>24.436</v>
      </c>
      <c r="N335" s="6">
        <v>24.436</v>
      </c>
      <c r="O335" s="6">
        <v>24.436</v>
      </c>
      <c r="P335" s="6">
        <v>97</v>
      </c>
      <c r="Q335" s="4" t="s">
        <v>26</v>
      </c>
      <c r="R335" s="4">
        <v>0</v>
      </c>
      <c r="S335" s="6">
        <v>0</v>
      </c>
      <c r="T335" s="6">
        <v>42</v>
      </c>
      <c r="U335" s="6">
        <v>91</v>
      </c>
      <c r="V335" s="6">
        <f>IF(ISERROR(VLOOKUP($S$335,'TAR FIN'!$A$1:$O$92,15,0)),0,VLOOKUP($S$335,'TAR FIN'!$A$1:$O$92,15,0))</f>
        <v>0</v>
      </c>
      <c r="W335" s="6">
        <f>IF(ISERROR(VLOOKUP($T$335,'TAR FIN'!$A$1:$O$92,15,0)),0,VLOOKUP($T$335,'TAR FIN'!$A$1:$O$92,15,0))</f>
        <v>162.77000000000001</v>
      </c>
      <c r="X335" s="6">
        <f>IF(ISERROR(VLOOKUP($U$335,'TAR FIN'!$A$1:$O$92,15,0)),0,VLOOKUP($U$335,'TAR FIN'!$A$1:$O$92,15,0))</f>
        <v>182.12</v>
      </c>
      <c r="Y335" s="6"/>
      <c r="Z335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335" s="6">
        <f>('TE BE'!$AB$14+'TE BF'!$AB$14+'TE CVA'!$AB$14)*(1-CUSTOS!$M$35)</f>
        <v>172.29835601811661</v>
      </c>
      <c r="AB335" s="6">
        <f>$K$335*$V$335</f>
        <v>0</v>
      </c>
      <c r="AC335" s="6">
        <f>$M$335*$W$335</f>
        <v>3977.4477200000001</v>
      </c>
      <c r="AD335" s="6">
        <f>$O$335*$X$335</f>
        <v>4450.2843199999998</v>
      </c>
      <c r="AE335" s="6">
        <f>$K$335*$Y$335</f>
        <v>0</v>
      </c>
      <c r="AF335" s="6">
        <f ca="1">$M$335*$Z$335</f>
        <v>4689.3093784402072</v>
      </c>
      <c r="AG335" s="6">
        <f>$O$335*$AA$335</f>
        <v>4210.2826276586975</v>
      </c>
    </row>
    <row r="336" spans="1:33" ht="11.25" customHeight="1" x14ac:dyDescent="0.3">
      <c r="A336" s="4" t="s">
        <v>21</v>
      </c>
      <c r="B336" s="4" t="s">
        <v>22</v>
      </c>
      <c r="C336" s="4" t="s">
        <v>23</v>
      </c>
      <c r="D336" s="4" t="s">
        <v>24</v>
      </c>
      <c r="E336" s="4" t="s">
        <v>29</v>
      </c>
      <c r="F336" s="4" t="s">
        <v>25</v>
      </c>
      <c r="G336" s="4" t="s">
        <v>25</v>
      </c>
      <c r="H336" s="4" t="s">
        <v>25</v>
      </c>
      <c r="I336" s="5">
        <v>44713</v>
      </c>
      <c r="J336" s="6">
        <v>0</v>
      </c>
      <c r="K336" s="6">
        <v>0</v>
      </c>
      <c r="L336" s="6">
        <v>19.992999999999999</v>
      </c>
      <c r="M336" s="6">
        <v>19.992999999999999</v>
      </c>
      <c r="N336" s="6">
        <v>19.992999999999999</v>
      </c>
      <c r="O336" s="6">
        <v>19.992999999999999</v>
      </c>
      <c r="P336" s="6">
        <v>64</v>
      </c>
      <c r="Q336" s="4" t="s">
        <v>26</v>
      </c>
      <c r="R336" s="4">
        <v>0</v>
      </c>
      <c r="S336" s="6">
        <v>0</v>
      </c>
      <c r="T336" s="6">
        <v>42</v>
      </c>
      <c r="U336" s="6">
        <v>91</v>
      </c>
      <c r="V336" s="6">
        <f>IF(ISERROR(VLOOKUP($S$336,'TAR FIN'!$A$1:$O$92,15,0)),0,VLOOKUP($S$336,'TAR FIN'!$A$1:$O$92,15,0))</f>
        <v>0</v>
      </c>
      <c r="W336" s="6">
        <f>IF(ISERROR(VLOOKUP($T$336,'TAR FIN'!$A$1:$O$92,15,0)),0,VLOOKUP($T$336,'TAR FIN'!$A$1:$O$92,15,0))</f>
        <v>162.77000000000001</v>
      </c>
      <c r="X336" s="6">
        <f>IF(ISERROR(VLOOKUP($U$336,'TAR FIN'!$A$1:$O$92,15,0)),0,VLOOKUP($U$336,'TAR FIN'!$A$1:$O$92,15,0))</f>
        <v>182.12</v>
      </c>
      <c r="Y336" s="6"/>
      <c r="Z336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336" s="6">
        <f>('TE BE'!$AB$14+'TE BF'!$AB$14+'TE CVA'!$AB$14)*(1-CUSTOS!$M$35)</f>
        <v>172.29835601811661</v>
      </c>
      <c r="AB336" s="6">
        <f>$K$336*$V$336</f>
        <v>0</v>
      </c>
      <c r="AC336" s="6">
        <f>$M$336*$W$336</f>
        <v>3254.2606099999998</v>
      </c>
      <c r="AD336" s="6">
        <f>$O$336*$X$336</f>
        <v>3641.1251600000001</v>
      </c>
      <c r="AE336" s="6">
        <f>$K$336*$Y$336</f>
        <v>0</v>
      </c>
      <c r="AF336" s="6">
        <f ca="1">$M$336*$Z$336</f>
        <v>3836.6902276622627</v>
      </c>
      <c r="AG336" s="6">
        <f>$O$336*$AA$336</f>
        <v>3444.761031870205</v>
      </c>
    </row>
    <row r="337" spans="1:33" ht="11.25" customHeight="1" x14ac:dyDescent="0.3">
      <c r="A337" s="4" t="s">
        <v>21</v>
      </c>
      <c r="B337" s="4" t="s">
        <v>22</v>
      </c>
      <c r="C337" s="4" t="s">
        <v>23</v>
      </c>
      <c r="D337" s="4" t="s">
        <v>24</v>
      </c>
      <c r="E337" s="4" t="s">
        <v>29</v>
      </c>
      <c r="F337" s="4" t="s">
        <v>25</v>
      </c>
      <c r="G337" s="4" t="s">
        <v>25</v>
      </c>
      <c r="H337" s="4" t="s">
        <v>25</v>
      </c>
      <c r="I337" s="5">
        <v>44743</v>
      </c>
      <c r="J337" s="6">
        <v>0</v>
      </c>
      <c r="K337" s="6">
        <v>0</v>
      </c>
      <c r="L337" s="6">
        <v>22.091000000000001</v>
      </c>
      <c r="M337" s="6">
        <v>22.091000000000001</v>
      </c>
      <c r="N337" s="6">
        <v>22.091000000000001</v>
      </c>
      <c r="O337" s="6">
        <v>22.091000000000001</v>
      </c>
      <c r="P337" s="6">
        <v>78</v>
      </c>
      <c r="Q337" s="4" t="s">
        <v>26</v>
      </c>
      <c r="R337" s="4">
        <v>0</v>
      </c>
      <c r="S337" s="6">
        <v>0</v>
      </c>
      <c r="T337" s="6">
        <v>42</v>
      </c>
      <c r="U337" s="6">
        <v>91</v>
      </c>
      <c r="V337" s="6">
        <f>IF(ISERROR(VLOOKUP($S$337,'TAR FIN'!$A$1:$O$92,15,0)),0,VLOOKUP($S$337,'TAR FIN'!$A$1:$O$92,15,0))</f>
        <v>0</v>
      </c>
      <c r="W337" s="6">
        <f>IF(ISERROR(VLOOKUP($T$337,'TAR FIN'!$A$1:$O$92,15,0)),0,VLOOKUP($T$337,'TAR FIN'!$A$1:$O$92,15,0))</f>
        <v>162.77000000000001</v>
      </c>
      <c r="X337" s="6">
        <f>IF(ISERROR(VLOOKUP($U$337,'TAR FIN'!$A$1:$O$92,15,0)),0,VLOOKUP($U$337,'TAR FIN'!$A$1:$O$92,15,0))</f>
        <v>182.12</v>
      </c>
      <c r="Y337" s="6"/>
      <c r="Z337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337" s="6">
        <f>('TE BE'!$AB$14+'TE BF'!$AB$14+'TE CVA'!$AB$14)*(1-CUSTOS!$M$35)</f>
        <v>172.29835601811661</v>
      </c>
      <c r="AB337" s="6">
        <f>$K$337*$V$337</f>
        <v>0</v>
      </c>
      <c r="AC337" s="6">
        <f>$M$337*$W$337</f>
        <v>3595.7520700000005</v>
      </c>
      <c r="AD337" s="6">
        <f>$O$337*$X$337</f>
        <v>4023.2129200000004</v>
      </c>
      <c r="AE337" s="6">
        <f>$K$337*$Y$337</f>
        <v>0</v>
      </c>
      <c r="AF337" s="6">
        <f ca="1">$M$337*$Z$337</f>
        <v>4239.299945945434</v>
      </c>
      <c r="AG337" s="6">
        <f>$O$337*$AA$337</f>
        <v>3806.2429827962142</v>
      </c>
    </row>
    <row r="338" spans="1:33" ht="11.25" customHeight="1" x14ac:dyDescent="0.3">
      <c r="A338" s="4" t="s">
        <v>21</v>
      </c>
      <c r="B338" s="4" t="s">
        <v>22</v>
      </c>
      <c r="C338" s="4" t="s">
        <v>23</v>
      </c>
      <c r="D338" s="4" t="s">
        <v>24</v>
      </c>
      <c r="E338" s="4" t="s">
        <v>30</v>
      </c>
      <c r="F338" s="4" t="s">
        <v>25</v>
      </c>
      <c r="G338" s="4" t="s">
        <v>25</v>
      </c>
      <c r="H338" s="4" t="s">
        <v>25</v>
      </c>
      <c r="I338" s="5">
        <v>44409</v>
      </c>
      <c r="J338" s="6">
        <v>0</v>
      </c>
      <c r="K338" s="6">
        <v>0</v>
      </c>
      <c r="L338" s="6">
        <v>17.896999999999998</v>
      </c>
      <c r="M338" s="6">
        <v>17.896999999999998</v>
      </c>
      <c r="N338" s="6">
        <v>17.896999999999998</v>
      </c>
      <c r="O338" s="6">
        <v>17.896999999999998</v>
      </c>
      <c r="P338" s="6">
        <v>147</v>
      </c>
      <c r="Q338" s="4" t="s">
        <v>26</v>
      </c>
      <c r="R338" s="4">
        <v>0</v>
      </c>
      <c r="S338" s="6">
        <v>0</v>
      </c>
      <c r="T338" s="6">
        <v>45</v>
      </c>
      <c r="U338" s="6">
        <v>2</v>
      </c>
      <c r="V338" s="6">
        <f>IF(ISERROR(VLOOKUP($S$338,'TAR FIN'!$A$1:$O$92,15,0)),0,VLOOKUP($S$338,'TAR FIN'!$A$1:$O$92,15,0))</f>
        <v>0</v>
      </c>
      <c r="W338" s="6">
        <f>IF(ISERROR(VLOOKUP($T$338,'TAR FIN'!$A$1:$O$92,15,0)),0,VLOOKUP($T$338,'TAR FIN'!$A$1:$O$92,15,0))</f>
        <v>244.15</v>
      </c>
      <c r="X338" s="6">
        <f>IF(ISERROR(VLOOKUP($U$338,'TAR FIN'!$A$1:$O$92,15,0)),0,VLOOKUP($U$338,'TAR FIN'!$A$1:$O$92,15,0))</f>
        <v>273.19</v>
      </c>
      <c r="Y338" s="6"/>
      <c r="Z338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338" s="6">
        <f>('TE BE'!$AB$15+'TE BF'!$AB$15+'TE CVA'!$AB$15)*(1-CUSTOS!$M$36)</f>
        <v>258.44753402717492</v>
      </c>
      <c r="AB338" s="6">
        <f>$K$338*$V$338</f>
        <v>0</v>
      </c>
      <c r="AC338" s="6">
        <f>$M$338*$W$338</f>
        <v>4369.5525499999994</v>
      </c>
      <c r="AD338" s="6">
        <f>$O$338*$X$338</f>
        <v>4889.2814299999991</v>
      </c>
      <c r="AE338" s="6">
        <f>$K$338*$Y$338</f>
        <v>0</v>
      </c>
      <c r="AF338" s="6">
        <f ca="1">$M$338*$Z$338</f>
        <v>5151.6964690995483</v>
      </c>
      <c r="AG338" s="6">
        <f>$O$338*$AA$338</f>
        <v>4625.4355164843491</v>
      </c>
    </row>
    <row r="339" spans="1:33" ht="11.25" customHeight="1" x14ac:dyDescent="0.3">
      <c r="A339" s="4" t="s">
        <v>21</v>
      </c>
      <c r="B339" s="4" t="s">
        <v>22</v>
      </c>
      <c r="C339" s="4" t="s">
        <v>23</v>
      </c>
      <c r="D339" s="4" t="s">
        <v>24</v>
      </c>
      <c r="E339" s="4" t="s">
        <v>30</v>
      </c>
      <c r="F339" s="4" t="s">
        <v>25</v>
      </c>
      <c r="G339" s="4" t="s">
        <v>25</v>
      </c>
      <c r="H339" s="4" t="s">
        <v>25</v>
      </c>
      <c r="I339" s="5">
        <v>44440</v>
      </c>
      <c r="J339" s="6">
        <v>0</v>
      </c>
      <c r="K339" s="6">
        <v>0</v>
      </c>
      <c r="L339" s="6">
        <v>20.79</v>
      </c>
      <c r="M339" s="6">
        <v>20.79</v>
      </c>
      <c r="N339" s="6">
        <v>20.79</v>
      </c>
      <c r="O339" s="6">
        <v>20.79</v>
      </c>
      <c r="P339" s="6">
        <v>159</v>
      </c>
      <c r="Q339" s="4" t="s">
        <v>26</v>
      </c>
      <c r="R339" s="4">
        <v>0</v>
      </c>
      <c r="S339" s="6">
        <v>0</v>
      </c>
      <c r="T339" s="6">
        <v>45</v>
      </c>
      <c r="U339" s="6">
        <v>2</v>
      </c>
      <c r="V339" s="6">
        <f>IF(ISERROR(VLOOKUP($S$339,'TAR FIN'!$A$1:$O$92,15,0)),0,VLOOKUP($S$339,'TAR FIN'!$A$1:$O$92,15,0))</f>
        <v>0</v>
      </c>
      <c r="W339" s="6">
        <f>IF(ISERROR(VLOOKUP($T$339,'TAR FIN'!$A$1:$O$92,15,0)),0,VLOOKUP($T$339,'TAR FIN'!$A$1:$O$92,15,0))</f>
        <v>244.15</v>
      </c>
      <c r="X339" s="6">
        <f>IF(ISERROR(VLOOKUP($U$339,'TAR FIN'!$A$1:$O$92,15,0)),0,VLOOKUP($U$339,'TAR FIN'!$A$1:$O$92,15,0))</f>
        <v>273.19</v>
      </c>
      <c r="Y339" s="6"/>
      <c r="Z339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339" s="6">
        <f>('TE BE'!$AB$15+'TE BF'!$AB$15+'TE CVA'!$AB$15)*(1-CUSTOS!$M$36)</f>
        <v>258.44753402717492</v>
      </c>
      <c r="AB339" s="6">
        <f>$K$339*$V$339</f>
        <v>0</v>
      </c>
      <c r="AC339" s="6">
        <f>$M$339*$W$339</f>
        <v>5075.8784999999998</v>
      </c>
      <c r="AD339" s="6">
        <f>$O$339*$X$339</f>
        <v>5679.6201000000001</v>
      </c>
      <c r="AE339" s="6">
        <f>$K$339*$Y$339</f>
        <v>0</v>
      </c>
      <c r="AF339" s="6">
        <f ca="1">$M$339*$Z$339</f>
        <v>5984.4537963110924</v>
      </c>
      <c r="AG339" s="6">
        <f>$O$339*$AA$339</f>
        <v>5373.1242324249661</v>
      </c>
    </row>
    <row r="340" spans="1:33" ht="11.25" customHeight="1" x14ac:dyDescent="0.3">
      <c r="A340" s="4" t="s">
        <v>21</v>
      </c>
      <c r="B340" s="4" t="s">
        <v>22</v>
      </c>
      <c r="C340" s="4" t="s">
        <v>23</v>
      </c>
      <c r="D340" s="4" t="s">
        <v>24</v>
      </c>
      <c r="E340" s="4" t="s">
        <v>30</v>
      </c>
      <c r="F340" s="4" t="s">
        <v>25</v>
      </c>
      <c r="G340" s="4" t="s">
        <v>25</v>
      </c>
      <c r="H340" s="4" t="s">
        <v>25</v>
      </c>
      <c r="I340" s="5">
        <v>44470</v>
      </c>
      <c r="J340" s="6">
        <v>0</v>
      </c>
      <c r="K340" s="6">
        <v>0</v>
      </c>
      <c r="L340" s="6">
        <v>17.515999999999998</v>
      </c>
      <c r="M340" s="6">
        <v>17.515999999999998</v>
      </c>
      <c r="N340" s="6">
        <v>17.515999999999998</v>
      </c>
      <c r="O340" s="6">
        <v>17.515999999999998</v>
      </c>
      <c r="P340" s="6">
        <v>170</v>
      </c>
      <c r="Q340" s="4" t="s">
        <v>26</v>
      </c>
      <c r="R340" s="4">
        <v>0</v>
      </c>
      <c r="S340" s="6">
        <v>0</v>
      </c>
      <c r="T340" s="6">
        <v>45</v>
      </c>
      <c r="U340" s="6">
        <v>2</v>
      </c>
      <c r="V340" s="6">
        <f>IF(ISERROR(VLOOKUP($S$340,'TAR FIN'!$A$1:$O$92,15,0)),0,VLOOKUP($S$340,'TAR FIN'!$A$1:$O$92,15,0))</f>
        <v>0</v>
      </c>
      <c r="W340" s="6">
        <f>IF(ISERROR(VLOOKUP($T$340,'TAR FIN'!$A$1:$O$92,15,0)),0,VLOOKUP($T$340,'TAR FIN'!$A$1:$O$92,15,0))</f>
        <v>244.15</v>
      </c>
      <c r="X340" s="6">
        <f>IF(ISERROR(VLOOKUP($U$340,'TAR FIN'!$A$1:$O$92,15,0)),0,VLOOKUP($U$340,'TAR FIN'!$A$1:$O$92,15,0))</f>
        <v>273.19</v>
      </c>
      <c r="Y340" s="6"/>
      <c r="Z340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340" s="6">
        <f>('TE BE'!$AB$15+'TE BF'!$AB$15+'TE CVA'!$AB$15)*(1-CUSTOS!$M$36)</f>
        <v>258.44753402717492</v>
      </c>
      <c r="AB340" s="6">
        <f>$K$340*$V$340</f>
        <v>0</v>
      </c>
      <c r="AC340" s="6">
        <f>$M$340*$W$340</f>
        <v>4276.5313999999998</v>
      </c>
      <c r="AD340" s="6">
        <f>$O$340*$X$340</f>
        <v>4785.1960399999998</v>
      </c>
      <c r="AE340" s="6">
        <f>$K$340*$Y$340</f>
        <v>0</v>
      </c>
      <c r="AF340" s="6">
        <f ca="1">$M$340*$Z$340</f>
        <v>5042.024660711164</v>
      </c>
      <c r="AG340" s="6">
        <f>$O$340*$AA$340</f>
        <v>4526.9670060199951</v>
      </c>
    </row>
    <row r="341" spans="1:33" ht="11.25" customHeight="1" x14ac:dyDescent="0.3">
      <c r="A341" s="4" t="s">
        <v>21</v>
      </c>
      <c r="B341" s="4" t="s">
        <v>22</v>
      </c>
      <c r="C341" s="4" t="s">
        <v>23</v>
      </c>
      <c r="D341" s="4" t="s">
        <v>24</v>
      </c>
      <c r="E341" s="4" t="s">
        <v>30</v>
      </c>
      <c r="F341" s="4" t="s">
        <v>25</v>
      </c>
      <c r="G341" s="4" t="s">
        <v>25</v>
      </c>
      <c r="H341" s="4" t="s">
        <v>25</v>
      </c>
      <c r="I341" s="5">
        <v>44501</v>
      </c>
      <c r="J341" s="6">
        <v>0</v>
      </c>
      <c r="K341" s="6">
        <v>0</v>
      </c>
      <c r="L341" s="6">
        <v>16.582999999999998</v>
      </c>
      <c r="M341" s="6">
        <v>16.582999999999998</v>
      </c>
      <c r="N341" s="6">
        <v>16.582999999999998</v>
      </c>
      <c r="O341" s="6">
        <v>16.582999999999998</v>
      </c>
      <c r="P341" s="6">
        <v>170</v>
      </c>
      <c r="Q341" s="4" t="s">
        <v>26</v>
      </c>
      <c r="R341" s="4">
        <v>0</v>
      </c>
      <c r="S341" s="6">
        <v>0</v>
      </c>
      <c r="T341" s="6">
        <v>45</v>
      </c>
      <c r="U341" s="6">
        <v>2</v>
      </c>
      <c r="V341" s="6">
        <f>IF(ISERROR(VLOOKUP($S$341,'TAR FIN'!$A$1:$O$92,15,0)),0,VLOOKUP($S$341,'TAR FIN'!$A$1:$O$92,15,0))</f>
        <v>0</v>
      </c>
      <c r="W341" s="6">
        <f>IF(ISERROR(VLOOKUP($T$341,'TAR FIN'!$A$1:$O$92,15,0)),0,VLOOKUP($T$341,'TAR FIN'!$A$1:$O$92,15,0))</f>
        <v>244.15</v>
      </c>
      <c r="X341" s="6">
        <f>IF(ISERROR(VLOOKUP($U$341,'TAR FIN'!$A$1:$O$92,15,0)),0,VLOOKUP($U$341,'TAR FIN'!$A$1:$O$92,15,0))</f>
        <v>273.19</v>
      </c>
      <c r="Y341" s="6"/>
      <c r="Z341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341" s="6">
        <f>('TE BE'!$AB$15+'TE BF'!$AB$15+'TE CVA'!$AB$15)*(1-CUSTOS!$M$36)</f>
        <v>258.44753402717492</v>
      </c>
      <c r="AB341" s="6">
        <f>$K$341*$V$341</f>
        <v>0</v>
      </c>
      <c r="AC341" s="6">
        <f>$M$341*$W$341</f>
        <v>4048.7394499999996</v>
      </c>
      <c r="AD341" s="6">
        <f>$O$341*$X$341</f>
        <v>4530.3097699999998</v>
      </c>
      <c r="AE341" s="6">
        <f>$K$341*$Y$341</f>
        <v>0</v>
      </c>
      <c r="AF341" s="6">
        <f ca="1">$M$341*$Z$341</f>
        <v>4773.4582637915746</v>
      </c>
      <c r="AG341" s="6">
        <f>$O$341*$AA$341</f>
        <v>4285.835456772641</v>
      </c>
    </row>
    <row r="342" spans="1:33" ht="11.25" customHeight="1" x14ac:dyDescent="0.3">
      <c r="A342" s="4" t="s">
        <v>21</v>
      </c>
      <c r="B342" s="4" t="s">
        <v>22</v>
      </c>
      <c r="C342" s="4" t="s">
        <v>23</v>
      </c>
      <c r="D342" s="4" t="s">
        <v>24</v>
      </c>
      <c r="E342" s="4" t="s">
        <v>30</v>
      </c>
      <c r="F342" s="4" t="s">
        <v>25</v>
      </c>
      <c r="G342" s="4" t="s">
        <v>25</v>
      </c>
      <c r="H342" s="4" t="s">
        <v>25</v>
      </c>
      <c r="I342" s="5">
        <v>44531</v>
      </c>
      <c r="J342" s="6">
        <v>0</v>
      </c>
      <c r="K342" s="6">
        <v>0</v>
      </c>
      <c r="L342" s="6">
        <v>20.638999999999999</v>
      </c>
      <c r="M342" s="6">
        <v>20.638999999999999</v>
      </c>
      <c r="N342" s="6">
        <v>20.638999999999999</v>
      </c>
      <c r="O342" s="6">
        <v>20.638999999999999</v>
      </c>
      <c r="P342" s="6">
        <v>161</v>
      </c>
      <c r="Q342" s="4" t="s">
        <v>26</v>
      </c>
      <c r="R342" s="4">
        <v>0</v>
      </c>
      <c r="S342" s="6">
        <v>0</v>
      </c>
      <c r="T342" s="6">
        <v>45</v>
      </c>
      <c r="U342" s="6">
        <v>2</v>
      </c>
      <c r="V342" s="6">
        <f>IF(ISERROR(VLOOKUP($S$342,'TAR FIN'!$A$1:$O$92,15,0)),0,VLOOKUP($S$342,'TAR FIN'!$A$1:$O$92,15,0))</f>
        <v>0</v>
      </c>
      <c r="W342" s="6">
        <f>IF(ISERROR(VLOOKUP($T$342,'TAR FIN'!$A$1:$O$92,15,0)),0,VLOOKUP($T$342,'TAR FIN'!$A$1:$O$92,15,0))</f>
        <v>244.15</v>
      </c>
      <c r="X342" s="6">
        <f>IF(ISERROR(VLOOKUP($U$342,'TAR FIN'!$A$1:$O$92,15,0)),0,VLOOKUP($U$342,'TAR FIN'!$A$1:$O$92,15,0))</f>
        <v>273.19</v>
      </c>
      <c r="Y342" s="6"/>
      <c r="Z342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342" s="6">
        <f>('TE BE'!$AB$15+'TE BF'!$AB$15+'TE CVA'!$AB$15)*(1-CUSTOS!$M$36)</f>
        <v>258.44753402717492</v>
      </c>
      <c r="AB342" s="6">
        <f>$K$342*$V$342</f>
        <v>0</v>
      </c>
      <c r="AC342" s="6">
        <f>$M$342*$W$342</f>
        <v>5039.0118499999999</v>
      </c>
      <c r="AD342" s="6">
        <f>$O$342*$X$342</f>
        <v>5638.36841</v>
      </c>
      <c r="AE342" s="6">
        <f>$K$342*$Y$342</f>
        <v>0</v>
      </c>
      <c r="AF342" s="6">
        <f ca="1">$M$342*$Z$342</f>
        <v>5940.9880664773755</v>
      </c>
      <c r="AG342" s="6">
        <f>$O$342*$AA$342</f>
        <v>5334.0986547868633</v>
      </c>
    </row>
    <row r="343" spans="1:33" ht="11.25" customHeight="1" x14ac:dyDescent="0.3">
      <c r="A343" s="4" t="s">
        <v>21</v>
      </c>
      <c r="B343" s="4" t="s">
        <v>22</v>
      </c>
      <c r="C343" s="4" t="s">
        <v>23</v>
      </c>
      <c r="D343" s="4" t="s">
        <v>24</v>
      </c>
      <c r="E343" s="4" t="s">
        <v>30</v>
      </c>
      <c r="F343" s="4" t="s">
        <v>25</v>
      </c>
      <c r="G343" s="4" t="s">
        <v>25</v>
      </c>
      <c r="H343" s="4" t="s">
        <v>25</v>
      </c>
      <c r="I343" s="5">
        <v>44562</v>
      </c>
      <c r="J343" s="6">
        <v>0</v>
      </c>
      <c r="K343" s="6">
        <v>0</v>
      </c>
      <c r="L343" s="6">
        <v>19.594000000000001</v>
      </c>
      <c r="M343" s="6">
        <v>19.594000000000001</v>
      </c>
      <c r="N343" s="6">
        <v>19.594000000000001</v>
      </c>
      <c r="O343" s="6">
        <v>19.594000000000001</v>
      </c>
      <c r="P343" s="6">
        <v>172</v>
      </c>
      <c r="Q343" s="4" t="s">
        <v>26</v>
      </c>
      <c r="R343" s="4">
        <v>0</v>
      </c>
      <c r="S343" s="6">
        <v>0</v>
      </c>
      <c r="T343" s="6">
        <v>45</v>
      </c>
      <c r="U343" s="6">
        <v>2</v>
      </c>
      <c r="V343" s="6">
        <f>IF(ISERROR(VLOOKUP($S$343,'TAR FIN'!$A$1:$O$92,15,0)),0,VLOOKUP($S$343,'TAR FIN'!$A$1:$O$92,15,0))</f>
        <v>0</v>
      </c>
      <c r="W343" s="6">
        <f>IF(ISERROR(VLOOKUP($T$343,'TAR FIN'!$A$1:$O$92,15,0)),0,VLOOKUP($T$343,'TAR FIN'!$A$1:$O$92,15,0))</f>
        <v>244.15</v>
      </c>
      <c r="X343" s="6">
        <f>IF(ISERROR(VLOOKUP($U$343,'TAR FIN'!$A$1:$O$92,15,0)),0,VLOOKUP($U$343,'TAR FIN'!$A$1:$O$92,15,0))</f>
        <v>273.19</v>
      </c>
      <c r="Y343" s="6"/>
      <c r="Z343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343" s="6">
        <f>('TE BE'!$AB$15+'TE BF'!$AB$15+'TE CVA'!$AB$15)*(1-CUSTOS!$M$36)</f>
        <v>258.44753402717492</v>
      </c>
      <c r="AB343" s="6">
        <f>$K$343*$V$343</f>
        <v>0</v>
      </c>
      <c r="AC343" s="6">
        <f>$M$343*$W$343</f>
        <v>4783.8751000000002</v>
      </c>
      <c r="AD343" s="6">
        <f>$O$343*$X$343</f>
        <v>5352.8848600000001</v>
      </c>
      <c r="AE343" s="6">
        <f>$K$343*$Y$343</f>
        <v>0</v>
      </c>
      <c r="AF343" s="6">
        <f ca="1">$M$343*$Z$343</f>
        <v>5640.1821878268183</v>
      </c>
      <c r="AG343" s="6">
        <f>$O$343*$AA$343</f>
        <v>5064.0209817284658</v>
      </c>
    </row>
    <row r="344" spans="1:33" ht="11.25" customHeight="1" x14ac:dyDescent="0.3">
      <c r="A344" s="4" t="s">
        <v>21</v>
      </c>
      <c r="B344" s="4" t="s">
        <v>22</v>
      </c>
      <c r="C344" s="4" t="s">
        <v>23</v>
      </c>
      <c r="D344" s="4" t="s">
        <v>24</v>
      </c>
      <c r="E344" s="4" t="s">
        <v>30</v>
      </c>
      <c r="F344" s="4" t="s">
        <v>25</v>
      </c>
      <c r="G344" s="4" t="s">
        <v>25</v>
      </c>
      <c r="H344" s="4" t="s">
        <v>25</v>
      </c>
      <c r="I344" s="5">
        <v>44593</v>
      </c>
      <c r="J344" s="6">
        <v>0</v>
      </c>
      <c r="K344" s="6">
        <v>0</v>
      </c>
      <c r="L344" s="6">
        <v>26.75</v>
      </c>
      <c r="M344" s="6">
        <v>26.75</v>
      </c>
      <c r="N344" s="6">
        <v>26.75</v>
      </c>
      <c r="O344" s="6">
        <v>26.75</v>
      </c>
      <c r="P344" s="6">
        <v>163</v>
      </c>
      <c r="Q344" s="4" t="s">
        <v>26</v>
      </c>
      <c r="R344" s="4">
        <v>0</v>
      </c>
      <c r="S344" s="6">
        <v>0</v>
      </c>
      <c r="T344" s="6">
        <v>45</v>
      </c>
      <c r="U344" s="6">
        <v>2</v>
      </c>
      <c r="V344" s="6">
        <f>IF(ISERROR(VLOOKUP($S$344,'TAR FIN'!$A$1:$O$92,15,0)),0,VLOOKUP($S$344,'TAR FIN'!$A$1:$O$92,15,0))</f>
        <v>0</v>
      </c>
      <c r="W344" s="6">
        <f>IF(ISERROR(VLOOKUP($T$344,'TAR FIN'!$A$1:$O$92,15,0)),0,VLOOKUP($T$344,'TAR FIN'!$A$1:$O$92,15,0))</f>
        <v>244.15</v>
      </c>
      <c r="X344" s="6">
        <f>IF(ISERROR(VLOOKUP($U$344,'TAR FIN'!$A$1:$O$92,15,0)),0,VLOOKUP($U$344,'TAR FIN'!$A$1:$O$92,15,0))</f>
        <v>273.19</v>
      </c>
      <c r="Y344" s="6"/>
      <c r="Z344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344" s="6">
        <f>('TE BE'!$AB$15+'TE BF'!$AB$15+'TE CVA'!$AB$15)*(1-CUSTOS!$M$36)</f>
        <v>258.44753402717492</v>
      </c>
      <c r="AB344" s="6">
        <f>$K$344*$V$344</f>
        <v>0</v>
      </c>
      <c r="AC344" s="6">
        <f>$M$344*$W$344</f>
        <v>6531.0124999999998</v>
      </c>
      <c r="AD344" s="6">
        <f>$O$344*$X$344</f>
        <v>7307.8324999999995</v>
      </c>
      <c r="AE344" s="6">
        <f>$K$344*$Y$344</f>
        <v>0</v>
      </c>
      <c r="AF344" s="6">
        <f ca="1">$M$344*$Z$344</f>
        <v>7700.0547884233638</v>
      </c>
      <c r="AG344" s="6">
        <f>$O$344*$AA$344</f>
        <v>6913.4715352269295</v>
      </c>
    </row>
    <row r="345" spans="1:33" ht="11.25" customHeight="1" x14ac:dyDescent="0.3">
      <c r="A345" s="4" t="s">
        <v>21</v>
      </c>
      <c r="B345" s="4" t="s">
        <v>22</v>
      </c>
      <c r="C345" s="4" t="s">
        <v>23</v>
      </c>
      <c r="D345" s="4" t="s">
        <v>24</v>
      </c>
      <c r="E345" s="4" t="s">
        <v>30</v>
      </c>
      <c r="F345" s="4" t="s">
        <v>25</v>
      </c>
      <c r="G345" s="4" t="s">
        <v>25</v>
      </c>
      <c r="H345" s="4" t="s">
        <v>25</v>
      </c>
      <c r="I345" s="5">
        <v>44621</v>
      </c>
      <c r="J345" s="6">
        <v>0</v>
      </c>
      <c r="K345" s="6">
        <v>0</v>
      </c>
      <c r="L345" s="6">
        <v>25.718</v>
      </c>
      <c r="M345" s="6">
        <v>25.718</v>
      </c>
      <c r="N345" s="6">
        <v>25.718</v>
      </c>
      <c r="O345" s="6">
        <v>25.718</v>
      </c>
      <c r="P345" s="6">
        <v>190</v>
      </c>
      <c r="Q345" s="4" t="s">
        <v>26</v>
      </c>
      <c r="R345" s="4">
        <v>0</v>
      </c>
      <c r="S345" s="6">
        <v>0</v>
      </c>
      <c r="T345" s="6">
        <v>45</v>
      </c>
      <c r="U345" s="6">
        <v>2</v>
      </c>
      <c r="V345" s="6">
        <f>IF(ISERROR(VLOOKUP($S$345,'TAR FIN'!$A$1:$O$92,15,0)),0,VLOOKUP($S$345,'TAR FIN'!$A$1:$O$92,15,0))</f>
        <v>0</v>
      </c>
      <c r="W345" s="6">
        <f>IF(ISERROR(VLOOKUP($T$345,'TAR FIN'!$A$1:$O$92,15,0)),0,VLOOKUP($T$345,'TAR FIN'!$A$1:$O$92,15,0))</f>
        <v>244.15</v>
      </c>
      <c r="X345" s="6">
        <f>IF(ISERROR(VLOOKUP($U$345,'TAR FIN'!$A$1:$O$92,15,0)),0,VLOOKUP($U$345,'TAR FIN'!$A$1:$O$92,15,0))</f>
        <v>273.19</v>
      </c>
      <c r="Y345" s="6"/>
      <c r="Z345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345" s="6">
        <f>('TE BE'!$AB$15+'TE BF'!$AB$15+'TE CVA'!$AB$15)*(1-CUSTOS!$M$36)</f>
        <v>258.44753402717492</v>
      </c>
      <c r="AB345" s="6">
        <f>$K$345*$V$345</f>
        <v>0</v>
      </c>
      <c r="AC345" s="6">
        <f>$M$345*$W$345</f>
        <v>6279.0497000000005</v>
      </c>
      <c r="AD345" s="6">
        <f>$O$345*$X$345</f>
        <v>7025.9004199999999</v>
      </c>
      <c r="AE345" s="6">
        <f>$K$345*$Y$345</f>
        <v>0</v>
      </c>
      <c r="AF345" s="6">
        <f ca="1">$M$345*$Z$345</f>
        <v>7402.9909924737221</v>
      </c>
      <c r="AG345" s="6">
        <f>$O$345*$AA$345</f>
        <v>6646.7536801108845</v>
      </c>
    </row>
    <row r="346" spans="1:33" ht="11.25" customHeight="1" x14ac:dyDescent="0.3">
      <c r="A346" s="4" t="s">
        <v>21</v>
      </c>
      <c r="B346" s="4" t="s">
        <v>22</v>
      </c>
      <c r="C346" s="4" t="s">
        <v>23</v>
      </c>
      <c r="D346" s="4" t="s">
        <v>24</v>
      </c>
      <c r="E346" s="4" t="s">
        <v>30</v>
      </c>
      <c r="F346" s="4" t="s">
        <v>25</v>
      </c>
      <c r="G346" s="4" t="s">
        <v>25</v>
      </c>
      <c r="H346" s="4" t="s">
        <v>25</v>
      </c>
      <c r="I346" s="5">
        <v>44652</v>
      </c>
      <c r="J346" s="6">
        <v>0</v>
      </c>
      <c r="K346" s="6">
        <v>0</v>
      </c>
      <c r="L346" s="6">
        <v>22.731999999999999</v>
      </c>
      <c r="M346" s="6">
        <v>22.731999999999999</v>
      </c>
      <c r="N346" s="6">
        <v>22.731999999999999</v>
      </c>
      <c r="O346" s="6">
        <v>22.731999999999999</v>
      </c>
      <c r="P346" s="6">
        <v>205</v>
      </c>
      <c r="Q346" s="4" t="s">
        <v>26</v>
      </c>
      <c r="R346" s="4">
        <v>0</v>
      </c>
      <c r="S346" s="6">
        <v>0</v>
      </c>
      <c r="T346" s="6">
        <v>45</v>
      </c>
      <c r="U346" s="6">
        <v>2</v>
      </c>
      <c r="V346" s="6">
        <f>IF(ISERROR(VLOOKUP($S$346,'TAR FIN'!$A$1:$O$92,15,0)),0,VLOOKUP($S$346,'TAR FIN'!$A$1:$O$92,15,0))</f>
        <v>0</v>
      </c>
      <c r="W346" s="6">
        <f>IF(ISERROR(VLOOKUP($T$346,'TAR FIN'!$A$1:$O$92,15,0)),0,VLOOKUP($T$346,'TAR FIN'!$A$1:$O$92,15,0))</f>
        <v>244.15</v>
      </c>
      <c r="X346" s="6">
        <f>IF(ISERROR(VLOOKUP($U$346,'TAR FIN'!$A$1:$O$92,15,0)),0,VLOOKUP($U$346,'TAR FIN'!$A$1:$O$92,15,0))</f>
        <v>273.19</v>
      </c>
      <c r="Y346" s="6"/>
      <c r="Z346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346" s="6">
        <f>('TE BE'!$AB$15+'TE BF'!$AB$15+'TE CVA'!$AB$15)*(1-CUSTOS!$M$36)</f>
        <v>258.44753402717492</v>
      </c>
      <c r="AB346" s="6">
        <f>$K$346*$V$346</f>
        <v>0</v>
      </c>
      <c r="AC346" s="6">
        <f>$M$346*$W$346</f>
        <v>5550.0177999999996</v>
      </c>
      <c r="AD346" s="6">
        <f>$O$346*$X$346</f>
        <v>6210.1550799999995</v>
      </c>
      <c r="AE346" s="6">
        <f>$K$346*$Y$346</f>
        <v>0</v>
      </c>
      <c r="AF346" s="6">
        <f ca="1">$M$346*$Z$346</f>
        <v>6543.4633813248556</v>
      </c>
      <c r="AG346" s="6">
        <f>$O$346*$AA$346</f>
        <v>5875.0293435057401</v>
      </c>
    </row>
    <row r="347" spans="1:33" ht="11.25" customHeight="1" x14ac:dyDescent="0.3">
      <c r="A347" s="4" t="s">
        <v>21</v>
      </c>
      <c r="B347" s="4" t="s">
        <v>22</v>
      </c>
      <c r="C347" s="4" t="s">
        <v>23</v>
      </c>
      <c r="D347" s="4" t="s">
        <v>24</v>
      </c>
      <c r="E347" s="4" t="s">
        <v>30</v>
      </c>
      <c r="F347" s="4" t="s">
        <v>25</v>
      </c>
      <c r="G347" s="4" t="s">
        <v>25</v>
      </c>
      <c r="H347" s="4" t="s">
        <v>25</v>
      </c>
      <c r="I347" s="5">
        <v>44682</v>
      </c>
      <c r="J347" s="6">
        <v>0</v>
      </c>
      <c r="K347" s="6">
        <v>0</v>
      </c>
      <c r="L347" s="6">
        <v>21.222999999999999</v>
      </c>
      <c r="M347" s="6">
        <v>21.222999999999999</v>
      </c>
      <c r="N347" s="6">
        <v>21.222999999999999</v>
      </c>
      <c r="O347" s="6">
        <v>21.222999999999999</v>
      </c>
      <c r="P347" s="6">
        <v>212</v>
      </c>
      <c r="Q347" s="4" t="s">
        <v>26</v>
      </c>
      <c r="R347" s="4">
        <v>0</v>
      </c>
      <c r="S347" s="6">
        <v>0</v>
      </c>
      <c r="T347" s="6">
        <v>45</v>
      </c>
      <c r="U347" s="6">
        <v>2</v>
      </c>
      <c r="V347" s="6">
        <f>IF(ISERROR(VLOOKUP($S$347,'TAR FIN'!$A$1:$O$92,15,0)),0,VLOOKUP($S$347,'TAR FIN'!$A$1:$O$92,15,0))</f>
        <v>0</v>
      </c>
      <c r="W347" s="6">
        <f>IF(ISERROR(VLOOKUP($T$347,'TAR FIN'!$A$1:$O$92,15,0)),0,VLOOKUP($T$347,'TAR FIN'!$A$1:$O$92,15,0))</f>
        <v>244.15</v>
      </c>
      <c r="X347" s="6">
        <f>IF(ISERROR(VLOOKUP($U$347,'TAR FIN'!$A$1:$O$92,15,0)),0,VLOOKUP($U$347,'TAR FIN'!$A$1:$O$92,15,0))</f>
        <v>273.19</v>
      </c>
      <c r="Y347" s="6"/>
      <c r="Z347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347" s="6">
        <f>('TE BE'!$AB$15+'TE BF'!$AB$15+'TE CVA'!$AB$15)*(1-CUSTOS!$M$36)</f>
        <v>258.44753402717492</v>
      </c>
      <c r="AB347" s="6">
        <f>$K$347*$V$347</f>
        <v>0</v>
      </c>
      <c r="AC347" s="6">
        <f>$M$347*$W$347</f>
        <v>5181.5954499999998</v>
      </c>
      <c r="AD347" s="6">
        <f>$O$347*$X$347</f>
        <v>5797.9113699999998</v>
      </c>
      <c r="AE347" s="6">
        <f>$K$347*$Y$347</f>
        <v>0</v>
      </c>
      <c r="AF347" s="6">
        <f ca="1">$M$347*$Z$347</f>
        <v>6109.0939355031414</v>
      </c>
      <c r="AG347" s="6">
        <f>$O$347*$AA$347</f>
        <v>5485.0320146587328</v>
      </c>
    </row>
    <row r="348" spans="1:33" ht="11.25" customHeight="1" x14ac:dyDescent="0.3">
      <c r="A348" s="4" t="s">
        <v>21</v>
      </c>
      <c r="B348" s="4" t="s">
        <v>22</v>
      </c>
      <c r="C348" s="4" t="s">
        <v>23</v>
      </c>
      <c r="D348" s="4" t="s">
        <v>24</v>
      </c>
      <c r="E348" s="4" t="s">
        <v>30</v>
      </c>
      <c r="F348" s="4" t="s">
        <v>25</v>
      </c>
      <c r="G348" s="4" t="s">
        <v>25</v>
      </c>
      <c r="H348" s="4" t="s">
        <v>25</v>
      </c>
      <c r="I348" s="5">
        <v>44713</v>
      </c>
      <c r="J348" s="6">
        <v>0</v>
      </c>
      <c r="K348" s="6">
        <v>0</v>
      </c>
      <c r="L348" s="6">
        <v>18.413</v>
      </c>
      <c r="M348" s="6">
        <v>18.413</v>
      </c>
      <c r="N348" s="6">
        <v>18.413</v>
      </c>
      <c r="O348" s="6">
        <v>18.413</v>
      </c>
      <c r="P348" s="6">
        <v>178</v>
      </c>
      <c r="Q348" s="4" t="s">
        <v>26</v>
      </c>
      <c r="R348" s="4">
        <v>0</v>
      </c>
      <c r="S348" s="6">
        <v>0</v>
      </c>
      <c r="T348" s="6">
        <v>45</v>
      </c>
      <c r="U348" s="6">
        <v>2</v>
      </c>
      <c r="V348" s="6">
        <f>IF(ISERROR(VLOOKUP($S$348,'TAR FIN'!$A$1:$O$92,15,0)),0,VLOOKUP($S$348,'TAR FIN'!$A$1:$O$92,15,0))</f>
        <v>0</v>
      </c>
      <c r="W348" s="6">
        <f>IF(ISERROR(VLOOKUP($T$348,'TAR FIN'!$A$1:$O$92,15,0)),0,VLOOKUP($T$348,'TAR FIN'!$A$1:$O$92,15,0))</f>
        <v>244.15</v>
      </c>
      <c r="X348" s="6">
        <f>IF(ISERROR(VLOOKUP($U$348,'TAR FIN'!$A$1:$O$92,15,0)),0,VLOOKUP($U$348,'TAR FIN'!$A$1:$O$92,15,0))</f>
        <v>273.19</v>
      </c>
      <c r="Y348" s="6"/>
      <c r="Z348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348" s="6">
        <f>('TE BE'!$AB$15+'TE BF'!$AB$15+'TE CVA'!$AB$15)*(1-CUSTOS!$M$36)</f>
        <v>258.44753402717492</v>
      </c>
      <c r="AB348" s="6">
        <f>$K$348*$V$348</f>
        <v>0</v>
      </c>
      <c r="AC348" s="6">
        <f>$M$348*$W$348</f>
        <v>4495.53395</v>
      </c>
      <c r="AD348" s="6">
        <f>$O$348*$X$348</f>
        <v>5030.2474700000002</v>
      </c>
      <c r="AE348" s="6">
        <f>$K$348*$Y$348</f>
        <v>0</v>
      </c>
      <c r="AF348" s="6">
        <f ca="1">$M$348*$Z$348</f>
        <v>5300.22836707437</v>
      </c>
      <c r="AG348" s="6">
        <f>$O$348*$AA$348</f>
        <v>4758.7944440423717</v>
      </c>
    </row>
    <row r="349" spans="1:33" ht="11.25" customHeight="1" x14ac:dyDescent="0.3">
      <c r="A349" s="4" t="s">
        <v>21</v>
      </c>
      <c r="B349" s="4" t="s">
        <v>22</v>
      </c>
      <c r="C349" s="4" t="s">
        <v>23</v>
      </c>
      <c r="D349" s="4" t="s">
        <v>24</v>
      </c>
      <c r="E349" s="4" t="s">
        <v>30</v>
      </c>
      <c r="F349" s="4" t="s">
        <v>25</v>
      </c>
      <c r="G349" s="4" t="s">
        <v>25</v>
      </c>
      <c r="H349" s="4" t="s">
        <v>25</v>
      </c>
      <c r="I349" s="5">
        <v>44743</v>
      </c>
      <c r="J349" s="6">
        <v>0</v>
      </c>
      <c r="K349" s="6">
        <v>0</v>
      </c>
      <c r="L349" s="6">
        <v>20.666</v>
      </c>
      <c r="M349" s="6">
        <v>20.666</v>
      </c>
      <c r="N349" s="6">
        <v>20.666</v>
      </c>
      <c r="O349" s="6">
        <v>20.666</v>
      </c>
      <c r="P349" s="6">
        <v>180</v>
      </c>
      <c r="Q349" s="4" t="s">
        <v>26</v>
      </c>
      <c r="R349" s="4">
        <v>0</v>
      </c>
      <c r="S349" s="6">
        <v>0</v>
      </c>
      <c r="T349" s="6">
        <v>45</v>
      </c>
      <c r="U349" s="6">
        <v>2</v>
      </c>
      <c r="V349" s="6">
        <f>IF(ISERROR(VLOOKUP($S$349,'TAR FIN'!$A$1:$O$92,15,0)),0,VLOOKUP($S$349,'TAR FIN'!$A$1:$O$92,15,0))</f>
        <v>0</v>
      </c>
      <c r="W349" s="6">
        <f>IF(ISERROR(VLOOKUP($T$349,'TAR FIN'!$A$1:$O$92,15,0)),0,VLOOKUP($T$349,'TAR FIN'!$A$1:$O$92,15,0))</f>
        <v>244.15</v>
      </c>
      <c r="X349" s="6">
        <f>IF(ISERROR(VLOOKUP($U$349,'TAR FIN'!$A$1:$O$92,15,0)),0,VLOOKUP($U$349,'TAR FIN'!$A$1:$O$92,15,0))</f>
        <v>273.19</v>
      </c>
      <c r="Y349" s="6"/>
      <c r="Z349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349" s="6">
        <f>('TE BE'!$AB$15+'TE BF'!$AB$15+'TE CVA'!$AB$15)*(1-CUSTOS!$M$36)</f>
        <v>258.44753402717492</v>
      </c>
      <c r="AB349" s="6">
        <f>$K$349*$V$349</f>
        <v>0</v>
      </c>
      <c r="AC349" s="6">
        <f>$M$349*$W$349</f>
        <v>5045.6039000000001</v>
      </c>
      <c r="AD349" s="6">
        <f>$O$349*$X$349</f>
        <v>5645.7445399999997</v>
      </c>
      <c r="AE349" s="6">
        <f>$K$349*$Y$349</f>
        <v>0</v>
      </c>
      <c r="AF349" s="6">
        <f ca="1">$M$349*$Z$349</f>
        <v>5948.760084394663</v>
      </c>
      <c r="AG349" s="6">
        <f>$O$349*$AA$349</f>
        <v>5341.0767382055974</v>
      </c>
    </row>
    <row r="350" spans="1:33" ht="11.25" customHeight="1" x14ac:dyDescent="0.3">
      <c r="A350" s="4" t="s">
        <v>21</v>
      </c>
      <c r="B350" s="4" t="s">
        <v>22</v>
      </c>
      <c r="C350" s="4" t="s">
        <v>23</v>
      </c>
      <c r="D350" s="4" t="s">
        <v>24</v>
      </c>
      <c r="E350" s="4" t="s">
        <v>31</v>
      </c>
      <c r="F350" s="4" t="s">
        <v>25</v>
      </c>
      <c r="G350" s="4" t="s">
        <v>25</v>
      </c>
      <c r="H350" s="4" t="s">
        <v>25</v>
      </c>
      <c r="I350" s="5">
        <v>44409</v>
      </c>
      <c r="J350" s="6">
        <v>0</v>
      </c>
      <c r="K350" s="6">
        <v>0</v>
      </c>
      <c r="L350" s="6">
        <v>5.9829999999999997</v>
      </c>
      <c r="M350" s="6">
        <v>5.9829999999999997</v>
      </c>
      <c r="N350" s="6">
        <v>5.9829999999999997</v>
      </c>
      <c r="O350" s="6">
        <v>5.9829999999999997</v>
      </c>
      <c r="P350" s="6">
        <v>82</v>
      </c>
      <c r="Q350" s="4" t="s">
        <v>26</v>
      </c>
      <c r="R350" s="4">
        <v>0</v>
      </c>
      <c r="S350" s="6">
        <v>0</v>
      </c>
      <c r="T350" s="6">
        <v>46</v>
      </c>
      <c r="U350" s="6">
        <v>4</v>
      </c>
      <c r="V350" s="6">
        <f>IF(ISERROR(VLOOKUP($S$350,'TAR FIN'!$A$1:$O$92,15,0)),0,VLOOKUP($S$350,'TAR FIN'!$A$1:$O$92,15,0))</f>
        <v>0</v>
      </c>
      <c r="W350" s="6">
        <f>IF(ISERROR(VLOOKUP($T$350,'TAR FIN'!$A$1:$O$92,15,0)),0,VLOOKUP($T$350,'TAR FIN'!$A$1:$O$92,15,0))</f>
        <v>271.27999999999997</v>
      </c>
      <c r="X350" s="6">
        <f>IF(ISERROR(VLOOKUP($U$350,'TAR FIN'!$A$1:$O$92,15,0)),0,VLOOKUP($U$350,'TAR FIN'!$A$1:$O$92,15,0))</f>
        <v>303.54000000000002</v>
      </c>
      <c r="Y350" s="6"/>
      <c r="Z350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350" s="6">
        <f>('TE BE'!$AB$16+'TE BF'!$AB$16+'TE CVA'!$AB$16)*(1-CUSTOS!$M$37)</f>
        <v>287.16392669686104</v>
      </c>
      <c r="AB350" s="6">
        <f>$K$350*$V$350</f>
        <v>0</v>
      </c>
      <c r="AC350" s="6">
        <f>$M$350*$W$350</f>
        <v>1623.0682399999998</v>
      </c>
      <c r="AD350" s="6">
        <f>$O$350*$X$350</f>
        <v>1816.0798199999999</v>
      </c>
      <c r="AE350" s="6">
        <f>$K$350*$Y$350</f>
        <v>0</v>
      </c>
      <c r="AF350" s="6">
        <f ca="1">$M$350*$Z$350</f>
        <v>1913.5795555197087</v>
      </c>
      <c r="AG350" s="6">
        <f>$O$350*$AA$350</f>
        <v>1718.1017734273196</v>
      </c>
    </row>
    <row r="351" spans="1:33" ht="11.25" customHeight="1" x14ac:dyDescent="0.3">
      <c r="A351" s="4" t="s">
        <v>21</v>
      </c>
      <c r="B351" s="4" t="s">
        <v>22</v>
      </c>
      <c r="C351" s="4" t="s">
        <v>23</v>
      </c>
      <c r="D351" s="4" t="s">
        <v>24</v>
      </c>
      <c r="E351" s="4" t="s">
        <v>31</v>
      </c>
      <c r="F351" s="4" t="s">
        <v>25</v>
      </c>
      <c r="G351" s="4" t="s">
        <v>25</v>
      </c>
      <c r="H351" s="4" t="s">
        <v>25</v>
      </c>
      <c r="I351" s="5">
        <v>44440</v>
      </c>
      <c r="J351" s="6">
        <v>0</v>
      </c>
      <c r="K351" s="6">
        <v>0</v>
      </c>
      <c r="L351" s="6">
        <v>7.6020000000000003</v>
      </c>
      <c r="M351" s="6">
        <v>7.6020000000000003</v>
      </c>
      <c r="N351" s="6">
        <v>7.6020000000000003</v>
      </c>
      <c r="O351" s="6">
        <v>7.6020000000000003</v>
      </c>
      <c r="P351" s="6">
        <v>96</v>
      </c>
      <c r="Q351" s="4" t="s">
        <v>26</v>
      </c>
      <c r="R351" s="4">
        <v>0</v>
      </c>
      <c r="S351" s="6">
        <v>0</v>
      </c>
      <c r="T351" s="6">
        <v>46</v>
      </c>
      <c r="U351" s="6">
        <v>4</v>
      </c>
      <c r="V351" s="6">
        <f>IF(ISERROR(VLOOKUP($S$351,'TAR FIN'!$A$1:$O$92,15,0)),0,VLOOKUP($S$351,'TAR FIN'!$A$1:$O$92,15,0))</f>
        <v>0</v>
      </c>
      <c r="W351" s="6">
        <f>IF(ISERROR(VLOOKUP($T$351,'TAR FIN'!$A$1:$O$92,15,0)),0,VLOOKUP($T$351,'TAR FIN'!$A$1:$O$92,15,0))</f>
        <v>271.27999999999997</v>
      </c>
      <c r="X351" s="6">
        <f>IF(ISERROR(VLOOKUP($U$351,'TAR FIN'!$A$1:$O$92,15,0)),0,VLOOKUP($U$351,'TAR FIN'!$A$1:$O$92,15,0))</f>
        <v>303.54000000000002</v>
      </c>
      <c r="Y351" s="6"/>
      <c r="Z351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351" s="6">
        <f>('TE BE'!$AB$16+'TE BF'!$AB$16+'TE CVA'!$AB$16)*(1-CUSTOS!$M$37)</f>
        <v>287.16392669686104</v>
      </c>
      <c r="AB351" s="6">
        <f>$K$351*$V$351</f>
        <v>0</v>
      </c>
      <c r="AC351" s="6">
        <f>$M$351*$W$351</f>
        <v>2062.2705599999999</v>
      </c>
      <c r="AD351" s="6">
        <f>$O$351*$X$351</f>
        <v>2307.5110800000002</v>
      </c>
      <c r="AE351" s="6">
        <f>$K$351*$Y$351</f>
        <v>0</v>
      </c>
      <c r="AF351" s="6">
        <f ca="1">$M$351*$Z$351</f>
        <v>2431.3942472105678</v>
      </c>
      <c r="AG351" s="6">
        <f>$O$351*$AA$351</f>
        <v>2183.0201707495376</v>
      </c>
    </row>
    <row r="352" spans="1:33" ht="11.25" customHeight="1" x14ac:dyDescent="0.3">
      <c r="A352" s="4" t="s">
        <v>21</v>
      </c>
      <c r="B352" s="4" t="s">
        <v>22</v>
      </c>
      <c r="C352" s="4" t="s">
        <v>23</v>
      </c>
      <c r="D352" s="4" t="s">
        <v>24</v>
      </c>
      <c r="E352" s="4" t="s">
        <v>31</v>
      </c>
      <c r="F352" s="4" t="s">
        <v>25</v>
      </c>
      <c r="G352" s="4" t="s">
        <v>25</v>
      </c>
      <c r="H352" s="4" t="s">
        <v>25</v>
      </c>
      <c r="I352" s="5">
        <v>44470</v>
      </c>
      <c r="J352" s="6">
        <v>0</v>
      </c>
      <c r="K352" s="6">
        <v>0</v>
      </c>
      <c r="L352" s="6">
        <v>4.5890000000000004</v>
      </c>
      <c r="M352" s="6">
        <v>4.5890000000000004</v>
      </c>
      <c r="N352" s="6">
        <v>4.5890000000000004</v>
      </c>
      <c r="O352" s="6">
        <v>4.5890000000000004</v>
      </c>
      <c r="P352" s="6">
        <v>64</v>
      </c>
      <c r="Q352" s="4" t="s">
        <v>26</v>
      </c>
      <c r="R352" s="4">
        <v>0</v>
      </c>
      <c r="S352" s="6">
        <v>0</v>
      </c>
      <c r="T352" s="6">
        <v>46</v>
      </c>
      <c r="U352" s="6">
        <v>4</v>
      </c>
      <c r="V352" s="6">
        <f>IF(ISERROR(VLOOKUP($S$352,'TAR FIN'!$A$1:$O$92,15,0)),0,VLOOKUP($S$352,'TAR FIN'!$A$1:$O$92,15,0))</f>
        <v>0</v>
      </c>
      <c r="W352" s="6">
        <f>IF(ISERROR(VLOOKUP($T$352,'TAR FIN'!$A$1:$O$92,15,0)),0,VLOOKUP($T$352,'TAR FIN'!$A$1:$O$92,15,0))</f>
        <v>271.27999999999997</v>
      </c>
      <c r="X352" s="6">
        <f>IF(ISERROR(VLOOKUP($U$352,'TAR FIN'!$A$1:$O$92,15,0)),0,VLOOKUP($U$352,'TAR FIN'!$A$1:$O$92,15,0))</f>
        <v>303.54000000000002</v>
      </c>
      <c r="Y352" s="6"/>
      <c r="Z352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352" s="6">
        <f>('TE BE'!$AB$16+'TE BF'!$AB$16+'TE CVA'!$AB$16)*(1-CUSTOS!$M$37)</f>
        <v>287.16392669686104</v>
      </c>
      <c r="AB352" s="6">
        <f>$K$352*$V$352</f>
        <v>0</v>
      </c>
      <c r="AC352" s="6">
        <f>$M$352*$W$352</f>
        <v>1244.90392</v>
      </c>
      <c r="AD352" s="6">
        <f>$O$352*$X$352</f>
        <v>1392.9450600000002</v>
      </c>
      <c r="AE352" s="6">
        <f>$K$352*$Y$352</f>
        <v>0</v>
      </c>
      <c r="AF352" s="6">
        <f ca="1">$M$352*$Z$352</f>
        <v>1467.7279926926199</v>
      </c>
      <c r="AG352" s="6">
        <f>$O$352*$AA$352</f>
        <v>1317.7952596118955</v>
      </c>
    </row>
    <row r="353" spans="1:33" ht="11.25" customHeight="1" x14ac:dyDescent="0.3">
      <c r="A353" s="4" t="s">
        <v>21</v>
      </c>
      <c r="B353" s="4" t="s">
        <v>22</v>
      </c>
      <c r="C353" s="4" t="s">
        <v>23</v>
      </c>
      <c r="D353" s="4" t="s">
        <v>24</v>
      </c>
      <c r="E353" s="4" t="s">
        <v>31</v>
      </c>
      <c r="F353" s="4" t="s">
        <v>25</v>
      </c>
      <c r="G353" s="4" t="s">
        <v>25</v>
      </c>
      <c r="H353" s="4" t="s">
        <v>25</v>
      </c>
      <c r="I353" s="5">
        <v>44501</v>
      </c>
      <c r="J353" s="6">
        <v>0</v>
      </c>
      <c r="K353" s="6">
        <v>0</v>
      </c>
      <c r="L353" s="6">
        <v>3.7509999999999999</v>
      </c>
      <c r="M353" s="6">
        <v>3.7509999999999999</v>
      </c>
      <c r="N353" s="6">
        <v>3.7509999999999999</v>
      </c>
      <c r="O353" s="6">
        <v>3.7509999999999999</v>
      </c>
      <c r="P353" s="6">
        <v>60</v>
      </c>
      <c r="Q353" s="4" t="s">
        <v>26</v>
      </c>
      <c r="R353" s="4">
        <v>0</v>
      </c>
      <c r="S353" s="6">
        <v>0</v>
      </c>
      <c r="T353" s="6">
        <v>46</v>
      </c>
      <c r="U353" s="6">
        <v>4</v>
      </c>
      <c r="V353" s="6">
        <f>IF(ISERROR(VLOOKUP($S$353,'TAR FIN'!$A$1:$O$92,15,0)),0,VLOOKUP($S$353,'TAR FIN'!$A$1:$O$92,15,0))</f>
        <v>0</v>
      </c>
      <c r="W353" s="6">
        <f>IF(ISERROR(VLOOKUP($T$353,'TAR FIN'!$A$1:$O$92,15,0)),0,VLOOKUP($T$353,'TAR FIN'!$A$1:$O$92,15,0))</f>
        <v>271.27999999999997</v>
      </c>
      <c r="X353" s="6">
        <f>IF(ISERROR(VLOOKUP($U$353,'TAR FIN'!$A$1:$O$92,15,0)),0,VLOOKUP($U$353,'TAR FIN'!$A$1:$O$92,15,0))</f>
        <v>303.54000000000002</v>
      </c>
      <c r="Y353" s="6"/>
      <c r="Z353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353" s="6">
        <f>('TE BE'!$AB$16+'TE BF'!$AB$16+'TE CVA'!$AB$16)*(1-CUSTOS!$M$37)</f>
        <v>287.16392669686104</v>
      </c>
      <c r="AB353" s="6">
        <f>$K$353*$V$353</f>
        <v>0</v>
      </c>
      <c r="AC353" s="6">
        <f>$M$353*$W$353</f>
        <v>1017.5712799999999</v>
      </c>
      <c r="AD353" s="6">
        <f>$O$353*$X$353</f>
        <v>1138.57854</v>
      </c>
      <c r="AE353" s="6">
        <f>$K$353*$Y$353</f>
        <v>0</v>
      </c>
      <c r="AF353" s="6">
        <f ca="1">$M$353*$Z$353</f>
        <v>1199.7053171911127</v>
      </c>
      <c r="AG353" s="6">
        <f>$O$353*$AA$353</f>
        <v>1077.1518890399257</v>
      </c>
    </row>
    <row r="354" spans="1:33" ht="11.25" customHeight="1" x14ac:dyDescent="0.3">
      <c r="A354" s="4" t="s">
        <v>21</v>
      </c>
      <c r="B354" s="4" t="s">
        <v>22</v>
      </c>
      <c r="C354" s="4" t="s">
        <v>23</v>
      </c>
      <c r="D354" s="4" t="s">
        <v>24</v>
      </c>
      <c r="E354" s="4" t="s">
        <v>31</v>
      </c>
      <c r="F354" s="4" t="s">
        <v>25</v>
      </c>
      <c r="G354" s="4" t="s">
        <v>25</v>
      </c>
      <c r="H354" s="4" t="s">
        <v>25</v>
      </c>
      <c r="I354" s="5">
        <v>44531</v>
      </c>
      <c r="J354" s="6">
        <v>0</v>
      </c>
      <c r="K354" s="6">
        <v>0</v>
      </c>
      <c r="L354" s="6">
        <v>7.5640000000000001</v>
      </c>
      <c r="M354" s="6">
        <v>7.5640000000000001</v>
      </c>
      <c r="N354" s="6">
        <v>7.5640000000000001</v>
      </c>
      <c r="O354" s="6">
        <v>7.5640000000000001</v>
      </c>
      <c r="P354" s="6">
        <v>97</v>
      </c>
      <c r="Q354" s="4" t="s">
        <v>26</v>
      </c>
      <c r="R354" s="4">
        <v>0</v>
      </c>
      <c r="S354" s="6">
        <v>0</v>
      </c>
      <c r="T354" s="6">
        <v>46</v>
      </c>
      <c r="U354" s="6">
        <v>4</v>
      </c>
      <c r="V354" s="6">
        <f>IF(ISERROR(VLOOKUP($S$354,'TAR FIN'!$A$1:$O$92,15,0)),0,VLOOKUP($S$354,'TAR FIN'!$A$1:$O$92,15,0))</f>
        <v>0</v>
      </c>
      <c r="W354" s="6">
        <f>IF(ISERROR(VLOOKUP($T$354,'TAR FIN'!$A$1:$O$92,15,0)),0,VLOOKUP($T$354,'TAR FIN'!$A$1:$O$92,15,0))</f>
        <v>271.27999999999997</v>
      </c>
      <c r="X354" s="6">
        <f>IF(ISERROR(VLOOKUP($U$354,'TAR FIN'!$A$1:$O$92,15,0)),0,VLOOKUP($U$354,'TAR FIN'!$A$1:$O$92,15,0))</f>
        <v>303.54000000000002</v>
      </c>
      <c r="Y354" s="6"/>
      <c r="Z354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354" s="6">
        <f>('TE BE'!$AB$16+'TE BF'!$AB$16+'TE CVA'!$AB$16)*(1-CUSTOS!$M$37)</f>
        <v>287.16392669686104</v>
      </c>
      <c r="AB354" s="6">
        <f>$K$354*$V$354</f>
        <v>0</v>
      </c>
      <c r="AC354" s="6">
        <f>$M$354*$W$354</f>
        <v>2051.9619199999997</v>
      </c>
      <c r="AD354" s="6">
        <f>$O$354*$X$354</f>
        <v>2295.9765600000001</v>
      </c>
      <c r="AE354" s="6">
        <f>$K$354*$Y$354</f>
        <v>0</v>
      </c>
      <c r="AF354" s="6">
        <f ca="1">$M$354*$Z$354</f>
        <v>2419.2404743357974</v>
      </c>
      <c r="AG354" s="6">
        <f>$O$354*$AA$354</f>
        <v>2172.1079415350569</v>
      </c>
    </row>
    <row r="355" spans="1:33" ht="11.25" customHeight="1" x14ac:dyDescent="0.3">
      <c r="A355" s="4" t="s">
        <v>21</v>
      </c>
      <c r="B355" s="4" t="s">
        <v>22</v>
      </c>
      <c r="C355" s="4" t="s">
        <v>23</v>
      </c>
      <c r="D355" s="4" t="s">
        <v>24</v>
      </c>
      <c r="E355" s="4" t="s">
        <v>31</v>
      </c>
      <c r="F355" s="4" t="s">
        <v>25</v>
      </c>
      <c r="G355" s="4" t="s">
        <v>25</v>
      </c>
      <c r="H355" s="4" t="s">
        <v>25</v>
      </c>
      <c r="I355" s="5">
        <v>44562</v>
      </c>
      <c r="J355" s="6">
        <v>0</v>
      </c>
      <c r="K355" s="6">
        <v>0</v>
      </c>
      <c r="L355" s="6">
        <v>6.6920000000000002</v>
      </c>
      <c r="M355" s="6">
        <v>6.6920000000000002</v>
      </c>
      <c r="N355" s="6">
        <v>6.6920000000000002</v>
      </c>
      <c r="O355" s="6">
        <v>6.6920000000000002</v>
      </c>
      <c r="P355" s="6">
        <v>87</v>
      </c>
      <c r="Q355" s="4" t="s">
        <v>26</v>
      </c>
      <c r="R355" s="4">
        <v>0</v>
      </c>
      <c r="S355" s="6">
        <v>0</v>
      </c>
      <c r="T355" s="6">
        <v>46</v>
      </c>
      <c r="U355" s="6">
        <v>4</v>
      </c>
      <c r="V355" s="6">
        <f>IF(ISERROR(VLOOKUP($S$355,'TAR FIN'!$A$1:$O$92,15,0)),0,VLOOKUP($S$355,'TAR FIN'!$A$1:$O$92,15,0))</f>
        <v>0</v>
      </c>
      <c r="W355" s="6">
        <f>IF(ISERROR(VLOOKUP($T$355,'TAR FIN'!$A$1:$O$92,15,0)),0,VLOOKUP($T$355,'TAR FIN'!$A$1:$O$92,15,0))</f>
        <v>271.27999999999997</v>
      </c>
      <c r="X355" s="6">
        <f>IF(ISERROR(VLOOKUP($U$355,'TAR FIN'!$A$1:$O$92,15,0)),0,VLOOKUP($U$355,'TAR FIN'!$A$1:$O$92,15,0))</f>
        <v>303.54000000000002</v>
      </c>
      <c r="Y355" s="6"/>
      <c r="Z355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355" s="6">
        <f>('TE BE'!$AB$16+'TE BF'!$AB$16+'TE CVA'!$AB$16)*(1-CUSTOS!$M$37)</f>
        <v>287.16392669686104</v>
      </c>
      <c r="AB355" s="6">
        <f>$K$355*$V$355</f>
        <v>0</v>
      </c>
      <c r="AC355" s="6">
        <f>$M$355*$W$355</f>
        <v>1815.4057599999999</v>
      </c>
      <c r="AD355" s="6">
        <f>$O$355*$X$355</f>
        <v>2031.2896800000001</v>
      </c>
      <c r="AE355" s="6">
        <f>$K$355*$Y$355</f>
        <v>0</v>
      </c>
      <c r="AF355" s="6">
        <f ca="1">$M$355*$Z$355</f>
        <v>2140.3433704726544</v>
      </c>
      <c r="AG355" s="6">
        <f>$O$355*$AA$355</f>
        <v>1921.7009974553941</v>
      </c>
    </row>
    <row r="356" spans="1:33" ht="11.25" customHeight="1" x14ac:dyDescent="0.3">
      <c r="A356" s="4" t="s">
        <v>21</v>
      </c>
      <c r="B356" s="4" t="s">
        <v>22</v>
      </c>
      <c r="C356" s="4" t="s">
        <v>23</v>
      </c>
      <c r="D356" s="4" t="s">
        <v>24</v>
      </c>
      <c r="E356" s="4" t="s">
        <v>31</v>
      </c>
      <c r="F356" s="4" t="s">
        <v>25</v>
      </c>
      <c r="G356" s="4" t="s">
        <v>25</v>
      </c>
      <c r="H356" s="4" t="s">
        <v>25</v>
      </c>
      <c r="I356" s="5">
        <v>44593</v>
      </c>
      <c r="J356" s="6">
        <v>0</v>
      </c>
      <c r="K356" s="6">
        <v>0</v>
      </c>
      <c r="L356" s="6">
        <v>15.93</v>
      </c>
      <c r="M356" s="6">
        <v>15.93</v>
      </c>
      <c r="N356" s="6">
        <v>15.93</v>
      </c>
      <c r="O356" s="6">
        <v>15.93</v>
      </c>
      <c r="P356" s="6">
        <v>143</v>
      </c>
      <c r="Q356" s="4" t="s">
        <v>26</v>
      </c>
      <c r="R356" s="4">
        <v>0</v>
      </c>
      <c r="S356" s="6">
        <v>0</v>
      </c>
      <c r="T356" s="6">
        <v>46</v>
      </c>
      <c r="U356" s="6">
        <v>4</v>
      </c>
      <c r="V356" s="6">
        <f>IF(ISERROR(VLOOKUP($S$356,'TAR FIN'!$A$1:$O$92,15,0)),0,VLOOKUP($S$356,'TAR FIN'!$A$1:$O$92,15,0))</f>
        <v>0</v>
      </c>
      <c r="W356" s="6">
        <f>IF(ISERROR(VLOOKUP($T$356,'TAR FIN'!$A$1:$O$92,15,0)),0,VLOOKUP($T$356,'TAR FIN'!$A$1:$O$92,15,0))</f>
        <v>271.27999999999997</v>
      </c>
      <c r="X356" s="6">
        <f>IF(ISERROR(VLOOKUP($U$356,'TAR FIN'!$A$1:$O$92,15,0)),0,VLOOKUP($U$356,'TAR FIN'!$A$1:$O$92,15,0))</f>
        <v>303.54000000000002</v>
      </c>
      <c r="Y356" s="6"/>
      <c r="Z356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356" s="6">
        <f>('TE BE'!$AB$16+'TE BF'!$AB$16+'TE CVA'!$AB$16)*(1-CUSTOS!$M$37)</f>
        <v>287.16392669686104</v>
      </c>
      <c r="AB356" s="6">
        <f>$K$356*$V$356</f>
        <v>0</v>
      </c>
      <c r="AC356" s="6">
        <f>$M$356*$W$356</f>
        <v>4321.4903999999997</v>
      </c>
      <c r="AD356" s="6">
        <f>$O$356*$X$356</f>
        <v>4835.3922000000002</v>
      </c>
      <c r="AE356" s="6">
        <f>$K$356*$Y$356</f>
        <v>0</v>
      </c>
      <c r="AF356" s="6">
        <f ca="1">$M$356*$Z$356</f>
        <v>5094.9895235548984</v>
      </c>
      <c r="AG356" s="6">
        <f>$O$356*$AA$356</f>
        <v>4574.5213522809963</v>
      </c>
    </row>
    <row r="357" spans="1:33" ht="11.25" customHeight="1" x14ac:dyDescent="0.3">
      <c r="A357" s="4" t="s">
        <v>21</v>
      </c>
      <c r="B357" s="4" t="s">
        <v>22</v>
      </c>
      <c r="C357" s="4" t="s">
        <v>23</v>
      </c>
      <c r="D357" s="4" t="s">
        <v>24</v>
      </c>
      <c r="E357" s="4" t="s">
        <v>31</v>
      </c>
      <c r="F357" s="4" t="s">
        <v>25</v>
      </c>
      <c r="G357" s="4" t="s">
        <v>25</v>
      </c>
      <c r="H357" s="4" t="s">
        <v>25</v>
      </c>
      <c r="I357" s="5">
        <v>44621</v>
      </c>
      <c r="J357" s="6">
        <v>0</v>
      </c>
      <c r="K357" s="6">
        <v>0</v>
      </c>
      <c r="L357" s="6">
        <v>12.44</v>
      </c>
      <c r="M357" s="6">
        <v>12.44</v>
      </c>
      <c r="N357" s="6">
        <v>12.44</v>
      </c>
      <c r="O357" s="6">
        <v>12.44</v>
      </c>
      <c r="P357" s="6">
        <v>118</v>
      </c>
      <c r="Q357" s="4" t="s">
        <v>26</v>
      </c>
      <c r="R357" s="4">
        <v>0</v>
      </c>
      <c r="S357" s="6">
        <v>0</v>
      </c>
      <c r="T357" s="6">
        <v>46</v>
      </c>
      <c r="U357" s="6">
        <v>4</v>
      </c>
      <c r="V357" s="6">
        <f>IF(ISERROR(VLOOKUP($S$357,'TAR FIN'!$A$1:$O$92,15,0)),0,VLOOKUP($S$357,'TAR FIN'!$A$1:$O$92,15,0))</f>
        <v>0</v>
      </c>
      <c r="W357" s="6">
        <f>IF(ISERROR(VLOOKUP($T$357,'TAR FIN'!$A$1:$O$92,15,0)),0,VLOOKUP($T$357,'TAR FIN'!$A$1:$O$92,15,0))</f>
        <v>271.27999999999997</v>
      </c>
      <c r="X357" s="6">
        <f>IF(ISERROR(VLOOKUP($U$357,'TAR FIN'!$A$1:$O$92,15,0)),0,VLOOKUP($U$357,'TAR FIN'!$A$1:$O$92,15,0))</f>
        <v>303.54000000000002</v>
      </c>
      <c r="Y357" s="6"/>
      <c r="Z357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357" s="6">
        <f>('TE BE'!$AB$16+'TE BF'!$AB$16+'TE CVA'!$AB$16)*(1-CUSTOS!$M$37)</f>
        <v>287.16392669686104</v>
      </c>
      <c r="AB357" s="6">
        <f>$K$357*$V$357</f>
        <v>0</v>
      </c>
      <c r="AC357" s="6">
        <f>$M$357*$W$357</f>
        <v>3374.7231999999995</v>
      </c>
      <c r="AD357" s="6">
        <f>$O$357*$X$357</f>
        <v>3776.0376000000001</v>
      </c>
      <c r="AE357" s="6">
        <f>$K$357*$Y$357</f>
        <v>0</v>
      </c>
      <c r="AF357" s="6">
        <f ca="1">$M$357*$Z$357</f>
        <v>3978.761435845759</v>
      </c>
      <c r="AG357" s="6">
        <f>$O$357*$AA$357</f>
        <v>3572.3192481089513</v>
      </c>
    </row>
    <row r="358" spans="1:33" ht="11.25" customHeight="1" x14ac:dyDescent="0.3">
      <c r="A358" s="4" t="s">
        <v>21</v>
      </c>
      <c r="B358" s="4" t="s">
        <v>22</v>
      </c>
      <c r="C358" s="4" t="s">
        <v>23</v>
      </c>
      <c r="D358" s="4" t="s">
        <v>24</v>
      </c>
      <c r="E358" s="4" t="s">
        <v>31</v>
      </c>
      <c r="F358" s="4" t="s">
        <v>25</v>
      </c>
      <c r="G358" s="4" t="s">
        <v>25</v>
      </c>
      <c r="H358" s="4" t="s">
        <v>25</v>
      </c>
      <c r="I358" s="5">
        <v>44652</v>
      </c>
      <c r="J358" s="6">
        <v>0</v>
      </c>
      <c r="K358" s="6">
        <v>0</v>
      </c>
      <c r="L358" s="6">
        <v>7.141</v>
      </c>
      <c r="M358" s="6">
        <v>7.141</v>
      </c>
      <c r="N358" s="6">
        <v>7.141</v>
      </c>
      <c r="O358" s="6">
        <v>7.141</v>
      </c>
      <c r="P358" s="6">
        <v>95</v>
      </c>
      <c r="Q358" s="4" t="s">
        <v>26</v>
      </c>
      <c r="R358" s="4">
        <v>0</v>
      </c>
      <c r="S358" s="6">
        <v>0</v>
      </c>
      <c r="T358" s="6">
        <v>46</v>
      </c>
      <c r="U358" s="6">
        <v>4</v>
      </c>
      <c r="V358" s="6">
        <f>IF(ISERROR(VLOOKUP($S$358,'TAR FIN'!$A$1:$O$92,15,0)),0,VLOOKUP($S$358,'TAR FIN'!$A$1:$O$92,15,0))</f>
        <v>0</v>
      </c>
      <c r="W358" s="6">
        <f>IF(ISERROR(VLOOKUP($T$358,'TAR FIN'!$A$1:$O$92,15,0)),0,VLOOKUP($T$358,'TAR FIN'!$A$1:$O$92,15,0))</f>
        <v>271.27999999999997</v>
      </c>
      <c r="X358" s="6">
        <f>IF(ISERROR(VLOOKUP($U$358,'TAR FIN'!$A$1:$O$92,15,0)),0,VLOOKUP($U$358,'TAR FIN'!$A$1:$O$92,15,0))</f>
        <v>303.54000000000002</v>
      </c>
      <c r="Y358" s="6"/>
      <c r="Z358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358" s="6">
        <f>('TE BE'!$AB$16+'TE BF'!$AB$16+'TE CVA'!$AB$16)*(1-CUSTOS!$M$37)</f>
        <v>287.16392669686104</v>
      </c>
      <c r="AB358" s="6">
        <f>$K$358*$V$358</f>
        <v>0</v>
      </c>
      <c r="AC358" s="6">
        <f>$M$358*$W$358</f>
        <v>1937.2104799999997</v>
      </c>
      <c r="AD358" s="6">
        <f>$O$358*$X$358</f>
        <v>2167.5791400000003</v>
      </c>
      <c r="AE358" s="6">
        <f>$K$358*$Y$358</f>
        <v>0</v>
      </c>
      <c r="AF358" s="6">
        <f ca="1">$M$358*$Z$358</f>
        <v>2283.9497920719105</v>
      </c>
      <c r="AG358" s="6">
        <f>$O$358*$AA$358</f>
        <v>2050.6376005422849</v>
      </c>
    </row>
    <row r="359" spans="1:33" ht="11.25" customHeight="1" x14ac:dyDescent="0.3">
      <c r="A359" s="4" t="s">
        <v>21</v>
      </c>
      <c r="B359" s="4" t="s">
        <v>22</v>
      </c>
      <c r="C359" s="4" t="s">
        <v>23</v>
      </c>
      <c r="D359" s="4" t="s">
        <v>24</v>
      </c>
      <c r="E359" s="4" t="s">
        <v>31</v>
      </c>
      <c r="F359" s="4" t="s">
        <v>25</v>
      </c>
      <c r="G359" s="4" t="s">
        <v>25</v>
      </c>
      <c r="H359" s="4" t="s">
        <v>25</v>
      </c>
      <c r="I359" s="5">
        <v>44682</v>
      </c>
      <c r="J359" s="6">
        <v>0</v>
      </c>
      <c r="K359" s="6">
        <v>0</v>
      </c>
      <c r="L359" s="6">
        <v>5.4130000000000003</v>
      </c>
      <c r="M359" s="6">
        <v>5.4130000000000003</v>
      </c>
      <c r="N359" s="6">
        <v>5.4130000000000003</v>
      </c>
      <c r="O359" s="6">
        <v>5.4130000000000003</v>
      </c>
      <c r="P359" s="6">
        <v>76</v>
      </c>
      <c r="Q359" s="4" t="s">
        <v>26</v>
      </c>
      <c r="R359" s="4">
        <v>0</v>
      </c>
      <c r="S359" s="6">
        <v>0</v>
      </c>
      <c r="T359" s="6">
        <v>46</v>
      </c>
      <c r="U359" s="6">
        <v>4</v>
      </c>
      <c r="V359" s="6">
        <f>IF(ISERROR(VLOOKUP($S$359,'TAR FIN'!$A$1:$O$92,15,0)),0,VLOOKUP($S$359,'TAR FIN'!$A$1:$O$92,15,0))</f>
        <v>0</v>
      </c>
      <c r="W359" s="6">
        <f>IF(ISERROR(VLOOKUP($T$359,'TAR FIN'!$A$1:$O$92,15,0)),0,VLOOKUP($T$359,'TAR FIN'!$A$1:$O$92,15,0))</f>
        <v>271.27999999999997</v>
      </c>
      <c r="X359" s="6">
        <f>IF(ISERROR(VLOOKUP($U$359,'TAR FIN'!$A$1:$O$92,15,0)),0,VLOOKUP($U$359,'TAR FIN'!$A$1:$O$92,15,0))</f>
        <v>303.54000000000002</v>
      </c>
      <c r="Y359" s="6"/>
      <c r="Z359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359" s="6">
        <f>('TE BE'!$AB$16+'TE BF'!$AB$16+'TE CVA'!$AB$16)*(1-CUSTOS!$M$37)</f>
        <v>287.16392669686104</v>
      </c>
      <c r="AB359" s="6">
        <f>$K$359*$V$359</f>
        <v>0</v>
      </c>
      <c r="AC359" s="6">
        <f>$M$359*$W$359</f>
        <v>1468.4386399999999</v>
      </c>
      <c r="AD359" s="6">
        <f>$O$359*$X$359</f>
        <v>1643.0620200000001</v>
      </c>
      <c r="AE359" s="6">
        <f>$K$359*$Y$359</f>
        <v>0</v>
      </c>
      <c r="AF359" s="6">
        <f ca="1">$M$359*$Z$359</f>
        <v>1731.2729623981588</v>
      </c>
      <c r="AG359" s="6">
        <f>$O$359*$AA$359</f>
        <v>1554.4183352101088</v>
      </c>
    </row>
    <row r="360" spans="1:33" ht="11.25" customHeight="1" x14ac:dyDescent="0.3">
      <c r="A360" s="4" t="s">
        <v>21</v>
      </c>
      <c r="B360" s="4" t="s">
        <v>22</v>
      </c>
      <c r="C360" s="4" t="s">
        <v>23</v>
      </c>
      <c r="D360" s="4" t="s">
        <v>24</v>
      </c>
      <c r="E360" s="4" t="s">
        <v>31</v>
      </c>
      <c r="F360" s="4" t="s">
        <v>25</v>
      </c>
      <c r="G360" s="4" t="s">
        <v>25</v>
      </c>
      <c r="H360" s="4" t="s">
        <v>25</v>
      </c>
      <c r="I360" s="5">
        <v>44713</v>
      </c>
      <c r="J360" s="6">
        <v>0</v>
      </c>
      <c r="K360" s="6">
        <v>0</v>
      </c>
      <c r="L360" s="6">
        <v>6.1180000000000003</v>
      </c>
      <c r="M360" s="6">
        <v>6.1180000000000003</v>
      </c>
      <c r="N360" s="6">
        <v>6.1180000000000003</v>
      </c>
      <c r="O360" s="6">
        <v>6.1180000000000003</v>
      </c>
      <c r="P360" s="6">
        <v>69</v>
      </c>
      <c r="Q360" s="4" t="s">
        <v>26</v>
      </c>
      <c r="R360" s="4">
        <v>0</v>
      </c>
      <c r="S360" s="6">
        <v>0</v>
      </c>
      <c r="T360" s="6">
        <v>46</v>
      </c>
      <c r="U360" s="6">
        <v>4</v>
      </c>
      <c r="V360" s="6">
        <f>IF(ISERROR(VLOOKUP($S$360,'TAR FIN'!$A$1:$O$92,15,0)),0,VLOOKUP($S$360,'TAR FIN'!$A$1:$O$92,15,0))</f>
        <v>0</v>
      </c>
      <c r="W360" s="6">
        <f>IF(ISERROR(VLOOKUP($T$360,'TAR FIN'!$A$1:$O$92,15,0)),0,VLOOKUP($T$360,'TAR FIN'!$A$1:$O$92,15,0))</f>
        <v>271.27999999999997</v>
      </c>
      <c r="X360" s="6">
        <f>IF(ISERROR(VLOOKUP($U$360,'TAR FIN'!$A$1:$O$92,15,0)),0,VLOOKUP($U$360,'TAR FIN'!$A$1:$O$92,15,0))</f>
        <v>303.54000000000002</v>
      </c>
      <c r="Y360" s="6"/>
      <c r="Z360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360" s="6">
        <f>('TE BE'!$AB$16+'TE BF'!$AB$16+'TE CVA'!$AB$16)*(1-CUSTOS!$M$37)</f>
        <v>287.16392669686104</v>
      </c>
      <c r="AB360" s="6">
        <f>$K$360*$V$360</f>
        <v>0</v>
      </c>
      <c r="AC360" s="6">
        <f>$M$360*$W$360</f>
        <v>1659.6910399999999</v>
      </c>
      <c r="AD360" s="6">
        <f>$O$360*$X$360</f>
        <v>1857.0577200000002</v>
      </c>
      <c r="AE360" s="6">
        <f>$K$360*$Y$360</f>
        <v>0</v>
      </c>
      <c r="AF360" s="6">
        <f ca="1">$M$360*$Z$360</f>
        <v>1956.7574328379708</v>
      </c>
      <c r="AG360" s="6">
        <f>$O$360*$AA$360</f>
        <v>1756.868903531396</v>
      </c>
    </row>
    <row r="361" spans="1:33" ht="11.25" customHeight="1" x14ac:dyDescent="0.3">
      <c r="A361" s="4" t="s">
        <v>21</v>
      </c>
      <c r="B361" s="4" t="s">
        <v>22</v>
      </c>
      <c r="C361" s="4" t="s">
        <v>23</v>
      </c>
      <c r="D361" s="4" t="s">
        <v>24</v>
      </c>
      <c r="E361" s="4" t="s">
        <v>31</v>
      </c>
      <c r="F361" s="4" t="s">
        <v>25</v>
      </c>
      <c r="G361" s="4" t="s">
        <v>25</v>
      </c>
      <c r="H361" s="4" t="s">
        <v>25</v>
      </c>
      <c r="I361" s="5">
        <v>44743</v>
      </c>
      <c r="J361" s="6">
        <v>0</v>
      </c>
      <c r="K361" s="6">
        <v>0</v>
      </c>
      <c r="L361" s="6">
        <v>8.77</v>
      </c>
      <c r="M361" s="6">
        <v>8.77</v>
      </c>
      <c r="N361" s="6">
        <v>8.77</v>
      </c>
      <c r="O361" s="6">
        <v>8.77</v>
      </c>
      <c r="P361" s="6">
        <v>90</v>
      </c>
      <c r="Q361" s="4" t="s">
        <v>26</v>
      </c>
      <c r="R361" s="4">
        <v>0</v>
      </c>
      <c r="S361" s="6">
        <v>0</v>
      </c>
      <c r="T361" s="6">
        <v>46</v>
      </c>
      <c r="U361" s="6">
        <v>4</v>
      </c>
      <c r="V361" s="6">
        <f>IF(ISERROR(VLOOKUP($S$361,'TAR FIN'!$A$1:$O$92,15,0)),0,VLOOKUP($S$361,'TAR FIN'!$A$1:$O$92,15,0))</f>
        <v>0</v>
      </c>
      <c r="W361" s="6">
        <f>IF(ISERROR(VLOOKUP($T$361,'TAR FIN'!$A$1:$O$92,15,0)),0,VLOOKUP($T$361,'TAR FIN'!$A$1:$O$92,15,0))</f>
        <v>271.27999999999997</v>
      </c>
      <c r="X361" s="6">
        <f>IF(ISERROR(VLOOKUP($U$361,'TAR FIN'!$A$1:$O$92,15,0)),0,VLOOKUP($U$361,'TAR FIN'!$A$1:$O$92,15,0))</f>
        <v>303.54000000000002</v>
      </c>
      <c r="Y361" s="6"/>
      <c r="Z361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361" s="6">
        <f>('TE BE'!$AB$16+'TE BF'!$AB$16+'TE CVA'!$AB$16)*(1-CUSTOS!$M$37)</f>
        <v>287.16392669686104</v>
      </c>
      <c r="AB361" s="6">
        <f>$K$361*$V$361</f>
        <v>0</v>
      </c>
      <c r="AC361" s="6">
        <f>$M$361*$W$361</f>
        <v>2379.1255999999998</v>
      </c>
      <c r="AD361" s="6">
        <f>$O$361*$X$361</f>
        <v>2662.0457999999999</v>
      </c>
      <c r="AE361" s="6">
        <f>$K$361*$Y$361</f>
        <v>0</v>
      </c>
      <c r="AF361" s="6">
        <f ca="1">$M$361*$Z$361</f>
        <v>2804.9628450456034</v>
      </c>
      <c r="AG361" s="6">
        <f>$O$361*$AA$361</f>
        <v>2518.4276371314713</v>
      </c>
    </row>
    <row r="362" spans="1:33" ht="11.25" hidden="1" customHeight="1" x14ac:dyDescent="0.3">
      <c r="A362" s="4" t="s">
        <v>21</v>
      </c>
      <c r="B362" s="4" t="s">
        <v>41</v>
      </c>
      <c r="C362" s="4" t="s">
        <v>23</v>
      </c>
      <c r="D362" s="4" t="s">
        <v>42</v>
      </c>
      <c r="E362" s="4" t="s">
        <v>50</v>
      </c>
      <c r="F362" s="4" t="s">
        <v>51</v>
      </c>
      <c r="G362" s="4" t="s">
        <v>25</v>
      </c>
      <c r="H362" s="4" t="s">
        <v>25</v>
      </c>
      <c r="I362" s="5">
        <v>44409</v>
      </c>
      <c r="J362" s="6">
        <v>0</v>
      </c>
      <c r="K362" s="6">
        <v>0</v>
      </c>
      <c r="L362" s="6">
        <v>0.1</v>
      </c>
      <c r="M362" s="6">
        <v>0.1</v>
      </c>
      <c r="N362" s="6">
        <v>0.1</v>
      </c>
      <c r="O362" s="6">
        <v>0.1</v>
      </c>
      <c r="P362" s="6">
        <v>0</v>
      </c>
      <c r="Q362" s="4" t="s">
        <v>26</v>
      </c>
      <c r="R362" s="4">
        <v>0</v>
      </c>
      <c r="S362" s="6">
        <v>0</v>
      </c>
      <c r="T362" s="6">
        <v>62</v>
      </c>
      <c r="U362" s="6">
        <v>23</v>
      </c>
      <c r="V362" s="6">
        <f>IF(ISERROR(VLOOKUP($S$362,'TAR FIN'!$A$1:$O$92,15,0)),0,VLOOKUP($S$362,'TAR FIN'!$A$1:$O$92,15,0))</f>
        <v>0</v>
      </c>
      <c r="W362" s="6">
        <f>IF(ISERROR(VLOOKUP($T$362,'TAR FIN'!$A$1:$O$92,15,0)),0,VLOOKUP($T$362,'TAR FIN'!$A$1:$O$92,15,0))</f>
        <v>301.99</v>
      </c>
      <c r="X362" s="6">
        <f>IF(ISERROR(VLOOKUP($U$362,'TAR FIN'!$A$1:$O$92,15,0)),0,VLOOKUP($U$362,'TAR FIN'!$A$1:$O$92,15,0))</f>
        <v>267.11</v>
      </c>
      <c r="Y362" s="6"/>
      <c r="Z362" s="6">
        <f ca="1">('TUSD BE'!$AM$37+'TUSD BF'!$AM$37+'TUSD CVA'!$AM$37)*(1-CUSTOS!$M$38)</f>
        <v>443.47423500349447</v>
      </c>
      <c r="AA362" s="6">
        <f>('TE BE'!$AB$25+'TE BF'!$AB$25+'TE CVA'!$AB$25)*(1-CUSTOS!$M$38)</f>
        <v>269.93409109504938</v>
      </c>
      <c r="AB362" s="6">
        <f>$K$362*$V$362</f>
        <v>0</v>
      </c>
      <c r="AC362" s="6">
        <f>$M$362*$W$362</f>
        <v>30.199000000000002</v>
      </c>
      <c r="AD362" s="6">
        <f>$O$362*$X$362</f>
        <v>26.711000000000002</v>
      </c>
      <c r="AE362" s="6">
        <f>$K$362*$Y$362</f>
        <v>0</v>
      </c>
      <c r="AF362" s="6">
        <f ca="1">$M$362*$Z$362</f>
        <v>44.34742350034945</v>
      </c>
      <c r="AG362" s="6">
        <f>$O$362*$AA$362</f>
        <v>26.993409109504938</v>
      </c>
    </row>
    <row r="363" spans="1:33" ht="11.25" hidden="1" customHeight="1" x14ac:dyDescent="0.3">
      <c r="A363" s="4" t="s">
        <v>21</v>
      </c>
      <c r="B363" s="4" t="s">
        <v>41</v>
      </c>
      <c r="C363" s="4" t="s">
        <v>23</v>
      </c>
      <c r="D363" s="4" t="s">
        <v>42</v>
      </c>
      <c r="E363" s="4" t="s">
        <v>50</v>
      </c>
      <c r="F363" s="4" t="s">
        <v>51</v>
      </c>
      <c r="G363" s="4" t="s">
        <v>25</v>
      </c>
      <c r="H363" s="4" t="s">
        <v>25</v>
      </c>
      <c r="I363" s="5">
        <v>44440</v>
      </c>
      <c r="J363" s="6">
        <v>0</v>
      </c>
      <c r="K363" s="6">
        <v>0</v>
      </c>
      <c r="L363" s="6">
        <v>0.1</v>
      </c>
      <c r="M363" s="6">
        <v>0.1</v>
      </c>
      <c r="N363" s="6">
        <v>0.1</v>
      </c>
      <c r="O363" s="6">
        <v>0.1</v>
      </c>
      <c r="P363" s="6">
        <v>0</v>
      </c>
      <c r="Q363" s="4" t="s">
        <v>26</v>
      </c>
      <c r="R363" s="4">
        <v>0</v>
      </c>
      <c r="S363" s="6">
        <v>0</v>
      </c>
      <c r="T363" s="6">
        <v>62</v>
      </c>
      <c r="U363" s="6">
        <v>23</v>
      </c>
      <c r="V363" s="6">
        <f>IF(ISERROR(VLOOKUP($S$363,'TAR FIN'!$A$1:$O$92,15,0)),0,VLOOKUP($S$363,'TAR FIN'!$A$1:$O$92,15,0))</f>
        <v>0</v>
      </c>
      <c r="W363" s="6">
        <f>IF(ISERROR(VLOOKUP($T$363,'TAR FIN'!$A$1:$O$92,15,0)),0,VLOOKUP($T$363,'TAR FIN'!$A$1:$O$92,15,0))</f>
        <v>301.99</v>
      </c>
      <c r="X363" s="6">
        <f>IF(ISERROR(VLOOKUP($U$363,'TAR FIN'!$A$1:$O$92,15,0)),0,VLOOKUP($U$363,'TAR FIN'!$A$1:$O$92,15,0))</f>
        <v>267.11</v>
      </c>
      <c r="Y363" s="6"/>
      <c r="Z363" s="6">
        <f ca="1">('TUSD BE'!$AM$37+'TUSD BF'!$AM$37+'TUSD CVA'!$AM$37)*(1-CUSTOS!$M$38)</f>
        <v>443.47423500349447</v>
      </c>
      <c r="AA363" s="6">
        <f>('TE BE'!$AB$25+'TE BF'!$AB$25+'TE CVA'!$AB$25)*(1-CUSTOS!$M$38)</f>
        <v>269.93409109504938</v>
      </c>
      <c r="AB363" s="6">
        <f>$K$363*$V$363</f>
        <v>0</v>
      </c>
      <c r="AC363" s="6">
        <f>$M$363*$W$363</f>
        <v>30.199000000000002</v>
      </c>
      <c r="AD363" s="6">
        <f>$O$363*$X$363</f>
        <v>26.711000000000002</v>
      </c>
      <c r="AE363" s="6">
        <f>$K$363*$Y$363</f>
        <v>0</v>
      </c>
      <c r="AF363" s="6">
        <f ca="1">$M$363*$Z$363</f>
        <v>44.34742350034945</v>
      </c>
      <c r="AG363" s="6">
        <f>$O$363*$AA$363</f>
        <v>26.993409109504938</v>
      </c>
    </row>
    <row r="364" spans="1:33" ht="11.25" hidden="1" customHeight="1" x14ac:dyDescent="0.3">
      <c r="A364" s="4" t="s">
        <v>21</v>
      </c>
      <c r="B364" s="4" t="s">
        <v>41</v>
      </c>
      <c r="C364" s="4" t="s">
        <v>23</v>
      </c>
      <c r="D364" s="4" t="s">
        <v>42</v>
      </c>
      <c r="E364" s="4" t="s">
        <v>50</v>
      </c>
      <c r="F364" s="4" t="s">
        <v>51</v>
      </c>
      <c r="G364" s="4" t="s">
        <v>25</v>
      </c>
      <c r="H364" s="4" t="s">
        <v>25</v>
      </c>
      <c r="I364" s="5">
        <v>44470</v>
      </c>
      <c r="J364" s="6">
        <v>0</v>
      </c>
      <c r="K364" s="6">
        <v>0</v>
      </c>
      <c r="L364" s="6">
        <v>0.221</v>
      </c>
      <c r="M364" s="6">
        <v>0.221</v>
      </c>
      <c r="N364" s="6">
        <v>0.221</v>
      </c>
      <c r="O364" s="6">
        <v>0.221</v>
      </c>
      <c r="P364" s="6">
        <v>0</v>
      </c>
      <c r="Q364" s="4" t="s">
        <v>26</v>
      </c>
      <c r="R364" s="4">
        <v>0</v>
      </c>
      <c r="S364" s="6">
        <v>0</v>
      </c>
      <c r="T364" s="6">
        <v>62</v>
      </c>
      <c r="U364" s="6">
        <v>23</v>
      </c>
      <c r="V364" s="6">
        <f>IF(ISERROR(VLOOKUP($S$364,'TAR FIN'!$A$1:$O$92,15,0)),0,VLOOKUP($S$364,'TAR FIN'!$A$1:$O$92,15,0))</f>
        <v>0</v>
      </c>
      <c r="W364" s="6">
        <f>IF(ISERROR(VLOOKUP($T$364,'TAR FIN'!$A$1:$O$92,15,0)),0,VLOOKUP($T$364,'TAR FIN'!$A$1:$O$92,15,0))</f>
        <v>301.99</v>
      </c>
      <c r="X364" s="6">
        <f>IF(ISERROR(VLOOKUP($U$364,'TAR FIN'!$A$1:$O$92,15,0)),0,VLOOKUP($U$364,'TAR FIN'!$A$1:$O$92,15,0))</f>
        <v>267.11</v>
      </c>
      <c r="Y364" s="6"/>
      <c r="Z364" s="6">
        <f ca="1">('TUSD BE'!$AM$37+'TUSD BF'!$AM$37+'TUSD CVA'!$AM$37)*(1-CUSTOS!$M$38)</f>
        <v>443.47423500349447</v>
      </c>
      <c r="AA364" s="6">
        <f>('TE BE'!$AB$25+'TE BF'!$AB$25+'TE CVA'!$AB$25)*(1-CUSTOS!$M$38)</f>
        <v>269.93409109504938</v>
      </c>
      <c r="AB364" s="6">
        <f>$K$364*$V$364</f>
        <v>0</v>
      </c>
      <c r="AC364" s="6">
        <f>$M$364*$W$364</f>
        <v>66.739789999999999</v>
      </c>
      <c r="AD364" s="6">
        <f>$O$364*$X$364</f>
        <v>59.031310000000005</v>
      </c>
      <c r="AE364" s="6">
        <f>$K$364*$Y$364</f>
        <v>0</v>
      </c>
      <c r="AF364" s="6">
        <f ca="1">$M$364*$Z$364</f>
        <v>98.007805935772282</v>
      </c>
      <c r="AG364" s="6">
        <f>$O$364*$AA$364</f>
        <v>59.655434132005915</v>
      </c>
    </row>
    <row r="365" spans="1:33" ht="11.25" hidden="1" customHeight="1" x14ac:dyDescent="0.3">
      <c r="A365" s="4" t="s">
        <v>21</v>
      </c>
      <c r="B365" s="4" t="s">
        <v>41</v>
      </c>
      <c r="C365" s="4" t="s">
        <v>23</v>
      </c>
      <c r="D365" s="4" t="s">
        <v>42</v>
      </c>
      <c r="E365" s="4" t="s">
        <v>50</v>
      </c>
      <c r="F365" s="4" t="s">
        <v>51</v>
      </c>
      <c r="G365" s="4" t="s">
        <v>25</v>
      </c>
      <c r="H365" s="4" t="s">
        <v>25</v>
      </c>
      <c r="I365" s="5">
        <v>44501</v>
      </c>
      <c r="J365" s="6">
        <v>0</v>
      </c>
      <c r="K365" s="6">
        <v>0</v>
      </c>
      <c r="L365" s="6">
        <v>0.16200000000000001</v>
      </c>
      <c r="M365" s="6">
        <v>0.16200000000000001</v>
      </c>
      <c r="N365" s="6">
        <v>0.16200000000000001</v>
      </c>
      <c r="O365" s="6">
        <v>0.16200000000000001</v>
      </c>
      <c r="P365" s="6">
        <v>0</v>
      </c>
      <c r="Q365" s="4" t="s">
        <v>26</v>
      </c>
      <c r="R365" s="4">
        <v>0</v>
      </c>
      <c r="S365" s="6">
        <v>0</v>
      </c>
      <c r="T365" s="6">
        <v>62</v>
      </c>
      <c r="U365" s="6">
        <v>23</v>
      </c>
      <c r="V365" s="6">
        <f>IF(ISERROR(VLOOKUP($S$365,'TAR FIN'!$A$1:$O$92,15,0)),0,VLOOKUP($S$365,'TAR FIN'!$A$1:$O$92,15,0))</f>
        <v>0</v>
      </c>
      <c r="W365" s="6">
        <f>IF(ISERROR(VLOOKUP($T$365,'TAR FIN'!$A$1:$O$92,15,0)),0,VLOOKUP($T$365,'TAR FIN'!$A$1:$O$92,15,0))</f>
        <v>301.99</v>
      </c>
      <c r="X365" s="6">
        <f>IF(ISERROR(VLOOKUP($U$365,'TAR FIN'!$A$1:$O$92,15,0)),0,VLOOKUP($U$365,'TAR FIN'!$A$1:$O$92,15,0))</f>
        <v>267.11</v>
      </c>
      <c r="Y365" s="6"/>
      <c r="Z365" s="6">
        <f ca="1">('TUSD BE'!$AM$37+'TUSD BF'!$AM$37+'TUSD CVA'!$AM$37)*(1-CUSTOS!$M$38)</f>
        <v>443.47423500349447</v>
      </c>
      <c r="AA365" s="6">
        <f>('TE BE'!$AB$25+'TE BF'!$AB$25+'TE CVA'!$AB$25)*(1-CUSTOS!$M$38)</f>
        <v>269.93409109504938</v>
      </c>
      <c r="AB365" s="6">
        <f>$K$365*$V$365</f>
        <v>0</v>
      </c>
      <c r="AC365" s="6">
        <f>$M$365*$W$365</f>
        <v>48.922380000000004</v>
      </c>
      <c r="AD365" s="6">
        <f>$O$365*$X$365</f>
        <v>43.271820000000005</v>
      </c>
      <c r="AE365" s="6">
        <f>$K$365*$Y$365</f>
        <v>0</v>
      </c>
      <c r="AF365" s="6">
        <f ca="1">$M$365*$Z$365</f>
        <v>71.842826070566105</v>
      </c>
      <c r="AG365" s="6">
        <f>$O$365*$AA$365</f>
        <v>43.729322757398002</v>
      </c>
    </row>
    <row r="366" spans="1:33" ht="11.25" hidden="1" customHeight="1" x14ac:dyDescent="0.3">
      <c r="A366" s="4" t="s">
        <v>21</v>
      </c>
      <c r="B366" s="4" t="s">
        <v>41</v>
      </c>
      <c r="C366" s="4" t="s">
        <v>23</v>
      </c>
      <c r="D366" s="4" t="s">
        <v>42</v>
      </c>
      <c r="E366" s="4" t="s">
        <v>50</v>
      </c>
      <c r="F366" s="4" t="s">
        <v>51</v>
      </c>
      <c r="G366" s="4" t="s">
        <v>25</v>
      </c>
      <c r="H366" s="4" t="s">
        <v>25</v>
      </c>
      <c r="I366" s="5">
        <v>44531</v>
      </c>
      <c r="J366" s="6">
        <v>0</v>
      </c>
      <c r="K366" s="6">
        <v>0</v>
      </c>
      <c r="L366" s="6">
        <v>0.20599999999999999</v>
      </c>
      <c r="M366" s="6">
        <v>0.20599999999999999</v>
      </c>
      <c r="N366" s="6">
        <v>0.20599999999999999</v>
      </c>
      <c r="O366" s="6">
        <v>0.20599999999999999</v>
      </c>
      <c r="P366" s="6">
        <v>0</v>
      </c>
      <c r="Q366" s="4" t="s">
        <v>26</v>
      </c>
      <c r="R366" s="4">
        <v>0</v>
      </c>
      <c r="S366" s="6">
        <v>0</v>
      </c>
      <c r="T366" s="6">
        <v>62</v>
      </c>
      <c r="U366" s="6">
        <v>23</v>
      </c>
      <c r="V366" s="6">
        <f>IF(ISERROR(VLOOKUP($S$366,'TAR FIN'!$A$1:$O$92,15,0)),0,VLOOKUP($S$366,'TAR FIN'!$A$1:$O$92,15,0))</f>
        <v>0</v>
      </c>
      <c r="W366" s="6">
        <f>IF(ISERROR(VLOOKUP($T$366,'TAR FIN'!$A$1:$O$92,15,0)),0,VLOOKUP($T$366,'TAR FIN'!$A$1:$O$92,15,0))</f>
        <v>301.99</v>
      </c>
      <c r="X366" s="6">
        <f>IF(ISERROR(VLOOKUP($U$366,'TAR FIN'!$A$1:$O$92,15,0)),0,VLOOKUP($U$366,'TAR FIN'!$A$1:$O$92,15,0))</f>
        <v>267.11</v>
      </c>
      <c r="Y366" s="6"/>
      <c r="Z366" s="6">
        <f ca="1">('TUSD BE'!$AM$37+'TUSD BF'!$AM$37+'TUSD CVA'!$AM$37)*(1-CUSTOS!$M$38)</f>
        <v>443.47423500349447</v>
      </c>
      <c r="AA366" s="6">
        <f>('TE BE'!$AB$25+'TE BF'!$AB$25+'TE CVA'!$AB$25)*(1-CUSTOS!$M$38)</f>
        <v>269.93409109504938</v>
      </c>
      <c r="AB366" s="6">
        <f>$K$366*$V$366</f>
        <v>0</v>
      </c>
      <c r="AC366" s="6">
        <f>$M$366*$W$366</f>
        <v>62.209939999999996</v>
      </c>
      <c r="AD366" s="6">
        <f>$O$366*$X$366</f>
        <v>55.024659999999997</v>
      </c>
      <c r="AE366" s="6">
        <f>$K$366*$Y$366</f>
        <v>0</v>
      </c>
      <c r="AF366" s="6">
        <f ca="1">$M$366*$Z$366</f>
        <v>91.355692410719854</v>
      </c>
      <c r="AG366" s="6">
        <f>$O$366*$AA$366</f>
        <v>55.60642276558017</v>
      </c>
    </row>
    <row r="367" spans="1:33" ht="11.25" hidden="1" customHeight="1" x14ac:dyDescent="0.3">
      <c r="A367" s="4" t="s">
        <v>21</v>
      </c>
      <c r="B367" s="4" t="s">
        <v>41</v>
      </c>
      <c r="C367" s="4" t="s">
        <v>23</v>
      </c>
      <c r="D367" s="4" t="s">
        <v>42</v>
      </c>
      <c r="E367" s="4" t="s">
        <v>50</v>
      </c>
      <c r="F367" s="4" t="s">
        <v>51</v>
      </c>
      <c r="G367" s="4" t="s">
        <v>25</v>
      </c>
      <c r="H367" s="4" t="s">
        <v>25</v>
      </c>
      <c r="I367" s="5">
        <v>44562</v>
      </c>
      <c r="J367" s="6">
        <v>0</v>
      </c>
      <c r="K367" s="6">
        <v>0</v>
      </c>
      <c r="L367" s="6">
        <v>0.1</v>
      </c>
      <c r="M367" s="6">
        <v>0.1</v>
      </c>
      <c r="N367" s="6">
        <v>0.1</v>
      </c>
      <c r="O367" s="6">
        <v>0.1</v>
      </c>
      <c r="P367" s="6">
        <v>0</v>
      </c>
      <c r="Q367" s="4" t="s">
        <v>26</v>
      </c>
      <c r="R367" s="4">
        <v>0</v>
      </c>
      <c r="S367" s="6">
        <v>0</v>
      </c>
      <c r="T367" s="6">
        <v>62</v>
      </c>
      <c r="U367" s="6">
        <v>23</v>
      </c>
      <c r="V367" s="6">
        <f>IF(ISERROR(VLOOKUP($S$367,'TAR FIN'!$A$1:$O$92,15,0)),0,VLOOKUP($S$367,'TAR FIN'!$A$1:$O$92,15,0))</f>
        <v>0</v>
      </c>
      <c r="W367" s="6">
        <f>IF(ISERROR(VLOOKUP($T$367,'TAR FIN'!$A$1:$O$92,15,0)),0,VLOOKUP($T$367,'TAR FIN'!$A$1:$O$92,15,0))</f>
        <v>301.99</v>
      </c>
      <c r="X367" s="6">
        <f>IF(ISERROR(VLOOKUP($U$367,'TAR FIN'!$A$1:$O$92,15,0)),0,VLOOKUP($U$367,'TAR FIN'!$A$1:$O$92,15,0))</f>
        <v>267.11</v>
      </c>
      <c r="Y367" s="6"/>
      <c r="Z367" s="6">
        <f ca="1">('TUSD BE'!$AM$37+'TUSD BF'!$AM$37+'TUSD CVA'!$AM$37)*(1-CUSTOS!$M$38)</f>
        <v>443.47423500349447</v>
      </c>
      <c r="AA367" s="6">
        <f>('TE BE'!$AB$25+'TE BF'!$AB$25+'TE CVA'!$AB$25)*(1-CUSTOS!$M$38)</f>
        <v>269.93409109504938</v>
      </c>
      <c r="AB367" s="6">
        <f>$K$367*$V$367</f>
        <v>0</v>
      </c>
      <c r="AC367" s="6">
        <f>$M$367*$W$367</f>
        <v>30.199000000000002</v>
      </c>
      <c r="AD367" s="6">
        <f>$O$367*$X$367</f>
        <v>26.711000000000002</v>
      </c>
      <c r="AE367" s="6">
        <f>$K$367*$Y$367</f>
        <v>0</v>
      </c>
      <c r="AF367" s="6">
        <f ca="1">$M$367*$Z$367</f>
        <v>44.34742350034945</v>
      </c>
      <c r="AG367" s="6">
        <f>$O$367*$AA$367</f>
        <v>26.993409109504938</v>
      </c>
    </row>
    <row r="368" spans="1:33" ht="11.25" hidden="1" customHeight="1" x14ac:dyDescent="0.3">
      <c r="A368" s="4" t="s">
        <v>21</v>
      </c>
      <c r="B368" s="4" t="s">
        <v>41</v>
      </c>
      <c r="C368" s="4" t="s">
        <v>23</v>
      </c>
      <c r="D368" s="4" t="s">
        <v>42</v>
      </c>
      <c r="E368" s="4" t="s">
        <v>50</v>
      </c>
      <c r="F368" s="4" t="s">
        <v>51</v>
      </c>
      <c r="G368" s="4" t="s">
        <v>25</v>
      </c>
      <c r="H368" s="4" t="s">
        <v>25</v>
      </c>
      <c r="I368" s="5">
        <v>44593</v>
      </c>
      <c r="J368" s="6">
        <v>0</v>
      </c>
      <c r="K368" s="6">
        <v>0</v>
      </c>
      <c r="L368" s="6">
        <v>0.5</v>
      </c>
      <c r="M368" s="6">
        <v>0.5</v>
      </c>
      <c r="N368" s="6">
        <v>0.5</v>
      </c>
      <c r="O368" s="6">
        <v>0.5</v>
      </c>
      <c r="P368" s="6">
        <v>0</v>
      </c>
      <c r="Q368" s="4" t="s">
        <v>26</v>
      </c>
      <c r="R368" s="4">
        <v>0</v>
      </c>
      <c r="S368" s="6">
        <v>0</v>
      </c>
      <c r="T368" s="6">
        <v>62</v>
      </c>
      <c r="U368" s="6">
        <v>23</v>
      </c>
      <c r="V368" s="6">
        <f>IF(ISERROR(VLOOKUP($S$368,'TAR FIN'!$A$1:$O$92,15,0)),0,VLOOKUP($S$368,'TAR FIN'!$A$1:$O$92,15,0))</f>
        <v>0</v>
      </c>
      <c r="W368" s="6">
        <f>IF(ISERROR(VLOOKUP($T$368,'TAR FIN'!$A$1:$O$92,15,0)),0,VLOOKUP($T$368,'TAR FIN'!$A$1:$O$92,15,0))</f>
        <v>301.99</v>
      </c>
      <c r="X368" s="6">
        <f>IF(ISERROR(VLOOKUP($U$368,'TAR FIN'!$A$1:$O$92,15,0)),0,VLOOKUP($U$368,'TAR FIN'!$A$1:$O$92,15,0))</f>
        <v>267.11</v>
      </c>
      <c r="Y368" s="6"/>
      <c r="Z368" s="6">
        <f ca="1">('TUSD BE'!$AM$37+'TUSD BF'!$AM$37+'TUSD CVA'!$AM$37)*(1-CUSTOS!$M$38)</f>
        <v>443.47423500349447</v>
      </c>
      <c r="AA368" s="6">
        <f>('TE BE'!$AB$25+'TE BF'!$AB$25+'TE CVA'!$AB$25)*(1-CUSTOS!$M$38)</f>
        <v>269.93409109504938</v>
      </c>
      <c r="AB368" s="6">
        <f>$K$368*$V$368</f>
        <v>0</v>
      </c>
      <c r="AC368" s="6">
        <f>$M$368*$W$368</f>
        <v>150.995</v>
      </c>
      <c r="AD368" s="6">
        <f>$O$368*$X$368</f>
        <v>133.55500000000001</v>
      </c>
      <c r="AE368" s="6">
        <f>$K$368*$Y$368</f>
        <v>0</v>
      </c>
      <c r="AF368" s="6">
        <f ca="1">$M$368*$Z$368</f>
        <v>221.73711750174724</v>
      </c>
      <c r="AG368" s="6">
        <f>$O$368*$AA$368</f>
        <v>134.96704554752469</v>
      </c>
    </row>
    <row r="369" spans="1:33" ht="11.25" hidden="1" customHeight="1" x14ac:dyDescent="0.3">
      <c r="A369" s="4" t="s">
        <v>21</v>
      </c>
      <c r="B369" s="4" t="s">
        <v>41</v>
      </c>
      <c r="C369" s="4" t="s">
        <v>23</v>
      </c>
      <c r="D369" s="4" t="s">
        <v>42</v>
      </c>
      <c r="E369" s="4" t="s">
        <v>50</v>
      </c>
      <c r="F369" s="4" t="s">
        <v>51</v>
      </c>
      <c r="G369" s="4" t="s">
        <v>25</v>
      </c>
      <c r="H369" s="4" t="s">
        <v>25</v>
      </c>
      <c r="I369" s="5">
        <v>44621</v>
      </c>
      <c r="J369" s="6">
        <v>0</v>
      </c>
      <c r="K369" s="6">
        <v>0</v>
      </c>
      <c r="L369" s="6">
        <v>0.313</v>
      </c>
      <c r="M369" s="6">
        <v>0.313</v>
      </c>
      <c r="N369" s="6">
        <v>0.313</v>
      </c>
      <c r="O369" s="6">
        <v>0.313</v>
      </c>
      <c r="P369" s="6">
        <v>0</v>
      </c>
      <c r="Q369" s="4" t="s">
        <v>26</v>
      </c>
      <c r="R369" s="4">
        <v>0</v>
      </c>
      <c r="S369" s="6">
        <v>0</v>
      </c>
      <c r="T369" s="6">
        <v>62</v>
      </c>
      <c r="U369" s="6">
        <v>23</v>
      </c>
      <c r="V369" s="6">
        <f>IF(ISERROR(VLOOKUP($S$369,'TAR FIN'!$A$1:$O$92,15,0)),0,VLOOKUP($S$369,'TAR FIN'!$A$1:$O$92,15,0))</f>
        <v>0</v>
      </c>
      <c r="W369" s="6">
        <f>IF(ISERROR(VLOOKUP($T$369,'TAR FIN'!$A$1:$O$92,15,0)),0,VLOOKUP($T$369,'TAR FIN'!$A$1:$O$92,15,0))</f>
        <v>301.99</v>
      </c>
      <c r="X369" s="6">
        <f>IF(ISERROR(VLOOKUP($U$369,'TAR FIN'!$A$1:$O$92,15,0)),0,VLOOKUP($U$369,'TAR FIN'!$A$1:$O$92,15,0))</f>
        <v>267.11</v>
      </c>
      <c r="Y369" s="6"/>
      <c r="Z369" s="6">
        <f ca="1">('TUSD BE'!$AM$37+'TUSD BF'!$AM$37+'TUSD CVA'!$AM$37)*(1-CUSTOS!$M$38)</f>
        <v>443.47423500349447</v>
      </c>
      <c r="AA369" s="6">
        <f>('TE BE'!$AB$25+'TE BF'!$AB$25+'TE CVA'!$AB$25)*(1-CUSTOS!$M$38)</f>
        <v>269.93409109504938</v>
      </c>
      <c r="AB369" s="6">
        <f>$K$369*$V$369</f>
        <v>0</v>
      </c>
      <c r="AC369" s="6">
        <f>$M$369*$W$369</f>
        <v>94.522869999999998</v>
      </c>
      <c r="AD369" s="6">
        <f>$O$369*$X$369</f>
        <v>83.605429999999998</v>
      </c>
      <c r="AE369" s="6">
        <f>$K$369*$Y$369</f>
        <v>0</v>
      </c>
      <c r="AF369" s="6">
        <f ca="1">$M$369*$Z$369</f>
        <v>138.80743555609376</v>
      </c>
      <c r="AG369" s="6">
        <f>$O$369*$AA$369</f>
        <v>84.489370512750455</v>
      </c>
    </row>
    <row r="370" spans="1:33" ht="11.25" hidden="1" customHeight="1" x14ac:dyDescent="0.3">
      <c r="A370" s="4" t="s">
        <v>21</v>
      </c>
      <c r="B370" s="4" t="s">
        <v>41</v>
      </c>
      <c r="C370" s="4" t="s">
        <v>23</v>
      </c>
      <c r="D370" s="4" t="s">
        <v>42</v>
      </c>
      <c r="E370" s="4" t="s">
        <v>50</v>
      </c>
      <c r="F370" s="4" t="s">
        <v>51</v>
      </c>
      <c r="G370" s="4" t="s">
        <v>25</v>
      </c>
      <c r="H370" s="4" t="s">
        <v>25</v>
      </c>
      <c r="I370" s="5">
        <v>44652</v>
      </c>
      <c r="J370" s="6">
        <v>0</v>
      </c>
      <c r="K370" s="6">
        <v>0</v>
      </c>
      <c r="L370" s="6">
        <v>0.24299999999999999</v>
      </c>
      <c r="M370" s="6">
        <v>0.24299999999999999</v>
      </c>
      <c r="N370" s="6">
        <v>0.24299999999999999</v>
      </c>
      <c r="O370" s="6">
        <v>0.24299999999999999</v>
      </c>
      <c r="P370" s="6">
        <v>0</v>
      </c>
      <c r="Q370" s="4" t="s">
        <v>26</v>
      </c>
      <c r="R370" s="4">
        <v>0</v>
      </c>
      <c r="S370" s="6">
        <v>0</v>
      </c>
      <c r="T370" s="6">
        <v>62</v>
      </c>
      <c r="U370" s="6">
        <v>23</v>
      </c>
      <c r="V370" s="6">
        <f>IF(ISERROR(VLOOKUP($S$370,'TAR FIN'!$A$1:$O$92,15,0)),0,VLOOKUP($S$370,'TAR FIN'!$A$1:$O$92,15,0))</f>
        <v>0</v>
      </c>
      <c r="W370" s="6">
        <f>IF(ISERROR(VLOOKUP($T$370,'TAR FIN'!$A$1:$O$92,15,0)),0,VLOOKUP($T$370,'TAR FIN'!$A$1:$O$92,15,0))</f>
        <v>301.99</v>
      </c>
      <c r="X370" s="6">
        <f>IF(ISERROR(VLOOKUP($U$370,'TAR FIN'!$A$1:$O$92,15,0)),0,VLOOKUP($U$370,'TAR FIN'!$A$1:$O$92,15,0))</f>
        <v>267.11</v>
      </c>
      <c r="Y370" s="6"/>
      <c r="Z370" s="6">
        <f ca="1">('TUSD BE'!$AM$37+'TUSD BF'!$AM$37+'TUSD CVA'!$AM$37)*(1-CUSTOS!$M$38)</f>
        <v>443.47423500349447</v>
      </c>
      <c r="AA370" s="6">
        <f>('TE BE'!$AB$25+'TE BF'!$AB$25+'TE CVA'!$AB$25)*(1-CUSTOS!$M$38)</f>
        <v>269.93409109504938</v>
      </c>
      <c r="AB370" s="6">
        <f>$K$370*$V$370</f>
        <v>0</v>
      </c>
      <c r="AC370" s="6">
        <f>$M$370*$W$370</f>
        <v>73.383570000000006</v>
      </c>
      <c r="AD370" s="6">
        <f>$O$370*$X$370</f>
        <v>64.907730000000001</v>
      </c>
      <c r="AE370" s="6">
        <f>$K$370*$Y$370</f>
        <v>0</v>
      </c>
      <c r="AF370" s="6">
        <f ca="1">$M$370*$Z$370</f>
        <v>107.76423910584916</v>
      </c>
      <c r="AG370" s="6">
        <f>$O$370*$AA$370</f>
        <v>65.593984136096992</v>
      </c>
    </row>
    <row r="371" spans="1:33" ht="11.25" hidden="1" customHeight="1" x14ac:dyDescent="0.3">
      <c r="A371" s="4" t="s">
        <v>21</v>
      </c>
      <c r="B371" s="4" t="s">
        <v>41</v>
      </c>
      <c r="C371" s="4" t="s">
        <v>23</v>
      </c>
      <c r="D371" s="4" t="s">
        <v>42</v>
      </c>
      <c r="E371" s="4" t="s">
        <v>50</v>
      </c>
      <c r="F371" s="4" t="s">
        <v>51</v>
      </c>
      <c r="G371" s="4" t="s">
        <v>25</v>
      </c>
      <c r="H371" s="4" t="s">
        <v>25</v>
      </c>
      <c r="I371" s="5">
        <v>44682</v>
      </c>
      <c r="J371" s="6">
        <v>0</v>
      </c>
      <c r="K371" s="6">
        <v>0</v>
      </c>
      <c r="L371" s="6">
        <v>0.309</v>
      </c>
      <c r="M371" s="6">
        <v>0.309</v>
      </c>
      <c r="N371" s="6">
        <v>0.309</v>
      </c>
      <c r="O371" s="6">
        <v>0.309</v>
      </c>
      <c r="P371" s="6">
        <v>0</v>
      </c>
      <c r="Q371" s="4" t="s">
        <v>26</v>
      </c>
      <c r="R371" s="4">
        <v>0</v>
      </c>
      <c r="S371" s="6">
        <v>0</v>
      </c>
      <c r="T371" s="6">
        <v>62</v>
      </c>
      <c r="U371" s="6">
        <v>23</v>
      </c>
      <c r="V371" s="6">
        <f>IF(ISERROR(VLOOKUP($S$371,'TAR FIN'!$A$1:$O$92,15,0)),0,VLOOKUP($S$371,'TAR FIN'!$A$1:$O$92,15,0))</f>
        <v>0</v>
      </c>
      <c r="W371" s="6">
        <f>IF(ISERROR(VLOOKUP($T$371,'TAR FIN'!$A$1:$O$92,15,0)),0,VLOOKUP($T$371,'TAR FIN'!$A$1:$O$92,15,0))</f>
        <v>301.99</v>
      </c>
      <c r="X371" s="6">
        <f>IF(ISERROR(VLOOKUP($U$371,'TAR FIN'!$A$1:$O$92,15,0)),0,VLOOKUP($U$371,'TAR FIN'!$A$1:$O$92,15,0))</f>
        <v>267.11</v>
      </c>
      <c r="Y371" s="6"/>
      <c r="Z371" s="6">
        <f ca="1">('TUSD BE'!$AM$37+'TUSD BF'!$AM$37+'TUSD CVA'!$AM$37)*(1-CUSTOS!$M$38)</f>
        <v>443.47423500349447</v>
      </c>
      <c r="AA371" s="6">
        <f>('TE BE'!$AB$25+'TE BF'!$AB$25+'TE CVA'!$AB$25)*(1-CUSTOS!$M$38)</f>
        <v>269.93409109504938</v>
      </c>
      <c r="AB371" s="6">
        <f>$K$371*$V$371</f>
        <v>0</v>
      </c>
      <c r="AC371" s="6">
        <f>$M$371*$W$371</f>
        <v>93.314909999999998</v>
      </c>
      <c r="AD371" s="6">
        <f>$O$371*$X$371</f>
        <v>82.536990000000003</v>
      </c>
      <c r="AE371" s="6">
        <f>$K$371*$Y$371</f>
        <v>0</v>
      </c>
      <c r="AF371" s="6">
        <f ca="1">$M$371*$Z$371</f>
        <v>137.0335386160798</v>
      </c>
      <c r="AG371" s="6">
        <f>$O$371*$AA$371</f>
        <v>83.409634148370259</v>
      </c>
    </row>
    <row r="372" spans="1:33" ht="11.25" hidden="1" customHeight="1" x14ac:dyDescent="0.3">
      <c r="A372" s="4" t="s">
        <v>21</v>
      </c>
      <c r="B372" s="4" t="s">
        <v>41</v>
      </c>
      <c r="C372" s="4" t="s">
        <v>23</v>
      </c>
      <c r="D372" s="4" t="s">
        <v>42</v>
      </c>
      <c r="E372" s="4" t="s">
        <v>50</v>
      </c>
      <c r="F372" s="4" t="s">
        <v>51</v>
      </c>
      <c r="G372" s="4" t="s">
        <v>25</v>
      </c>
      <c r="H372" s="4" t="s">
        <v>25</v>
      </c>
      <c r="I372" s="5">
        <v>44713</v>
      </c>
      <c r="J372" s="6">
        <v>0</v>
      </c>
      <c r="K372" s="6">
        <v>0</v>
      </c>
      <c r="L372" s="6">
        <v>0.2</v>
      </c>
      <c r="M372" s="6">
        <v>0.2</v>
      </c>
      <c r="N372" s="6">
        <v>0.2</v>
      </c>
      <c r="O372" s="6">
        <v>0.2</v>
      </c>
      <c r="P372" s="6">
        <v>0</v>
      </c>
      <c r="Q372" s="4" t="s">
        <v>26</v>
      </c>
      <c r="R372" s="4">
        <v>0</v>
      </c>
      <c r="S372" s="6">
        <v>0</v>
      </c>
      <c r="T372" s="6">
        <v>62</v>
      </c>
      <c r="U372" s="6">
        <v>23</v>
      </c>
      <c r="V372" s="6">
        <f>IF(ISERROR(VLOOKUP($S$372,'TAR FIN'!$A$1:$O$92,15,0)),0,VLOOKUP($S$372,'TAR FIN'!$A$1:$O$92,15,0))</f>
        <v>0</v>
      </c>
      <c r="W372" s="6">
        <f>IF(ISERROR(VLOOKUP($T$372,'TAR FIN'!$A$1:$O$92,15,0)),0,VLOOKUP($T$372,'TAR FIN'!$A$1:$O$92,15,0))</f>
        <v>301.99</v>
      </c>
      <c r="X372" s="6">
        <f>IF(ISERROR(VLOOKUP($U$372,'TAR FIN'!$A$1:$O$92,15,0)),0,VLOOKUP($U$372,'TAR FIN'!$A$1:$O$92,15,0))</f>
        <v>267.11</v>
      </c>
      <c r="Y372" s="6"/>
      <c r="Z372" s="6">
        <f ca="1">('TUSD BE'!$AM$37+'TUSD BF'!$AM$37+'TUSD CVA'!$AM$37)*(1-CUSTOS!$M$38)</f>
        <v>443.47423500349447</v>
      </c>
      <c r="AA372" s="6">
        <f>('TE BE'!$AB$25+'TE BF'!$AB$25+'TE CVA'!$AB$25)*(1-CUSTOS!$M$38)</f>
        <v>269.93409109504938</v>
      </c>
      <c r="AB372" s="6">
        <f>$K$372*$V$372</f>
        <v>0</v>
      </c>
      <c r="AC372" s="6">
        <f>$M$372*$W$372</f>
        <v>60.398000000000003</v>
      </c>
      <c r="AD372" s="6">
        <f>$O$372*$X$372</f>
        <v>53.422000000000004</v>
      </c>
      <c r="AE372" s="6">
        <f>$K$372*$Y$372</f>
        <v>0</v>
      </c>
      <c r="AF372" s="6">
        <f ca="1">$M$372*$Z$372</f>
        <v>88.6948470006989</v>
      </c>
      <c r="AG372" s="6">
        <f>$O$372*$AA$372</f>
        <v>53.986818219009876</v>
      </c>
    </row>
    <row r="373" spans="1:33" ht="11.25" hidden="1" customHeight="1" x14ac:dyDescent="0.3">
      <c r="A373" s="4" t="s">
        <v>21</v>
      </c>
      <c r="B373" s="4" t="s">
        <v>41</v>
      </c>
      <c r="C373" s="4" t="s">
        <v>23</v>
      </c>
      <c r="D373" s="4" t="s">
        <v>42</v>
      </c>
      <c r="E373" s="4" t="s">
        <v>50</v>
      </c>
      <c r="F373" s="4" t="s">
        <v>51</v>
      </c>
      <c r="G373" s="4" t="s">
        <v>25</v>
      </c>
      <c r="H373" s="4" t="s">
        <v>25</v>
      </c>
      <c r="I373" s="5">
        <v>44743</v>
      </c>
      <c r="J373" s="6">
        <v>0</v>
      </c>
      <c r="K373" s="6">
        <v>0</v>
      </c>
      <c r="L373" s="6">
        <v>0.22500000000000001</v>
      </c>
      <c r="M373" s="6">
        <v>0.22500000000000001</v>
      </c>
      <c r="N373" s="6">
        <v>0.22500000000000001</v>
      </c>
      <c r="O373" s="6">
        <v>0.22500000000000001</v>
      </c>
      <c r="P373" s="6">
        <v>0</v>
      </c>
      <c r="Q373" s="4" t="s">
        <v>26</v>
      </c>
      <c r="R373" s="4">
        <v>0</v>
      </c>
      <c r="S373" s="6">
        <v>0</v>
      </c>
      <c r="T373" s="6">
        <v>62</v>
      </c>
      <c r="U373" s="6">
        <v>23</v>
      </c>
      <c r="V373" s="6">
        <f>IF(ISERROR(VLOOKUP($S$373,'TAR FIN'!$A$1:$O$92,15,0)),0,VLOOKUP($S$373,'TAR FIN'!$A$1:$O$92,15,0))</f>
        <v>0</v>
      </c>
      <c r="W373" s="6">
        <f>IF(ISERROR(VLOOKUP($T$373,'TAR FIN'!$A$1:$O$92,15,0)),0,VLOOKUP($T$373,'TAR FIN'!$A$1:$O$92,15,0))</f>
        <v>301.99</v>
      </c>
      <c r="X373" s="6">
        <f>IF(ISERROR(VLOOKUP($U$373,'TAR FIN'!$A$1:$O$92,15,0)),0,VLOOKUP($U$373,'TAR FIN'!$A$1:$O$92,15,0))</f>
        <v>267.11</v>
      </c>
      <c r="Y373" s="6"/>
      <c r="Z373" s="6">
        <f ca="1">('TUSD BE'!$AM$37+'TUSD BF'!$AM$37+'TUSD CVA'!$AM$37)*(1-CUSTOS!$M$38)</f>
        <v>443.47423500349447</v>
      </c>
      <c r="AA373" s="6">
        <f>('TE BE'!$AB$25+'TE BF'!$AB$25+'TE CVA'!$AB$25)*(1-CUSTOS!$M$38)</f>
        <v>269.93409109504938</v>
      </c>
      <c r="AB373" s="6">
        <f>$K$373*$V$373</f>
        <v>0</v>
      </c>
      <c r="AC373" s="6">
        <f>$M$373*$W$373</f>
        <v>67.947749999999999</v>
      </c>
      <c r="AD373" s="6">
        <f>$O$373*$X$373</f>
        <v>60.099750000000007</v>
      </c>
      <c r="AE373" s="6">
        <f>$K$373*$Y$373</f>
        <v>0</v>
      </c>
      <c r="AF373" s="6">
        <f ca="1">$M$373*$Z$373</f>
        <v>99.781702875786252</v>
      </c>
      <c r="AG373" s="6">
        <f>$O$373*$AA$373</f>
        <v>60.735170496386111</v>
      </c>
    </row>
    <row r="374" spans="1:33" ht="11.25" hidden="1" customHeight="1" x14ac:dyDescent="0.3">
      <c r="A374" s="4" t="s">
        <v>21</v>
      </c>
      <c r="B374" s="4" t="s">
        <v>41</v>
      </c>
      <c r="C374" s="4" t="s">
        <v>23</v>
      </c>
      <c r="D374" s="4" t="s">
        <v>42</v>
      </c>
      <c r="E374" s="4" t="s">
        <v>50</v>
      </c>
      <c r="F374" s="4" t="s">
        <v>53</v>
      </c>
      <c r="G374" s="4" t="s">
        <v>25</v>
      </c>
      <c r="H374" s="4" t="s">
        <v>25</v>
      </c>
      <c r="I374" s="5">
        <v>44501</v>
      </c>
      <c r="J374" s="6">
        <v>0</v>
      </c>
      <c r="K374" s="6">
        <v>0</v>
      </c>
      <c r="L374" s="6">
        <v>1.9E-2</v>
      </c>
      <c r="M374" s="6">
        <v>7.6E-3</v>
      </c>
      <c r="N374" s="6">
        <v>1.9E-2</v>
      </c>
      <c r="O374" s="6">
        <v>7.6E-3</v>
      </c>
      <c r="P374" s="6">
        <v>0</v>
      </c>
      <c r="Q374" s="4" t="s">
        <v>26</v>
      </c>
      <c r="R374" s="4">
        <v>0</v>
      </c>
      <c r="S374" s="6">
        <v>0</v>
      </c>
      <c r="T374" s="6">
        <v>62</v>
      </c>
      <c r="U374" s="6">
        <v>23</v>
      </c>
      <c r="V374" s="6">
        <f>IF(ISERROR(VLOOKUP($S$374,'TAR FIN'!$A$1:$O$92,15,0)),0,VLOOKUP($S$374,'TAR FIN'!$A$1:$O$92,15,0))</f>
        <v>0</v>
      </c>
      <c r="W374" s="6">
        <f>IF(ISERROR(VLOOKUP($T$374,'TAR FIN'!$A$1:$O$92,15,0)),0,VLOOKUP($T$374,'TAR FIN'!$A$1:$O$92,15,0))</f>
        <v>301.99</v>
      </c>
      <c r="X374" s="6">
        <f>IF(ISERROR(VLOOKUP($U$374,'TAR FIN'!$A$1:$O$92,15,0)),0,VLOOKUP($U$374,'TAR FIN'!$A$1:$O$92,15,0))</f>
        <v>267.11</v>
      </c>
      <c r="Y374" s="6"/>
      <c r="Z374" s="6">
        <f ca="1">('TUSD BE'!$AM$37+'TUSD BF'!$AM$37+'TUSD CVA'!$AM$37)*(1-CUSTOS!$M$38)</f>
        <v>443.47423500349447</v>
      </c>
      <c r="AA374" s="6">
        <f>('TE BE'!$AB$25+'TE BF'!$AB$25+'TE CVA'!$AB$25)*(1-CUSTOS!$M$38)</f>
        <v>269.93409109504938</v>
      </c>
      <c r="AB374" s="6">
        <f>$K$374*$V$374</f>
        <v>0</v>
      </c>
      <c r="AC374" s="6">
        <f>$M$374*$W$374</f>
        <v>2.2951239999999999</v>
      </c>
      <c r="AD374" s="6">
        <f>$O$374*$X$374</f>
        <v>2.030036</v>
      </c>
      <c r="AE374" s="6">
        <f>$K$374*$Y$374</f>
        <v>0</v>
      </c>
      <c r="AF374" s="6">
        <f ca="1">$M$374*$Z$374</f>
        <v>3.3704041860265579</v>
      </c>
      <c r="AG374" s="6">
        <f>$O$374*$AA$374</f>
        <v>2.0514990923223753</v>
      </c>
    </row>
    <row r="375" spans="1:33" ht="11.25" hidden="1" customHeight="1" x14ac:dyDescent="0.3">
      <c r="A375" s="4" t="s">
        <v>21</v>
      </c>
      <c r="B375" s="4" t="s">
        <v>41</v>
      </c>
      <c r="C375" s="4" t="s">
        <v>23</v>
      </c>
      <c r="D375" s="4" t="s">
        <v>42</v>
      </c>
      <c r="E375" s="4" t="s">
        <v>50</v>
      </c>
      <c r="F375" s="4" t="s">
        <v>53</v>
      </c>
      <c r="G375" s="4" t="s">
        <v>25</v>
      </c>
      <c r="H375" s="4" t="s">
        <v>25</v>
      </c>
      <c r="I375" s="5">
        <v>44621</v>
      </c>
      <c r="J375" s="6">
        <v>0</v>
      </c>
      <c r="K375" s="6">
        <v>0</v>
      </c>
      <c r="L375" s="6">
        <v>0.93799999999999994</v>
      </c>
      <c r="M375" s="6">
        <v>0.37519999999999998</v>
      </c>
      <c r="N375" s="6">
        <v>0.93799999999999994</v>
      </c>
      <c r="O375" s="6">
        <v>0.37519999999999998</v>
      </c>
      <c r="P375" s="6">
        <v>0</v>
      </c>
      <c r="Q375" s="4" t="s">
        <v>26</v>
      </c>
      <c r="R375" s="4">
        <v>0</v>
      </c>
      <c r="S375" s="6">
        <v>0</v>
      </c>
      <c r="T375" s="6">
        <v>62</v>
      </c>
      <c r="U375" s="6">
        <v>23</v>
      </c>
      <c r="V375" s="6">
        <f>IF(ISERROR(VLOOKUP($S$375,'TAR FIN'!$A$1:$O$92,15,0)),0,VLOOKUP($S$375,'TAR FIN'!$A$1:$O$92,15,0))</f>
        <v>0</v>
      </c>
      <c r="W375" s="6">
        <f>IF(ISERROR(VLOOKUP($T$375,'TAR FIN'!$A$1:$O$92,15,0)),0,VLOOKUP($T$375,'TAR FIN'!$A$1:$O$92,15,0))</f>
        <v>301.99</v>
      </c>
      <c r="X375" s="6">
        <f>IF(ISERROR(VLOOKUP($U$375,'TAR FIN'!$A$1:$O$92,15,0)),0,VLOOKUP($U$375,'TAR FIN'!$A$1:$O$92,15,0))</f>
        <v>267.11</v>
      </c>
      <c r="Y375" s="6"/>
      <c r="Z375" s="6">
        <f ca="1">('TUSD BE'!$AM$37+'TUSD BF'!$AM$37+'TUSD CVA'!$AM$37)*(1-CUSTOS!$M$38)</f>
        <v>443.47423500349447</v>
      </c>
      <c r="AA375" s="6">
        <f>('TE BE'!$AB$25+'TE BF'!$AB$25+'TE CVA'!$AB$25)*(1-CUSTOS!$M$38)</f>
        <v>269.93409109504938</v>
      </c>
      <c r="AB375" s="6">
        <f>$K$375*$V$375</f>
        <v>0</v>
      </c>
      <c r="AC375" s="6">
        <f>$M$375*$W$375</f>
        <v>113.306648</v>
      </c>
      <c r="AD375" s="6">
        <f>$O$375*$X$375</f>
        <v>100.219672</v>
      </c>
      <c r="AE375" s="6">
        <f>$K$375*$Y$375</f>
        <v>0</v>
      </c>
      <c r="AF375" s="6">
        <f ca="1">$M$375*$Z$375</f>
        <v>166.39153297331112</v>
      </c>
      <c r="AG375" s="6">
        <f>$O$375*$AA$375</f>
        <v>101.27927097886253</v>
      </c>
    </row>
    <row r="376" spans="1:33" ht="11.25" hidden="1" customHeight="1" x14ac:dyDescent="0.3">
      <c r="A376" s="4" t="s">
        <v>21</v>
      </c>
      <c r="B376" s="4" t="s">
        <v>41</v>
      </c>
      <c r="C376" s="4" t="s">
        <v>23</v>
      </c>
      <c r="D376" s="4" t="s">
        <v>42</v>
      </c>
      <c r="E376" s="4" t="s">
        <v>50</v>
      </c>
      <c r="F376" s="4" t="s">
        <v>53</v>
      </c>
      <c r="G376" s="4" t="s">
        <v>25</v>
      </c>
      <c r="H376" s="4" t="s">
        <v>25</v>
      </c>
      <c r="I376" s="5">
        <v>44652</v>
      </c>
      <c r="J376" s="6">
        <v>0</v>
      </c>
      <c r="K376" s="6">
        <v>0</v>
      </c>
      <c r="L376" s="6">
        <v>0.309</v>
      </c>
      <c r="M376" s="6">
        <v>0.1236</v>
      </c>
      <c r="N376" s="6">
        <v>0.309</v>
      </c>
      <c r="O376" s="6">
        <v>0.1236</v>
      </c>
      <c r="P376" s="6">
        <v>0</v>
      </c>
      <c r="Q376" s="4" t="s">
        <v>26</v>
      </c>
      <c r="R376" s="4">
        <v>0</v>
      </c>
      <c r="S376" s="6">
        <v>0</v>
      </c>
      <c r="T376" s="6">
        <v>62</v>
      </c>
      <c r="U376" s="6">
        <v>23</v>
      </c>
      <c r="V376" s="6">
        <f>IF(ISERROR(VLOOKUP($S$376,'TAR FIN'!$A$1:$O$92,15,0)),0,VLOOKUP($S$376,'TAR FIN'!$A$1:$O$92,15,0))</f>
        <v>0</v>
      </c>
      <c r="W376" s="6">
        <f>IF(ISERROR(VLOOKUP($T$376,'TAR FIN'!$A$1:$O$92,15,0)),0,VLOOKUP($T$376,'TAR FIN'!$A$1:$O$92,15,0))</f>
        <v>301.99</v>
      </c>
      <c r="X376" s="6">
        <f>IF(ISERROR(VLOOKUP($U$376,'TAR FIN'!$A$1:$O$92,15,0)),0,VLOOKUP($U$376,'TAR FIN'!$A$1:$O$92,15,0))</f>
        <v>267.11</v>
      </c>
      <c r="Y376" s="6"/>
      <c r="Z376" s="6">
        <f ca="1">('TUSD BE'!$AM$37+'TUSD BF'!$AM$37+'TUSD CVA'!$AM$37)*(1-CUSTOS!$M$38)</f>
        <v>443.47423500349447</v>
      </c>
      <c r="AA376" s="6">
        <f>('TE BE'!$AB$25+'TE BF'!$AB$25+'TE CVA'!$AB$25)*(1-CUSTOS!$M$38)</f>
        <v>269.93409109504938</v>
      </c>
      <c r="AB376" s="6">
        <f>$K$376*$V$376</f>
        <v>0</v>
      </c>
      <c r="AC376" s="6">
        <f>$M$376*$W$376</f>
        <v>37.325963999999999</v>
      </c>
      <c r="AD376" s="6">
        <f>$O$376*$X$376</f>
        <v>33.014796000000004</v>
      </c>
      <c r="AE376" s="6">
        <f>$K$376*$Y$376</f>
        <v>0</v>
      </c>
      <c r="AF376" s="6">
        <f ca="1">$M$376*$Z$376</f>
        <v>54.813415446431918</v>
      </c>
      <c r="AG376" s="6">
        <f>$O$376*$AA$376</f>
        <v>33.363853659348102</v>
      </c>
    </row>
    <row r="377" spans="1:33" ht="11.25" hidden="1" customHeight="1" x14ac:dyDescent="0.3">
      <c r="A377" s="4" t="s">
        <v>21</v>
      </c>
      <c r="B377" s="4" t="s">
        <v>41</v>
      </c>
      <c r="C377" s="4" t="s">
        <v>23</v>
      </c>
      <c r="D377" s="4" t="s">
        <v>42</v>
      </c>
      <c r="E377" s="4" t="s">
        <v>52</v>
      </c>
      <c r="F377" s="4" t="s">
        <v>51</v>
      </c>
      <c r="G377" s="4" t="s">
        <v>25</v>
      </c>
      <c r="H377" s="4" t="s">
        <v>25</v>
      </c>
      <c r="I377" s="5">
        <v>44409</v>
      </c>
      <c r="J377" s="6">
        <v>0</v>
      </c>
      <c r="K377" s="6">
        <v>0</v>
      </c>
      <c r="L377" s="6">
        <v>0.96799999999999997</v>
      </c>
      <c r="M377" s="6">
        <v>0.96799999999999997</v>
      </c>
      <c r="N377" s="6">
        <v>0.96799999999999997</v>
      </c>
      <c r="O377" s="6">
        <v>0.96799999999999997</v>
      </c>
      <c r="P377" s="6">
        <v>0</v>
      </c>
      <c r="Q377" s="4" t="s">
        <v>26</v>
      </c>
      <c r="R377" s="4">
        <v>0</v>
      </c>
      <c r="S377" s="6">
        <v>0</v>
      </c>
      <c r="T377" s="6">
        <v>62</v>
      </c>
      <c r="U377" s="6">
        <v>23</v>
      </c>
      <c r="V377" s="6">
        <f>IF(ISERROR(VLOOKUP($S$377,'TAR FIN'!$A$1:$O$92,15,0)),0,VLOOKUP($S$377,'TAR FIN'!$A$1:$O$92,15,0))</f>
        <v>0</v>
      </c>
      <c r="W377" s="6">
        <f>IF(ISERROR(VLOOKUP($T$377,'TAR FIN'!$A$1:$O$92,15,0)),0,VLOOKUP($T$377,'TAR FIN'!$A$1:$O$92,15,0))</f>
        <v>301.99</v>
      </c>
      <c r="X377" s="6">
        <f>IF(ISERROR(VLOOKUP($U$377,'TAR FIN'!$A$1:$O$92,15,0)),0,VLOOKUP($U$377,'TAR FIN'!$A$1:$O$92,15,0))</f>
        <v>267.11</v>
      </c>
      <c r="Y377" s="6"/>
      <c r="Z377" s="6">
        <f ca="1">('TUSD BE'!$AM$37+'TUSD BF'!$AM$37+'TUSD CVA'!$AM$37)*(1-CUSTOS!$M$38)</f>
        <v>443.47423500349447</v>
      </c>
      <c r="AA377" s="6">
        <f>('TE BE'!$AB$25+'TE BF'!$AB$25+'TE CVA'!$AB$25)*(1-CUSTOS!$M$38)</f>
        <v>269.93409109504938</v>
      </c>
      <c r="AB377" s="6">
        <f>$K$377*$V$377</f>
        <v>0</v>
      </c>
      <c r="AC377" s="6">
        <f>$M$377*$W$377</f>
        <v>292.32632000000001</v>
      </c>
      <c r="AD377" s="6">
        <f>$O$377*$X$377</f>
        <v>258.56247999999999</v>
      </c>
      <c r="AE377" s="6">
        <f>$K$377*$Y$377</f>
        <v>0</v>
      </c>
      <c r="AF377" s="6">
        <f ca="1">$M$377*$Z$377</f>
        <v>429.28305948338266</v>
      </c>
      <c r="AG377" s="6">
        <f>$O$377*$AA$377</f>
        <v>261.29620018000782</v>
      </c>
    </row>
    <row r="378" spans="1:33" ht="11.25" hidden="1" customHeight="1" x14ac:dyDescent="0.3">
      <c r="A378" s="4" t="s">
        <v>21</v>
      </c>
      <c r="B378" s="4" t="s">
        <v>41</v>
      </c>
      <c r="C378" s="4" t="s">
        <v>23</v>
      </c>
      <c r="D378" s="4" t="s">
        <v>42</v>
      </c>
      <c r="E378" s="4" t="s">
        <v>52</v>
      </c>
      <c r="F378" s="4" t="s">
        <v>51</v>
      </c>
      <c r="G378" s="4" t="s">
        <v>25</v>
      </c>
      <c r="H378" s="4" t="s">
        <v>25</v>
      </c>
      <c r="I378" s="5">
        <v>44440</v>
      </c>
      <c r="J378" s="6">
        <v>0</v>
      </c>
      <c r="K378" s="6">
        <v>0</v>
      </c>
      <c r="L378" s="6">
        <v>0.85199999999999998</v>
      </c>
      <c r="M378" s="6">
        <v>0.85199999999999998</v>
      </c>
      <c r="N378" s="6">
        <v>0.85199999999999998</v>
      </c>
      <c r="O378" s="6">
        <v>0.85199999999999998</v>
      </c>
      <c r="P378" s="6">
        <v>0</v>
      </c>
      <c r="Q378" s="4" t="s">
        <v>26</v>
      </c>
      <c r="R378" s="4">
        <v>0</v>
      </c>
      <c r="S378" s="6">
        <v>0</v>
      </c>
      <c r="T378" s="6">
        <v>62</v>
      </c>
      <c r="U378" s="6">
        <v>23</v>
      </c>
      <c r="V378" s="6">
        <f>IF(ISERROR(VLOOKUP($S$378,'TAR FIN'!$A$1:$O$92,15,0)),0,VLOOKUP($S$378,'TAR FIN'!$A$1:$O$92,15,0))</f>
        <v>0</v>
      </c>
      <c r="W378" s="6">
        <f>IF(ISERROR(VLOOKUP($T$378,'TAR FIN'!$A$1:$O$92,15,0)),0,VLOOKUP($T$378,'TAR FIN'!$A$1:$O$92,15,0))</f>
        <v>301.99</v>
      </c>
      <c r="X378" s="6">
        <f>IF(ISERROR(VLOOKUP($U$378,'TAR FIN'!$A$1:$O$92,15,0)),0,VLOOKUP($U$378,'TAR FIN'!$A$1:$O$92,15,0))</f>
        <v>267.11</v>
      </c>
      <c r="Y378" s="6"/>
      <c r="Z378" s="6">
        <f ca="1">('TUSD BE'!$AM$37+'TUSD BF'!$AM$37+'TUSD CVA'!$AM$37)*(1-CUSTOS!$M$38)</f>
        <v>443.47423500349447</v>
      </c>
      <c r="AA378" s="6">
        <f>('TE BE'!$AB$25+'TE BF'!$AB$25+'TE CVA'!$AB$25)*(1-CUSTOS!$M$38)</f>
        <v>269.93409109504938</v>
      </c>
      <c r="AB378" s="6">
        <f>$K$378*$V$378</f>
        <v>0</v>
      </c>
      <c r="AC378" s="6">
        <f>$M$378*$W$378</f>
        <v>257.29548</v>
      </c>
      <c r="AD378" s="6">
        <f>$O$378*$X$378</f>
        <v>227.57772</v>
      </c>
      <c r="AE378" s="6">
        <f>$K$378*$Y$378</f>
        <v>0</v>
      </c>
      <c r="AF378" s="6">
        <f ca="1">$M$378*$Z$378</f>
        <v>377.84004822297726</v>
      </c>
      <c r="AG378" s="6">
        <f>$O$378*$AA$378</f>
        <v>229.98384561298207</v>
      </c>
    </row>
    <row r="379" spans="1:33" ht="11.25" hidden="1" customHeight="1" x14ac:dyDescent="0.3">
      <c r="A379" s="4" t="s">
        <v>21</v>
      </c>
      <c r="B379" s="4" t="s">
        <v>41</v>
      </c>
      <c r="C379" s="4" t="s">
        <v>23</v>
      </c>
      <c r="D379" s="4" t="s">
        <v>42</v>
      </c>
      <c r="E379" s="4" t="s">
        <v>52</v>
      </c>
      <c r="F379" s="4" t="s">
        <v>51</v>
      </c>
      <c r="G379" s="4" t="s">
        <v>25</v>
      </c>
      <c r="H379" s="4" t="s">
        <v>25</v>
      </c>
      <c r="I379" s="5">
        <v>44470</v>
      </c>
      <c r="J379" s="6">
        <v>0</v>
      </c>
      <c r="K379" s="6">
        <v>0</v>
      </c>
      <c r="L379" s="6">
        <v>1.4</v>
      </c>
      <c r="M379" s="6">
        <v>1.4</v>
      </c>
      <c r="N379" s="6">
        <v>1.4</v>
      </c>
      <c r="O379" s="6">
        <v>1.4</v>
      </c>
      <c r="P379" s="6">
        <v>0</v>
      </c>
      <c r="Q379" s="4" t="s">
        <v>26</v>
      </c>
      <c r="R379" s="4">
        <v>0</v>
      </c>
      <c r="S379" s="6">
        <v>0</v>
      </c>
      <c r="T379" s="6">
        <v>62</v>
      </c>
      <c r="U379" s="6">
        <v>23</v>
      </c>
      <c r="V379" s="6">
        <f>IF(ISERROR(VLOOKUP($S$379,'TAR FIN'!$A$1:$O$92,15,0)),0,VLOOKUP($S$379,'TAR FIN'!$A$1:$O$92,15,0))</f>
        <v>0</v>
      </c>
      <c r="W379" s="6">
        <f>IF(ISERROR(VLOOKUP($T$379,'TAR FIN'!$A$1:$O$92,15,0)),0,VLOOKUP($T$379,'TAR FIN'!$A$1:$O$92,15,0))</f>
        <v>301.99</v>
      </c>
      <c r="X379" s="6">
        <f>IF(ISERROR(VLOOKUP($U$379,'TAR FIN'!$A$1:$O$92,15,0)),0,VLOOKUP($U$379,'TAR FIN'!$A$1:$O$92,15,0))</f>
        <v>267.11</v>
      </c>
      <c r="Y379" s="6"/>
      <c r="Z379" s="6">
        <f ca="1">('TUSD BE'!$AM$37+'TUSD BF'!$AM$37+'TUSD CVA'!$AM$37)*(1-CUSTOS!$M$38)</f>
        <v>443.47423500349447</v>
      </c>
      <c r="AA379" s="6">
        <f>('TE BE'!$AB$25+'TE BF'!$AB$25+'TE CVA'!$AB$25)*(1-CUSTOS!$M$38)</f>
        <v>269.93409109504938</v>
      </c>
      <c r="AB379" s="6">
        <f>$K$379*$V$379</f>
        <v>0</v>
      </c>
      <c r="AC379" s="6">
        <f>$M$379*$W$379</f>
        <v>422.786</v>
      </c>
      <c r="AD379" s="6">
        <f>$O$379*$X$379</f>
        <v>373.95400000000001</v>
      </c>
      <c r="AE379" s="6">
        <f>$K$379*$Y$379</f>
        <v>0</v>
      </c>
      <c r="AF379" s="6">
        <f ca="1">$M$379*$Z$379</f>
        <v>620.86392900489227</v>
      </c>
      <c r="AG379" s="6">
        <f>$O$379*$AA$379</f>
        <v>377.90772753306914</v>
      </c>
    </row>
    <row r="380" spans="1:33" ht="11.25" hidden="1" customHeight="1" x14ac:dyDescent="0.3">
      <c r="A380" s="4" t="s">
        <v>21</v>
      </c>
      <c r="B380" s="4" t="s">
        <v>41</v>
      </c>
      <c r="C380" s="4" t="s">
        <v>23</v>
      </c>
      <c r="D380" s="4" t="s">
        <v>42</v>
      </c>
      <c r="E380" s="4" t="s">
        <v>52</v>
      </c>
      <c r="F380" s="4" t="s">
        <v>51</v>
      </c>
      <c r="G380" s="4" t="s">
        <v>25</v>
      </c>
      <c r="H380" s="4" t="s">
        <v>25</v>
      </c>
      <c r="I380" s="5">
        <v>44501</v>
      </c>
      <c r="J380" s="6">
        <v>0</v>
      </c>
      <c r="K380" s="6">
        <v>0</v>
      </c>
      <c r="L380" s="6">
        <v>0.52100000000000002</v>
      </c>
      <c r="M380" s="6">
        <v>0.52100000000000002</v>
      </c>
      <c r="N380" s="6">
        <v>0.52100000000000002</v>
      </c>
      <c r="O380" s="6">
        <v>0.52100000000000002</v>
      </c>
      <c r="P380" s="6">
        <v>0</v>
      </c>
      <c r="Q380" s="4" t="s">
        <v>26</v>
      </c>
      <c r="R380" s="4">
        <v>0</v>
      </c>
      <c r="S380" s="6">
        <v>0</v>
      </c>
      <c r="T380" s="6">
        <v>62</v>
      </c>
      <c r="U380" s="6">
        <v>23</v>
      </c>
      <c r="V380" s="6">
        <f>IF(ISERROR(VLOOKUP($S$380,'TAR FIN'!$A$1:$O$92,15,0)),0,VLOOKUP($S$380,'TAR FIN'!$A$1:$O$92,15,0))</f>
        <v>0</v>
      </c>
      <c r="W380" s="6">
        <f>IF(ISERROR(VLOOKUP($T$380,'TAR FIN'!$A$1:$O$92,15,0)),0,VLOOKUP($T$380,'TAR FIN'!$A$1:$O$92,15,0))</f>
        <v>301.99</v>
      </c>
      <c r="X380" s="6">
        <f>IF(ISERROR(VLOOKUP($U$380,'TAR FIN'!$A$1:$O$92,15,0)),0,VLOOKUP($U$380,'TAR FIN'!$A$1:$O$92,15,0))</f>
        <v>267.11</v>
      </c>
      <c r="Y380" s="6"/>
      <c r="Z380" s="6">
        <f ca="1">('TUSD BE'!$AM$37+'TUSD BF'!$AM$37+'TUSD CVA'!$AM$37)*(1-CUSTOS!$M$38)</f>
        <v>443.47423500349447</v>
      </c>
      <c r="AA380" s="6">
        <f>('TE BE'!$AB$25+'TE BF'!$AB$25+'TE CVA'!$AB$25)*(1-CUSTOS!$M$38)</f>
        <v>269.93409109504938</v>
      </c>
      <c r="AB380" s="6">
        <f>$K$380*$V$380</f>
        <v>0</v>
      </c>
      <c r="AC380" s="6">
        <f>$M$380*$W$380</f>
        <v>157.33679000000001</v>
      </c>
      <c r="AD380" s="6">
        <f>$O$380*$X$380</f>
        <v>139.16431</v>
      </c>
      <c r="AE380" s="6">
        <f>$K$380*$Y$380</f>
        <v>0</v>
      </c>
      <c r="AF380" s="6">
        <f ca="1">$M$380*$Z$380</f>
        <v>231.05007643682063</v>
      </c>
      <c r="AG380" s="6">
        <f>$O$380*$AA$380</f>
        <v>140.63566146052074</v>
      </c>
    </row>
    <row r="381" spans="1:33" ht="11.25" hidden="1" customHeight="1" x14ac:dyDescent="0.3">
      <c r="A381" s="4" t="s">
        <v>21</v>
      </c>
      <c r="B381" s="4" t="s">
        <v>41</v>
      </c>
      <c r="C381" s="4" t="s">
        <v>23</v>
      </c>
      <c r="D381" s="4" t="s">
        <v>42</v>
      </c>
      <c r="E381" s="4" t="s">
        <v>52</v>
      </c>
      <c r="F381" s="4" t="s">
        <v>51</v>
      </c>
      <c r="G381" s="4" t="s">
        <v>25</v>
      </c>
      <c r="H381" s="4" t="s">
        <v>25</v>
      </c>
      <c r="I381" s="5">
        <v>44531</v>
      </c>
      <c r="J381" s="6">
        <v>0</v>
      </c>
      <c r="K381" s="6">
        <v>0</v>
      </c>
      <c r="L381" s="6">
        <v>1.2849999999999999</v>
      </c>
      <c r="M381" s="6">
        <v>1.2849999999999999</v>
      </c>
      <c r="N381" s="6">
        <v>1.2849999999999999</v>
      </c>
      <c r="O381" s="6">
        <v>1.2849999999999999</v>
      </c>
      <c r="P381" s="6">
        <v>0</v>
      </c>
      <c r="Q381" s="4" t="s">
        <v>26</v>
      </c>
      <c r="R381" s="4">
        <v>0</v>
      </c>
      <c r="S381" s="6">
        <v>0</v>
      </c>
      <c r="T381" s="6">
        <v>62</v>
      </c>
      <c r="U381" s="6">
        <v>23</v>
      </c>
      <c r="V381" s="6">
        <f>IF(ISERROR(VLOOKUP($S$381,'TAR FIN'!$A$1:$O$92,15,0)),0,VLOOKUP($S$381,'TAR FIN'!$A$1:$O$92,15,0))</f>
        <v>0</v>
      </c>
      <c r="W381" s="6">
        <f>IF(ISERROR(VLOOKUP($T$381,'TAR FIN'!$A$1:$O$92,15,0)),0,VLOOKUP($T$381,'TAR FIN'!$A$1:$O$92,15,0))</f>
        <v>301.99</v>
      </c>
      <c r="X381" s="6">
        <f>IF(ISERROR(VLOOKUP($U$381,'TAR FIN'!$A$1:$O$92,15,0)),0,VLOOKUP($U$381,'TAR FIN'!$A$1:$O$92,15,0))</f>
        <v>267.11</v>
      </c>
      <c r="Y381" s="6"/>
      <c r="Z381" s="6">
        <f ca="1">('TUSD BE'!$AM$37+'TUSD BF'!$AM$37+'TUSD CVA'!$AM$37)*(1-CUSTOS!$M$38)</f>
        <v>443.47423500349447</v>
      </c>
      <c r="AA381" s="6">
        <f>('TE BE'!$AB$25+'TE BF'!$AB$25+'TE CVA'!$AB$25)*(1-CUSTOS!$M$38)</f>
        <v>269.93409109504938</v>
      </c>
      <c r="AB381" s="6">
        <f>$K$381*$V$381</f>
        <v>0</v>
      </c>
      <c r="AC381" s="6">
        <f>$M$381*$W$381</f>
        <v>388.05714999999998</v>
      </c>
      <c r="AD381" s="6">
        <f>$O$381*$X$381</f>
        <v>343.23635000000002</v>
      </c>
      <c r="AE381" s="6">
        <f>$K$381*$Y$381</f>
        <v>0</v>
      </c>
      <c r="AF381" s="6">
        <f ca="1">$M$381*$Z$381</f>
        <v>569.86439197949039</v>
      </c>
      <c r="AG381" s="6">
        <f>$O$381*$AA$381</f>
        <v>346.86530705713841</v>
      </c>
    </row>
    <row r="382" spans="1:33" ht="11.25" hidden="1" customHeight="1" x14ac:dyDescent="0.3">
      <c r="A382" s="4" t="s">
        <v>21</v>
      </c>
      <c r="B382" s="4" t="s">
        <v>41</v>
      </c>
      <c r="C382" s="4" t="s">
        <v>23</v>
      </c>
      <c r="D382" s="4" t="s">
        <v>42</v>
      </c>
      <c r="E382" s="4" t="s">
        <v>52</v>
      </c>
      <c r="F382" s="4" t="s">
        <v>51</v>
      </c>
      <c r="G382" s="4" t="s">
        <v>25</v>
      </c>
      <c r="H382" s="4" t="s">
        <v>25</v>
      </c>
      <c r="I382" s="5">
        <v>44562</v>
      </c>
      <c r="J382" s="6">
        <v>0</v>
      </c>
      <c r="K382" s="6">
        <v>0</v>
      </c>
      <c r="L382" s="6">
        <v>1.57</v>
      </c>
      <c r="M382" s="6">
        <v>1.57</v>
      </c>
      <c r="N382" s="6">
        <v>1.57</v>
      </c>
      <c r="O382" s="6">
        <v>1.57</v>
      </c>
      <c r="P382" s="6">
        <v>0</v>
      </c>
      <c r="Q382" s="4" t="s">
        <v>26</v>
      </c>
      <c r="R382" s="4">
        <v>0</v>
      </c>
      <c r="S382" s="6">
        <v>0</v>
      </c>
      <c r="T382" s="6">
        <v>62</v>
      </c>
      <c r="U382" s="6">
        <v>23</v>
      </c>
      <c r="V382" s="6">
        <f>IF(ISERROR(VLOOKUP($S$382,'TAR FIN'!$A$1:$O$92,15,0)),0,VLOOKUP($S$382,'TAR FIN'!$A$1:$O$92,15,0))</f>
        <v>0</v>
      </c>
      <c r="W382" s="6">
        <f>IF(ISERROR(VLOOKUP($T$382,'TAR FIN'!$A$1:$O$92,15,0)),0,VLOOKUP($T$382,'TAR FIN'!$A$1:$O$92,15,0))</f>
        <v>301.99</v>
      </c>
      <c r="X382" s="6">
        <f>IF(ISERROR(VLOOKUP($U$382,'TAR FIN'!$A$1:$O$92,15,0)),0,VLOOKUP($U$382,'TAR FIN'!$A$1:$O$92,15,0))</f>
        <v>267.11</v>
      </c>
      <c r="Y382" s="6"/>
      <c r="Z382" s="6">
        <f ca="1">('TUSD BE'!$AM$37+'TUSD BF'!$AM$37+'TUSD CVA'!$AM$37)*(1-CUSTOS!$M$38)</f>
        <v>443.47423500349447</v>
      </c>
      <c r="AA382" s="6">
        <f>('TE BE'!$AB$25+'TE BF'!$AB$25+'TE CVA'!$AB$25)*(1-CUSTOS!$M$38)</f>
        <v>269.93409109504938</v>
      </c>
      <c r="AB382" s="6">
        <f>$K$382*$V$382</f>
        <v>0</v>
      </c>
      <c r="AC382" s="6">
        <f>$M$382*$W$382</f>
        <v>474.12430000000001</v>
      </c>
      <c r="AD382" s="6">
        <f>$O$382*$X$382</f>
        <v>419.36270000000002</v>
      </c>
      <c r="AE382" s="6">
        <f>$K$382*$Y$382</f>
        <v>0</v>
      </c>
      <c r="AF382" s="6">
        <f ca="1">$M$382*$Z$382</f>
        <v>696.25454895548637</v>
      </c>
      <c r="AG382" s="6">
        <f>$O$382*$AA$382</f>
        <v>423.79652301922755</v>
      </c>
    </row>
    <row r="383" spans="1:33" ht="11.25" hidden="1" customHeight="1" x14ac:dyDescent="0.3">
      <c r="A383" s="4" t="s">
        <v>21</v>
      </c>
      <c r="B383" s="4" t="s">
        <v>41</v>
      </c>
      <c r="C383" s="4" t="s">
        <v>23</v>
      </c>
      <c r="D383" s="4" t="s">
        <v>42</v>
      </c>
      <c r="E383" s="4" t="s">
        <v>52</v>
      </c>
      <c r="F383" s="4" t="s">
        <v>51</v>
      </c>
      <c r="G383" s="4" t="s">
        <v>25</v>
      </c>
      <c r="H383" s="4" t="s">
        <v>25</v>
      </c>
      <c r="I383" s="5">
        <v>44593</v>
      </c>
      <c r="J383" s="6">
        <v>0</v>
      </c>
      <c r="K383" s="6">
        <v>0</v>
      </c>
      <c r="L383" s="6">
        <v>1.621</v>
      </c>
      <c r="M383" s="6">
        <v>1.621</v>
      </c>
      <c r="N383" s="6">
        <v>1.621</v>
      </c>
      <c r="O383" s="6">
        <v>1.621</v>
      </c>
      <c r="P383" s="6">
        <v>0</v>
      </c>
      <c r="Q383" s="4" t="s">
        <v>26</v>
      </c>
      <c r="R383" s="4">
        <v>0</v>
      </c>
      <c r="S383" s="6">
        <v>0</v>
      </c>
      <c r="T383" s="6">
        <v>62</v>
      </c>
      <c r="U383" s="6">
        <v>23</v>
      </c>
      <c r="V383" s="6">
        <f>IF(ISERROR(VLOOKUP($S$383,'TAR FIN'!$A$1:$O$92,15,0)),0,VLOOKUP($S$383,'TAR FIN'!$A$1:$O$92,15,0))</f>
        <v>0</v>
      </c>
      <c r="W383" s="6">
        <f>IF(ISERROR(VLOOKUP($T$383,'TAR FIN'!$A$1:$O$92,15,0)),0,VLOOKUP($T$383,'TAR FIN'!$A$1:$O$92,15,0))</f>
        <v>301.99</v>
      </c>
      <c r="X383" s="6">
        <f>IF(ISERROR(VLOOKUP($U$383,'TAR FIN'!$A$1:$O$92,15,0)),0,VLOOKUP($U$383,'TAR FIN'!$A$1:$O$92,15,0))</f>
        <v>267.11</v>
      </c>
      <c r="Y383" s="6"/>
      <c r="Z383" s="6">
        <f ca="1">('TUSD BE'!$AM$37+'TUSD BF'!$AM$37+'TUSD CVA'!$AM$37)*(1-CUSTOS!$M$38)</f>
        <v>443.47423500349447</v>
      </c>
      <c r="AA383" s="6">
        <f>('TE BE'!$AB$25+'TE BF'!$AB$25+'TE CVA'!$AB$25)*(1-CUSTOS!$M$38)</f>
        <v>269.93409109504938</v>
      </c>
      <c r="AB383" s="6">
        <f>$K$383*$V$383</f>
        <v>0</v>
      </c>
      <c r="AC383" s="6">
        <f>$M$383*$W$383</f>
        <v>489.52579000000003</v>
      </c>
      <c r="AD383" s="6">
        <f>$O$383*$X$383</f>
        <v>432.98531000000003</v>
      </c>
      <c r="AE383" s="6">
        <f>$K$383*$Y$383</f>
        <v>0</v>
      </c>
      <c r="AF383" s="6">
        <f ca="1">$M$383*$Z$383</f>
        <v>718.87173494066451</v>
      </c>
      <c r="AG383" s="6">
        <f>$O$383*$AA$383</f>
        <v>437.56316166507503</v>
      </c>
    </row>
    <row r="384" spans="1:33" ht="11.25" hidden="1" customHeight="1" x14ac:dyDescent="0.3">
      <c r="A384" s="4" t="s">
        <v>21</v>
      </c>
      <c r="B384" s="4" t="s">
        <v>41</v>
      </c>
      <c r="C384" s="4" t="s">
        <v>23</v>
      </c>
      <c r="D384" s="4" t="s">
        <v>42</v>
      </c>
      <c r="E384" s="4" t="s">
        <v>52</v>
      </c>
      <c r="F384" s="4" t="s">
        <v>51</v>
      </c>
      <c r="G384" s="4" t="s">
        <v>25</v>
      </c>
      <c r="H384" s="4" t="s">
        <v>25</v>
      </c>
      <c r="I384" s="5">
        <v>44621</v>
      </c>
      <c r="J384" s="6">
        <v>0</v>
      </c>
      <c r="K384" s="6">
        <v>0</v>
      </c>
      <c r="L384" s="6">
        <v>0.90700000000000003</v>
      </c>
      <c r="M384" s="6">
        <v>0.90700000000000003</v>
      </c>
      <c r="N384" s="6">
        <v>0.90700000000000003</v>
      </c>
      <c r="O384" s="6">
        <v>0.90700000000000003</v>
      </c>
      <c r="P384" s="6">
        <v>0</v>
      </c>
      <c r="Q384" s="4" t="s">
        <v>26</v>
      </c>
      <c r="R384" s="4">
        <v>0</v>
      </c>
      <c r="S384" s="6">
        <v>0</v>
      </c>
      <c r="T384" s="6">
        <v>62</v>
      </c>
      <c r="U384" s="6">
        <v>23</v>
      </c>
      <c r="V384" s="6">
        <f>IF(ISERROR(VLOOKUP($S$384,'TAR FIN'!$A$1:$O$92,15,0)),0,VLOOKUP($S$384,'TAR FIN'!$A$1:$O$92,15,0))</f>
        <v>0</v>
      </c>
      <c r="W384" s="6">
        <f>IF(ISERROR(VLOOKUP($T$384,'TAR FIN'!$A$1:$O$92,15,0)),0,VLOOKUP($T$384,'TAR FIN'!$A$1:$O$92,15,0))</f>
        <v>301.99</v>
      </c>
      <c r="X384" s="6">
        <f>IF(ISERROR(VLOOKUP($U$384,'TAR FIN'!$A$1:$O$92,15,0)),0,VLOOKUP($U$384,'TAR FIN'!$A$1:$O$92,15,0))</f>
        <v>267.11</v>
      </c>
      <c r="Y384" s="6"/>
      <c r="Z384" s="6">
        <f ca="1">('TUSD BE'!$AM$37+'TUSD BF'!$AM$37+'TUSD CVA'!$AM$37)*(1-CUSTOS!$M$38)</f>
        <v>443.47423500349447</v>
      </c>
      <c r="AA384" s="6">
        <f>('TE BE'!$AB$25+'TE BF'!$AB$25+'TE CVA'!$AB$25)*(1-CUSTOS!$M$38)</f>
        <v>269.93409109504938</v>
      </c>
      <c r="AB384" s="6">
        <f>$K$384*$V$384</f>
        <v>0</v>
      </c>
      <c r="AC384" s="6">
        <f>$M$384*$W$384</f>
        <v>273.90493000000004</v>
      </c>
      <c r="AD384" s="6">
        <f>$O$384*$X$384</f>
        <v>242.26877000000002</v>
      </c>
      <c r="AE384" s="6">
        <f>$K$384*$Y$384</f>
        <v>0</v>
      </c>
      <c r="AF384" s="6">
        <f ca="1">$M$384*$Z$384</f>
        <v>402.23113114816948</v>
      </c>
      <c r="AG384" s="6">
        <f>$O$384*$AA$384</f>
        <v>244.83022062320981</v>
      </c>
    </row>
    <row r="385" spans="1:33" ht="11.25" hidden="1" customHeight="1" x14ac:dyDescent="0.3">
      <c r="A385" s="4" t="s">
        <v>21</v>
      </c>
      <c r="B385" s="4" t="s">
        <v>41</v>
      </c>
      <c r="C385" s="4" t="s">
        <v>23</v>
      </c>
      <c r="D385" s="4" t="s">
        <v>42</v>
      </c>
      <c r="E385" s="4" t="s">
        <v>52</v>
      </c>
      <c r="F385" s="4" t="s">
        <v>51</v>
      </c>
      <c r="G385" s="4" t="s">
        <v>25</v>
      </c>
      <c r="H385" s="4" t="s">
        <v>25</v>
      </c>
      <c r="I385" s="5">
        <v>44652</v>
      </c>
      <c r="J385" s="6">
        <v>0</v>
      </c>
      <c r="K385" s="6">
        <v>0</v>
      </c>
      <c r="L385" s="6">
        <v>1.081</v>
      </c>
      <c r="M385" s="6">
        <v>1.081</v>
      </c>
      <c r="N385" s="6">
        <v>1.081</v>
      </c>
      <c r="O385" s="6">
        <v>1.081</v>
      </c>
      <c r="P385" s="6">
        <v>0</v>
      </c>
      <c r="Q385" s="4" t="s">
        <v>26</v>
      </c>
      <c r="R385" s="4">
        <v>0</v>
      </c>
      <c r="S385" s="6">
        <v>0</v>
      </c>
      <c r="T385" s="6">
        <v>62</v>
      </c>
      <c r="U385" s="6">
        <v>23</v>
      </c>
      <c r="V385" s="6">
        <f>IF(ISERROR(VLOOKUP($S$385,'TAR FIN'!$A$1:$O$92,15,0)),0,VLOOKUP($S$385,'TAR FIN'!$A$1:$O$92,15,0))</f>
        <v>0</v>
      </c>
      <c r="W385" s="6">
        <f>IF(ISERROR(VLOOKUP($T$385,'TAR FIN'!$A$1:$O$92,15,0)),0,VLOOKUP($T$385,'TAR FIN'!$A$1:$O$92,15,0))</f>
        <v>301.99</v>
      </c>
      <c r="X385" s="6">
        <f>IF(ISERROR(VLOOKUP($U$385,'TAR FIN'!$A$1:$O$92,15,0)),0,VLOOKUP($U$385,'TAR FIN'!$A$1:$O$92,15,0))</f>
        <v>267.11</v>
      </c>
      <c r="Y385" s="6"/>
      <c r="Z385" s="6">
        <f ca="1">('TUSD BE'!$AM$37+'TUSD BF'!$AM$37+'TUSD CVA'!$AM$37)*(1-CUSTOS!$M$38)</f>
        <v>443.47423500349447</v>
      </c>
      <c r="AA385" s="6">
        <f>('TE BE'!$AB$25+'TE BF'!$AB$25+'TE CVA'!$AB$25)*(1-CUSTOS!$M$38)</f>
        <v>269.93409109504938</v>
      </c>
      <c r="AB385" s="6">
        <f>$K$385*$V$385</f>
        <v>0</v>
      </c>
      <c r="AC385" s="6">
        <f>$M$385*$W$385</f>
        <v>326.45119</v>
      </c>
      <c r="AD385" s="6">
        <f>$O$385*$X$385</f>
        <v>288.74590999999998</v>
      </c>
      <c r="AE385" s="6">
        <f>$K$385*$Y$385</f>
        <v>0</v>
      </c>
      <c r="AF385" s="6">
        <f ca="1">$M$385*$Z$385</f>
        <v>479.39564803877749</v>
      </c>
      <c r="AG385" s="6">
        <f>$O$385*$AA$385</f>
        <v>291.79875247374838</v>
      </c>
    </row>
    <row r="386" spans="1:33" ht="11.25" hidden="1" customHeight="1" x14ac:dyDescent="0.3">
      <c r="A386" s="4" t="s">
        <v>21</v>
      </c>
      <c r="B386" s="4" t="s">
        <v>41</v>
      </c>
      <c r="C386" s="4" t="s">
        <v>23</v>
      </c>
      <c r="D386" s="4" t="s">
        <v>42</v>
      </c>
      <c r="E386" s="4" t="s">
        <v>52</v>
      </c>
      <c r="F386" s="4" t="s">
        <v>51</v>
      </c>
      <c r="G386" s="4" t="s">
        <v>25</v>
      </c>
      <c r="H386" s="4" t="s">
        <v>25</v>
      </c>
      <c r="I386" s="5">
        <v>44682</v>
      </c>
      <c r="J386" s="6">
        <v>0</v>
      </c>
      <c r="K386" s="6">
        <v>0</v>
      </c>
      <c r="L386" s="6">
        <v>1.173</v>
      </c>
      <c r="M386" s="6">
        <v>1.173</v>
      </c>
      <c r="N386" s="6">
        <v>1.173</v>
      </c>
      <c r="O386" s="6">
        <v>1.173</v>
      </c>
      <c r="P386" s="6">
        <v>0</v>
      </c>
      <c r="Q386" s="4" t="s">
        <v>26</v>
      </c>
      <c r="R386" s="4">
        <v>0</v>
      </c>
      <c r="S386" s="6">
        <v>0</v>
      </c>
      <c r="T386" s="6">
        <v>62</v>
      </c>
      <c r="U386" s="6">
        <v>23</v>
      </c>
      <c r="V386" s="6">
        <f>IF(ISERROR(VLOOKUP($S$386,'TAR FIN'!$A$1:$O$92,15,0)),0,VLOOKUP($S$386,'TAR FIN'!$A$1:$O$92,15,0))</f>
        <v>0</v>
      </c>
      <c r="W386" s="6">
        <f>IF(ISERROR(VLOOKUP($T$386,'TAR FIN'!$A$1:$O$92,15,0)),0,VLOOKUP($T$386,'TAR FIN'!$A$1:$O$92,15,0))</f>
        <v>301.99</v>
      </c>
      <c r="X386" s="6">
        <f>IF(ISERROR(VLOOKUP($U$386,'TAR FIN'!$A$1:$O$92,15,0)),0,VLOOKUP($U$386,'TAR FIN'!$A$1:$O$92,15,0))</f>
        <v>267.11</v>
      </c>
      <c r="Y386" s="6"/>
      <c r="Z386" s="6">
        <f ca="1">('TUSD BE'!$AM$37+'TUSD BF'!$AM$37+'TUSD CVA'!$AM$37)*(1-CUSTOS!$M$38)</f>
        <v>443.47423500349447</v>
      </c>
      <c r="AA386" s="6">
        <f>('TE BE'!$AB$25+'TE BF'!$AB$25+'TE CVA'!$AB$25)*(1-CUSTOS!$M$38)</f>
        <v>269.93409109504938</v>
      </c>
      <c r="AB386" s="6">
        <f>$K$386*$V$386</f>
        <v>0</v>
      </c>
      <c r="AC386" s="6">
        <f>$M$386*$W$386</f>
        <v>354.23427000000004</v>
      </c>
      <c r="AD386" s="6">
        <f>$O$386*$X$386</f>
        <v>313.32003000000003</v>
      </c>
      <c r="AE386" s="6">
        <f>$K$386*$Y$386</f>
        <v>0</v>
      </c>
      <c r="AF386" s="6">
        <f ca="1">$M$386*$Z$386</f>
        <v>520.19527765909902</v>
      </c>
      <c r="AG386" s="6">
        <f>$O$386*$AA$386</f>
        <v>316.63268885449293</v>
      </c>
    </row>
    <row r="387" spans="1:33" ht="11.25" hidden="1" customHeight="1" x14ac:dyDescent="0.3">
      <c r="A387" s="4" t="s">
        <v>21</v>
      </c>
      <c r="B387" s="4" t="s">
        <v>41</v>
      </c>
      <c r="C387" s="4" t="s">
        <v>23</v>
      </c>
      <c r="D387" s="4" t="s">
        <v>42</v>
      </c>
      <c r="E387" s="4" t="s">
        <v>52</v>
      </c>
      <c r="F387" s="4" t="s">
        <v>51</v>
      </c>
      <c r="G387" s="4" t="s">
        <v>25</v>
      </c>
      <c r="H387" s="4" t="s">
        <v>25</v>
      </c>
      <c r="I387" s="5">
        <v>44713</v>
      </c>
      <c r="J387" s="6">
        <v>0</v>
      </c>
      <c r="K387" s="6">
        <v>0</v>
      </c>
      <c r="L387" s="6">
        <v>0.95299999999999996</v>
      </c>
      <c r="M387" s="6">
        <v>0.95299999999999996</v>
      </c>
      <c r="N387" s="6">
        <v>0.95299999999999996</v>
      </c>
      <c r="O387" s="6">
        <v>0.95299999999999996</v>
      </c>
      <c r="P387" s="6">
        <v>0</v>
      </c>
      <c r="Q387" s="4" t="s">
        <v>26</v>
      </c>
      <c r="R387" s="4">
        <v>0</v>
      </c>
      <c r="S387" s="6">
        <v>0</v>
      </c>
      <c r="T387" s="6">
        <v>62</v>
      </c>
      <c r="U387" s="6">
        <v>23</v>
      </c>
      <c r="V387" s="6">
        <f>IF(ISERROR(VLOOKUP($S$387,'TAR FIN'!$A$1:$O$92,15,0)),0,VLOOKUP($S$387,'TAR FIN'!$A$1:$O$92,15,0))</f>
        <v>0</v>
      </c>
      <c r="W387" s="6">
        <f>IF(ISERROR(VLOOKUP($T$387,'TAR FIN'!$A$1:$O$92,15,0)),0,VLOOKUP($T$387,'TAR FIN'!$A$1:$O$92,15,0))</f>
        <v>301.99</v>
      </c>
      <c r="X387" s="6">
        <f>IF(ISERROR(VLOOKUP($U$387,'TAR FIN'!$A$1:$O$92,15,0)),0,VLOOKUP($U$387,'TAR FIN'!$A$1:$O$92,15,0))</f>
        <v>267.11</v>
      </c>
      <c r="Y387" s="6"/>
      <c r="Z387" s="6">
        <f ca="1">('TUSD BE'!$AM$37+'TUSD BF'!$AM$37+'TUSD CVA'!$AM$37)*(1-CUSTOS!$M$38)</f>
        <v>443.47423500349447</v>
      </c>
      <c r="AA387" s="6">
        <f>('TE BE'!$AB$25+'TE BF'!$AB$25+'TE CVA'!$AB$25)*(1-CUSTOS!$M$38)</f>
        <v>269.93409109504938</v>
      </c>
      <c r="AB387" s="6">
        <f>$K$387*$V$387</f>
        <v>0</v>
      </c>
      <c r="AC387" s="6">
        <f>$M$387*$W$387</f>
        <v>287.79647</v>
      </c>
      <c r="AD387" s="6">
        <f>$O$387*$X$387</f>
        <v>254.55583000000001</v>
      </c>
      <c r="AE387" s="6">
        <f>$K$387*$Y$387</f>
        <v>0</v>
      </c>
      <c r="AF387" s="6">
        <f ca="1">$M$387*$Z$387</f>
        <v>422.63094595833019</v>
      </c>
      <c r="AG387" s="6">
        <f>$O$387*$AA$387</f>
        <v>257.24718881358206</v>
      </c>
    </row>
    <row r="388" spans="1:33" ht="11.25" hidden="1" customHeight="1" x14ac:dyDescent="0.3">
      <c r="A388" s="4" t="s">
        <v>21</v>
      </c>
      <c r="B388" s="4" t="s">
        <v>41</v>
      </c>
      <c r="C388" s="4" t="s">
        <v>23</v>
      </c>
      <c r="D388" s="4" t="s">
        <v>42</v>
      </c>
      <c r="E388" s="4" t="s">
        <v>52</v>
      </c>
      <c r="F388" s="4" t="s">
        <v>51</v>
      </c>
      <c r="G388" s="4" t="s">
        <v>25</v>
      </c>
      <c r="H388" s="4" t="s">
        <v>25</v>
      </c>
      <c r="I388" s="5">
        <v>44743</v>
      </c>
      <c r="J388" s="6">
        <v>0</v>
      </c>
      <c r="K388" s="6">
        <v>0</v>
      </c>
      <c r="L388" s="6">
        <v>0.73699999999999999</v>
      </c>
      <c r="M388" s="6">
        <v>0.73699999999999999</v>
      </c>
      <c r="N388" s="6">
        <v>0.73699999999999999</v>
      </c>
      <c r="O388" s="6">
        <v>0.73699999999999999</v>
      </c>
      <c r="P388" s="6">
        <v>0</v>
      </c>
      <c r="Q388" s="4" t="s">
        <v>26</v>
      </c>
      <c r="R388" s="4">
        <v>0</v>
      </c>
      <c r="S388" s="6">
        <v>0</v>
      </c>
      <c r="T388" s="6">
        <v>62</v>
      </c>
      <c r="U388" s="6">
        <v>23</v>
      </c>
      <c r="V388" s="6">
        <f>IF(ISERROR(VLOOKUP($S$388,'TAR FIN'!$A$1:$O$92,15,0)),0,VLOOKUP($S$388,'TAR FIN'!$A$1:$O$92,15,0))</f>
        <v>0</v>
      </c>
      <c r="W388" s="6">
        <f>IF(ISERROR(VLOOKUP($T$388,'TAR FIN'!$A$1:$O$92,15,0)),0,VLOOKUP($T$388,'TAR FIN'!$A$1:$O$92,15,0))</f>
        <v>301.99</v>
      </c>
      <c r="X388" s="6">
        <f>IF(ISERROR(VLOOKUP($U$388,'TAR FIN'!$A$1:$O$92,15,0)),0,VLOOKUP($U$388,'TAR FIN'!$A$1:$O$92,15,0))</f>
        <v>267.11</v>
      </c>
      <c r="Y388" s="6"/>
      <c r="Z388" s="6">
        <f ca="1">('TUSD BE'!$AM$37+'TUSD BF'!$AM$37+'TUSD CVA'!$AM$37)*(1-CUSTOS!$M$38)</f>
        <v>443.47423500349447</v>
      </c>
      <c r="AA388" s="6">
        <f>('TE BE'!$AB$25+'TE BF'!$AB$25+'TE CVA'!$AB$25)*(1-CUSTOS!$M$38)</f>
        <v>269.93409109504938</v>
      </c>
      <c r="AB388" s="6">
        <f>$K$388*$V$388</f>
        <v>0</v>
      </c>
      <c r="AC388" s="6">
        <f>$M$388*$W$388</f>
        <v>222.56663</v>
      </c>
      <c r="AD388" s="6">
        <f>$O$388*$X$388</f>
        <v>196.86007000000001</v>
      </c>
      <c r="AE388" s="6">
        <f>$K$388*$Y$388</f>
        <v>0</v>
      </c>
      <c r="AF388" s="6">
        <f ca="1">$M$388*$Z$388</f>
        <v>326.84051119757544</v>
      </c>
      <c r="AG388" s="6">
        <f>$O$388*$AA$388</f>
        <v>198.9414251370514</v>
      </c>
    </row>
    <row r="389" spans="1:33" ht="11.25" hidden="1" customHeight="1" x14ac:dyDescent="0.3">
      <c r="A389" s="4" t="s">
        <v>21</v>
      </c>
      <c r="B389" s="4" t="s">
        <v>41</v>
      </c>
      <c r="C389" s="4" t="s">
        <v>23</v>
      </c>
      <c r="D389" s="4" t="s">
        <v>42</v>
      </c>
      <c r="E389" s="4" t="s">
        <v>52</v>
      </c>
      <c r="F389" s="4" t="s">
        <v>53</v>
      </c>
      <c r="G389" s="4" t="s">
        <v>25</v>
      </c>
      <c r="H389" s="4" t="s">
        <v>25</v>
      </c>
      <c r="I389" s="5">
        <v>44409</v>
      </c>
      <c r="J389" s="6">
        <v>0</v>
      </c>
      <c r="K389" s="6">
        <v>0</v>
      </c>
      <c r="L389" s="6">
        <v>1.992</v>
      </c>
      <c r="M389" s="6">
        <v>0.79679999999999995</v>
      </c>
      <c r="N389" s="6">
        <v>1.992</v>
      </c>
      <c r="O389" s="6">
        <v>0.79679999999999995</v>
      </c>
      <c r="P389" s="6">
        <v>0</v>
      </c>
      <c r="Q389" s="4" t="s">
        <v>26</v>
      </c>
      <c r="R389" s="4">
        <v>0</v>
      </c>
      <c r="S389" s="6">
        <v>0</v>
      </c>
      <c r="T389" s="6">
        <v>62</v>
      </c>
      <c r="U389" s="6">
        <v>23</v>
      </c>
      <c r="V389" s="6">
        <f>IF(ISERROR(VLOOKUP($S$389,'TAR FIN'!$A$1:$O$92,15,0)),0,VLOOKUP($S$389,'TAR FIN'!$A$1:$O$92,15,0))</f>
        <v>0</v>
      </c>
      <c r="W389" s="6">
        <f>IF(ISERROR(VLOOKUP($T$389,'TAR FIN'!$A$1:$O$92,15,0)),0,VLOOKUP($T$389,'TAR FIN'!$A$1:$O$92,15,0))</f>
        <v>301.99</v>
      </c>
      <c r="X389" s="6">
        <f>IF(ISERROR(VLOOKUP($U$389,'TAR FIN'!$A$1:$O$92,15,0)),0,VLOOKUP($U$389,'TAR FIN'!$A$1:$O$92,15,0))</f>
        <v>267.11</v>
      </c>
      <c r="Y389" s="6"/>
      <c r="Z389" s="6">
        <f ca="1">('TUSD BE'!$AM$37+'TUSD BF'!$AM$37+'TUSD CVA'!$AM$37)*(1-CUSTOS!$M$38)</f>
        <v>443.47423500349447</v>
      </c>
      <c r="AA389" s="6">
        <f>('TE BE'!$AB$25+'TE BF'!$AB$25+'TE CVA'!$AB$25)*(1-CUSTOS!$M$38)</f>
        <v>269.93409109504938</v>
      </c>
      <c r="AB389" s="6">
        <f>$K$389*$V$389</f>
        <v>0</v>
      </c>
      <c r="AC389" s="6">
        <f>$M$389*$W$389</f>
        <v>240.625632</v>
      </c>
      <c r="AD389" s="6">
        <f>$O$389*$X$389</f>
        <v>212.833248</v>
      </c>
      <c r="AE389" s="6">
        <f>$K$389*$Y$389</f>
        <v>0</v>
      </c>
      <c r="AF389" s="6">
        <f ca="1">$M$389*$Z$389</f>
        <v>353.36027045078436</v>
      </c>
      <c r="AG389" s="6">
        <f>$O$389*$AA$389</f>
        <v>215.08348378453533</v>
      </c>
    </row>
    <row r="390" spans="1:33" ht="11.25" hidden="1" customHeight="1" x14ac:dyDescent="0.3">
      <c r="A390" s="4" t="s">
        <v>21</v>
      </c>
      <c r="B390" s="4" t="s">
        <v>41</v>
      </c>
      <c r="C390" s="4" t="s">
        <v>23</v>
      </c>
      <c r="D390" s="4" t="s">
        <v>42</v>
      </c>
      <c r="E390" s="4" t="s">
        <v>52</v>
      </c>
      <c r="F390" s="4" t="s">
        <v>53</v>
      </c>
      <c r="G390" s="4" t="s">
        <v>25</v>
      </c>
      <c r="H390" s="4" t="s">
        <v>25</v>
      </c>
      <c r="I390" s="5">
        <v>44440</v>
      </c>
      <c r="J390" s="6">
        <v>0</v>
      </c>
      <c r="K390" s="6">
        <v>0</v>
      </c>
      <c r="L390" s="6">
        <v>2.012</v>
      </c>
      <c r="M390" s="6">
        <v>0.80479999999999996</v>
      </c>
      <c r="N390" s="6">
        <v>2.012</v>
      </c>
      <c r="O390" s="6">
        <v>0.80479999999999996</v>
      </c>
      <c r="P390" s="6">
        <v>0</v>
      </c>
      <c r="Q390" s="4" t="s">
        <v>26</v>
      </c>
      <c r="R390" s="4">
        <v>0</v>
      </c>
      <c r="S390" s="6">
        <v>0</v>
      </c>
      <c r="T390" s="6">
        <v>62</v>
      </c>
      <c r="U390" s="6">
        <v>23</v>
      </c>
      <c r="V390" s="6">
        <f>IF(ISERROR(VLOOKUP($S$390,'TAR FIN'!$A$1:$O$92,15,0)),0,VLOOKUP($S$390,'TAR FIN'!$A$1:$O$92,15,0))</f>
        <v>0</v>
      </c>
      <c r="W390" s="6">
        <f>IF(ISERROR(VLOOKUP($T$390,'TAR FIN'!$A$1:$O$92,15,0)),0,VLOOKUP($T$390,'TAR FIN'!$A$1:$O$92,15,0))</f>
        <v>301.99</v>
      </c>
      <c r="X390" s="6">
        <f>IF(ISERROR(VLOOKUP($U$390,'TAR FIN'!$A$1:$O$92,15,0)),0,VLOOKUP($U$390,'TAR FIN'!$A$1:$O$92,15,0))</f>
        <v>267.11</v>
      </c>
      <c r="Y390" s="6"/>
      <c r="Z390" s="6">
        <f ca="1">('TUSD BE'!$AM$37+'TUSD BF'!$AM$37+'TUSD CVA'!$AM$37)*(1-CUSTOS!$M$38)</f>
        <v>443.47423500349447</v>
      </c>
      <c r="AA390" s="6">
        <f>('TE BE'!$AB$25+'TE BF'!$AB$25+'TE CVA'!$AB$25)*(1-CUSTOS!$M$38)</f>
        <v>269.93409109504938</v>
      </c>
      <c r="AB390" s="6">
        <f>$K$390*$V$390</f>
        <v>0</v>
      </c>
      <c r="AC390" s="6">
        <f>$M$390*$W$390</f>
        <v>243.041552</v>
      </c>
      <c r="AD390" s="6">
        <f>$O$390*$X$390</f>
        <v>214.97012799999999</v>
      </c>
      <c r="AE390" s="6">
        <f>$K$390*$Y$390</f>
        <v>0</v>
      </c>
      <c r="AF390" s="6">
        <f ca="1">$M$390*$Z$390</f>
        <v>356.90806433081235</v>
      </c>
      <c r="AG390" s="6">
        <f>$O$390*$AA$390</f>
        <v>217.24295651329572</v>
      </c>
    </row>
    <row r="391" spans="1:33" ht="11.25" hidden="1" customHeight="1" x14ac:dyDescent="0.3">
      <c r="A391" s="4" t="s">
        <v>21</v>
      </c>
      <c r="B391" s="4" t="s">
        <v>41</v>
      </c>
      <c r="C391" s="4" t="s">
        <v>23</v>
      </c>
      <c r="D391" s="4" t="s">
        <v>42</v>
      </c>
      <c r="E391" s="4" t="s">
        <v>52</v>
      </c>
      <c r="F391" s="4" t="s">
        <v>53</v>
      </c>
      <c r="G391" s="4" t="s">
        <v>25</v>
      </c>
      <c r="H391" s="4" t="s">
        <v>25</v>
      </c>
      <c r="I391" s="5">
        <v>44470</v>
      </c>
      <c r="J391" s="6">
        <v>0</v>
      </c>
      <c r="K391" s="6">
        <v>0</v>
      </c>
      <c r="L391" s="6">
        <v>1.7290000000000001</v>
      </c>
      <c r="M391" s="6">
        <v>0.69159999999999999</v>
      </c>
      <c r="N391" s="6">
        <v>1.7290000000000001</v>
      </c>
      <c r="O391" s="6">
        <v>0.69159999999999999</v>
      </c>
      <c r="P391" s="6">
        <v>0</v>
      </c>
      <c r="Q391" s="4" t="s">
        <v>26</v>
      </c>
      <c r="R391" s="4">
        <v>0</v>
      </c>
      <c r="S391" s="6">
        <v>0</v>
      </c>
      <c r="T391" s="6">
        <v>62</v>
      </c>
      <c r="U391" s="6">
        <v>23</v>
      </c>
      <c r="V391" s="6">
        <f>IF(ISERROR(VLOOKUP($S$391,'TAR FIN'!$A$1:$O$92,15,0)),0,VLOOKUP($S$391,'TAR FIN'!$A$1:$O$92,15,0))</f>
        <v>0</v>
      </c>
      <c r="W391" s="6">
        <f>IF(ISERROR(VLOOKUP($T$391,'TAR FIN'!$A$1:$O$92,15,0)),0,VLOOKUP($T$391,'TAR FIN'!$A$1:$O$92,15,0))</f>
        <v>301.99</v>
      </c>
      <c r="X391" s="6">
        <f>IF(ISERROR(VLOOKUP($U$391,'TAR FIN'!$A$1:$O$92,15,0)),0,VLOOKUP($U$391,'TAR FIN'!$A$1:$O$92,15,0))</f>
        <v>267.11</v>
      </c>
      <c r="Y391" s="6"/>
      <c r="Z391" s="6">
        <f ca="1">('TUSD BE'!$AM$37+'TUSD BF'!$AM$37+'TUSD CVA'!$AM$37)*(1-CUSTOS!$M$38)</f>
        <v>443.47423500349447</v>
      </c>
      <c r="AA391" s="6">
        <f>('TE BE'!$AB$25+'TE BF'!$AB$25+'TE CVA'!$AB$25)*(1-CUSTOS!$M$38)</f>
        <v>269.93409109504938</v>
      </c>
      <c r="AB391" s="6">
        <f>$K$391*$V$391</f>
        <v>0</v>
      </c>
      <c r="AC391" s="6">
        <f>$M$391*$W$391</f>
        <v>208.85628400000002</v>
      </c>
      <c r="AD391" s="6">
        <f>$O$391*$X$391</f>
        <v>184.73327600000002</v>
      </c>
      <c r="AE391" s="6">
        <f>$K$391*$Y$391</f>
        <v>0</v>
      </c>
      <c r="AF391" s="6">
        <f ca="1">$M$391*$Z$391</f>
        <v>306.70678092841678</v>
      </c>
      <c r="AG391" s="6">
        <f>$O$391*$AA$391</f>
        <v>186.68641740133614</v>
      </c>
    </row>
    <row r="392" spans="1:33" ht="11.25" hidden="1" customHeight="1" x14ac:dyDescent="0.3">
      <c r="A392" s="4" t="s">
        <v>21</v>
      </c>
      <c r="B392" s="4" t="s">
        <v>41</v>
      </c>
      <c r="C392" s="4" t="s">
        <v>23</v>
      </c>
      <c r="D392" s="4" t="s">
        <v>42</v>
      </c>
      <c r="E392" s="4" t="s">
        <v>52</v>
      </c>
      <c r="F392" s="4" t="s">
        <v>53</v>
      </c>
      <c r="G392" s="4" t="s">
        <v>25</v>
      </c>
      <c r="H392" s="4" t="s">
        <v>25</v>
      </c>
      <c r="I392" s="5">
        <v>44501</v>
      </c>
      <c r="J392" s="6">
        <v>0</v>
      </c>
      <c r="K392" s="6">
        <v>0</v>
      </c>
      <c r="L392" s="6">
        <v>0.91200000000000003</v>
      </c>
      <c r="M392" s="6">
        <v>0.36480000000000001</v>
      </c>
      <c r="N392" s="6">
        <v>0.91200000000000003</v>
      </c>
      <c r="O392" s="6">
        <v>0.36480000000000001</v>
      </c>
      <c r="P392" s="6">
        <v>0</v>
      </c>
      <c r="Q392" s="4" t="s">
        <v>26</v>
      </c>
      <c r="R392" s="4">
        <v>0</v>
      </c>
      <c r="S392" s="6">
        <v>0</v>
      </c>
      <c r="T392" s="6">
        <v>62</v>
      </c>
      <c r="U392" s="6">
        <v>23</v>
      </c>
      <c r="V392" s="6">
        <f>IF(ISERROR(VLOOKUP($S$392,'TAR FIN'!$A$1:$O$92,15,0)),0,VLOOKUP($S$392,'TAR FIN'!$A$1:$O$92,15,0))</f>
        <v>0</v>
      </c>
      <c r="W392" s="6">
        <f>IF(ISERROR(VLOOKUP($T$392,'TAR FIN'!$A$1:$O$92,15,0)),0,VLOOKUP($T$392,'TAR FIN'!$A$1:$O$92,15,0))</f>
        <v>301.99</v>
      </c>
      <c r="X392" s="6">
        <f>IF(ISERROR(VLOOKUP($U$392,'TAR FIN'!$A$1:$O$92,15,0)),0,VLOOKUP($U$392,'TAR FIN'!$A$1:$O$92,15,0))</f>
        <v>267.11</v>
      </c>
      <c r="Y392" s="6"/>
      <c r="Z392" s="6">
        <f ca="1">('TUSD BE'!$AM$37+'TUSD BF'!$AM$37+'TUSD CVA'!$AM$37)*(1-CUSTOS!$M$38)</f>
        <v>443.47423500349447</v>
      </c>
      <c r="AA392" s="6">
        <f>('TE BE'!$AB$25+'TE BF'!$AB$25+'TE CVA'!$AB$25)*(1-CUSTOS!$M$38)</f>
        <v>269.93409109504938</v>
      </c>
      <c r="AB392" s="6">
        <f>$K$392*$V$392</f>
        <v>0</v>
      </c>
      <c r="AC392" s="6">
        <f>$M$392*$W$392</f>
        <v>110.165952</v>
      </c>
      <c r="AD392" s="6">
        <f>$O$392*$X$392</f>
        <v>97.441728000000012</v>
      </c>
      <c r="AE392" s="6">
        <f>$K$392*$Y$392</f>
        <v>0</v>
      </c>
      <c r="AF392" s="6">
        <f ca="1">$M$392*$Z$392</f>
        <v>161.7794009292748</v>
      </c>
      <c r="AG392" s="6">
        <f>$O$392*$AA$392</f>
        <v>98.471956431474013</v>
      </c>
    </row>
    <row r="393" spans="1:33" ht="11.25" hidden="1" customHeight="1" x14ac:dyDescent="0.3">
      <c r="A393" s="4" t="s">
        <v>21</v>
      </c>
      <c r="B393" s="4" t="s">
        <v>41</v>
      </c>
      <c r="C393" s="4" t="s">
        <v>23</v>
      </c>
      <c r="D393" s="4" t="s">
        <v>42</v>
      </c>
      <c r="E393" s="4" t="s">
        <v>52</v>
      </c>
      <c r="F393" s="4" t="s">
        <v>53</v>
      </c>
      <c r="G393" s="4" t="s">
        <v>25</v>
      </c>
      <c r="H393" s="4" t="s">
        <v>25</v>
      </c>
      <c r="I393" s="5">
        <v>44531</v>
      </c>
      <c r="J393" s="6">
        <v>0</v>
      </c>
      <c r="K393" s="6">
        <v>0</v>
      </c>
      <c r="L393" s="6">
        <v>1.5309999999999999</v>
      </c>
      <c r="M393" s="6">
        <v>0.61240000000000006</v>
      </c>
      <c r="N393" s="6">
        <v>1.5309999999999999</v>
      </c>
      <c r="O393" s="6">
        <v>0.61240000000000006</v>
      </c>
      <c r="P393" s="6">
        <v>0</v>
      </c>
      <c r="Q393" s="4" t="s">
        <v>26</v>
      </c>
      <c r="R393" s="4">
        <v>0</v>
      </c>
      <c r="S393" s="6">
        <v>0</v>
      </c>
      <c r="T393" s="6">
        <v>62</v>
      </c>
      <c r="U393" s="6">
        <v>23</v>
      </c>
      <c r="V393" s="6">
        <f>IF(ISERROR(VLOOKUP($S$393,'TAR FIN'!$A$1:$O$92,15,0)),0,VLOOKUP($S$393,'TAR FIN'!$A$1:$O$92,15,0))</f>
        <v>0</v>
      </c>
      <c r="W393" s="6">
        <f>IF(ISERROR(VLOOKUP($T$393,'TAR FIN'!$A$1:$O$92,15,0)),0,VLOOKUP($T$393,'TAR FIN'!$A$1:$O$92,15,0))</f>
        <v>301.99</v>
      </c>
      <c r="X393" s="6">
        <f>IF(ISERROR(VLOOKUP($U$393,'TAR FIN'!$A$1:$O$92,15,0)),0,VLOOKUP($U$393,'TAR FIN'!$A$1:$O$92,15,0))</f>
        <v>267.11</v>
      </c>
      <c r="Y393" s="6"/>
      <c r="Z393" s="6">
        <f ca="1">('TUSD BE'!$AM$37+'TUSD BF'!$AM$37+'TUSD CVA'!$AM$37)*(1-CUSTOS!$M$38)</f>
        <v>443.47423500349447</v>
      </c>
      <c r="AA393" s="6">
        <f>('TE BE'!$AB$25+'TE BF'!$AB$25+'TE CVA'!$AB$25)*(1-CUSTOS!$M$38)</f>
        <v>269.93409109504938</v>
      </c>
      <c r="AB393" s="6">
        <f>$K$393*$V$393</f>
        <v>0</v>
      </c>
      <c r="AC393" s="6">
        <f>$M$393*$W$393</f>
        <v>184.93867600000002</v>
      </c>
      <c r="AD393" s="6">
        <f>$O$393*$X$393</f>
        <v>163.57816400000002</v>
      </c>
      <c r="AE393" s="6">
        <f>$K$393*$Y$393</f>
        <v>0</v>
      </c>
      <c r="AF393" s="6">
        <f ca="1">$M$393*$Z$393</f>
        <v>271.58362151614006</v>
      </c>
      <c r="AG393" s="6">
        <f>$O$393*$AA$393</f>
        <v>165.30763738660826</v>
      </c>
    </row>
    <row r="394" spans="1:33" ht="11.25" hidden="1" customHeight="1" x14ac:dyDescent="0.3">
      <c r="A394" s="4" t="s">
        <v>21</v>
      </c>
      <c r="B394" s="4" t="s">
        <v>41</v>
      </c>
      <c r="C394" s="4" t="s">
        <v>23</v>
      </c>
      <c r="D394" s="4" t="s">
        <v>42</v>
      </c>
      <c r="E394" s="4" t="s">
        <v>52</v>
      </c>
      <c r="F394" s="4" t="s">
        <v>53</v>
      </c>
      <c r="G394" s="4" t="s">
        <v>25</v>
      </c>
      <c r="H394" s="4" t="s">
        <v>25</v>
      </c>
      <c r="I394" s="5">
        <v>44562</v>
      </c>
      <c r="J394" s="6">
        <v>0</v>
      </c>
      <c r="K394" s="6">
        <v>0</v>
      </c>
      <c r="L394" s="6">
        <v>1.302</v>
      </c>
      <c r="M394" s="6">
        <v>0.52080000000000004</v>
      </c>
      <c r="N394" s="6">
        <v>1.302</v>
      </c>
      <c r="O394" s="6">
        <v>0.52080000000000004</v>
      </c>
      <c r="P394" s="6">
        <v>0</v>
      </c>
      <c r="Q394" s="4" t="s">
        <v>26</v>
      </c>
      <c r="R394" s="4">
        <v>0</v>
      </c>
      <c r="S394" s="6">
        <v>0</v>
      </c>
      <c r="T394" s="6">
        <v>62</v>
      </c>
      <c r="U394" s="6">
        <v>23</v>
      </c>
      <c r="V394" s="6">
        <f>IF(ISERROR(VLOOKUP($S$394,'TAR FIN'!$A$1:$O$92,15,0)),0,VLOOKUP($S$394,'TAR FIN'!$A$1:$O$92,15,0))</f>
        <v>0</v>
      </c>
      <c r="W394" s="6">
        <f>IF(ISERROR(VLOOKUP($T$394,'TAR FIN'!$A$1:$O$92,15,0)),0,VLOOKUP($T$394,'TAR FIN'!$A$1:$O$92,15,0))</f>
        <v>301.99</v>
      </c>
      <c r="X394" s="6">
        <f>IF(ISERROR(VLOOKUP($U$394,'TAR FIN'!$A$1:$O$92,15,0)),0,VLOOKUP($U$394,'TAR FIN'!$A$1:$O$92,15,0))</f>
        <v>267.11</v>
      </c>
      <c r="Y394" s="6"/>
      <c r="Z394" s="6">
        <f ca="1">('TUSD BE'!$AM$37+'TUSD BF'!$AM$37+'TUSD CVA'!$AM$37)*(1-CUSTOS!$M$38)</f>
        <v>443.47423500349447</v>
      </c>
      <c r="AA394" s="6">
        <f>('TE BE'!$AB$25+'TE BF'!$AB$25+'TE CVA'!$AB$25)*(1-CUSTOS!$M$38)</f>
        <v>269.93409109504938</v>
      </c>
      <c r="AB394" s="6">
        <f>$K$394*$V$394</f>
        <v>0</v>
      </c>
      <c r="AC394" s="6">
        <f>$M$394*$W$394</f>
        <v>157.27639200000002</v>
      </c>
      <c r="AD394" s="6">
        <f>$O$394*$X$394</f>
        <v>139.11088800000002</v>
      </c>
      <c r="AE394" s="6">
        <f>$K$394*$Y$394</f>
        <v>0</v>
      </c>
      <c r="AF394" s="6">
        <f ca="1">$M$394*$Z$394</f>
        <v>230.96138158981995</v>
      </c>
      <c r="AG394" s="6">
        <f>$O$394*$AA$394</f>
        <v>140.58167464230172</v>
      </c>
    </row>
    <row r="395" spans="1:33" ht="11.25" hidden="1" customHeight="1" x14ac:dyDescent="0.3">
      <c r="A395" s="4" t="s">
        <v>21</v>
      </c>
      <c r="B395" s="4" t="s">
        <v>41</v>
      </c>
      <c r="C395" s="4" t="s">
        <v>23</v>
      </c>
      <c r="D395" s="4" t="s">
        <v>42</v>
      </c>
      <c r="E395" s="4" t="s">
        <v>52</v>
      </c>
      <c r="F395" s="4" t="s">
        <v>53</v>
      </c>
      <c r="G395" s="4" t="s">
        <v>25</v>
      </c>
      <c r="H395" s="4" t="s">
        <v>25</v>
      </c>
      <c r="I395" s="5">
        <v>44593</v>
      </c>
      <c r="J395" s="6">
        <v>0</v>
      </c>
      <c r="K395" s="6">
        <v>0</v>
      </c>
      <c r="L395" s="6">
        <v>1.1479999999999999</v>
      </c>
      <c r="M395" s="6">
        <v>0.4592</v>
      </c>
      <c r="N395" s="6">
        <v>1.1479999999999999</v>
      </c>
      <c r="O395" s="6">
        <v>0.4592</v>
      </c>
      <c r="P395" s="6">
        <v>0</v>
      </c>
      <c r="Q395" s="4" t="s">
        <v>26</v>
      </c>
      <c r="R395" s="4">
        <v>0</v>
      </c>
      <c r="S395" s="6">
        <v>0</v>
      </c>
      <c r="T395" s="6">
        <v>62</v>
      </c>
      <c r="U395" s="6">
        <v>23</v>
      </c>
      <c r="V395" s="6">
        <f>IF(ISERROR(VLOOKUP($S$395,'TAR FIN'!$A$1:$O$92,15,0)),0,VLOOKUP($S$395,'TAR FIN'!$A$1:$O$92,15,0))</f>
        <v>0</v>
      </c>
      <c r="W395" s="6">
        <f>IF(ISERROR(VLOOKUP($T$395,'TAR FIN'!$A$1:$O$92,15,0)),0,VLOOKUP($T$395,'TAR FIN'!$A$1:$O$92,15,0))</f>
        <v>301.99</v>
      </c>
      <c r="X395" s="6">
        <f>IF(ISERROR(VLOOKUP($U$395,'TAR FIN'!$A$1:$O$92,15,0)),0,VLOOKUP($U$395,'TAR FIN'!$A$1:$O$92,15,0))</f>
        <v>267.11</v>
      </c>
      <c r="Y395" s="6"/>
      <c r="Z395" s="6">
        <f ca="1">('TUSD BE'!$AM$37+'TUSD BF'!$AM$37+'TUSD CVA'!$AM$37)*(1-CUSTOS!$M$38)</f>
        <v>443.47423500349447</v>
      </c>
      <c r="AA395" s="6">
        <f>('TE BE'!$AB$25+'TE BF'!$AB$25+'TE CVA'!$AB$25)*(1-CUSTOS!$M$38)</f>
        <v>269.93409109504938</v>
      </c>
      <c r="AB395" s="6">
        <f>$K$395*$V$395</f>
        <v>0</v>
      </c>
      <c r="AC395" s="6">
        <f>$M$395*$W$395</f>
        <v>138.67380800000001</v>
      </c>
      <c r="AD395" s="6">
        <f>$O$395*$X$395</f>
        <v>122.65691200000001</v>
      </c>
      <c r="AE395" s="6">
        <f>$K$395*$Y$395</f>
        <v>0</v>
      </c>
      <c r="AF395" s="6">
        <f ca="1">$M$395*$Z$395</f>
        <v>203.64336871360467</v>
      </c>
      <c r="AG395" s="6">
        <f>$O$395*$AA$395</f>
        <v>123.95373463084668</v>
      </c>
    </row>
    <row r="396" spans="1:33" ht="11.25" hidden="1" customHeight="1" x14ac:dyDescent="0.3">
      <c r="A396" s="4" t="s">
        <v>21</v>
      </c>
      <c r="B396" s="4" t="s">
        <v>41</v>
      </c>
      <c r="C396" s="4" t="s">
        <v>23</v>
      </c>
      <c r="D396" s="4" t="s">
        <v>42</v>
      </c>
      <c r="E396" s="4" t="s">
        <v>52</v>
      </c>
      <c r="F396" s="4" t="s">
        <v>53</v>
      </c>
      <c r="G396" s="4" t="s">
        <v>25</v>
      </c>
      <c r="H396" s="4" t="s">
        <v>25</v>
      </c>
      <c r="I396" s="5">
        <v>44621</v>
      </c>
      <c r="J396" s="6">
        <v>0</v>
      </c>
      <c r="K396" s="6">
        <v>0</v>
      </c>
      <c r="L396" s="6">
        <v>0.73399999999999999</v>
      </c>
      <c r="M396" s="6">
        <v>0.29360000000000003</v>
      </c>
      <c r="N396" s="6">
        <v>0.73399999999999999</v>
      </c>
      <c r="O396" s="6">
        <v>0.29360000000000003</v>
      </c>
      <c r="P396" s="6">
        <v>0</v>
      </c>
      <c r="Q396" s="4" t="s">
        <v>26</v>
      </c>
      <c r="R396" s="4">
        <v>0</v>
      </c>
      <c r="S396" s="6">
        <v>0</v>
      </c>
      <c r="T396" s="6">
        <v>62</v>
      </c>
      <c r="U396" s="6">
        <v>23</v>
      </c>
      <c r="V396" s="6">
        <f>IF(ISERROR(VLOOKUP($S$396,'TAR FIN'!$A$1:$O$92,15,0)),0,VLOOKUP($S$396,'TAR FIN'!$A$1:$O$92,15,0))</f>
        <v>0</v>
      </c>
      <c r="W396" s="6">
        <f>IF(ISERROR(VLOOKUP($T$396,'TAR FIN'!$A$1:$O$92,15,0)),0,VLOOKUP($T$396,'TAR FIN'!$A$1:$O$92,15,0))</f>
        <v>301.99</v>
      </c>
      <c r="X396" s="6">
        <f>IF(ISERROR(VLOOKUP($U$396,'TAR FIN'!$A$1:$O$92,15,0)),0,VLOOKUP($U$396,'TAR FIN'!$A$1:$O$92,15,0))</f>
        <v>267.11</v>
      </c>
      <c r="Y396" s="6"/>
      <c r="Z396" s="6">
        <f ca="1">('TUSD BE'!$AM$37+'TUSD BF'!$AM$37+'TUSD CVA'!$AM$37)*(1-CUSTOS!$M$38)</f>
        <v>443.47423500349447</v>
      </c>
      <c r="AA396" s="6">
        <f>('TE BE'!$AB$25+'TE BF'!$AB$25+'TE CVA'!$AB$25)*(1-CUSTOS!$M$38)</f>
        <v>269.93409109504938</v>
      </c>
      <c r="AB396" s="6">
        <f>$K$396*$V$396</f>
        <v>0</v>
      </c>
      <c r="AC396" s="6">
        <f>$M$396*$W$396</f>
        <v>88.664264000000017</v>
      </c>
      <c r="AD396" s="6">
        <f>$O$396*$X$396</f>
        <v>78.423496000000014</v>
      </c>
      <c r="AE396" s="6">
        <f>$K$396*$Y$396</f>
        <v>0</v>
      </c>
      <c r="AF396" s="6">
        <f ca="1">$M$396*$Z$396</f>
        <v>130.20403539702599</v>
      </c>
      <c r="AG396" s="6">
        <f>$O$396*$AA$396</f>
        <v>79.25264914550651</v>
      </c>
    </row>
    <row r="397" spans="1:33" ht="11.25" hidden="1" customHeight="1" x14ac:dyDescent="0.3">
      <c r="A397" s="4" t="s">
        <v>21</v>
      </c>
      <c r="B397" s="4" t="s">
        <v>41</v>
      </c>
      <c r="C397" s="4" t="s">
        <v>23</v>
      </c>
      <c r="D397" s="4" t="s">
        <v>42</v>
      </c>
      <c r="E397" s="4" t="s">
        <v>52</v>
      </c>
      <c r="F397" s="4" t="s">
        <v>53</v>
      </c>
      <c r="G397" s="4" t="s">
        <v>25</v>
      </c>
      <c r="H397" s="4" t="s">
        <v>25</v>
      </c>
      <c r="I397" s="5">
        <v>44652</v>
      </c>
      <c r="J397" s="6">
        <v>0</v>
      </c>
      <c r="K397" s="6">
        <v>0</v>
      </c>
      <c r="L397" s="6">
        <v>0.89300000000000002</v>
      </c>
      <c r="M397" s="6">
        <v>0.35720000000000002</v>
      </c>
      <c r="N397" s="6">
        <v>0.89300000000000002</v>
      </c>
      <c r="O397" s="6">
        <v>0.35720000000000002</v>
      </c>
      <c r="P397" s="6">
        <v>0</v>
      </c>
      <c r="Q397" s="4" t="s">
        <v>26</v>
      </c>
      <c r="R397" s="4">
        <v>0</v>
      </c>
      <c r="S397" s="6">
        <v>0</v>
      </c>
      <c r="T397" s="6">
        <v>62</v>
      </c>
      <c r="U397" s="6">
        <v>23</v>
      </c>
      <c r="V397" s="6">
        <f>IF(ISERROR(VLOOKUP($S$397,'TAR FIN'!$A$1:$O$92,15,0)),0,VLOOKUP($S$397,'TAR FIN'!$A$1:$O$92,15,0))</f>
        <v>0</v>
      </c>
      <c r="W397" s="6">
        <f>IF(ISERROR(VLOOKUP($T$397,'TAR FIN'!$A$1:$O$92,15,0)),0,VLOOKUP($T$397,'TAR FIN'!$A$1:$O$92,15,0))</f>
        <v>301.99</v>
      </c>
      <c r="X397" s="6">
        <f>IF(ISERROR(VLOOKUP($U$397,'TAR FIN'!$A$1:$O$92,15,0)),0,VLOOKUP($U$397,'TAR FIN'!$A$1:$O$92,15,0))</f>
        <v>267.11</v>
      </c>
      <c r="Y397" s="6"/>
      <c r="Z397" s="6">
        <f ca="1">('TUSD BE'!$AM$37+'TUSD BF'!$AM$37+'TUSD CVA'!$AM$37)*(1-CUSTOS!$M$38)</f>
        <v>443.47423500349447</v>
      </c>
      <c r="AA397" s="6">
        <f>('TE BE'!$AB$25+'TE BF'!$AB$25+'TE CVA'!$AB$25)*(1-CUSTOS!$M$38)</f>
        <v>269.93409109504938</v>
      </c>
      <c r="AB397" s="6">
        <f>$K$397*$V$397</f>
        <v>0</v>
      </c>
      <c r="AC397" s="6">
        <f>$M$397*$W$397</f>
        <v>107.870828</v>
      </c>
      <c r="AD397" s="6">
        <f>$O$397*$X$397</f>
        <v>95.411692000000016</v>
      </c>
      <c r="AE397" s="6">
        <f>$K$397*$Y$397</f>
        <v>0</v>
      </c>
      <c r="AF397" s="6">
        <f ca="1">$M$397*$Z$397</f>
        <v>158.40899674324822</v>
      </c>
      <c r="AG397" s="6">
        <f>$O$397*$AA$397</f>
        <v>96.420457339151639</v>
      </c>
    </row>
    <row r="398" spans="1:33" ht="11.25" hidden="1" customHeight="1" x14ac:dyDescent="0.3">
      <c r="A398" s="4" t="s">
        <v>21</v>
      </c>
      <c r="B398" s="4" t="s">
        <v>41</v>
      </c>
      <c r="C398" s="4" t="s">
        <v>23</v>
      </c>
      <c r="D398" s="4" t="s">
        <v>42</v>
      </c>
      <c r="E398" s="4" t="s">
        <v>52</v>
      </c>
      <c r="F398" s="4" t="s">
        <v>53</v>
      </c>
      <c r="G398" s="4" t="s">
        <v>25</v>
      </c>
      <c r="H398" s="4" t="s">
        <v>25</v>
      </c>
      <c r="I398" s="5">
        <v>44682</v>
      </c>
      <c r="J398" s="6">
        <v>0</v>
      </c>
      <c r="K398" s="6">
        <v>0</v>
      </c>
      <c r="L398" s="6">
        <v>1.534</v>
      </c>
      <c r="M398" s="6">
        <v>0.61360000000000003</v>
      </c>
      <c r="N398" s="6">
        <v>1.534</v>
      </c>
      <c r="O398" s="6">
        <v>0.61360000000000003</v>
      </c>
      <c r="P398" s="6">
        <v>0</v>
      </c>
      <c r="Q398" s="4" t="s">
        <v>26</v>
      </c>
      <c r="R398" s="4">
        <v>0</v>
      </c>
      <c r="S398" s="6">
        <v>0</v>
      </c>
      <c r="T398" s="6">
        <v>62</v>
      </c>
      <c r="U398" s="6">
        <v>23</v>
      </c>
      <c r="V398" s="6">
        <f>IF(ISERROR(VLOOKUP($S$398,'TAR FIN'!$A$1:$O$92,15,0)),0,VLOOKUP($S$398,'TAR FIN'!$A$1:$O$92,15,0))</f>
        <v>0</v>
      </c>
      <c r="W398" s="6">
        <f>IF(ISERROR(VLOOKUP($T$398,'TAR FIN'!$A$1:$O$92,15,0)),0,VLOOKUP($T$398,'TAR FIN'!$A$1:$O$92,15,0))</f>
        <v>301.99</v>
      </c>
      <c r="X398" s="6">
        <f>IF(ISERROR(VLOOKUP($U$398,'TAR FIN'!$A$1:$O$92,15,0)),0,VLOOKUP($U$398,'TAR FIN'!$A$1:$O$92,15,0))</f>
        <v>267.11</v>
      </c>
      <c r="Y398" s="6"/>
      <c r="Z398" s="6">
        <f ca="1">('TUSD BE'!$AM$37+'TUSD BF'!$AM$37+'TUSD CVA'!$AM$37)*(1-CUSTOS!$M$38)</f>
        <v>443.47423500349447</v>
      </c>
      <c r="AA398" s="6">
        <f>('TE BE'!$AB$25+'TE BF'!$AB$25+'TE CVA'!$AB$25)*(1-CUSTOS!$M$38)</f>
        <v>269.93409109504938</v>
      </c>
      <c r="AB398" s="6">
        <f>$K$398*$V$398</f>
        <v>0</v>
      </c>
      <c r="AC398" s="6">
        <f>$M$398*$W$398</f>
        <v>185.30106400000003</v>
      </c>
      <c r="AD398" s="6">
        <f>$O$398*$X$398</f>
        <v>163.89869600000003</v>
      </c>
      <c r="AE398" s="6">
        <f>$K$398*$Y$398</f>
        <v>0</v>
      </c>
      <c r="AF398" s="6">
        <f ca="1">$M$398*$Z$398</f>
        <v>272.1157905981442</v>
      </c>
      <c r="AG398" s="6">
        <f>$O$398*$AA$398</f>
        <v>165.6315582959223</v>
      </c>
    </row>
    <row r="399" spans="1:33" ht="11.25" hidden="1" customHeight="1" x14ac:dyDescent="0.3">
      <c r="A399" s="4" t="s">
        <v>21</v>
      </c>
      <c r="B399" s="4" t="s">
        <v>41</v>
      </c>
      <c r="C399" s="4" t="s">
        <v>23</v>
      </c>
      <c r="D399" s="4" t="s">
        <v>42</v>
      </c>
      <c r="E399" s="4" t="s">
        <v>52</v>
      </c>
      <c r="F399" s="4" t="s">
        <v>53</v>
      </c>
      <c r="G399" s="4" t="s">
        <v>25</v>
      </c>
      <c r="H399" s="4" t="s">
        <v>25</v>
      </c>
      <c r="I399" s="5">
        <v>44713</v>
      </c>
      <c r="J399" s="6">
        <v>0</v>
      </c>
      <c r="K399" s="6">
        <v>0</v>
      </c>
      <c r="L399" s="6">
        <v>1.4730000000000001</v>
      </c>
      <c r="M399" s="6">
        <v>0.58919999999999995</v>
      </c>
      <c r="N399" s="6">
        <v>1.4730000000000001</v>
      </c>
      <c r="O399" s="6">
        <v>0.58919999999999995</v>
      </c>
      <c r="P399" s="6">
        <v>0</v>
      </c>
      <c r="Q399" s="4" t="s">
        <v>26</v>
      </c>
      <c r="R399" s="4">
        <v>0</v>
      </c>
      <c r="S399" s="6">
        <v>0</v>
      </c>
      <c r="T399" s="6">
        <v>62</v>
      </c>
      <c r="U399" s="6">
        <v>23</v>
      </c>
      <c r="V399" s="6">
        <f>IF(ISERROR(VLOOKUP($S$399,'TAR FIN'!$A$1:$O$92,15,0)),0,VLOOKUP($S$399,'TAR FIN'!$A$1:$O$92,15,0))</f>
        <v>0</v>
      </c>
      <c r="W399" s="6">
        <f>IF(ISERROR(VLOOKUP($T$399,'TAR FIN'!$A$1:$O$92,15,0)),0,VLOOKUP($T$399,'TAR FIN'!$A$1:$O$92,15,0))</f>
        <v>301.99</v>
      </c>
      <c r="X399" s="6">
        <f>IF(ISERROR(VLOOKUP($U$399,'TAR FIN'!$A$1:$O$92,15,0)),0,VLOOKUP($U$399,'TAR FIN'!$A$1:$O$92,15,0))</f>
        <v>267.11</v>
      </c>
      <c r="Y399" s="6"/>
      <c r="Z399" s="6">
        <f ca="1">('TUSD BE'!$AM$37+'TUSD BF'!$AM$37+'TUSD CVA'!$AM$37)*(1-CUSTOS!$M$38)</f>
        <v>443.47423500349447</v>
      </c>
      <c r="AA399" s="6">
        <f>('TE BE'!$AB$25+'TE BF'!$AB$25+'TE CVA'!$AB$25)*(1-CUSTOS!$M$38)</f>
        <v>269.93409109504938</v>
      </c>
      <c r="AB399" s="6">
        <f>$K$399*$V$399</f>
        <v>0</v>
      </c>
      <c r="AC399" s="6">
        <f>$M$399*$W$399</f>
        <v>177.93250799999998</v>
      </c>
      <c r="AD399" s="6">
        <f>$O$399*$X$399</f>
        <v>157.381212</v>
      </c>
      <c r="AE399" s="6">
        <f>$K$399*$Y$399</f>
        <v>0</v>
      </c>
      <c r="AF399" s="6">
        <f ca="1">$M$399*$Z$399</f>
        <v>261.29501926405891</v>
      </c>
      <c r="AG399" s="6">
        <f>$O$399*$AA$399</f>
        <v>159.04516647320307</v>
      </c>
    </row>
    <row r="400" spans="1:33" ht="11.25" hidden="1" customHeight="1" x14ac:dyDescent="0.3">
      <c r="A400" s="4" t="s">
        <v>21</v>
      </c>
      <c r="B400" s="4" t="s">
        <v>41</v>
      </c>
      <c r="C400" s="4" t="s">
        <v>23</v>
      </c>
      <c r="D400" s="4" t="s">
        <v>42</v>
      </c>
      <c r="E400" s="4" t="s">
        <v>52</v>
      </c>
      <c r="F400" s="4" t="s">
        <v>53</v>
      </c>
      <c r="G400" s="4" t="s">
        <v>25</v>
      </c>
      <c r="H400" s="4" t="s">
        <v>25</v>
      </c>
      <c r="I400" s="5">
        <v>44743</v>
      </c>
      <c r="J400" s="6">
        <v>0</v>
      </c>
      <c r="K400" s="6">
        <v>0</v>
      </c>
      <c r="L400" s="6">
        <v>0.89500000000000002</v>
      </c>
      <c r="M400" s="6">
        <v>0.35799999999999998</v>
      </c>
      <c r="N400" s="6">
        <v>0.89500000000000002</v>
      </c>
      <c r="O400" s="6">
        <v>0.35799999999999998</v>
      </c>
      <c r="P400" s="6">
        <v>0</v>
      </c>
      <c r="Q400" s="4" t="s">
        <v>26</v>
      </c>
      <c r="R400" s="4">
        <v>0</v>
      </c>
      <c r="S400" s="6">
        <v>0</v>
      </c>
      <c r="T400" s="6">
        <v>62</v>
      </c>
      <c r="U400" s="6">
        <v>23</v>
      </c>
      <c r="V400" s="6">
        <f>IF(ISERROR(VLOOKUP($S$400,'TAR FIN'!$A$1:$O$92,15,0)),0,VLOOKUP($S$400,'TAR FIN'!$A$1:$O$92,15,0))</f>
        <v>0</v>
      </c>
      <c r="W400" s="6">
        <f>IF(ISERROR(VLOOKUP($T$400,'TAR FIN'!$A$1:$O$92,15,0)),0,VLOOKUP($T$400,'TAR FIN'!$A$1:$O$92,15,0))</f>
        <v>301.99</v>
      </c>
      <c r="X400" s="6">
        <f>IF(ISERROR(VLOOKUP($U$400,'TAR FIN'!$A$1:$O$92,15,0)),0,VLOOKUP($U$400,'TAR FIN'!$A$1:$O$92,15,0))</f>
        <v>267.11</v>
      </c>
      <c r="Y400" s="6"/>
      <c r="Z400" s="6">
        <f ca="1">('TUSD BE'!$AM$37+'TUSD BF'!$AM$37+'TUSD CVA'!$AM$37)*(1-CUSTOS!$M$38)</f>
        <v>443.47423500349447</v>
      </c>
      <c r="AA400" s="6">
        <f>('TE BE'!$AB$25+'TE BF'!$AB$25+'TE CVA'!$AB$25)*(1-CUSTOS!$M$38)</f>
        <v>269.93409109504938</v>
      </c>
      <c r="AB400" s="6">
        <f>$K$400*$V$400</f>
        <v>0</v>
      </c>
      <c r="AC400" s="6">
        <f>$M$400*$W$400</f>
        <v>108.11242</v>
      </c>
      <c r="AD400" s="6">
        <f>$O$400*$X$400</f>
        <v>95.625380000000007</v>
      </c>
      <c r="AE400" s="6">
        <f>$K$400*$Y$400</f>
        <v>0</v>
      </c>
      <c r="AF400" s="6">
        <f ca="1">$M$400*$Z$400</f>
        <v>158.76377613125101</v>
      </c>
      <c r="AG400" s="6">
        <f>$O$400*$AA$400</f>
        <v>96.636404612027675</v>
      </c>
    </row>
    <row r="401" spans="1:33" ht="11.25" hidden="1" customHeight="1" x14ac:dyDescent="0.3">
      <c r="A401" s="4" t="s">
        <v>21</v>
      </c>
      <c r="B401" s="4" t="s">
        <v>41</v>
      </c>
      <c r="C401" s="4" t="s">
        <v>23</v>
      </c>
      <c r="D401" s="4" t="s">
        <v>42</v>
      </c>
      <c r="E401" s="4" t="s">
        <v>25</v>
      </c>
      <c r="F401" s="4" t="s">
        <v>25</v>
      </c>
      <c r="G401" s="4" t="s">
        <v>25</v>
      </c>
      <c r="H401" s="4" t="s">
        <v>25</v>
      </c>
      <c r="I401" s="5">
        <v>44409</v>
      </c>
      <c r="J401" s="6">
        <v>0</v>
      </c>
      <c r="K401" s="6">
        <v>0</v>
      </c>
      <c r="L401" s="6">
        <v>201.24</v>
      </c>
      <c r="M401" s="6">
        <v>201.24</v>
      </c>
      <c r="N401" s="6">
        <v>201.24</v>
      </c>
      <c r="O401" s="6">
        <v>201.24</v>
      </c>
      <c r="P401" s="6">
        <v>794</v>
      </c>
      <c r="Q401" s="4" t="s">
        <v>26</v>
      </c>
      <c r="R401" s="4">
        <v>0</v>
      </c>
      <c r="S401" s="6">
        <v>0</v>
      </c>
      <c r="T401" s="6">
        <v>62</v>
      </c>
      <c r="U401" s="6">
        <v>23</v>
      </c>
      <c r="V401" s="6">
        <f>IF(ISERROR(VLOOKUP($S$401,'TAR FIN'!$A$1:$O$92,15,0)),0,VLOOKUP($S$401,'TAR FIN'!$A$1:$O$92,15,0))</f>
        <v>0</v>
      </c>
      <c r="W401" s="6">
        <f>IF(ISERROR(VLOOKUP($T$401,'TAR FIN'!$A$1:$O$92,15,0)),0,VLOOKUP($T$401,'TAR FIN'!$A$1:$O$92,15,0))</f>
        <v>301.99</v>
      </c>
      <c r="X401" s="6">
        <f>IF(ISERROR(VLOOKUP($U$401,'TAR FIN'!$A$1:$O$92,15,0)),0,VLOOKUP($U$401,'TAR FIN'!$A$1:$O$92,15,0))</f>
        <v>267.11</v>
      </c>
      <c r="Y401" s="6"/>
      <c r="Z401" s="6">
        <f ca="1">('TUSD BE'!$AM$37+'TUSD BF'!$AM$37+'TUSD CVA'!$AM$37)*(1-CUSTOS!$M$38)</f>
        <v>443.47423500349447</v>
      </c>
      <c r="AA401" s="6">
        <f>('TE BE'!$AB$25+'TE BF'!$AB$25+'TE CVA'!$AB$25)*(1-CUSTOS!$M$38)</f>
        <v>269.93409109504938</v>
      </c>
      <c r="AB401" s="6">
        <f>$K$401*$V$401</f>
        <v>0</v>
      </c>
      <c r="AC401" s="6">
        <f>$M$401*$W$401</f>
        <v>60772.467600000004</v>
      </c>
      <c r="AD401" s="6">
        <f>$O$401*$X$401</f>
        <v>53753.216400000005</v>
      </c>
      <c r="AE401" s="6">
        <f>$K$401*$Y$401</f>
        <v>0</v>
      </c>
      <c r="AF401" s="6">
        <f ca="1">$M$401*$Z$401</f>
        <v>89244.755052103224</v>
      </c>
      <c r="AG401" s="6">
        <f>$O$401*$AA$401</f>
        <v>54321.536491967738</v>
      </c>
    </row>
    <row r="402" spans="1:33" ht="11.25" hidden="1" customHeight="1" x14ac:dyDescent="0.3">
      <c r="A402" s="4" t="s">
        <v>27</v>
      </c>
      <c r="B402" s="4" t="s">
        <v>41</v>
      </c>
      <c r="C402" s="4" t="s">
        <v>23</v>
      </c>
      <c r="D402" s="4" t="s">
        <v>42</v>
      </c>
      <c r="E402" s="4" t="s">
        <v>25</v>
      </c>
      <c r="F402" s="4" t="s">
        <v>25</v>
      </c>
      <c r="G402" s="4" t="s">
        <v>25</v>
      </c>
      <c r="H402" s="4" t="s">
        <v>25</v>
      </c>
      <c r="I402" s="5">
        <v>44409</v>
      </c>
      <c r="J402" s="6">
        <v>0</v>
      </c>
      <c r="K402" s="6">
        <v>0</v>
      </c>
      <c r="L402" s="6">
        <v>4.51</v>
      </c>
      <c r="M402" s="6">
        <v>4.51</v>
      </c>
      <c r="N402" s="6">
        <v>4.51</v>
      </c>
      <c r="O402" s="6">
        <v>4.51</v>
      </c>
      <c r="P402" s="6">
        <v>32</v>
      </c>
      <c r="Q402" s="4" t="s">
        <v>26</v>
      </c>
      <c r="R402" s="4">
        <v>0</v>
      </c>
      <c r="S402" s="6">
        <v>0</v>
      </c>
      <c r="T402" s="6">
        <v>62</v>
      </c>
      <c r="U402" s="6">
        <v>23</v>
      </c>
      <c r="V402" s="6">
        <f>IF(ISERROR(VLOOKUP($S$402,'TAR FIN'!$A$1:$O$92,15,0)),0,VLOOKUP($S$402,'TAR FIN'!$A$1:$O$92,15,0))</f>
        <v>0</v>
      </c>
      <c r="W402" s="6">
        <f>IF(ISERROR(VLOOKUP($T$402,'TAR FIN'!$A$1:$O$92,15,0)),0,VLOOKUP($T$402,'TAR FIN'!$A$1:$O$92,15,0))</f>
        <v>301.99</v>
      </c>
      <c r="X402" s="6">
        <f>IF(ISERROR(VLOOKUP($U$402,'TAR FIN'!$A$1:$O$92,15,0)),0,VLOOKUP($U$402,'TAR FIN'!$A$1:$O$92,15,0))</f>
        <v>267.11</v>
      </c>
      <c r="Y402" s="6"/>
      <c r="Z402" s="6">
        <f ca="1">('TUSD BE'!$AM$37+'TUSD BF'!$AM$37+'TUSD CVA'!$AM$37)*(1-CUSTOS!$M$38)</f>
        <v>443.47423500349447</v>
      </c>
      <c r="AA402" s="6">
        <f>('TE BE'!$AB$25+'TE BF'!$AB$25+'TE CVA'!$AB$25)*(1-CUSTOS!$M$38)</f>
        <v>269.93409109504938</v>
      </c>
      <c r="AB402" s="6">
        <f>$K$402*$V$402</f>
        <v>0</v>
      </c>
      <c r="AC402" s="6">
        <f>$M$402*$W$402</f>
        <v>1361.9748999999999</v>
      </c>
      <c r="AD402" s="6">
        <f>$O$402*$X$402</f>
        <v>1204.6660999999999</v>
      </c>
      <c r="AE402" s="6">
        <f>$K$402*$Y$402</f>
        <v>0</v>
      </c>
      <c r="AF402" s="6">
        <f ca="1">$M$402*$Z$402</f>
        <v>2000.06879986576</v>
      </c>
      <c r="AG402" s="6">
        <f>$O$402*$AA$402</f>
        <v>1217.4027508386725</v>
      </c>
    </row>
    <row r="403" spans="1:33" ht="11.25" hidden="1" customHeight="1" x14ac:dyDescent="0.3">
      <c r="A403" s="4" t="s">
        <v>21</v>
      </c>
      <c r="B403" s="4" t="s">
        <v>41</v>
      </c>
      <c r="C403" s="4" t="s">
        <v>23</v>
      </c>
      <c r="D403" s="4" t="s">
        <v>42</v>
      </c>
      <c r="E403" s="4" t="s">
        <v>25</v>
      </c>
      <c r="F403" s="4" t="s">
        <v>25</v>
      </c>
      <c r="G403" s="4" t="s">
        <v>25</v>
      </c>
      <c r="H403" s="4" t="s">
        <v>25</v>
      </c>
      <c r="I403" s="5">
        <v>44440</v>
      </c>
      <c r="J403" s="6">
        <v>0</v>
      </c>
      <c r="K403" s="6">
        <v>0</v>
      </c>
      <c r="L403" s="6">
        <v>228.11099999999999</v>
      </c>
      <c r="M403" s="6">
        <v>228.11099999999999</v>
      </c>
      <c r="N403" s="6">
        <v>228.11099999999999</v>
      </c>
      <c r="O403" s="6">
        <v>228.11099999999999</v>
      </c>
      <c r="P403" s="6">
        <v>791</v>
      </c>
      <c r="Q403" s="4" t="s">
        <v>26</v>
      </c>
      <c r="R403" s="4">
        <v>0</v>
      </c>
      <c r="S403" s="6">
        <v>0</v>
      </c>
      <c r="T403" s="6">
        <v>62</v>
      </c>
      <c r="U403" s="6">
        <v>23</v>
      </c>
      <c r="V403" s="6">
        <f>IF(ISERROR(VLOOKUP($S$403,'TAR FIN'!$A$1:$O$92,15,0)),0,VLOOKUP($S$403,'TAR FIN'!$A$1:$O$92,15,0))</f>
        <v>0</v>
      </c>
      <c r="W403" s="6">
        <f>IF(ISERROR(VLOOKUP($T$403,'TAR FIN'!$A$1:$O$92,15,0)),0,VLOOKUP($T$403,'TAR FIN'!$A$1:$O$92,15,0))</f>
        <v>301.99</v>
      </c>
      <c r="X403" s="6">
        <f>IF(ISERROR(VLOOKUP($U$403,'TAR FIN'!$A$1:$O$92,15,0)),0,VLOOKUP($U$403,'TAR FIN'!$A$1:$O$92,15,0))</f>
        <v>267.11</v>
      </c>
      <c r="Y403" s="6"/>
      <c r="Z403" s="6">
        <f ca="1">('TUSD BE'!$AM$37+'TUSD BF'!$AM$37+'TUSD CVA'!$AM$37)*(1-CUSTOS!$M$38)</f>
        <v>443.47423500349447</v>
      </c>
      <c r="AA403" s="6">
        <f>('TE BE'!$AB$25+'TE BF'!$AB$25+'TE CVA'!$AB$25)*(1-CUSTOS!$M$38)</f>
        <v>269.93409109504938</v>
      </c>
      <c r="AB403" s="6">
        <f>$K$403*$V$403</f>
        <v>0</v>
      </c>
      <c r="AC403" s="6">
        <f>$M$403*$W$403</f>
        <v>68887.240890000001</v>
      </c>
      <c r="AD403" s="6">
        <f>$O$403*$X$403</f>
        <v>60930.729209999998</v>
      </c>
      <c r="AE403" s="6">
        <f>$K$403*$Y$403</f>
        <v>0</v>
      </c>
      <c r="AF403" s="6">
        <f ca="1">$M$403*$Z$403</f>
        <v>101161.35122088212</v>
      </c>
      <c r="AG403" s="6">
        <f>$O$403*$AA$403</f>
        <v>61574.935453782804</v>
      </c>
    </row>
    <row r="404" spans="1:33" ht="11.25" hidden="1" customHeight="1" x14ac:dyDescent="0.3">
      <c r="A404" s="4" t="s">
        <v>27</v>
      </c>
      <c r="B404" s="4" t="s">
        <v>41</v>
      </c>
      <c r="C404" s="4" t="s">
        <v>23</v>
      </c>
      <c r="D404" s="4" t="s">
        <v>42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44440</v>
      </c>
      <c r="J404" s="6">
        <v>0</v>
      </c>
      <c r="K404" s="6">
        <v>0</v>
      </c>
      <c r="L404" s="6">
        <v>7.26</v>
      </c>
      <c r="M404" s="6">
        <v>7.26</v>
      </c>
      <c r="N404" s="6">
        <v>7.26</v>
      </c>
      <c r="O404" s="6">
        <v>7.26</v>
      </c>
      <c r="P404" s="6">
        <v>33</v>
      </c>
      <c r="Q404" s="4" t="s">
        <v>26</v>
      </c>
      <c r="R404" s="4">
        <v>0</v>
      </c>
      <c r="S404" s="6">
        <v>0</v>
      </c>
      <c r="T404" s="6">
        <v>62</v>
      </c>
      <c r="U404" s="6">
        <v>23</v>
      </c>
      <c r="V404" s="6">
        <f>IF(ISERROR(VLOOKUP($S$404,'TAR FIN'!$A$1:$O$92,15,0)),0,VLOOKUP($S$404,'TAR FIN'!$A$1:$O$92,15,0))</f>
        <v>0</v>
      </c>
      <c r="W404" s="6">
        <f>IF(ISERROR(VLOOKUP($T$404,'TAR FIN'!$A$1:$O$92,15,0)),0,VLOOKUP($T$404,'TAR FIN'!$A$1:$O$92,15,0))</f>
        <v>301.99</v>
      </c>
      <c r="X404" s="6">
        <f>IF(ISERROR(VLOOKUP($U$404,'TAR FIN'!$A$1:$O$92,15,0)),0,VLOOKUP($U$404,'TAR FIN'!$A$1:$O$92,15,0))</f>
        <v>267.11</v>
      </c>
      <c r="Y404" s="6"/>
      <c r="Z404" s="6">
        <f ca="1">('TUSD BE'!$AM$37+'TUSD BF'!$AM$37+'TUSD CVA'!$AM$37)*(1-CUSTOS!$M$38)</f>
        <v>443.47423500349447</v>
      </c>
      <c r="AA404" s="6">
        <f>('TE BE'!$AB$25+'TE BF'!$AB$25+'TE CVA'!$AB$25)*(1-CUSTOS!$M$38)</f>
        <v>269.93409109504938</v>
      </c>
      <c r="AB404" s="6">
        <f>$K$404*$V$404</f>
        <v>0</v>
      </c>
      <c r="AC404" s="6">
        <f>$M$404*$W$404</f>
        <v>2192.4474</v>
      </c>
      <c r="AD404" s="6">
        <f>$O$404*$X$404</f>
        <v>1939.2186000000002</v>
      </c>
      <c r="AE404" s="6">
        <f>$K$404*$Y$404</f>
        <v>0</v>
      </c>
      <c r="AF404" s="6">
        <f ca="1">$M$404*$Z$404</f>
        <v>3219.6229461253697</v>
      </c>
      <c r="AG404" s="6">
        <f>$O$404*$AA$404</f>
        <v>1959.7215013500584</v>
      </c>
    </row>
    <row r="405" spans="1:33" ht="11.25" hidden="1" customHeight="1" x14ac:dyDescent="0.3">
      <c r="A405" s="4" t="s">
        <v>21</v>
      </c>
      <c r="B405" s="4" t="s">
        <v>41</v>
      </c>
      <c r="C405" s="4" t="s">
        <v>23</v>
      </c>
      <c r="D405" s="4" t="s">
        <v>42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44470</v>
      </c>
      <c r="J405" s="6">
        <v>0</v>
      </c>
      <c r="K405" s="6">
        <v>0</v>
      </c>
      <c r="L405" s="6">
        <v>223.05</v>
      </c>
      <c r="M405" s="6">
        <v>223.05</v>
      </c>
      <c r="N405" s="6">
        <v>223.05</v>
      </c>
      <c r="O405" s="6">
        <v>223.05</v>
      </c>
      <c r="P405" s="6">
        <v>797</v>
      </c>
      <c r="Q405" s="4" t="s">
        <v>26</v>
      </c>
      <c r="R405" s="4">
        <v>0</v>
      </c>
      <c r="S405" s="6">
        <v>0</v>
      </c>
      <c r="T405" s="6">
        <v>62</v>
      </c>
      <c r="U405" s="6">
        <v>23</v>
      </c>
      <c r="V405" s="6">
        <f>IF(ISERROR(VLOOKUP($S$405,'TAR FIN'!$A$1:$O$92,15,0)),0,VLOOKUP($S$405,'TAR FIN'!$A$1:$O$92,15,0))</f>
        <v>0</v>
      </c>
      <c r="W405" s="6">
        <f>IF(ISERROR(VLOOKUP($T$405,'TAR FIN'!$A$1:$O$92,15,0)),0,VLOOKUP($T$405,'TAR FIN'!$A$1:$O$92,15,0))</f>
        <v>301.99</v>
      </c>
      <c r="X405" s="6">
        <f>IF(ISERROR(VLOOKUP($U$405,'TAR FIN'!$A$1:$O$92,15,0)),0,VLOOKUP($U$405,'TAR FIN'!$A$1:$O$92,15,0))</f>
        <v>267.11</v>
      </c>
      <c r="Y405" s="6"/>
      <c r="Z405" s="6">
        <f ca="1">('TUSD BE'!$AM$37+'TUSD BF'!$AM$37+'TUSD CVA'!$AM$37)*(1-CUSTOS!$M$38)</f>
        <v>443.47423500349447</v>
      </c>
      <c r="AA405" s="6">
        <f>('TE BE'!$AB$25+'TE BF'!$AB$25+'TE CVA'!$AB$25)*(1-CUSTOS!$M$38)</f>
        <v>269.93409109504938</v>
      </c>
      <c r="AB405" s="6">
        <f>$K$405*$V$405</f>
        <v>0</v>
      </c>
      <c r="AC405" s="6">
        <f>$M$405*$W$405</f>
        <v>67358.869500000001</v>
      </c>
      <c r="AD405" s="6">
        <f>$O$405*$X$405</f>
        <v>59578.885500000004</v>
      </c>
      <c r="AE405" s="6">
        <f>$K$405*$Y$405</f>
        <v>0</v>
      </c>
      <c r="AF405" s="6">
        <f ca="1">$M$405*$Z$405</f>
        <v>98916.928117529445</v>
      </c>
      <c r="AG405" s="6">
        <f>$O$405*$AA$405</f>
        <v>60208.799018750768</v>
      </c>
    </row>
    <row r="406" spans="1:33" ht="11.25" hidden="1" customHeight="1" x14ac:dyDescent="0.3">
      <c r="A406" s="4" t="s">
        <v>27</v>
      </c>
      <c r="B406" s="4" t="s">
        <v>41</v>
      </c>
      <c r="C406" s="4" t="s">
        <v>23</v>
      </c>
      <c r="D406" s="4" t="s">
        <v>42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44470</v>
      </c>
      <c r="J406" s="6">
        <v>0</v>
      </c>
      <c r="K406" s="6">
        <v>0</v>
      </c>
      <c r="L406" s="6">
        <v>10.824</v>
      </c>
      <c r="M406" s="6">
        <v>10.824</v>
      </c>
      <c r="N406" s="6">
        <v>10.824</v>
      </c>
      <c r="O406" s="6">
        <v>10.824</v>
      </c>
      <c r="P406" s="6">
        <v>33</v>
      </c>
      <c r="Q406" s="4" t="s">
        <v>26</v>
      </c>
      <c r="R406" s="4">
        <v>0</v>
      </c>
      <c r="S406" s="6">
        <v>0</v>
      </c>
      <c r="T406" s="6">
        <v>62</v>
      </c>
      <c r="U406" s="6">
        <v>23</v>
      </c>
      <c r="V406" s="6">
        <f>IF(ISERROR(VLOOKUP($S$406,'TAR FIN'!$A$1:$O$92,15,0)),0,VLOOKUP($S$406,'TAR FIN'!$A$1:$O$92,15,0))</f>
        <v>0</v>
      </c>
      <c r="W406" s="6">
        <f>IF(ISERROR(VLOOKUP($T$406,'TAR FIN'!$A$1:$O$92,15,0)),0,VLOOKUP($T$406,'TAR FIN'!$A$1:$O$92,15,0))</f>
        <v>301.99</v>
      </c>
      <c r="X406" s="6">
        <f>IF(ISERROR(VLOOKUP($U$406,'TAR FIN'!$A$1:$O$92,15,0)),0,VLOOKUP($U$406,'TAR FIN'!$A$1:$O$92,15,0))</f>
        <v>267.11</v>
      </c>
      <c r="Y406" s="6"/>
      <c r="Z406" s="6">
        <f ca="1">('TUSD BE'!$AM$37+'TUSD BF'!$AM$37+'TUSD CVA'!$AM$37)*(1-CUSTOS!$M$38)</f>
        <v>443.47423500349447</v>
      </c>
      <c r="AA406" s="6">
        <f>('TE BE'!$AB$25+'TE BF'!$AB$25+'TE CVA'!$AB$25)*(1-CUSTOS!$M$38)</f>
        <v>269.93409109504938</v>
      </c>
      <c r="AB406" s="6">
        <f>$K$406*$V$406</f>
        <v>0</v>
      </c>
      <c r="AC406" s="6">
        <f>$M$406*$W$406</f>
        <v>3268.7397599999999</v>
      </c>
      <c r="AD406" s="6">
        <f>$O$406*$X$406</f>
        <v>2891.1986400000001</v>
      </c>
      <c r="AE406" s="6">
        <f>$K$406*$Y$406</f>
        <v>0</v>
      </c>
      <c r="AF406" s="6">
        <f ca="1">$M$406*$Z$406</f>
        <v>4800.1651196778239</v>
      </c>
      <c r="AG406" s="6">
        <f>$O$406*$AA$406</f>
        <v>2921.7666020128145</v>
      </c>
    </row>
    <row r="407" spans="1:33" ht="11.25" hidden="1" customHeight="1" x14ac:dyDescent="0.3">
      <c r="A407" s="4" t="s">
        <v>21</v>
      </c>
      <c r="B407" s="4" t="s">
        <v>41</v>
      </c>
      <c r="C407" s="4" t="s">
        <v>23</v>
      </c>
      <c r="D407" s="4" t="s">
        <v>42</v>
      </c>
      <c r="E407" s="4" t="s">
        <v>25</v>
      </c>
      <c r="F407" s="4" t="s">
        <v>25</v>
      </c>
      <c r="G407" s="4" t="s">
        <v>25</v>
      </c>
      <c r="H407" s="4" t="s">
        <v>25</v>
      </c>
      <c r="I407" s="5">
        <v>44501</v>
      </c>
      <c r="J407" s="6">
        <v>0</v>
      </c>
      <c r="K407" s="6">
        <v>0</v>
      </c>
      <c r="L407" s="6">
        <v>284.45699999999999</v>
      </c>
      <c r="M407" s="6">
        <v>284.45699999999999</v>
      </c>
      <c r="N407" s="6">
        <v>284.45699999999999</v>
      </c>
      <c r="O407" s="6">
        <v>284.45699999999999</v>
      </c>
      <c r="P407" s="6">
        <v>797</v>
      </c>
      <c r="Q407" s="4" t="s">
        <v>26</v>
      </c>
      <c r="R407" s="4">
        <v>0</v>
      </c>
      <c r="S407" s="6">
        <v>0</v>
      </c>
      <c r="T407" s="6">
        <v>62</v>
      </c>
      <c r="U407" s="6">
        <v>23</v>
      </c>
      <c r="V407" s="6">
        <f>IF(ISERROR(VLOOKUP($S$407,'TAR FIN'!$A$1:$O$92,15,0)),0,VLOOKUP($S$407,'TAR FIN'!$A$1:$O$92,15,0))</f>
        <v>0</v>
      </c>
      <c r="W407" s="6">
        <f>IF(ISERROR(VLOOKUP($T$407,'TAR FIN'!$A$1:$O$92,15,0)),0,VLOOKUP($T$407,'TAR FIN'!$A$1:$O$92,15,0))</f>
        <v>301.99</v>
      </c>
      <c r="X407" s="6">
        <f>IF(ISERROR(VLOOKUP($U$407,'TAR FIN'!$A$1:$O$92,15,0)),0,VLOOKUP($U$407,'TAR FIN'!$A$1:$O$92,15,0))</f>
        <v>267.11</v>
      </c>
      <c r="Y407" s="6"/>
      <c r="Z407" s="6">
        <f ca="1">('TUSD BE'!$AM$37+'TUSD BF'!$AM$37+'TUSD CVA'!$AM$37)*(1-CUSTOS!$M$38)</f>
        <v>443.47423500349447</v>
      </c>
      <c r="AA407" s="6">
        <f>('TE BE'!$AB$25+'TE BF'!$AB$25+'TE CVA'!$AB$25)*(1-CUSTOS!$M$38)</f>
        <v>269.93409109504938</v>
      </c>
      <c r="AB407" s="6">
        <f>$K$407*$V$407</f>
        <v>0</v>
      </c>
      <c r="AC407" s="6">
        <f>$M$407*$W$407</f>
        <v>85903.169429999994</v>
      </c>
      <c r="AD407" s="6">
        <f>$O$407*$X$407</f>
        <v>75981.309269999998</v>
      </c>
      <c r="AE407" s="6">
        <f>$K$407*$Y$407</f>
        <v>0</v>
      </c>
      <c r="AF407" s="6">
        <f ca="1">$M$407*$Z$407</f>
        <v>126149.35046638902</v>
      </c>
      <c r="AG407" s="6">
        <f>$O$407*$AA$407</f>
        <v>76784.641750624462</v>
      </c>
    </row>
    <row r="408" spans="1:33" ht="11.25" hidden="1" customHeight="1" x14ac:dyDescent="0.3">
      <c r="A408" s="4" t="s">
        <v>27</v>
      </c>
      <c r="B408" s="4" t="s">
        <v>41</v>
      </c>
      <c r="C408" s="4" t="s">
        <v>23</v>
      </c>
      <c r="D408" s="4" t="s">
        <v>42</v>
      </c>
      <c r="E408" s="4" t="s">
        <v>25</v>
      </c>
      <c r="F408" s="4" t="s">
        <v>25</v>
      </c>
      <c r="G408" s="4" t="s">
        <v>25</v>
      </c>
      <c r="H408" s="4" t="s">
        <v>25</v>
      </c>
      <c r="I408" s="5">
        <v>44501</v>
      </c>
      <c r="J408" s="6">
        <v>0</v>
      </c>
      <c r="K408" s="6">
        <v>0</v>
      </c>
      <c r="L408" s="6">
        <v>16.957999999999998</v>
      </c>
      <c r="M408" s="6">
        <v>16.957999999999998</v>
      </c>
      <c r="N408" s="6">
        <v>16.957999999999998</v>
      </c>
      <c r="O408" s="6">
        <v>16.957999999999998</v>
      </c>
      <c r="P408" s="6">
        <v>33</v>
      </c>
      <c r="Q408" s="4" t="s">
        <v>26</v>
      </c>
      <c r="R408" s="4">
        <v>0</v>
      </c>
      <c r="S408" s="6">
        <v>0</v>
      </c>
      <c r="T408" s="6">
        <v>62</v>
      </c>
      <c r="U408" s="6">
        <v>23</v>
      </c>
      <c r="V408" s="6">
        <f>IF(ISERROR(VLOOKUP($S$408,'TAR FIN'!$A$1:$O$92,15,0)),0,VLOOKUP($S$408,'TAR FIN'!$A$1:$O$92,15,0))</f>
        <v>0</v>
      </c>
      <c r="W408" s="6">
        <f>IF(ISERROR(VLOOKUP($T$408,'TAR FIN'!$A$1:$O$92,15,0)),0,VLOOKUP($T$408,'TAR FIN'!$A$1:$O$92,15,0))</f>
        <v>301.99</v>
      </c>
      <c r="X408" s="6">
        <f>IF(ISERROR(VLOOKUP($U$408,'TAR FIN'!$A$1:$O$92,15,0)),0,VLOOKUP($U$408,'TAR FIN'!$A$1:$O$92,15,0))</f>
        <v>267.11</v>
      </c>
      <c r="Y408" s="6"/>
      <c r="Z408" s="6">
        <f ca="1">('TUSD BE'!$AM$37+'TUSD BF'!$AM$37+'TUSD CVA'!$AM$37)*(1-CUSTOS!$M$38)</f>
        <v>443.47423500349447</v>
      </c>
      <c r="AA408" s="6">
        <f>('TE BE'!$AB$25+'TE BF'!$AB$25+'TE CVA'!$AB$25)*(1-CUSTOS!$M$38)</f>
        <v>269.93409109504938</v>
      </c>
      <c r="AB408" s="6">
        <f>$K$408*$V$408</f>
        <v>0</v>
      </c>
      <c r="AC408" s="6">
        <f>$M$408*$W$408</f>
        <v>5121.14642</v>
      </c>
      <c r="AD408" s="6">
        <f>$O$408*$X$408</f>
        <v>4529.6513800000002</v>
      </c>
      <c r="AE408" s="6">
        <f>$K$408*$Y$408</f>
        <v>0</v>
      </c>
      <c r="AF408" s="6">
        <f ca="1">$M$408*$Z$408</f>
        <v>7520.4360771892589</v>
      </c>
      <c r="AG408" s="6">
        <f>$O$408*$AA$408</f>
        <v>4577.5423167898471</v>
      </c>
    </row>
    <row r="409" spans="1:33" ht="11.25" hidden="1" customHeight="1" x14ac:dyDescent="0.3">
      <c r="A409" s="4" t="s">
        <v>21</v>
      </c>
      <c r="B409" s="4" t="s">
        <v>41</v>
      </c>
      <c r="C409" s="4" t="s">
        <v>23</v>
      </c>
      <c r="D409" s="4" t="s">
        <v>42</v>
      </c>
      <c r="E409" s="4" t="s">
        <v>25</v>
      </c>
      <c r="F409" s="4" t="s">
        <v>25</v>
      </c>
      <c r="G409" s="4" t="s">
        <v>25</v>
      </c>
      <c r="H409" s="4" t="s">
        <v>25</v>
      </c>
      <c r="I409" s="5">
        <v>44531</v>
      </c>
      <c r="J409" s="6">
        <v>0</v>
      </c>
      <c r="K409" s="6">
        <v>0</v>
      </c>
      <c r="L409" s="6">
        <v>345.952</v>
      </c>
      <c r="M409" s="6">
        <v>345.952</v>
      </c>
      <c r="N409" s="6">
        <v>345.952</v>
      </c>
      <c r="O409" s="6">
        <v>345.952</v>
      </c>
      <c r="P409" s="6">
        <v>797</v>
      </c>
      <c r="Q409" s="4" t="s">
        <v>26</v>
      </c>
      <c r="R409" s="4">
        <v>0</v>
      </c>
      <c r="S409" s="6">
        <v>0</v>
      </c>
      <c r="T409" s="6">
        <v>62</v>
      </c>
      <c r="U409" s="6">
        <v>23</v>
      </c>
      <c r="V409" s="6">
        <f>IF(ISERROR(VLOOKUP($S$409,'TAR FIN'!$A$1:$O$92,15,0)),0,VLOOKUP($S$409,'TAR FIN'!$A$1:$O$92,15,0))</f>
        <v>0</v>
      </c>
      <c r="W409" s="6">
        <f>IF(ISERROR(VLOOKUP($T$409,'TAR FIN'!$A$1:$O$92,15,0)),0,VLOOKUP($T$409,'TAR FIN'!$A$1:$O$92,15,0))</f>
        <v>301.99</v>
      </c>
      <c r="X409" s="6">
        <f>IF(ISERROR(VLOOKUP($U$409,'TAR FIN'!$A$1:$O$92,15,0)),0,VLOOKUP($U$409,'TAR FIN'!$A$1:$O$92,15,0))</f>
        <v>267.11</v>
      </c>
      <c r="Y409" s="6"/>
      <c r="Z409" s="6">
        <f ca="1">('TUSD BE'!$AM$37+'TUSD BF'!$AM$37+'TUSD CVA'!$AM$37)*(1-CUSTOS!$M$38)</f>
        <v>443.47423500349447</v>
      </c>
      <c r="AA409" s="6">
        <f>('TE BE'!$AB$25+'TE BF'!$AB$25+'TE CVA'!$AB$25)*(1-CUSTOS!$M$38)</f>
        <v>269.93409109504938</v>
      </c>
      <c r="AB409" s="6">
        <f>$K$409*$V$409</f>
        <v>0</v>
      </c>
      <c r="AC409" s="6">
        <f>$M$409*$W$409</f>
        <v>104474.04448</v>
      </c>
      <c r="AD409" s="6">
        <f>$O$409*$X$409</f>
        <v>92407.238720000008</v>
      </c>
      <c r="AE409" s="6">
        <f>$K$409*$Y$409</f>
        <v>0</v>
      </c>
      <c r="AF409" s="6">
        <f ca="1">$M$409*$Z$409</f>
        <v>153420.79854792892</v>
      </c>
      <c r="AG409" s="6">
        <f>$O$409*$AA$409</f>
        <v>93384.238682514522</v>
      </c>
    </row>
    <row r="410" spans="1:33" ht="11.25" hidden="1" customHeight="1" x14ac:dyDescent="0.3">
      <c r="A410" s="4" t="s">
        <v>27</v>
      </c>
      <c r="B410" s="4" t="s">
        <v>41</v>
      </c>
      <c r="C410" s="4" t="s">
        <v>23</v>
      </c>
      <c r="D410" s="4" t="s">
        <v>42</v>
      </c>
      <c r="E410" s="4" t="s">
        <v>25</v>
      </c>
      <c r="F410" s="4" t="s">
        <v>25</v>
      </c>
      <c r="G410" s="4" t="s">
        <v>25</v>
      </c>
      <c r="H410" s="4" t="s">
        <v>25</v>
      </c>
      <c r="I410" s="5">
        <v>44531</v>
      </c>
      <c r="J410" s="6">
        <v>0</v>
      </c>
      <c r="K410" s="6">
        <v>0</v>
      </c>
      <c r="L410" s="6">
        <v>36.584000000000003</v>
      </c>
      <c r="M410" s="6">
        <v>36.584000000000003</v>
      </c>
      <c r="N410" s="6">
        <v>36.584000000000003</v>
      </c>
      <c r="O410" s="6">
        <v>36.584000000000003</v>
      </c>
      <c r="P410" s="6">
        <v>34</v>
      </c>
      <c r="Q410" s="4" t="s">
        <v>26</v>
      </c>
      <c r="R410" s="4">
        <v>0</v>
      </c>
      <c r="S410" s="6">
        <v>0</v>
      </c>
      <c r="T410" s="6">
        <v>62</v>
      </c>
      <c r="U410" s="6">
        <v>23</v>
      </c>
      <c r="V410" s="6">
        <f>IF(ISERROR(VLOOKUP($S$410,'TAR FIN'!$A$1:$O$92,15,0)),0,VLOOKUP($S$410,'TAR FIN'!$A$1:$O$92,15,0))</f>
        <v>0</v>
      </c>
      <c r="W410" s="6">
        <f>IF(ISERROR(VLOOKUP($T$410,'TAR FIN'!$A$1:$O$92,15,0)),0,VLOOKUP($T$410,'TAR FIN'!$A$1:$O$92,15,0))</f>
        <v>301.99</v>
      </c>
      <c r="X410" s="6">
        <f>IF(ISERROR(VLOOKUP($U$410,'TAR FIN'!$A$1:$O$92,15,0)),0,VLOOKUP($U$410,'TAR FIN'!$A$1:$O$92,15,0))</f>
        <v>267.11</v>
      </c>
      <c r="Y410" s="6"/>
      <c r="Z410" s="6">
        <f ca="1">('TUSD BE'!$AM$37+'TUSD BF'!$AM$37+'TUSD CVA'!$AM$37)*(1-CUSTOS!$M$38)</f>
        <v>443.47423500349447</v>
      </c>
      <c r="AA410" s="6">
        <f>('TE BE'!$AB$25+'TE BF'!$AB$25+'TE CVA'!$AB$25)*(1-CUSTOS!$M$38)</f>
        <v>269.93409109504938</v>
      </c>
      <c r="AB410" s="6">
        <f>$K$410*$V$410</f>
        <v>0</v>
      </c>
      <c r="AC410" s="6">
        <f>$M$410*$W$410</f>
        <v>11048.002160000002</v>
      </c>
      <c r="AD410" s="6">
        <f>$O$410*$X$410</f>
        <v>9771.9522400000005</v>
      </c>
      <c r="AE410" s="6">
        <f>$K$410*$Y$410</f>
        <v>0</v>
      </c>
      <c r="AF410" s="6">
        <f ca="1">$M$410*$Z$410</f>
        <v>16224.061413367843</v>
      </c>
      <c r="AG410" s="6">
        <f>$O$410*$AA$410</f>
        <v>9875.268788621288</v>
      </c>
    </row>
    <row r="411" spans="1:33" ht="11.25" hidden="1" customHeight="1" x14ac:dyDescent="0.3">
      <c r="A411" s="4" t="s">
        <v>21</v>
      </c>
      <c r="B411" s="4" t="s">
        <v>41</v>
      </c>
      <c r="C411" s="4" t="s">
        <v>23</v>
      </c>
      <c r="D411" s="4" t="s">
        <v>42</v>
      </c>
      <c r="E411" s="4" t="s">
        <v>25</v>
      </c>
      <c r="F411" s="4" t="s">
        <v>25</v>
      </c>
      <c r="G411" s="4" t="s">
        <v>25</v>
      </c>
      <c r="H411" s="4" t="s">
        <v>25</v>
      </c>
      <c r="I411" s="5">
        <v>44562</v>
      </c>
      <c r="J411" s="6">
        <v>0</v>
      </c>
      <c r="K411" s="6">
        <v>0</v>
      </c>
      <c r="L411" s="6">
        <v>302.08199999999999</v>
      </c>
      <c r="M411" s="6">
        <v>302.08199999999999</v>
      </c>
      <c r="N411" s="6">
        <v>302.08199999999999</v>
      </c>
      <c r="O411" s="6">
        <v>302.08199999999999</v>
      </c>
      <c r="P411" s="6">
        <v>792</v>
      </c>
      <c r="Q411" s="4" t="s">
        <v>26</v>
      </c>
      <c r="R411" s="4">
        <v>0</v>
      </c>
      <c r="S411" s="6">
        <v>0</v>
      </c>
      <c r="T411" s="6">
        <v>62</v>
      </c>
      <c r="U411" s="6">
        <v>23</v>
      </c>
      <c r="V411" s="6">
        <f>IF(ISERROR(VLOOKUP($S$411,'TAR FIN'!$A$1:$O$92,15,0)),0,VLOOKUP($S$411,'TAR FIN'!$A$1:$O$92,15,0))</f>
        <v>0</v>
      </c>
      <c r="W411" s="6">
        <f>IF(ISERROR(VLOOKUP($T$411,'TAR FIN'!$A$1:$O$92,15,0)),0,VLOOKUP($T$411,'TAR FIN'!$A$1:$O$92,15,0))</f>
        <v>301.99</v>
      </c>
      <c r="X411" s="6">
        <f>IF(ISERROR(VLOOKUP($U$411,'TAR FIN'!$A$1:$O$92,15,0)),0,VLOOKUP($U$411,'TAR FIN'!$A$1:$O$92,15,0))</f>
        <v>267.11</v>
      </c>
      <c r="Y411" s="6"/>
      <c r="Z411" s="6">
        <f ca="1">('TUSD BE'!$AM$37+'TUSD BF'!$AM$37+'TUSD CVA'!$AM$37)*(1-CUSTOS!$M$38)</f>
        <v>443.47423500349447</v>
      </c>
      <c r="AA411" s="6">
        <f>('TE BE'!$AB$25+'TE BF'!$AB$25+'TE CVA'!$AB$25)*(1-CUSTOS!$M$38)</f>
        <v>269.93409109504938</v>
      </c>
      <c r="AB411" s="6">
        <f>$K$411*$V$411</f>
        <v>0</v>
      </c>
      <c r="AC411" s="6">
        <f>$M$411*$W$411</f>
        <v>91225.743180000005</v>
      </c>
      <c r="AD411" s="6">
        <f>$O$411*$X$411</f>
        <v>80689.123019999999</v>
      </c>
      <c r="AE411" s="6">
        <f>$K$411*$Y$411</f>
        <v>0</v>
      </c>
      <c r="AF411" s="6">
        <f ca="1">$M$411*$Z$411</f>
        <v>133965.58385832561</v>
      </c>
      <c r="AG411" s="6">
        <f>$O$411*$AA$411</f>
        <v>81542.230106174713</v>
      </c>
    </row>
    <row r="412" spans="1:33" ht="11.25" hidden="1" customHeight="1" x14ac:dyDescent="0.3">
      <c r="A412" s="4" t="s">
        <v>27</v>
      </c>
      <c r="B412" s="4" t="s">
        <v>41</v>
      </c>
      <c r="C412" s="4" t="s">
        <v>23</v>
      </c>
      <c r="D412" s="4" t="s">
        <v>42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44562</v>
      </c>
      <c r="J412" s="6">
        <v>0</v>
      </c>
      <c r="K412" s="6">
        <v>0</v>
      </c>
      <c r="L412" s="6">
        <v>26.65</v>
      </c>
      <c r="M412" s="6">
        <v>26.65</v>
      </c>
      <c r="N412" s="6">
        <v>26.65</v>
      </c>
      <c r="O412" s="6">
        <v>26.65</v>
      </c>
      <c r="P412" s="6">
        <v>38</v>
      </c>
      <c r="Q412" s="4" t="s">
        <v>26</v>
      </c>
      <c r="R412" s="4">
        <v>0</v>
      </c>
      <c r="S412" s="6">
        <v>0</v>
      </c>
      <c r="T412" s="6">
        <v>62</v>
      </c>
      <c r="U412" s="6">
        <v>23</v>
      </c>
      <c r="V412" s="6">
        <f>IF(ISERROR(VLOOKUP($S$412,'TAR FIN'!$A$1:$O$92,15,0)),0,VLOOKUP($S$412,'TAR FIN'!$A$1:$O$92,15,0))</f>
        <v>0</v>
      </c>
      <c r="W412" s="6">
        <f>IF(ISERROR(VLOOKUP($T$412,'TAR FIN'!$A$1:$O$92,15,0)),0,VLOOKUP($T$412,'TAR FIN'!$A$1:$O$92,15,0))</f>
        <v>301.99</v>
      </c>
      <c r="X412" s="6">
        <f>IF(ISERROR(VLOOKUP($U$412,'TAR FIN'!$A$1:$O$92,15,0)),0,VLOOKUP($U$412,'TAR FIN'!$A$1:$O$92,15,0))</f>
        <v>267.11</v>
      </c>
      <c r="Y412" s="6"/>
      <c r="Z412" s="6">
        <f ca="1">('TUSD BE'!$AM$37+'TUSD BF'!$AM$37+'TUSD CVA'!$AM$37)*(1-CUSTOS!$M$38)</f>
        <v>443.47423500349447</v>
      </c>
      <c r="AA412" s="6">
        <f>('TE BE'!$AB$25+'TE BF'!$AB$25+'TE CVA'!$AB$25)*(1-CUSTOS!$M$38)</f>
        <v>269.93409109504938</v>
      </c>
      <c r="AB412" s="6">
        <f>$K$412*$V$412</f>
        <v>0</v>
      </c>
      <c r="AC412" s="6">
        <f>$M$412*$W$412</f>
        <v>8048.0334999999995</v>
      </c>
      <c r="AD412" s="6">
        <f>$O$412*$X$412</f>
        <v>7118.4814999999999</v>
      </c>
      <c r="AE412" s="6">
        <f>$K$412*$Y$412</f>
        <v>0</v>
      </c>
      <c r="AF412" s="6">
        <f ca="1">$M$412*$Z$412</f>
        <v>11818.588362843127</v>
      </c>
      <c r="AG412" s="6">
        <f>$O$412*$AA$412</f>
        <v>7193.7435276830656</v>
      </c>
    </row>
    <row r="413" spans="1:33" ht="11.25" hidden="1" customHeight="1" x14ac:dyDescent="0.3">
      <c r="A413" s="4" t="s">
        <v>21</v>
      </c>
      <c r="B413" s="4" t="s">
        <v>41</v>
      </c>
      <c r="C413" s="4" t="s">
        <v>23</v>
      </c>
      <c r="D413" s="4" t="s">
        <v>42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44593</v>
      </c>
      <c r="J413" s="6">
        <v>0</v>
      </c>
      <c r="K413" s="6">
        <v>0</v>
      </c>
      <c r="L413" s="6">
        <v>276.39600000000002</v>
      </c>
      <c r="M413" s="6">
        <v>276.39600000000002</v>
      </c>
      <c r="N413" s="6">
        <v>276.39600000000002</v>
      </c>
      <c r="O413" s="6">
        <v>276.39600000000002</v>
      </c>
      <c r="P413" s="6">
        <v>790</v>
      </c>
      <c r="Q413" s="4" t="s">
        <v>26</v>
      </c>
      <c r="R413" s="4">
        <v>0</v>
      </c>
      <c r="S413" s="6">
        <v>0</v>
      </c>
      <c r="T413" s="6">
        <v>62</v>
      </c>
      <c r="U413" s="6">
        <v>23</v>
      </c>
      <c r="V413" s="6">
        <f>IF(ISERROR(VLOOKUP($S$413,'TAR FIN'!$A$1:$O$92,15,0)),0,VLOOKUP($S$413,'TAR FIN'!$A$1:$O$92,15,0))</f>
        <v>0</v>
      </c>
      <c r="W413" s="6">
        <f>IF(ISERROR(VLOOKUP($T$413,'TAR FIN'!$A$1:$O$92,15,0)),0,VLOOKUP($T$413,'TAR FIN'!$A$1:$O$92,15,0))</f>
        <v>301.99</v>
      </c>
      <c r="X413" s="6">
        <f>IF(ISERROR(VLOOKUP($U$413,'TAR FIN'!$A$1:$O$92,15,0)),0,VLOOKUP($U$413,'TAR FIN'!$A$1:$O$92,15,0))</f>
        <v>267.11</v>
      </c>
      <c r="Y413" s="6"/>
      <c r="Z413" s="6">
        <f ca="1">('TUSD BE'!$AM$37+'TUSD BF'!$AM$37+'TUSD CVA'!$AM$37)*(1-CUSTOS!$M$38)</f>
        <v>443.47423500349447</v>
      </c>
      <c r="AA413" s="6">
        <f>('TE BE'!$AB$25+'TE BF'!$AB$25+'TE CVA'!$AB$25)*(1-CUSTOS!$M$38)</f>
        <v>269.93409109504938</v>
      </c>
      <c r="AB413" s="6">
        <f>$K$413*$V$413</f>
        <v>0</v>
      </c>
      <c r="AC413" s="6">
        <f>$M$413*$W$413</f>
        <v>83468.828040000008</v>
      </c>
      <c r="AD413" s="6">
        <f>$O$413*$X$413</f>
        <v>73828.13556000001</v>
      </c>
      <c r="AE413" s="6">
        <f>$K$413*$Y$413</f>
        <v>0</v>
      </c>
      <c r="AF413" s="6">
        <f ca="1">$M$413*$Z$413</f>
        <v>122574.50465802586</v>
      </c>
      <c r="AG413" s="6">
        <f>$O$413*$AA$413</f>
        <v>74608.703042307272</v>
      </c>
    </row>
    <row r="414" spans="1:33" ht="11.25" hidden="1" customHeight="1" x14ac:dyDescent="0.3">
      <c r="A414" s="4" t="s">
        <v>27</v>
      </c>
      <c r="B414" s="4" t="s">
        <v>41</v>
      </c>
      <c r="C414" s="4" t="s">
        <v>23</v>
      </c>
      <c r="D414" s="4" t="s">
        <v>42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44593</v>
      </c>
      <c r="J414" s="6">
        <v>0</v>
      </c>
      <c r="K414" s="6">
        <v>0</v>
      </c>
      <c r="L414" s="6">
        <v>38.256999999999998</v>
      </c>
      <c r="M414" s="6">
        <v>38.256999999999998</v>
      </c>
      <c r="N414" s="6">
        <v>38.256999999999998</v>
      </c>
      <c r="O414" s="6">
        <v>38.256999999999998</v>
      </c>
      <c r="P414" s="6">
        <v>38</v>
      </c>
      <c r="Q414" s="4" t="s">
        <v>26</v>
      </c>
      <c r="R414" s="4">
        <v>0</v>
      </c>
      <c r="S414" s="6">
        <v>0</v>
      </c>
      <c r="T414" s="6">
        <v>62</v>
      </c>
      <c r="U414" s="6">
        <v>23</v>
      </c>
      <c r="V414" s="6">
        <f>IF(ISERROR(VLOOKUP($S$414,'TAR FIN'!$A$1:$O$92,15,0)),0,VLOOKUP($S$414,'TAR FIN'!$A$1:$O$92,15,0))</f>
        <v>0</v>
      </c>
      <c r="W414" s="6">
        <f>IF(ISERROR(VLOOKUP($T$414,'TAR FIN'!$A$1:$O$92,15,0)),0,VLOOKUP($T$414,'TAR FIN'!$A$1:$O$92,15,0))</f>
        <v>301.99</v>
      </c>
      <c r="X414" s="6">
        <f>IF(ISERROR(VLOOKUP($U$414,'TAR FIN'!$A$1:$O$92,15,0)),0,VLOOKUP($U$414,'TAR FIN'!$A$1:$O$92,15,0))</f>
        <v>267.11</v>
      </c>
      <c r="Y414" s="6"/>
      <c r="Z414" s="6">
        <f ca="1">('TUSD BE'!$AM$37+'TUSD BF'!$AM$37+'TUSD CVA'!$AM$37)*(1-CUSTOS!$M$38)</f>
        <v>443.47423500349447</v>
      </c>
      <c r="AA414" s="6">
        <f>('TE BE'!$AB$25+'TE BF'!$AB$25+'TE CVA'!$AB$25)*(1-CUSTOS!$M$38)</f>
        <v>269.93409109504938</v>
      </c>
      <c r="AB414" s="6">
        <f>$K$414*$V$414</f>
        <v>0</v>
      </c>
      <c r="AC414" s="6">
        <f>$M$414*$W$414</f>
        <v>11553.23143</v>
      </c>
      <c r="AD414" s="6">
        <f>$O$414*$X$414</f>
        <v>10218.82727</v>
      </c>
      <c r="AE414" s="6">
        <f>$K$414*$Y$414</f>
        <v>0</v>
      </c>
      <c r="AF414" s="6">
        <f ca="1">$M$414*$Z$414</f>
        <v>16965.993808528689</v>
      </c>
      <c r="AG414" s="6">
        <f>$O$414*$AA$414</f>
        <v>10326.868523023304</v>
      </c>
    </row>
    <row r="415" spans="1:33" ht="11.25" hidden="1" customHeight="1" x14ac:dyDescent="0.3">
      <c r="A415" s="4" t="s">
        <v>21</v>
      </c>
      <c r="B415" s="4" t="s">
        <v>41</v>
      </c>
      <c r="C415" s="4" t="s">
        <v>23</v>
      </c>
      <c r="D415" s="4" t="s">
        <v>42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44621</v>
      </c>
      <c r="J415" s="6">
        <v>0</v>
      </c>
      <c r="K415" s="6">
        <v>0</v>
      </c>
      <c r="L415" s="6">
        <v>228.57900000000001</v>
      </c>
      <c r="M415" s="6">
        <v>228.57900000000001</v>
      </c>
      <c r="N415" s="6">
        <v>228.57900000000001</v>
      </c>
      <c r="O415" s="6">
        <v>228.57900000000001</v>
      </c>
      <c r="P415" s="6">
        <v>788</v>
      </c>
      <c r="Q415" s="4" t="s">
        <v>26</v>
      </c>
      <c r="R415" s="4">
        <v>0</v>
      </c>
      <c r="S415" s="6">
        <v>0</v>
      </c>
      <c r="T415" s="6">
        <v>62</v>
      </c>
      <c r="U415" s="6">
        <v>23</v>
      </c>
      <c r="V415" s="6">
        <f>IF(ISERROR(VLOOKUP($S$415,'TAR FIN'!$A$1:$O$92,15,0)),0,VLOOKUP($S$415,'TAR FIN'!$A$1:$O$92,15,0))</f>
        <v>0</v>
      </c>
      <c r="W415" s="6">
        <f>IF(ISERROR(VLOOKUP($T$415,'TAR FIN'!$A$1:$O$92,15,0)),0,VLOOKUP($T$415,'TAR FIN'!$A$1:$O$92,15,0))</f>
        <v>301.99</v>
      </c>
      <c r="X415" s="6">
        <f>IF(ISERROR(VLOOKUP($U$415,'TAR FIN'!$A$1:$O$92,15,0)),0,VLOOKUP($U$415,'TAR FIN'!$A$1:$O$92,15,0))</f>
        <v>267.11</v>
      </c>
      <c r="Y415" s="6"/>
      <c r="Z415" s="6">
        <f ca="1">('TUSD BE'!$AM$37+'TUSD BF'!$AM$37+'TUSD CVA'!$AM$37)*(1-CUSTOS!$M$38)</f>
        <v>443.47423500349447</v>
      </c>
      <c r="AA415" s="6">
        <f>('TE BE'!$AB$25+'TE BF'!$AB$25+'TE CVA'!$AB$25)*(1-CUSTOS!$M$38)</f>
        <v>269.93409109504938</v>
      </c>
      <c r="AB415" s="6">
        <f>$K$415*$V$415</f>
        <v>0</v>
      </c>
      <c r="AC415" s="6">
        <f>$M$415*$W$415</f>
        <v>69028.572209999998</v>
      </c>
      <c r="AD415" s="6">
        <f>$O$415*$X$415</f>
        <v>61055.736690000005</v>
      </c>
      <c r="AE415" s="6">
        <f>$K$415*$Y$415</f>
        <v>0</v>
      </c>
      <c r="AF415" s="6">
        <f ca="1">$M$415*$Z$415</f>
        <v>101368.89716286377</v>
      </c>
      <c r="AG415" s="6">
        <f>$O$415*$AA$415</f>
        <v>61701.264608415295</v>
      </c>
    </row>
    <row r="416" spans="1:33" ht="11.25" hidden="1" customHeight="1" x14ac:dyDescent="0.3">
      <c r="A416" s="4" t="s">
        <v>27</v>
      </c>
      <c r="B416" s="4" t="s">
        <v>41</v>
      </c>
      <c r="C416" s="4" t="s">
        <v>23</v>
      </c>
      <c r="D416" s="4" t="s">
        <v>42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44621</v>
      </c>
      <c r="J416" s="6">
        <v>0</v>
      </c>
      <c r="K416" s="6">
        <v>0</v>
      </c>
      <c r="L416" s="6">
        <v>8.7840000000000007</v>
      </c>
      <c r="M416" s="6">
        <v>8.7840000000000007</v>
      </c>
      <c r="N416" s="6">
        <v>8.7840000000000007</v>
      </c>
      <c r="O416" s="6">
        <v>8.7840000000000007</v>
      </c>
      <c r="P416" s="6">
        <v>38</v>
      </c>
      <c r="Q416" s="4" t="s">
        <v>26</v>
      </c>
      <c r="R416" s="4">
        <v>0</v>
      </c>
      <c r="S416" s="6">
        <v>0</v>
      </c>
      <c r="T416" s="6">
        <v>62</v>
      </c>
      <c r="U416" s="6">
        <v>23</v>
      </c>
      <c r="V416" s="6">
        <f>IF(ISERROR(VLOOKUP($S$416,'TAR FIN'!$A$1:$O$92,15,0)),0,VLOOKUP($S$416,'TAR FIN'!$A$1:$O$92,15,0))</f>
        <v>0</v>
      </c>
      <c r="W416" s="6">
        <f>IF(ISERROR(VLOOKUP($T$416,'TAR FIN'!$A$1:$O$92,15,0)),0,VLOOKUP($T$416,'TAR FIN'!$A$1:$O$92,15,0))</f>
        <v>301.99</v>
      </c>
      <c r="X416" s="6">
        <f>IF(ISERROR(VLOOKUP($U$416,'TAR FIN'!$A$1:$O$92,15,0)),0,VLOOKUP($U$416,'TAR FIN'!$A$1:$O$92,15,0))</f>
        <v>267.11</v>
      </c>
      <c r="Y416" s="6"/>
      <c r="Z416" s="6">
        <f ca="1">('TUSD BE'!$AM$37+'TUSD BF'!$AM$37+'TUSD CVA'!$AM$37)*(1-CUSTOS!$M$38)</f>
        <v>443.47423500349447</v>
      </c>
      <c r="AA416" s="6">
        <f>('TE BE'!$AB$25+'TE BF'!$AB$25+'TE CVA'!$AB$25)*(1-CUSTOS!$M$38)</f>
        <v>269.93409109504938</v>
      </c>
      <c r="AB416" s="6">
        <f>$K$416*$V$416</f>
        <v>0</v>
      </c>
      <c r="AC416" s="6">
        <f>$M$416*$W$416</f>
        <v>2652.6801600000003</v>
      </c>
      <c r="AD416" s="6">
        <f>$O$416*$X$416</f>
        <v>2346.2942400000002</v>
      </c>
      <c r="AE416" s="6">
        <f>$K$416*$Y$416</f>
        <v>0</v>
      </c>
      <c r="AF416" s="6">
        <f ca="1">$M$416*$Z$416</f>
        <v>3895.4776802706956</v>
      </c>
      <c r="AG416" s="6">
        <f>$O$416*$AA$416</f>
        <v>2371.101056178914</v>
      </c>
    </row>
    <row r="417" spans="1:33" ht="11.25" hidden="1" customHeight="1" x14ac:dyDescent="0.3">
      <c r="A417" s="4" t="s">
        <v>21</v>
      </c>
      <c r="B417" s="4" t="s">
        <v>41</v>
      </c>
      <c r="C417" s="4" t="s">
        <v>23</v>
      </c>
      <c r="D417" s="4" t="s">
        <v>42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44652</v>
      </c>
      <c r="J417" s="6">
        <v>0</v>
      </c>
      <c r="K417" s="6">
        <v>0</v>
      </c>
      <c r="L417" s="6">
        <v>197.05199999999999</v>
      </c>
      <c r="M417" s="6">
        <v>197.05199999999999</v>
      </c>
      <c r="N417" s="6">
        <v>197.05199999999999</v>
      </c>
      <c r="O417" s="6">
        <v>197.05199999999999</v>
      </c>
      <c r="P417" s="6">
        <v>790</v>
      </c>
      <c r="Q417" s="4" t="s">
        <v>26</v>
      </c>
      <c r="R417" s="4">
        <v>0</v>
      </c>
      <c r="S417" s="6">
        <v>0</v>
      </c>
      <c r="T417" s="6">
        <v>62</v>
      </c>
      <c r="U417" s="6">
        <v>23</v>
      </c>
      <c r="V417" s="6">
        <f>IF(ISERROR(VLOOKUP($S$417,'TAR FIN'!$A$1:$O$92,15,0)),0,VLOOKUP($S$417,'TAR FIN'!$A$1:$O$92,15,0))</f>
        <v>0</v>
      </c>
      <c r="W417" s="6">
        <f>IF(ISERROR(VLOOKUP($T$417,'TAR FIN'!$A$1:$O$92,15,0)),0,VLOOKUP($T$417,'TAR FIN'!$A$1:$O$92,15,0))</f>
        <v>301.99</v>
      </c>
      <c r="X417" s="6">
        <f>IF(ISERROR(VLOOKUP($U$417,'TAR FIN'!$A$1:$O$92,15,0)),0,VLOOKUP($U$417,'TAR FIN'!$A$1:$O$92,15,0))</f>
        <v>267.11</v>
      </c>
      <c r="Y417" s="6"/>
      <c r="Z417" s="6">
        <f ca="1">('TUSD BE'!$AM$37+'TUSD BF'!$AM$37+'TUSD CVA'!$AM$37)*(1-CUSTOS!$M$38)</f>
        <v>443.47423500349447</v>
      </c>
      <c r="AA417" s="6">
        <f>('TE BE'!$AB$25+'TE BF'!$AB$25+'TE CVA'!$AB$25)*(1-CUSTOS!$M$38)</f>
        <v>269.93409109504938</v>
      </c>
      <c r="AB417" s="6">
        <f>$K$417*$V$417</f>
        <v>0</v>
      </c>
      <c r="AC417" s="6">
        <f>$M$417*$W$417</f>
        <v>59507.733480000003</v>
      </c>
      <c r="AD417" s="6">
        <f>$O$417*$X$417</f>
        <v>52634.559719999997</v>
      </c>
      <c r="AE417" s="6">
        <f>$K$417*$Y$417</f>
        <v>0</v>
      </c>
      <c r="AF417" s="6">
        <f ca="1">$M$417*$Z$417</f>
        <v>87387.484955908585</v>
      </c>
      <c r="AG417" s="6">
        <f>$O$417*$AA$417</f>
        <v>53191.052518461671</v>
      </c>
    </row>
    <row r="418" spans="1:33" ht="11.25" hidden="1" customHeight="1" x14ac:dyDescent="0.3">
      <c r="A418" s="4" t="s">
        <v>27</v>
      </c>
      <c r="B418" s="4" t="s">
        <v>41</v>
      </c>
      <c r="C418" s="4" t="s">
        <v>23</v>
      </c>
      <c r="D418" s="4" t="s">
        <v>42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44652</v>
      </c>
      <c r="J418" s="6">
        <v>0</v>
      </c>
      <c r="K418" s="6">
        <v>0</v>
      </c>
      <c r="L418" s="6">
        <v>13.965999999999999</v>
      </c>
      <c r="M418" s="6">
        <v>13.965999999999999</v>
      </c>
      <c r="N418" s="6">
        <v>13.965999999999999</v>
      </c>
      <c r="O418" s="6">
        <v>13.965999999999999</v>
      </c>
      <c r="P418" s="6">
        <v>39</v>
      </c>
      <c r="Q418" s="4" t="s">
        <v>26</v>
      </c>
      <c r="R418" s="4">
        <v>0</v>
      </c>
      <c r="S418" s="6">
        <v>0</v>
      </c>
      <c r="T418" s="6">
        <v>62</v>
      </c>
      <c r="U418" s="6">
        <v>23</v>
      </c>
      <c r="V418" s="6">
        <f>IF(ISERROR(VLOOKUP($S$418,'TAR FIN'!$A$1:$O$92,15,0)),0,VLOOKUP($S$418,'TAR FIN'!$A$1:$O$92,15,0))</f>
        <v>0</v>
      </c>
      <c r="W418" s="6">
        <f>IF(ISERROR(VLOOKUP($T$418,'TAR FIN'!$A$1:$O$92,15,0)),0,VLOOKUP($T$418,'TAR FIN'!$A$1:$O$92,15,0))</f>
        <v>301.99</v>
      </c>
      <c r="X418" s="6">
        <f>IF(ISERROR(VLOOKUP($U$418,'TAR FIN'!$A$1:$O$92,15,0)),0,VLOOKUP($U$418,'TAR FIN'!$A$1:$O$92,15,0))</f>
        <v>267.11</v>
      </c>
      <c r="Y418" s="6"/>
      <c r="Z418" s="6">
        <f ca="1">('TUSD BE'!$AM$37+'TUSD BF'!$AM$37+'TUSD CVA'!$AM$37)*(1-CUSTOS!$M$38)</f>
        <v>443.47423500349447</v>
      </c>
      <c r="AA418" s="6">
        <f>('TE BE'!$AB$25+'TE BF'!$AB$25+'TE CVA'!$AB$25)*(1-CUSTOS!$M$38)</f>
        <v>269.93409109504938</v>
      </c>
      <c r="AB418" s="6">
        <f>$K$418*$V$418</f>
        <v>0</v>
      </c>
      <c r="AC418" s="6">
        <f>$M$418*$W$418</f>
        <v>4217.5923400000001</v>
      </c>
      <c r="AD418" s="6">
        <f>$O$418*$X$418</f>
        <v>3730.4582599999999</v>
      </c>
      <c r="AE418" s="6">
        <f>$K$418*$Y$418</f>
        <v>0</v>
      </c>
      <c r="AF418" s="6">
        <f ca="1">$M$418*$Z$418</f>
        <v>6193.5611660588038</v>
      </c>
      <c r="AG418" s="6">
        <f>$O$418*$AA$418</f>
        <v>3769.8995162334595</v>
      </c>
    </row>
    <row r="419" spans="1:33" ht="11.25" hidden="1" customHeight="1" x14ac:dyDescent="0.3">
      <c r="A419" s="4" t="s">
        <v>21</v>
      </c>
      <c r="B419" s="4" t="s">
        <v>41</v>
      </c>
      <c r="C419" s="4" t="s">
        <v>23</v>
      </c>
      <c r="D419" s="4" t="s">
        <v>42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44682</v>
      </c>
      <c r="J419" s="6">
        <v>0</v>
      </c>
      <c r="K419" s="6">
        <v>0</v>
      </c>
      <c r="L419" s="6">
        <v>186.18</v>
      </c>
      <c r="M419" s="6">
        <v>186.18</v>
      </c>
      <c r="N419" s="6">
        <v>186.18</v>
      </c>
      <c r="O419" s="6">
        <v>186.18</v>
      </c>
      <c r="P419" s="6">
        <v>789</v>
      </c>
      <c r="Q419" s="4" t="s">
        <v>26</v>
      </c>
      <c r="R419" s="4">
        <v>0</v>
      </c>
      <c r="S419" s="6">
        <v>0</v>
      </c>
      <c r="T419" s="6">
        <v>62</v>
      </c>
      <c r="U419" s="6">
        <v>23</v>
      </c>
      <c r="V419" s="6">
        <f>IF(ISERROR(VLOOKUP($S$419,'TAR FIN'!$A$1:$O$92,15,0)),0,VLOOKUP($S$419,'TAR FIN'!$A$1:$O$92,15,0))</f>
        <v>0</v>
      </c>
      <c r="W419" s="6">
        <f>IF(ISERROR(VLOOKUP($T$419,'TAR FIN'!$A$1:$O$92,15,0)),0,VLOOKUP($T$419,'TAR FIN'!$A$1:$O$92,15,0))</f>
        <v>301.99</v>
      </c>
      <c r="X419" s="6">
        <f>IF(ISERROR(VLOOKUP($U$419,'TAR FIN'!$A$1:$O$92,15,0)),0,VLOOKUP($U$419,'TAR FIN'!$A$1:$O$92,15,0))</f>
        <v>267.11</v>
      </c>
      <c r="Y419" s="6"/>
      <c r="Z419" s="6">
        <f ca="1">('TUSD BE'!$AM$37+'TUSD BF'!$AM$37+'TUSD CVA'!$AM$37)*(1-CUSTOS!$M$38)</f>
        <v>443.47423500349447</v>
      </c>
      <c r="AA419" s="6">
        <f>('TE BE'!$AB$25+'TE BF'!$AB$25+'TE CVA'!$AB$25)*(1-CUSTOS!$M$38)</f>
        <v>269.93409109504938</v>
      </c>
      <c r="AB419" s="6">
        <f>$K$419*$V$419</f>
        <v>0</v>
      </c>
      <c r="AC419" s="6">
        <f>$M$419*$W$419</f>
        <v>56224.498200000002</v>
      </c>
      <c r="AD419" s="6">
        <f>$O$419*$X$419</f>
        <v>49730.539800000006</v>
      </c>
      <c r="AE419" s="6">
        <f>$K$419*$Y$419</f>
        <v>0</v>
      </c>
      <c r="AF419" s="6">
        <f ca="1">$M$419*$Z$419</f>
        <v>82566.033072950609</v>
      </c>
      <c r="AG419" s="6">
        <f>$O$419*$AA$419</f>
        <v>50256.329080076299</v>
      </c>
    </row>
    <row r="420" spans="1:33" ht="11.25" hidden="1" customHeight="1" x14ac:dyDescent="0.3">
      <c r="A420" s="4" t="s">
        <v>27</v>
      </c>
      <c r="B420" s="4" t="s">
        <v>41</v>
      </c>
      <c r="C420" s="4" t="s">
        <v>23</v>
      </c>
      <c r="D420" s="4" t="s">
        <v>42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44682</v>
      </c>
      <c r="J420" s="6">
        <v>0</v>
      </c>
      <c r="K420" s="6">
        <v>0</v>
      </c>
      <c r="L420" s="6">
        <v>8.7940000000000005</v>
      </c>
      <c r="M420" s="6">
        <v>8.7940000000000005</v>
      </c>
      <c r="N420" s="6">
        <v>8.7940000000000005</v>
      </c>
      <c r="O420" s="6">
        <v>8.7940000000000005</v>
      </c>
      <c r="P420" s="6">
        <v>40</v>
      </c>
      <c r="Q420" s="4" t="s">
        <v>26</v>
      </c>
      <c r="R420" s="4">
        <v>0</v>
      </c>
      <c r="S420" s="6">
        <v>0</v>
      </c>
      <c r="T420" s="6">
        <v>62</v>
      </c>
      <c r="U420" s="6">
        <v>23</v>
      </c>
      <c r="V420" s="6">
        <f>IF(ISERROR(VLOOKUP($S$420,'TAR FIN'!$A$1:$O$92,15,0)),0,VLOOKUP($S$420,'TAR FIN'!$A$1:$O$92,15,0))</f>
        <v>0</v>
      </c>
      <c r="W420" s="6">
        <f>IF(ISERROR(VLOOKUP($T$420,'TAR FIN'!$A$1:$O$92,15,0)),0,VLOOKUP($T$420,'TAR FIN'!$A$1:$O$92,15,0))</f>
        <v>301.99</v>
      </c>
      <c r="X420" s="6">
        <f>IF(ISERROR(VLOOKUP($U$420,'TAR FIN'!$A$1:$O$92,15,0)),0,VLOOKUP($U$420,'TAR FIN'!$A$1:$O$92,15,0))</f>
        <v>267.11</v>
      </c>
      <c r="Y420" s="6"/>
      <c r="Z420" s="6">
        <f ca="1">('TUSD BE'!$AM$37+'TUSD BF'!$AM$37+'TUSD CVA'!$AM$37)*(1-CUSTOS!$M$38)</f>
        <v>443.47423500349447</v>
      </c>
      <c r="AA420" s="6">
        <f>('TE BE'!$AB$25+'TE BF'!$AB$25+'TE CVA'!$AB$25)*(1-CUSTOS!$M$38)</f>
        <v>269.93409109504938</v>
      </c>
      <c r="AB420" s="6">
        <f>$K$420*$V$420</f>
        <v>0</v>
      </c>
      <c r="AC420" s="6">
        <f>$M$420*$W$420</f>
        <v>2655.7000600000001</v>
      </c>
      <c r="AD420" s="6">
        <f>$O$420*$X$420</f>
        <v>2348.9653400000002</v>
      </c>
      <c r="AE420" s="6">
        <f>$K$420*$Y$420</f>
        <v>0</v>
      </c>
      <c r="AF420" s="6">
        <f ca="1">$M$420*$Z$420</f>
        <v>3899.9124226207305</v>
      </c>
      <c r="AG420" s="6">
        <f>$O$420*$AA$420</f>
        <v>2373.8003970898644</v>
      </c>
    </row>
    <row r="421" spans="1:33" ht="11.25" hidden="1" customHeight="1" x14ac:dyDescent="0.3">
      <c r="A421" s="4" t="s">
        <v>21</v>
      </c>
      <c r="B421" s="4" t="s">
        <v>41</v>
      </c>
      <c r="C421" s="4" t="s">
        <v>23</v>
      </c>
      <c r="D421" s="4" t="s">
        <v>42</v>
      </c>
      <c r="E421" s="4" t="s">
        <v>25</v>
      </c>
      <c r="F421" s="4" t="s">
        <v>25</v>
      </c>
      <c r="G421" s="4" t="s">
        <v>25</v>
      </c>
      <c r="H421" s="4" t="s">
        <v>25</v>
      </c>
      <c r="I421" s="5">
        <v>44713</v>
      </c>
      <c r="J421" s="6">
        <v>0</v>
      </c>
      <c r="K421" s="6">
        <v>0</v>
      </c>
      <c r="L421" s="6">
        <v>202.459</v>
      </c>
      <c r="M421" s="6">
        <v>202.459</v>
      </c>
      <c r="N421" s="6">
        <v>202.459</v>
      </c>
      <c r="O421" s="6">
        <v>202.459</v>
      </c>
      <c r="P421" s="6">
        <v>792</v>
      </c>
      <c r="Q421" s="4" t="s">
        <v>26</v>
      </c>
      <c r="R421" s="4">
        <v>0</v>
      </c>
      <c r="S421" s="6">
        <v>0</v>
      </c>
      <c r="T421" s="6">
        <v>62</v>
      </c>
      <c r="U421" s="6">
        <v>23</v>
      </c>
      <c r="V421" s="6">
        <f>IF(ISERROR(VLOOKUP($S$421,'TAR FIN'!$A$1:$O$92,15,0)),0,VLOOKUP($S$421,'TAR FIN'!$A$1:$O$92,15,0))</f>
        <v>0</v>
      </c>
      <c r="W421" s="6">
        <f>IF(ISERROR(VLOOKUP($T$421,'TAR FIN'!$A$1:$O$92,15,0)),0,VLOOKUP($T$421,'TAR FIN'!$A$1:$O$92,15,0))</f>
        <v>301.99</v>
      </c>
      <c r="X421" s="6">
        <f>IF(ISERROR(VLOOKUP($U$421,'TAR FIN'!$A$1:$O$92,15,0)),0,VLOOKUP($U$421,'TAR FIN'!$A$1:$O$92,15,0))</f>
        <v>267.11</v>
      </c>
      <c r="Y421" s="6"/>
      <c r="Z421" s="6">
        <f ca="1">('TUSD BE'!$AM$37+'TUSD BF'!$AM$37+'TUSD CVA'!$AM$37)*(1-CUSTOS!$M$38)</f>
        <v>443.47423500349447</v>
      </c>
      <c r="AA421" s="6">
        <f>('TE BE'!$AB$25+'TE BF'!$AB$25+'TE CVA'!$AB$25)*(1-CUSTOS!$M$38)</f>
        <v>269.93409109504938</v>
      </c>
      <c r="AB421" s="6">
        <f>$K$421*$V$421</f>
        <v>0</v>
      </c>
      <c r="AC421" s="6">
        <f>$M$421*$W$421</f>
        <v>61140.593410000001</v>
      </c>
      <c r="AD421" s="6">
        <f>$O$421*$X$421</f>
        <v>54078.823490000002</v>
      </c>
      <c r="AE421" s="6">
        <f>$K$421*$Y$421</f>
        <v>0</v>
      </c>
      <c r="AF421" s="6">
        <f ca="1">$M$421*$Z$421</f>
        <v>89785.350144572483</v>
      </c>
      <c r="AG421" s="6">
        <f>$O$421*$AA$421</f>
        <v>54650.586149012604</v>
      </c>
    </row>
    <row r="422" spans="1:33" ht="11.25" hidden="1" customHeight="1" x14ac:dyDescent="0.3">
      <c r="A422" s="4" t="s">
        <v>27</v>
      </c>
      <c r="B422" s="4" t="s">
        <v>41</v>
      </c>
      <c r="C422" s="4" t="s">
        <v>23</v>
      </c>
      <c r="D422" s="4" t="s">
        <v>42</v>
      </c>
      <c r="E422" s="4" t="s">
        <v>25</v>
      </c>
      <c r="F422" s="4" t="s">
        <v>25</v>
      </c>
      <c r="G422" s="4" t="s">
        <v>25</v>
      </c>
      <c r="H422" s="4" t="s">
        <v>25</v>
      </c>
      <c r="I422" s="5">
        <v>44713</v>
      </c>
      <c r="J422" s="6">
        <v>0</v>
      </c>
      <c r="K422" s="6">
        <v>0</v>
      </c>
      <c r="L422" s="6">
        <v>12.084</v>
      </c>
      <c r="M422" s="6">
        <v>12.084</v>
      </c>
      <c r="N422" s="6">
        <v>12.084</v>
      </c>
      <c r="O422" s="6">
        <v>12.084</v>
      </c>
      <c r="P422" s="6">
        <v>41</v>
      </c>
      <c r="Q422" s="4" t="s">
        <v>26</v>
      </c>
      <c r="R422" s="4">
        <v>0</v>
      </c>
      <c r="S422" s="6">
        <v>0</v>
      </c>
      <c r="T422" s="6">
        <v>62</v>
      </c>
      <c r="U422" s="6">
        <v>23</v>
      </c>
      <c r="V422" s="6">
        <f>IF(ISERROR(VLOOKUP($S$422,'TAR FIN'!$A$1:$O$92,15,0)),0,VLOOKUP($S$422,'TAR FIN'!$A$1:$O$92,15,0))</f>
        <v>0</v>
      </c>
      <c r="W422" s="6">
        <f>IF(ISERROR(VLOOKUP($T$422,'TAR FIN'!$A$1:$O$92,15,0)),0,VLOOKUP($T$422,'TAR FIN'!$A$1:$O$92,15,0))</f>
        <v>301.99</v>
      </c>
      <c r="X422" s="6">
        <f>IF(ISERROR(VLOOKUP($U$422,'TAR FIN'!$A$1:$O$92,15,0)),0,VLOOKUP($U$422,'TAR FIN'!$A$1:$O$92,15,0))</f>
        <v>267.11</v>
      </c>
      <c r="Y422" s="6"/>
      <c r="Z422" s="6">
        <f ca="1">('TUSD BE'!$AM$37+'TUSD BF'!$AM$37+'TUSD CVA'!$AM$37)*(1-CUSTOS!$M$38)</f>
        <v>443.47423500349447</v>
      </c>
      <c r="AA422" s="6">
        <f>('TE BE'!$AB$25+'TE BF'!$AB$25+'TE CVA'!$AB$25)*(1-CUSTOS!$M$38)</f>
        <v>269.93409109504938</v>
      </c>
      <c r="AB422" s="6">
        <f>$K$422*$V$422</f>
        <v>0</v>
      </c>
      <c r="AC422" s="6">
        <f>$M$422*$W$422</f>
        <v>3649.2471599999999</v>
      </c>
      <c r="AD422" s="6">
        <f>$O$422*$X$422</f>
        <v>3227.7572399999999</v>
      </c>
      <c r="AE422" s="6">
        <f>$K$422*$Y$422</f>
        <v>0</v>
      </c>
      <c r="AF422" s="6">
        <f ca="1">$M$422*$Z$422</f>
        <v>5358.9426557822271</v>
      </c>
      <c r="AG422" s="6">
        <f>$O$422*$AA$422</f>
        <v>3261.8835567925767</v>
      </c>
    </row>
    <row r="423" spans="1:33" ht="11.25" hidden="1" customHeight="1" x14ac:dyDescent="0.3">
      <c r="A423" s="4" t="s">
        <v>21</v>
      </c>
      <c r="B423" s="4" t="s">
        <v>41</v>
      </c>
      <c r="C423" s="4" t="s">
        <v>23</v>
      </c>
      <c r="D423" s="4" t="s">
        <v>42</v>
      </c>
      <c r="E423" s="4" t="s">
        <v>25</v>
      </c>
      <c r="F423" s="4" t="s">
        <v>25</v>
      </c>
      <c r="G423" s="4" t="s">
        <v>25</v>
      </c>
      <c r="H423" s="4" t="s">
        <v>25</v>
      </c>
      <c r="I423" s="5">
        <v>44743</v>
      </c>
      <c r="J423" s="6">
        <v>0</v>
      </c>
      <c r="K423" s="6">
        <v>0</v>
      </c>
      <c r="L423" s="6">
        <v>207.00899999999999</v>
      </c>
      <c r="M423" s="6">
        <v>207.00899999999999</v>
      </c>
      <c r="N423" s="6">
        <v>207.00899999999999</v>
      </c>
      <c r="O423" s="6">
        <v>207.00899999999999</v>
      </c>
      <c r="P423" s="6">
        <v>791</v>
      </c>
      <c r="Q423" s="4" t="s">
        <v>26</v>
      </c>
      <c r="R423" s="4">
        <v>0</v>
      </c>
      <c r="S423" s="6">
        <v>0</v>
      </c>
      <c r="T423" s="6">
        <v>62</v>
      </c>
      <c r="U423" s="6">
        <v>23</v>
      </c>
      <c r="V423" s="6">
        <f>IF(ISERROR(VLOOKUP($S$423,'TAR FIN'!$A$1:$O$92,15,0)),0,VLOOKUP($S$423,'TAR FIN'!$A$1:$O$92,15,0))</f>
        <v>0</v>
      </c>
      <c r="W423" s="6">
        <f>IF(ISERROR(VLOOKUP($T$423,'TAR FIN'!$A$1:$O$92,15,0)),0,VLOOKUP($T$423,'TAR FIN'!$A$1:$O$92,15,0))</f>
        <v>301.99</v>
      </c>
      <c r="X423" s="6">
        <f>IF(ISERROR(VLOOKUP($U$423,'TAR FIN'!$A$1:$O$92,15,0)),0,VLOOKUP($U$423,'TAR FIN'!$A$1:$O$92,15,0))</f>
        <v>267.11</v>
      </c>
      <c r="Y423" s="6"/>
      <c r="Z423" s="6">
        <f ca="1">('TUSD BE'!$AM$37+'TUSD BF'!$AM$37+'TUSD CVA'!$AM$37)*(1-CUSTOS!$M$38)</f>
        <v>443.47423500349447</v>
      </c>
      <c r="AA423" s="6">
        <f>('TE BE'!$AB$25+'TE BF'!$AB$25+'TE CVA'!$AB$25)*(1-CUSTOS!$M$38)</f>
        <v>269.93409109504938</v>
      </c>
      <c r="AB423" s="6">
        <f>$K$423*$V$423</f>
        <v>0</v>
      </c>
      <c r="AC423" s="6">
        <f>$M$423*$W$423</f>
        <v>62514.64791</v>
      </c>
      <c r="AD423" s="6">
        <f>$O$423*$X$423</f>
        <v>55294.173989999996</v>
      </c>
      <c r="AE423" s="6">
        <f>$K$423*$Y$423</f>
        <v>0</v>
      </c>
      <c r="AF423" s="6">
        <f ca="1">$M$423*$Z$423</f>
        <v>91803.157913838382</v>
      </c>
      <c r="AG423" s="6">
        <f>$O$423*$AA$423</f>
        <v>55878.786263495072</v>
      </c>
    </row>
    <row r="424" spans="1:33" ht="11.25" hidden="1" customHeight="1" x14ac:dyDescent="0.3">
      <c r="A424" s="4" t="s">
        <v>27</v>
      </c>
      <c r="B424" s="4" t="s">
        <v>41</v>
      </c>
      <c r="C424" s="4" t="s">
        <v>23</v>
      </c>
      <c r="D424" s="4" t="s">
        <v>42</v>
      </c>
      <c r="E424" s="4" t="s">
        <v>25</v>
      </c>
      <c r="F424" s="4" t="s">
        <v>25</v>
      </c>
      <c r="G424" s="4" t="s">
        <v>25</v>
      </c>
      <c r="H424" s="4" t="s">
        <v>25</v>
      </c>
      <c r="I424" s="5">
        <v>44743</v>
      </c>
      <c r="J424" s="6">
        <v>0</v>
      </c>
      <c r="K424" s="6">
        <v>0</v>
      </c>
      <c r="L424" s="6">
        <v>12.455</v>
      </c>
      <c r="M424" s="6">
        <v>12.455</v>
      </c>
      <c r="N424" s="6">
        <v>12.455</v>
      </c>
      <c r="O424" s="6">
        <v>12.455</v>
      </c>
      <c r="P424" s="6">
        <v>41</v>
      </c>
      <c r="Q424" s="4" t="s">
        <v>26</v>
      </c>
      <c r="R424" s="4">
        <v>0</v>
      </c>
      <c r="S424" s="6">
        <v>0</v>
      </c>
      <c r="T424" s="6">
        <v>62</v>
      </c>
      <c r="U424" s="6">
        <v>23</v>
      </c>
      <c r="V424" s="6">
        <f>IF(ISERROR(VLOOKUP($S$424,'TAR FIN'!$A$1:$O$92,15,0)),0,VLOOKUP($S$424,'TAR FIN'!$A$1:$O$92,15,0))</f>
        <v>0</v>
      </c>
      <c r="W424" s="6">
        <f>IF(ISERROR(VLOOKUP($T$424,'TAR FIN'!$A$1:$O$92,15,0)),0,VLOOKUP($T$424,'TAR FIN'!$A$1:$O$92,15,0))</f>
        <v>301.99</v>
      </c>
      <c r="X424" s="6">
        <f>IF(ISERROR(VLOOKUP($U$424,'TAR FIN'!$A$1:$O$92,15,0)),0,VLOOKUP($U$424,'TAR FIN'!$A$1:$O$92,15,0))</f>
        <v>267.11</v>
      </c>
      <c r="Y424" s="6"/>
      <c r="Z424" s="6">
        <f ca="1">('TUSD BE'!$AM$37+'TUSD BF'!$AM$37+'TUSD CVA'!$AM$37)*(1-CUSTOS!$M$38)</f>
        <v>443.47423500349447</v>
      </c>
      <c r="AA424" s="6">
        <f>('TE BE'!$AB$25+'TE BF'!$AB$25+'TE CVA'!$AB$25)*(1-CUSTOS!$M$38)</f>
        <v>269.93409109504938</v>
      </c>
      <c r="AB424" s="6">
        <f>$K$424*$V$424</f>
        <v>0</v>
      </c>
      <c r="AC424" s="6">
        <f>$M$424*$W$424</f>
        <v>3761.2854500000003</v>
      </c>
      <c r="AD424" s="6">
        <f>$O$424*$X$424</f>
        <v>3326.8550500000001</v>
      </c>
      <c r="AE424" s="6">
        <f>$K$424*$Y$424</f>
        <v>0</v>
      </c>
      <c r="AF424" s="6">
        <f ca="1">$M$424*$Z$424</f>
        <v>5523.471596968524</v>
      </c>
      <c r="AG424" s="6">
        <f>$O$424*$AA$424</f>
        <v>3362.0291045888403</v>
      </c>
    </row>
    <row r="425" spans="1:33" ht="11.25" hidden="1" customHeight="1" x14ac:dyDescent="0.3">
      <c r="A425" s="4" t="s">
        <v>21</v>
      </c>
      <c r="B425" s="4" t="s">
        <v>32</v>
      </c>
      <c r="C425" s="4" t="s">
        <v>38</v>
      </c>
      <c r="D425" s="4" t="s">
        <v>40</v>
      </c>
      <c r="E425" s="4" t="s">
        <v>25</v>
      </c>
      <c r="F425" s="4" t="s">
        <v>25</v>
      </c>
      <c r="G425" s="4" t="s">
        <v>25</v>
      </c>
      <c r="H425" s="4" t="s">
        <v>37</v>
      </c>
      <c r="I425" s="5">
        <v>44409</v>
      </c>
      <c r="J425" s="6">
        <v>0</v>
      </c>
      <c r="K425" s="6">
        <v>0</v>
      </c>
      <c r="L425" s="6">
        <v>4.5380000000000003</v>
      </c>
      <c r="M425" s="6">
        <v>4.5380000000000003</v>
      </c>
      <c r="N425" s="6">
        <v>4.5380000000000003</v>
      </c>
      <c r="O425" s="6">
        <v>4.5380000000000003</v>
      </c>
      <c r="P425" s="6">
        <v>0</v>
      </c>
      <c r="Q425" s="4" t="s">
        <v>26</v>
      </c>
      <c r="R425" s="4">
        <v>0</v>
      </c>
      <c r="S425" s="6">
        <v>0</v>
      </c>
      <c r="T425" s="6">
        <v>76</v>
      </c>
      <c r="U425" s="6">
        <v>51</v>
      </c>
      <c r="V425" s="6">
        <f>IF(ISERROR(VLOOKUP($S$425,'TAR FIN'!$A$1:$O$92,15,0)),0,VLOOKUP($S$425,'TAR FIN'!$A$1:$O$92,15,0))</f>
        <v>0</v>
      </c>
      <c r="W425" s="6">
        <f>IF(ISERROR(VLOOKUP($T$425,'TAR FIN'!$A$1:$O$92,15,0)),0,VLOOKUP($T$425,'TAR FIN'!$A$1:$O$92,15,0))</f>
        <v>225.41</v>
      </c>
      <c r="X425" s="6">
        <f>IF(ISERROR(VLOOKUP($U$425,'TAR FIN'!$A$1:$O$92,15,0)),0,VLOOKUP($U$425,'TAR FIN'!$A$1:$O$92,15,0))</f>
        <v>286.76</v>
      </c>
      <c r="Y425" s="6"/>
      <c r="Z425" s="6">
        <f ca="1">('TUSD BE'!$AM$51+'TUSD BF'!$AM$51+'TUSD CVA'!$AM$51)*1</f>
        <v>330.13584689413364</v>
      </c>
      <c r="AA425" s="6">
        <f>('TE BE'!$AB$39+'TE BF'!$AB$39+'TE CVA'!$AB$39)*1</f>
        <v>271.35516669689775</v>
      </c>
      <c r="AB425" s="6">
        <f>$K$425*$V$425</f>
        <v>0</v>
      </c>
      <c r="AC425" s="6">
        <f>$M$425*$W$425</f>
        <v>1022.9105800000001</v>
      </c>
      <c r="AD425" s="6">
        <f>$O$425*$X$425</f>
        <v>1301.3168800000001</v>
      </c>
      <c r="AE425" s="6">
        <f>$K$425*$Y$425</f>
        <v>0</v>
      </c>
      <c r="AF425" s="6">
        <f ca="1">$M$425*$Z$425</f>
        <v>1498.1564732055785</v>
      </c>
      <c r="AG425" s="6">
        <f>$O$425*$AA$425</f>
        <v>1231.4097464705221</v>
      </c>
    </row>
    <row r="426" spans="1:33" ht="11.25" hidden="1" customHeight="1" x14ac:dyDescent="0.3">
      <c r="A426" s="4" t="s">
        <v>21</v>
      </c>
      <c r="B426" s="4" t="s">
        <v>32</v>
      </c>
      <c r="C426" s="4" t="s">
        <v>38</v>
      </c>
      <c r="D426" s="4" t="s">
        <v>40</v>
      </c>
      <c r="E426" s="4" t="s">
        <v>25</v>
      </c>
      <c r="F426" s="4" t="s">
        <v>25</v>
      </c>
      <c r="G426" s="4" t="s">
        <v>25</v>
      </c>
      <c r="H426" s="4" t="s">
        <v>37</v>
      </c>
      <c r="I426" s="5">
        <v>44440</v>
      </c>
      <c r="J426" s="6">
        <v>0</v>
      </c>
      <c r="K426" s="6">
        <v>0</v>
      </c>
      <c r="L426" s="6">
        <v>4.0140000000000002</v>
      </c>
      <c r="M426" s="6">
        <v>4.0140000000000002</v>
      </c>
      <c r="N426" s="6">
        <v>4.0140000000000002</v>
      </c>
      <c r="O426" s="6">
        <v>4.0140000000000002</v>
      </c>
      <c r="P426" s="6">
        <v>0</v>
      </c>
      <c r="Q426" s="4" t="s">
        <v>26</v>
      </c>
      <c r="R426" s="4">
        <v>0</v>
      </c>
      <c r="S426" s="6">
        <v>0</v>
      </c>
      <c r="T426" s="6">
        <v>76</v>
      </c>
      <c r="U426" s="6">
        <v>51</v>
      </c>
      <c r="V426" s="6">
        <f>IF(ISERROR(VLOOKUP($S$426,'TAR FIN'!$A$1:$O$92,15,0)),0,VLOOKUP($S$426,'TAR FIN'!$A$1:$O$92,15,0))</f>
        <v>0</v>
      </c>
      <c r="W426" s="6">
        <f>IF(ISERROR(VLOOKUP($T$426,'TAR FIN'!$A$1:$O$92,15,0)),0,VLOOKUP($T$426,'TAR FIN'!$A$1:$O$92,15,0))</f>
        <v>225.41</v>
      </c>
      <c r="X426" s="6">
        <f>IF(ISERROR(VLOOKUP($U$426,'TAR FIN'!$A$1:$O$92,15,0)),0,VLOOKUP($U$426,'TAR FIN'!$A$1:$O$92,15,0))</f>
        <v>286.76</v>
      </c>
      <c r="Y426" s="6"/>
      <c r="Z426" s="6">
        <f ca="1">('TUSD BE'!$AM$51+'TUSD BF'!$AM$51+'TUSD CVA'!$AM$51)*1</f>
        <v>330.13584689413364</v>
      </c>
      <c r="AA426" s="6">
        <f>('TE BE'!$AB$39+'TE BF'!$AB$39+'TE CVA'!$AB$39)*1</f>
        <v>271.35516669689775</v>
      </c>
      <c r="AB426" s="6">
        <f>$K$426*$V$426</f>
        <v>0</v>
      </c>
      <c r="AC426" s="6">
        <f>$M$426*$W$426</f>
        <v>904.79574000000002</v>
      </c>
      <c r="AD426" s="6">
        <f>$O$426*$X$426</f>
        <v>1151.0546400000001</v>
      </c>
      <c r="AE426" s="6">
        <f>$K$426*$Y$426</f>
        <v>0</v>
      </c>
      <c r="AF426" s="6">
        <f ca="1">$M$426*$Z$426</f>
        <v>1325.1652894330525</v>
      </c>
      <c r="AG426" s="6">
        <f>$O$426*$AA$426</f>
        <v>1089.2196391213477</v>
      </c>
    </row>
    <row r="427" spans="1:33" ht="11.25" hidden="1" customHeight="1" x14ac:dyDescent="0.3">
      <c r="A427" s="4" t="s">
        <v>21</v>
      </c>
      <c r="B427" s="4" t="s">
        <v>32</v>
      </c>
      <c r="C427" s="4" t="s">
        <v>38</v>
      </c>
      <c r="D427" s="4" t="s">
        <v>40</v>
      </c>
      <c r="E427" s="4" t="s">
        <v>25</v>
      </c>
      <c r="F427" s="4" t="s">
        <v>25</v>
      </c>
      <c r="G427" s="4" t="s">
        <v>25</v>
      </c>
      <c r="H427" s="4" t="s">
        <v>37</v>
      </c>
      <c r="I427" s="5">
        <v>44470</v>
      </c>
      <c r="J427" s="6">
        <v>0</v>
      </c>
      <c r="K427" s="6">
        <v>0</v>
      </c>
      <c r="L427" s="6">
        <v>4.2480000000000002</v>
      </c>
      <c r="M427" s="6">
        <v>4.2480000000000002</v>
      </c>
      <c r="N427" s="6">
        <v>4.2480000000000002</v>
      </c>
      <c r="O427" s="6">
        <v>4.2480000000000002</v>
      </c>
      <c r="P427" s="6">
        <v>0</v>
      </c>
      <c r="Q427" s="4" t="s">
        <v>26</v>
      </c>
      <c r="R427" s="4">
        <v>0</v>
      </c>
      <c r="S427" s="6">
        <v>0</v>
      </c>
      <c r="T427" s="6">
        <v>76</v>
      </c>
      <c r="U427" s="6">
        <v>51</v>
      </c>
      <c r="V427" s="6">
        <f>IF(ISERROR(VLOOKUP($S$427,'TAR FIN'!$A$1:$O$92,15,0)),0,VLOOKUP($S$427,'TAR FIN'!$A$1:$O$92,15,0))</f>
        <v>0</v>
      </c>
      <c r="W427" s="6">
        <f>IF(ISERROR(VLOOKUP($T$427,'TAR FIN'!$A$1:$O$92,15,0)),0,VLOOKUP($T$427,'TAR FIN'!$A$1:$O$92,15,0))</f>
        <v>225.41</v>
      </c>
      <c r="X427" s="6">
        <f>IF(ISERROR(VLOOKUP($U$427,'TAR FIN'!$A$1:$O$92,15,0)),0,VLOOKUP($U$427,'TAR FIN'!$A$1:$O$92,15,0))</f>
        <v>286.76</v>
      </c>
      <c r="Y427" s="6"/>
      <c r="Z427" s="6">
        <f ca="1">('TUSD BE'!$AM$51+'TUSD BF'!$AM$51+'TUSD CVA'!$AM$51)*1</f>
        <v>330.13584689413364</v>
      </c>
      <c r="AA427" s="6">
        <f>('TE BE'!$AB$39+'TE BF'!$AB$39+'TE CVA'!$AB$39)*1</f>
        <v>271.35516669689775</v>
      </c>
      <c r="AB427" s="6">
        <f>$K$427*$V$427</f>
        <v>0</v>
      </c>
      <c r="AC427" s="6">
        <f>$M$427*$W$427</f>
        <v>957.54168000000004</v>
      </c>
      <c r="AD427" s="6">
        <f>$O$427*$X$427</f>
        <v>1218.1564800000001</v>
      </c>
      <c r="AE427" s="6">
        <f>$K$427*$Y$427</f>
        <v>0</v>
      </c>
      <c r="AF427" s="6">
        <f ca="1">$M$427*$Z$427</f>
        <v>1402.4170776062797</v>
      </c>
      <c r="AG427" s="6">
        <f>$O$427*$AA$427</f>
        <v>1152.7167481284216</v>
      </c>
    </row>
    <row r="428" spans="1:33" ht="11.25" hidden="1" customHeight="1" x14ac:dyDescent="0.3">
      <c r="A428" s="4" t="s">
        <v>21</v>
      </c>
      <c r="B428" s="4" t="s">
        <v>32</v>
      </c>
      <c r="C428" s="4" t="s">
        <v>38</v>
      </c>
      <c r="D428" s="4" t="s">
        <v>40</v>
      </c>
      <c r="E428" s="4" t="s">
        <v>25</v>
      </c>
      <c r="F428" s="4" t="s">
        <v>25</v>
      </c>
      <c r="G428" s="4" t="s">
        <v>25</v>
      </c>
      <c r="H428" s="4" t="s">
        <v>37</v>
      </c>
      <c r="I428" s="5">
        <v>44501</v>
      </c>
      <c r="J428" s="6">
        <v>0</v>
      </c>
      <c r="K428" s="6">
        <v>0</v>
      </c>
      <c r="L428" s="6">
        <v>4.3120000000000003</v>
      </c>
      <c r="M428" s="6">
        <v>4.3120000000000003</v>
      </c>
      <c r="N428" s="6">
        <v>4.3120000000000003</v>
      </c>
      <c r="O428" s="6">
        <v>4.3120000000000003</v>
      </c>
      <c r="P428" s="6">
        <v>0</v>
      </c>
      <c r="Q428" s="4" t="s">
        <v>26</v>
      </c>
      <c r="R428" s="4">
        <v>0</v>
      </c>
      <c r="S428" s="6">
        <v>0</v>
      </c>
      <c r="T428" s="6">
        <v>76</v>
      </c>
      <c r="U428" s="6">
        <v>51</v>
      </c>
      <c r="V428" s="6">
        <f>IF(ISERROR(VLOOKUP($S$428,'TAR FIN'!$A$1:$O$92,15,0)),0,VLOOKUP($S$428,'TAR FIN'!$A$1:$O$92,15,0))</f>
        <v>0</v>
      </c>
      <c r="W428" s="6">
        <f>IF(ISERROR(VLOOKUP($T$428,'TAR FIN'!$A$1:$O$92,15,0)),0,VLOOKUP($T$428,'TAR FIN'!$A$1:$O$92,15,0))</f>
        <v>225.41</v>
      </c>
      <c r="X428" s="6">
        <f>IF(ISERROR(VLOOKUP($U$428,'TAR FIN'!$A$1:$O$92,15,0)),0,VLOOKUP($U$428,'TAR FIN'!$A$1:$O$92,15,0))</f>
        <v>286.76</v>
      </c>
      <c r="Y428" s="6"/>
      <c r="Z428" s="6">
        <f ca="1">('TUSD BE'!$AM$51+'TUSD BF'!$AM$51+'TUSD CVA'!$AM$51)*1</f>
        <v>330.13584689413364</v>
      </c>
      <c r="AA428" s="6">
        <f>('TE BE'!$AB$39+'TE BF'!$AB$39+'TE CVA'!$AB$39)*1</f>
        <v>271.35516669689775</v>
      </c>
      <c r="AB428" s="6">
        <f>$K$428*$V$428</f>
        <v>0</v>
      </c>
      <c r="AC428" s="6">
        <f>$M$428*$W$428</f>
        <v>971.96792000000005</v>
      </c>
      <c r="AD428" s="6">
        <f>$O$428*$X$428</f>
        <v>1236.5091199999999</v>
      </c>
      <c r="AE428" s="6">
        <f>$K$428*$Y$428</f>
        <v>0</v>
      </c>
      <c r="AF428" s="6">
        <f ca="1">$M$428*$Z$428</f>
        <v>1423.5457718075043</v>
      </c>
      <c r="AG428" s="6">
        <f>$O$428*$AA$428</f>
        <v>1170.0834787970232</v>
      </c>
    </row>
    <row r="429" spans="1:33" ht="11.25" hidden="1" customHeight="1" x14ac:dyDescent="0.3">
      <c r="A429" s="4" t="s">
        <v>21</v>
      </c>
      <c r="B429" s="4" t="s">
        <v>32</v>
      </c>
      <c r="C429" s="4" t="s">
        <v>38</v>
      </c>
      <c r="D429" s="4" t="s">
        <v>40</v>
      </c>
      <c r="E429" s="4" t="s">
        <v>25</v>
      </c>
      <c r="F429" s="4" t="s">
        <v>25</v>
      </c>
      <c r="G429" s="4" t="s">
        <v>25</v>
      </c>
      <c r="H429" s="4" t="s">
        <v>37</v>
      </c>
      <c r="I429" s="5">
        <v>44531</v>
      </c>
      <c r="J429" s="6">
        <v>0</v>
      </c>
      <c r="K429" s="6">
        <v>0</v>
      </c>
      <c r="L429" s="6">
        <v>4.9260000000000002</v>
      </c>
      <c r="M429" s="6">
        <v>4.9260000000000002</v>
      </c>
      <c r="N429" s="6">
        <v>4.9260000000000002</v>
      </c>
      <c r="O429" s="6">
        <v>4.9260000000000002</v>
      </c>
      <c r="P429" s="6">
        <v>0</v>
      </c>
      <c r="Q429" s="4" t="s">
        <v>26</v>
      </c>
      <c r="R429" s="4">
        <v>0</v>
      </c>
      <c r="S429" s="6">
        <v>0</v>
      </c>
      <c r="T429" s="6">
        <v>76</v>
      </c>
      <c r="U429" s="6">
        <v>51</v>
      </c>
      <c r="V429" s="6">
        <f>IF(ISERROR(VLOOKUP($S$429,'TAR FIN'!$A$1:$O$92,15,0)),0,VLOOKUP($S$429,'TAR FIN'!$A$1:$O$92,15,0))</f>
        <v>0</v>
      </c>
      <c r="W429" s="6">
        <f>IF(ISERROR(VLOOKUP($T$429,'TAR FIN'!$A$1:$O$92,15,0)),0,VLOOKUP($T$429,'TAR FIN'!$A$1:$O$92,15,0))</f>
        <v>225.41</v>
      </c>
      <c r="X429" s="6">
        <f>IF(ISERROR(VLOOKUP($U$429,'TAR FIN'!$A$1:$O$92,15,0)),0,VLOOKUP($U$429,'TAR FIN'!$A$1:$O$92,15,0))</f>
        <v>286.76</v>
      </c>
      <c r="Y429" s="6"/>
      <c r="Z429" s="6">
        <f ca="1">('TUSD BE'!$AM$51+'TUSD BF'!$AM$51+'TUSD CVA'!$AM$51)*1</f>
        <v>330.13584689413364</v>
      </c>
      <c r="AA429" s="6">
        <f>('TE BE'!$AB$39+'TE BF'!$AB$39+'TE CVA'!$AB$39)*1</f>
        <v>271.35516669689775</v>
      </c>
      <c r="AB429" s="6">
        <f>$K$429*$V$429</f>
        <v>0</v>
      </c>
      <c r="AC429" s="6">
        <f>$M$429*$W$429</f>
        <v>1110.3696600000001</v>
      </c>
      <c r="AD429" s="6">
        <f>$O$429*$X$429</f>
        <v>1412.5797600000001</v>
      </c>
      <c r="AE429" s="6">
        <f>$K$429*$Y$429</f>
        <v>0</v>
      </c>
      <c r="AF429" s="6">
        <f ca="1">$M$429*$Z$429</f>
        <v>1626.2491818005024</v>
      </c>
      <c r="AG429" s="6">
        <f>$O$429*$AA$429</f>
        <v>1336.6955511489184</v>
      </c>
    </row>
    <row r="430" spans="1:33" ht="11.25" hidden="1" customHeight="1" x14ac:dyDescent="0.3">
      <c r="A430" s="4" t="s">
        <v>21</v>
      </c>
      <c r="B430" s="4" t="s">
        <v>32</v>
      </c>
      <c r="C430" s="4" t="s">
        <v>38</v>
      </c>
      <c r="D430" s="4" t="s">
        <v>40</v>
      </c>
      <c r="E430" s="4" t="s">
        <v>25</v>
      </c>
      <c r="F430" s="4" t="s">
        <v>25</v>
      </c>
      <c r="G430" s="4" t="s">
        <v>25</v>
      </c>
      <c r="H430" s="4" t="s">
        <v>37</v>
      </c>
      <c r="I430" s="5">
        <v>44562</v>
      </c>
      <c r="J430" s="6">
        <v>0</v>
      </c>
      <c r="K430" s="6">
        <v>0</v>
      </c>
      <c r="L430" s="6">
        <v>6.1130000000000004</v>
      </c>
      <c r="M430" s="6">
        <v>6.1130000000000004</v>
      </c>
      <c r="N430" s="6">
        <v>6.1130000000000004</v>
      </c>
      <c r="O430" s="6">
        <v>6.1130000000000004</v>
      </c>
      <c r="P430" s="6">
        <v>0</v>
      </c>
      <c r="Q430" s="4" t="s">
        <v>26</v>
      </c>
      <c r="R430" s="4">
        <v>0</v>
      </c>
      <c r="S430" s="6">
        <v>0</v>
      </c>
      <c r="T430" s="6">
        <v>76</v>
      </c>
      <c r="U430" s="6">
        <v>51</v>
      </c>
      <c r="V430" s="6">
        <f>IF(ISERROR(VLOOKUP($S$430,'TAR FIN'!$A$1:$O$92,15,0)),0,VLOOKUP($S$430,'TAR FIN'!$A$1:$O$92,15,0))</f>
        <v>0</v>
      </c>
      <c r="W430" s="6">
        <f>IF(ISERROR(VLOOKUP($T$430,'TAR FIN'!$A$1:$O$92,15,0)),0,VLOOKUP($T$430,'TAR FIN'!$A$1:$O$92,15,0))</f>
        <v>225.41</v>
      </c>
      <c r="X430" s="6">
        <f>IF(ISERROR(VLOOKUP($U$430,'TAR FIN'!$A$1:$O$92,15,0)),0,VLOOKUP($U$430,'TAR FIN'!$A$1:$O$92,15,0))</f>
        <v>286.76</v>
      </c>
      <c r="Y430" s="6"/>
      <c r="Z430" s="6">
        <f ca="1">('TUSD BE'!$AM$51+'TUSD BF'!$AM$51+'TUSD CVA'!$AM$51)*1</f>
        <v>330.13584689413364</v>
      </c>
      <c r="AA430" s="6">
        <f>('TE BE'!$AB$39+'TE BF'!$AB$39+'TE CVA'!$AB$39)*1</f>
        <v>271.35516669689775</v>
      </c>
      <c r="AB430" s="6">
        <f>$K$430*$V$430</f>
        <v>0</v>
      </c>
      <c r="AC430" s="6">
        <f>$M$430*$W$430</f>
        <v>1377.9313300000001</v>
      </c>
      <c r="AD430" s="6">
        <f>$O$430*$X$430</f>
        <v>1752.96388</v>
      </c>
      <c r="AE430" s="6">
        <f>$K$430*$Y$430</f>
        <v>0</v>
      </c>
      <c r="AF430" s="6">
        <f ca="1">$M$430*$Z$430</f>
        <v>2018.120432063839</v>
      </c>
      <c r="AG430" s="6">
        <f>$O$430*$AA$430</f>
        <v>1658.794134018136</v>
      </c>
    </row>
    <row r="431" spans="1:33" ht="11.25" hidden="1" customHeight="1" x14ac:dyDescent="0.3">
      <c r="A431" s="4" t="s">
        <v>21</v>
      </c>
      <c r="B431" s="4" t="s">
        <v>32</v>
      </c>
      <c r="C431" s="4" t="s">
        <v>38</v>
      </c>
      <c r="D431" s="4" t="s">
        <v>40</v>
      </c>
      <c r="E431" s="4" t="s">
        <v>25</v>
      </c>
      <c r="F431" s="4" t="s">
        <v>25</v>
      </c>
      <c r="G431" s="4" t="s">
        <v>25</v>
      </c>
      <c r="H431" s="4" t="s">
        <v>37</v>
      </c>
      <c r="I431" s="5">
        <v>44593</v>
      </c>
      <c r="J431" s="6">
        <v>0</v>
      </c>
      <c r="K431" s="6">
        <v>0</v>
      </c>
      <c r="L431" s="6">
        <v>7.43</v>
      </c>
      <c r="M431" s="6">
        <v>7.43</v>
      </c>
      <c r="N431" s="6">
        <v>7.43</v>
      </c>
      <c r="O431" s="6">
        <v>7.43</v>
      </c>
      <c r="P431" s="6">
        <v>0</v>
      </c>
      <c r="Q431" s="4" t="s">
        <v>26</v>
      </c>
      <c r="R431" s="4">
        <v>0</v>
      </c>
      <c r="S431" s="6">
        <v>0</v>
      </c>
      <c r="T431" s="6">
        <v>76</v>
      </c>
      <c r="U431" s="6">
        <v>51</v>
      </c>
      <c r="V431" s="6">
        <f>IF(ISERROR(VLOOKUP($S$431,'TAR FIN'!$A$1:$O$92,15,0)),0,VLOOKUP($S$431,'TAR FIN'!$A$1:$O$92,15,0))</f>
        <v>0</v>
      </c>
      <c r="W431" s="6">
        <f>IF(ISERROR(VLOOKUP($T$431,'TAR FIN'!$A$1:$O$92,15,0)),0,VLOOKUP($T$431,'TAR FIN'!$A$1:$O$92,15,0))</f>
        <v>225.41</v>
      </c>
      <c r="X431" s="6">
        <f>IF(ISERROR(VLOOKUP($U$431,'TAR FIN'!$A$1:$O$92,15,0)),0,VLOOKUP($U$431,'TAR FIN'!$A$1:$O$92,15,0))</f>
        <v>286.76</v>
      </c>
      <c r="Y431" s="6"/>
      <c r="Z431" s="6">
        <f ca="1">('TUSD BE'!$AM$51+'TUSD BF'!$AM$51+'TUSD CVA'!$AM$51)*1</f>
        <v>330.13584689413364</v>
      </c>
      <c r="AA431" s="6">
        <f>('TE BE'!$AB$39+'TE BF'!$AB$39+'TE CVA'!$AB$39)*1</f>
        <v>271.35516669689775</v>
      </c>
      <c r="AB431" s="6">
        <f>$K$431*$V$431</f>
        <v>0</v>
      </c>
      <c r="AC431" s="6">
        <f>$M$431*$W$431</f>
        <v>1674.7963</v>
      </c>
      <c r="AD431" s="6">
        <f>$O$431*$X$431</f>
        <v>2130.6268</v>
      </c>
      <c r="AE431" s="6">
        <f>$K$431*$Y$431</f>
        <v>0</v>
      </c>
      <c r="AF431" s="6">
        <f ca="1">$M$431*$Z$431</f>
        <v>2452.9093424234129</v>
      </c>
      <c r="AG431" s="6">
        <f>$O$431*$AA$431</f>
        <v>2016.1688885579501</v>
      </c>
    </row>
    <row r="432" spans="1:33" ht="11.25" hidden="1" customHeight="1" x14ac:dyDescent="0.3">
      <c r="A432" s="4" t="s">
        <v>21</v>
      </c>
      <c r="B432" s="4" t="s">
        <v>32</v>
      </c>
      <c r="C432" s="4" t="s">
        <v>38</v>
      </c>
      <c r="D432" s="4" t="s">
        <v>40</v>
      </c>
      <c r="E432" s="4" t="s">
        <v>25</v>
      </c>
      <c r="F432" s="4" t="s">
        <v>25</v>
      </c>
      <c r="G432" s="4" t="s">
        <v>25</v>
      </c>
      <c r="H432" s="4" t="s">
        <v>37</v>
      </c>
      <c r="I432" s="5">
        <v>44621</v>
      </c>
      <c r="J432" s="6">
        <v>0</v>
      </c>
      <c r="K432" s="6">
        <v>0</v>
      </c>
      <c r="L432" s="6">
        <v>6.3680000000000003</v>
      </c>
      <c r="M432" s="6">
        <v>6.3680000000000003</v>
      </c>
      <c r="N432" s="6">
        <v>6.3680000000000003</v>
      </c>
      <c r="O432" s="6">
        <v>6.3680000000000003</v>
      </c>
      <c r="P432" s="6">
        <v>0</v>
      </c>
      <c r="Q432" s="4" t="s">
        <v>26</v>
      </c>
      <c r="R432" s="4">
        <v>0</v>
      </c>
      <c r="S432" s="6">
        <v>0</v>
      </c>
      <c r="T432" s="6">
        <v>76</v>
      </c>
      <c r="U432" s="6">
        <v>51</v>
      </c>
      <c r="V432" s="6">
        <f>IF(ISERROR(VLOOKUP($S$432,'TAR FIN'!$A$1:$O$92,15,0)),0,VLOOKUP($S$432,'TAR FIN'!$A$1:$O$92,15,0))</f>
        <v>0</v>
      </c>
      <c r="W432" s="6">
        <f>IF(ISERROR(VLOOKUP($T$432,'TAR FIN'!$A$1:$O$92,15,0)),0,VLOOKUP($T$432,'TAR FIN'!$A$1:$O$92,15,0))</f>
        <v>225.41</v>
      </c>
      <c r="X432" s="6">
        <f>IF(ISERROR(VLOOKUP($U$432,'TAR FIN'!$A$1:$O$92,15,0)),0,VLOOKUP($U$432,'TAR FIN'!$A$1:$O$92,15,0))</f>
        <v>286.76</v>
      </c>
      <c r="Y432" s="6"/>
      <c r="Z432" s="6">
        <f ca="1">('TUSD BE'!$AM$51+'TUSD BF'!$AM$51+'TUSD CVA'!$AM$51)*1</f>
        <v>330.13584689413364</v>
      </c>
      <c r="AA432" s="6">
        <f>('TE BE'!$AB$39+'TE BF'!$AB$39+'TE CVA'!$AB$39)*1</f>
        <v>271.35516669689775</v>
      </c>
      <c r="AB432" s="6">
        <f>$K$432*$V$432</f>
        <v>0</v>
      </c>
      <c r="AC432" s="6">
        <f>$M$432*$W$432</f>
        <v>1435.4108800000001</v>
      </c>
      <c r="AD432" s="6">
        <f>$O$432*$X$432</f>
        <v>1826.0876800000001</v>
      </c>
      <c r="AE432" s="6">
        <f>$K$432*$Y$432</f>
        <v>0</v>
      </c>
      <c r="AF432" s="6">
        <f ca="1">$M$432*$Z$432</f>
        <v>2102.3050730218429</v>
      </c>
      <c r="AG432" s="6">
        <f>$O$432*$AA$432</f>
        <v>1727.989701525845</v>
      </c>
    </row>
    <row r="433" spans="1:33" ht="11.25" hidden="1" customHeight="1" x14ac:dyDescent="0.3">
      <c r="A433" s="4" t="s">
        <v>21</v>
      </c>
      <c r="B433" s="4" t="s">
        <v>32</v>
      </c>
      <c r="C433" s="4" t="s">
        <v>38</v>
      </c>
      <c r="D433" s="4" t="s">
        <v>40</v>
      </c>
      <c r="E433" s="4" t="s">
        <v>25</v>
      </c>
      <c r="F433" s="4" t="s">
        <v>25</v>
      </c>
      <c r="G433" s="4" t="s">
        <v>25</v>
      </c>
      <c r="H433" s="4" t="s">
        <v>37</v>
      </c>
      <c r="I433" s="5">
        <v>44652</v>
      </c>
      <c r="J433" s="6">
        <v>0</v>
      </c>
      <c r="K433" s="6">
        <v>0</v>
      </c>
      <c r="L433" s="6">
        <v>5.8129999999999997</v>
      </c>
      <c r="M433" s="6">
        <v>5.8129999999999997</v>
      </c>
      <c r="N433" s="6">
        <v>5.8129999999999997</v>
      </c>
      <c r="O433" s="6">
        <v>5.8129999999999997</v>
      </c>
      <c r="P433" s="6">
        <v>0</v>
      </c>
      <c r="Q433" s="4" t="s">
        <v>26</v>
      </c>
      <c r="R433" s="4">
        <v>0</v>
      </c>
      <c r="S433" s="6">
        <v>0</v>
      </c>
      <c r="T433" s="6">
        <v>76</v>
      </c>
      <c r="U433" s="6">
        <v>51</v>
      </c>
      <c r="V433" s="6">
        <f>IF(ISERROR(VLOOKUP($S$433,'TAR FIN'!$A$1:$O$92,15,0)),0,VLOOKUP($S$433,'TAR FIN'!$A$1:$O$92,15,0))</f>
        <v>0</v>
      </c>
      <c r="W433" s="6">
        <f>IF(ISERROR(VLOOKUP($T$433,'TAR FIN'!$A$1:$O$92,15,0)),0,VLOOKUP($T$433,'TAR FIN'!$A$1:$O$92,15,0))</f>
        <v>225.41</v>
      </c>
      <c r="X433" s="6">
        <f>IF(ISERROR(VLOOKUP($U$433,'TAR FIN'!$A$1:$O$92,15,0)),0,VLOOKUP($U$433,'TAR FIN'!$A$1:$O$92,15,0))</f>
        <v>286.76</v>
      </c>
      <c r="Y433" s="6"/>
      <c r="Z433" s="6">
        <f ca="1">('TUSD BE'!$AM$51+'TUSD BF'!$AM$51+'TUSD CVA'!$AM$51)*1</f>
        <v>330.13584689413364</v>
      </c>
      <c r="AA433" s="6">
        <f>('TE BE'!$AB$39+'TE BF'!$AB$39+'TE CVA'!$AB$39)*1</f>
        <v>271.35516669689775</v>
      </c>
      <c r="AB433" s="6">
        <f>$K$433*$V$433</f>
        <v>0</v>
      </c>
      <c r="AC433" s="6">
        <f>$M$433*$W$433</f>
        <v>1310.3083299999998</v>
      </c>
      <c r="AD433" s="6">
        <f>$O$433*$X$433</f>
        <v>1666.9358799999998</v>
      </c>
      <c r="AE433" s="6">
        <f>$K$433*$Y$433</f>
        <v>0</v>
      </c>
      <c r="AF433" s="6">
        <f ca="1">$M$433*$Z$433</f>
        <v>1919.0796779955988</v>
      </c>
      <c r="AG433" s="6">
        <f>$O$433*$AA$433</f>
        <v>1577.3875840090666</v>
      </c>
    </row>
    <row r="434" spans="1:33" ht="11.25" hidden="1" customHeight="1" x14ac:dyDescent="0.3">
      <c r="A434" s="4" t="s">
        <v>21</v>
      </c>
      <c r="B434" s="4" t="s">
        <v>32</v>
      </c>
      <c r="C434" s="4" t="s">
        <v>38</v>
      </c>
      <c r="D434" s="4" t="s">
        <v>40</v>
      </c>
      <c r="E434" s="4" t="s">
        <v>25</v>
      </c>
      <c r="F434" s="4" t="s">
        <v>25</v>
      </c>
      <c r="G434" s="4" t="s">
        <v>25</v>
      </c>
      <c r="H434" s="4" t="s">
        <v>37</v>
      </c>
      <c r="I434" s="5">
        <v>44682</v>
      </c>
      <c r="J434" s="6">
        <v>0</v>
      </c>
      <c r="K434" s="6">
        <v>0</v>
      </c>
      <c r="L434" s="6">
        <v>4.8</v>
      </c>
      <c r="M434" s="6">
        <v>4.8</v>
      </c>
      <c r="N434" s="6">
        <v>4.8</v>
      </c>
      <c r="O434" s="6">
        <v>4.8</v>
      </c>
      <c r="P434" s="6">
        <v>0</v>
      </c>
      <c r="Q434" s="4" t="s">
        <v>26</v>
      </c>
      <c r="R434" s="4">
        <v>0</v>
      </c>
      <c r="S434" s="6">
        <v>0</v>
      </c>
      <c r="T434" s="6">
        <v>76</v>
      </c>
      <c r="U434" s="6">
        <v>51</v>
      </c>
      <c r="V434" s="6">
        <f>IF(ISERROR(VLOOKUP($S$434,'TAR FIN'!$A$1:$O$92,15,0)),0,VLOOKUP($S$434,'TAR FIN'!$A$1:$O$92,15,0))</f>
        <v>0</v>
      </c>
      <c r="W434" s="6">
        <f>IF(ISERROR(VLOOKUP($T$434,'TAR FIN'!$A$1:$O$92,15,0)),0,VLOOKUP($T$434,'TAR FIN'!$A$1:$O$92,15,0))</f>
        <v>225.41</v>
      </c>
      <c r="X434" s="6">
        <f>IF(ISERROR(VLOOKUP($U$434,'TAR FIN'!$A$1:$O$92,15,0)),0,VLOOKUP($U$434,'TAR FIN'!$A$1:$O$92,15,0))</f>
        <v>286.76</v>
      </c>
      <c r="Y434" s="6"/>
      <c r="Z434" s="6">
        <f ca="1">('TUSD BE'!$AM$51+'TUSD BF'!$AM$51+'TUSD CVA'!$AM$51)*1</f>
        <v>330.13584689413364</v>
      </c>
      <c r="AA434" s="6">
        <f>('TE BE'!$AB$39+'TE BF'!$AB$39+'TE CVA'!$AB$39)*1</f>
        <v>271.35516669689775</v>
      </c>
      <c r="AB434" s="6">
        <f>$K$434*$V$434</f>
        <v>0</v>
      </c>
      <c r="AC434" s="6">
        <f>$M$434*$W$434</f>
        <v>1081.9679999999998</v>
      </c>
      <c r="AD434" s="6">
        <f>$O$434*$X$434</f>
        <v>1376.4479999999999</v>
      </c>
      <c r="AE434" s="6">
        <f>$K$434*$Y$434</f>
        <v>0</v>
      </c>
      <c r="AF434" s="6">
        <f ca="1">$M$434*$Z$434</f>
        <v>1584.6520650918415</v>
      </c>
      <c r="AG434" s="6">
        <f>$O$434*$AA$434</f>
        <v>1302.5048001451091</v>
      </c>
    </row>
    <row r="435" spans="1:33" ht="11.25" hidden="1" customHeight="1" x14ac:dyDescent="0.3">
      <c r="A435" s="4" t="s">
        <v>21</v>
      </c>
      <c r="B435" s="4" t="s">
        <v>32</v>
      </c>
      <c r="C435" s="4" t="s">
        <v>38</v>
      </c>
      <c r="D435" s="4" t="s">
        <v>40</v>
      </c>
      <c r="E435" s="4" t="s">
        <v>25</v>
      </c>
      <c r="F435" s="4" t="s">
        <v>25</v>
      </c>
      <c r="G435" s="4" t="s">
        <v>25</v>
      </c>
      <c r="H435" s="4" t="s">
        <v>37</v>
      </c>
      <c r="I435" s="5">
        <v>44713</v>
      </c>
      <c r="J435" s="6">
        <v>0</v>
      </c>
      <c r="K435" s="6">
        <v>0</v>
      </c>
      <c r="L435" s="6">
        <v>5.0640000000000001</v>
      </c>
      <c r="M435" s="6">
        <v>5.0640000000000001</v>
      </c>
      <c r="N435" s="6">
        <v>5.0640000000000001</v>
      </c>
      <c r="O435" s="6">
        <v>5.0640000000000001</v>
      </c>
      <c r="P435" s="6">
        <v>0</v>
      </c>
      <c r="Q435" s="4" t="s">
        <v>26</v>
      </c>
      <c r="R435" s="4">
        <v>0</v>
      </c>
      <c r="S435" s="6">
        <v>0</v>
      </c>
      <c r="T435" s="6">
        <v>76</v>
      </c>
      <c r="U435" s="6">
        <v>51</v>
      </c>
      <c r="V435" s="6">
        <f>IF(ISERROR(VLOOKUP($S$435,'TAR FIN'!$A$1:$O$92,15,0)),0,VLOOKUP($S$435,'TAR FIN'!$A$1:$O$92,15,0))</f>
        <v>0</v>
      </c>
      <c r="W435" s="6">
        <f>IF(ISERROR(VLOOKUP($T$435,'TAR FIN'!$A$1:$O$92,15,0)),0,VLOOKUP($T$435,'TAR FIN'!$A$1:$O$92,15,0))</f>
        <v>225.41</v>
      </c>
      <c r="X435" s="6">
        <f>IF(ISERROR(VLOOKUP($U$435,'TAR FIN'!$A$1:$O$92,15,0)),0,VLOOKUP($U$435,'TAR FIN'!$A$1:$O$92,15,0))</f>
        <v>286.76</v>
      </c>
      <c r="Y435" s="6"/>
      <c r="Z435" s="6">
        <f ca="1">('TUSD BE'!$AM$51+'TUSD BF'!$AM$51+'TUSD CVA'!$AM$51)*1</f>
        <v>330.13584689413364</v>
      </c>
      <c r="AA435" s="6">
        <f>('TE BE'!$AB$39+'TE BF'!$AB$39+'TE CVA'!$AB$39)*1</f>
        <v>271.35516669689775</v>
      </c>
      <c r="AB435" s="6">
        <f>$K$435*$V$435</f>
        <v>0</v>
      </c>
      <c r="AC435" s="6">
        <f>$M$435*$W$435</f>
        <v>1141.47624</v>
      </c>
      <c r="AD435" s="6">
        <f>$O$435*$X$435</f>
        <v>1452.15264</v>
      </c>
      <c r="AE435" s="6">
        <f>$K$435*$Y$435</f>
        <v>0</v>
      </c>
      <c r="AF435" s="6">
        <f ca="1">$M$435*$Z$435</f>
        <v>1671.8079286718928</v>
      </c>
      <c r="AG435" s="6">
        <f>$O$435*$AA$435</f>
        <v>1374.1425641530902</v>
      </c>
    </row>
    <row r="436" spans="1:33" ht="11.25" hidden="1" customHeight="1" x14ac:dyDescent="0.3">
      <c r="A436" s="4" t="s">
        <v>21</v>
      </c>
      <c r="B436" s="4" t="s">
        <v>32</v>
      </c>
      <c r="C436" s="4" t="s">
        <v>38</v>
      </c>
      <c r="D436" s="4" t="s">
        <v>40</v>
      </c>
      <c r="E436" s="4" t="s">
        <v>25</v>
      </c>
      <c r="F436" s="4" t="s">
        <v>25</v>
      </c>
      <c r="G436" s="4" t="s">
        <v>25</v>
      </c>
      <c r="H436" s="4" t="s">
        <v>37</v>
      </c>
      <c r="I436" s="5">
        <v>44743</v>
      </c>
      <c r="J436" s="6">
        <v>0</v>
      </c>
      <c r="K436" s="6">
        <v>0</v>
      </c>
      <c r="L436" s="6">
        <v>5.016</v>
      </c>
      <c r="M436" s="6">
        <v>5.016</v>
      </c>
      <c r="N436" s="6">
        <v>5.016</v>
      </c>
      <c r="O436" s="6">
        <v>5.016</v>
      </c>
      <c r="P436" s="6">
        <v>0</v>
      </c>
      <c r="Q436" s="4" t="s">
        <v>26</v>
      </c>
      <c r="R436" s="4">
        <v>0</v>
      </c>
      <c r="S436" s="6">
        <v>0</v>
      </c>
      <c r="T436" s="6">
        <v>76</v>
      </c>
      <c r="U436" s="6">
        <v>51</v>
      </c>
      <c r="V436" s="6">
        <f>IF(ISERROR(VLOOKUP($S$436,'TAR FIN'!$A$1:$O$92,15,0)),0,VLOOKUP($S$436,'TAR FIN'!$A$1:$O$92,15,0))</f>
        <v>0</v>
      </c>
      <c r="W436" s="6">
        <f>IF(ISERROR(VLOOKUP($T$436,'TAR FIN'!$A$1:$O$92,15,0)),0,VLOOKUP($T$436,'TAR FIN'!$A$1:$O$92,15,0))</f>
        <v>225.41</v>
      </c>
      <c r="X436" s="6">
        <f>IF(ISERROR(VLOOKUP($U$436,'TAR FIN'!$A$1:$O$92,15,0)),0,VLOOKUP($U$436,'TAR FIN'!$A$1:$O$92,15,0))</f>
        <v>286.76</v>
      </c>
      <c r="Y436" s="6"/>
      <c r="Z436" s="6">
        <f ca="1">('TUSD BE'!$AM$51+'TUSD BF'!$AM$51+'TUSD CVA'!$AM$51)*1</f>
        <v>330.13584689413364</v>
      </c>
      <c r="AA436" s="6">
        <f>('TE BE'!$AB$39+'TE BF'!$AB$39+'TE CVA'!$AB$39)*1</f>
        <v>271.35516669689775</v>
      </c>
      <c r="AB436" s="6">
        <f>$K$436*$V$436</f>
        <v>0</v>
      </c>
      <c r="AC436" s="6">
        <f>$M$436*$W$436</f>
        <v>1130.6565599999999</v>
      </c>
      <c r="AD436" s="6">
        <f>$O$436*$X$436</f>
        <v>1438.38816</v>
      </c>
      <c r="AE436" s="6">
        <f>$K$436*$Y$436</f>
        <v>0</v>
      </c>
      <c r="AF436" s="6">
        <f ca="1">$M$436*$Z$436</f>
        <v>1655.9614080209744</v>
      </c>
      <c r="AG436" s="6">
        <f>$O$436*$AA$436</f>
        <v>1361.1175161516392</v>
      </c>
    </row>
    <row r="437" spans="1:33" ht="11.25" hidden="1" customHeight="1" x14ac:dyDescent="0.3">
      <c r="A437" s="4" t="s">
        <v>21</v>
      </c>
      <c r="B437" s="4" t="s">
        <v>32</v>
      </c>
      <c r="C437" s="4" t="s">
        <v>38</v>
      </c>
      <c r="D437" s="4" t="s">
        <v>40</v>
      </c>
      <c r="E437" s="4" t="s">
        <v>25</v>
      </c>
      <c r="F437" s="4" t="s">
        <v>25</v>
      </c>
      <c r="G437" s="4" t="s">
        <v>25</v>
      </c>
      <c r="H437" s="4" t="s">
        <v>39</v>
      </c>
      <c r="I437" s="5">
        <v>44409</v>
      </c>
      <c r="J437" s="6">
        <v>0</v>
      </c>
      <c r="K437" s="6">
        <v>0</v>
      </c>
      <c r="L437" s="6">
        <v>0.317</v>
      </c>
      <c r="M437" s="6">
        <v>0.317</v>
      </c>
      <c r="N437" s="6">
        <v>0.317</v>
      </c>
      <c r="O437" s="6">
        <v>0.317</v>
      </c>
      <c r="P437" s="6">
        <v>0</v>
      </c>
      <c r="Q437" s="4" t="s">
        <v>26</v>
      </c>
      <c r="R437" s="4">
        <v>0</v>
      </c>
      <c r="S437" s="6">
        <v>0</v>
      </c>
      <c r="T437" s="6">
        <v>75</v>
      </c>
      <c r="U437" s="6">
        <v>48</v>
      </c>
      <c r="V437" s="6">
        <f>IF(ISERROR(VLOOKUP($S$437,'TAR FIN'!$A$1:$O$92,15,0)),0,VLOOKUP($S$437,'TAR FIN'!$A$1:$O$92,15,0))</f>
        <v>0</v>
      </c>
      <c r="W437" s="6">
        <f>IF(ISERROR(VLOOKUP($T$437,'TAR FIN'!$A$1:$O$92,15,0)),0,VLOOKUP($T$437,'TAR FIN'!$A$1:$O$92,15,0))</f>
        <v>543.07000000000005</v>
      </c>
      <c r="X437" s="6">
        <f>IF(ISERROR(VLOOKUP($U$437,'TAR FIN'!$A$1:$O$92,15,0)),0,VLOOKUP($U$437,'TAR FIN'!$A$1:$O$92,15,0))</f>
        <v>286.76</v>
      </c>
      <c r="Y437" s="6"/>
      <c r="Z437" s="6">
        <f ca="1">('TUSD BE'!$AM$50+'TUSD BF'!$AM$50+'TUSD CVA'!$AM$50)*1</f>
        <v>712.22418763999713</v>
      </c>
      <c r="AA437" s="6">
        <f>('TE BE'!$AB$38+'TE BF'!$AB$38+'TE CVA'!$AB$38)*1</f>
        <v>271.35516669689775</v>
      </c>
      <c r="AB437" s="6">
        <f>$K$437*$V$437</f>
        <v>0</v>
      </c>
      <c r="AC437" s="6">
        <f>$M$437*$W$437</f>
        <v>172.15319000000002</v>
      </c>
      <c r="AD437" s="6">
        <f>$O$437*$X$437</f>
        <v>90.902919999999995</v>
      </c>
      <c r="AE437" s="6">
        <f>$K$437*$Y$437</f>
        <v>0</v>
      </c>
      <c r="AF437" s="6">
        <f ca="1">$M$437*$Z$437</f>
        <v>225.77506748187909</v>
      </c>
      <c r="AG437" s="6">
        <f>$O$437*$AA$437</f>
        <v>86.019587842916593</v>
      </c>
    </row>
    <row r="438" spans="1:33" ht="11.25" hidden="1" customHeight="1" x14ac:dyDescent="0.3">
      <c r="A438" s="4" t="s">
        <v>21</v>
      </c>
      <c r="B438" s="4" t="s">
        <v>32</v>
      </c>
      <c r="C438" s="4" t="s">
        <v>38</v>
      </c>
      <c r="D438" s="4" t="s">
        <v>40</v>
      </c>
      <c r="E438" s="4" t="s">
        <v>25</v>
      </c>
      <c r="F438" s="4" t="s">
        <v>25</v>
      </c>
      <c r="G438" s="4" t="s">
        <v>25</v>
      </c>
      <c r="H438" s="4" t="s">
        <v>39</v>
      </c>
      <c r="I438" s="5">
        <v>44440</v>
      </c>
      <c r="J438" s="6">
        <v>0</v>
      </c>
      <c r="K438" s="6">
        <v>0</v>
      </c>
      <c r="L438" s="6">
        <v>0.27900000000000003</v>
      </c>
      <c r="M438" s="6">
        <v>0.27900000000000003</v>
      </c>
      <c r="N438" s="6">
        <v>0.27900000000000003</v>
      </c>
      <c r="O438" s="6">
        <v>0.27900000000000003</v>
      </c>
      <c r="P438" s="6">
        <v>0</v>
      </c>
      <c r="Q438" s="4" t="s">
        <v>26</v>
      </c>
      <c r="R438" s="4">
        <v>0</v>
      </c>
      <c r="S438" s="6">
        <v>0</v>
      </c>
      <c r="T438" s="6">
        <v>75</v>
      </c>
      <c r="U438" s="6">
        <v>48</v>
      </c>
      <c r="V438" s="6">
        <f>IF(ISERROR(VLOOKUP($S$438,'TAR FIN'!$A$1:$O$92,15,0)),0,VLOOKUP($S$438,'TAR FIN'!$A$1:$O$92,15,0))</f>
        <v>0</v>
      </c>
      <c r="W438" s="6">
        <f>IF(ISERROR(VLOOKUP($T$438,'TAR FIN'!$A$1:$O$92,15,0)),0,VLOOKUP($T$438,'TAR FIN'!$A$1:$O$92,15,0))</f>
        <v>543.07000000000005</v>
      </c>
      <c r="X438" s="6">
        <f>IF(ISERROR(VLOOKUP($U$438,'TAR FIN'!$A$1:$O$92,15,0)),0,VLOOKUP($U$438,'TAR FIN'!$A$1:$O$92,15,0))</f>
        <v>286.76</v>
      </c>
      <c r="Y438" s="6"/>
      <c r="Z438" s="6">
        <f ca="1">('TUSD BE'!$AM$50+'TUSD BF'!$AM$50+'TUSD CVA'!$AM$50)*1</f>
        <v>712.22418763999713</v>
      </c>
      <c r="AA438" s="6">
        <f>('TE BE'!$AB$38+'TE BF'!$AB$38+'TE CVA'!$AB$38)*1</f>
        <v>271.35516669689775</v>
      </c>
      <c r="AB438" s="6">
        <f>$K$438*$V$438</f>
        <v>0</v>
      </c>
      <c r="AC438" s="6">
        <f>$M$438*$W$438</f>
        <v>151.51653000000002</v>
      </c>
      <c r="AD438" s="6">
        <f>$O$438*$X$438</f>
        <v>80.006039999999999</v>
      </c>
      <c r="AE438" s="6">
        <f>$K$438*$Y$438</f>
        <v>0</v>
      </c>
      <c r="AF438" s="6">
        <f ca="1">$M$438*$Z$438</f>
        <v>198.71054835155923</v>
      </c>
      <c r="AG438" s="6">
        <f>$O$438*$AA$438</f>
        <v>75.708091508434478</v>
      </c>
    </row>
    <row r="439" spans="1:33" ht="11.25" hidden="1" customHeight="1" x14ac:dyDescent="0.3">
      <c r="A439" s="4" t="s">
        <v>21</v>
      </c>
      <c r="B439" s="4" t="s">
        <v>32</v>
      </c>
      <c r="C439" s="4" t="s">
        <v>38</v>
      </c>
      <c r="D439" s="4" t="s">
        <v>40</v>
      </c>
      <c r="E439" s="4" t="s">
        <v>25</v>
      </c>
      <c r="F439" s="4" t="s">
        <v>25</v>
      </c>
      <c r="G439" s="4" t="s">
        <v>25</v>
      </c>
      <c r="H439" s="4" t="s">
        <v>39</v>
      </c>
      <c r="I439" s="5">
        <v>44470</v>
      </c>
      <c r="J439" s="6">
        <v>0</v>
      </c>
      <c r="K439" s="6">
        <v>0</v>
      </c>
      <c r="L439" s="6">
        <v>0.27600000000000002</v>
      </c>
      <c r="M439" s="6">
        <v>0.27600000000000002</v>
      </c>
      <c r="N439" s="6">
        <v>0.27600000000000002</v>
      </c>
      <c r="O439" s="6">
        <v>0.27600000000000002</v>
      </c>
      <c r="P439" s="6">
        <v>0</v>
      </c>
      <c r="Q439" s="4" t="s">
        <v>26</v>
      </c>
      <c r="R439" s="4">
        <v>0</v>
      </c>
      <c r="S439" s="6">
        <v>0</v>
      </c>
      <c r="T439" s="6">
        <v>75</v>
      </c>
      <c r="U439" s="6">
        <v>48</v>
      </c>
      <c r="V439" s="6">
        <f>IF(ISERROR(VLOOKUP($S$439,'TAR FIN'!$A$1:$O$92,15,0)),0,VLOOKUP($S$439,'TAR FIN'!$A$1:$O$92,15,0))</f>
        <v>0</v>
      </c>
      <c r="W439" s="6">
        <f>IF(ISERROR(VLOOKUP($T$439,'TAR FIN'!$A$1:$O$92,15,0)),0,VLOOKUP($T$439,'TAR FIN'!$A$1:$O$92,15,0))</f>
        <v>543.07000000000005</v>
      </c>
      <c r="X439" s="6">
        <f>IF(ISERROR(VLOOKUP($U$439,'TAR FIN'!$A$1:$O$92,15,0)),0,VLOOKUP($U$439,'TAR FIN'!$A$1:$O$92,15,0))</f>
        <v>286.76</v>
      </c>
      <c r="Y439" s="6"/>
      <c r="Z439" s="6">
        <f ca="1">('TUSD BE'!$AM$50+'TUSD BF'!$AM$50+'TUSD CVA'!$AM$50)*1</f>
        <v>712.22418763999713</v>
      </c>
      <c r="AA439" s="6">
        <f>('TE BE'!$AB$38+'TE BF'!$AB$38+'TE CVA'!$AB$38)*1</f>
        <v>271.35516669689775</v>
      </c>
      <c r="AB439" s="6">
        <f>$K$439*$V$439</f>
        <v>0</v>
      </c>
      <c r="AC439" s="6">
        <f>$M$439*$W$439</f>
        <v>149.88732000000002</v>
      </c>
      <c r="AD439" s="6">
        <f>$O$439*$X$439</f>
        <v>79.14576000000001</v>
      </c>
      <c r="AE439" s="6">
        <f>$K$439*$Y$439</f>
        <v>0</v>
      </c>
      <c r="AF439" s="6">
        <f ca="1">$M$439*$Z$439</f>
        <v>196.57387578863921</v>
      </c>
      <c r="AG439" s="6">
        <f>$O$439*$AA$439</f>
        <v>74.894026008343786</v>
      </c>
    </row>
    <row r="440" spans="1:33" ht="11.25" hidden="1" customHeight="1" x14ac:dyDescent="0.3">
      <c r="A440" s="4" t="s">
        <v>21</v>
      </c>
      <c r="B440" s="4" t="s">
        <v>32</v>
      </c>
      <c r="C440" s="4" t="s">
        <v>38</v>
      </c>
      <c r="D440" s="4" t="s">
        <v>40</v>
      </c>
      <c r="E440" s="4" t="s">
        <v>25</v>
      </c>
      <c r="F440" s="4" t="s">
        <v>25</v>
      </c>
      <c r="G440" s="4" t="s">
        <v>25</v>
      </c>
      <c r="H440" s="4" t="s">
        <v>39</v>
      </c>
      <c r="I440" s="5">
        <v>44501</v>
      </c>
      <c r="J440" s="6">
        <v>0</v>
      </c>
      <c r="K440" s="6">
        <v>0</v>
      </c>
      <c r="L440" s="6">
        <v>0.26500000000000001</v>
      </c>
      <c r="M440" s="6">
        <v>0.26500000000000001</v>
      </c>
      <c r="N440" s="6">
        <v>0.26500000000000001</v>
      </c>
      <c r="O440" s="6">
        <v>0.26500000000000001</v>
      </c>
      <c r="P440" s="6">
        <v>0</v>
      </c>
      <c r="Q440" s="4" t="s">
        <v>26</v>
      </c>
      <c r="R440" s="4">
        <v>0</v>
      </c>
      <c r="S440" s="6">
        <v>0</v>
      </c>
      <c r="T440" s="6">
        <v>75</v>
      </c>
      <c r="U440" s="6">
        <v>48</v>
      </c>
      <c r="V440" s="6">
        <f>IF(ISERROR(VLOOKUP($S$440,'TAR FIN'!$A$1:$O$92,15,0)),0,VLOOKUP($S$440,'TAR FIN'!$A$1:$O$92,15,0))</f>
        <v>0</v>
      </c>
      <c r="W440" s="6">
        <f>IF(ISERROR(VLOOKUP($T$440,'TAR FIN'!$A$1:$O$92,15,0)),0,VLOOKUP($T$440,'TAR FIN'!$A$1:$O$92,15,0))</f>
        <v>543.07000000000005</v>
      </c>
      <c r="X440" s="6">
        <f>IF(ISERROR(VLOOKUP($U$440,'TAR FIN'!$A$1:$O$92,15,0)),0,VLOOKUP($U$440,'TAR FIN'!$A$1:$O$92,15,0))</f>
        <v>286.76</v>
      </c>
      <c r="Y440" s="6"/>
      <c r="Z440" s="6">
        <f ca="1">('TUSD BE'!$AM$50+'TUSD BF'!$AM$50+'TUSD CVA'!$AM$50)*1</f>
        <v>712.22418763999713</v>
      </c>
      <c r="AA440" s="6">
        <f>('TE BE'!$AB$38+'TE BF'!$AB$38+'TE CVA'!$AB$38)*1</f>
        <v>271.35516669689775</v>
      </c>
      <c r="AB440" s="6">
        <f>$K$440*$V$440</f>
        <v>0</v>
      </c>
      <c r="AC440" s="6">
        <f>$M$440*$W$440</f>
        <v>143.91355000000001</v>
      </c>
      <c r="AD440" s="6">
        <f>$O$440*$X$440</f>
        <v>75.991399999999999</v>
      </c>
      <c r="AE440" s="6">
        <f>$K$440*$Y$440</f>
        <v>0</v>
      </c>
      <c r="AF440" s="6">
        <f ca="1">$M$440*$Z$440</f>
        <v>188.73940972459926</v>
      </c>
      <c r="AG440" s="6">
        <f>$O$440*$AA$440</f>
        <v>71.909119174677912</v>
      </c>
    </row>
    <row r="441" spans="1:33" ht="11.25" hidden="1" customHeight="1" x14ac:dyDescent="0.3">
      <c r="A441" s="4" t="s">
        <v>21</v>
      </c>
      <c r="B441" s="4" t="s">
        <v>32</v>
      </c>
      <c r="C441" s="4" t="s">
        <v>38</v>
      </c>
      <c r="D441" s="4" t="s">
        <v>40</v>
      </c>
      <c r="E441" s="4" t="s">
        <v>25</v>
      </c>
      <c r="F441" s="4" t="s">
        <v>25</v>
      </c>
      <c r="G441" s="4" t="s">
        <v>25</v>
      </c>
      <c r="H441" s="4" t="s">
        <v>39</v>
      </c>
      <c r="I441" s="5">
        <v>44531</v>
      </c>
      <c r="J441" s="6">
        <v>0</v>
      </c>
      <c r="K441" s="6">
        <v>0</v>
      </c>
      <c r="L441" s="6">
        <v>0.27800000000000002</v>
      </c>
      <c r="M441" s="6">
        <v>0.27800000000000002</v>
      </c>
      <c r="N441" s="6">
        <v>0.27800000000000002</v>
      </c>
      <c r="O441" s="6">
        <v>0.27800000000000002</v>
      </c>
      <c r="P441" s="6">
        <v>0</v>
      </c>
      <c r="Q441" s="4" t="s">
        <v>26</v>
      </c>
      <c r="R441" s="4">
        <v>0</v>
      </c>
      <c r="S441" s="6">
        <v>0</v>
      </c>
      <c r="T441" s="6">
        <v>75</v>
      </c>
      <c r="U441" s="6">
        <v>48</v>
      </c>
      <c r="V441" s="6">
        <f>IF(ISERROR(VLOOKUP($S$441,'TAR FIN'!$A$1:$O$92,15,0)),0,VLOOKUP($S$441,'TAR FIN'!$A$1:$O$92,15,0))</f>
        <v>0</v>
      </c>
      <c r="W441" s="6">
        <f>IF(ISERROR(VLOOKUP($T$441,'TAR FIN'!$A$1:$O$92,15,0)),0,VLOOKUP($T$441,'TAR FIN'!$A$1:$O$92,15,0))</f>
        <v>543.07000000000005</v>
      </c>
      <c r="X441" s="6">
        <f>IF(ISERROR(VLOOKUP($U$441,'TAR FIN'!$A$1:$O$92,15,0)),0,VLOOKUP($U$441,'TAR FIN'!$A$1:$O$92,15,0))</f>
        <v>286.76</v>
      </c>
      <c r="Y441" s="6"/>
      <c r="Z441" s="6">
        <f ca="1">('TUSD BE'!$AM$50+'TUSD BF'!$AM$50+'TUSD CVA'!$AM$50)*1</f>
        <v>712.22418763999713</v>
      </c>
      <c r="AA441" s="6">
        <f>('TE BE'!$AB$38+'TE BF'!$AB$38+'TE CVA'!$AB$38)*1</f>
        <v>271.35516669689775</v>
      </c>
      <c r="AB441" s="6">
        <f>$K$441*$V$441</f>
        <v>0</v>
      </c>
      <c r="AC441" s="6">
        <f>$M$441*$W$441</f>
        <v>150.97346000000002</v>
      </c>
      <c r="AD441" s="6">
        <f>$O$441*$X$441</f>
        <v>79.719279999999998</v>
      </c>
      <c r="AE441" s="6">
        <f>$K$441*$Y$441</f>
        <v>0</v>
      </c>
      <c r="AF441" s="6">
        <f ca="1">$M$441*$Z$441</f>
        <v>197.99832416391922</v>
      </c>
      <c r="AG441" s="6">
        <f>$O$441*$AA$441</f>
        <v>75.436736341737586</v>
      </c>
    </row>
    <row r="442" spans="1:33" ht="11.25" hidden="1" customHeight="1" x14ac:dyDescent="0.3">
      <c r="A442" s="4" t="s">
        <v>21</v>
      </c>
      <c r="B442" s="4" t="s">
        <v>32</v>
      </c>
      <c r="C442" s="4" t="s">
        <v>38</v>
      </c>
      <c r="D442" s="4" t="s">
        <v>40</v>
      </c>
      <c r="E442" s="4" t="s">
        <v>25</v>
      </c>
      <c r="F442" s="4" t="s">
        <v>25</v>
      </c>
      <c r="G442" s="4" t="s">
        <v>25</v>
      </c>
      <c r="H442" s="4" t="s">
        <v>39</v>
      </c>
      <c r="I442" s="5">
        <v>44562</v>
      </c>
      <c r="J442" s="6">
        <v>0</v>
      </c>
      <c r="K442" s="6">
        <v>0</v>
      </c>
      <c r="L442" s="6">
        <v>0.309</v>
      </c>
      <c r="M442" s="6">
        <v>0.309</v>
      </c>
      <c r="N442" s="6">
        <v>0.309</v>
      </c>
      <c r="O442" s="6">
        <v>0.309</v>
      </c>
      <c r="P442" s="6">
        <v>0</v>
      </c>
      <c r="Q442" s="4" t="s">
        <v>26</v>
      </c>
      <c r="R442" s="4">
        <v>0</v>
      </c>
      <c r="S442" s="6">
        <v>0</v>
      </c>
      <c r="T442" s="6">
        <v>75</v>
      </c>
      <c r="U442" s="6">
        <v>48</v>
      </c>
      <c r="V442" s="6">
        <f>IF(ISERROR(VLOOKUP($S$442,'TAR FIN'!$A$1:$O$92,15,0)),0,VLOOKUP($S$442,'TAR FIN'!$A$1:$O$92,15,0))</f>
        <v>0</v>
      </c>
      <c r="W442" s="6">
        <f>IF(ISERROR(VLOOKUP($T$442,'TAR FIN'!$A$1:$O$92,15,0)),0,VLOOKUP($T$442,'TAR FIN'!$A$1:$O$92,15,0))</f>
        <v>543.07000000000005</v>
      </c>
      <c r="X442" s="6">
        <f>IF(ISERROR(VLOOKUP($U$442,'TAR FIN'!$A$1:$O$92,15,0)),0,VLOOKUP($U$442,'TAR FIN'!$A$1:$O$92,15,0))</f>
        <v>286.76</v>
      </c>
      <c r="Y442" s="6"/>
      <c r="Z442" s="6">
        <f ca="1">('TUSD BE'!$AM$50+'TUSD BF'!$AM$50+'TUSD CVA'!$AM$50)*1</f>
        <v>712.22418763999713</v>
      </c>
      <c r="AA442" s="6">
        <f>('TE BE'!$AB$38+'TE BF'!$AB$38+'TE CVA'!$AB$38)*1</f>
        <v>271.35516669689775</v>
      </c>
      <c r="AB442" s="6">
        <f>$K$442*$V$442</f>
        <v>0</v>
      </c>
      <c r="AC442" s="6">
        <f>$M$442*$W$442</f>
        <v>167.80863000000002</v>
      </c>
      <c r="AD442" s="6">
        <f>$O$442*$X$442</f>
        <v>88.608840000000001</v>
      </c>
      <c r="AE442" s="6">
        <f>$K$442*$Y$442</f>
        <v>0</v>
      </c>
      <c r="AF442" s="6">
        <f ca="1">$M$442*$Z$442</f>
        <v>220.07727398075912</v>
      </c>
      <c r="AG442" s="6">
        <f>$O$442*$AA$442</f>
        <v>83.84874650934141</v>
      </c>
    </row>
    <row r="443" spans="1:33" ht="11.25" hidden="1" customHeight="1" x14ac:dyDescent="0.3">
      <c r="A443" s="4" t="s">
        <v>21</v>
      </c>
      <c r="B443" s="4" t="s">
        <v>32</v>
      </c>
      <c r="C443" s="4" t="s">
        <v>38</v>
      </c>
      <c r="D443" s="4" t="s">
        <v>40</v>
      </c>
      <c r="E443" s="4" t="s">
        <v>25</v>
      </c>
      <c r="F443" s="4" t="s">
        <v>25</v>
      </c>
      <c r="G443" s="4" t="s">
        <v>25</v>
      </c>
      <c r="H443" s="4" t="s">
        <v>39</v>
      </c>
      <c r="I443" s="5">
        <v>44593</v>
      </c>
      <c r="J443" s="6">
        <v>0</v>
      </c>
      <c r="K443" s="6">
        <v>0</v>
      </c>
      <c r="L443" s="6">
        <v>0.38400000000000001</v>
      </c>
      <c r="M443" s="6">
        <v>0.38400000000000001</v>
      </c>
      <c r="N443" s="6">
        <v>0.38400000000000001</v>
      </c>
      <c r="O443" s="6">
        <v>0.38400000000000001</v>
      </c>
      <c r="P443" s="6">
        <v>0</v>
      </c>
      <c r="Q443" s="4" t="s">
        <v>26</v>
      </c>
      <c r="R443" s="4">
        <v>0</v>
      </c>
      <c r="S443" s="6">
        <v>0</v>
      </c>
      <c r="T443" s="6">
        <v>75</v>
      </c>
      <c r="U443" s="6">
        <v>48</v>
      </c>
      <c r="V443" s="6">
        <f>IF(ISERROR(VLOOKUP($S$443,'TAR FIN'!$A$1:$O$92,15,0)),0,VLOOKUP($S$443,'TAR FIN'!$A$1:$O$92,15,0))</f>
        <v>0</v>
      </c>
      <c r="W443" s="6">
        <f>IF(ISERROR(VLOOKUP($T$443,'TAR FIN'!$A$1:$O$92,15,0)),0,VLOOKUP($T$443,'TAR FIN'!$A$1:$O$92,15,0))</f>
        <v>543.07000000000005</v>
      </c>
      <c r="X443" s="6">
        <f>IF(ISERROR(VLOOKUP($U$443,'TAR FIN'!$A$1:$O$92,15,0)),0,VLOOKUP($U$443,'TAR FIN'!$A$1:$O$92,15,0))</f>
        <v>286.76</v>
      </c>
      <c r="Y443" s="6"/>
      <c r="Z443" s="6">
        <f ca="1">('TUSD BE'!$AM$50+'TUSD BF'!$AM$50+'TUSD CVA'!$AM$50)*1</f>
        <v>712.22418763999713</v>
      </c>
      <c r="AA443" s="6">
        <f>('TE BE'!$AB$38+'TE BF'!$AB$38+'TE CVA'!$AB$38)*1</f>
        <v>271.35516669689775</v>
      </c>
      <c r="AB443" s="6">
        <f>$K$443*$V$443</f>
        <v>0</v>
      </c>
      <c r="AC443" s="6">
        <f>$M$443*$W$443</f>
        <v>208.53888000000003</v>
      </c>
      <c r="AD443" s="6">
        <f>$O$443*$X$443</f>
        <v>110.11584000000001</v>
      </c>
      <c r="AE443" s="6">
        <f>$K$443*$Y$443</f>
        <v>0</v>
      </c>
      <c r="AF443" s="6">
        <f ca="1">$M$443*$Z$443</f>
        <v>273.4940880537589</v>
      </c>
      <c r="AG443" s="6">
        <f>$O$443*$AA$443</f>
        <v>104.20038401160873</v>
      </c>
    </row>
    <row r="444" spans="1:33" ht="11.25" hidden="1" customHeight="1" x14ac:dyDescent="0.3">
      <c r="A444" s="4" t="s">
        <v>21</v>
      </c>
      <c r="B444" s="4" t="s">
        <v>32</v>
      </c>
      <c r="C444" s="4" t="s">
        <v>38</v>
      </c>
      <c r="D444" s="4" t="s">
        <v>40</v>
      </c>
      <c r="E444" s="4" t="s">
        <v>25</v>
      </c>
      <c r="F444" s="4" t="s">
        <v>25</v>
      </c>
      <c r="G444" s="4" t="s">
        <v>25</v>
      </c>
      <c r="H444" s="4" t="s">
        <v>39</v>
      </c>
      <c r="I444" s="5">
        <v>44621</v>
      </c>
      <c r="J444" s="6">
        <v>0</v>
      </c>
      <c r="K444" s="6">
        <v>0</v>
      </c>
      <c r="L444" s="6">
        <v>0.29599999999999999</v>
      </c>
      <c r="M444" s="6">
        <v>0.29599999999999999</v>
      </c>
      <c r="N444" s="6">
        <v>0.29599999999999999</v>
      </c>
      <c r="O444" s="6">
        <v>0.29599999999999999</v>
      </c>
      <c r="P444" s="6">
        <v>0</v>
      </c>
      <c r="Q444" s="4" t="s">
        <v>26</v>
      </c>
      <c r="R444" s="4">
        <v>0</v>
      </c>
      <c r="S444" s="6">
        <v>0</v>
      </c>
      <c r="T444" s="6">
        <v>75</v>
      </c>
      <c r="U444" s="6">
        <v>48</v>
      </c>
      <c r="V444" s="6">
        <f>IF(ISERROR(VLOOKUP($S$444,'TAR FIN'!$A$1:$O$92,15,0)),0,VLOOKUP($S$444,'TAR FIN'!$A$1:$O$92,15,0))</f>
        <v>0</v>
      </c>
      <c r="W444" s="6">
        <f>IF(ISERROR(VLOOKUP($T$444,'TAR FIN'!$A$1:$O$92,15,0)),0,VLOOKUP($T$444,'TAR FIN'!$A$1:$O$92,15,0))</f>
        <v>543.07000000000005</v>
      </c>
      <c r="X444" s="6">
        <f>IF(ISERROR(VLOOKUP($U$444,'TAR FIN'!$A$1:$O$92,15,0)),0,VLOOKUP($U$444,'TAR FIN'!$A$1:$O$92,15,0))</f>
        <v>286.76</v>
      </c>
      <c r="Y444" s="6"/>
      <c r="Z444" s="6">
        <f ca="1">('TUSD BE'!$AM$50+'TUSD BF'!$AM$50+'TUSD CVA'!$AM$50)*1</f>
        <v>712.22418763999713</v>
      </c>
      <c r="AA444" s="6">
        <f>('TE BE'!$AB$38+'TE BF'!$AB$38+'TE CVA'!$AB$38)*1</f>
        <v>271.35516669689775</v>
      </c>
      <c r="AB444" s="6">
        <f>$K$444*$V$444</f>
        <v>0</v>
      </c>
      <c r="AC444" s="6">
        <f>$M$444*$W$444</f>
        <v>160.74872000000002</v>
      </c>
      <c r="AD444" s="6">
        <f>$O$444*$X$444</f>
        <v>84.880959999999988</v>
      </c>
      <c r="AE444" s="6">
        <f>$K$444*$Y$444</f>
        <v>0</v>
      </c>
      <c r="AF444" s="6">
        <f ca="1">$M$444*$Z$444</f>
        <v>210.81835954143915</v>
      </c>
      <c r="AG444" s="6">
        <f>$O$444*$AA$444</f>
        <v>80.321129342281736</v>
      </c>
    </row>
    <row r="445" spans="1:33" ht="11.25" hidden="1" customHeight="1" x14ac:dyDescent="0.3">
      <c r="A445" s="4" t="s">
        <v>21</v>
      </c>
      <c r="B445" s="4" t="s">
        <v>32</v>
      </c>
      <c r="C445" s="4" t="s">
        <v>38</v>
      </c>
      <c r="D445" s="4" t="s">
        <v>40</v>
      </c>
      <c r="E445" s="4" t="s">
        <v>25</v>
      </c>
      <c r="F445" s="4" t="s">
        <v>25</v>
      </c>
      <c r="G445" s="4" t="s">
        <v>25</v>
      </c>
      <c r="H445" s="4" t="s">
        <v>39</v>
      </c>
      <c r="I445" s="5">
        <v>44652</v>
      </c>
      <c r="J445" s="6">
        <v>0</v>
      </c>
      <c r="K445" s="6">
        <v>0</v>
      </c>
      <c r="L445" s="6">
        <v>0.317</v>
      </c>
      <c r="M445" s="6">
        <v>0.317</v>
      </c>
      <c r="N445" s="6">
        <v>0.317</v>
      </c>
      <c r="O445" s="6">
        <v>0.317</v>
      </c>
      <c r="P445" s="6">
        <v>0</v>
      </c>
      <c r="Q445" s="4" t="s">
        <v>26</v>
      </c>
      <c r="R445" s="4">
        <v>0</v>
      </c>
      <c r="S445" s="6">
        <v>0</v>
      </c>
      <c r="T445" s="6">
        <v>75</v>
      </c>
      <c r="U445" s="6">
        <v>48</v>
      </c>
      <c r="V445" s="6">
        <f>IF(ISERROR(VLOOKUP($S$445,'TAR FIN'!$A$1:$O$92,15,0)),0,VLOOKUP($S$445,'TAR FIN'!$A$1:$O$92,15,0))</f>
        <v>0</v>
      </c>
      <c r="W445" s="6">
        <f>IF(ISERROR(VLOOKUP($T$445,'TAR FIN'!$A$1:$O$92,15,0)),0,VLOOKUP($T$445,'TAR FIN'!$A$1:$O$92,15,0))</f>
        <v>543.07000000000005</v>
      </c>
      <c r="X445" s="6">
        <f>IF(ISERROR(VLOOKUP($U$445,'TAR FIN'!$A$1:$O$92,15,0)),0,VLOOKUP($U$445,'TAR FIN'!$A$1:$O$92,15,0))</f>
        <v>286.76</v>
      </c>
      <c r="Y445" s="6"/>
      <c r="Z445" s="6">
        <f ca="1">('TUSD BE'!$AM$50+'TUSD BF'!$AM$50+'TUSD CVA'!$AM$50)*1</f>
        <v>712.22418763999713</v>
      </c>
      <c r="AA445" s="6">
        <f>('TE BE'!$AB$38+'TE BF'!$AB$38+'TE CVA'!$AB$38)*1</f>
        <v>271.35516669689775</v>
      </c>
      <c r="AB445" s="6">
        <f>$K$445*$V$445</f>
        <v>0</v>
      </c>
      <c r="AC445" s="6">
        <f>$M$445*$W$445</f>
        <v>172.15319000000002</v>
      </c>
      <c r="AD445" s="6">
        <f>$O$445*$X$445</f>
        <v>90.902919999999995</v>
      </c>
      <c r="AE445" s="6">
        <f>$K$445*$Y$445</f>
        <v>0</v>
      </c>
      <c r="AF445" s="6">
        <f ca="1">$M$445*$Z$445</f>
        <v>225.77506748187909</v>
      </c>
      <c r="AG445" s="6">
        <f>$O$445*$AA$445</f>
        <v>86.019587842916593</v>
      </c>
    </row>
    <row r="446" spans="1:33" ht="11.25" hidden="1" customHeight="1" x14ac:dyDescent="0.3">
      <c r="A446" s="4" t="s">
        <v>21</v>
      </c>
      <c r="B446" s="4" t="s">
        <v>32</v>
      </c>
      <c r="C446" s="4" t="s">
        <v>38</v>
      </c>
      <c r="D446" s="4" t="s">
        <v>40</v>
      </c>
      <c r="E446" s="4" t="s">
        <v>25</v>
      </c>
      <c r="F446" s="4" t="s">
        <v>25</v>
      </c>
      <c r="G446" s="4" t="s">
        <v>25</v>
      </c>
      <c r="H446" s="4" t="s">
        <v>39</v>
      </c>
      <c r="I446" s="5">
        <v>44682</v>
      </c>
      <c r="J446" s="6">
        <v>0</v>
      </c>
      <c r="K446" s="6">
        <v>0</v>
      </c>
      <c r="L446" s="6">
        <v>0.32100000000000001</v>
      </c>
      <c r="M446" s="6">
        <v>0.32100000000000001</v>
      </c>
      <c r="N446" s="6">
        <v>0.32100000000000001</v>
      </c>
      <c r="O446" s="6">
        <v>0.32100000000000001</v>
      </c>
      <c r="P446" s="6">
        <v>0</v>
      </c>
      <c r="Q446" s="4" t="s">
        <v>26</v>
      </c>
      <c r="R446" s="4">
        <v>0</v>
      </c>
      <c r="S446" s="6">
        <v>0</v>
      </c>
      <c r="T446" s="6">
        <v>75</v>
      </c>
      <c r="U446" s="6">
        <v>48</v>
      </c>
      <c r="V446" s="6">
        <f>IF(ISERROR(VLOOKUP($S$446,'TAR FIN'!$A$1:$O$92,15,0)),0,VLOOKUP($S$446,'TAR FIN'!$A$1:$O$92,15,0))</f>
        <v>0</v>
      </c>
      <c r="W446" s="6">
        <f>IF(ISERROR(VLOOKUP($T$446,'TAR FIN'!$A$1:$O$92,15,0)),0,VLOOKUP($T$446,'TAR FIN'!$A$1:$O$92,15,0))</f>
        <v>543.07000000000005</v>
      </c>
      <c r="X446" s="6">
        <f>IF(ISERROR(VLOOKUP($U$446,'TAR FIN'!$A$1:$O$92,15,0)),0,VLOOKUP($U$446,'TAR FIN'!$A$1:$O$92,15,0))</f>
        <v>286.76</v>
      </c>
      <c r="Y446" s="6"/>
      <c r="Z446" s="6">
        <f ca="1">('TUSD BE'!$AM$50+'TUSD BF'!$AM$50+'TUSD CVA'!$AM$50)*1</f>
        <v>712.22418763999713</v>
      </c>
      <c r="AA446" s="6">
        <f>('TE BE'!$AB$38+'TE BF'!$AB$38+'TE CVA'!$AB$38)*1</f>
        <v>271.35516669689775</v>
      </c>
      <c r="AB446" s="6">
        <f>$K$446*$V$446</f>
        <v>0</v>
      </c>
      <c r="AC446" s="6">
        <f>$M$446*$W$446</f>
        <v>174.32547000000002</v>
      </c>
      <c r="AD446" s="6">
        <f>$O$446*$X$446</f>
        <v>92.049959999999999</v>
      </c>
      <c r="AE446" s="6">
        <f>$K$446*$Y$446</f>
        <v>0</v>
      </c>
      <c r="AF446" s="6">
        <f ca="1">$M$446*$Z$446</f>
        <v>228.62396423243908</v>
      </c>
      <c r="AG446" s="6">
        <f>$O$446*$AA$446</f>
        <v>87.105008509704177</v>
      </c>
    </row>
    <row r="447" spans="1:33" ht="11.25" hidden="1" customHeight="1" x14ac:dyDescent="0.3">
      <c r="A447" s="4" t="s">
        <v>21</v>
      </c>
      <c r="B447" s="4" t="s">
        <v>32</v>
      </c>
      <c r="C447" s="4" t="s">
        <v>38</v>
      </c>
      <c r="D447" s="4" t="s">
        <v>40</v>
      </c>
      <c r="E447" s="4" t="s">
        <v>25</v>
      </c>
      <c r="F447" s="4" t="s">
        <v>25</v>
      </c>
      <c r="G447" s="4" t="s">
        <v>25</v>
      </c>
      <c r="H447" s="4" t="s">
        <v>39</v>
      </c>
      <c r="I447" s="5">
        <v>44713</v>
      </c>
      <c r="J447" s="6">
        <v>0</v>
      </c>
      <c r="K447" s="6">
        <v>0</v>
      </c>
      <c r="L447" s="6">
        <v>0.35</v>
      </c>
      <c r="M447" s="6">
        <v>0.35</v>
      </c>
      <c r="N447" s="6">
        <v>0.35</v>
      </c>
      <c r="O447" s="6">
        <v>0.35</v>
      </c>
      <c r="P447" s="6">
        <v>0</v>
      </c>
      <c r="Q447" s="4" t="s">
        <v>26</v>
      </c>
      <c r="R447" s="4">
        <v>0</v>
      </c>
      <c r="S447" s="6">
        <v>0</v>
      </c>
      <c r="T447" s="6">
        <v>75</v>
      </c>
      <c r="U447" s="6">
        <v>48</v>
      </c>
      <c r="V447" s="6">
        <f>IF(ISERROR(VLOOKUP($S$447,'TAR FIN'!$A$1:$O$92,15,0)),0,VLOOKUP($S$447,'TAR FIN'!$A$1:$O$92,15,0))</f>
        <v>0</v>
      </c>
      <c r="W447" s="6">
        <f>IF(ISERROR(VLOOKUP($T$447,'TAR FIN'!$A$1:$O$92,15,0)),0,VLOOKUP($T$447,'TAR FIN'!$A$1:$O$92,15,0))</f>
        <v>543.07000000000005</v>
      </c>
      <c r="X447" s="6">
        <f>IF(ISERROR(VLOOKUP($U$447,'TAR FIN'!$A$1:$O$92,15,0)),0,VLOOKUP($U$447,'TAR FIN'!$A$1:$O$92,15,0))</f>
        <v>286.76</v>
      </c>
      <c r="Y447" s="6"/>
      <c r="Z447" s="6">
        <f ca="1">('TUSD BE'!$AM$50+'TUSD BF'!$AM$50+'TUSD CVA'!$AM$50)*1</f>
        <v>712.22418763999713</v>
      </c>
      <c r="AA447" s="6">
        <f>('TE BE'!$AB$38+'TE BF'!$AB$38+'TE CVA'!$AB$38)*1</f>
        <v>271.35516669689775</v>
      </c>
      <c r="AB447" s="6">
        <f>$K$447*$V$447</f>
        <v>0</v>
      </c>
      <c r="AC447" s="6">
        <f>$M$447*$W$447</f>
        <v>190.0745</v>
      </c>
      <c r="AD447" s="6">
        <f>$O$447*$X$447</f>
        <v>100.36599999999999</v>
      </c>
      <c r="AE447" s="6">
        <f>$K$447*$Y$447</f>
        <v>0</v>
      </c>
      <c r="AF447" s="6">
        <f ca="1">$M$447*$Z$447</f>
        <v>249.27846567399897</v>
      </c>
      <c r="AG447" s="6">
        <f>$O$447*$AA$447</f>
        <v>94.974308343914203</v>
      </c>
    </row>
    <row r="448" spans="1:33" ht="11.25" hidden="1" customHeight="1" x14ac:dyDescent="0.3">
      <c r="A448" s="4" t="s">
        <v>21</v>
      </c>
      <c r="B448" s="4" t="s">
        <v>32</v>
      </c>
      <c r="C448" s="4" t="s">
        <v>38</v>
      </c>
      <c r="D448" s="4" t="s">
        <v>40</v>
      </c>
      <c r="E448" s="4" t="s">
        <v>25</v>
      </c>
      <c r="F448" s="4" t="s">
        <v>25</v>
      </c>
      <c r="G448" s="4" t="s">
        <v>25</v>
      </c>
      <c r="H448" s="4" t="s">
        <v>39</v>
      </c>
      <c r="I448" s="5">
        <v>44743</v>
      </c>
      <c r="J448" s="6">
        <v>0</v>
      </c>
      <c r="K448" s="6">
        <v>0</v>
      </c>
      <c r="L448" s="6">
        <v>0.36599999999999999</v>
      </c>
      <c r="M448" s="6">
        <v>0.36599999999999999</v>
      </c>
      <c r="N448" s="6">
        <v>0.36599999999999999</v>
      </c>
      <c r="O448" s="6">
        <v>0.36599999999999999</v>
      </c>
      <c r="P448" s="6">
        <v>0</v>
      </c>
      <c r="Q448" s="4" t="s">
        <v>26</v>
      </c>
      <c r="R448" s="4">
        <v>0</v>
      </c>
      <c r="S448" s="6">
        <v>0</v>
      </c>
      <c r="T448" s="6">
        <v>75</v>
      </c>
      <c r="U448" s="6">
        <v>48</v>
      </c>
      <c r="V448" s="6">
        <f>IF(ISERROR(VLOOKUP($S$448,'TAR FIN'!$A$1:$O$92,15,0)),0,VLOOKUP($S$448,'TAR FIN'!$A$1:$O$92,15,0))</f>
        <v>0</v>
      </c>
      <c r="W448" s="6">
        <f>IF(ISERROR(VLOOKUP($T$448,'TAR FIN'!$A$1:$O$92,15,0)),0,VLOOKUP($T$448,'TAR FIN'!$A$1:$O$92,15,0))</f>
        <v>543.07000000000005</v>
      </c>
      <c r="X448" s="6">
        <f>IF(ISERROR(VLOOKUP($U$448,'TAR FIN'!$A$1:$O$92,15,0)),0,VLOOKUP($U$448,'TAR FIN'!$A$1:$O$92,15,0))</f>
        <v>286.76</v>
      </c>
      <c r="Y448" s="6"/>
      <c r="Z448" s="6">
        <f ca="1">('TUSD BE'!$AM$50+'TUSD BF'!$AM$50+'TUSD CVA'!$AM$50)*1</f>
        <v>712.22418763999713</v>
      </c>
      <c r="AA448" s="6">
        <f>('TE BE'!$AB$38+'TE BF'!$AB$38+'TE CVA'!$AB$38)*1</f>
        <v>271.35516669689775</v>
      </c>
      <c r="AB448" s="6">
        <f>$K$448*$V$448</f>
        <v>0</v>
      </c>
      <c r="AC448" s="6">
        <f>$M$448*$W$448</f>
        <v>198.76362</v>
      </c>
      <c r="AD448" s="6">
        <f>$O$448*$X$448</f>
        <v>104.95415999999999</v>
      </c>
      <c r="AE448" s="6">
        <f>$K$448*$Y$448</f>
        <v>0</v>
      </c>
      <c r="AF448" s="6">
        <f ca="1">$M$448*$Z$448</f>
        <v>260.67405267623894</v>
      </c>
      <c r="AG448" s="6">
        <f>$O$448*$AA$448</f>
        <v>99.315991011064582</v>
      </c>
    </row>
    <row r="449" spans="1:33" ht="11.25" hidden="1" customHeight="1" x14ac:dyDescent="0.3">
      <c r="A449" s="4" t="s">
        <v>21</v>
      </c>
      <c r="B449" s="4" t="s">
        <v>32</v>
      </c>
      <c r="C449" s="4" t="s">
        <v>38</v>
      </c>
      <c r="D449" s="4" t="s">
        <v>40</v>
      </c>
      <c r="E449" s="4" t="s">
        <v>25</v>
      </c>
      <c r="F449" s="4" t="s">
        <v>25</v>
      </c>
      <c r="G449" s="4" t="s">
        <v>25</v>
      </c>
      <c r="H449" s="4" t="s">
        <v>36</v>
      </c>
      <c r="I449" s="5">
        <v>44409</v>
      </c>
      <c r="J449" s="6">
        <v>0</v>
      </c>
      <c r="K449" s="6">
        <v>0</v>
      </c>
      <c r="L449" s="6">
        <v>0.32400000000000001</v>
      </c>
      <c r="M449" s="6">
        <v>0.32400000000000001</v>
      </c>
      <c r="N449" s="6">
        <v>0.32400000000000001</v>
      </c>
      <c r="O449" s="6">
        <v>0.32400000000000001</v>
      </c>
      <c r="P449" s="6">
        <v>0</v>
      </c>
      <c r="Q449" s="4" t="s">
        <v>26</v>
      </c>
      <c r="R449" s="4">
        <v>0</v>
      </c>
      <c r="S449" s="6">
        <v>0</v>
      </c>
      <c r="T449" s="6">
        <v>74</v>
      </c>
      <c r="U449" s="6">
        <v>47</v>
      </c>
      <c r="V449" s="6">
        <f>IF(ISERROR(VLOOKUP($S$449,'TAR FIN'!$A$1:$O$92,15,0)),0,VLOOKUP($S$449,'TAR FIN'!$A$1:$O$92,15,0))</f>
        <v>0</v>
      </c>
      <c r="W449" s="6">
        <f>IF(ISERROR(VLOOKUP($T$449,'TAR FIN'!$A$1:$O$92,15,0)),0,VLOOKUP($T$449,'TAR FIN'!$A$1:$O$92,15,0))</f>
        <v>1905.55</v>
      </c>
      <c r="X449" s="6">
        <f>IF(ISERROR(VLOOKUP($U$449,'TAR FIN'!$A$1:$O$92,15,0)),0,VLOOKUP($U$449,'TAR FIN'!$A$1:$O$92,15,0))</f>
        <v>488.15</v>
      </c>
      <c r="Y449" s="6"/>
      <c r="Z449" s="6">
        <f ca="1">('TUSD BE'!$AM$49+'TUSD BF'!$AM$49+'TUSD CVA'!$AM$49)*1</f>
        <v>2351.0612295581759</v>
      </c>
      <c r="AA449" s="6">
        <f>('TE BE'!$AB$37+'TE BF'!$AB$37+'TE CVA'!$AB$37)*1</f>
        <v>461.06028669645673</v>
      </c>
      <c r="AB449" s="6">
        <f>$K$449*$V$449</f>
        <v>0</v>
      </c>
      <c r="AC449" s="6">
        <f>$M$449*$W$449</f>
        <v>617.39819999999997</v>
      </c>
      <c r="AD449" s="6">
        <f>$O$449*$X$449</f>
        <v>158.16059999999999</v>
      </c>
      <c r="AE449" s="6">
        <f>$K$449*$Y$449</f>
        <v>0</v>
      </c>
      <c r="AF449" s="6">
        <f ca="1">$M$449*$Z$449</f>
        <v>761.743838376849</v>
      </c>
      <c r="AG449" s="6">
        <f>$O$449*$AA$449</f>
        <v>149.38353288965197</v>
      </c>
    </row>
    <row r="450" spans="1:33" ht="11.25" hidden="1" customHeight="1" x14ac:dyDescent="0.3">
      <c r="A450" s="4" t="s">
        <v>21</v>
      </c>
      <c r="B450" s="4" t="s">
        <v>32</v>
      </c>
      <c r="C450" s="4" t="s">
        <v>38</v>
      </c>
      <c r="D450" s="4" t="s">
        <v>40</v>
      </c>
      <c r="E450" s="4" t="s">
        <v>25</v>
      </c>
      <c r="F450" s="4" t="s">
        <v>25</v>
      </c>
      <c r="G450" s="4" t="s">
        <v>25</v>
      </c>
      <c r="H450" s="4" t="s">
        <v>36</v>
      </c>
      <c r="I450" s="5">
        <v>44440</v>
      </c>
      <c r="J450" s="6">
        <v>0</v>
      </c>
      <c r="K450" s="6">
        <v>0</v>
      </c>
      <c r="L450" s="6">
        <v>0.315</v>
      </c>
      <c r="M450" s="6">
        <v>0.315</v>
      </c>
      <c r="N450" s="6">
        <v>0.315</v>
      </c>
      <c r="O450" s="6">
        <v>0.315</v>
      </c>
      <c r="P450" s="6">
        <v>0</v>
      </c>
      <c r="Q450" s="4" t="s">
        <v>26</v>
      </c>
      <c r="R450" s="4">
        <v>0</v>
      </c>
      <c r="S450" s="6">
        <v>0</v>
      </c>
      <c r="T450" s="6">
        <v>74</v>
      </c>
      <c r="U450" s="6">
        <v>47</v>
      </c>
      <c r="V450" s="6">
        <f>IF(ISERROR(VLOOKUP($S$450,'TAR FIN'!$A$1:$O$92,15,0)),0,VLOOKUP($S$450,'TAR FIN'!$A$1:$O$92,15,0))</f>
        <v>0</v>
      </c>
      <c r="W450" s="6">
        <f>IF(ISERROR(VLOOKUP($T$450,'TAR FIN'!$A$1:$O$92,15,0)),0,VLOOKUP($T$450,'TAR FIN'!$A$1:$O$92,15,0))</f>
        <v>1905.55</v>
      </c>
      <c r="X450" s="6">
        <f>IF(ISERROR(VLOOKUP($U$450,'TAR FIN'!$A$1:$O$92,15,0)),0,VLOOKUP($U$450,'TAR FIN'!$A$1:$O$92,15,0))</f>
        <v>488.15</v>
      </c>
      <c r="Y450" s="6"/>
      <c r="Z450" s="6">
        <f ca="1">('TUSD BE'!$AM$49+'TUSD BF'!$AM$49+'TUSD CVA'!$AM$49)*1</f>
        <v>2351.0612295581759</v>
      </c>
      <c r="AA450" s="6">
        <f>('TE BE'!$AB$37+'TE BF'!$AB$37+'TE CVA'!$AB$37)*1</f>
        <v>461.06028669645673</v>
      </c>
      <c r="AB450" s="6">
        <f>$K$450*$V$450</f>
        <v>0</v>
      </c>
      <c r="AC450" s="6">
        <f>$M$450*$W$450</f>
        <v>600.24824999999998</v>
      </c>
      <c r="AD450" s="6">
        <f>$O$450*$X$450</f>
        <v>153.76724999999999</v>
      </c>
      <c r="AE450" s="6">
        <f>$K$450*$Y$450</f>
        <v>0</v>
      </c>
      <c r="AF450" s="6">
        <f ca="1">$M$450*$Z$450</f>
        <v>740.5842873108254</v>
      </c>
      <c r="AG450" s="6">
        <f>$O$450*$AA$450</f>
        <v>145.23399030938387</v>
      </c>
    </row>
    <row r="451" spans="1:33" ht="11.25" hidden="1" customHeight="1" x14ac:dyDescent="0.3">
      <c r="A451" s="4" t="s">
        <v>21</v>
      </c>
      <c r="B451" s="4" t="s">
        <v>32</v>
      </c>
      <c r="C451" s="4" t="s">
        <v>38</v>
      </c>
      <c r="D451" s="4" t="s">
        <v>40</v>
      </c>
      <c r="E451" s="4" t="s">
        <v>25</v>
      </c>
      <c r="F451" s="4" t="s">
        <v>25</v>
      </c>
      <c r="G451" s="4" t="s">
        <v>25</v>
      </c>
      <c r="H451" s="4" t="s">
        <v>36</v>
      </c>
      <c r="I451" s="5">
        <v>44470</v>
      </c>
      <c r="J451" s="6">
        <v>0</v>
      </c>
      <c r="K451" s="6">
        <v>0</v>
      </c>
      <c r="L451" s="6">
        <v>0.311</v>
      </c>
      <c r="M451" s="6">
        <v>0.311</v>
      </c>
      <c r="N451" s="6">
        <v>0.311</v>
      </c>
      <c r="O451" s="6">
        <v>0.311</v>
      </c>
      <c r="P451" s="6">
        <v>0</v>
      </c>
      <c r="Q451" s="4" t="s">
        <v>26</v>
      </c>
      <c r="R451" s="4">
        <v>0</v>
      </c>
      <c r="S451" s="6">
        <v>0</v>
      </c>
      <c r="T451" s="6">
        <v>74</v>
      </c>
      <c r="U451" s="6">
        <v>47</v>
      </c>
      <c r="V451" s="6">
        <f>IF(ISERROR(VLOOKUP($S$451,'TAR FIN'!$A$1:$O$92,15,0)),0,VLOOKUP($S$451,'TAR FIN'!$A$1:$O$92,15,0))</f>
        <v>0</v>
      </c>
      <c r="W451" s="6">
        <f>IF(ISERROR(VLOOKUP($T$451,'TAR FIN'!$A$1:$O$92,15,0)),0,VLOOKUP($T$451,'TAR FIN'!$A$1:$O$92,15,0))</f>
        <v>1905.55</v>
      </c>
      <c r="X451" s="6">
        <f>IF(ISERROR(VLOOKUP($U$451,'TAR FIN'!$A$1:$O$92,15,0)),0,VLOOKUP($U$451,'TAR FIN'!$A$1:$O$92,15,0))</f>
        <v>488.15</v>
      </c>
      <c r="Y451" s="6"/>
      <c r="Z451" s="6">
        <f ca="1">('TUSD BE'!$AM$49+'TUSD BF'!$AM$49+'TUSD CVA'!$AM$49)*1</f>
        <v>2351.0612295581759</v>
      </c>
      <c r="AA451" s="6">
        <f>('TE BE'!$AB$37+'TE BF'!$AB$37+'TE CVA'!$AB$37)*1</f>
        <v>461.06028669645673</v>
      </c>
      <c r="AB451" s="6">
        <f>$K$451*$V$451</f>
        <v>0</v>
      </c>
      <c r="AC451" s="6">
        <f>$M$451*$W$451</f>
        <v>592.62604999999996</v>
      </c>
      <c r="AD451" s="6">
        <f>$O$451*$X$451</f>
        <v>151.81465</v>
      </c>
      <c r="AE451" s="6">
        <f>$K$451*$Y$451</f>
        <v>0</v>
      </c>
      <c r="AF451" s="6">
        <f ca="1">$M$451*$Z$451</f>
        <v>731.18004239259267</v>
      </c>
      <c r="AG451" s="6">
        <f>$O$451*$AA$451</f>
        <v>143.38974916259804</v>
      </c>
    </row>
    <row r="452" spans="1:33" ht="11.25" hidden="1" customHeight="1" x14ac:dyDescent="0.3">
      <c r="A452" s="4" t="s">
        <v>21</v>
      </c>
      <c r="B452" s="4" t="s">
        <v>32</v>
      </c>
      <c r="C452" s="4" t="s">
        <v>38</v>
      </c>
      <c r="D452" s="4" t="s">
        <v>40</v>
      </c>
      <c r="E452" s="4" t="s">
        <v>25</v>
      </c>
      <c r="F452" s="4" t="s">
        <v>25</v>
      </c>
      <c r="G452" s="4" t="s">
        <v>25</v>
      </c>
      <c r="H452" s="4" t="s">
        <v>36</v>
      </c>
      <c r="I452" s="5">
        <v>44501</v>
      </c>
      <c r="J452" s="6">
        <v>0</v>
      </c>
      <c r="K452" s="6">
        <v>0</v>
      </c>
      <c r="L452" s="6">
        <v>0.29399999999999998</v>
      </c>
      <c r="M452" s="6">
        <v>0.29399999999999998</v>
      </c>
      <c r="N452" s="6">
        <v>0.29399999999999998</v>
      </c>
      <c r="O452" s="6">
        <v>0.29399999999999998</v>
      </c>
      <c r="P452" s="6">
        <v>0</v>
      </c>
      <c r="Q452" s="4" t="s">
        <v>26</v>
      </c>
      <c r="R452" s="4">
        <v>0</v>
      </c>
      <c r="S452" s="6">
        <v>0</v>
      </c>
      <c r="T452" s="6">
        <v>74</v>
      </c>
      <c r="U452" s="6">
        <v>47</v>
      </c>
      <c r="V452" s="6">
        <f>IF(ISERROR(VLOOKUP($S$452,'TAR FIN'!$A$1:$O$92,15,0)),0,VLOOKUP($S$452,'TAR FIN'!$A$1:$O$92,15,0))</f>
        <v>0</v>
      </c>
      <c r="W452" s="6">
        <f>IF(ISERROR(VLOOKUP($T$452,'TAR FIN'!$A$1:$O$92,15,0)),0,VLOOKUP($T$452,'TAR FIN'!$A$1:$O$92,15,0))</f>
        <v>1905.55</v>
      </c>
      <c r="X452" s="6">
        <f>IF(ISERROR(VLOOKUP($U$452,'TAR FIN'!$A$1:$O$92,15,0)),0,VLOOKUP($U$452,'TAR FIN'!$A$1:$O$92,15,0))</f>
        <v>488.15</v>
      </c>
      <c r="Y452" s="6"/>
      <c r="Z452" s="6">
        <f ca="1">('TUSD BE'!$AM$49+'TUSD BF'!$AM$49+'TUSD CVA'!$AM$49)*1</f>
        <v>2351.0612295581759</v>
      </c>
      <c r="AA452" s="6">
        <f>('TE BE'!$AB$37+'TE BF'!$AB$37+'TE CVA'!$AB$37)*1</f>
        <v>461.06028669645673</v>
      </c>
      <c r="AB452" s="6">
        <f>$K$452*$V$452</f>
        <v>0</v>
      </c>
      <c r="AC452" s="6">
        <f>$M$452*$W$452</f>
        <v>560.23169999999993</v>
      </c>
      <c r="AD452" s="6">
        <f>$O$452*$X$452</f>
        <v>143.51609999999999</v>
      </c>
      <c r="AE452" s="6">
        <f>$K$452*$Y$452</f>
        <v>0</v>
      </c>
      <c r="AF452" s="6">
        <f ca="1">$M$452*$Z$452</f>
        <v>691.21200149010372</v>
      </c>
      <c r="AG452" s="6">
        <f>$O$452*$AA$452</f>
        <v>135.55172428875827</v>
      </c>
    </row>
    <row r="453" spans="1:33" ht="11.25" hidden="1" customHeight="1" x14ac:dyDescent="0.3">
      <c r="A453" s="4" t="s">
        <v>21</v>
      </c>
      <c r="B453" s="4" t="s">
        <v>32</v>
      </c>
      <c r="C453" s="4" t="s">
        <v>38</v>
      </c>
      <c r="D453" s="4" t="s">
        <v>40</v>
      </c>
      <c r="E453" s="4" t="s">
        <v>25</v>
      </c>
      <c r="F453" s="4" t="s">
        <v>25</v>
      </c>
      <c r="G453" s="4" t="s">
        <v>25</v>
      </c>
      <c r="H453" s="4" t="s">
        <v>36</v>
      </c>
      <c r="I453" s="5">
        <v>44531</v>
      </c>
      <c r="J453" s="6">
        <v>0</v>
      </c>
      <c r="K453" s="6">
        <v>0</v>
      </c>
      <c r="L453" s="6">
        <v>0.27800000000000002</v>
      </c>
      <c r="M453" s="6">
        <v>0.27800000000000002</v>
      </c>
      <c r="N453" s="6">
        <v>0.27800000000000002</v>
      </c>
      <c r="O453" s="6">
        <v>0.27800000000000002</v>
      </c>
      <c r="P453" s="6">
        <v>0</v>
      </c>
      <c r="Q453" s="4" t="s">
        <v>26</v>
      </c>
      <c r="R453" s="4">
        <v>0</v>
      </c>
      <c r="S453" s="6">
        <v>0</v>
      </c>
      <c r="T453" s="6">
        <v>74</v>
      </c>
      <c r="U453" s="6">
        <v>47</v>
      </c>
      <c r="V453" s="6">
        <f>IF(ISERROR(VLOOKUP($S$453,'TAR FIN'!$A$1:$O$92,15,0)),0,VLOOKUP($S$453,'TAR FIN'!$A$1:$O$92,15,0))</f>
        <v>0</v>
      </c>
      <c r="W453" s="6">
        <f>IF(ISERROR(VLOOKUP($T$453,'TAR FIN'!$A$1:$O$92,15,0)),0,VLOOKUP($T$453,'TAR FIN'!$A$1:$O$92,15,0))</f>
        <v>1905.55</v>
      </c>
      <c r="X453" s="6">
        <f>IF(ISERROR(VLOOKUP($U$453,'TAR FIN'!$A$1:$O$92,15,0)),0,VLOOKUP($U$453,'TAR FIN'!$A$1:$O$92,15,0))</f>
        <v>488.15</v>
      </c>
      <c r="Y453" s="6"/>
      <c r="Z453" s="6">
        <f ca="1">('TUSD BE'!$AM$49+'TUSD BF'!$AM$49+'TUSD CVA'!$AM$49)*1</f>
        <v>2351.0612295581759</v>
      </c>
      <c r="AA453" s="6">
        <f>('TE BE'!$AB$37+'TE BF'!$AB$37+'TE CVA'!$AB$37)*1</f>
        <v>461.06028669645673</v>
      </c>
      <c r="AB453" s="6">
        <f>$K$453*$V$453</f>
        <v>0</v>
      </c>
      <c r="AC453" s="6">
        <f>$M$453*$W$453</f>
        <v>529.74290000000008</v>
      </c>
      <c r="AD453" s="6">
        <f>$O$453*$X$453</f>
        <v>135.70570000000001</v>
      </c>
      <c r="AE453" s="6">
        <f>$K$453*$Y$453</f>
        <v>0</v>
      </c>
      <c r="AF453" s="6">
        <f ca="1">$M$453*$Z$453</f>
        <v>653.59502181717301</v>
      </c>
      <c r="AG453" s="6">
        <f>$O$453*$AA$453</f>
        <v>128.17475970161499</v>
      </c>
    </row>
    <row r="454" spans="1:33" ht="11.25" hidden="1" customHeight="1" x14ac:dyDescent="0.3">
      <c r="A454" s="4" t="s">
        <v>21</v>
      </c>
      <c r="B454" s="4" t="s">
        <v>32</v>
      </c>
      <c r="C454" s="4" t="s">
        <v>38</v>
      </c>
      <c r="D454" s="4" t="s">
        <v>40</v>
      </c>
      <c r="E454" s="4" t="s">
        <v>25</v>
      </c>
      <c r="F454" s="4" t="s">
        <v>25</v>
      </c>
      <c r="G454" s="4" t="s">
        <v>25</v>
      </c>
      <c r="H454" s="4" t="s">
        <v>36</v>
      </c>
      <c r="I454" s="5">
        <v>44562</v>
      </c>
      <c r="J454" s="6">
        <v>0</v>
      </c>
      <c r="K454" s="6">
        <v>0</v>
      </c>
      <c r="L454" s="6">
        <v>0.40500000000000003</v>
      </c>
      <c r="M454" s="6">
        <v>0.40500000000000003</v>
      </c>
      <c r="N454" s="6">
        <v>0.40500000000000003</v>
      </c>
      <c r="O454" s="6">
        <v>0.40500000000000003</v>
      </c>
      <c r="P454" s="6">
        <v>0</v>
      </c>
      <c r="Q454" s="4" t="s">
        <v>26</v>
      </c>
      <c r="R454" s="4">
        <v>0</v>
      </c>
      <c r="S454" s="6">
        <v>0</v>
      </c>
      <c r="T454" s="6">
        <v>74</v>
      </c>
      <c r="U454" s="6">
        <v>47</v>
      </c>
      <c r="V454" s="6">
        <f>IF(ISERROR(VLOOKUP($S$454,'TAR FIN'!$A$1:$O$92,15,0)),0,VLOOKUP($S$454,'TAR FIN'!$A$1:$O$92,15,0))</f>
        <v>0</v>
      </c>
      <c r="W454" s="6">
        <f>IF(ISERROR(VLOOKUP($T$454,'TAR FIN'!$A$1:$O$92,15,0)),0,VLOOKUP($T$454,'TAR FIN'!$A$1:$O$92,15,0))</f>
        <v>1905.55</v>
      </c>
      <c r="X454" s="6">
        <f>IF(ISERROR(VLOOKUP($U$454,'TAR FIN'!$A$1:$O$92,15,0)),0,VLOOKUP($U$454,'TAR FIN'!$A$1:$O$92,15,0))</f>
        <v>488.15</v>
      </c>
      <c r="Y454" s="6"/>
      <c r="Z454" s="6">
        <f ca="1">('TUSD BE'!$AM$49+'TUSD BF'!$AM$49+'TUSD CVA'!$AM$49)*1</f>
        <v>2351.0612295581759</v>
      </c>
      <c r="AA454" s="6">
        <f>('TE BE'!$AB$37+'TE BF'!$AB$37+'TE CVA'!$AB$37)*1</f>
        <v>461.06028669645673</v>
      </c>
      <c r="AB454" s="6">
        <f>$K$454*$V$454</f>
        <v>0</v>
      </c>
      <c r="AC454" s="6">
        <f>$M$454*$W$454</f>
        <v>771.74775</v>
      </c>
      <c r="AD454" s="6">
        <f>$O$454*$X$454</f>
        <v>197.70075</v>
      </c>
      <c r="AE454" s="6">
        <f>$K$454*$Y$454</f>
        <v>0</v>
      </c>
      <c r="AF454" s="6">
        <f ca="1">$M$454*$Z$454</f>
        <v>952.17979797106136</v>
      </c>
      <c r="AG454" s="6">
        <f>$O$454*$AA$454</f>
        <v>186.729416112065</v>
      </c>
    </row>
    <row r="455" spans="1:33" ht="11.25" hidden="1" customHeight="1" x14ac:dyDescent="0.3">
      <c r="A455" s="4" t="s">
        <v>21</v>
      </c>
      <c r="B455" s="4" t="s">
        <v>32</v>
      </c>
      <c r="C455" s="4" t="s">
        <v>38</v>
      </c>
      <c r="D455" s="4" t="s">
        <v>40</v>
      </c>
      <c r="E455" s="4" t="s">
        <v>25</v>
      </c>
      <c r="F455" s="4" t="s">
        <v>25</v>
      </c>
      <c r="G455" s="4" t="s">
        <v>25</v>
      </c>
      <c r="H455" s="4" t="s">
        <v>36</v>
      </c>
      <c r="I455" s="5">
        <v>44593</v>
      </c>
      <c r="J455" s="6">
        <v>0</v>
      </c>
      <c r="K455" s="6">
        <v>0</v>
      </c>
      <c r="L455" s="6">
        <v>0.36899999999999999</v>
      </c>
      <c r="M455" s="6">
        <v>0.36899999999999999</v>
      </c>
      <c r="N455" s="6">
        <v>0.36899999999999999</v>
      </c>
      <c r="O455" s="6">
        <v>0.36899999999999999</v>
      </c>
      <c r="P455" s="6">
        <v>0</v>
      </c>
      <c r="Q455" s="4" t="s">
        <v>26</v>
      </c>
      <c r="R455" s="4">
        <v>0</v>
      </c>
      <c r="S455" s="6">
        <v>0</v>
      </c>
      <c r="T455" s="6">
        <v>74</v>
      </c>
      <c r="U455" s="6">
        <v>47</v>
      </c>
      <c r="V455" s="6">
        <f>IF(ISERROR(VLOOKUP($S$455,'TAR FIN'!$A$1:$O$92,15,0)),0,VLOOKUP($S$455,'TAR FIN'!$A$1:$O$92,15,0))</f>
        <v>0</v>
      </c>
      <c r="W455" s="6">
        <f>IF(ISERROR(VLOOKUP($T$455,'TAR FIN'!$A$1:$O$92,15,0)),0,VLOOKUP($T$455,'TAR FIN'!$A$1:$O$92,15,0))</f>
        <v>1905.55</v>
      </c>
      <c r="X455" s="6">
        <f>IF(ISERROR(VLOOKUP($U$455,'TAR FIN'!$A$1:$O$92,15,0)),0,VLOOKUP($U$455,'TAR FIN'!$A$1:$O$92,15,0))</f>
        <v>488.15</v>
      </c>
      <c r="Y455" s="6"/>
      <c r="Z455" s="6">
        <f ca="1">('TUSD BE'!$AM$49+'TUSD BF'!$AM$49+'TUSD CVA'!$AM$49)*1</f>
        <v>2351.0612295581759</v>
      </c>
      <c r="AA455" s="6">
        <f>('TE BE'!$AB$37+'TE BF'!$AB$37+'TE CVA'!$AB$37)*1</f>
        <v>461.06028669645673</v>
      </c>
      <c r="AB455" s="6">
        <f>$K$455*$V$455</f>
        <v>0</v>
      </c>
      <c r="AC455" s="6">
        <f>$M$455*$W$455</f>
        <v>703.14794999999992</v>
      </c>
      <c r="AD455" s="6">
        <f>$O$455*$X$455</f>
        <v>180.12734999999998</v>
      </c>
      <c r="AE455" s="6">
        <f>$K$455*$Y$455</f>
        <v>0</v>
      </c>
      <c r="AF455" s="6">
        <f ca="1">$M$455*$Z$455</f>
        <v>867.54159370696686</v>
      </c>
      <c r="AG455" s="6">
        <f>$O$455*$AA$455</f>
        <v>170.13124579099252</v>
      </c>
    </row>
    <row r="456" spans="1:33" ht="11.25" hidden="1" customHeight="1" x14ac:dyDescent="0.3">
      <c r="A456" s="4" t="s">
        <v>21</v>
      </c>
      <c r="B456" s="4" t="s">
        <v>32</v>
      </c>
      <c r="C456" s="4" t="s">
        <v>38</v>
      </c>
      <c r="D456" s="4" t="s">
        <v>40</v>
      </c>
      <c r="E456" s="4" t="s">
        <v>25</v>
      </c>
      <c r="F456" s="4" t="s">
        <v>25</v>
      </c>
      <c r="G456" s="4" t="s">
        <v>25</v>
      </c>
      <c r="H456" s="4" t="s">
        <v>36</v>
      </c>
      <c r="I456" s="5">
        <v>44621</v>
      </c>
      <c r="J456" s="6">
        <v>0</v>
      </c>
      <c r="K456" s="6">
        <v>0</v>
      </c>
      <c r="L456" s="6">
        <v>0.29699999999999999</v>
      </c>
      <c r="M456" s="6">
        <v>0.29699999999999999</v>
      </c>
      <c r="N456" s="6">
        <v>0.29699999999999999</v>
      </c>
      <c r="O456" s="6">
        <v>0.29699999999999999</v>
      </c>
      <c r="P456" s="6">
        <v>0</v>
      </c>
      <c r="Q456" s="4" t="s">
        <v>26</v>
      </c>
      <c r="R456" s="4">
        <v>0</v>
      </c>
      <c r="S456" s="6">
        <v>0</v>
      </c>
      <c r="T456" s="6">
        <v>74</v>
      </c>
      <c r="U456" s="6">
        <v>47</v>
      </c>
      <c r="V456" s="6">
        <f>IF(ISERROR(VLOOKUP($S$456,'TAR FIN'!$A$1:$O$92,15,0)),0,VLOOKUP($S$456,'TAR FIN'!$A$1:$O$92,15,0))</f>
        <v>0</v>
      </c>
      <c r="W456" s="6">
        <f>IF(ISERROR(VLOOKUP($T$456,'TAR FIN'!$A$1:$O$92,15,0)),0,VLOOKUP($T$456,'TAR FIN'!$A$1:$O$92,15,0))</f>
        <v>1905.55</v>
      </c>
      <c r="X456" s="6">
        <f>IF(ISERROR(VLOOKUP($U$456,'TAR FIN'!$A$1:$O$92,15,0)),0,VLOOKUP($U$456,'TAR FIN'!$A$1:$O$92,15,0))</f>
        <v>488.15</v>
      </c>
      <c r="Y456" s="6"/>
      <c r="Z456" s="6">
        <f ca="1">('TUSD BE'!$AM$49+'TUSD BF'!$AM$49+'TUSD CVA'!$AM$49)*1</f>
        <v>2351.0612295581759</v>
      </c>
      <c r="AA456" s="6">
        <f>('TE BE'!$AB$37+'TE BF'!$AB$37+'TE CVA'!$AB$37)*1</f>
        <v>461.06028669645673</v>
      </c>
      <c r="AB456" s="6">
        <f>$K$456*$V$456</f>
        <v>0</v>
      </c>
      <c r="AC456" s="6">
        <f>$M$456*$W$456</f>
        <v>565.94835</v>
      </c>
      <c r="AD456" s="6">
        <f>$O$456*$X$456</f>
        <v>144.98054999999999</v>
      </c>
      <c r="AE456" s="6">
        <f>$K$456*$Y$456</f>
        <v>0</v>
      </c>
      <c r="AF456" s="6">
        <f ca="1">$M$456*$Z$456</f>
        <v>698.26518517877821</v>
      </c>
      <c r="AG456" s="6">
        <f>$O$456*$AA$456</f>
        <v>136.93490514884763</v>
      </c>
    </row>
    <row r="457" spans="1:33" ht="11.25" hidden="1" customHeight="1" x14ac:dyDescent="0.3">
      <c r="A457" s="4" t="s">
        <v>21</v>
      </c>
      <c r="B457" s="4" t="s">
        <v>32</v>
      </c>
      <c r="C457" s="4" t="s">
        <v>38</v>
      </c>
      <c r="D457" s="4" t="s">
        <v>40</v>
      </c>
      <c r="E457" s="4" t="s">
        <v>25</v>
      </c>
      <c r="F457" s="4" t="s">
        <v>25</v>
      </c>
      <c r="G457" s="4" t="s">
        <v>25</v>
      </c>
      <c r="H457" s="4" t="s">
        <v>36</v>
      </c>
      <c r="I457" s="5">
        <v>44652</v>
      </c>
      <c r="J457" s="6">
        <v>0</v>
      </c>
      <c r="K457" s="6">
        <v>0</v>
      </c>
      <c r="L457" s="6">
        <v>0.32100000000000001</v>
      </c>
      <c r="M457" s="6">
        <v>0.32100000000000001</v>
      </c>
      <c r="N457" s="6">
        <v>0.32100000000000001</v>
      </c>
      <c r="O457" s="6">
        <v>0.32100000000000001</v>
      </c>
      <c r="P457" s="6">
        <v>0</v>
      </c>
      <c r="Q457" s="4" t="s">
        <v>26</v>
      </c>
      <c r="R457" s="4">
        <v>0</v>
      </c>
      <c r="S457" s="6">
        <v>0</v>
      </c>
      <c r="T457" s="6">
        <v>74</v>
      </c>
      <c r="U457" s="6">
        <v>47</v>
      </c>
      <c r="V457" s="6">
        <f>IF(ISERROR(VLOOKUP($S$457,'TAR FIN'!$A$1:$O$92,15,0)),0,VLOOKUP($S$457,'TAR FIN'!$A$1:$O$92,15,0))</f>
        <v>0</v>
      </c>
      <c r="W457" s="6">
        <f>IF(ISERROR(VLOOKUP($T$457,'TAR FIN'!$A$1:$O$92,15,0)),0,VLOOKUP($T$457,'TAR FIN'!$A$1:$O$92,15,0))</f>
        <v>1905.55</v>
      </c>
      <c r="X457" s="6">
        <f>IF(ISERROR(VLOOKUP($U$457,'TAR FIN'!$A$1:$O$92,15,0)),0,VLOOKUP($U$457,'TAR FIN'!$A$1:$O$92,15,0))</f>
        <v>488.15</v>
      </c>
      <c r="Y457" s="6"/>
      <c r="Z457" s="6">
        <f ca="1">('TUSD BE'!$AM$49+'TUSD BF'!$AM$49+'TUSD CVA'!$AM$49)*1</f>
        <v>2351.0612295581759</v>
      </c>
      <c r="AA457" s="6">
        <f>('TE BE'!$AB$37+'TE BF'!$AB$37+'TE CVA'!$AB$37)*1</f>
        <v>461.06028669645673</v>
      </c>
      <c r="AB457" s="6">
        <f>$K$457*$V$457</f>
        <v>0</v>
      </c>
      <c r="AC457" s="6">
        <f>$M$457*$W$457</f>
        <v>611.68155000000002</v>
      </c>
      <c r="AD457" s="6">
        <f>$O$457*$X$457</f>
        <v>156.69614999999999</v>
      </c>
      <c r="AE457" s="6">
        <f>$K$457*$Y$457</f>
        <v>0</v>
      </c>
      <c r="AF457" s="6">
        <f ca="1">$M$457*$Z$457</f>
        <v>754.6906546881745</v>
      </c>
      <c r="AG457" s="6">
        <f>$O$457*$AA$457</f>
        <v>148.00035202956261</v>
      </c>
    </row>
    <row r="458" spans="1:33" ht="11.25" hidden="1" customHeight="1" x14ac:dyDescent="0.3">
      <c r="A458" s="4" t="s">
        <v>21</v>
      </c>
      <c r="B458" s="4" t="s">
        <v>32</v>
      </c>
      <c r="C458" s="4" t="s">
        <v>38</v>
      </c>
      <c r="D458" s="4" t="s">
        <v>40</v>
      </c>
      <c r="E458" s="4" t="s">
        <v>25</v>
      </c>
      <c r="F458" s="4" t="s">
        <v>25</v>
      </c>
      <c r="G458" s="4" t="s">
        <v>25</v>
      </c>
      <c r="H458" s="4" t="s">
        <v>36</v>
      </c>
      <c r="I458" s="5">
        <v>44682</v>
      </c>
      <c r="J458" s="6">
        <v>0</v>
      </c>
      <c r="K458" s="6">
        <v>0</v>
      </c>
      <c r="L458" s="6">
        <v>0.35299999999999998</v>
      </c>
      <c r="M458" s="6">
        <v>0.35299999999999998</v>
      </c>
      <c r="N458" s="6">
        <v>0.35299999999999998</v>
      </c>
      <c r="O458" s="6">
        <v>0.35299999999999998</v>
      </c>
      <c r="P458" s="6">
        <v>0</v>
      </c>
      <c r="Q458" s="4" t="s">
        <v>26</v>
      </c>
      <c r="R458" s="4">
        <v>0</v>
      </c>
      <c r="S458" s="6">
        <v>0</v>
      </c>
      <c r="T458" s="6">
        <v>74</v>
      </c>
      <c r="U458" s="6">
        <v>47</v>
      </c>
      <c r="V458" s="6">
        <f>IF(ISERROR(VLOOKUP($S$458,'TAR FIN'!$A$1:$O$92,15,0)),0,VLOOKUP($S$458,'TAR FIN'!$A$1:$O$92,15,0))</f>
        <v>0</v>
      </c>
      <c r="W458" s="6">
        <f>IF(ISERROR(VLOOKUP($T$458,'TAR FIN'!$A$1:$O$92,15,0)),0,VLOOKUP($T$458,'TAR FIN'!$A$1:$O$92,15,0))</f>
        <v>1905.55</v>
      </c>
      <c r="X458" s="6">
        <f>IF(ISERROR(VLOOKUP($U$458,'TAR FIN'!$A$1:$O$92,15,0)),0,VLOOKUP($U$458,'TAR FIN'!$A$1:$O$92,15,0))</f>
        <v>488.15</v>
      </c>
      <c r="Y458" s="6"/>
      <c r="Z458" s="6">
        <f ca="1">('TUSD BE'!$AM$49+'TUSD BF'!$AM$49+'TUSD CVA'!$AM$49)*1</f>
        <v>2351.0612295581759</v>
      </c>
      <c r="AA458" s="6">
        <f>('TE BE'!$AB$37+'TE BF'!$AB$37+'TE CVA'!$AB$37)*1</f>
        <v>461.06028669645673</v>
      </c>
      <c r="AB458" s="6">
        <f>$K$458*$V$458</f>
        <v>0</v>
      </c>
      <c r="AC458" s="6">
        <f>$M$458*$W$458</f>
        <v>672.65914999999995</v>
      </c>
      <c r="AD458" s="6">
        <f>$O$458*$X$458</f>
        <v>172.31694999999999</v>
      </c>
      <c r="AE458" s="6">
        <f>$K$458*$Y$458</f>
        <v>0</v>
      </c>
      <c r="AF458" s="6">
        <f ca="1">$M$458*$Z$458</f>
        <v>829.92461403403604</v>
      </c>
      <c r="AG458" s="6">
        <f>$O$458*$AA$458</f>
        <v>162.75428120384922</v>
      </c>
    </row>
    <row r="459" spans="1:33" ht="11.25" hidden="1" customHeight="1" x14ac:dyDescent="0.3">
      <c r="A459" s="4" t="s">
        <v>21</v>
      </c>
      <c r="B459" s="4" t="s">
        <v>32</v>
      </c>
      <c r="C459" s="4" t="s">
        <v>38</v>
      </c>
      <c r="D459" s="4" t="s">
        <v>40</v>
      </c>
      <c r="E459" s="4" t="s">
        <v>25</v>
      </c>
      <c r="F459" s="4" t="s">
        <v>25</v>
      </c>
      <c r="G459" s="4" t="s">
        <v>25</v>
      </c>
      <c r="H459" s="4" t="s">
        <v>36</v>
      </c>
      <c r="I459" s="5">
        <v>44713</v>
      </c>
      <c r="J459" s="6">
        <v>0</v>
      </c>
      <c r="K459" s="6">
        <v>0</v>
      </c>
      <c r="L459" s="6">
        <v>0.36399999999999999</v>
      </c>
      <c r="M459" s="6">
        <v>0.36399999999999999</v>
      </c>
      <c r="N459" s="6">
        <v>0.36399999999999999</v>
      </c>
      <c r="O459" s="6">
        <v>0.36399999999999999</v>
      </c>
      <c r="P459" s="6">
        <v>0</v>
      </c>
      <c r="Q459" s="4" t="s">
        <v>26</v>
      </c>
      <c r="R459" s="4">
        <v>0</v>
      </c>
      <c r="S459" s="6">
        <v>0</v>
      </c>
      <c r="T459" s="6">
        <v>74</v>
      </c>
      <c r="U459" s="6">
        <v>47</v>
      </c>
      <c r="V459" s="6">
        <f>IF(ISERROR(VLOOKUP($S$459,'TAR FIN'!$A$1:$O$92,15,0)),0,VLOOKUP($S$459,'TAR FIN'!$A$1:$O$92,15,0))</f>
        <v>0</v>
      </c>
      <c r="W459" s="6">
        <f>IF(ISERROR(VLOOKUP($T$459,'TAR FIN'!$A$1:$O$92,15,0)),0,VLOOKUP($T$459,'TAR FIN'!$A$1:$O$92,15,0))</f>
        <v>1905.55</v>
      </c>
      <c r="X459" s="6">
        <f>IF(ISERROR(VLOOKUP($U$459,'TAR FIN'!$A$1:$O$92,15,0)),0,VLOOKUP($U$459,'TAR FIN'!$A$1:$O$92,15,0))</f>
        <v>488.15</v>
      </c>
      <c r="Y459" s="6"/>
      <c r="Z459" s="6">
        <f ca="1">('TUSD BE'!$AM$49+'TUSD BF'!$AM$49+'TUSD CVA'!$AM$49)*1</f>
        <v>2351.0612295581759</v>
      </c>
      <c r="AA459" s="6">
        <f>('TE BE'!$AB$37+'TE BF'!$AB$37+'TE CVA'!$AB$37)*1</f>
        <v>461.06028669645673</v>
      </c>
      <c r="AB459" s="6">
        <f>$K$459*$V$459</f>
        <v>0</v>
      </c>
      <c r="AC459" s="6">
        <f>$M$459*$W$459</f>
        <v>693.62019999999995</v>
      </c>
      <c r="AD459" s="6">
        <f>$O$459*$X$459</f>
        <v>177.6866</v>
      </c>
      <c r="AE459" s="6">
        <f>$K$459*$Y$459</f>
        <v>0</v>
      </c>
      <c r="AF459" s="6">
        <f ca="1">$M$459*$Z$459</f>
        <v>855.786287559176</v>
      </c>
      <c r="AG459" s="6">
        <f>$O$459*$AA$459</f>
        <v>167.82594435751025</v>
      </c>
    </row>
    <row r="460" spans="1:33" ht="11.25" hidden="1" customHeight="1" x14ac:dyDescent="0.3">
      <c r="A460" s="4" t="s">
        <v>21</v>
      </c>
      <c r="B460" s="4" t="s">
        <v>32</v>
      </c>
      <c r="C460" s="4" t="s">
        <v>38</v>
      </c>
      <c r="D460" s="4" t="s">
        <v>40</v>
      </c>
      <c r="E460" s="4" t="s">
        <v>25</v>
      </c>
      <c r="F460" s="4" t="s">
        <v>25</v>
      </c>
      <c r="G460" s="4" t="s">
        <v>25</v>
      </c>
      <c r="H460" s="4" t="s">
        <v>36</v>
      </c>
      <c r="I460" s="5">
        <v>44743</v>
      </c>
      <c r="J460" s="6">
        <v>0</v>
      </c>
      <c r="K460" s="6">
        <v>0</v>
      </c>
      <c r="L460" s="6">
        <v>0.34799999999999998</v>
      </c>
      <c r="M460" s="6">
        <v>0.34799999999999998</v>
      </c>
      <c r="N460" s="6">
        <v>0.34799999999999998</v>
      </c>
      <c r="O460" s="6">
        <v>0.34799999999999998</v>
      </c>
      <c r="P460" s="6">
        <v>0</v>
      </c>
      <c r="Q460" s="4" t="s">
        <v>26</v>
      </c>
      <c r="R460" s="4">
        <v>0</v>
      </c>
      <c r="S460" s="6">
        <v>0</v>
      </c>
      <c r="T460" s="6">
        <v>74</v>
      </c>
      <c r="U460" s="6">
        <v>47</v>
      </c>
      <c r="V460" s="6">
        <f>IF(ISERROR(VLOOKUP($S$460,'TAR FIN'!$A$1:$O$92,15,0)),0,VLOOKUP($S$460,'TAR FIN'!$A$1:$O$92,15,0))</f>
        <v>0</v>
      </c>
      <c r="W460" s="6">
        <f>IF(ISERROR(VLOOKUP($T$460,'TAR FIN'!$A$1:$O$92,15,0)),0,VLOOKUP($T$460,'TAR FIN'!$A$1:$O$92,15,0))</f>
        <v>1905.55</v>
      </c>
      <c r="X460" s="6">
        <f>IF(ISERROR(VLOOKUP($U$460,'TAR FIN'!$A$1:$O$92,15,0)),0,VLOOKUP($U$460,'TAR FIN'!$A$1:$O$92,15,0))</f>
        <v>488.15</v>
      </c>
      <c r="Y460" s="6"/>
      <c r="Z460" s="6">
        <f ca="1">('TUSD BE'!$AM$49+'TUSD BF'!$AM$49+'TUSD CVA'!$AM$49)*1</f>
        <v>2351.0612295581759</v>
      </c>
      <c r="AA460" s="6">
        <f>('TE BE'!$AB$37+'TE BF'!$AB$37+'TE CVA'!$AB$37)*1</f>
        <v>461.06028669645673</v>
      </c>
      <c r="AB460" s="6">
        <f>$K$460*$V$460</f>
        <v>0</v>
      </c>
      <c r="AC460" s="6">
        <f>$M$460*$W$460</f>
        <v>663.13139999999999</v>
      </c>
      <c r="AD460" s="6">
        <f>$O$460*$X$460</f>
        <v>169.87619999999998</v>
      </c>
      <c r="AE460" s="6">
        <f>$K$460*$Y$460</f>
        <v>0</v>
      </c>
      <c r="AF460" s="6">
        <f ca="1">$M$460*$Z$460</f>
        <v>818.16930788624518</v>
      </c>
      <c r="AG460" s="6">
        <f>$O$460*$AA$460</f>
        <v>160.44897977036692</v>
      </c>
    </row>
    <row r="461" spans="1:33" ht="11.25" hidden="1" customHeight="1" x14ac:dyDescent="0.3">
      <c r="A461" s="4" t="s">
        <v>21</v>
      </c>
      <c r="B461" s="4" t="s">
        <v>32</v>
      </c>
      <c r="C461" s="4" t="s">
        <v>38</v>
      </c>
      <c r="D461" s="4" t="s">
        <v>33</v>
      </c>
      <c r="E461" s="4" t="s">
        <v>25</v>
      </c>
      <c r="F461" s="4" t="s">
        <v>25</v>
      </c>
      <c r="G461" s="4" t="s">
        <v>25</v>
      </c>
      <c r="H461" s="4" t="s">
        <v>37</v>
      </c>
      <c r="I461" s="5">
        <v>44409</v>
      </c>
      <c r="J461" s="6">
        <v>0</v>
      </c>
      <c r="K461" s="6">
        <v>0</v>
      </c>
      <c r="L461" s="6">
        <v>6.9989999999999997</v>
      </c>
      <c r="M461" s="6">
        <v>6.9989999999999997</v>
      </c>
      <c r="N461" s="6">
        <v>6.9989999999999997</v>
      </c>
      <c r="O461" s="6">
        <v>6.9989999999999997</v>
      </c>
      <c r="P461" s="6">
        <v>0</v>
      </c>
      <c r="Q461" s="4" t="s">
        <v>26</v>
      </c>
      <c r="R461" s="4">
        <v>0</v>
      </c>
      <c r="S461" s="6">
        <v>0</v>
      </c>
      <c r="T461" s="6">
        <v>76</v>
      </c>
      <c r="U461" s="6">
        <v>51</v>
      </c>
      <c r="V461" s="6">
        <f>IF(ISERROR(VLOOKUP($S$461,'TAR FIN'!$A$1:$O$92,15,0)),0,VLOOKUP($S$461,'TAR FIN'!$A$1:$O$92,15,0))</f>
        <v>0</v>
      </c>
      <c r="W461" s="6">
        <f>IF(ISERROR(VLOOKUP($T$461,'TAR FIN'!$A$1:$O$92,15,0)),0,VLOOKUP($T$461,'TAR FIN'!$A$1:$O$92,15,0))</f>
        <v>225.41</v>
      </c>
      <c r="X461" s="6">
        <f>IF(ISERROR(VLOOKUP($U$461,'TAR FIN'!$A$1:$O$92,15,0)),0,VLOOKUP($U$461,'TAR FIN'!$A$1:$O$92,15,0))</f>
        <v>286.76</v>
      </c>
      <c r="Y461" s="6"/>
      <c r="Z461" s="6">
        <f ca="1">('TUSD BE'!$AM$51+'TUSD BF'!$AM$51+'TUSD CVA'!$AM$51)*1</f>
        <v>330.13584689413364</v>
      </c>
      <c r="AA461" s="6">
        <f>('TE BE'!$AB$39+'TE BF'!$AB$39+'TE CVA'!$AB$39)*1</f>
        <v>271.35516669689775</v>
      </c>
      <c r="AB461" s="6">
        <f>$K$461*$V$461</f>
        <v>0</v>
      </c>
      <c r="AC461" s="6">
        <f>$M$461*$W$461</f>
        <v>1577.6445899999999</v>
      </c>
      <c r="AD461" s="6">
        <f>$O$461*$X$461</f>
        <v>2007.0332399999998</v>
      </c>
      <c r="AE461" s="6">
        <f>$K$461*$Y$461</f>
        <v>0</v>
      </c>
      <c r="AF461" s="6">
        <f ca="1">$M$461*$Z$461</f>
        <v>2310.6207924120413</v>
      </c>
      <c r="AG461" s="6">
        <f>$O$461*$AA$461</f>
        <v>1899.2148117115873</v>
      </c>
    </row>
    <row r="462" spans="1:33" ht="11.25" hidden="1" customHeight="1" x14ac:dyDescent="0.3">
      <c r="A462" s="4" t="s">
        <v>21</v>
      </c>
      <c r="B462" s="4" t="s">
        <v>32</v>
      </c>
      <c r="C462" s="4" t="s">
        <v>38</v>
      </c>
      <c r="D462" s="4" t="s">
        <v>33</v>
      </c>
      <c r="E462" s="4" t="s">
        <v>25</v>
      </c>
      <c r="F462" s="4" t="s">
        <v>25</v>
      </c>
      <c r="G462" s="4" t="s">
        <v>25</v>
      </c>
      <c r="H462" s="4" t="s">
        <v>37</v>
      </c>
      <c r="I462" s="5">
        <v>44440</v>
      </c>
      <c r="J462" s="6">
        <v>0</v>
      </c>
      <c r="K462" s="6">
        <v>0</v>
      </c>
      <c r="L462" s="6">
        <v>7.8239999999999998</v>
      </c>
      <c r="M462" s="6">
        <v>7.8239999999999998</v>
      </c>
      <c r="N462" s="6">
        <v>7.8239999999999998</v>
      </c>
      <c r="O462" s="6">
        <v>7.8239999999999998</v>
      </c>
      <c r="P462" s="6">
        <v>0</v>
      </c>
      <c r="Q462" s="4" t="s">
        <v>26</v>
      </c>
      <c r="R462" s="4">
        <v>0</v>
      </c>
      <c r="S462" s="6">
        <v>0</v>
      </c>
      <c r="T462" s="6">
        <v>76</v>
      </c>
      <c r="U462" s="6">
        <v>51</v>
      </c>
      <c r="V462" s="6">
        <f>IF(ISERROR(VLOOKUP($S$462,'TAR FIN'!$A$1:$O$92,15,0)),0,VLOOKUP($S$462,'TAR FIN'!$A$1:$O$92,15,0))</f>
        <v>0</v>
      </c>
      <c r="W462" s="6">
        <f>IF(ISERROR(VLOOKUP($T$462,'TAR FIN'!$A$1:$O$92,15,0)),0,VLOOKUP($T$462,'TAR FIN'!$A$1:$O$92,15,0))</f>
        <v>225.41</v>
      </c>
      <c r="X462" s="6">
        <f>IF(ISERROR(VLOOKUP($U$462,'TAR FIN'!$A$1:$O$92,15,0)),0,VLOOKUP($U$462,'TAR FIN'!$A$1:$O$92,15,0))</f>
        <v>286.76</v>
      </c>
      <c r="Y462" s="6"/>
      <c r="Z462" s="6">
        <f ca="1">('TUSD BE'!$AM$51+'TUSD BF'!$AM$51+'TUSD CVA'!$AM$51)*1</f>
        <v>330.13584689413364</v>
      </c>
      <c r="AA462" s="6">
        <f>('TE BE'!$AB$39+'TE BF'!$AB$39+'TE CVA'!$AB$39)*1</f>
        <v>271.35516669689775</v>
      </c>
      <c r="AB462" s="6">
        <f>$K$462*$V$462</f>
        <v>0</v>
      </c>
      <c r="AC462" s="6">
        <f>$M$462*$W$462</f>
        <v>1763.6078399999999</v>
      </c>
      <c r="AD462" s="6">
        <f>$O$462*$X$462</f>
        <v>2243.61024</v>
      </c>
      <c r="AE462" s="6">
        <f>$K$462*$Y$462</f>
        <v>0</v>
      </c>
      <c r="AF462" s="6">
        <f ca="1">$M$462*$Z$462</f>
        <v>2582.9828660997014</v>
      </c>
      <c r="AG462" s="6">
        <f>$O$462*$AA$462</f>
        <v>2123.0828242365278</v>
      </c>
    </row>
    <row r="463" spans="1:33" ht="11.25" hidden="1" customHeight="1" x14ac:dyDescent="0.3">
      <c r="A463" s="4" t="s">
        <v>21</v>
      </c>
      <c r="B463" s="4" t="s">
        <v>32</v>
      </c>
      <c r="C463" s="4" t="s">
        <v>38</v>
      </c>
      <c r="D463" s="4" t="s">
        <v>33</v>
      </c>
      <c r="E463" s="4" t="s">
        <v>25</v>
      </c>
      <c r="F463" s="4" t="s">
        <v>25</v>
      </c>
      <c r="G463" s="4" t="s">
        <v>25</v>
      </c>
      <c r="H463" s="4" t="s">
        <v>37</v>
      </c>
      <c r="I463" s="5">
        <v>44470</v>
      </c>
      <c r="J463" s="6">
        <v>0</v>
      </c>
      <c r="K463" s="6">
        <v>0</v>
      </c>
      <c r="L463" s="6">
        <v>8.3190000000000008</v>
      </c>
      <c r="M463" s="6">
        <v>8.3190000000000008</v>
      </c>
      <c r="N463" s="6">
        <v>8.3190000000000008</v>
      </c>
      <c r="O463" s="6">
        <v>8.3190000000000008</v>
      </c>
      <c r="P463" s="6">
        <v>0</v>
      </c>
      <c r="Q463" s="4" t="s">
        <v>26</v>
      </c>
      <c r="R463" s="4">
        <v>0</v>
      </c>
      <c r="S463" s="6">
        <v>0</v>
      </c>
      <c r="T463" s="6">
        <v>76</v>
      </c>
      <c r="U463" s="6">
        <v>51</v>
      </c>
      <c r="V463" s="6">
        <f>IF(ISERROR(VLOOKUP($S$463,'TAR FIN'!$A$1:$O$92,15,0)),0,VLOOKUP($S$463,'TAR FIN'!$A$1:$O$92,15,0))</f>
        <v>0</v>
      </c>
      <c r="W463" s="6">
        <f>IF(ISERROR(VLOOKUP($T$463,'TAR FIN'!$A$1:$O$92,15,0)),0,VLOOKUP($T$463,'TAR FIN'!$A$1:$O$92,15,0))</f>
        <v>225.41</v>
      </c>
      <c r="X463" s="6">
        <f>IF(ISERROR(VLOOKUP($U$463,'TAR FIN'!$A$1:$O$92,15,0)),0,VLOOKUP($U$463,'TAR FIN'!$A$1:$O$92,15,0))</f>
        <v>286.76</v>
      </c>
      <c r="Y463" s="6"/>
      <c r="Z463" s="6">
        <f ca="1">('TUSD BE'!$AM$51+'TUSD BF'!$AM$51+'TUSD CVA'!$AM$51)*1</f>
        <v>330.13584689413364</v>
      </c>
      <c r="AA463" s="6">
        <f>('TE BE'!$AB$39+'TE BF'!$AB$39+'TE CVA'!$AB$39)*1</f>
        <v>271.35516669689775</v>
      </c>
      <c r="AB463" s="6">
        <f>$K$463*$V$463</f>
        <v>0</v>
      </c>
      <c r="AC463" s="6">
        <f>$M$463*$W$463</f>
        <v>1875.1857900000002</v>
      </c>
      <c r="AD463" s="6">
        <f>$O$463*$X$463</f>
        <v>2385.5564400000003</v>
      </c>
      <c r="AE463" s="6">
        <f>$K$463*$Y$463</f>
        <v>0</v>
      </c>
      <c r="AF463" s="6">
        <f ca="1">$M$463*$Z$463</f>
        <v>2746.4001103122978</v>
      </c>
      <c r="AG463" s="6">
        <f>$O$463*$AA$463</f>
        <v>2257.4036317514929</v>
      </c>
    </row>
    <row r="464" spans="1:33" ht="11.25" hidden="1" customHeight="1" x14ac:dyDescent="0.3">
      <c r="A464" s="4" t="s">
        <v>21</v>
      </c>
      <c r="B464" s="4" t="s">
        <v>32</v>
      </c>
      <c r="C464" s="4" t="s">
        <v>38</v>
      </c>
      <c r="D464" s="4" t="s">
        <v>33</v>
      </c>
      <c r="E464" s="4" t="s">
        <v>25</v>
      </c>
      <c r="F464" s="4" t="s">
        <v>25</v>
      </c>
      <c r="G464" s="4" t="s">
        <v>25</v>
      </c>
      <c r="H464" s="4" t="s">
        <v>37</v>
      </c>
      <c r="I464" s="5">
        <v>44501</v>
      </c>
      <c r="J464" s="6">
        <v>0</v>
      </c>
      <c r="K464" s="6">
        <v>0</v>
      </c>
      <c r="L464" s="6">
        <v>7.0270000000000001</v>
      </c>
      <c r="M464" s="6">
        <v>7.0270000000000001</v>
      </c>
      <c r="N464" s="6">
        <v>7.0270000000000001</v>
      </c>
      <c r="O464" s="6">
        <v>7.0270000000000001</v>
      </c>
      <c r="P464" s="6">
        <v>0</v>
      </c>
      <c r="Q464" s="4" t="s">
        <v>26</v>
      </c>
      <c r="R464" s="4">
        <v>0</v>
      </c>
      <c r="S464" s="6">
        <v>0</v>
      </c>
      <c r="T464" s="6">
        <v>76</v>
      </c>
      <c r="U464" s="6">
        <v>51</v>
      </c>
      <c r="V464" s="6">
        <f>IF(ISERROR(VLOOKUP($S$464,'TAR FIN'!$A$1:$O$92,15,0)),0,VLOOKUP($S$464,'TAR FIN'!$A$1:$O$92,15,0))</f>
        <v>0</v>
      </c>
      <c r="W464" s="6">
        <f>IF(ISERROR(VLOOKUP($T$464,'TAR FIN'!$A$1:$O$92,15,0)),0,VLOOKUP($T$464,'TAR FIN'!$A$1:$O$92,15,0))</f>
        <v>225.41</v>
      </c>
      <c r="X464" s="6">
        <f>IF(ISERROR(VLOOKUP($U$464,'TAR FIN'!$A$1:$O$92,15,0)),0,VLOOKUP($U$464,'TAR FIN'!$A$1:$O$92,15,0))</f>
        <v>286.76</v>
      </c>
      <c r="Y464" s="6"/>
      <c r="Z464" s="6">
        <f ca="1">('TUSD BE'!$AM$51+'TUSD BF'!$AM$51+'TUSD CVA'!$AM$51)*1</f>
        <v>330.13584689413364</v>
      </c>
      <c r="AA464" s="6">
        <f>('TE BE'!$AB$39+'TE BF'!$AB$39+'TE CVA'!$AB$39)*1</f>
        <v>271.35516669689775</v>
      </c>
      <c r="AB464" s="6">
        <f>$K$464*$V$464</f>
        <v>0</v>
      </c>
      <c r="AC464" s="6">
        <f>$M$464*$W$464</f>
        <v>1583.95607</v>
      </c>
      <c r="AD464" s="6">
        <f>$O$464*$X$464</f>
        <v>2015.0625199999999</v>
      </c>
      <c r="AE464" s="6">
        <f>$K$464*$Y$464</f>
        <v>0</v>
      </c>
      <c r="AF464" s="6">
        <f ca="1">$M$464*$Z$464</f>
        <v>2319.8645961250772</v>
      </c>
      <c r="AG464" s="6">
        <f>$O$464*$AA$464</f>
        <v>1906.8127563791006</v>
      </c>
    </row>
    <row r="465" spans="1:33" ht="11.25" hidden="1" customHeight="1" x14ac:dyDescent="0.3">
      <c r="A465" s="4" t="s">
        <v>21</v>
      </c>
      <c r="B465" s="4" t="s">
        <v>32</v>
      </c>
      <c r="C465" s="4" t="s">
        <v>38</v>
      </c>
      <c r="D465" s="4" t="s">
        <v>33</v>
      </c>
      <c r="E465" s="4" t="s">
        <v>25</v>
      </c>
      <c r="F465" s="4" t="s">
        <v>25</v>
      </c>
      <c r="G465" s="4" t="s">
        <v>25</v>
      </c>
      <c r="H465" s="4" t="s">
        <v>37</v>
      </c>
      <c r="I465" s="5">
        <v>44531</v>
      </c>
      <c r="J465" s="6">
        <v>0</v>
      </c>
      <c r="K465" s="6">
        <v>0</v>
      </c>
      <c r="L465" s="6">
        <v>6.6589999999999998</v>
      </c>
      <c r="M465" s="6">
        <v>6.6589999999999998</v>
      </c>
      <c r="N465" s="6">
        <v>6.6589999999999998</v>
      </c>
      <c r="O465" s="6">
        <v>6.6589999999999998</v>
      </c>
      <c r="P465" s="6">
        <v>0</v>
      </c>
      <c r="Q465" s="4" t="s">
        <v>26</v>
      </c>
      <c r="R465" s="4">
        <v>0</v>
      </c>
      <c r="S465" s="6">
        <v>0</v>
      </c>
      <c r="T465" s="6">
        <v>76</v>
      </c>
      <c r="U465" s="6">
        <v>51</v>
      </c>
      <c r="V465" s="6">
        <f>IF(ISERROR(VLOOKUP($S$465,'TAR FIN'!$A$1:$O$92,15,0)),0,VLOOKUP($S$465,'TAR FIN'!$A$1:$O$92,15,0))</f>
        <v>0</v>
      </c>
      <c r="W465" s="6">
        <f>IF(ISERROR(VLOOKUP($T$465,'TAR FIN'!$A$1:$O$92,15,0)),0,VLOOKUP($T$465,'TAR FIN'!$A$1:$O$92,15,0))</f>
        <v>225.41</v>
      </c>
      <c r="X465" s="6">
        <f>IF(ISERROR(VLOOKUP($U$465,'TAR FIN'!$A$1:$O$92,15,0)),0,VLOOKUP($U$465,'TAR FIN'!$A$1:$O$92,15,0))</f>
        <v>286.76</v>
      </c>
      <c r="Y465" s="6"/>
      <c r="Z465" s="6">
        <f ca="1">('TUSD BE'!$AM$51+'TUSD BF'!$AM$51+'TUSD CVA'!$AM$51)*1</f>
        <v>330.13584689413364</v>
      </c>
      <c r="AA465" s="6">
        <f>('TE BE'!$AB$39+'TE BF'!$AB$39+'TE CVA'!$AB$39)*1</f>
        <v>271.35516669689775</v>
      </c>
      <c r="AB465" s="6">
        <f>$K$465*$V$465</f>
        <v>0</v>
      </c>
      <c r="AC465" s="6">
        <f>$M$465*$W$465</f>
        <v>1501.0051899999999</v>
      </c>
      <c r="AD465" s="6">
        <f>$O$465*$X$465</f>
        <v>1909.5348399999998</v>
      </c>
      <c r="AE465" s="6">
        <f>$K$465*$Y$465</f>
        <v>0</v>
      </c>
      <c r="AF465" s="6">
        <f ca="1">$M$465*$Z$465</f>
        <v>2198.3746044680356</v>
      </c>
      <c r="AG465" s="6">
        <f>$O$465*$AA$465</f>
        <v>1806.9540550346421</v>
      </c>
    </row>
    <row r="466" spans="1:33" ht="11.25" hidden="1" customHeight="1" x14ac:dyDescent="0.3">
      <c r="A466" s="4" t="s">
        <v>21</v>
      </c>
      <c r="B466" s="4" t="s">
        <v>32</v>
      </c>
      <c r="C466" s="4" t="s">
        <v>38</v>
      </c>
      <c r="D466" s="4" t="s">
        <v>33</v>
      </c>
      <c r="E466" s="4" t="s">
        <v>25</v>
      </c>
      <c r="F466" s="4" t="s">
        <v>25</v>
      </c>
      <c r="G466" s="4" t="s">
        <v>25</v>
      </c>
      <c r="H466" s="4" t="s">
        <v>37</v>
      </c>
      <c r="I466" s="5">
        <v>44562</v>
      </c>
      <c r="J466" s="6">
        <v>0</v>
      </c>
      <c r="K466" s="6">
        <v>0</v>
      </c>
      <c r="L466" s="6">
        <v>7.5110000000000001</v>
      </c>
      <c r="M466" s="6">
        <v>7.5110000000000001</v>
      </c>
      <c r="N466" s="6">
        <v>7.5110000000000001</v>
      </c>
      <c r="O466" s="6">
        <v>7.5110000000000001</v>
      </c>
      <c r="P466" s="6">
        <v>0</v>
      </c>
      <c r="Q466" s="4" t="s">
        <v>26</v>
      </c>
      <c r="R466" s="4">
        <v>0</v>
      </c>
      <c r="S466" s="6">
        <v>0</v>
      </c>
      <c r="T466" s="6">
        <v>76</v>
      </c>
      <c r="U466" s="6">
        <v>51</v>
      </c>
      <c r="V466" s="6">
        <f>IF(ISERROR(VLOOKUP($S$466,'TAR FIN'!$A$1:$O$92,15,0)),0,VLOOKUP($S$466,'TAR FIN'!$A$1:$O$92,15,0))</f>
        <v>0</v>
      </c>
      <c r="W466" s="6">
        <f>IF(ISERROR(VLOOKUP($T$466,'TAR FIN'!$A$1:$O$92,15,0)),0,VLOOKUP($T$466,'TAR FIN'!$A$1:$O$92,15,0))</f>
        <v>225.41</v>
      </c>
      <c r="X466" s="6">
        <f>IF(ISERROR(VLOOKUP($U$466,'TAR FIN'!$A$1:$O$92,15,0)),0,VLOOKUP($U$466,'TAR FIN'!$A$1:$O$92,15,0))</f>
        <v>286.76</v>
      </c>
      <c r="Y466" s="6"/>
      <c r="Z466" s="6">
        <f ca="1">('TUSD BE'!$AM$51+'TUSD BF'!$AM$51+'TUSD CVA'!$AM$51)*1</f>
        <v>330.13584689413364</v>
      </c>
      <c r="AA466" s="6">
        <f>('TE BE'!$AB$39+'TE BF'!$AB$39+'TE CVA'!$AB$39)*1</f>
        <v>271.35516669689775</v>
      </c>
      <c r="AB466" s="6">
        <f>$K$466*$V$466</f>
        <v>0</v>
      </c>
      <c r="AC466" s="6">
        <f>$M$466*$W$466</f>
        <v>1693.0545099999999</v>
      </c>
      <c r="AD466" s="6">
        <f>$O$466*$X$466</f>
        <v>2153.8543599999998</v>
      </c>
      <c r="AE466" s="6">
        <f>$K$466*$Y$466</f>
        <v>0</v>
      </c>
      <c r="AF466" s="6">
        <f ca="1">$M$466*$Z$466</f>
        <v>2479.6503460218378</v>
      </c>
      <c r="AG466" s="6">
        <f>$O$466*$AA$466</f>
        <v>2038.148657060399</v>
      </c>
    </row>
    <row r="467" spans="1:33" ht="11.25" hidden="1" customHeight="1" x14ac:dyDescent="0.3">
      <c r="A467" s="4" t="s">
        <v>21</v>
      </c>
      <c r="B467" s="4" t="s">
        <v>32</v>
      </c>
      <c r="C467" s="4" t="s">
        <v>38</v>
      </c>
      <c r="D467" s="4" t="s">
        <v>33</v>
      </c>
      <c r="E467" s="4" t="s">
        <v>25</v>
      </c>
      <c r="F467" s="4" t="s">
        <v>25</v>
      </c>
      <c r="G467" s="4" t="s">
        <v>25</v>
      </c>
      <c r="H467" s="4" t="s">
        <v>37</v>
      </c>
      <c r="I467" s="5">
        <v>44593</v>
      </c>
      <c r="J467" s="6">
        <v>0</v>
      </c>
      <c r="K467" s="6">
        <v>0</v>
      </c>
      <c r="L467" s="6">
        <v>8.2100000000000009</v>
      </c>
      <c r="M467" s="6">
        <v>8.2100000000000009</v>
      </c>
      <c r="N467" s="6">
        <v>8.2100000000000009</v>
      </c>
      <c r="O467" s="6">
        <v>8.2100000000000009</v>
      </c>
      <c r="P467" s="6">
        <v>0</v>
      </c>
      <c r="Q467" s="4" t="s">
        <v>26</v>
      </c>
      <c r="R467" s="4">
        <v>0</v>
      </c>
      <c r="S467" s="6">
        <v>0</v>
      </c>
      <c r="T467" s="6">
        <v>76</v>
      </c>
      <c r="U467" s="6">
        <v>51</v>
      </c>
      <c r="V467" s="6">
        <f>IF(ISERROR(VLOOKUP($S$467,'TAR FIN'!$A$1:$O$92,15,0)),0,VLOOKUP($S$467,'TAR FIN'!$A$1:$O$92,15,0))</f>
        <v>0</v>
      </c>
      <c r="W467" s="6">
        <f>IF(ISERROR(VLOOKUP($T$467,'TAR FIN'!$A$1:$O$92,15,0)),0,VLOOKUP($T$467,'TAR FIN'!$A$1:$O$92,15,0))</f>
        <v>225.41</v>
      </c>
      <c r="X467" s="6">
        <f>IF(ISERROR(VLOOKUP($U$467,'TAR FIN'!$A$1:$O$92,15,0)),0,VLOOKUP($U$467,'TAR FIN'!$A$1:$O$92,15,0))</f>
        <v>286.76</v>
      </c>
      <c r="Y467" s="6"/>
      <c r="Z467" s="6">
        <f ca="1">('TUSD BE'!$AM$51+'TUSD BF'!$AM$51+'TUSD CVA'!$AM$51)*1</f>
        <v>330.13584689413364</v>
      </c>
      <c r="AA467" s="6">
        <f>('TE BE'!$AB$39+'TE BF'!$AB$39+'TE CVA'!$AB$39)*1</f>
        <v>271.35516669689775</v>
      </c>
      <c r="AB467" s="6">
        <f>$K$467*$V$467</f>
        <v>0</v>
      </c>
      <c r="AC467" s="6">
        <f>$M$467*$W$467</f>
        <v>1850.6161000000002</v>
      </c>
      <c r="AD467" s="6">
        <f>$O$467*$X$467</f>
        <v>2354.2996000000003</v>
      </c>
      <c r="AE467" s="6">
        <f>$K$467*$Y$467</f>
        <v>0</v>
      </c>
      <c r="AF467" s="6">
        <f ca="1">$M$467*$Z$467</f>
        <v>2710.4153030008374</v>
      </c>
      <c r="AG467" s="6">
        <f>$O$467*$AA$467</f>
        <v>2227.8259185815309</v>
      </c>
    </row>
    <row r="468" spans="1:33" ht="11.25" hidden="1" customHeight="1" x14ac:dyDescent="0.3">
      <c r="A468" s="4" t="s">
        <v>21</v>
      </c>
      <c r="B468" s="4" t="s">
        <v>32</v>
      </c>
      <c r="C468" s="4" t="s">
        <v>38</v>
      </c>
      <c r="D468" s="4" t="s">
        <v>33</v>
      </c>
      <c r="E468" s="4" t="s">
        <v>25</v>
      </c>
      <c r="F468" s="4" t="s">
        <v>25</v>
      </c>
      <c r="G468" s="4" t="s">
        <v>25</v>
      </c>
      <c r="H468" s="4" t="s">
        <v>37</v>
      </c>
      <c r="I468" s="5">
        <v>44621</v>
      </c>
      <c r="J468" s="6">
        <v>0</v>
      </c>
      <c r="K468" s="6">
        <v>0</v>
      </c>
      <c r="L468" s="6">
        <v>6.6219999999999999</v>
      </c>
      <c r="M468" s="6">
        <v>6.6219999999999999</v>
      </c>
      <c r="N468" s="6">
        <v>6.6219999999999999</v>
      </c>
      <c r="O468" s="6">
        <v>6.6219999999999999</v>
      </c>
      <c r="P468" s="6">
        <v>0</v>
      </c>
      <c r="Q468" s="4" t="s">
        <v>26</v>
      </c>
      <c r="R468" s="4">
        <v>0</v>
      </c>
      <c r="S468" s="6">
        <v>0</v>
      </c>
      <c r="T468" s="6">
        <v>76</v>
      </c>
      <c r="U468" s="6">
        <v>51</v>
      </c>
      <c r="V468" s="6">
        <f>IF(ISERROR(VLOOKUP($S$468,'TAR FIN'!$A$1:$O$92,15,0)),0,VLOOKUP($S$468,'TAR FIN'!$A$1:$O$92,15,0))</f>
        <v>0</v>
      </c>
      <c r="W468" s="6">
        <f>IF(ISERROR(VLOOKUP($T$468,'TAR FIN'!$A$1:$O$92,15,0)),0,VLOOKUP($T$468,'TAR FIN'!$A$1:$O$92,15,0))</f>
        <v>225.41</v>
      </c>
      <c r="X468" s="6">
        <f>IF(ISERROR(VLOOKUP($U$468,'TAR FIN'!$A$1:$O$92,15,0)),0,VLOOKUP($U$468,'TAR FIN'!$A$1:$O$92,15,0))</f>
        <v>286.76</v>
      </c>
      <c r="Y468" s="6"/>
      <c r="Z468" s="6">
        <f ca="1">('TUSD BE'!$AM$51+'TUSD BF'!$AM$51+'TUSD CVA'!$AM$51)*1</f>
        <v>330.13584689413364</v>
      </c>
      <c r="AA468" s="6">
        <f>('TE BE'!$AB$39+'TE BF'!$AB$39+'TE CVA'!$AB$39)*1</f>
        <v>271.35516669689775</v>
      </c>
      <c r="AB468" s="6">
        <f>$K$468*$V$468</f>
        <v>0</v>
      </c>
      <c r="AC468" s="6">
        <f>$M$468*$W$468</f>
        <v>1492.6650199999999</v>
      </c>
      <c r="AD468" s="6">
        <f>$O$468*$X$468</f>
        <v>1898.92472</v>
      </c>
      <c r="AE468" s="6">
        <f>$K$468*$Y$468</f>
        <v>0</v>
      </c>
      <c r="AF468" s="6">
        <f ca="1">$M$468*$Z$468</f>
        <v>2186.1595781329529</v>
      </c>
      <c r="AG468" s="6">
        <f>$O$468*$AA$468</f>
        <v>1796.913913866857</v>
      </c>
    </row>
    <row r="469" spans="1:33" ht="11.25" hidden="1" customHeight="1" x14ac:dyDescent="0.3">
      <c r="A469" s="4" t="s">
        <v>21</v>
      </c>
      <c r="B469" s="4" t="s">
        <v>32</v>
      </c>
      <c r="C469" s="4" t="s">
        <v>38</v>
      </c>
      <c r="D469" s="4" t="s">
        <v>33</v>
      </c>
      <c r="E469" s="4" t="s">
        <v>25</v>
      </c>
      <c r="F469" s="4" t="s">
        <v>25</v>
      </c>
      <c r="G469" s="4" t="s">
        <v>25</v>
      </c>
      <c r="H469" s="4" t="s">
        <v>37</v>
      </c>
      <c r="I469" s="5">
        <v>44652</v>
      </c>
      <c r="J469" s="6">
        <v>0</v>
      </c>
      <c r="K469" s="6">
        <v>0</v>
      </c>
      <c r="L469" s="6">
        <v>6.51</v>
      </c>
      <c r="M469" s="6">
        <v>6.51</v>
      </c>
      <c r="N469" s="6">
        <v>6.51</v>
      </c>
      <c r="O469" s="6">
        <v>6.51</v>
      </c>
      <c r="P469" s="6">
        <v>0</v>
      </c>
      <c r="Q469" s="4" t="s">
        <v>26</v>
      </c>
      <c r="R469" s="4">
        <v>0</v>
      </c>
      <c r="S469" s="6">
        <v>0</v>
      </c>
      <c r="T469" s="6">
        <v>76</v>
      </c>
      <c r="U469" s="6">
        <v>51</v>
      </c>
      <c r="V469" s="6">
        <f>IF(ISERROR(VLOOKUP($S$469,'TAR FIN'!$A$1:$O$92,15,0)),0,VLOOKUP($S$469,'TAR FIN'!$A$1:$O$92,15,0))</f>
        <v>0</v>
      </c>
      <c r="W469" s="6">
        <f>IF(ISERROR(VLOOKUP($T$469,'TAR FIN'!$A$1:$O$92,15,0)),0,VLOOKUP($T$469,'TAR FIN'!$A$1:$O$92,15,0))</f>
        <v>225.41</v>
      </c>
      <c r="X469" s="6">
        <f>IF(ISERROR(VLOOKUP($U$469,'TAR FIN'!$A$1:$O$92,15,0)),0,VLOOKUP($U$469,'TAR FIN'!$A$1:$O$92,15,0))</f>
        <v>286.76</v>
      </c>
      <c r="Y469" s="6"/>
      <c r="Z469" s="6">
        <f ca="1">('TUSD BE'!$AM$51+'TUSD BF'!$AM$51+'TUSD CVA'!$AM$51)*1</f>
        <v>330.13584689413364</v>
      </c>
      <c r="AA469" s="6">
        <f>('TE BE'!$AB$39+'TE BF'!$AB$39+'TE CVA'!$AB$39)*1</f>
        <v>271.35516669689775</v>
      </c>
      <c r="AB469" s="6">
        <f>$K$469*$V$469</f>
        <v>0</v>
      </c>
      <c r="AC469" s="6">
        <f>$M$469*$W$469</f>
        <v>1467.4190999999998</v>
      </c>
      <c r="AD469" s="6">
        <f>$O$469*$X$469</f>
        <v>1866.8075999999999</v>
      </c>
      <c r="AE469" s="6">
        <f>$K$469*$Y$469</f>
        <v>0</v>
      </c>
      <c r="AF469" s="6">
        <f ca="1">$M$469*$Z$469</f>
        <v>2149.18436328081</v>
      </c>
      <c r="AG469" s="6">
        <f>$O$469*$AA$469</f>
        <v>1766.5221351968044</v>
      </c>
    </row>
    <row r="470" spans="1:33" ht="11.25" hidden="1" customHeight="1" x14ac:dyDescent="0.3">
      <c r="A470" s="4" t="s">
        <v>21</v>
      </c>
      <c r="B470" s="4" t="s">
        <v>32</v>
      </c>
      <c r="C470" s="4" t="s">
        <v>38</v>
      </c>
      <c r="D470" s="4" t="s">
        <v>33</v>
      </c>
      <c r="E470" s="4" t="s">
        <v>25</v>
      </c>
      <c r="F470" s="4" t="s">
        <v>25</v>
      </c>
      <c r="G470" s="4" t="s">
        <v>25</v>
      </c>
      <c r="H470" s="4" t="s">
        <v>37</v>
      </c>
      <c r="I470" s="5">
        <v>44682</v>
      </c>
      <c r="J470" s="6">
        <v>0</v>
      </c>
      <c r="K470" s="6">
        <v>0</v>
      </c>
      <c r="L470" s="6">
        <v>7.702</v>
      </c>
      <c r="M470" s="6">
        <v>7.702</v>
      </c>
      <c r="N470" s="6">
        <v>7.702</v>
      </c>
      <c r="O470" s="6">
        <v>7.702</v>
      </c>
      <c r="P470" s="6">
        <v>0</v>
      </c>
      <c r="Q470" s="4" t="s">
        <v>26</v>
      </c>
      <c r="R470" s="4">
        <v>0</v>
      </c>
      <c r="S470" s="6">
        <v>0</v>
      </c>
      <c r="T470" s="6">
        <v>76</v>
      </c>
      <c r="U470" s="6">
        <v>51</v>
      </c>
      <c r="V470" s="6">
        <f>IF(ISERROR(VLOOKUP($S$470,'TAR FIN'!$A$1:$O$92,15,0)),0,VLOOKUP($S$470,'TAR FIN'!$A$1:$O$92,15,0))</f>
        <v>0</v>
      </c>
      <c r="W470" s="6">
        <f>IF(ISERROR(VLOOKUP($T$470,'TAR FIN'!$A$1:$O$92,15,0)),0,VLOOKUP($T$470,'TAR FIN'!$A$1:$O$92,15,0))</f>
        <v>225.41</v>
      </c>
      <c r="X470" s="6">
        <f>IF(ISERROR(VLOOKUP($U$470,'TAR FIN'!$A$1:$O$92,15,0)),0,VLOOKUP($U$470,'TAR FIN'!$A$1:$O$92,15,0))</f>
        <v>286.76</v>
      </c>
      <c r="Y470" s="6"/>
      <c r="Z470" s="6">
        <f ca="1">('TUSD BE'!$AM$51+'TUSD BF'!$AM$51+'TUSD CVA'!$AM$51)*1</f>
        <v>330.13584689413364</v>
      </c>
      <c r="AA470" s="6">
        <f>('TE BE'!$AB$39+'TE BF'!$AB$39+'TE CVA'!$AB$39)*1</f>
        <v>271.35516669689775</v>
      </c>
      <c r="AB470" s="6">
        <f>$K$470*$V$470</f>
        <v>0</v>
      </c>
      <c r="AC470" s="6">
        <f>$M$470*$W$470</f>
        <v>1736.1078199999999</v>
      </c>
      <c r="AD470" s="6">
        <f>$O$470*$X$470</f>
        <v>2208.6255200000001</v>
      </c>
      <c r="AE470" s="6">
        <f>$K$470*$Y$470</f>
        <v>0</v>
      </c>
      <c r="AF470" s="6">
        <f ca="1">$M$470*$Z$470</f>
        <v>2542.7062927786174</v>
      </c>
      <c r="AG470" s="6">
        <f>$O$470*$AA$470</f>
        <v>2089.9774938995065</v>
      </c>
    </row>
    <row r="471" spans="1:33" ht="11.25" hidden="1" customHeight="1" x14ac:dyDescent="0.3">
      <c r="A471" s="4" t="s">
        <v>21</v>
      </c>
      <c r="B471" s="4" t="s">
        <v>32</v>
      </c>
      <c r="C471" s="4" t="s">
        <v>38</v>
      </c>
      <c r="D471" s="4" t="s">
        <v>33</v>
      </c>
      <c r="E471" s="4" t="s">
        <v>25</v>
      </c>
      <c r="F471" s="4" t="s">
        <v>25</v>
      </c>
      <c r="G471" s="4" t="s">
        <v>25</v>
      </c>
      <c r="H471" s="4" t="s">
        <v>37</v>
      </c>
      <c r="I471" s="5">
        <v>44713</v>
      </c>
      <c r="J471" s="6">
        <v>0</v>
      </c>
      <c r="K471" s="6">
        <v>0</v>
      </c>
      <c r="L471" s="6">
        <v>8.7870000000000008</v>
      </c>
      <c r="M471" s="6">
        <v>8.7870000000000008</v>
      </c>
      <c r="N471" s="6">
        <v>8.7870000000000008</v>
      </c>
      <c r="O471" s="6">
        <v>8.7870000000000008</v>
      </c>
      <c r="P471" s="6">
        <v>0</v>
      </c>
      <c r="Q471" s="4" t="s">
        <v>26</v>
      </c>
      <c r="R471" s="4">
        <v>0</v>
      </c>
      <c r="S471" s="6">
        <v>0</v>
      </c>
      <c r="T471" s="6">
        <v>76</v>
      </c>
      <c r="U471" s="6">
        <v>51</v>
      </c>
      <c r="V471" s="6">
        <f>IF(ISERROR(VLOOKUP($S$471,'TAR FIN'!$A$1:$O$92,15,0)),0,VLOOKUP($S$471,'TAR FIN'!$A$1:$O$92,15,0))</f>
        <v>0</v>
      </c>
      <c r="W471" s="6">
        <f>IF(ISERROR(VLOOKUP($T$471,'TAR FIN'!$A$1:$O$92,15,0)),0,VLOOKUP($T$471,'TAR FIN'!$A$1:$O$92,15,0))</f>
        <v>225.41</v>
      </c>
      <c r="X471" s="6">
        <f>IF(ISERROR(VLOOKUP($U$471,'TAR FIN'!$A$1:$O$92,15,0)),0,VLOOKUP($U$471,'TAR FIN'!$A$1:$O$92,15,0))</f>
        <v>286.76</v>
      </c>
      <c r="Y471" s="6"/>
      <c r="Z471" s="6">
        <f ca="1">('TUSD BE'!$AM$51+'TUSD BF'!$AM$51+'TUSD CVA'!$AM$51)*1</f>
        <v>330.13584689413364</v>
      </c>
      <c r="AA471" s="6">
        <f>('TE BE'!$AB$39+'TE BF'!$AB$39+'TE CVA'!$AB$39)*1</f>
        <v>271.35516669689775</v>
      </c>
      <c r="AB471" s="6">
        <f>$K$471*$V$471</f>
        <v>0</v>
      </c>
      <c r="AC471" s="6">
        <f>$M$471*$W$471</f>
        <v>1980.6776700000003</v>
      </c>
      <c r="AD471" s="6">
        <f>$O$471*$X$471</f>
        <v>2519.7601200000004</v>
      </c>
      <c r="AE471" s="6">
        <f>$K$471*$Y$471</f>
        <v>0</v>
      </c>
      <c r="AF471" s="6">
        <f ca="1">$M$471*$Z$471</f>
        <v>2900.9036866587526</v>
      </c>
      <c r="AG471" s="6">
        <f>$O$471*$AA$471</f>
        <v>2384.3978497656408</v>
      </c>
    </row>
    <row r="472" spans="1:33" ht="11.25" hidden="1" customHeight="1" x14ac:dyDescent="0.3">
      <c r="A472" s="4" t="s">
        <v>21</v>
      </c>
      <c r="B472" s="4" t="s">
        <v>32</v>
      </c>
      <c r="C472" s="4" t="s">
        <v>38</v>
      </c>
      <c r="D472" s="4" t="s">
        <v>33</v>
      </c>
      <c r="E472" s="4" t="s">
        <v>25</v>
      </c>
      <c r="F472" s="4" t="s">
        <v>25</v>
      </c>
      <c r="G472" s="4" t="s">
        <v>25</v>
      </c>
      <c r="H472" s="4" t="s">
        <v>37</v>
      </c>
      <c r="I472" s="5">
        <v>44743</v>
      </c>
      <c r="J472" s="6">
        <v>0</v>
      </c>
      <c r="K472" s="6">
        <v>0</v>
      </c>
      <c r="L472" s="6">
        <v>8.8219999999999992</v>
      </c>
      <c r="M472" s="6">
        <v>8.8219999999999992</v>
      </c>
      <c r="N472" s="6">
        <v>8.8219999999999992</v>
      </c>
      <c r="O472" s="6">
        <v>8.8219999999999992</v>
      </c>
      <c r="P472" s="6">
        <v>0</v>
      </c>
      <c r="Q472" s="4" t="s">
        <v>26</v>
      </c>
      <c r="R472" s="4">
        <v>0</v>
      </c>
      <c r="S472" s="6">
        <v>0</v>
      </c>
      <c r="T472" s="6">
        <v>76</v>
      </c>
      <c r="U472" s="6">
        <v>51</v>
      </c>
      <c r="V472" s="6">
        <f>IF(ISERROR(VLOOKUP($S$472,'TAR FIN'!$A$1:$O$92,15,0)),0,VLOOKUP($S$472,'TAR FIN'!$A$1:$O$92,15,0))</f>
        <v>0</v>
      </c>
      <c r="W472" s="6">
        <f>IF(ISERROR(VLOOKUP($T$472,'TAR FIN'!$A$1:$O$92,15,0)),0,VLOOKUP($T$472,'TAR FIN'!$A$1:$O$92,15,0))</f>
        <v>225.41</v>
      </c>
      <c r="X472" s="6">
        <f>IF(ISERROR(VLOOKUP($U$472,'TAR FIN'!$A$1:$O$92,15,0)),0,VLOOKUP($U$472,'TAR FIN'!$A$1:$O$92,15,0))</f>
        <v>286.76</v>
      </c>
      <c r="Y472" s="6"/>
      <c r="Z472" s="6">
        <f ca="1">('TUSD BE'!$AM$51+'TUSD BF'!$AM$51+'TUSD CVA'!$AM$51)*1</f>
        <v>330.13584689413364</v>
      </c>
      <c r="AA472" s="6">
        <f>('TE BE'!$AB$39+'TE BF'!$AB$39+'TE CVA'!$AB$39)*1</f>
        <v>271.35516669689775</v>
      </c>
      <c r="AB472" s="6">
        <f>$K$472*$V$472</f>
        <v>0</v>
      </c>
      <c r="AC472" s="6">
        <f>$M$472*$W$472</f>
        <v>1988.5670199999997</v>
      </c>
      <c r="AD472" s="6">
        <f>$O$472*$X$472</f>
        <v>2529.7967199999998</v>
      </c>
      <c r="AE472" s="6">
        <f>$K$472*$Y$472</f>
        <v>0</v>
      </c>
      <c r="AF472" s="6">
        <f ca="1">$M$472*$Z$472</f>
        <v>2912.4584413000466</v>
      </c>
      <c r="AG472" s="6">
        <f>$O$472*$AA$472</f>
        <v>2393.8952806000316</v>
      </c>
    </row>
    <row r="473" spans="1:33" ht="11.25" hidden="1" customHeight="1" x14ac:dyDescent="0.3">
      <c r="A473" s="4" t="s">
        <v>21</v>
      </c>
      <c r="B473" s="4" t="s">
        <v>32</v>
      </c>
      <c r="C473" s="4" t="s">
        <v>38</v>
      </c>
      <c r="D473" s="4" t="s">
        <v>33</v>
      </c>
      <c r="E473" s="4" t="s">
        <v>25</v>
      </c>
      <c r="F473" s="4" t="s">
        <v>25</v>
      </c>
      <c r="G473" s="4" t="s">
        <v>25</v>
      </c>
      <c r="H473" s="4" t="s">
        <v>39</v>
      </c>
      <c r="I473" s="5">
        <v>44409</v>
      </c>
      <c r="J473" s="6">
        <v>0</v>
      </c>
      <c r="K473" s="6">
        <v>0</v>
      </c>
      <c r="L473" s="6">
        <v>0.121</v>
      </c>
      <c r="M473" s="6">
        <v>0.121</v>
      </c>
      <c r="N473" s="6">
        <v>0.121</v>
      </c>
      <c r="O473" s="6">
        <v>0.121</v>
      </c>
      <c r="P473" s="6">
        <v>0</v>
      </c>
      <c r="Q473" s="4" t="s">
        <v>26</v>
      </c>
      <c r="R473" s="4">
        <v>0</v>
      </c>
      <c r="S473" s="6">
        <v>0</v>
      </c>
      <c r="T473" s="6">
        <v>75</v>
      </c>
      <c r="U473" s="6">
        <v>48</v>
      </c>
      <c r="V473" s="6">
        <f>IF(ISERROR(VLOOKUP($S$473,'TAR FIN'!$A$1:$O$92,15,0)),0,VLOOKUP($S$473,'TAR FIN'!$A$1:$O$92,15,0))</f>
        <v>0</v>
      </c>
      <c r="W473" s="6">
        <f>IF(ISERROR(VLOOKUP($T$473,'TAR FIN'!$A$1:$O$92,15,0)),0,VLOOKUP($T$473,'TAR FIN'!$A$1:$O$92,15,0))</f>
        <v>543.07000000000005</v>
      </c>
      <c r="X473" s="6">
        <f>IF(ISERROR(VLOOKUP($U$473,'TAR FIN'!$A$1:$O$92,15,0)),0,VLOOKUP($U$473,'TAR FIN'!$A$1:$O$92,15,0))</f>
        <v>286.76</v>
      </c>
      <c r="Y473" s="6"/>
      <c r="Z473" s="6">
        <f ca="1">('TUSD BE'!$AM$50+'TUSD BF'!$AM$50+'TUSD CVA'!$AM$50)*1</f>
        <v>712.22418763999713</v>
      </c>
      <c r="AA473" s="6">
        <f>('TE BE'!$AB$38+'TE BF'!$AB$38+'TE CVA'!$AB$38)*1</f>
        <v>271.35516669689775</v>
      </c>
      <c r="AB473" s="6">
        <f>$K$473*$V$473</f>
        <v>0</v>
      </c>
      <c r="AC473" s="6">
        <f>$M$473*$W$473</f>
        <v>65.711470000000006</v>
      </c>
      <c r="AD473" s="6">
        <f>$O$473*$X$473</f>
        <v>34.697959999999995</v>
      </c>
      <c r="AE473" s="6">
        <f>$K$473*$Y$473</f>
        <v>0</v>
      </c>
      <c r="AF473" s="6">
        <f ca="1">$M$473*$Z$473</f>
        <v>86.179126704439653</v>
      </c>
      <c r="AG473" s="6">
        <f>$O$473*$AA$473</f>
        <v>32.833975170324628</v>
      </c>
    </row>
    <row r="474" spans="1:33" ht="11.25" hidden="1" customHeight="1" x14ac:dyDescent="0.3">
      <c r="A474" s="4" t="s">
        <v>21</v>
      </c>
      <c r="B474" s="4" t="s">
        <v>32</v>
      </c>
      <c r="C474" s="4" t="s">
        <v>38</v>
      </c>
      <c r="D474" s="4" t="s">
        <v>33</v>
      </c>
      <c r="E474" s="4" t="s">
        <v>25</v>
      </c>
      <c r="F474" s="4" t="s">
        <v>25</v>
      </c>
      <c r="G474" s="4" t="s">
        <v>25</v>
      </c>
      <c r="H474" s="4" t="s">
        <v>39</v>
      </c>
      <c r="I474" s="5">
        <v>44440</v>
      </c>
      <c r="J474" s="6">
        <v>0</v>
      </c>
      <c r="K474" s="6">
        <v>0</v>
      </c>
      <c r="L474" s="6">
        <v>9.9000000000000005E-2</v>
      </c>
      <c r="M474" s="6">
        <v>9.9000000000000005E-2</v>
      </c>
      <c r="N474" s="6">
        <v>9.9000000000000005E-2</v>
      </c>
      <c r="O474" s="6">
        <v>9.9000000000000005E-2</v>
      </c>
      <c r="P474" s="6">
        <v>0</v>
      </c>
      <c r="Q474" s="4" t="s">
        <v>26</v>
      </c>
      <c r="R474" s="4">
        <v>0</v>
      </c>
      <c r="S474" s="6">
        <v>0</v>
      </c>
      <c r="T474" s="6">
        <v>75</v>
      </c>
      <c r="U474" s="6">
        <v>48</v>
      </c>
      <c r="V474" s="6">
        <f>IF(ISERROR(VLOOKUP($S$474,'TAR FIN'!$A$1:$O$92,15,0)),0,VLOOKUP($S$474,'TAR FIN'!$A$1:$O$92,15,0))</f>
        <v>0</v>
      </c>
      <c r="W474" s="6">
        <f>IF(ISERROR(VLOOKUP($T$474,'TAR FIN'!$A$1:$O$92,15,0)),0,VLOOKUP($T$474,'TAR FIN'!$A$1:$O$92,15,0))</f>
        <v>543.07000000000005</v>
      </c>
      <c r="X474" s="6">
        <f>IF(ISERROR(VLOOKUP($U$474,'TAR FIN'!$A$1:$O$92,15,0)),0,VLOOKUP($U$474,'TAR FIN'!$A$1:$O$92,15,0))</f>
        <v>286.76</v>
      </c>
      <c r="Y474" s="6"/>
      <c r="Z474" s="6">
        <f ca="1">('TUSD BE'!$AM$50+'TUSD BF'!$AM$50+'TUSD CVA'!$AM$50)*1</f>
        <v>712.22418763999713</v>
      </c>
      <c r="AA474" s="6">
        <f>('TE BE'!$AB$38+'TE BF'!$AB$38+'TE CVA'!$AB$38)*1</f>
        <v>271.35516669689775</v>
      </c>
      <c r="AB474" s="6">
        <f>$K$474*$V$474</f>
        <v>0</v>
      </c>
      <c r="AC474" s="6">
        <f>$M$474*$W$474</f>
        <v>53.763930000000009</v>
      </c>
      <c r="AD474" s="6">
        <f>$O$474*$X$474</f>
        <v>28.389240000000001</v>
      </c>
      <c r="AE474" s="6">
        <f>$K$474*$Y$474</f>
        <v>0</v>
      </c>
      <c r="AF474" s="6">
        <f ca="1">$M$474*$Z$474</f>
        <v>70.510194576359723</v>
      </c>
      <c r="AG474" s="6">
        <f>$O$474*$AA$474</f>
        <v>26.864161502992879</v>
      </c>
    </row>
    <row r="475" spans="1:33" ht="11.25" hidden="1" customHeight="1" x14ac:dyDescent="0.3">
      <c r="A475" s="4" t="s">
        <v>21</v>
      </c>
      <c r="B475" s="4" t="s">
        <v>32</v>
      </c>
      <c r="C475" s="4" t="s">
        <v>38</v>
      </c>
      <c r="D475" s="4" t="s">
        <v>33</v>
      </c>
      <c r="E475" s="4" t="s">
        <v>25</v>
      </c>
      <c r="F475" s="4" t="s">
        <v>25</v>
      </c>
      <c r="G475" s="4" t="s">
        <v>25</v>
      </c>
      <c r="H475" s="4" t="s">
        <v>39</v>
      </c>
      <c r="I475" s="5">
        <v>44470</v>
      </c>
      <c r="J475" s="6">
        <v>0</v>
      </c>
      <c r="K475" s="6">
        <v>0</v>
      </c>
      <c r="L475" s="6">
        <v>0.112</v>
      </c>
      <c r="M475" s="6">
        <v>0.112</v>
      </c>
      <c r="N475" s="6">
        <v>0.112</v>
      </c>
      <c r="O475" s="6">
        <v>0.112</v>
      </c>
      <c r="P475" s="6">
        <v>0</v>
      </c>
      <c r="Q475" s="4" t="s">
        <v>26</v>
      </c>
      <c r="R475" s="4">
        <v>0</v>
      </c>
      <c r="S475" s="6">
        <v>0</v>
      </c>
      <c r="T475" s="6">
        <v>75</v>
      </c>
      <c r="U475" s="6">
        <v>48</v>
      </c>
      <c r="V475" s="6">
        <f>IF(ISERROR(VLOOKUP($S$475,'TAR FIN'!$A$1:$O$92,15,0)),0,VLOOKUP($S$475,'TAR FIN'!$A$1:$O$92,15,0))</f>
        <v>0</v>
      </c>
      <c r="W475" s="6">
        <f>IF(ISERROR(VLOOKUP($T$475,'TAR FIN'!$A$1:$O$92,15,0)),0,VLOOKUP($T$475,'TAR FIN'!$A$1:$O$92,15,0))</f>
        <v>543.07000000000005</v>
      </c>
      <c r="X475" s="6">
        <f>IF(ISERROR(VLOOKUP($U$475,'TAR FIN'!$A$1:$O$92,15,0)),0,VLOOKUP($U$475,'TAR FIN'!$A$1:$O$92,15,0))</f>
        <v>286.76</v>
      </c>
      <c r="Y475" s="6"/>
      <c r="Z475" s="6">
        <f ca="1">('TUSD BE'!$AM$50+'TUSD BF'!$AM$50+'TUSD CVA'!$AM$50)*1</f>
        <v>712.22418763999713</v>
      </c>
      <c r="AA475" s="6">
        <f>('TE BE'!$AB$38+'TE BF'!$AB$38+'TE CVA'!$AB$38)*1</f>
        <v>271.35516669689775</v>
      </c>
      <c r="AB475" s="6">
        <f>$K$475*$V$475</f>
        <v>0</v>
      </c>
      <c r="AC475" s="6">
        <f>$M$475*$W$475</f>
        <v>60.823840000000004</v>
      </c>
      <c r="AD475" s="6">
        <f>$O$475*$X$475</f>
        <v>32.11712</v>
      </c>
      <c r="AE475" s="6">
        <f>$K$475*$Y$475</f>
        <v>0</v>
      </c>
      <c r="AF475" s="6">
        <f ca="1">$M$475*$Z$475</f>
        <v>79.769109015679675</v>
      </c>
      <c r="AG475" s="6">
        <f>$O$475*$AA$475</f>
        <v>30.391778670052549</v>
      </c>
    </row>
    <row r="476" spans="1:33" ht="11.25" hidden="1" customHeight="1" x14ac:dyDescent="0.3">
      <c r="A476" s="4" t="s">
        <v>21</v>
      </c>
      <c r="B476" s="4" t="s">
        <v>32</v>
      </c>
      <c r="C476" s="4" t="s">
        <v>38</v>
      </c>
      <c r="D476" s="4" t="s">
        <v>33</v>
      </c>
      <c r="E476" s="4" t="s">
        <v>25</v>
      </c>
      <c r="F476" s="4" t="s">
        <v>25</v>
      </c>
      <c r="G476" s="4" t="s">
        <v>25</v>
      </c>
      <c r="H476" s="4" t="s">
        <v>39</v>
      </c>
      <c r="I476" s="5">
        <v>44501</v>
      </c>
      <c r="J476" s="6">
        <v>0</v>
      </c>
      <c r="K476" s="6">
        <v>0</v>
      </c>
      <c r="L476" s="6">
        <v>7.5999999999999998E-2</v>
      </c>
      <c r="M476" s="6">
        <v>7.5999999999999998E-2</v>
      </c>
      <c r="N476" s="6">
        <v>7.5999999999999998E-2</v>
      </c>
      <c r="O476" s="6">
        <v>7.5999999999999998E-2</v>
      </c>
      <c r="P476" s="6">
        <v>0</v>
      </c>
      <c r="Q476" s="4" t="s">
        <v>26</v>
      </c>
      <c r="R476" s="4">
        <v>0</v>
      </c>
      <c r="S476" s="6">
        <v>0</v>
      </c>
      <c r="T476" s="6">
        <v>75</v>
      </c>
      <c r="U476" s="6">
        <v>48</v>
      </c>
      <c r="V476" s="6">
        <f>IF(ISERROR(VLOOKUP($S$476,'TAR FIN'!$A$1:$O$92,15,0)),0,VLOOKUP($S$476,'TAR FIN'!$A$1:$O$92,15,0))</f>
        <v>0</v>
      </c>
      <c r="W476" s="6">
        <f>IF(ISERROR(VLOOKUP($T$476,'TAR FIN'!$A$1:$O$92,15,0)),0,VLOOKUP($T$476,'TAR FIN'!$A$1:$O$92,15,0))</f>
        <v>543.07000000000005</v>
      </c>
      <c r="X476" s="6">
        <f>IF(ISERROR(VLOOKUP($U$476,'TAR FIN'!$A$1:$O$92,15,0)),0,VLOOKUP($U$476,'TAR FIN'!$A$1:$O$92,15,0))</f>
        <v>286.76</v>
      </c>
      <c r="Y476" s="6"/>
      <c r="Z476" s="6">
        <f ca="1">('TUSD BE'!$AM$50+'TUSD BF'!$AM$50+'TUSD CVA'!$AM$50)*1</f>
        <v>712.22418763999713</v>
      </c>
      <c r="AA476" s="6">
        <f>('TE BE'!$AB$38+'TE BF'!$AB$38+'TE CVA'!$AB$38)*1</f>
        <v>271.35516669689775</v>
      </c>
      <c r="AB476" s="6">
        <f>$K$476*$V$476</f>
        <v>0</v>
      </c>
      <c r="AC476" s="6">
        <f>$M$476*$W$476</f>
        <v>41.273320000000005</v>
      </c>
      <c r="AD476" s="6">
        <f>$O$476*$X$476</f>
        <v>21.793759999999999</v>
      </c>
      <c r="AE476" s="6">
        <f>$K$476*$Y$476</f>
        <v>0</v>
      </c>
      <c r="AF476" s="6">
        <f ca="1">$M$476*$Z$476</f>
        <v>54.129038260639781</v>
      </c>
      <c r="AG476" s="6">
        <f>$O$476*$AA$476</f>
        <v>20.62299266896423</v>
      </c>
    </row>
    <row r="477" spans="1:33" ht="11.25" hidden="1" customHeight="1" x14ac:dyDescent="0.3">
      <c r="A477" s="4" t="s">
        <v>21</v>
      </c>
      <c r="B477" s="4" t="s">
        <v>32</v>
      </c>
      <c r="C477" s="4" t="s">
        <v>38</v>
      </c>
      <c r="D477" s="4" t="s">
        <v>33</v>
      </c>
      <c r="E477" s="4" t="s">
        <v>25</v>
      </c>
      <c r="F477" s="4" t="s">
        <v>25</v>
      </c>
      <c r="G477" s="4" t="s">
        <v>25</v>
      </c>
      <c r="H477" s="4" t="s">
        <v>39</v>
      </c>
      <c r="I477" s="5">
        <v>44531</v>
      </c>
      <c r="J477" s="6">
        <v>0</v>
      </c>
      <c r="K477" s="6">
        <v>0</v>
      </c>
      <c r="L477" s="6">
        <v>8.5000000000000006E-2</v>
      </c>
      <c r="M477" s="6">
        <v>8.5000000000000006E-2</v>
      </c>
      <c r="N477" s="6">
        <v>8.5000000000000006E-2</v>
      </c>
      <c r="O477" s="6">
        <v>8.5000000000000006E-2</v>
      </c>
      <c r="P477" s="6">
        <v>0</v>
      </c>
      <c r="Q477" s="4" t="s">
        <v>26</v>
      </c>
      <c r="R477" s="4">
        <v>0</v>
      </c>
      <c r="S477" s="6">
        <v>0</v>
      </c>
      <c r="T477" s="6">
        <v>75</v>
      </c>
      <c r="U477" s="6">
        <v>48</v>
      </c>
      <c r="V477" s="6">
        <f>IF(ISERROR(VLOOKUP($S$477,'TAR FIN'!$A$1:$O$92,15,0)),0,VLOOKUP($S$477,'TAR FIN'!$A$1:$O$92,15,0))</f>
        <v>0</v>
      </c>
      <c r="W477" s="6">
        <f>IF(ISERROR(VLOOKUP($T$477,'TAR FIN'!$A$1:$O$92,15,0)),0,VLOOKUP($T$477,'TAR FIN'!$A$1:$O$92,15,0))</f>
        <v>543.07000000000005</v>
      </c>
      <c r="X477" s="6">
        <f>IF(ISERROR(VLOOKUP($U$477,'TAR FIN'!$A$1:$O$92,15,0)),0,VLOOKUP($U$477,'TAR FIN'!$A$1:$O$92,15,0))</f>
        <v>286.76</v>
      </c>
      <c r="Y477" s="6"/>
      <c r="Z477" s="6">
        <f ca="1">('TUSD BE'!$AM$50+'TUSD BF'!$AM$50+'TUSD CVA'!$AM$50)*1</f>
        <v>712.22418763999713</v>
      </c>
      <c r="AA477" s="6">
        <f>('TE BE'!$AB$38+'TE BF'!$AB$38+'TE CVA'!$AB$38)*1</f>
        <v>271.35516669689775</v>
      </c>
      <c r="AB477" s="6">
        <f>$K$477*$V$477</f>
        <v>0</v>
      </c>
      <c r="AC477" s="6">
        <f>$M$477*$W$477</f>
        <v>46.160950000000007</v>
      </c>
      <c r="AD477" s="6">
        <f>$O$477*$X$477</f>
        <v>24.374600000000001</v>
      </c>
      <c r="AE477" s="6">
        <f>$K$477*$Y$477</f>
        <v>0</v>
      </c>
      <c r="AF477" s="6">
        <f ca="1">$M$477*$Z$477</f>
        <v>60.53905594939976</v>
      </c>
      <c r="AG477" s="6">
        <f>$O$477*$AA$477</f>
        <v>23.065189169236312</v>
      </c>
    </row>
    <row r="478" spans="1:33" ht="11.25" hidden="1" customHeight="1" x14ac:dyDescent="0.3">
      <c r="A478" s="4" t="s">
        <v>21</v>
      </c>
      <c r="B478" s="4" t="s">
        <v>32</v>
      </c>
      <c r="C478" s="4" t="s">
        <v>38</v>
      </c>
      <c r="D478" s="4" t="s">
        <v>33</v>
      </c>
      <c r="E478" s="4" t="s">
        <v>25</v>
      </c>
      <c r="F478" s="4" t="s">
        <v>25</v>
      </c>
      <c r="G478" s="4" t="s">
        <v>25</v>
      </c>
      <c r="H478" s="4" t="s">
        <v>39</v>
      </c>
      <c r="I478" s="5">
        <v>44562</v>
      </c>
      <c r="J478" s="6">
        <v>0</v>
      </c>
      <c r="K478" s="6">
        <v>0</v>
      </c>
      <c r="L478" s="6">
        <v>7.9000000000000001E-2</v>
      </c>
      <c r="M478" s="6">
        <v>7.9000000000000001E-2</v>
      </c>
      <c r="N478" s="6">
        <v>7.9000000000000001E-2</v>
      </c>
      <c r="O478" s="6">
        <v>7.9000000000000001E-2</v>
      </c>
      <c r="P478" s="6">
        <v>0</v>
      </c>
      <c r="Q478" s="4" t="s">
        <v>26</v>
      </c>
      <c r="R478" s="4">
        <v>0</v>
      </c>
      <c r="S478" s="6">
        <v>0</v>
      </c>
      <c r="T478" s="6">
        <v>75</v>
      </c>
      <c r="U478" s="6">
        <v>48</v>
      </c>
      <c r="V478" s="6">
        <f>IF(ISERROR(VLOOKUP($S$478,'TAR FIN'!$A$1:$O$92,15,0)),0,VLOOKUP($S$478,'TAR FIN'!$A$1:$O$92,15,0))</f>
        <v>0</v>
      </c>
      <c r="W478" s="6">
        <f>IF(ISERROR(VLOOKUP($T$478,'TAR FIN'!$A$1:$O$92,15,0)),0,VLOOKUP($T$478,'TAR FIN'!$A$1:$O$92,15,0))</f>
        <v>543.07000000000005</v>
      </c>
      <c r="X478" s="6">
        <f>IF(ISERROR(VLOOKUP($U$478,'TAR FIN'!$A$1:$O$92,15,0)),0,VLOOKUP($U$478,'TAR FIN'!$A$1:$O$92,15,0))</f>
        <v>286.76</v>
      </c>
      <c r="Y478" s="6"/>
      <c r="Z478" s="6">
        <f ca="1">('TUSD BE'!$AM$50+'TUSD BF'!$AM$50+'TUSD CVA'!$AM$50)*1</f>
        <v>712.22418763999713</v>
      </c>
      <c r="AA478" s="6">
        <f>('TE BE'!$AB$38+'TE BF'!$AB$38+'TE CVA'!$AB$38)*1</f>
        <v>271.35516669689775</v>
      </c>
      <c r="AB478" s="6">
        <f>$K$478*$V$478</f>
        <v>0</v>
      </c>
      <c r="AC478" s="6">
        <f>$M$478*$W$478</f>
        <v>42.902530000000006</v>
      </c>
      <c r="AD478" s="6">
        <f>$O$478*$X$478</f>
        <v>22.654039999999998</v>
      </c>
      <c r="AE478" s="6">
        <f>$K$478*$Y$478</f>
        <v>0</v>
      </c>
      <c r="AF478" s="6">
        <f ca="1">$M$478*$Z$478</f>
        <v>56.265710823559772</v>
      </c>
      <c r="AG478" s="6">
        <f>$O$478*$AA$478</f>
        <v>21.437058169054922</v>
      </c>
    </row>
    <row r="479" spans="1:33" ht="11.25" hidden="1" customHeight="1" x14ac:dyDescent="0.3">
      <c r="A479" s="4" t="s">
        <v>21</v>
      </c>
      <c r="B479" s="4" t="s">
        <v>32</v>
      </c>
      <c r="C479" s="4" t="s">
        <v>38</v>
      </c>
      <c r="D479" s="4" t="s">
        <v>33</v>
      </c>
      <c r="E479" s="4" t="s">
        <v>25</v>
      </c>
      <c r="F479" s="4" t="s">
        <v>25</v>
      </c>
      <c r="G479" s="4" t="s">
        <v>25</v>
      </c>
      <c r="H479" s="4" t="s">
        <v>39</v>
      </c>
      <c r="I479" s="5">
        <v>44593</v>
      </c>
      <c r="J479" s="6">
        <v>0</v>
      </c>
      <c r="K479" s="6">
        <v>0</v>
      </c>
      <c r="L479" s="6">
        <v>9.0999999999999998E-2</v>
      </c>
      <c r="M479" s="6">
        <v>9.0999999999999998E-2</v>
      </c>
      <c r="N479" s="6">
        <v>9.0999999999999998E-2</v>
      </c>
      <c r="O479" s="6">
        <v>9.0999999999999998E-2</v>
      </c>
      <c r="P479" s="6">
        <v>0</v>
      </c>
      <c r="Q479" s="4" t="s">
        <v>26</v>
      </c>
      <c r="R479" s="4">
        <v>0</v>
      </c>
      <c r="S479" s="6">
        <v>0</v>
      </c>
      <c r="T479" s="6">
        <v>75</v>
      </c>
      <c r="U479" s="6">
        <v>48</v>
      </c>
      <c r="V479" s="6">
        <f>IF(ISERROR(VLOOKUP($S$479,'TAR FIN'!$A$1:$O$92,15,0)),0,VLOOKUP($S$479,'TAR FIN'!$A$1:$O$92,15,0))</f>
        <v>0</v>
      </c>
      <c r="W479" s="6">
        <f>IF(ISERROR(VLOOKUP($T$479,'TAR FIN'!$A$1:$O$92,15,0)),0,VLOOKUP($T$479,'TAR FIN'!$A$1:$O$92,15,0))</f>
        <v>543.07000000000005</v>
      </c>
      <c r="X479" s="6">
        <f>IF(ISERROR(VLOOKUP($U$479,'TAR FIN'!$A$1:$O$92,15,0)),0,VLOOKUP($U$479,'TAR FIN'!$A$1:$O$92,15,0))</f>
        <v>286.76</v>
      </c>
      <c r="Y479" s="6"/>
      <c r="Z479" s="6">
        <f ca="1">('TUSD BE'!$AM$50+'TUSD BF'!$AM$50+'TUSD CVA'!$AM$50)*1</f>
        <v>712.22418763999713</v>
      </c>
      <c r="AA479" s="6">
        <f>('TE BE'!$AB$38+'TE BF'!$AB$38+'TE CVA'!$AB$38)*1</f>
        <v>271.35516669689775</v>
      </c>
      <c r="AB479" s="6">
        <f>$K$479*$V$479</f>
        <v>0</v>
      </c>
      <c r="AC479" s="6">
        <f>$M$479*$W$479</f>
        <v>49.419370000000001</v>
      </c>
      <c r="AD479" s="6">
        <f>$O$479*$X$479</f>
        <v>26.09516</v>
      </c>
      <c r="AE479" s="6">
        <f>$K$479*$Y$479</f>
        <v>0</v>
      </c>
      <c r="AF479" s="6">
        <f ca="1">$M$479*$Z$479</f>
        <v>64.812401075239734</v>
      </c>
      <c r="AG479" s="6">
        <f>$O$479*$AA$479</f>
        <v>24.693320169417696</v>
      </c>
    </row>
    <row r="480" spans="1:33" ht="11.25" hidden="1" customHeight="1" x14ac:dyDescent="0.3">
      <c r="A480" s="4" t="s">
        <v>21</v>
      </c>
      <c r="B480" s="4" t="s">
        <v>32</v>
      </c>
      <c r="C480" s="4" t="s">
        <v>38</v>
      </c>
      <c r="D480" s="4" t="s">
        <v>33</v>
      </c>
      <c r="E480" s="4" t="s">
        <v>25</v>
      </c>
      <c r="F480" s="4" t="s">
        <v>25</v>
      </c>
      <c r="G480" s="4" t="s">
        <v>25</v>
      </c>
      <c r="H480" s="4" t="s">
        <v>39</v>
      </c>
      <c r="I480" s="5">
        <v>44621</v>
      </c>
      <c r="J480" s="6">
        <v>0</v>
      </c>
      <c r="K480" s="6">
        <v>0</v>
      </c>
      <c r="L480" s="6">
        <v>5.6000000000000001E-2</v>
      </c>
      <c r="M480" s="6">
        <v>5.6000000000000001E-2</v>
      </c>
      <c r="N480" s="6">
        <v>5.6000000000000001E-2</v>
      </c>
      <c r="O480" s="6">
        <v>5.6000000000000001E-2</v>
      </c>
      <c r="P480" s="6">
        <v>0</v>
      </c>
      <c r="Q480" s="4" t="s">
        <v>26</v>
      </c>
      <c r="R480" s="4">
        <v>0</v>
      </c>
      <c r="S480" s="6">
        <v>0</v>
      </c>
      <c r="T480" s="6">
        <v>75</v>
      </c>
      <c r="U480" s="6">
        <v>48</v>
      </c>
      <c r="V480" s="6">
        <f>IF(ISERROR(VLOOKUP($S$480,'TAR FIN'!$A$1:$O$92,15,0)),0,VLOOKUP($S$480,'TAR FIN'!$A$1:$O$92,15,0))</f>
        <v>0</v>
      </c>
      <c r="W480" s="6">
        <f>IF(ISERROR(VLOOKUP($T$480,'TAR FIN'!$A$1:$O$92,15,0)),0,VLOOKUP($T$480,'TAR FIN'!$A$1:$O$92,15,0))</f>
        <v>543.07000000000005</v>
      </c>
      <c r="X480" s="6">
        <f>IF(ISERROR(VLOOKUP($U$480,'TAR FIN'!$A$1:$O$92,15,0)),0,VLOOKUP($U$480,'TAR FIN'!$A$1:$O$92,15,0))</f>
        <v>286.76</v>
      </c>
      <c r="Y480" s="6"/>
      <c r="Z480" s="6">
        <f ca="1">('TUSD BE'!$AM$50+'TUSD BF'!$AM$50+'TUSD CVA'!$AM$50)*1</f>
        <v>712.22418763999713</v>
      </c>
      <c r="AA480" s="6">
        <f>('TE BE'!$AB$38+'TE BF'!$AB$38+'TE CVA'!$AB$38)*1</f>
        <v>271.35516669689775</v>
      </c>
      <c r="AB480" s="6">
        <f>$K$480*$V$480</f>
        <v>0</v>
      </c>
      <c r="AC480" s="6">
        <f>$M$480*$W$480</f>
        <v>30.411920000000002</v>
      </c>
      <c r="AD480" s="6">
        <f>$O$480*$X$480</f>
        <v>16.05856</v>
      </c>
      <c r="AE480" s="6">
        <f>$K$480*$Y$480</f>
        <v>0</v>
      </c>
      <c r="AF480" s="6">
        <f ca="1">$M$480*$Z$480</f>
        <v>39.884554507839837</v>
      </c>
      <c r="AG480" s="6">
        <f>$O$480*$AA$480</f>
        <v>15.195889335026274</v>
      </c>
    </row>
    <row r="481" spans="1:33" ht="11.25" hidden="1" customHeight="1" x14ac:dyDescent="0.3">
      <c r="A481" s="4" t="s">
        <v>21</v>
      </c>
      <c r="B481" s="4" t="s">
        <v>32</v>
      </c>
      <c r="C481" s="4" t="s">
        <v>38</v>
      </c>
      <c r="D481" s="4" t="s">
        <v>33</v>
      </c>
      <c r="E481" s="4" t="s">
        <v>25</v>
      </c>
      <c r="F481" s="4" t="s">
        <v>25</v>
      </c>
      <c r="G481" s="4" t="s">
        <v>25</v>
      </c>
      <c r="H481" s="4" t="s">
        <v>39</v>
      </c>
      <c r="I481" s="5">
        <v>44652</v>
      </c>
      <c r="J481" s="6">
        <v>0</v>
      </c>
      <c r="K481" s="6">
        <v>0</v>
      </c>
      <c r="L481" s="6">
        <v>9.0999999999999998E-2</v>
      </c>
      <c r="M481" s="6">
        <v>9.0999999999999998E-2</v>
      </c>
      <c r="N481" s="6">
        <v>9.0999999999999998E-2</v>
      </c>
      <c r="O481" s="6">
        <v>9.0999999999999998E-2</v>
      </c>
      <c r="P481" s="6">
        <v>0</v>
      </c>
      <c r="Q481" s="4" t="s">
        <v>26</v>
      </c>
      <c r="R481" s="4">
        <v>0</v>
      </c>
      <c r="S481" s="6">
        <v>0</v>
      </c>
      <c r="T481" s="6">
        <v>75</v>
      </c>
      <c r="U481" s="6">
        <v>48</v>
      </c>
      <c r="V481" s="6">
        <f>IF(ISERROR(VLOOKUP($S$481,'TAR FIN'!$A$1:$O$92,15,0)),0,VLOOKUP($S$481,'TAR FIN'!$A$1:$O$92,15,0))</f>
        <v>0</v>
      </c>
      <c r="W481" s="6">
        <f>IF(ISERROR(VLOOKUP($T$481,'TAR FIN'!$A$1:$O$92,15,0)),0,VLOOKUP($T$481,'TAR FIN'!$A$1:$O$92,15,0))</f>
        <v>543.07000000000005</v>
      </c>
      <c r="X481" s="6">
        <f>IF(ISERROR(VLOOKUP($U$481,'TAR FIN'!$A$1:$O$92,15,0)),0,VLOOKUP($U$481,'TAR FIN'!$A$1:$O$92,15,0))</f>
        <v>286.76</v>
      </c>
      <c r="Y481" s="6"/>
      <c r="Z481" s="6">
        <f ca="1">('TUSD BE'!$AM$50+'TUSD BF'!$AM$50+'TUSD CVA'!$AM$50)*1</f>
        <v>712.22418763999713</v>
      </c>
      <c r="AA481" s="6">
        <f>('TE BE'!$AB$38+'TE BF'!$AB$38+'TE CVA'!$AB$38)*1</f>
        <v>271.35516669689775</v>
      </c>
      <c r="AB481" s="6">
        <f>$K$481*$V$481</f>
        <v>0</v>
      </c>
      <c r="AC481" s="6">
        <f>$M$481*$W$481</f>
        <v>49.419370000000001</v>
      </c>
      <c r="AD481" s="6">
        <f>$O$481*$X$481</f>
        <v>26.09516</v>
      </c>
      <c r="AE481" s="6">
        <f>$K$481*$Y$481</f>
        <v>0</v>
      </c>
      <c r="AF481" s="6">
        <f ca="1">$M$481*$Z$481</f>
        <v>64.812401075239734</v>
      </c>
      <c r="AG481" s="6">
        <f>$O$481*$AA$481</f>
        <v>24.693320169417696</v>
      </c>
    </row>
    <row r="482" spans="1:33" ht="11.25" hidden="1" customHeight="1" x14ac:dyDescent="0.3">
      <c r="A482" s="4" t="s">
        <v>21</v>
      </c>
      <c r="B482" s="4" t="s">
        <v>32</v>
      </c>
      <c r="C482" s="4" t="s">
        <v>38</v>
      </c>
      <c r="D482" s="4" t="s">
        <v>33</v>
      </c>
      <c r="E482" s="4" t="s">
        <v>25</v>
      </c>
      <c r="F482" s="4" t="s">
        <v>25</v>
      </c>
      <c r="G482" s="4" t="s">
        <v>25</v>
      </c>
      <c r="H482" s="4" t="s">
        <v>39</v>
      </c>
      <c r="I482" s="5">
        <v>44682</v>
      </c>
      <c r="J482" s="6">
        <v>0</v>
      </c>
      <c r="K482" s="6">
        <v>0</v>
      </c>
      <c r="L482" s="6">
        <v>5.3999999999999999E-2</v>
      </c>
      <c r="M482" s="6">
        <v>5.3999999999999999E-2</v>
      </c>
      <c r="N482" s="6">
        <v>5.3999999999999999E-2</v>
      </c>
      <c r="O482" s="6">
        <v>5.3999999999999999E-2</v>
      </c>
      <c r="P482" s="6">
        <v>0</v>
      </c>
      <c r="Q482" s="4" t="s">
        <v>26</v>
      </c>
      <c r="R482" s="4">
        <v>0</v>
      </c>
      <c r="S482" s="6">
        <v>0</v>
      </c>
      <c r="T482" s="6">
        <v>75</v>
      </c>
      <c r="U482" s="6">
        <v>48</v>
      </c>
      <c r="V482" s="6">
        <f>IF(ISERROR(VLOOKUP($S$482,'TAR FIN'!$A$1:$O$92,15,0)),0,VLOOKUP($S$482,'TAR FIN'!$A$1:$O$92,15,0))</f>
        <v>0</v>
      </c>
      <c r="W482" s="6">
        <f>IF(ISERROR(VLOOKUP($T$482,'TAR FIN'!$A$1:$O$92,15,0)),0,VLOOKUP($T$482,'TAR FIN'!$A$1:$O$92,15,0))</f>
        <v>543.07000000000005</v>
      </c>
      <c r="X482" s="6">
        <f>IF(ISERROR(VLOOKUP($U$482,'TAR FIN'!$A$1:$O$92,15,0)),0,VLOOKUP($U$482,'TAR FIN'!$A$1:$O$92,15,0))</f>
        <v>286.76</v>
      </c>
      <c r="Y482" s="6"/>
      <c r="Z482" s="6">
        <f ca="1">('TUSD BE'!$AM$50+'TUSD BF'!$AM$50+'TUSD CVA'!$AM$50)*1</f>
        <v>712.22418763999713</v>
      </c>
      <c r="AA482" s="6">
        <f>('TE BE'!$AB$38+'TE BF'!$AB$38+'TE CVA'!$AB$38)*1</f>
        <v>271.35516669689775</v>
      </c>
      <c r="AB482" s="6">
        <f>$K$482*$V$482</f>
        <v>0</v>
      </c>
      <c r="AC482" s="6">
        <f>$M$482*$W$482</f>
        <v>29.325780000000002</v>
      </c>
      <c r="AD482" s="6">
        <f>$O$482*$X$482</f>
        <v>15.48504</v>
      </c>
      <c r="AE482" s="6">
        <f>$K$482*$Y$482</f>
        <v>0</v>
      </c>
      <c r="AF482" s="6">
        <f ca="1">$M$482*$Z$482</f>
        <v>38.460106132559844</v>
      </c>
      <c r="AG482" s="6">
        <f>$O$482*$AA$482</f>
        <v>14.653179001632479</v>
      </c>
    </row>
    <row r="483" spans="1:33" ht="11.25" hidden="1" customHeight="1" x14ac:dyDescent="0.3">
      <c r="A483" s="4" t="s">
        <v>21</v>
      </c>
      <c r="B483" s="4" t="s">
        <v>32</v>
      </c>
      <c r="C483" s="4" t="s">
        <v>38</v>
      </c>
      <c r="D483" s="4" t="s">
        <v>33</v>
      </c>
      <c r="E483" s="4" t="s">
        <v>25</v>
      </c>
      <c r="F483" s="4" t="s">
        <v>25</v>
      </c>
      <c r="G483" s="4" t="s">
        <v>25</v>
      </c>
      <c r="H483" s="4" t="s">
        <v>39</v>
      </c>
      <c r="I483" s="5">
        <v>44713</v>
      </c>
      <c r="J483" s="6">
        <v>0</v>
      </c>
      <c r="K483" s="6">
        <v>0</v>
      </c>
      <c r="L483" s="6">
        <v>8.7999999999999995E-2</v>
      </c>
      <c r="M483" s="6">
        <v>8.7999999999999995E-2</v>
      </c>
      <c r="N483" s="6">
        <v>8.7999999999999995E-2</v>
      </c>
      <c r="O483" s="6">
        <v>8.7999999999999995E-2</v>
      </c>
      <c r="P483" s="6">
        <v>0</v>
      </c>
      <c r="Q483" s="4" t="s">
        <v>26</v>
      </c>
      <c r="R483" s="4">
        <v>0</v>
      </c>
      <c r="S483" s="6">
        <v>0</v>
      </c>
      <c r="T483" s="6">
        <v>75</v>
      </c>
      <c r="U483" s="6">
        <v>48</v>
      </c>
      <c r="V483" s="6">
        <f>IF(ISERROR(VLOOKUP($S$483,'TAR FIN'!$A$1:$O$92,15,0)),0,VLOOKUP($S$483,'TAR FIN'!$A$1:$O$92,15,0))</f>
        <v>0</v>
      </c>
      <c r="W483" s="6">
        <f>IF(ISERROR(VLOOKUP($T$483,'TAR FIN'!$A$1:$O$92,15,0)),0,VLOOKUP($T$483,'TAR FIN'!$A$1:$O$92,15,0))</f>
        <v>543.07000000000005</v>
      </c>
      <c r="X483" s="6">
        <f>IF(ISERROR(VLOOKUP($U$483,'TAR FIN'!$A$1:$O$92,15,0)),0,VLOOKUP($U$483,'TAR FIN'!$A$1:$O$92,15,0))</f>
        <v>286.76</v>
      </c>
      <c r="Y483" s="6"/>
      <c r="Z483" s="6">
        <f ca="1">('TUSD BE'!$AM$50+'TUSD BF'!$AM$50+'TUSD CVA'!$AM$50)*1</f>
        <v>712.22418763999713</v>
      </c>
      <c r="AA483" s="6">
        <f>('TE BE'!$AB$38+'TE BF'!$AB$38+'TE CVA'!$AB$38)*1</f>
        <v>271.35516669689775</v>
      </c>
      <c r="AB483" s="6">
        <f>$K$483*$V$483</f>
        <v>0</v>
      </c>
      <c r="AC483" s="6">
        <f>$M$483*$W$483</f>
        <v>47.79016</v>
      </c>
      <c r="AD483" s="6">
        <f>$O$483*$X$483</f>
        <v>25.234879999999997</v>
      </c>
      <c r="AE483" s="6">
        <f>$K$483*$Y$483</f>
        <v>0</v>
      </c>
      <c r="AF483" s="6">
        <f ca="1">$M$483*$Z$483</f>
        <v>62.675728512319743</v>
      </c>
      <c r="AG483" s="6">
        <f>$O$483*$AA$483</f>
        <v>23.879254669327</v>
      </c>
    </row>
    <row r="484" spans="1:33" ht="11.25" hidden="1" customHeight="1" x14ac:dyDescent="0.3">
      <c r="A484" s="4" t="s">
        <v>21</v>
      </c>
      <c r="B484" s="4" t="s">
        <v>32</v>
      </c>
      <c r="C484" s="4" t="s">
        <v>38</v>
      </c>
      <c r="D484" s="4" t="s">
        <v>33</v>
      </c>
      <c r="E484" s="4" t="s">
        <v>25</v>
      </c>
      <c r="F484" s="4" t="s">
        <v>25</v>
      </c>
      <c r="G484" s="4" t="s">
        <v>25</v>
      </c>
      <c r="H484" s="4" t="s">
        <v>39</v>
      </c>
      <c r="I484" s="5">
        <v>44743</v>
      </c>
      <c r="J484" s="6">
        <v>0</v>
      </c>
      <c r="K484" s="6">
        <v>0</v>
      </c>
      <c r="L484" s="6">
        <v>7.5999999999999998E-2</v>
      </c>
      <c r="M484" s="6">
        <v>7.5999999999999998E-2</v>
      </c>
      <c r="N484" s="6">
        <v>7.5999999999999998E-2</v>
      </c>
      <c r="O484" s="6">
        <v>7.5999999999999998E-2</v>
      </c>
      <c r="P484" s="6">
        <v>0</v>
      </c>
      <c r="Q484" s="4" t="s">
        <v>26</v>
      </c>
      <c r="R484" s="4">
        <v>0</v>
      </c>
      <c r="S484" s="6">
        <v>0</v>
      </c>
      <c r="T484" s="6">
        <v>75</v>
      </c>
      <c r="U484" s="6">
        <v>48</v>
      </c>
      <c r="V484" s="6">
        <f>IF(ISERROR(VLOOKUP($S$484,'TAR FIN'!$A$1:$O$92,15,0)),0,VLOOKUP($S$484,'TAR FIN'!$A$1:$O$92,15,0))</f>
        <v>0</v>
      </c>
      <c r="W484" s="6">
        <f>IF(ISERROR(VLOOKUP($T$484,'TAR FIN'!$A$1:$O$92,15,0)),0,VLOOKUP($T$484,'TAR FIN'!$A$1:$O$92,15,0))</f>
        <v>543.07000000000005</v>
      </c>
      <c r="X484" s="6">
        <f>IF(ISERROR(VLOOKUP($U$484,'TAR FIN'!$A$1:$O$92,15,0)),0,VLOOKUP($U$484,'TAR FIN'!$A$1:$O$92,15,0))</f>
        <v>286.76</v>
      </c>
      <c r="Y484" s="6"/>
      <c r="Z484" s="6">
        <f ca="1">('TUSD BE'!$AM$50+'TUSD BF'!$AM$50+'TUSD CVA'!$AM$50)*1</f>
        <v>712.22418763999713</v>
      </c>
      <c r="AA484" s="6">
        <f>('TE BE'!$AB$38+'TE BF'!$AB$38+'TE CVA'!$AB$38)*1</f>
        <v>271.35516669689775</v>
      </c>
      <c r="AB484" s="6">
        <f>$K$484*$V$484</f>
        <v>0</v>
      </c>
      <c r="AC484" s="6">
        <f>$M$484*$W$484</f>
        <v>41.273320000000005</v>
      </c>
      <c r="AD484" s="6">
        <f>$O$484*$X$484</f>
        <v>21.793759999999999</v>
      </c>
      <c r="AE484" s="6">
        <f>$K$484*$Y$484</f>
        <v>0</v>
      </c>
      <c r="AF484" s="6">
        <f ca="1">$M$484*$Z$484</f>
        <v>54.129038260639781</v>
      </c>
      <c r="AG484" s="6">
        <f>$O$484*$AA$484</f>
        <v>20.62299266896423</v>
      </c>
    </row>
    <row r="485" spans="1:33" ht="11.25" hidden="1" customHeight="1" x14ac:dyDescent="0.3">
      <c r="A485" s="4" t="s">
        <v>21</v>
      </c>
      <c r="B485" s="4" t="s">
        <v>32</v>
      </c>
      <c r="C485" s="4" t="s">
        <v>38</v>
      </c>
      <c r="D485" s="4" t="s">
        <v>33</v>
      </c>
      <c r="E485" s="4" t="s">
        <v>25</v>
      </c>
      <c r="F485" s="4" t="s">
        <v>25</v>
      </c>
      <c r="G485" s="4" t="s">
        <v>25</v>
      </c>
      <c r="H485" s="4" t="s">
        <v>36</v>
      </c>
      <c r="I485" s="5">
        <v>44409</v>
      </c>
      <c r="J485" s="6">
        <v>0</v>
      </c>
      <c r="K485" s="6">
        <v>0</v>
      </c>
      <c r="L485" s="6">
        <v>1.6E-2</v>
      </c>
      <c r="M485" s="6">
        <v>1.6E-2</v>
      </c>
      <c r="N485" s="6">
        <v>1.6E-2</v>
      </c>
      <c r="O485" s="6">
        <v>1.6E-2</v>
      </c>
      <c r="P485" s="6">
        <v>0</v>
      </c>
      <c r="Q485" s="4" t="s">
        <v>26</v>
      </c>
      <c r="R485" s="4">
        <v>0</v>
      </c>
      <c r="S485" s="6">
        <v>0</v>
      </c>
      <c r="T485" s="6">
        <v>74</v>
      </c>
      <c r="U485" s="6">
        <v>47</v>
      </c>
      <c r="V485" s="6">
        <f>IF(ISERROR(VLOOKUP($S$485,'TAR FIN'!$A$1:$O$92,15,0)),0,VLOOKUP($S$485,'TAR FIN'!$A$1:$O$92,15,0))</f>
        <v>0</v>
      </c>
      <c r="W485" s="6">
        <f>IF(ISERROR(VLOOKUP($T$485,'TAR FIN'!$A$1:$O$92,15,0)),0,VLOOKUP($T$485,'TAR FIN'!$A$1:$O$92,15,0))</f>
        <v>1905.55</v>
      </c>
      <c r="X485" s="6">
        <f>IF(ISERROR(VLOOKUP($U$485,'TAR FIN'!$A$1:$O$92,15,0)),0,VLOOKUP($U$485,'TAR FIN'!$A$1:$O$92,15,0))</f>
        <v>488.15</v>
      </c>
      <c r="Y485" s="6"/>
      <c r="Z485" s="6">
        <f ca="1">('TUSD BE'!$AM$49+'TUSD BF'!$AM$49+'TUSD CVA'!$AM$49)*1</f>
        <v>2351.0612295581759</v>
      </c>
      <c r="AA485" s="6">
        <f>('TE BE'!$AB$37+'TE BF'!$AB$37+'TE CVA'!$AB$37)*1</f>
        <v>461.06028669645673</v>
      </c>
      <c r="AB485" s="6">
        <f>$K$485*$V$485</f>
        <v>0</v>
      </c>
      <c r="AC485" s="6">
        <f>$M$485*$W$485</f>
        <v>30.488800000000001</v>
      </c>
      <c r="AD485" s="6">
        <f>$O$485*$X$485</f>
        <v>7.8103999999999996</v>
      </c>
      <c r="AE485" s="6">
        <f>$K$485*$Y$485</f>
        <v>0</v>
      </c>
      <c r="AF485" s="6">
        <f ca="1">$M$485*$Z$485</f>
        <v>37.616979672930817</v>
      </c>
      <c r="AG485" s="6">
        <f>$O$485*$AA$485</f>
        <v>7.3769645871433074</v>
      </c>
    </row>
    <row r="486" spans="1:33" ht="11.25" hidden="1" customHeight="1" x14ac:dyDescent="0.3">
      <c r="A486" s="4" t="s">
        <v>21</v>
      </c>
      <c r="B486" s="4" t="s">
        <v>32</v>
      </c>
      <c r="C486" s="4" t="s">
        <v>38</v>
      </c>
      <c r="D486" s="4" t="s">
        <v>33</v>
      </c>
      <c r="E486" s="4" t="s">
        <v>25</v>
      </c>
      <c r="F486" s="4" t="s">
        <v>25</v>
      </c>
      <c r="G486" s="4" t="s">
        <v>25</v>
      </c>
      <c r="H486" s="4" t="s">
        <v>36</v>
      </c>
      <c r="I486" s="5">
        <v>44440</v>
      </c>
      <c r="J486" s="6">
        <v>0</v>
      </c>
      <c r="K486" s="6">
        <v>0</v>
      </c>
      <c r="L486" s="6">
        <v>2.1000000000000001E-2</v>
      </c>
      <c r="M486" s="6">
        <v>2.1000000000000001E-2</v>
      </c>
      <c r="N486" s="6">
        <v>2.1000000000000001E-2</v>
      </c>
      <c r="O486" s="6">
        <v>2.1000000000000001E-2</v>
      </c>
      <c r="P486" s="6">
        <v>0</v>
      </c>
      <c r="Q486" s="4" t="s">
        <v>26</v>
      </c>
      <c r="R486" s="4">
        <v>0</v>
      </c>
      <c r="S486" s="6">
        <v>0</v>
      </c>
      <c r="T486" s="6">
        <v>74</v>
      </c>
      <c r="U486" s="6">
        <v>47</v>
      </c>
      <c r="V486" s="6">
        <f>IF(ISERROR(VLOOKUP($S$486,'TAR FIN'!$A$1:$O$92,15,0)),0,VLOOKUP($S$486,'TAR FIN'!$A$1:$O$92,15,0))</f>
        <v>0</v>
      </c>
      <c r="W486" s="6">
        <f>IF(ISERROR(VLOOKUP($T$486,'TAR FIN'!$A$1:$O$92,15,0)),0,VLOOKUP($T$486,'TAR FIN'!$A$1:$O$92,15,0))</f>
        <v>1905.55</v>
      </c>
      <c r="X486" s="6">
        <f>IF(ISERROR(VLOOKUP($U$486,'TAR FIN'!$A$1:$O$92,15,0)),0,VLOOKUP($U$486,'TAR FIN'!$A$1:$O$92,15,0))</f>
        <v>488.15</v>
      </c>
      <c r="Y486" s="6"/>
      <c r="Z486" s="6">
        <f ca="1">('TUSD BE'!$AM$49+'TUSD BF'!$AM$49+'TUSD CVA'!$AM$49)*1</f>
        <v>2351.0612295581759</v>
      </c>
      <c r="AA486" s="6">
        <f>('TE BE'!$AB$37+'TE BF'!$AB$37+'TE CVA'!$AB$37)*1</f>
        <v>461.06028669645673</v>
      </c>
      <c r="AB486" s="6">
        <f>$K$486*$V$486</f>
        <v>0</v>
      </c>
      <c r="AC486" s="6">
        <f>$M$486*$W$486</f>
        <v>40.016550000000002</v>
      </c>
      <c r="AD486" s="6">
        <f>$O$486*$X$486</f>
        <v>10.251150000000001</v>
      </c>
      <c r="AE486" s="6">
        <f>$K$486*$Y$486</f>
        <v>0</v>
      </c>
      <c r="AF486" s="6">
        <f ca="1">$M$486*$Z$486</f>
        <v>49.3722858207217</v>
      </c>
      <c r="AG486" s="6">
        <f>$O$486*$AA$486</f>
        <v>9.6822660206255922</v>
      </c>
    </row>
    <row r="487" spans="1:33" ht="11.25" hidden="1" customHeight="1" x14ac:dyDescent="0.3">
      <c r="A487" s="4" t="s">
        <v>21</v>
      </c>
      <c r="B487" s="4" t="s">
        <v>32</v>
      </c>
      <c r="C487" s="4" t="s">
        <v>38</v>
      </c>
      <c r="D487" s="4" t="s">
        <v>33</v>
      </c>
      <c r="E487" s="4" t="s">
        <v>25</v>
      </c>
      <c r="F487" s="4" t="s">
        <v>25</v>
      </c>
      <c r="G487" s="4" t="s">
        <v>25</v>
      </c>
      <c r="H487" s="4" t="s">
        <v>36</v>
      </c>
      <c r="I487" s="5">
        <v>44470</v>
      </c>
      <c r="J487" s="6">
        <v>0</v>
      </c>
      <c r="K487" s="6">
        <v>0</v>
      </c>
      <c r="L487" s="6">
        <v>0.03</v>
      </c>
      <c r="M487" s="6">
        <v>0.03</v>
      </c>
      <c r="N487" s="6">
        <v>0.03</v>
      </c>
      <c r="O487" s="6">
        <v>0.03</v>
      </c>
      <c r="P487" s="6">
        <v>0</v>
      </c>
      <c r="Q487" s="4" t="s">
        <v>26</v>
      </c>
      <c r="R487" s="4">
        <v>0</v>
      </c>
      <c r="S487" s="6">
        <v>0</v>
      </c>
      <c r="T487" s="6">
        <v>74</v>
      </c>
      <c r="U487" s="6">
        <v>47</v>
      </c>
      <c r="V487" s="6">
        <f>IF(ISERROR(VLOOKUP($S$487,'TAR FIN'!$A$1:$O$92,15,0)),0,VLOOKUP($S$487,'TAR FIN'!$A$1:$O$92,15,0))</f>
        <v>0</v>
      </c>
      <c r="W487" s="6">
        <f>IF(ISERROR(VLOOKUP($T$487,'TAR FIN'!$A$1:$O$92,15,0)),0,VLOOKUP($T$487,'TAR FIN'!$A$1:$O$92,15,0))</f>
        <v>1905.55</v>
      </c>
      <c r="X487" s="6">
        <f>IF(ISERROR(VLOOKUP($U$487,'TAR FIN'!$A$1:$O$92,15,0)),0,VLOOKUP($U$487,'TAR FIN'!$A$1:$O$92,15,0))</f>
        <v>488.15</v>
      </c>
      <c r="Y487" s="6"/>
      <c r="Z487" s="6">
        <f ca="1">('TUSD BE'!$AM$49+'TUSD BF'!$AM$49+'TUSD CVA'!$AM$49)*1</f>
        <v>2351.0612295581759</v>
      </c>
      <c r="AA487" s="6">
        <f>('TE BE'!$AB$37+'TE BF'!$AB$37+'TE CVA'!$AB$37)*1</f>
        <v>461.06028669645673</v>
      </c>
      <c r="AB487" s="6">
        <f>$K$487*$V$487</f>
        <v>0</v>
      </c>
      <c r="AC487" s="6">
        <f>$M$487*$W$487</f>
        <v>57.166499999999999</v>
      </c>
      <c r="AD487" s="6">
        <f>$O$487*$X$487</f>
        <v>14.644499999999999</v>
      </c>
      <c r="AE487" s="6">
        <f>$K$487*$Y$487</f>
        <v>0</v>
      </c>
      <c r="AF487" s="6">
        <f ca="1">$M$487*$Z$487</f>
        <v>70.531836886745268</v>
      </c>
      <c r="AG487" s="6">
        <f>$O$487*$AA$487</f>
        <v>13.831808600893702</v>
      </c>
    </row>
    <row r="488" spans="1:33" ht="11.25" hidden="1" customHeight="1" x14ac:dyDescent="0.3">
      <c r="A488" s="4" t="s">
        <v>21</v>
      </c>
      <c r="B488" s="4" t="s">
        <v>32</v>
      </c>
      <c r="C488" s="4" t="s">
        <v>38</v>
      </c>
      <c r="D488" s="4" t="s">
        <v>33</v>
      </c>
      <c r="E488" s="4" t="s">
        <v>25</v>
      </c>
      <c r="F488" s="4" t="s">
        <v>25</v>
      </c>
      <c r="G488" s="4" t="s">
        <v>25</v>
      </c>
      <c r="H488" s="4" t="s">
        <v>36</v>
      </c>
      <c r="I488" s="5">
        <v>44501</v>
      </c>
      <c r="J488" s="6">
        <v>0</v>
      </c>
      <c r="K488" s="6">
        <v>0</v>
      </c>
      <c r="L488" s="6">
        <v>2.9000000000000001E-2</v>
      </c>
      <c r="M488" s="6">
        <v>2.9000000000000001E-2</v>
      </c>
      <c r="N488" s="6">
        <v>2.9000000000000001E-2</v>
      </c>
      <c r="O488" s="6">
        <v>2.9000000000000001E-2</v>
      </c>
      <c r="P488" s="6">
        <v>0</v>
      </c>
      <c r="Q488" s="4" t="s">
        <v>26</v>
      </c>
      <c r="R488" s="4">
        <v>0</v>
      </c>
      <c r="S488" s="6">
        <v>0</v>
      </c>
      <c r="T488" s="6">
        <v>74</v>
      </c>
      <c r="U488" s="6">
        <v>47</v>
      </c>
      <c r="V488" s="6">
        <f>IF(ISERROR(VLOOKUP($S$488,'TAR FIN'!$A$1:$O$92,15,0)),0,VLOOKUP($S$488,'TAR FIN'!$A$1:$O$92,15,0))</f>
        <v>0</v>
      </c>
      <c r="W488" s="6">
        <f>IF(ISERROR(VLOOKUP($T$488,'TAR FIN'!$A$1:$O$92,15,0)),0,VLOOKUP($T$488,'TAR FIN'!$A$1:$O$92,15,0))</f>
        <v>1905.55</v>
      </c>
      <c r="X488" s="6">
        <f>IF(ISERROR(VLOOKUP($U$488,'TAR FIN'!$A$1:$O$92,15,0)),0,VLOOKUP($U$488,'TAR FIN'!$A$1:$O$92,15,0))</f>
        <v>488.15</v>
      </c>
      <c r="Y488" s="6"/>
      <c r="Z488" s="6">
        <f ca="1">('TUSD BE'!$AM$49+'TUSD BF'!$AM$49+'TUSD CVA'!$AM$49)*1</f>
        <v>2351.0612295581759</v>
      </c>
      <c r="AA488" s="6">
        <f>('TE BE'!$AB$37+'TE BF'!$AB$37+'TE CVA'!$AB$37)*1</f>
        <v>461.06028669645673</v>
      </c>
      <c r="AB488" s="6">
        <f>$K$488*$V$488</f>
        <v>0</v>
      </c>
      <c r="AC488" s="6">
        <f>$M$488*$W$488</f>
        <v>55.260950000000001</v>
      </c>
      <c r="AD488" s="6">
        <f>$O$488*$X$488</f>
        <v>14.15635</v>
      </c>
      <c r="AE488" s="6">
        <f>$K$488*$Y$488</f>
        <v>0</v>
      </c>
      <c r="AF488" s="6">
        <f ca="1">$M$488*$Z$488</f>
        <v>68.180775657187098</v>
      </c>
      <c r="AG488" s="6">
        <f>$O$488*$AA$488</f>
        <v>13.370748314197245</v>
      </c>
    </row>
    <row r="489" spans="1:33" ht="11.25" hidden="1" customHeight="1" x14ac:dyDescent="0.3">
      <c r="A489" s="4" t="s">
        <v>21</v>
      </c>
      <c r="B489" s="4" t="s">
        <v>32</v>
      </c>
      <c r="C489" s="4" t="s">
        <v>38</v>
      </c>
      <c r="D489" s="4" t="s">
        <v>33</v>
      </c>
      <c r="E489" s="4" t="s">
        <v>25</v>
      </c>
      <c r="F489" s="4" t="s">
        <v>25</v>
      </c>
      <c r="G489" s="4" t="s">
        <v>25</v>
      </c>
      <c r="H489" s="4" t="s">
        <v>36</v>
      </c>
      <c r="I489" s="5">
        <v>44531</v>
      </c>
      <c r="J489" s="6">
        <v>0</v>
      </c>
      <c r="K489" s="6">
        <v>0</v>
      </c>
      <c r="L489" s="6">
        <v>3.1E-2</v>
      </c>
      <c r="M489" s="6">
        <v>3.1E-2</v>
      </c>
      <c r="N489" s="6">
        <v>3.1E-2</v>
      </c>
      <c r="O489" s="6">
        <v>3.1E-2</v>
      </c>
      <c r="P489" s="6">
        <v>0</v>
      </c>
      <c r="Q489" s="4" t="s">
        <v>26</v>
      </c>
      <c r="R489" s="4">
        <v>0</v>
      </c>
      <c r="S489" s="6">
        <v>0</v>
      </c>
      <c r="T489" s="6">
        <v>74</v>
      </c>
      <c r="U489" s="6">
        <v>47</v>
      </c>
      <c r="V489" s="6">
        <f>IF(ISERROR(VLOOKUP($S$489,'TAR FIN'!$A$1:$O$92,15,0)),0,VLOOKUP($S$489,'TAR FIN'!$A$1:$O$92,15,0))</f>
        <v>0</v>
      </c>
      <c r="W489" s="6">
        <f>IF(ISERROR(VLOOKUP($T$489,'TAR FIN'!$A$1:$O$92,15,0)),0,VLOOKUP($T$489,'TAR FIN'!$A$1:$O$92,15,0))</f>
        <v>1905.55</v>
      </c>
      <c r="X489" s="6">
        <f>IF(ISERROR(VLOOKUP($U$489,'TAR FIN'!$A$1:$O$92,15,0)),0,VLOOKUP($U$489,'TAR FIN'!$A$1:$O$92,15,0))</f>
        <v>488.15</v>
      </c>
      <c r="Y489" s="6"/>
      <c r="Z489" s="6">
        <f ca="1">('TUSD BE'!$AM$49+'TUSD BF'!$AM$49+'TUSD CVA'!$AM$49)*1</f>
        <v>2351.0612295581759</v>
      </c>
      <c r="AA489" s="6">
        <f>('TE BE'!$AB$37+'TE BF'!$AB$37+'TE CVA'!$AB$37)*1</f>
        <v>461.06028669645673</v>
      </c>
      <c r="AB489" s="6">
        <f>$K$489*$V$489</f>
        <v>0</v>
      </c>
      <c r="AC489" s="6">
        <f>$M$489*$W$489</f>
        <v>59.072049999999997</v>
      </c>
      <c r="AD489" s="6">
        <f>$O$489*$X$489</f>
        <v>15.13265</v>
      </c>
      <c r="AE489" s="6">
        <f>$K$489*$Y$489</f>
        <v>0</v>
      </c>
      <c r="AF489" s="6">
        <f ca="1">$M$489*$Z$489</f>
        <v>72.882898116303451</v>
      </c>
      <c r="AG489" s="6">
        <f>$O$489*$AA$489</f>
        <v>14.292868887590158</v>
      </c>
    </row>
    <row r="490" spans="1:33" ht="11.25" hidden="1" customHeight="1" x14ac:dyDescent="0.3">
      <c r="A490" s="4" t="s">
        <v>21</v>
      </c>
      <c r="B490" s="4" t="s">
        <v>32</v>
      </c>
      <c r="C490" s="4" t="s">
        <v>38</v>
      </c>
      <c r="D490" s="4" t="s">
        <v>33</v>
      </c>
      <c r="E490" s="4" t="s">
        <v>25</v>
      </c>
      <c r="F490" s="4" t="s">
        <v>25</v>
      </c>
      <c r="G490" s="4" t="s">
        <v>25</v>
      </c>
      <c r="H490" s="4" t="s">
        <v>36</v>
      </c>
      <c r="I490" s="5">
        <v>44562</v>
      </c>
      <c r="J490" s="6">
        <v>0</v>
      </c>
      <c r="K490" s="6">
        <v>0</v>
      </c>
      <c r="L490" s="6">
        <v>4.2000000000000003E-2</v>
      </c>
      <c r="M490" s="6">
        <v>4.2000000000000003E-2</v>
      </c>
      <c r="N490" s="6">
        <v>4.2000000000000003E-2</v>
      </c>
      <c r="O490" s="6">
        <v>4.2000000000000003E-2</v>
      </c>
      <c r="P490" s="6">
        <v>0</v>
      </c>
      <c r="Q490" s="4" t="s">
        <v>26</v>
      </c>
      <c r="R490" s="4">
        <v>0</v>
      </c>
      <c r="S490" s="6">
        <v>0</v>
      </c>
      <c r="T490" s="6">
        <v>74</v>
      </c>
      <c r="U490" s="6">
        <v>47</v>
      </c>
      <c r="V490" s="6">
        <f>IF(ISERROR(VLOOKUP($S$490,'TAR FIN'!$A$1:$O$92,15,0)),0,VLOOKUP($S$490,'TAR FIN'!$A$1:$O$92,15,0))</f>
        <v>0</v>
      </c>
      <c r="W490" s="6">
        <f>IF(ISERROR(VLOOKUP($T$490,'TAR FIN'!$A$1:$O$92,15,0)),0,VLOOKUP($T$490,'TAR FIN'!$A$1:$O$92,15,0))</f>
        <v>1905.55</v>
      </c>
      <c r="X490" s="6">
        <f>IF(ISERROR(VLOOKUP($U$490,'TAR FIN'!$A$1:$O$92,15,0)),0,VLOOKUP($U$490,'TAR FIN'!$A$1:$O$92,15,0))</f>
        <v>488.15</v>
      </c>
      <c r="Y490" s="6"/>
      <c r="Z490" s="6">
        <f ca="1">('TUSD BE'!$AM$49+'TUSD BF'!$AM$49+'TUSD CVA'!$AM$49)*1</f>
        <v>2351.0612295581759</v>
      </c>
      <c r="AA490" s="6">
        <f>('TE BE'!$AB$37+'TE BF'!$AB$37+'TE CVA'!$AB$37)*1</f>
        <v>461.06028669645673</v>
      </c>
      <c r="AB490" s="6">
        <f>$K$490*$V$490</f>
        <v>0</v>
      </c>
      <c r="AC490" s="6">
        <f>$M$490*$W$490</f>
        <v>80.033100000000005</v>
      </c>
      <c r="AD490" s="6">
        <f>$O$490*$X$490</f>
        <v>20.502300000000002</v>
      </c>
      <c r="AE490" s="6">
        <f>$K$490*$Y$490</f>
        <v>0</v>
      </c>
      <c r="AF490" s="6">
        <f ca="1">$M$490*$Z$490</f>
        <v>98.7445716414434</v>
      </c>
      <c r="AG490" s="6">
        <f>$O$490*$AA$490</f>
        <v>19.364532041251184</v>
      </c>
    </row>
    <row r="491" spans="1:33" ht="11.25" hidden="1" customHeight="1" x14ac:dyDescent="0.3">
      <c r="A491" s="4" t="s">
        <v>21</v>
      </c>
      <c r="B491" s="4" t="s">
        <v>32</v>
      </c>
      <c r="C491" s="4" t="s">
        <v>38</v>
      </c>
      <c r="D491" s="4" t="s">
        <v>33</v>
      </c>
      <c r="E491" s="4" t="s">
        <v>25</v>
      </c>
      <c r="F491" s="4" t="s">
        <v>25</v>
      </c>
      <c r="G491" s="4" t="s">
        <v>25</v>
      </c>
      <c r="H491" s="4" t="s">
        <v>36</v>
      </c>
      <c r="I491" s="5">
        <v>44593</v>
      </c>
      <c r="J491" s="6">
        <v>0</v>
      </c>
      <c r="K491" s="6">
        <v>0</v>
      </c>
      <c r="L491" s="6">
        <v>3.5999999999999997E-2</v>
      </c>
      <c r="M491" s="6">
        <v>3.5999999999999997E-2</v>
      </c>
      <c r="N491" s="6">
        <v>3.5999999999999997E-2</v>
      </c>
      <c r="O491" s="6">
        <v>3.5999999999999997E-2</v>
      </c>
      <c r="P491" s="6">
        <v>0</v>
      </c>
      <c r="Q491" s="4" t="s">
        <v>26</v>
      </c>
      <c r="R491" s="4">
        <v>0</v>
      </c>
      <c r="S491" s="6">
        <v>0</v>
      </c>
      <c r="T491" s="6">
        <v>74</v>
      </c>
      <c r="U491" s="6">
        <v>47</v>
      </c>
      <c r="V491" s="6">
        <f>IF(ISERROR(VLOOKUP($S$491,'TAR FIN'!$A$1:$O$92,15,0)),0,VLOOKUP($S$491,'TAR FIN'!$A$1:$O$92,15,0))</f>
        <v>0</v>
      </c>
      <c r="W491" s="6">
        <f>IF(ISERROR(VLOOKUP($T$491,'TAR FIN'!$A$1:$O$92,15,0)),0,VLOOKUP($T$491,'TAR FIN'!$A$1:$O$92,15,0))</f>
        <v>1905.55</v>
      </c>
      <c r="X491" s="6">
        <f>IF(ISERROR(VLOOKUP($U$491,'TAR FIN'!$A$1:$O$92,15,0)),0,VLOOKUP($U$491,'TAR FIN'!$A$1:$O$92,15,0))</f>
        <v>488.15</v>
      </c>
      <c r="Y491" s="6"/>
      <c r="Z491" s="6">
        <f ca="1">('TUSD BE'!$AM$49+'TUSD BF'!$AM$49+'TUSD CVA'!$AM$49)*1</f>
        <v>2351.0612295581759</v>
      </c>
      <c r="AA491" s="6">
        <f>('TE BE'!$AB$37+'TE BF'!$AB$37+'TE CVA'!$AB$37)*1</f>
        <v>461.06028669645673</v>
      </c>
      <c r="AB491" s="6">
        <f>$K$491*$V$491</f>
        <v>0</v>
      </c>
      <c r="AC491" s="6">
        <f>$M$491*$W$491</f>
        <v>68.599799999999988</v>
      </c>
      <c r="AD491" s="6">
        <f>$O$491*$X$491</f>
        <v>17.573399999999999</v>
      </c>
      <c r="AE491" s="6">
        <f>$K$491*$Y$491</f>
        <v>0</v>
      </c>
      <c r="AF491" s="6">
        <f ca="1">$M$491*$Z$491</f>
        <v>84.638204264094327</v>
      </c>
      <c r="AG491" s="6">
        <f>$O$491*$AA$491</f>
        <v>16.598170321072441</v>
      </c>
    </row>
    <row r="492" spans="1:33" ht="11.25" hidden="1" customHeight="1" x14ac:dyDescent="0.3">
      <c r="A492" s="4" t="s">
        <v>21</v>
      </c>
      <c r="B492" s="4" t="s">
        <v>32</v>
      </c>
      <c r="C492" s="4" t="s">
        <v>38</v>
      </c>
      <c r="D492" s="4" t="s">
        <v>33</v>
      </c>
      <c r="E492" s="4" t="s">
        <v>25</v>
      </c>
      <c r="F492" s="4" t="s">
        <v>25</v>
      </c>
      <c r="G492" s="4" t="s">
        <v>25</v>
      </c>
      <c r="H492" s="4" t="s">
        <v>36</v>
      </c>
      <c r="I492" s="5">
        <v>44621</v>
      </c>
      <c r="J492" s="6">
        <v>0</v>
      </c>
      <c r="K492" s="6">
        <v>0</v>
      </c>
      <c r="L492" s="6">
        <v>4.3999999999999997E-2</v>
      </c>
      <c r="M492" s="6">
        <v>4.3999999999999997E-2</v>
      </c>
      <c r="N492" s="6">
        <v>4.3999999999999997E-2</v>
      </c>
      <c r="O492" s="6">
        <v>4.3999999999999997E-2</v>
      </c>
      <c r="P492" s="6">
        <v>0</v>
      </c>
      <c r="Q492" s="4" t="s">
        <v>26</v>
      </c>
      <c r="R492" s="4">
        <v>0</v>
      </c>
      <c r="S492" s="6">
        <v>0</v>
      </c>
      <c r="T492" s="6">
        <v>74</v>
      </c>
      <c r="U492" s="6">
        <v>47</v>
      </c>
      <c r="V492" s="6">
        <f>IF(ISERROR(VLOOKUP($S$492,'TAR FIN'!$A$1:$O$92,15,0)),0,VLOOKUP($S$492,'TAR FIN'!$A$1:$O$92,15,0))</f>
        <v>0</v>
      </c>
      <c r="W492" s="6">
        <f>IF(ISERROR(VLOOKUP($T$492,'TAR FIN'!$A$1:$O$92,15,0)),0,VLOOKUP($T$492,'TAR FIN'!$A$1:$O$92,15,0))</f>
        <v>1905.55</v>
      </c>
      <c r="X492" s="6">
        <f>IF(ISERROR(VLOOKUP($U$492,'TAR FIN'!$A$1:$O$92,15,0)),0,VLOOKUP($U$492,'TAR FIN'!$A$1:$O$92,15,0))</f>
        <v>488.15</v>
      </c>
      <c r="Y492" s="6"/>
      <c r="Z492" s="6">
        <f ca="1">('TUSD BE'!$AM$49+'TUSD BF'!$AM$49+'TUSD CVA'!$AM$49)*1</f>
        <v>2351.0612295581759</v>
      </c>
      <c r="AA492" s="6">
        <f>('TE BE'!$AB$37+'TE BF'!$AB$37+'TE CVA'!$AB$37)*1</f>
        <v>461.06028669645673</v>
      </c>
      <c r="AB492" s="6">
        <f>$K$492*$V$492</f>
        <v>0</v>
      </c>
      <c r="AC492" s="6">
        <f>$M$492*$W$492</f>
        <v>83.844199999999987</v>
      </c>
      <c r="AD492" s="6">
        <f>$O$492*$X$492</f>
        <v>21.478599999999997</v>
      </c>
      <c r="AE492" s="6">
        <f>$K$492*$Y$492</f>
        <v>0</v>
      </c>
      <c r="AF492" s="6">
        <f ca="1">$M$492*$Z$492</f>
        <v>103.44669410055974</v>
      </c>
      <c r="AG492" s="6">
        <f>$O$492*$AA$492</f>
        <v>20.286652614644094</v>
      </c>
    </row>
    <row r="493" spans="1:33" ht="11.25" hidden="1" customHeight="1" x14ac:dyDescent="0.3">
      <c r="A493" s="4" t="s">
        <v>21</v>
      </c>
      <c r="B493" s="4" t="s">
        <v>32</v>
      </c>
      <c r="C493" s="4" t="s">
        <v>38</v>
      </c>
      <c r="D493" s="4" t="s">
        <v>33</v>
      </c>
      <c r="E493" s="4" t="s">
        <v>25</v>
      </c>
      <c r="F493" s="4" t="s">
        <v>25</v>
      </c>
      <c r="G493" s="4" t="s">
        <v>25</v>
      </c>
      <c r="H493" s="4" t="s">
        <v>36</v>
      </c>
      <c r="I493" s="5">
        <v>44652</v>
      </c>
      <c r="J493" s="6">
        <v>0</v>
      </c>
      <c r="K493" s="6">
        <v>0</v>
      </c>
      <c r="L493" s="6">
        <v>5.2999999999999999E-2</v>
      </c>
      <c r="M493" s="6">
        <v>5.2999999999999999E-2</v>
      </c>
      <c r="N493" s="6">
        <v>5.2999999999999999E-2</v>
      </c>
      <c r="O493" s="6">
        <v>5.2999999999999999E-2</v>
      </c>
      <c r="P493" s="6">
        <v>0</v>
      </c>
      <c r="Q493" s="4" t="s">
        <v>26</v>
      </c>
      <c r="R493" s="4">
        <v>0</v>
      </c>
      <c r="S493" s="6">
        <v>0</v>
      </c>
      <c r="T493" s="6">
        <v>74</v>
      </c>
      <c r="U493" s="6">
        <v>47</v>
      </c>
      <c r="V493" s="6">
        <f>IF(ISERROR(VLOOKUP($S$493,'TAR FIN'!$A$1:$O$92,15,0)),0,VLOOKUP($S$493,'TAR FIN'!$A$1:$O$92,15,0))</f>
        <v>0</v>
      </c>
      <c r="W493" s="6">
        <f>IF(ISERROR(VLOOKUP($T$493,'TAR FIN'!$A$1:$O$92,15,0)),0,VLOOKUP($T$493,'TAR FIN'!$A$1:$O$92,15,0))</f>
        <v>1905.55</v>
      </c>
      <c r="X493" s="6">
        <f>IF(ISERROR(VLOOKUP($U$493,'TAR FIN'!$A$1:$O$92,15,0)),0,VLOOKUP($U$493,'TAR FIN'!$A$1:$O$92,15,0))</f>
        <v>488.15</v>
      </c>
      <c r="Y493" s="6"/>
      <c r="Z493" s="6">
        <f ca="1">('TUSD BE'!$AM$49+'TUSD BF'!$AM$49+'TUSD CVA'!$AM$49)*1</f>
        <v>2351.0612295581759</v>
      </c>
      <c r="AA493" s="6">
        <f>('TE BE'!$AB$37+'TE BF'!$AB$37+'TE CVA'!$AB$37)*1</f>
        <v>461.06028669645673</v>
      </c>
      <c r="AB493" s="6">
        <f>$K$493*$V$493</f>
        <v>0</v>
      </c>
      <c r="AC493" s="6">
        <f>$M$493*$W$493</f>
        <v>100.99414999999999</v>
      </c>
      <c r="AD493" s="6">
        <f>$O$493*$X$493</f>
        <v>25.871949999999998</v>
      </c>
      <c r="AE493" s="6">
        <f>$K$493*$Y$493</f>
        <v>0</v>
      </c>
      <c r="AF493" s="6">
        <f ca="1">$M$493*$Z$493</f>
        <v>124.60624516658332</v>
      </c>
      <c r="AG493" s="6">
        <f>$O$493*$AA$493</f>
        <v>24.436195194912205</v>
      </c>
    </row>
    <row r="494" spans="1:33" ht="11.25" hidden="1" customHeight="1" x14ac:dyDescent="0.3">
      <c r="A494" s="4" t="s">
        <v>21</v>
      </c>
      <c r="B494" s="4" t="s">
        <v>32</v>
      </c>
      <c r="C494" s="4" t="s">
        <v>38</v>
      </c>
      <c r="D494" s="4" t="s">
        <v>33</v>
      </c>
      <c r="E494" s="4" t="s">
        <v>25</v>
      </c>
      <c r="F494" s="4" t="s">
        <v>25</v>
      </c>
      <c r="G494" s="4" t="s">
        <v>25</v>
      </c>
      <c r="H494" s="4" t="s">
        <v>36</v>
      </c>
      <c r="I494" s="5">
        <v>44682</v>
      </c>
      <c r="J494" s="6">
        <v>0</v>
      </c>
      <c r="K494" s="6">
        <v>0</v>
      </c>
      <c r="L494" s="6">
        <v>0.04</v>
      </c>
      <c r="M494" s="6">
        <v>0.04</v>
      </c>
      <c r="N494" s="6">
        <v>0.04</v>
      </c>
      <c r="O494" s="6">
        <v>0.04</v>
      </c>
      <c r="P494" s="6">
        <v>0</v>
      </c>
      <c r="Q494" s="4" t="s">
        <v>26</v>
      </c>
      <c r="R494" s="4">
        <v>0</v>
      </c>
      <c r="S494" s="6">
        <v>0</v>
      </c>
      <c r="T494" s="6">
        <v>74</v>
      </c>
      <c r="U494" s="6">
        <v>47</v>
      </c>
      <c r="V494" s="6">
        <f>IF(ISERROR(VLOOKUP($S$494,'TAR FIN'!$A$1:$O$92,15,0)),0,VLOOKUP($S$494,'TAR FIN'!$A$1:$O$92,15,0))</f>
        <v>0</v>
      </c>
      <c r="W494" s="6">
        <f>IF(ISERROR(VLOOKUP($T$494,'TAR FIN'!$A$1:$O$92,15,0)),0,VLOOKUP($T$494,'TAR FIN'!$A$1:$O$92,15,0))</f>
        <v>1905.55</v>
      </c>
      <c r="X494" s="6">
        <f>IF(ISERROR(VLOOKUP($U$494,'TAR FIN'!$A$1:$O$92,15,0)),0,VLOOKUP($U$494,'TAR FIN'!$A$1:$O$92,15,0))</f>
        <v>488.15</v>
      </c>
      <c r="Y494" s="6"/>
      <c r="Z494" s="6">
        <f ca="1">('TUSD BE'!$AM$49+'TUSD BF'!$AM$49+'TUSD CVA'!$AM$49)*1</f>
        <v>2351.0612295581759</v>
      </c>
      <c r="AA494" s="6">
        <f>('TE BE'!$AB$37+'TE BF'!$AB$37+'TE CVA'!$AB$37)*1</f>
        <v>461.06028669645673</v>
      </c>
      <c r="AB494" s="6">
        <f>$K$494*$V$494</f>
        <v>0</v>
      </c>
      <c r="AC494" s="6">
        <f>$M$494*$W$494</f>
        <v>76.221999999999994</v>
      </c>
      <c r="AD494" s="6">
        <f>$O$494*$X$494</f>
        <v>19.526</v>
      </c>
      <c r="AE494" s="6">
        <f>$K$494*$Y$494</f>
        <v>0</v>
      </c>
      <c r="AF494" s="6">
        <f ca="1">$M$494*$Z$494</f>
        <v>94.042449182327033</v>
      </c>
      <c r="AG494" s="6">
        <f>$O$494*$AA$494</f>
        <v>18.442411467858271</v>
      </c>
    </row>
    <row r="495" spans="1:33" ht="11.25" hidden="1" customHeight="1" x14ac:dyDescent="0.3">
      <c r="A495" s="4" t="s">
        <v>21</v>
      </c>
      <c r="B495" s="4" t="s">
        <v>32</v>
      </c>
      <c r="C495" s="4" t="s">
        <v>38</v>
      </c>
      <c r="D495" s="4" t="s">
        <v>33</v>
      </c>
      <c r="E495" s="4" t="s">
        <v>25</v>
      </c>
      <c r="F495" s="4" t="s">
        <v>25</v>
      </c>
      <c r="G495" s="4" t="s">
        <v>25</v>
      </c>
      <c r="H495" s="4" t="s">
        <v>36</v>
      </c>
      <c r="I495" s="5">
        <v>44713</v>
      </c>
      <c r="J495" s="6">
        <v>0</v>
      </c>
      <c r="K495" s="6">
        <v>0</v>
      </c>
      <c r="L495" s="6">
        <v>9.1999999999999998E-2</v>
      </c>
      <c r="M495" s="6">
        <v>9.1999999999999998E-2</v>
      </c>
      <c r="N495" s="6">
        <v>9.1999999999999998E-2</v>
      </c>
      <c r="O495" s="6">
        <v>9.1999999999999998E-2</v>
      </c>
      <c r="P495" s="6">
        <v>0</v>
      </c>
      <c r="Q495" s="4" t="s">
        <v>26</v>
      </c>
      <c r="R495" s="4">
        <v>0</v>
      </c>
      <c r="S495" s="6">
        <v>0</v>
      </c>
      <c r="T495" s="6">
        <v>74</v>
      </c>
      <c r="U495" s="6">
        <v>47</v>
      </c>
      <c r="V495" s="6">
        <f>IF(ISERROR(VLOOKUP($S$495,'TAR FIN'!$A$1:$O$92,15,0)),0,VLOOKUP($S$495,'TAR FIN'!$A$1:$O$92,15,0))</f>
        <v>0</v>
      </c>
      <c r="W495" s="6">
        <f>IF(ISERROR(VLOOKUP($T$495,'TAR FIN'!$A$1:$O$92,15,0)),0,VLOOKUP($T$495,'TAR FIN'!$A$1:$O$92,15,0))</f>
        <v>1905.55</v>
      </c>
      <c r="X495" s="6">
        <f>IF(ISERROR(VLOOKUP($U$495,'TAR FIN'!$A$1:$O$92,15,0)),0,VLOOKUP($U$495,'TAR FIN'!$A$1:$O$92,15,0))</f>
        <v>488.15</v>
      </c>
      <c r="Y495" s="6"/>
      <c r="Z495" s="6">
        <f ca="1">('TUSD BE'!$AM$49+'TUSD BF'!$AM$49+'TUSD CVA'!$AM$49)*1</f>
        <v>2351.0612295581759</v>
      </c>
      <c r="AA495" s="6">
        <f>('TE BE'!$AB$37+'TE BF'!$AB$37+'TE CVA'!$AB$37)*1</f>
        <v>461.06028669645673</v>
      </c>
      <c r="AB495" s="6">
        <f>$K$495*$V$495</f>
        <v>0</v>
      </c>
      <c r="AC495" s="6">
        <f>$M$495*$W$495</f>
        <v>175.31059999999999</v>
      </c>
      <c r="AD495" s="6">
        <f>$O$495*$X$495</f>
        <v>44.909799999999997</v>
      </c>
      <c r="AE495" s="6">
        <f>$K$495*$Y$495</f>
        <v>0</v>
      </c>
      <c r="AF495" s="6">
        <f ca="1">$M$495*$Z$495</f>
        <v>216.29763311935218</v>
      </c>
      <c r="AG495" s="6">
        <f>$O$495*$AA$495</f>
        <v>42.417546376074021</v>
      </c>
    </row>
    <row r="496" spans="1:33" ht="11.25" hidden="1" customHeight="1" x14ac:dyDescent="0.3">
      <c r="A496" s="4" t="s">
        <v>21</v>
      </c>
      <c r="B496" s="4" t="s">
        <v>32</v>
      </c>
      <c r="C496" s="4" t="s">
        <v>38</v>
      </c>
      <c r="D496" s="4" t="s">
        <v>33</v>
      </c>
      <c r="E496" s="4" t="s">
        <v>25</v>
      </c>
      <c r="F496" s="4" t="s">
        <v>25</v>
      </c>
      <c r="G496" s="4" t="s">
        <v>25</v>
      </c>
      <c r="H496" s="4" t="s">
        <v>36</v>
      </c>
      <c r="I496" s="5">
        <v>44743</v>
      </c>
      <c r="J496" s="6">
        <v>0</v>
      </c>
      <c r="K496" s="6">
        <v>0</v>
      </c>
      <c r="L496" s="6">
        <v>5.5E-2</v>
      </c>
      <c r="M496" s="6">
        <v>5.5E-2</v>
      </c>
      <c r="N496" s="6">
        <v>5.5E-2</v>
      </c>
      <c r="O496" s="6">
        <v>5.5E-2</v>
      </c>
      <c r="P496" s="6">
        <v>0</v>
      </c>
      <c r="Q496" s="4" t="s">
        <v>26</v>
      </c>
      <c r="R496" s="4">
        <v>0</v>
      </c>
      <c r="S496" s="6">
        <v>0</v>
      </c>
      <c r="T496" s="6">
        <v>74</v>
      </c>
      <c r="U496" s="6">
        <v>47</v>
      </c>
      <c r="V496" s="6">
        <f>IF(ISERROR(VLOOKUP($S$496,'TAR FIN'!$A$1:$O$92,15,0)),0,VLOOKUP($S$496,'TAR FIN'!$A$1:$O$92,15,0))</f>
        <v>0</v>
      </c>
      <c r="W496" s="6">
        <f>IF(ISERROR(VLOOKUP($T$496,'TAR FIN'!$A$1:$O$92,15,0)),0,VLOOKUP($T$496,'TAR FIN'!$A$1:$O$92,15,0))</f>
        <v>1905.55</v>
      </c>
      <c r="X496" s="6">
        <f>IF(ISERROR(VLOOKUP($U$496,'TAR FIN'!$A$1:$O$92,15,0)),0,VLOOKUP($U$496,'TAR FIN'!$A$1:$O$92,15,0))</f>
        <v>488.15</v>
      </c>
      <c r="Y496" s="6"/>
      <c r="Z496" s="6">
        <f ca="1">('TUSD BE'!$AM$49+'TUSD BF'!$AM$49+'TUSD CVA'!$AM$49)*1</f>
        <v>2351.0612295581759</v>
      </c>
      <c r="AA496" s="6">
        <f>('TE BE'!$AB$37+'TE BF'!$AB$37+'TE CVA'!$AB$37)*1</f>
        <v>461.06028669645673</v>
      </c>
      <c r="AB496" s="6">
        <f>$K$496*$V$496</f>
        <v>0</v>
      </c>
      <c r="AC496" s="6">
        <f>$M$496*$W$496</f>
        <v>104.80525</v>
      </c>
      <c r="AD496" s="6">
        <f>$O$496*$X$496</f>
        <v>26.84825</v>
      </c>
      <c r="AE496" s="6">
        <f>$K$496*$Y$496</f>
        <v>0</v>
      </c>
      <c r="AF496" s="6">
        <f ca="1">$M$496*$Z$496</f>
        <v>129.30836762569967</v>
      </c>
      <c r="AG496" s="6">
        <f>$O$496*$AA$496</f>
        <v>25.358315768305122</v>
      </c>
    </row>
    <row r="497" spans="1:33" ht="11.25" hidden="1" customHeight="1" x14ac:dyDescent="0.3">
      <c r="A497" s="4" t="s">
        <v>21</v>
      </c>
      <c r="B497" s="4" t="s">
        <v>32</v>
      </c>
      <c r="C497" s="4" t="s">
        <v>23</v>
      </c>
      <c r="D497" s="4" t="s">
        <v>40</v>
      </c>
      <c r="E497" s="4" t="s">
        <v>25</v>
      </c>
      <c r="F497" s="4" t="s">
        <v>25</v>
      </c>
      <c r="G497" s="4" t="s">
        <v>25</v>
      </c>
      <c r="H497" s="4" t="s">
        <v>25</v>
      </c>
      <c r="I497" s="5">
        <v>44409</v>
      </c>
      <c r="J497" s="6">
        <v>0</v>
      </c>
      <c r="K497" s="6">
        <v>0</v>
      </c>
      <c r="L497" s="6">
        <v>253.59399999999999</v>
      </c>
      <c r="M497" s="6">
        <v>253.59399999999999</v>
      </c>
      <c r="N497" s="6">
        <v>253.59399999999999</v>
      </c>
      <c r="O497" s="6">
        <v>253.59399999999999</v>
      </c>
      <c r="P497" s="6">
        <v>714</v>
      </c>
      <c r="Q497" s="4" t="s">
        <v>26</v>
      </c>
      <c r="R497" s="4">
        <v>0</v>
      </c>
      <c r="S497" s="6">
        <v>0</v>
      </c>
      <c r="T497" s="6">
        <v>77</v>
      </c>
      <c r="U497" s="6">
        <v>52</v>
      </c>
      <c r="V497" s="6">
        <f>IF(ISERROR(VLOOKUP($S$497,'TAR FIN'!$A$1:$O$92,15,0)),0,VLOOKUP($S$497,'TAR FIN'!$A$1:$O$92,15,0))</f>
        <v>0</v>
      </c>
      <c r="W497" s="6">
        <f>IF(ISERROR(VLOOKUP($T$497,'TAR FIN'!$A$1:$O$92,15,0)),0,VLOOKUP($T$497,'TAR FIN'!$A$1:$O$92,15,0))</f>
        <v>343.17</v>
      </c>
      <c r="X497" s="6">
        <f>IF(ISERROR(VLOOKUP($U$497,'TAR FIN'!$A$1:$O$92,15,0)),0,VLOOKUP($U$497,'TAR FIN'!$A$1:$O$92,15,0))</f>
        <v>303.54000000000002</v>
      </c>
      <c r="Y497" s="6"/>
      <c r="Z497" s="6">
        <f ca="1">('TUSD BE'!$AM$52+'TUSD BF'!$AM$52+'TUSD CVA'!$AM$52)*1</f>
        <v>471.78110106754735</v>
      </c>
      <c r="AA497" s="6">
        <f>('TE BE'!$AB$40+'TE BF'!$AB$40+'TE CVA'!$AB$40)*1</f>
        <v>287.16392669686104</v>
      </c>
      <c r="AB497" s="6">
        <f>$K$497*$V$497</f>
        <v>0</v>
      </c>
      <c r="AC497" s="6">
        <f>$M$497*$W$497</f>
        <v>87025.852979999996</v>
      </c>
      <c r="AD497" s="6">
        <f>$O$497*$X$497</f>
        <v>76975.922760000001</v>
      </c>
      <c r="AE497" s="6">
        <f>$K$497*$Y$497</f>
        <v>0</v>
      </c>
      <c r="AF497" s="6">
        <f ca="1">$M$497*$Z$497</f>
        <v>119640.8565441236</v>
      </c>
      <c r="AG497" s="6">
        <f>$O$497*$AA$497</f>
        <v>72823.04882676377</v>
      </c>
    </row>
    <row r="498" spans="1:33" ht="11.25" hidden="1" customHeight="1" x14ac:dyDescent="0.3">
      <c r="A498" s="4" t="s">
        <v>27</v>
      </c>
      <c r="B498" s="4" t="s">
        <v>32</v>
      </c>
      <c r="C498" s="4" t="s">
        <v>23</v>
      </c>
      <c r="D498" s="4" t="s">
        <v>40</v>
      </c>
      <c r="E498" s="4" t="s">
        <v>25</v>
      </c>
      <c r="F498" s="4" t="s">
        <v>25</v>
      </c>
      <c r="G498" s="4" t="s">
        <v>25</v>
      </c>
      <c r="H498" s="4" t="s">
        <v>25</v>
      </c>
      <c r="I498" s="5">
        <v>44409</v>
      </c>
      <c r="J498" s="6">
        <v>0</v>
      </c>
      <c r="K498" s="6">
        <v>0</v>
      </c>
      <c r="L498" s="6">
        <v>7.8559999999999999</v>
      </c>
      <c r="M498" s="6">
        <v>7.8559999999999999</v>
      </c>
      <c r="N498" s="6">
        <v>7.8559999999999999</v>
      </c>
      <c r="O498" s="6">
        <v>7.8559999999999999</v>
      </c>
      <c r="P498" s="6">
        <v>23</v>
      </c>
      <c r="Q498" s="4" t="s">
        <v>26</v>
      </c>
      <c r="R498" s="4">
        <v>0</v>
      </c>
      <c r="S498" s="6">
        <v>0</v>
      </c>
      <c r="T498" s="6">
        <v>77</v>
      </c>
      <c r="U498" s="6">
        <v>52</v>
      </c>
      <c r="V498" s="6">
        <f>IF(ISERROR(VLOOKUP($S$498,'TAR FIN'!$A$1:$O$92,15,0)),0,VLOOKUP($S$498,'TAR FIN'!$A$1:$O$92,15,0))</f>
        <v>0</v>
      </c>
      <c r="W498" s="6">
        <f>IF(ISERROR(VLOOKUP($T$498,'TAR FIN'!$A$1:$O$92,15,0)),0,VLOOKUP($T$498,'TAR FIN'!$A$1:$O$92,15,0))</f>
        <v>343.17</v>
      </c>
      <c r="X498" s="6">
        <f>IF(ISERROR(VLOOKUP($U$498,'TAR FIN'!$A$1:$O$92,15,0)),0,VLOOKUP($U$498,'TAR FIN'!$A$1:$O$92,15,0))</f>
        <v>303.54000000000002</v>
      </c>
      <c r="Y498" s="6"/>
      <c r="Z498" s="6">
        <f ca="1">('TUSD BE'!$AM$52+'TUSD BF'!$AM$52+'TUSD CVA'!$AM$52)*1</f>
        <v>471.78110106754735</v>
      </c>
      <c r="AA498" s="6">
        <f>('TE BE'!$AB$40+'TE BF'!$AB$40+'TE CVA'!$AB$40)*1</f>
        <v>287.16392669686104</v>
      </c>
      <c r="AB498" s="6">
        <f>$K$498*$V$498</f>
        <v>0</v>
      </c>
      <c r="AC498" s="6">
        <f>$M$498*$W$498</f>
        <v>2695.9435200000003</v>
      </c>
      <c r="AD498" s="6">
        <f>$O$498*$X$498</f>
        <v>2384.61024</v>
      </c>
      <c r="AE498" s="6">
        <f>$K$498*$Y$498</f>
        <v>0</v>
      </c>
      <c r="AF498" s="6">
        <f ca="1">$M$498*$Z$498</f>
        <v>3706.312329986652</v>
      </c>
      <c r="AG498" s="6">
        <f>$O$498*$AA$498</f>
        <v>2255.9598081305403</v>
      </c>
    </row>
    <row r="499" spans="1:33" ht="11.25" hidden="1" customHeight="1" x14ac:dyDescent="0.3">
      <c r="A499" s="4" t="s">
        <v>21</v>
      </c>
      <c r="B499" s="4" t="s">
        <v>32</v>
      </c>
      <c r="C499" s="4" t="s">
        <v>23</v>
      </c>
      <c r="D499" s="4" t="s">
        <v>40</v>
      </c>
      <c r="E499" s="4" t="s">
        <v>25</v>
      </c>
      <c r="F499" s="4" t="s">
        <v>25</v>
      </c>
      <c r="G499" s="4" t="s">
        <v>25</v>
      </c>
      <c r="H499" s="4" t="s">
        <v>25</v>
      </c>
      <c r="I499" s="5">
        <v>44440</v>
      </c>
      <c r="J499" s="6">
        <v>0</v>
      </c>
      <c r="K499" s="6">
        <v>0</v>
      </c>
      <c r="L499" s="6">
        <v>273.43200000000002</v>
      </c>
      <c r="M499" s="6">
        <v>273.43200000000002</v>
      </c>
      <c r="N499" s="6">
        <v>273.43200000000002</v>
      </c>
      <c r="O499" s="6">
        <v>273.43200000000002</v>
      </c>
      <c r="P499" s="6">
        <v>723</v>
      </c>
      <c r="Q499" s="4" t="s">
        <v>26</v>
      </c>
      <c r="R499" s="4">
        <v>0</v>
      </c>
      <c r="S499" s="6">
        <v>0</v>
      </c>
      <c r="T499" s="6">
        <v>77</v>
      </c>
      <c r="U499" s="6">
        <v>52</v>
      </c>
      <c r="V499" s="6">
        <f>IF(ISERROR(VLOOKUP($S$499,'TAR FIN'!$A$1:$O$92,15,0)),0,VLOOKUP($S$499,'TAR FIN'!$A$1:$O$92,15,0))</f>
        <v>0</v>
      </c>
      <c r="W499" s="6">
        <f>IF(ISERROR(VLOOKUP($T$499,'TAR FIN'!$A$1:$O$92,15,0)),0,VLOOKUP($T$499,'TAR FIN'!$A$1:$O$92,15,0))</f>
        <v>343.17</v>
      </c>
      <c r="X499" s="6">
        <f>IF(ISERROR(VLOOKUP($U$499,'TAR FIN'!$A$1:$O$92,15,0)),0,VLOOKUP($U$499,'TAR FIN'!$A$1:$O$92,15,0))</f>
        <v>303.54000000000002</v>
      </c>
      <c r="Y499" s="6"/>
      <c r="Z499" s="6">
        <f ca="1">('TUSD BE'!$AM$52+'TUSD BF'!$AM$52+'TUSD CVA'!$AM$52)*1</f>
        <v>471.78110106754735</v>
      </c>
      <c r="AA499" s="6">
        <f>('TE BE'!$AB$40+'TE BF'!$AB$40+'TE CVA'!$AB$40)*1</f>
        <v>287.16392669686104</v>
      </c>
      <c r="AB499" s="6">
        <f>$K$499*$V$499</f>
        <v>0</v>
      </c>
      <c r="AC499" s="6">
        <f>$M$499*$W$499</f>
        <v>93833.659440000003</v>
      </c>
      <c r="AD499" s="6">
        <f>$O$499*$X$499</f>
        <v>82997.549280000007</v>
      </c>
      <c r="AE499" s="6">
        <f>$K$499*$Y$499</f>
        <v>0</v>
      </c>
      <c r="AF499" s="6">
        <f ca="1">$M$499*$Z$499</f>
        <v>129000.05002710162</v>
      </c>
      <c r="AG499" s="6">
        <f>$O$499*$AA$499</f>
        <v>78519.806804576117</v>
      </c>
    </row>
    <row r="500" spans="1:33" ht="11.25" hidden="1" customHeight="1" x14ac:dyDescent="0.3">
      <c r="A500" s="4" t="s">
        <v>27</v>
      </c>
      <c r="B500" s="4" t="s">
        <v>32</v>
      </c>
      <c r="C500" s="4" t="s">
        <v>23</v>
      </c>
      <c r="D500" s="4" t="s">
        <v>40</v>
      </c>
      <c r="E500" s="4" t="s">
        <v>25</v>
      </c>
      <c r="F500" s="4" t="s">
        <v>25</v>
      </c>
      <c r="G500" s="4" t="s">
        <v>25</v>
      </c>
      <c r="H500" s="4" t="s">
        <v>25</v>
      </c>
      <c r="I500" s="5">
        <v>44440</v>
      </c>
      <c r="J500" s="6">
        <v>0</v>
      </c>
      <c r="K500" s="6">
        <v>0</v>
      </c>
      <c r="L500" s="6">
        <v>10.975</v>
      </c>
      <c r="M500" s="6">
        <v>10.975</v>
      </c>
      <c r="N500" s="6">
        <v>10.975</v>
      </c>
      <c r="O500" s="6">
        <v>10.975</v>
      </c>
      <c r="P500" s="6">
        <v>24</v>
      </c>
      <c r="Q500" s="4" t="s">
        <v>26</v>
      </c>
      <c r="R500" s="4">
        <v>0</v>
      </c>
      <c r="S500" s="6">
        <v>0</v>
      </c>
      <c r="T500" s="6">
        <v>77</v>
      </c>
      <c r="U500" s="6">
        <v>52</v>
      </c>
      <c r="V500" s="6">
        <f>IF(ISERROR(VLOOKUP($S$500,'TAR FIN'!$A$1:$O$92,15,0)),0,VLOOKUP($S$500,'TAR FIN'!$A$1:$O$92,15,0))</f>
        <v>0</v>
      </c>
      <c r="W500" s="6">
        <f>IF(ISERROR(VLOOKUP($T$500,'TAR FIN'!$A$1:$O$92,15,0)),0,VLOOKUP($T$500,'TAR FIN'!$A$1:$O$92,15,0))</f>
        <v>343.17</v>
      </c>
      <c r="X500" s="6">
        <f>IF(ISERROR(VLOOKUP($U$500,'TAR FIN'!$A$1:$O$92,15,0)),0,VLOOKUP($U$500,'TAR FIN'!$A$1:$O$92,15,0))</f>
        <v>303.54000000000002</v>
      </c>
      <c r="Y500" s="6"/>
      <c r="Z500" s="6">
        <f ca="1">('TUSD BE'!$AM$52+'TUSD BF'!$AM$52+'TUSD CVA'!$AM$52)*1</f>
        <v>471.78110106754735</v>
      </c>
      <c r="AA500" s="6">
        <f>('TE BE'!$AB$40+'TE BF'!$AB$40+'TE CVA'!$AB$40)*1</f>
        <v>287.16392669686104</v>
      </c>
      <c r="AB500" s="6">
        <f>$K$500*$V$500</f>
        <v>0</v>
      </c>
      <c r="AC500" s="6">
        <f>$M$500*$W$500</f>
        <v>3766.2907500000001</v>
      </c>
      <c r="AD500" s="6">
        <f>$O$500*$X$500</f>
        <v>3331.3515000000002</v>
      </c>
      <c r="AE500" s="6">
        <f>$K$500*$Y$500</f>
        <v>0</v>
      </c>
      <c r="AF500" s="6">
        <f ca="1">$M$500*$Z$500</f>
        <v>5177.7975842163323</v>
      </c>
      <c r="AG500" s="6">
        <f>$O$500*$AA$500</f>
        <v>3151.6240954980499</v>
      </c>
    </row>
    <row r="501" spans="1:33" ht="11.25" hidden="1" customHeight="1" x14ac:dyDescent="0.3">
      <c r="A501" s="4" t="s">
        <v>21</v>
      </c>
      <c r="B501" s="4" t="s">
        <v>32</v>
      </c>
      <c r="C501" s="4" t="s">
        <v>23</v>
      </c>
      <c r="D501" s="4" t="s">
        <v>40</v>
      </c>
      <c r="E501" s="4" t="s">
        <v>25</v>
      </c>
      <c r="F501" s="4" t="s">
        <v>25</v>
      </c>
      <c r="G501" s="4" t="s">
        <v>25</v>
      </c>
      <c r="H501" s="4" t="s">
        <v>25</v>
      </c>
      <c r="I501" s="5">
        <v>44470</v>
      </c>
      <c r="J501" s="6">
        <v>0</v>
      </c>
      <c r="K501" s="6">
        <v>0</v>
      </c>
      <c r="L501" s="6">
        <v>256.66800000000001</v>
      </c>
      <c r="M501" s="6">
        <v>256.66800000000001</v>
      </c>
      <c r="N501" s="6">
        <v>256.66800000000001</v>
      </c>
      <c r="O501" s="6">
        <v>256.66800000000001</v>
      </c>
      <c r="P501" s="6">
        <v>725</v>
      </c>
      <c r="Q501" s="4" t="s">
        <v>26</v>
      </c>
      <c r="R501" s="4">
        <v>0</v>
      </c>
      <c r="S501" s="6">
        <v>0</v>
      </c>
      <c r="T501" s="6">
        <v>77</v>
      </c>
      <c r="U501" s="6">
        <v>52</v>
      </c>
      <c r="V501" s="6">
        <f>IF(ISERROR(VLOOKUP($S$501,'TAR FIN'!$A$1:$O$92,15,0)),0,VLOOKUP($S$501,'TAR FIN'!$A$1:$O$92,15,0))</f>
        <v>0</v>
      </c>
      <c r="W501" s="6">
        <f>IF(ISERROR(VLOOKUP($T$501,'TAR FIN'!$A$1:$O$92,15,0)),0,VLOOKUP($T$501,'TAR FIN'!$A$1:$O$92,15,0))</f>
        <v>343.17</v>
      </c>
      <c r="X501" s="6">
        <f>IF(ISERROR(VLOOKUP($U$501,'TAR FIN'!$A$1:$O$92,15,0)),0,VLOOKUP($U$501,'TAR FIN'!$A$1:$O$92,15,0))</f>
        <v>303.54000000000002</v>
      </c>
      <c r="Y501" s="6"/>
      <c r="Z501" s="6">
        <f ca="1">('TUSD BE'!$AM$52+'TUSD BF'!$AM$52+'TUSD CVA'!$AM$52)*1</f>
        <v>471.78110106754735</v>
      </c>
      <c r="AA501" s="6">
        <f>('TE BE'!$AB$40+'TE BF'!$AB$40+'TE CVA'!$AB$40)*1</f>
        <v>287.16392669686104</v>
      </c>
      <c r="AB501" s="6">
        <f>$K$501*$V$501</f>
        <v>0</v>
      </c>
      <c r="AC501" s="6">
        <f>$M$501*$W$501</f>
        <v>88080.757560000013</v>
      </c>
      <c r="AD501" s="6">
        <f>$O$501*$X$501</f>
        <v>77909.004720000012</v>
      </c>
      <c r="AE501" s="6">
        <f>$K$501*$Y$501</f>
        <v>0</v>
      </c>
      <c r="AF501" s="6">
        <f ca="1">$M$501*$Z$501</f>
        <v>121091.11164880525</v>
      </c>
      <c r="AG501" s="6">
        <f>$O$501*$AA$501</f>
        <v>73705.790737429925</v>
      </c>
    </row>
    <row r="502" spans="1:33" ht="11.25" hidden="1" customHeight="1" x14ac:dyDescent="0.3">
      <c r="A502" s="4" t="s">
        <v>27</v>
      </c>
      <c r="B502" s="4" t="s">
        <v>32</v>
      </c>
      <c r="C502" s="4" t="s">
        <v>23</v>
      </c>
      <c r="D502" s="4" t="s">
        <v>40</v>
      </c>
      <c r="E502" s="4" t="s">
        <v>25</v>
      </c>
      <c r="F502" s="4" t="s">
        <v>25</v>
      </c>
      <c r="G502" s="4" t="s">
        <v>25</v>
      </c>
      <c r="H502" s="4" t="s">
        <v>25</v>
      </c>
      <c r="I502" s="5">
        <v>44470</v>
      </c>
      <c r="J502" s="6">
        <v>0</v>
      </c>
      <c r="K502" s="6">
        <v>0</v>
      </c>
      <c r="L502" s="6">
        <v>12.308</v>
      </c>
      <c r="M502" s="6">
        <v>12.308</v>
      </c>
      <c r="N502" s="6">
        <v>12.308</v>
      </c>
      <c r="O502" s="6">
        <v>12.308</v>
      </c>
      <c r="P502" s="6">
        <v>25</v>
      </c>
      <c r="Q502" s="4" t="s">
        <v>26</v>
      </c>
      <c r="R502" s="4">
        <v>0</v>
      </c>
      <c r="S502" s="6">
        <v>0</v>
      </c>
      <c r="T502" s="6">
        <v>77</v>
      </c>
      <c r="U502" s="6">
        <v>52</v>
      </c>
      <c r="V502" s="6">
        <f>IF(ISERROR(VLOOKUP($S$502,'TAR FIN'!$A$1:$O$92,15,0)),0,VLOOKUP($S$502,'TAR FIN'!$A$1:$O$92,15,0))</f>
        <v>0</v>
      </c>
      <c r="W502" s="6">
        <f>IF(ISERROR(VLOOKUP($T$502,'TAR FIN'!$A$1:$O$92,15,0)),0,VLOOKUP($T$502,'TAR FIN'!$A$1:$O$92,15,0))</f>
        <v>343.17</v>
      </c>
      <c r="X502" s="6">
        <f>IF(ISERROR(VLOOKUP($U$502,'TAR FIN'!$A$1:$O$92,15,0)),0,VLOOKUP($U$502,'TAR FIN'!$A$1:$O$92,15,0))</f>
        <v>303.54000000000002</v>
      </c>
      <c r="Y502" s="6"/>
      <c r="Z502" s="6">
        <f ca="1">('TUSD BE'!$AM$52+'TUSD BF'!$AM$52+'TUSD CVA'!$AM$52)*1</f>
        <v>471.78110106754735</v>
      </c>
      <c r="AA502" s="6">
        <f>('TE BE'!$AB$40+'TE BF'!$AB$40+'TE CVA'!$AB$40)*1</f>
        <v>287.16392669686104</v>
      </c>
      <c r="AB502" s="6">
        <f>$K$502*$V$502</f>
        <v>0</v>
      </c>
      <c r="AC502" s="6">
        <f>$M$502*$W$502</f>
        <v>4223.7363599999999</v>
      </c>
      <c r="AD502" s="6">
        <f>$O$502*$X$502</f>
        <v>3735.9703200000004</v>
      </c>
      <c r="AE502" s="6">
        <f>$K$502*$Y$502</f>
        <v>0</v>
      </c>
      <c r="AF502" s="6">
        <f ca="1">$M$502*$Z$502</f>
        <v>5806.6817919393725</v>
      </c>
      <c r="AG502" s="6">
        <f>$O$502*$AA$502</f>
        <v>3534.4136097849655</v>
      </c>
    </row>
    <row r="503" spans="1:33" ht="11.25" hidden="1" customHeight="1" x14ac:dyDescent="0.3">
      <c r="A503" s="4" t="s">
        <v>21</v>
      </c>
      <c r="B503" s="4" t="s">
        <v>32</v>
      </c>
      <c r="C503" s="4" t="s">
        <v>23</v>
      </c>
      <c r="D503" s="4" t="s">
        <v>40</v>
      </c>
      <c r="E503" s="4" t="s">
        <v>25</v>
      </c>
      <c r="F503" s="4" t="s">
        <v>25</v>
      </c>
      <c r="G503" s="4" t="s">
        <v>25</v>
      </c>
      <c r="H503" s="4" t="s">
        <v>25</v>
      </c>
      <c r="I503" s="5">
        <v>44501</v>
      </c>
      <c r="J503" s="6">
        <v>0</v>
      </c>
      <c r="K503" s="6">
        <v>0</v>
      </c>
      <c r="L503" s="6">
        <v>260.02</v>
      </c>
      <c r="M503" s="6">
        <v>260.02</v>
      </c>
      <c r="N503" s="6">
        <v>260.02</v>
      </c>
      <c r="O503" s="6">
        <v>260.02</v>
      </c>
      <c r="P503" s="6">
        <v>721</v>
      </c>
      <c r="Q503" s="4" t="s">
        <v>26</v>
      </c>
      <c r="R503" s="4">
        <v>0</v>
      </c>
      <c r="S503" s="6">
        <v>0</v>
      </c>
      <c r="T503" s="6">
        <v>77</v>
      </c>
      <c r="U503" s="6">
        <v>52</v>
      </c>
      <c r="V503" s="6">
        <f>IF(ISERROR(VLOOKUP($S$503,'TAR FIN'!$A$1:$O$92,15,0)),0,VLOOKUP($S$503,'TAR FIN'!$A$1:$O$92,15,0))</f>
        <v>0</v>
      </c>
      <c r="W503" s="6">
        <f>IF(ISERROR(VLOOKUP($T$503,'TAR FIN'!$A$1:$O$92,15,0)),0,VLOOKUP($T$503,'TAR FIN'!$A$1:$O$92,15,0))</f>
        <v>343.17</v>
      </c>
      <c r="X503" s="6">
        <f>IF(ISERROR(VLOOKUP($U$503,'TAR FIN'!$A$1:$O$92,15,0)),0,VLOOKUP($U$503,'TAR FIN'!$A$1:$O$92,15,0))</f>
        <v>303.54000000000002</v>
      </c>
      <c r="Y503" s="6"/>
      <c r="Z503" s="6">
        <f ca="1">('TUSD BE'!$AM$52+'TUSD BF'!$AM$52+'TUSD CVA'!$AM$52)*1</f>
        <v>471.78110106754735</v>
      </c>
      <c r="AA503" s="6">
        <f>('TE BE'!$AB$40+'TE BF'!$AB$40+'TE CVA'!$AB$40)*1</f>
        <v>287.16392669686104</v>
      </c>
      <c r="AB503" s="6">
        <f>$K$503*$V$503</f>
        <v>0</v>
      </c>
      <c r="AC503" s="6">
        <f>$M$503*$W$503</f>
        <v>89231.063399999999</v>
      </c>
      <c r="AD503" s="6">
        <f>$O$503*$X$503</f>
        <v>78926.470799999996</v>
      </c>
      <c r="AE503" s="6">
        <f>$K$503*$Y$503</f>
        <v>0</v>
      </c>
      <c r="AF503" s="6">
        <f ca="1">$M$503*$Z$503</f>
        <v>122672.52189958365</v>
      </c>
      <c r="AG503" s="6">
        <f>$O$503*$AA$503</f>
        <v>74668.364219717798</v>
      </c>
    </row>
    <row r="504" spans="1:33" ht="11.25" hidden="1" customHeight="1" x14ac:dyDescent="0.3">
      <c r="A504" s="4" t="s">
        <v>27</v>
      </c>
      <c r="B504" s="4" t="s">
        <v>32</v>
      </c>
      <c r="C504" s="4" t="s">
        <v>23</v>
      </c>
      <c r="D504" s="4" t="s">
        <v>40</v>
      </c>
      <c r="E504" s="4" t="s">
        <v>25</v>
      </c>
      <c r="F504" s="4" t="s">
        <v>25</v>
      </c>
      <c r="G504" s="4" t="s">
        <v>25</v>
      </c>
      <c r="H504" s="4" t="s">
        <v>25</v>
      </c>
      <c r="I504" s="5">
        <v>44501</v>
      </c>
      <c r="J504" s="6">
        <v>0</v>
      </c>
      <c r="K504" s="6">
        <v>0</v>
      </c>
      <c r="L504" s="6">
        <v>10.545999999999999</v>
      </c>
      <c r="M504" s="6">
        <v>10.545999999999999</v>
      </c>
      <c r="N504" s="6">
        <v>10.545999999999999</v>
      </c>
      <c r="O504" s="6">
        <v>10.545999999999999</v>
      </c>
      <c r="P504" s="6">
        <v>25</v>
      </c>
      <c r="Q504" s="4" t="s">
        <v>26</v>
      </c>
      <c r="R504" s="4">
        <v>0</v>
      </c>
      <c r="S504" s="6">
        <v>0</v>
      </c>
      <c r="T504" s="6">
        <v>77</v>
      </c>
      <c r="U504" s="6">
        <v>52</v>
      </c>
      <c r="V504" s="6">
        <f>IF(ISERROR(VLOOKUP($S$504,'TAR FIN'!$A$1:$O$92,15,0)),0,VLOOKUP($S$504,'TAR FIN'!$A$1:$O$92,15,0))</f>
        <v>0</v>
      </c>
      <c r="W504" s="6">
        <f>IF(ISERROR(VLOOKUP($T$504,'TAR FIN'!$A$1:$O$92,15,0)),0,VLOOKUP($T$504,'TAR FIN'!$A$1:$O$92,15,0))</f>
        <v>343.17</v>
      </c>
      <c r="X504" s="6">
        <f>IF(ISERROR(VLOOKUP($U$504,'TAR FIN'!$A$1:$O$92,15,0)),0,VLOOKUP($U$504,'TAR FIN'!$A$1:$O$92,15,0))</f>
        <v>303.54000000000002</v>
      </c>
      <c r="Y504" s="6"/>
      <c r="Z504" s="6">
        <f ca="1">('TUSD BE'!$AM$52+'TUSD BF'!$AM$52+'TUSD CVA'!$AM$52)*1</f>
        <v>471.78110106754735</v>
      </c>
      <c r="AA504" s="6">
        <f>('TE BE'!$AB$40+'TE BF'!$AB$40+'TE CVA'!$AB$40)*1</f>
        <v>287.16392669686104</v>
      </c>
      <c r="AB504" s="6">
        <f>$K$504*$V$504</f>
        <v>0</v>
      </c>
      <c r="AC504" s="6">
        <f>$M$504*$W$504</f>
        <v>3619.0708199999999</v>
      </c>
      <c r="AD504" s="6">
        <f>$O$504*$X$504</f>
        <v>3201.1328400000002</v>
      </c>
      <c r="AE504" s="6">
        <f>$K$504*$Y$504</f>
        <v>0</v>
      </c>
      <c r="AF504" s="6">
        <f ca="1">$M$504*$Z$504</f>
        <v>4975.4034918583538</v>
      </c>
      <c r="AG504" s="6">
        <f>$O$504*$AA$504</f>
        <v>3028.4307709450964</v>
      </c>
    </row>
    <row r="505" spans="1:33" ht="11.25" hidden="1" customHeight="1" x14ac:dyDescent="0.3">
      <c r="A505" s="4" t="s">
        <v>21</v>
      </c>
      <c r="B505" s="4" t="s">
        <v>32</v>
      </c>
      <c r="C505" s="4" t="s">
        <v>23</v>
      </c>
      <c r="D505" s="4" t="s">
        <v>40</v>
      </c>
      <c r="E505" s="4" t="s">
        <v>25</v>
      </c>
      <c r="F505" s="4" t="s">
        <v>25</v>
      </c>
      <c r="G505" s="4" t="s">
        <v>25</v>
      </c>
      <c r="H505" s="4" t="s">
        <v>25</v>
      </c>
      <c r="I505" s="5">
        <v>44531</v>
      </c>
      <c r="J505" s="6">
        <v>0</v>
      </c>
      <c r="K505" s="6">
        <v>0</v>
      </c>
      <c r="L505" s="6">
        <v>310.25799999999998</v>
      </c>
      <c r="M505" s="6">
        <v>310.25799999999998</v>
      </c>
      <c r="N505" s="6">
        <v>310.25799999999998</v>
      </c>
      <c r="O505" s="6">
        <v>310.25799999999998</v>
      </c>
      <c r="P505" s="6">
        <v>721</v>
      </c>
      <c r="Q505" s="4" t="s">
        <v>26</v>
      </c>
      <c r="R505" s="4">
        <v>0</v>
      </c>
      <c r="S505" s="6">
        <v>0</v>
      </c>
      <c r="T505" s="6">
        <v>77</v>
      </c>
      <c r="U505" s="6">
        <v>52</v>
      </c>
      <c r="V505" s="6">
        <f>IF(ISERROR(VLOOKUP($S$505,'TAR FIN'!$A$1:$O$92,15,0)),0,VLOOKUP($S$505,'TAR FIN'!$A$1:$O$92,15,0))</f>
        <v>0</v>
      </c>
      <c r="W505" s="6">
        <f>IF(ISERROR(VLOOKUP($T$505,'TAR FIN'!$A$1:$O$92,15,0)),0,VLOOKUP($T$505,'TAR FIN'!$A$1:$O$92,15,0))</f>
        <v>343.17</v>
      </c>
      <c r="X505" s="6">
        <f>IF(ISERROR(VLOOKUP($U$505,'TAR FIN'!$A$1:$O$92,15,0)),0,VLOOKUP($U$505,'TAR FIN'!$A$1:$O$92,15,0))</f>
        <v>303.54000000000002</v>
      </c>
      <c r="Y505" s="6"/>
      <c r="Z505" s="6">
        <f ca="1">('TUSD BE'!$AM$52+'TUSD BF'!$AM$52+'TUSD CVA'!$AM$52)*1</f>
        <v>471.78110106754735</v>
      </c>
      <c r="AA505" s="6">
        <f>('TE BE'!$AB$40+'TE BF'!$AB$40+'TE CVA'!$AB$40)*1</f>
        <v>287.16392669686104</v>
      </c>
      <c r="AB505" s="6">
        <f>$K$505*$V$505</f>
        <v>0</v>
      </c>
      <c r="AC505" s="6">
        <f>$M$505*$W$505</f>
        <v>106471.23785999999</v>
      </c>
      <c r="AD505" s="6">
        <f>$O$505*$X$505</f>
        <v>94175.713319999995</v>
      </c>
      <c r="AE505" s="6">
        <f>$K$505*$Y$505</f>
        <v>0</v>
      </c>
      <c r="AF505" s="6">
        <f ca="1">$M$505*$Z$505</f>
        <v>146373.86085501511</v>
      </c>
      <c r="AG505" s="6">
        <f>$O$505*$AA$505</f>
        <v>89094.905569114708</v>
      </c>
    </row>
    <row r="506" spans="1:33" ht="11.25" hidden="1" customHeight="1" x14ac:dyDescent="0.3">
      <c r="A506" s="4" t="s">
        <v>27</v>
      </c>
      <c r="B506" s="4" t="s">
        <v>32</v>
      </c>
      <c r="C506" s="4" t="s">
        <v>23</v>
      </c>
      <c r="D506" s="4" t="s">
        <v>40</v>
      </c>
      <c r="E506" s="4" t="s">
        <v>25</v>
      </c>
      <c r="F506" s="4" t="s">
        <v>25</v>
      </c>
      <c r="G506" s="4" t="s">
        <v>25</v>
      </c>
      <c r="H506" s="4" t="s">
        <v>25</v>
      </c>
      <c r="I506" s="5">
        <v>44531</v>
      </c>
      <c r="J506" s="6">
        <v>0</v>
      </c>
      <c r="K506" s="6">
        <v>0</v>
      </c>
      <c r="L506" s="6">
        <v>11.718999999999999</v>
      </c>
      <c r="M506" s="6">
        <v>11.718999999999999</v>
      </c>
      <c r="N506" s="6">
        <v>11.718999999999999</v>
      </c>
      <c r="O506" s="6">
        <v>11.718999999999999</v>
      </c>
      <c r="P506" s="6">
        <v>25</v>
      </c>
      <c r="Q506" s="4" t="s">
        <v>26</v>
      </c>
      <c r="R506" s="4">
        <v>0</v>
      </c>
      <c r="S506" s="6">
        <v>0</v>
      </c>
      <c r="T506" s="6">
        <v>77</v>
      </c>
      <c r="U506" s="6">
        <v>52</v>
      </c>
      <c r="V506" s="6">
        <f>IF(ISERROR(VLOOKUP($S$506,'TAR FIN'!$A$1:$O$92,15,0)),0,VLOOKUP($S$506,'TAR FIN'!$A$1:$O$92,15,0))</f>
        <v>0</v>
      </c>
      <c r="W506" s="6">
        <f>IF(ISERROR(VLOOKUP($T$506,'TAR FIN'!$A$1:$O$92,15,0)),0,VLOOKUP($T$506,'TAR FIN'!$A$1:$O$92,15,0))</f>
        <v>343.17</v>
      </c>
      <c r="X506" s="6">
        <f>IF(ISERROR(VLOOKUP($U$506,'TAR FIN'!$A$1:$O$92,15,0)),0,VLOOKUP($U$506,'TAR FIN'!$A$1:$O$92,15,0))</f>
        <v>303.54000000000002</v>
      </c>
      <c r="Y506" s="6"/>
      <c r="Z506" s="6">
        <f ca="1">('TUSD BE'!$AM$52+'TUSD BF'!$AM$52+'TUSD CVA'!$AM$52)*1</f>
        <v>471.78110106754735</v>
      </c>
      <c r="AA506" s="6">
        <f>('TE BE'!$AB$40+'TE BF'!$AB$40+'TE CVA'!$AB$40)*1</f>
        <v>287.16392669686104</v>
      </c>
      <c r="AB506" s="6">
        <f>$K$506*$V$506</f>
        <v>0</v>
      </c>
      <c r="AC506" s="6">
        <f>$M$506*$W$506</f>
        <v>4021.60923</v>
      </c>
      <c r="AD506" s="6">
        <f>$O$506*$X$506</f>
        <v>3557.1852600000002</v>
      </c>
      <c r="AE506" s="6">
        <f>$K$506*$Y$506</f>
        <v>0</v>
      </c>
      <c r="AF506" s="6">
        <f ca="1">$M$506*$Z$506</f>
        <v>5528.8027234105875</v>
      </c>
      <c r="AG506" s="6">
        <f>$O$506*$AA$506</f>
        <v>3365.2740569605144</v>
      </c>
    </row>
    <row r="507" spans="1:33" ht="11.25" hidden="1" customHeight="1" x14ac:dyDescent="0.3">
      <c r="A507" s="4" t="s">
        <v>21</v>
      </c>
      <c r="B507" s="4" t="s">
        <v>32</v>
      </c>
      <c r="C507" s="4" t="s">
        <v>23</v>
      </c>
      <c r="D507" s="4" t="s">
        <v>40</v>
      </c>
      <c r="E507" s="4" t="s">
        <v>25</v>
      </c>
      <c r="F507" s="4" t="s">
        <v>25</v>
      </c>
      <c r="G507" s="4" t="s">
        <v>25</v>
      </c>
      <c r="H507" s="4" t="s">
        <v>25</v>
      </c>
      <c r="I507" s="5">
        <v>44562</v>
      </c>
      <c r="J507" s="6">
        <v>0</v>
      </c>
      <c r="K507" s="6">
        <v>0</v>
      </c>
      <c r="L507" s="6">
        <v>333.21699999999998</v>
      </c>
      <c r="M507" s="6">
        <v>333.21699999999998</v>
      </c>
      <c r="N507" s="6">
        <v>333.21699999999998</v>
      </c>
      <c r="O507" s="6">
        <v>333.21699999999998</v>
      </c>
      <c r="P507" s="6">
        <v>723</v>
      </c>
      <c r="Q507" s="4" t="s">
        <v>26</v>
      </c>
      <c r="R507" s="4">
        <v>0</v>
      </c>
      <c r="S507" s="6">
        <v>0</v>
      </c>
      <c r="T507" s="6">
        <v>77</v>
      </c>
      <c r="U507" s="6">
        <v>52</v>
      </c>
      <c r="V507" s="6">
        <f>IF(ISERROR(VLOOKUP($S$507,'TAR FIN'!$A$1:$O$92,15,0)),0,VLOOKUP($S$507,'TAR FIN'!$A$1:$O$92,15,0))</f>
        <v>0</v>
      </c>
      <c r="W507" s="6">
        <f>IF(ISERROR(VLOOKUP($T$507,'TAR FIN'!$A$1:$O$92,15,0)),0,VLOOKUP($T$507,'TAR FIN'!$A$1:$O$92,15,0))</f>
        <v>343.17</v>
      </c>
      <c r="X507" s="6">
        <f>IF(ISERROR(VLOOKUP($U$507,'TAR FIN'!$A$1:$O$92,15,0)),0,VLOOKUP($U$507,'TAR FIN'!$A$1:$O$92,15,0))</f>
        <v>303.54000000000002</v>
      </c>
      <c r="Y507" s="6"/>
      <c r="Z507" s="6">
        <f ca="1">('TUSD BE'!$AM$52+'TUSD BF'!$AM$52+'TUSD CVA'!$AM$52)*1</f>
        <v>471.78110106754735</v>
      </c>
      <c r="AA507" s="6">
        <f>('TE BE'!$AB$40+'TE BF'!$AB$40+'TE CVA'!$AB$40)*1</f>
        <v>287.16392669686104</v>
      </c>
      <c r="AB507" s="6">
        <f>$K$507*$V$507</f>
        <v>0</v>
      </c>
      <c r="AC507" s="6">
        <f>$M$507*$W$507</f>
        <v>114350.07789</v>
      </c>
      <c r="AD507" s="6">
        <f>$O$507*$X$507</f>
        <v>101144.68818</v>
      </c>
      <c r="AE507" s="6">
        <f>$K$507*$Y$507</f>
        <v>0</v>
      </c>
      <c r="AF507" s="6">
        <f ca="1">$M$507*$Z$507</f>
        <v>157205.48315442493</v>
      </c>
      <c r="AG507" s="6">
        <f>$O$507*$AA$507</f>
        <v>95687.902162147948</v>
      </c>
    </row>
    <row r="508" spans="1:33" ht="11.25" hidden="1" customHeight="1" x14ac:dyDescent="0.3">
      <c r="A508" s="4" t="s">
        <v>27</v>
      </c>
      <c r="B508" s="4" t="s">
        <v>32</v>
      </c>
      <c r="C508" s="4" t="s">
        <v>23</v>
      </c>
      <c r="D508" s="4" t="s">
        <v>40</v>
      </c>
      <c r="E508" s="4" t="s">
        <v>25</v>
      </c>
      <c r="F508" s="4" t="s">
        <v>25</v>
      </c>
      <c r="G508" s="4" t="s">
        <v>25</v>
      </c>
      <c r="H508" s="4" t="s">
        <v>25</v>
      </c>
      <c r="I508" s="5">
        <v>44562</v>
      </c>
      <c r="J508" s="6">
        <v>0</v>
      </c>
      <c r="K508" s="6">
        <v>0</v>
      </c>
      <c r="L508" s="6">
        <v>13.016</v>
      </c>
      <c r="M508" s="6">
        <v>13.016</v>
      </c>
      <c r="N508" s="6">
        <v>13.016</v>
      </c>
      <c r="O508" s="6">
        <v>13.016</v>
      </c>
      <c r="P508" s="6">
        <v>25</v>
      </c>
      <c r="Q508" s="4" t="s">
        <v>26</v>
      </c>
      <c r="R508" s="4">
        <v>0</v>
      </c>
      <c r="S508" s="6">
        <v>0</v>
      </c>
      <c r="T508" s="6">
        <v>77</v>
      </c>
      <c r="U508" s="6">
        <v>52</v>
      </c>
      <c r="V508" s="6">
        <f>IF(ISERROR(VLOOKUP($S$508,'TAR FIN'!$A$1:$O$92,15,0)),0,VLOOKUP($S$508,'TAR FIN'!$A$1:$O$92,15,0))</f>
        <v>0</v>
      </c>
      <c r="W508" s="6">
        <f>IF(ISERROR(VLOOKUP($T$508,'TAR FIN'!$A$1:$O$92,15,0)),0,VLOOKUP($T$508,'TAR FIN'!$A$1:$O$92,15,0))</f>
        <v>343.17</v>
      </c>
      <c r="X508" s="6">
        <f>IF(ISERROR(VLOOKUP($U$508,'TAR FIN'!$A$1:$O$92,15,0)),0,VLOOKUP($U$508,'TAR FIN'!$A$1:$O$92,15,0))</f>
        <v>303.54000000000002</v>
      </c>
      <c r="Y508" s="6"/>
      <c r="Z508" s="6">
        <f ca="1">('TUSD BE'!$AM$52+'TUSD BF'!$AM$52+'TUSD CVA'!$AM$52)*1</f>
        <v>471.78110106754735</v>
      </c>
      <c r="AA508" s="6">
        <f>('TE BE'!$AB$40+'TE BF'!$AB$40+'TE CVA'!$AB$40)*1</f>
        <v>287.16392669686104</v>
      </c>
      <c r="AB508" s="6">
        <f>$K$508*$V$508</f>
        <v>0</v>
      </c>
      <c r="AC508" s="6">
        <f>$M$508*$W$508</f>
        <v>4466.7007199999998</v>
      </c>
      <c r="AD508" s="6">
        <f>$O$508*$X$508</f>
        <v>3950.8766400000004</v>
      </c>
      <c r="AE508" s="6">
        <f>$K$508*$Y$508</f>
        <v>0</v>
      </c>
      <c r="AF508" s="6">
        <f ca="1">$M$508*$Z$508</f>
        <v>6140.7028114951963</v>
      </c>
      <c r="AG508" s="6">
        <f>$O$508*$AA$508</f>
        <v>3737.7256698863434</v>
      </c>
    </row>
    <row r="509" spans="1:33" ht="11.25" hidden="1" customHeight="1" x14ac:dyDescent="0.3">
      <c r="A509" s="4" t="s">
        <v>21</v>
      </c>
      <c r="B509" s="4" t="s">
        <v>32</v>
      </c>
      <c r="C509" s="4" t="s">
        <v>23</v>
      </c>
      <c r="D509" s="4" t="s">
        <v>40</v>
      </c>
      <c r="E509" s="4" t="s">
        <v>25</v>
      </c>
      <c r="F509" s="4" t="s">
        <v>25</v>
      </c>
      <c r="G509" s="4" t="s">
        <v>25</v>
      </c>
      <c r="H509" s="4" t="s">
        <v>25</v>
      </c>
      <c r="I509" s="5">
        <v>44593</v>
      </c>
      <c r="J509" s="6">
        <v>0</v>
      </c>
      <c r="K509" s="6">
        <v>0</v>
      </c>
      <c r="L509" s="6">
        <v>391.59899999999999</v>
      </c>
      <c r="M509" s="6">
        <v>391.59899999999999</v>
      </c>
      <c r="N509" s="6">
        <v>391.59899999999999</v>
      </c>
      <c r="O509" s="6">
        <v>391.59899999999999</v>
      </c>
      <c r="P509" s="6">
        <v>720</v>
      </c>
      <c r="Q509" s="4" t="s">
        <v>26</v>
      </c>
      <c r="R509" s="4">
        <v>0</v>
      </c>
      <c r="S509" s="6">
        <v>0</v>
      </c>
      <c r="T509" s="6">
        <v>77</v>
      </c>
      <c r="U509" s="6">
        <v>52</v>
      </c>
      <c r="V509" s="6">
        <f>IF(ISERROR(VLOOKUP($S$509,'TAR FIN'!$A$1:$O$92,15,0)),0,VLOOKUP($S$509,'TAR FIN'!$A$1:$O$92,15,0))</f>
        <v>0</v>
      </c>
      <c r="W509" s="6">
        <f>IF(ISERROR(VLOOKUP($T$509,'TAR FIN'!$A$1:$O$92,15,0)),0,VLOOKUP($T$509,'TAR FIN'!$A$1:$O$92,15,0))</f>
        <v>343.17</v>
      </c>
      <c r="X509" s="6">
        <f>IF(ISERROR(VLOOKUP($U$509,'TAR FIN'!$A$1:$O$92,15,0)),0,VLOOKUP($U$509,'TAR FIN'!$A$1:$O$92,15,0))</f>
        <v>303.54000000000002</v>
      </c>
      <c r="Y509" s="6"/>
      <c r="Z509" s="6">
        <f ca="1">('TUSD BE'!$AM$52+'TUSD BF'!$AM$52+'TUSD CVA'!$AM$52)*1</f>
        <v>471.78110106754735</v>
      </c>
      <c r="AA509" s="6">
        <f>('TE BE'!$AB$40+'TE BF'!$AB$40+'TE CVA'!$AB$40)*1</f>
        <v>287.16392669686104</v>
      </c>
      <c r="AB509" s="6">
        <f>$K$509*$V$509</f>
        <v>0</v>
      </c>
      <c r="AC509" s="6">
        <f>$M$509*$W$509</f>
        <v>134385.02883</v>
      </c>
      <c r="AD509" s="6">
        <f>$O$509*$X$509</f>
        <v>118865.96046</v>
      </c>
      <c r="AE509" s="6">
        <f>$K$509*$Y$509</f>
        <v>0</v>
      </c>
      <c r="AF509" s="6">
        <f ca="1">$M$509*$Z$509</f>
        <v>184749.00739695047</v>
      </c>
      <c r="AG509" s="6">
        <f>$O$509*$AA$509</f>
        <v>112453.10653056408</v>
      </c>
    </row>
    <row r="510" spans="1:33" ht="11.25" hidden="1" customHeight="1" x14ac:dyDescent="0.3">
      <c r="A510" s="4" t="s">
        <v>27</v>
      </c>
      <c r="B510" s="4" t="s">
        <v>32</v>
      </c>
      <c r="C510" s="4" t="s">
        <v>23</v>
      </c>
      <c r="D510" s="4" t="s">
        <v>40</v>
      </c>
      <c r="E510" s="4" t="s">
        <v>25</v>
      </c>
      <c r="F510" s="4" t="s">
        <v>25</v>
      </c>
      <c r="G510" s="4" t="s">
        <v>25</v>
      </c>
      <c r="H510" s="4" t="s">
        <v>25</v>
      </c>
      <c r="I510" s="5">
        <v>44593</v>
      </c>
      <c r="J510" s="6">
        <v>0</v>
      </c>
      <c r="K510" s="6">
        <v>0</v>
      </c>
      <c r="L510" s="6">
        <v>12.395</v>
      </c>
      <c r="M510" s="6">
        <v>12.395</v>
      </c>
      <c r="N510" s="6">
        <v>12.395</v>
      </c>
      <c r="O510" s="6">
        <v>12.395</v>
      </c>
      <c r="P510" s="6">
        <v>25</v>
      </c>
      <c r="Q510" s="4" t="s">
        <v>26</v>
      </c>
      <c r="R510" s="4">
        <v>0</v>
      </c>
      <c r="S510" s="6">
        <v>0</v>
      </c>
      <c r="T510" s="6">
        <v>77</v>
      </c>
      <c r="U510" s="6">
        <v>52</v>
      </c>
      <c r="V510" s="6">
        <f>IF(ISERROR(VLOOKUP($S$510,'TAR FIN'!$A$1:$O$92,15,0)),0,VLOOKUP($S$510,'TAR FIN'!$A$1:$O$92,15,0))</f>
        <v>0</v>
      </c>
      <c r="W510" s="6">
        <f>IF(ISERROR(VLOOKUP($T$510,'TAR FIN'!$A$1:$O$92,15,0)),0,VLOOKUP($T$510,'TAR FIN'!$A$1:$O$92,15,0))</f>
        <v>343.17</v>
      </c>
      <c r="X510" s="6">
        <f>IF(ISERROR(VLOOKUP($U$510,'TAR FIN'!$A$1:$O$92,15,0)),0,VLOOKUP($U$510,'TAR FIN'!$A$1:$O$92,15,0))</f>
        <v>303.54000000000002</v>
      </c>
      <c r="Y510" s="6"/>
      <c r="Z510" s="6">
        <f ca="1">('TUSD BE'!$AM$52+'TUSD BF'!$AM$52+'TUSD CVA'!$AM$52)*1</f>
        <v>471.78110106754735</v>
      </c>
      <c r="AA510" s="6">
        <f>('TE BE'!$AB$40+'TE BF'!$AB$40+'TE CVA'!$AB$40)*1</f>
        <v>287.16392669686104</v>
      </c>
      <c r="AB510" s="6">
        <f>$K$510*$V$510</f>
        <v>0</v>
      </c>
      <c r="AC510" s="6">
        <f>$M$510*$W$510</f>
        <v>4253.5921500000004</v>
      </c>
      <c r="AD510" s="6">
        <f>$O$510*$X$510</f>
        <v>3762.3783000000003</v>
      </c>
      <c r="AE510" s="6">
        <f>$K$510*$Y$510</f>
        <v>0</v>
      </c>
      <c r="AF510" s="6">
        <f ca="1">$M$510*$Z$510</f>
        <v>5847.7267477322494</v>
      </c>
      <c r="AG510" s="6">
        <f>$O$510*$AA$510</f>
        <v>3559.3968714075922</v>
      </c>
    </row>
    <row r="511" spans="1:33" ht="11.25" hidden="1" customHeight="1" x14ac:dyDescent="0.3">
      <c r="A511" s="4" t="s">
        <v>21</v>
      </c>
      <c r="B511" s="4" t="s">
        <v>32</v>
      </c>
      <c r="C511" s="4" t="s">
        <v>23</v>
      </c>
      <c r="D511" s="4" t="s">
        <v>40</v>
      </c>
      <c r="E511" s="4" t="s">
        <v>25</v>
      </c>
      <c r="F511" s="4" t="s">
        <v>25</v>
      </c>
      <c r="G511" s="4" t="s">
        <v>25</v>
      </c>
      <c r="H511" s="4" t="s">
        <v>25</v>
      </c>
      <c r="I511" s="5">
        <v>44621</v>
      </c>
      <c r="J511" s="6">
        <v>0</v>
      </c>
      <c r="K511" s="6">
        <v>0</v>
      </c>
      <c r="L511" s="6">
        <v>368.37599999999998</v>
      </c>
      <c r="M511" s="6">
        <v>368.37599999999998</v>
      </c>
      <c r="N511" s="6">
        <v>368.37599999999998</v>
      </c>
      <c r="O511" s="6">
        <v>368.37599999999998</v>
      </c>
      <c r="P511" s="6">
        <v>723</v>
      </c>
      <c r="Q511" s="4" t="s">
        <v>26</v>
      </c>
      <c r="R511" s="4">
        <v>0</v>
      </c>
      <c r="S511" s="6">
        <v>0</v>
      </c>
      <c r="T511" s="6">
        <v>77</v>
      </c>
      <c r="U511" s="6">
        <v>52</v>
      </c>
      <c r="V511" s="6">
        <f>IF(ISERROR(VLOOKUP($S$511,'TAR FIN'!$A$1:$O$92,15,0)),0,VLOOKUP($S$511,'TAR FIN'!$A$1:$O$92,15,0))</f>
        <v>0</v>
      </c>
      <c r="W511" s="6">
        <f>IF(ISERROR(VLOOKUP($T$511,'TAR FIN'!$A$1:$O$92,15,0)),0,VLOOKUP($T$511,'TAR FIN'!$A$1:$O$92,15,0))</f>
        <v>343.17</v>
      </c>
      <c r="X511" s="6">
        <f>IF(ISERROR(VLOOKUP($U$511,'TAR FIN'!$A$1:$O$92,15,0)),0,VLOOKUP($U$511,'TAR FIN'!$A$1:$O$92,15,0))</f>
        <v>303.54000000000002</v>
      </c>
      <c r="Y511" s="6"/>
      <c r="Z511" s="6">
        <f ca="1">('TUSD BE'!$AM$52+'TUSD BF'!$AM$52+'TUSD CVA'!$AM$52)*1</f>
        <v>471.78110106754735</v>
      </c>
      <c r="AA511" s="6">
        <f>('TE BE'!$AB$40+'TE BF'!$AB$40+'TE CVA'!$AB$40)*1</f>
        <v>287.16392669686104</v>
      </c>
      <c r="AB511" s="6">
        <f>$K$511*$V$511</f>
        <v>0</v>
      </c>
      <c r="AC511" s="6">
        <f>$M$511*$W$511</f>
        <v>126415.59191999999</v>
      </c>
      <c r="AD511" s="6">
        <f>$O$511*$X$511</f>
        <v>111816.85103999999</v>
      </c>
      <c r="AE511" s="6">
        <f>$K$511*$Y$511</f>
        <v>0</v>
      </c>
      <c r="AF511" s="6">
        <f ca="1">$M$511*$Z$511</f>
        <v>173792.83488685882</v>
      </c>
      <c r="AG511" s="6">
        <f>$O$511*$AA$511</f>
        <v>105784.29866088288</v>
      </c>
    </row>
    <row r="512" spans="1:33" ht="11.25" hidden="1" customHeight="1" x14ac:dyDescent="0.3">
      <c r="A512" s="4" t="s">
        <v>27</v>
      </c>
      <c r="B512" s="4" t="s">
        <v>32</v>
      </c>
      <c r="C512" s="4" t="s">
        <v>23</v>
      </c>
      <c r="D512" s="4" t="s">
        <v>40</v>
      </c>
      <c r="E512" s="4" t="s">
        <v>25</v>
      </c>
      <c r="F512" s="4" t="s">
        <v>25</v>
      </c>
      <c r="G512" s="4" t="s">
        <v>25</v>
      </c>
      <c r="H512" s="4" t="s">
        <v>25</v>
      </c>
      <c r="I512" s="5">
        <v>44621</v>
      </c>
      <c r="J512" s="6">
        <v>0</v>
      </c>
      <c r="K512" s="6">
        <v>0</v>
      </c>
      <c r="L512" s="6">
        <v>11.8</v>
      </c>
      <c r="M512" s="6">
        <v>11.8</v>
      </c>
      <c r="N512" s="6">
        <v>11.8</v>
      </c>
      <c r="O512" s="6">
        <v>11.8</v>
      </c>
      <c r="P512" s="6">
        <v>25</v>
      </c>
      <c r="Q512" s="4" t="s">
        <v>26</v>
      </c>
      <c r="R512" s="4">
        <v>0</v>
      </c>
      <c r="S512" s="6">
        <v>0</v>
      </c>
      <c r="T512" s="6">
        <v>77</v>
      </c>
      <c r="U512" s="6">
        <v>52</v>
      </c>
      <c r="V512" s="6">
        <f>IF(ISERROR(VLOOKUP($S$512,'TAR FIN'!$A$1:$O$92,15,0)),0,VLOOKUP($S$512,'TAR FIN'!$A$1:$O$92,15,0))</f>
        <v>0</v>
      </c>
      <c r="W512" s="6">
        <f>IF(ISERROR(VLOOKUP($T$512,'TAR FIN'!$A$1:$O$92,15,0)),0,VLOOKUP($T$512,'TAR FIN'!$A$1:$O$92,15,0))</f>
        <v>343.17</v>
      </c>
      <c r="X512" s="6">
        <f>IF(ISERROR(VLOOKUP($U$512,'TAR FIN'!$A$1:$O$92,15,0)),0,VLOOKUP($U$512,'TAR FIN'!$A$1:$O$92,15,0))</f>
        <v>303.54000000000002</v>
      </c>
      <c r="Y512" s="6"/>
      <c r="Z512" s="6">
        <f ca="1">('TUSD BE'!$AM$52+'TUSD BF'!$AM$52+'TUSD CVA'!$AM$52)*1</f>
        <v>471.78110106754735</v>
      </c>
      <c r="AA512" s="6">
        <f>('TE BE'!$AB$40+'TE BF'!$AB$40+'TE CVA'!$AB$40)*1</f>
        <v>287.16392669686104</v>
      </c>
      <c r="AB512" s="6">
        <f>$K$512*$V$512</f>
        <v>0</v>
      </c>
      <c r="AC512" s="6">
        <f>$M$512*$W$512</f>
        <v>4049.4060000000004</v>
      </c>
      <c r="AD512" s="6">
        <f>$O$512*$X$512</f>
        <v>3581.7720000000004</v>
      </c>
      <c r="AE512" s="6">
        <f>$K$512*$Y$512</f>
        <v>0</v>
      </c>
      <c r="AF512" s="6">
        <f ca="1">$M$512*$Z$512</f>
        <v>5567.0169925970595</v>
      </c>
      <c r="AG512" s="6">
        <f>$O$512*$AA$512</f>
        <v>3388.5343350229605</v>
      </c>
    </row>
    <row r="513" spans="1:33" ht="11.25" hidden="1" customHeight="1" x14ac:dyDescent="0.3">
      <c r="A513" s="4" t="s">
        <v>21</v>
      </c>
      <c r="B513" s="4" t="s">
        <v>32</v>
      </c>
      <c r="C513" s="4" t="s">
        <v>23</v>
      </c>
      <c r="D513" s="4" t="s">
        <v>40</v>
      </c>
      <c r="E513" s="4" t="s">
        <v>25</v>
      </c>
      <c r="F513" s="4" t="s">
        <v>25</v>
      </c>
      <c r="G513" s="4" t="s">
        <v>25</v>
      </c>
      <c r="H513" s="4" t="s">
        <v>25</v>
      </c>
      <c r="I513" s="5">
        <v>44652</v>
      </c>
      <c r="J513" s="6">
        <v>0</v>
      </c>
      <c r="K513" s="6">
        <v>0</v>
      </c>
      <c r="L513" s="6">
        <v>326.64400000000001</v>
      </c>
      <c r="M513" s="6">
        <v>326.64400000000001</v>
      </c>
      <c r="N513" s="6">
        <v>326.64400000000001</v>
      </c>
      <c r="O513" s="6">
        <v>326.64400000000001</v>
      </c>
      <c r="P513" s="6">
        <v>719</v>
      </c>
      <c r="Q513" s="4" t="s">
        <v>26</v>
      </c>
      <c r="R513" s="4">
        <v>0</v>
      </c>
      <c r="S513" s="6">
        <v>0</v>
      </c>
      <c r="T513" s="6">
        <v>77</v>
      </c>
      <c r="U513" s="6">
        <v>52</v>
      </c>
      <c r="V513" s="6">
        <f>IF(ISERROR(VLOOKUP($S$513,'TAR FIN'!$A$1:$O$92,15,0)),0,VLOOKUP($S$513,'TAR FIN'!$A$1:$O$92,15,0))</f>
        <v>0</v>
      </c>
      <c r="W513" s="6">
        <f>IF(ISERROR(VLOOKUP($T$513,'TAR FIN'!$A$1:$O$92,15,0)),0,VLOOKUP($T$513,'TAR FIN'!$A$1:$O$92,15,0))</f>
        <v>343.17</v>
      </c>
      <c r="X513" s="6">
        <f>IF(ISERROR(VLOOKUP($U$513,'TAR FIN'!$A$1:$O$92,15,0)),0,VLOOKUP($U$513,'TAR FIN'!$A$1:$O$92,15,0))</f>
        <v>303.54000000000002</v>
      </c>
      <c r="Y513" s="6"/>
      <c r="Z513" s="6">
        <f ca="1">('TUSD BE'!$AM$52+'TUSD BF'!$AM$52+'TUSD CVA'!$AM$52)*1</f>
        <v>471.78110106754735</v>
      </c>
      <c r="AA513" s="6">
        <f>('TE BE'!$AB$40+'TE BF'!$AB$40+'TE CVA'!$AB$40)*1</f>
        <v>287.16392669686104</v>
      </c>
      <c r="AB513" s="6">
        <f>$K$513*$V$513</f>
        <v>0</v>
      </c>
      <c r="AC513" s="6">
        <f>$M$513*$W$513</f>
        <v>112094.42148</v>
      </c>
      <c r="AD513" s="6">
        <f>$O$513*$X$513</f>
        <v>99149.51976000001</v>
      </c>
      <c r="AE513" s="6">
        <f>$K$513*$Y$513</f>
        <v>0</v>
      </c>
      <c r="AF513" s="6">
        <f ca="1">$M$513*$Z$513</f>
        <v>154104.46597710793</v>
      </c>
      <c r="AG513" s="6">
        <f>$O$513*$AA$513</f>
        <v>93800.373671969486</v>
      </c>
    </row>
    <row r="514" spans="1:33" ht="11.25" hidden="1" customHeight="1" x14ac:dyDescent="0.3">
      <c r="A514" s="4" t="s">
        <v>27</v>
      </c>
      <c r="B514" s="4" t="s">
        <v>32</v>
      </c>
      <c r="C514" s="4" t="s">
        <v>23</v>
      </c>
      <c r="D514" s="4" t="s">
        <v>40</v>
      </c>
      <c r="E514" s="4" t="s">
        <v>25</v>
      </c>
      <c r="F514" s="4" t="s">
        <v>25</v>
      </c>
      <c r="G514" s="4" t="s">
        <v>25</v>
      </c>
      <c r="H514" s="4" t="s">
        <v>25</v>
      </c>
      <c r="I514" s="5">
        <v>44652</v>
      </c>
      <c r="J514" s="6">
        <v>0</v>
      </c>
      <c r="K514" s="6">
        <v>0</v>
      </c>
      <c r="L514" s="6">
        <v>17.266999999999999</v>
      </c>
      <c r="M514" s="6">
        <v>17.266999999999999</v>
      </c>
      <c r="N514" s="6">
        <v>17.266999999999999</v>
      </c>
      <c r="O514" s="6">
        <v>17.266999999999999</v>
      </c>
      <c r="P514" s="6">
        <v>27</v>
      </c>
      <c r="Q514" s="4" t="s">
        <v>26</v>
      </c>
      <c r="R514" s="4">
        <v>0</v>
      </c>
      <c r="S514" s="6">
        <v>0</v>
      </c>
      <c r="T514" s="6">
        <v>77</v>
      </c>
      <c r="U514" s="6">
        <v>52</v>
      </c>
      <c r="V514" s="6">
        <f>IF(ISERROR(VLOOKUP($S$514,'TAR FIN'!$A$1:$O$92,15,0)),0,VLOOKUP($S$514,'TAR FIN'!$A$1:$O$92,15,0))</f>
        <v>0</v>
      </c>
      <c r="W514" s="6">
        <f>IF(ISERROR(VLOOKUP($T$514,'TAR FIN'!$A$1:$O$92,15,0)),0,VLOOKUP($T$514,'TAR FIN'!$A$1:$O$92,15,0))</f>
        <v>343.17</v>
      </c>
      <c r="X514" s="6">
        <f>IF(ISERROR(VLOOKUP($U$514,'TAR FIN'!$A$1:$O$92,15,0)),0,VLOOKUP($U$514,'TAR FIN'!$A$1:$O$92,15,0))</f>
        <v>303.54000000000002</v>
      </c>
      <c r="Y514" s="6"/>
      <c r="Z514" s="6">
        <f ca="1">('TUSD BE'!$AM$52+'TUSD BF'!$AM$52+'TUSD CVA'!$AM$52)*1</f>
        <v>471.78110106754735</v>
      </c>
      <c r="AA514" s="6">
        <f>('TE BE'!$AB$40+'TE BF'!$AB$40+'TE CVA'!$AB$40)*1</f>
        <v>287.16392669686104</v>
      </c>
      <c r="AB514" s="6">
        <f>$K$514*$V$514</f>
        <v>0</v>
      </c>
      <c r="AC514" s="6">
        <f>$M$514*$W$514</f>
        <v>5925.5163899999998</v>
      </c>
      <c r="AD514" s="6">
        <f>$O$514*$X$514</f>
        <v>5241.2251800000004</v>
      </c>
      <c r="AE514" s="6">
        <f>$K$514*$Y$514</f>
        <v>0</v>
      </c>
      <c r="AF514" s="6">
        <f ca="1">$M$514*$Z$514</f>
        <v>8146.24427213334</v>
      </c>
      <c r="AG514" s="6">
        <f>$O$514*$AA$514</f>
        <v>4958.4595222746993</v>
      </c>
    </row>
    <row r="515" spans="1:33" ht="11.25" hidden="1" customHeight="1" x14ac:dyDescent="0.3">
      <c r="A515" s="4" t="s">
        <v>21</v>
      </c>
      <c r="B515" s="4" t="s">
        <v>32</v>
      </c>
      <c r="C515" s="4" t="s">
        <v>23</v>
      </c>
      <c r="D515" s="4" t="s">
        <v>40</v>
      </c>
      <c r="E515" s="4" t="s">
        <v>25</v>
      </c>
      <c r="F515" s="4" t="s">
        <v>25</v>
      </c>
      <c r="G515" s="4" t="s">
        <v>25</v>
      </c>
      <c r="H515" s="4" t="s">
        <v>25</v>
      </c>
      <c r="I515" s="5">
        <v>44682</v>
      </c>
      <c r="J515" s="6">
        <v>0</v>
      </c>
      <c r="K515" s="6">
        <v>0</v>
      </c>
      <c r="L515" s="6">
        <v>256.05</v>
      </c>
      <c r="M515" s="6">
        <v>256.05</v>
      </c>
      <c r="N515" s="6">
        <v>256.05</v>
      </c>
      <c r="O515" s="6">
        <v>256.05</v>
      </c>
      <c r="P515" s="6">
        <v>725</v>
      </c>
      <c r="Q515" s="4" t="s">
        <v>26</v>
      </c>
      <c r="R515" s="4">
        <v>0</v>
      </c>
      <c r="S515" s="6">
        <v>0</v>
      </c>
      <c r="T515" s="6">
        <v>77</v>
      </c>
      <c r="U515" s="6">
        <v>52</v>
      </c>
      <c r="V515" s="6">
        <f>IF(ISERROR(VLOOKUP($S$515,'TAR FIN'!$A$1:$O$92,15,0)),0,VLOOKUP($S$515,'TAR FIN'!$A$1:$O$92,15,0))</f>
        <v>0</v>
      </c>
      <c r="W515" s="6">
        <f>IF(ISERROR(VLOOKUP($T$515,'TAR FIN'!$A$1:$O$92,15,0)),0,VLOOKUP($T$515,'TAR FIN'!$A$1:$O$92,15,0))</f>
        <v>343.17</v>
      </c>
      <c r="X515" s="6">
        <f>IF(ISERROR(VLOOKUP($U$515,'TAR FIN'!$A$1:$O$92,15,0)),0,VLOOKUP($U$515,'TAR FIN'!$A$1:$O$92,15,0))</f>
        <v>303.54000000000002</v>
      </c>
      <c r="Y515" s="6"/>
      <c r="Z515" s="6">
        <f ca="1">('TUSD BE'!$AM$52+'TUSD BF'!$AM$52+'TUSD CVA'!$AM$52)*1</f>
        <v>471.78110106754735</v>
      </c>
      <c r="AA515" s="6">
        <f>('TE BE'!$AB$40+'TE BF'!$AB$40+'TE CVA'!$AB$40)*1</f>
        <v>287.16392669686104</v>
      </c>
      <c r="AB515" s="6">
        <f>$K$515*$V$515</f>
        <v>0</v>
      </c>
      <c r="AC515" s="6">
        <f>$M$515*$W$515</f>
        <v>87868.678500000009</v>
      </c>
      <c r="AD515" s="6">
        <f>$O$515*$X$515</f>
        <v>77721.417000000016</v>
      </c>
      <c r="AE515" s="6">
        <f>$K$515*$Y$515</f>
        <v>0</v>
      </c>
      <c r="AF515" s="6">
        <f ca="1">$M$515*$Z$515</f>
        <v>120799.5509283455</v>
      </c>
      <c r="AG515" s="6">
        <f>$O$515*$AA$515</f>
        <v>73528.323430731267</v>
      </c>
    </row>
    <row r="516" spans="1:33" ht="11.25" hidden="1" customHeight="1" x14ac:dyDescent="0.3">
      <c r="A516" s="4" t="s">
        <v>27</v>
      </c>
      <c r="B516" s="4" t="s">
        <v>32</v>
      </c>
      <c r="C516" s="4" t="s">
        <v>23</v>
      </c>
      <c r="D516" s="4" t="s">
        <v>40</v>
      </c>
      <c r="E516" s="4" t="s">
        <v>25</v>
      </c>
      <c r="F516" s="4" t="s">
        <v>25</v>
      </c>
      <c r="G516" s="4" t="s">
        <v>25</v>
      </c>
      <c r="H516" s="4" t="s">
        <v>25</v>
      </c>
      <c r="I516" s="5">
        <v>44682</v>
      </c>
      <c r="J516" s="6">
        <v>0</v>
      </c>
      <c r="K516" s="6">
        <v>0</v>
      </c>
      <c r="L516" s="6">
        <v>11.25</v>
      </c>
      <c r="M516" s="6">
        <v>11.25</v>
      </c>
      <c r="N516" s="6">
        <v>11.25</v>
      </c>
      <c r="O516" s="6">
        <v>11.25</v>
      </c>
      <c r="P516" s="6">
        <v>27</v>
      </c>
      <c r="Q516" s="4" t="s">
        <v>26</v>
      </c>
      <c r="R516" s="4">
        <v>0</v>
      </c>
      <c r="S516" s="6">
        <v>0</v>
      </c>
      <c r="T516" s="6">
        <v>77</v>
      </c>
      <c r="U516" s="6">
        <v>52</v>
      </c>
      <c r="V516" s="6">
        <f>IF(ISERROR(VLOOKUP($S$516,'TAR FIN'!$A$1:$O$92,15,0)),0,VLOOKUP($S$516,'TAR FIN'!$A$1:$O$92,15,0))</f>
        <v>0</v>
      </c>
      <c r="W516" s="6">
        <f>IF(ISERROR(VLOOKUP($T$516,'TAR FIN'!$A$1:$O$92,15,0)),0,VLOOKUP($T$516,'TAR FIN'!$A$1:$O$92,15,0))</f>
        <v>343.17</v>
      </c>
      <c r="X516" s="6">
        <f>IF(ISERROR(VLOOKUP($U$516,'TAR FIN'!$A$1:$O$92,15,0)),0,VLOOKUP($U$516,'TAR FIN'!$A$1:$O$92,15,0))</f>
        <v>303.54000000000002</v>
      </c>
      <c r="Y516" s="6"/>
      <c r="Z516" s="6">
        <f ca="1">('TUSD BE'!$AM$52+'TUSD BF'!$AM$52+'TUSD CVA'!$AM$52)*1</f>
        <v>471.78110106754735</v>
      </c>
      <c r="AA516" s="6">
        <f>('TE BE'!$AB$40+'TE BF'!$AB$40+'TE CVA'!$AB$40)*1</f>
        <v>287.16392669686104</v>
      </c>
      <c r="AB516" s="6">
        <f>$K$516*$V$516</f>
        <v>0</v>
      </c>
      <c r="AC516" s="6">
        <f>$M$516*$W$516</f>
        <v>3860.6625000000004</v>
      </c>
      <c r="AD516" s="6">
        <f>$O$516*$X$516</f>
        <v>3414.8250000000003</v>
      </c>
      <c r="AE516" s="6">
        <f>$K$516*$Y$516</f>
        <v>0</v>
      </c>
      <c r="AF516" s="6">
        <f ca="1">$M$516*$Z$516</f>
        <v>5307.5373870099074</v>
      </c>
      <c r="AG516" s="6">
        <f>$O$516*$AA$516</f>
        <v>3230.5941753396869</v>
      </c>
    </row>
    <row r="517" spans="1:33" ht="11.25" hidden="1" customHeight="1" x14ac:dyDescent="0.3">
      <c r="A517" s="4" t="s">
        <v>21</v>
      </c>
      <c r="B517" s="4" t="s">
        <v>32</v>
      </c>
      <c r="C517" s="4" t="s">
        <v>23</v>
      </c>
      <c r="D517" s="4" t="s">
        <v>40</v>
      </c>
      <c r="E517" s="4" t="s">
        <v>25</v>
      </c>
      <c r="F517" s="4" t="s">
        <v>25</v>
      </c>
      <c r="G517" s="4" t="s">
        <v>25</v>
      </c>
      <c r="H517" s="4" t="s">
        <v>25</v>
      </c>
      <c r="I517" s="5">
        <v>44713</v>
      </c>
      <c r="J517" s="6">
        <v>0</v>
      </c>
      <c r="K517" s="6">
        <v>0</v>
      </c>
      <c r="L517" s="6">
        <v>258.20400000000001</v>
      </c>
      <c r="M517" s="6">
        <v>258.20400000000001</v>
      </c>
      <c r="N517" s="6">
        <v>258.20400000000001</v>
      </c>
      <c r="O517" s="6">
        <v>258.20400000000001</v>
      </c>
      <c r="P517" s="6">
        <v>720</v>
      </c>
      <c r="Q517" s="4" t="s">
        <v>26</v>
      </c>
      <c r="R517" s="4">
        <v>0</v>
      </c>
      <c r="S517" s="6">
        <v>0</v>
      </c>
      <c r="T517" s="6">
        <v>77</v>
      </c>
      <c r="U517" s="6">
        <v>52</v>
      </c>
      <c r="V517" s="6">
        <f>IF(ISERROR(VLOOKUP($S$517,'TAR FIN'!$A$1:$O$92,15,0)),0,VLOOKUP($S$517,'TAR FIN'!$A$1:$O$92,15,0))</f>
        <v>0</v>
      </c>
      <c r="W517" s="6">
        <f>IF(ISERROR(VLOOKUP($T$517,'TAR FIN'!$A$1:$O$92,15,0)),0,VLOOKUP($T$517,'TAR FIN'!$A$1:$O$92,15,0))</f>
        <v>343.17</v>
      </c>
      <c r="X517" s="6">
        <f>IF(ISERROR(VLOOKUP($U$517,'TAR FIN'!$A$1:$O$92,15,0)),0,VLOOKUP($U$517,'TAR FIN'!$A$1:$O$92,15,0))</f>
        <v>303.54000000000002</v>
      </c>
      <c r="Y517" s="6"/>
      <c r="Z517" s="6">
        <f ca="1">('TUSD BE'!$AM$52+'TUSD BF'!$AM$52+'TUSD CVA'!$AM$52)*1</f>
        <v>471.78110106754735</v>
      </c>
      <c r="AA517" s="6">
        <f>('TE BE'!$AB$40+'TE BF'!$AB$40+'TE CVA'!$AB$40)*1</f>
        <v>287.16392669686104</v>
      </c>
      <c r="AB517" s="6">
        <f>$K$517*$V$517</f>
        <v>0</v>
      </c>
      <c r="AC517" s="6">
        <f>$M$517*$W$517</f>
        <v>88607.866680000006</v>
      </c>
      <c r="AD517" s="6">
        <f>$O$517*$X$517</f>
        <v>78375.242160000009</v>
      </c>
      <c r="AE517" s="6">
        <f>$K$517*$Y$517</f>
        <v>0</v>
      </c>
      <c r="AF517" s="6">
        <f ca="1">$M$517*$Z$517</f>
        <v>121815.767420045</v>
      </c>
      <c r="AG517" s="6">
        <f>$O$517*$AA$517</f>
        <v>74146.874528836313</v>
      </c>
    </row>
    <row r="518" spans="1:33" ht="11.25" hidden="1" customHeight="1" x14ac:dyDescent="0.3">
      <c r="A518" s="4" t="s">
        <v>27</v>
      </c>
      <c r="B518" s="4" t="s">
        <v>32</v>
      </c>
      <c r="C518" s="4" t="s">
        <v>23</v>
      </c>
      <c r="D518" s="4" t="s">
        <v>40</v>
      </c>
      <c r="E518" s="4" t="s">
        <v>25</v>
      </c>
      <c r="F518" s="4" t="s">
        <v>25</v>
      </c>
      <c r="G518" s="4" t="s">
        <v>25</v>
      </c>
      <c r="H518" s="4" t="s">
        <v>25</v>
      </c>
      <c r="I518" s="5">
        <v>44713</v>
      </c>
      <c r="J518" s="6">
        <v>0</v>
      </c>
      <c r="K518" s="6">
        <v>0</v>
      </c>
      <c r="L518" s="6">
        <v>16.280999999999999</v>
      </c>
      <c r="M518" s="6">
        <v>16.280999999999999</v>
      </c>
      <c r="N518" s="6">
        <v>16.280999999999999</v>
      </c>
      <c r="O518" s="6">
        <v>16.280999999999999</v>
      </c>
      <c r="P518" s="6">
        <v>27</v>
      </c>
      <c r="Q518" s="4" t="s">
        <v>26</v>
      </c>
      <c r="R518" s="4">
        <v>0</v>
      </c>
      <c r="S518" s="6">
        <v>0</v>
      </c>
      <c r="T518" s="6">
        <v>77</v>
      </c>
      <c r="U518" s="6">
        <v>52</v>
      </c>
      <c r="V518" s="6">
        <f>IF(ISERROR(VLOOKUP($S$518,'TAR FIN'!$A$1:$O$92,15,0)),0,VLOOKUP($S$518,'TAR FIN'!$A$1:$O$92,15,0))</f>
        <v>0</v>
      </c>
      <c r="W518" s="6">
        <f>IF(ISERROR(VLOOKUP($T$518,'TAR FIN'!$A$1:$O$92,15,0)),0,VLOOKUP($T$518,'TAR FIN'!$A$1:$O$92,15,0))</f>
        <v>343.17</v>
      </c>
      <c r="X518" s="6">
        <f>IF(ISERROR(VLOOKUP($U$518,'TAR FIN'!$A$1:$O$92,15,0)),0,VLOOKUP($U$518,'TAR FIN'!$A$1:$O$92,15,0))</f>
        <v>303.54000000000002</v>
      </c>
      <c r="Y518" s="6"/>
      <c r="Z518" s="6">
        <f ca="1">('TUSD BE'!$AM$52+'TUSD BF'!$AM$52+'TUSD CVA'!$AM$52)*1</f>
        <v>471.78110106754735</v>
      </c>
      <c r="AA518" s="6">
        <f>('TE BE'!$AB$40+'TE BF'!$AB$40+'TE CVA'!$AB$40)*1</f>
        <v>287.16392669686104</v>
      </c>
      <c r="AB518" s="6">
        <f>$K$518*$V$518</f>
        <v>0</v>
      </c>
      <c r="AC518" s="6">
        <f>$M$518*$W$518</f>
        <v>5587.1507700000002</v>
      </c>
      <c r="AD518" s="6">
        <f>$O$518*$X$518</f>
        <v>4941.9347399999997</v>
      </c>
      <c r="AE518" s="6">
        <f>$K$518*$Y$518</f>
        <v>0</v>
      </c>
      <c r="AF518" s="6">
        <f ca="1">$M$518*$Z$518</f>
        <v>7681.0681064807377</v>
      </c>
      <c r="AG518" s="6">
        <f>$O$518*$AA$518</f>
        <v>4675.3158905515938</v>
      </c>
    </row>
    <row r="519" spans="1:33" ht="11.25" hidden="1" customHeight="1" x14ac:dyDescent="0.3">
      <c r="A519" s="4" t="s">
        <v>21</v>
      </c>
      <c r="B519" s="4" t="s">
        <v>32</v>
      </c>
      <c r="C519" s="4" t="s">
        <v>23</v>
      </c>
      <c r="D519" s="4" t="s">
        <v>40</v>
      </c>
      <c r="E519" s="4" t="s">
        <v>25</v>
      </c>
      <c r="F519" s="4" t="s">
        <v>25</v>
      </c>
      <c r="G519" s="4" t="s">
        <v>25</v>
      </c>
      <c r="H519" s="4" t="s">
        <v>25</v>
      </c>
      <c r="I519" s="5">
        <v>44743</v>
      </c>
      <c r="J519" s="6">
        <v>0</v>
      </c>
      <c r="K519" s="6">
        <v>0</v>
      </c>
      <c r="L519" s="6">
        <v>244.58199999999999</v>
      </c>
      <c r="M519" s="6">
        <v>244.58199999999999</v>
      </c>
      <c r="N519" s="6">
        <v>244.58199999999999</v>
      </c>
      <c r="O519" s="6">
        <v>244.58199999999999</v>
      </c>
      <c r="P519" s="6">
        <v>727</v>
      </c>
      <c r="Q519" s="4" t="s">
        <v>26</v>
      </c>
      <c r="R519" s="4">
        <v>0</v>
      </c>
      <c r="S519" s="6">
        <v>0</v>
      </c>
      <c r="T519" s="6">
        <v>77</v>
      </c>
      <c r="U519" s="6">
        <v>52</v>
      </c>
      <c r="V519" s="6">
        <f>IF(ISERROR(VLOOKUP($S$519,'TAR FIN'!$A$1:$O$92,15,0)),0,VLOOKUP($S$519,'TAR FIN'!$A$1:$O$92,15,0))</f>
        <v>0</v>
      </c>
      <c r="W519" s="6">
        <f>IF(ISERROR(VLOOKUP($T$519,'TAR FIN'!$A$1:$O$92,15,0)),0,VLOOKUP($T$519,'TAR FIN'!$A$1:$O$92,15,0))</f>
        <v>343.17</v>
      </c>
      <c r="X519" s="6">
        <f>IF(ISERROR(VLOOKUP($U$519,'TAR FIN'!$A$1:$O$92,15,0)),0,VLOOKUP($U$519,'TAR FIN'!$A$1:$O$92,15,0))</f>
        <v>303.54000000000002</v>
      </c>
      <c r="Y519" s="6"/>
      <c r="Z519" s="6">
        <f ca="1">('TUSD BE'!$AM$52+'TUSD BF'!$AM$52+'TUSD CVA'!$AM$52)*1</f>
        <v>471.78110106754735</v>
      </c>
      <c r="AA519" s="6">
        <f>('TE BE'!$AB$40+'TE BF'!$AB$40+'TE CVA'!$AB$40)*1</f>
        <v>287.16392669686104</v>
      </c>
      <c r="AB519" s="6">
        <f>$K$519*$V$519</f>
        <v>0</v>
      </c>
      <c r="AC519" s="6">
        <f>$M$519*$W$519</f>
        <v>83933.204939999996</v>
      </c>
      <c r="AD519" s="6">
        <f>$O$519*$X$519</f>
        <v>74240.420280000006</v>
      </c>
      <c r="AE519" s="6">
        <f>$K$519*$Y$519</f>
        <v>0</v>
      </c>
      <c r="AF519" s="6">
        <f ca="1">$M$519*$Z$519</f>
        <v>115389.16526130287</v>
      </c>
      <c r="AG519" s="6">
        <f>$O$519*$AA$519</f>
        <v>70235.127519371672</v>
      </c>
    </row>
    <row r="520" spans="1:33" ht="11.25" hidden="1" customHeight="1" x14ac:dyDescent="0.3">
      <c r="A520" s="4" t="s">
        <v>27</v>
      </c>
      <c r="B520" s="4" t="s">
        <v>32</v>
      </c>
      <c r="C520" s="4" t="s">
        <v>23</v>
      </c>
      <c r="D520" s="4" t="s">
        <v>40</v>
      </c>
      <c r="E520" s="4" t="s">
        <v>25</v>
      </c>
      <c r="F520" s="4" t="s">
        <v>25</v>
      </c>
      <c r="G520" s="4" t="s">
        <v>25</v>
      </c>
      <c r="H520" s="4" t="s">
        <v>25</v>
      </c>
      <c r="I520" s="5">
        <v>44743</v>
      </c>
      <c r="J520" s="6">
        <v>0</v>
      </c>
      <c r="K520" s="6">
        <v>0</v>
      </c>
      <c r="L520" s="6">
        <v>16.545000000000002</v>
      </c>
      <c r="M520" s="6">
        <v>16.545000000000002</v>
      </c>
      <c r="N520" s="6">
        <v>16.545000000000002</v>
      </c>
      <c r="O520" s="6">
        <v>16.545000000000002</v>
      </c>
      <c r="P520" s="6">
        <v>27</v>
      </c>
      <c r="Q520" s="4" t="s">
        <v>26</v>
      </c>
      <c r="R520" s="4">
        <v>0</v>
      </c>
      <c r="S520" s="6">
        <v>0</v>
      </c>
      <c r="T520" s="6">
        <v>77</v>
      </c>
      <c r="U520" s="6">
        <v>52</v>
      </c>
      <c r="V520" s="6">
        <f>IF(ISERROR(VLOOKUP($S$520,'TAR FIN'!$A$1:$O$92,15,0)),0,VLOOKUP($S$520,'TAR FIN'!$A$1:$O$92,15,0))</f>
        <v>0</v>
      </c>
      <c r="W520" s="6">
        <f>IF(ISERROR(VLOOKUP($T$520,'TAR FIN'!$A$1:$O$92,15,0)),0,VLOOKUP($T$520,'TAR FIN'!$A$1:$O$92,15,0))</f>
        <v>343.17</v>
      </c>
      <c r="X520" s="6">
        <f>IF(ISERROR(VLOOKUP($U$520,'TAR FIN'!$A$1:$O$92,15,0)),0,VLOOKUP($U$520,'TAR FIN'!$A$1:$O$92,15,0))</f>
        <v>303.54000000000002</v>
      </c>
      <c r="Y520" s="6"/>
      <c r="Z520" s="6">
        <f ca="1">('TUSD BE'!$AM$52+'TUSD BF'!$AM$52+'TUSD CVA'!$AM$52)*1</f>
        <v>471.78110106754735</v>
      </c>
      <c r="AA520" s="6">
        <f>('TE BE'!$AB$40+'TE BF'!$AB$40+'TE CVA'!$AB$40)*1</f>
        <v>287.16392669686104</v>
      </c>
      <c r="AB520" s="6">
        <f>$K$520*$V$520</f>
        <v>0</v>
      </c>
      <c r="AC520" s="6">
        <f>$M$520*$W$520</f>
        <v>5677.7476500000012</v>
      </c>
      <c r="AD520" s="6">
        <f>$O$520*$X$520</f>
        <v>5022.069300000001</v>
      </c>
      <c r="AE520" s="6">
        <f>$K$520*$Y$520</f>
        <v>0</v>
      </c>
      <c r="AF520" s="6">
        <f ca="1">$M$520*$Z$520</f>
        <v>7805.6183171625717</v>
      </c>
      <c r="AG520" s="6">
        <f>$O$520*$AA$520</f>
        <v>4751.1271671995664</v>
      </c>
    </row>
    <row r="521" spans="1:33" ht="11.25" hidden="1" customHeight="1" x14ac:dyDescent="0.3">
      <c r="A521" s="4" t="s">
        <v>21</v>
      </c>
      <c r="B521" s="4" t="s">
        <v>32</v>
      </c>
      <c r="C521" s="4" t="s">
        <v>23</v>
      </c>
      <c r="D521" s="4" t="s">
        <v>49</v>
      </c>
      <c r="E521" s="4" t="s">
        <v>25</v>
      </c>
      <c r="F521" s="4" t="s">
        <v>25</v>
      </c>
      <c r="G521" s="4" t="s">
        <v>25</v>
      </c>
      <c r="H521" s="4" t="s">
        <v>25</v>
      </c>
      <c r="I521" s="5">
        <v>44409</v>
      </c>
      <c r="J521" s="6">
        <v>0</v>
      </c>
      <c r="K521" s="6">
        <v>0</v>
      </c>
      <c r="L521" s="6">
        <v>2.41</v>
      </c>
      <c r="M521" s="6">
        <v>2.41</v>
      </c>
      <c r="N521" s="6">
        <v>2.41</v>
      </c>
      <c r="O521" s="6">
        <v>2.41</v>
      </c>
      <c r="P521" s="6">
        <v>2</v>
      </c>
      <c r="Q521" s="4" t="s">
        <v>26</v>
      </c>
      <c r="R521" s="4">
        <v>0</v>
      </c>
      <c r="S521" s="6">
        <v>0</v>
      </c>
      <c r="T521" s="6">
        <v>77</v>
      </c>
      <c r="U521" s="6">
        <v>52</v>
      </c>
      <c r="V521" s="6">
        <f>IF(ISERROR(VLOOKUP($S$521,'TAR FIN'!$A$1:$O$92,15,0)),0,VLOOKUP($S$521,'TAR FIN'!$A$1:$O$92,15,0))</f>
        <v>0</v>
      </c>
      <c r="W521" s="6">
        <f>IF(ISERROR(VLOOKUP($T$521,'TAR FIN'!$A$1:$O$92,15,0)),0,VLOOKUP($T$521,'TAR FIN'!$A$1:$O$92,15,0))</f>
        <v>343.17</v>
      </c>
      <c r="X521" s="6">
        <f>IF(ISERROR(VLOOKUP($U$521,'TAR FIN'!$A$1:$O$92,15,0)),0,VLOOKUP($U$521,'TAR FIN'!$A$1:$O$92,15,0))</f>
        <v>303.54000000000002</v>
      </c>
      <c r="Y521" s="6"/>
      <c r="Z521" s="6">
        <f ca="1">('TUSD BE'!$AM$52+'TUSD BF'!$AM$52+'TUSD CVA'!$AM$52)*1</f>
        <v>471.78110106754735</v>
      </c>
      <c r="AA521" s="6">
        <f>('TE BE'!$AB$40+'TE BF'!$AB$40+'TE CVA'!$AB$40)*1</f>
        <v>287.16392669686104</v>
      </c>
      <c r="AB521" s="6">
        <f>$K$521*$V$521</f>
        <v>0</v>
      </c>
      <c r="AC521" s="6">
        <f>$M$521*$W$521</f>
        <v>827.03970000000004</v>
      </c>
      <c r="AD521" s="6">
        <f>$O$521*$X$521</f>
        <v>731.53140000000008</v>
      </c>
      <c r="AE521" s="6">
        <f>$K$521*$Y$521</f>
        <v>0</v>
      </c>
      <c r="AF521" s="6">
        <f ca="1">$M$521*$Z$521</f>
        <v>1136.9924535727891</v>
      </c>
      <c r="AG521" s="6">
        <f>$O$521*$AA$521</f>
        <v>692.06506333943514</v>
      </c>
    </row>
    <row r="522" spans="1:33" ht="11.25" hidden="1" customHeight="1" x14ac:dyDescent="0.3">
      <c r="A522" s="4" t="s">
        <v>21</v>
      </c>
      <c r="B522" s="4" t="s">
        <v>32</v>
      </c>
      <c r="C522" s="4" t="s">
        <v>23</v>
      </c>
      <c r="D522" s="4" t="s">
        <v>49</v>
      </c>
      <c r="E522" s="4" t="s">
        <v>25</v>
      </c>
      <c r="F522" s="4" t="s">
        <v>25</v>
      </c>
      <c r="G522" s="4" t="s">
        <v>25</v>
      </c>
      <c r="H522" s="4" t="s">
        <v>25</v>
      </c>
      <c r="I522" s="5">
        <v>44440</v>
      </c>
      <c r="J522" s="6">
        <v>0</v>
      </c>
      <c r="K522" s="6">
        <v>0</v>
      </c>
      <c r="L522" s="6">
        <v>2.89</v>
      </c>
      <c r="M522" s="6">
        <v>2.89</v>
      </c>
      <c r="N522" s="6">
        <v>2.89</v>
      </c>
      <c r="O522" s="6">
        <v>2.89</v>
      </c>
      <c r="P522" s="6">
        <v>2</v>
      </c>
      <c r="Q522" s="4" t="s">
        <v>26</v>
      </c>
      <c r="R522" s="4">
        <v>0</v>
      </c>
      <c r="S522" s="6">
        <v>0</v>
      </c>
      <c r="T522" s="6">
        <v>77</v>
      </c>
      <c r="U522" s="6">
        <v>52</v>
      </c>
      <c r="V522" s="6">
        <f>IF(ISERROR(VLOOKUP($S$522,'TAR FIN'!$A$1:$O$92,15,0)),0,VLOOKUP($S$522,'TAR FIN'!$A$1:$O$92,15,0))</f>
        <v>0</v>
      </c>
      <c r="W522" s="6">
        <f>IF(ISERROR(VLOOKUP($T$522,'TAR FIN'!$A$1:$O$92,15,0)),0,VLOOKUP($T$522,'TAR FIN'!$A$1:$O$92,15,0))</f>
        <v>343.17</v>
      </c>
      <c r="X522" s="6">
        <f>IF(ISERROR(VLOOKUP($U$522,'TAR FIN'!$A$1:$O$92,15,0)),0,VLOOKUP($U$522,'TAR FIN'!$A$1:$O$92,15,0))</f>
        <v>303.54000000000002</v>
      </c>
      <c r="Y522" s="6"/>
      <c r="Z522" s="6">
        <f ca="1">('TUSD BE'!$AM$52+'TUSD BF'!$AM$52+'TUSD CVA'!$AM$52)*1</f>
        <v>471.78110106754735</v>
      </c>
      <c r="AA522" s="6">
        <f>('TE BE'!$AB$40+'TE BF'!$AB$40+'TE CVA'!$AB$40)*1</f>
        <v>287.16392669686104</v>
      </c>
      <c r="AB522" s="6">
        <f>$K$522*$V$522</f>
        <v>0</v>
      </c>
      <c r="AC522" s="6">
        <f>$M$522*$W$522</f>
        <v>991.76130000000012</v>
      </c>
      <c r="AD522" s="6">
        <f>$O$522*$X$522</f>
        <v>877.23060000000009</v>
      </c>
      <c r="AE522" s="6">
        <f>$K$522*$Y$522</f>
        <v>0</v>
      </c>
      <c r="AF522" s="6">
        <f ca="1">$M$522*$Z$522</f>
        <v>1363.447382085212</v>
      </c>
      <c r="AG522" s="6">
        <f>$O$522*$AA$522</f>
        <v>829.9037481539284</v>
      </c>
    </row>
    <row r="523" spans="1:33" ht="11.25" hidden="1" customHeight="1" x14ac:dyDescent="0.3">
      <c r="A523" s="4" t="s">
        <v>21</v>
      </c>
      <c r="B523" s="4" t="s">
        <v>32</v>
      </c>
      <c r="C523" s="4" t="s">
        <v>23</v>
      </c>
      <c r="D523" s="4" t="s">
        <v>49</v>
      </c>
      <c r="E523" s="4" t="s">
        <v>25</v>
      </c>
      <c r="F523" s="4" t="s">
        <v>25</v>
      </c>
      <c r="G523" s="4" t="s">
        <v>25</v>
      </c>
      <c r="H523" s="4" t="s">
        <v>25</v>
      </c>
      <c r="I523" s="5">
        <v>44470</v>
      </c>
      <c r="J523" s="6">
        <v>0</v>
      </c>
      <c r="K523" s="6">
        <v>0</v>
      </c>
      <c r="L523" s="6">
        <v>2.83</v>
      </c>
      <c r="M523" s="6">
        <v>2.83</v>
      </c>
      <c r="N523" s="6">
        <v>2.83</v>
      </c>
      <c r="O523" s="6">
        <v>2.83</v>
      </c>
      <c r="P523" s="6">
        <v>2</v>
      </c>
      <c r="Q523" s="4" t="s">
        <v>26</v>
      </c>
      <c r="R523" s="4">
        <v>0</v>
      </c>
      <c r="S523" s="6">
        <v>0</v>
      </c>
      <c r="T523" s="6">
        <v>77</v>
      </c>
      <c r="U523" s="6">
        <v>52</v>
      </c>
      <c r="V523" s="6">
        <f>IF(ISERROR(VLOOKUP($S$523,'TAR FIN'!$A$1:$O$92,15,0)),0,VLOOKUP($S$523,'TAR FIN'!$A$1:$O$92,15,0))</f>
        <v>0</v>
      </c>
      <c r="W523" s="6">
        <f>IF(ISERROR(VLOOKUP($T$523,'TAR FIN'!$A$1:$O$92,15,0)),0,VLOOKUP($T$523,'TAR FIN'!$A$1:$O$92,15,0))</f>
        <v>343.17</v>
      </c>
      <c r="X523" s="6">
        <f>IF(ISERROR(VLOOKUP($U$523,'TAR FIN'!$A$1:$O$92,15,0)),0,VLOOKUP($U$523,'TAR FIN'!$A$1:$O$92,15,0))</f>
        <v>303.54000000000002</v>
      </c>
      <c r="Y523" s="6"/>
      <c r="Z523" s="6">
        <f ca="1">('TUSD BE'!$AM$52+'TUSD BF'!$AM$52+'TUSD CVA'!$AM$52)*1</f>
        <v>471.78110106754735</v>
      </c>
      <c r="AA523" s="6">
        <f>('TE BE'!$AB$40+'TE BF'!$AB$40+'TE CVA'!$AB$40)*1</f>
        <v>287.16392669686104</v>
      </c>
      <c r="AB523" s="6">
        <f>$K$523*$V$523</f>
        <v>0</v>
      </c>
      <c r="AC523" s="6">
        <f>$M$523*$W$523</f>
        <v>971.17110000000002</v>
      </c>
      <c r="AD523" s="6">
        <f>$O$523*$X$523</f>
        <v>859.01820000000009</v>
      </c>
      <c r="AE523" s="6">
        <f>$K$523*$Y$523</f>
        <v>0</v>
      </c>
      <c r="AF523" s="6">
        <f ca="1">$M$523*$Z$523</f>
        <v>1335.1405160211591</v>
      </c>
      <c r="AG523" s="6">
        <f>$O$523*$AA$523</f>
        <v>812.6739125521168</v>
      </c>
    </row>
    <row r="524" spans="1:33" ht="11.25" hidden="1" customHeight="1" x14ac:dyDescent="0.3">
      <c r="A524" s="4" t="s">
        <v>21</v>
      </c>
      <c r="B524" s="4" t="s">
        <v>32</v>
      </c>
      <c r="C524" s="4" t="s">
        <v>23</v>
      </c>
      <c r="D524" s="4" t="s">
        <v>49</v>
      </c>
      <c r="E524" s="4" t="s">
        <v>25</v>
      </c>
      <c r="F524" s="4" t="s">
        <v>25</v>
      </c>
      <c r="G524" s="4" t="s">
        <v>25</v>
      </c>
      <c r="H524" s="4" t="s">
        <v>25</v>
      </c>
      <c r="I524" s="5">
        <v>44501</v>
      </c>
      <c r="J524" s="6">
        <v>0</v>
      </c>
      <c r="K524" s="6">
        <v>0</v>
      </c>
      <c r="L524" s="6">
        <v>3.46</v>
      </c>
      <c r="M524" s="6">
        <v>3.46</v>
      </c>
      <c r="N524" s="6">
        <v>3.46</v>
      </c>
      <c r="O524" s="6">
        <v>3.46</v>
      </c>
      <c r="P524" s="6">
        <v>2</v>
      </c>
      <c r="Q524" s="4" t="s">
        <v>26</v>
      </c>
      <c r="R524" s="4">
        <v>0</v>
      </c>
      <c r="S524" s="6">
        <v>0</v>
      </c>
      <c r="T524" s="6">
        <v>77</v>
      </c>
      <c r="U524" s="6">
        <v>52</v>
      </c>
      <c r="V524" s="6">
        <f>IF(ISERROR(VLOOKUP($S$524,'TAR FIN'!$A$1:$O$92,15,0)),0,VLOOKUP($S$524,'TAR FIN'!$A$1:$O$92,15,0))</f>
        <v>0</v>
      </c>
      <c r="W524" s="6">
        <f>IF(ISERROR(VLOOKUP($T$524,'TAR FIN'!$A$1:$O$92,15,0)),0,VLOOKUP($T$524,'TAR FIN'!$A$1:$O$92,15,0))</f>
        <v>343.17</v>
      </c>
      <c r="X524" s="6">
        <f>IF(ISERROR(VLOOKUP($U$524,'TAR FIN'!$A$1:$O$92,15,0)),0,VLOOKUP($U$524,'TAR FIN'!$A$1:$O$92,15,0))</f>
        <v>303.54000000000002</v>
      </c>
      <c r="Y524" s="6"/>
      <c r="Z524" s="6">
        <f ca="1">('TUSD BE'!$AM$52+'TUSD BF'!$AM$52+'TUSD CVA'!$AM$52)*1</f>
        <v>471.78110106754735</v>
      </c>
      <c r="AA524" s="6">
        <f>('TE BE'!$AB$40+'TE BF'!$AB$40+'TE CVA'!$AB$40)*1</f>
        <v>287.16392669686104</v>
      </c>
      <c r="AB524" s="6">
        <f>$K$524*$V$524</f>
        <v>0</v>
      </c>
      <c r="AC524" s="6">
        <f>$M$524*$W$524</f>
        <v>1187.3682000000001</v>
      </c>
      <c r="AD524" s="6">
        <f>$O$524*$X$524</f>
        <v>1050.2483999999999</v>
      </c>
      <c r="AE524" s="6">
        <f>$K$524*$Y$524</f>
        <v>0</v>
      </c>
      <c r="AF524" s="6">
        <f ca="1">$M$524*$Z$524</f>
        <v>1632.3626096937139</v>
      </c>
      <c r="AG524" s="6">
        <f>$O$524*$AA$524</f>
        <v>993.58718637113918</v>
      </c>
    </row>
    <row r="525" spans="1:33" ht="11.25" hidden="1" customHeight="1" x14ac:dyDescent="0.3">
      <c r="A525" s="4" t="s">
        <v>21</v>
      </c>
      <c r="B525" s="4" t="s">
        <v>32</v>
      </c>
      <c r="C525" s="4" t="s">
        <v>23</v>
      </c>
      <c r="D525" s="4" t="s">
        <v>49</v>
      </c>
      <c r="E525" s="4" t="s">
        <v>25</v>
      </c>
      <c r="F525" s="4" t="s">
        <v>25</v>
      </c>
      <c r="G525" s="4" t="s">
        <v>25</v>
      </c>
      <c r="H525" s="4" t="s">
        <v>25</v>
      </c>
      <c r="I525" s="5">
        <v>44531</v>
      </c>
      <c r="J525" s="6">
        <v>0</v>
      </c>
      <c r="K525" s="6">
        <v>0</v>
      </c>
      <c r="L525" s="6">
        <v>4.12</v>
      </c>
      <c r="M525" s="6">
        <v>4.12</v>
      </c>
      <c r="N525" s="6">
        <v>4.12</v>
      </c>
      <c r="O525" s="6">
        <v>4.12</v>
      </c>
      <c r="P525" s="6">
        <v>2</v>
      </c>
      <c r="Q525" s="4" t="s">
        <v>26</v>
      </c>
      <c r="R525" s="4">
        <v>0</v>
      </c>
      <c r="S525" s="6">
        <v>0</v>
      </c>
      <c r="T525" s="6">
        <v>77</v>
      </c>
      <c r="U525" s="6">
        <v>52</v>
      </c>
      <c r="V525" s="6">
        <f>IF(ISERROR(VLOOKUP($S$525,'TAR FIN'!$A$1:$O$92,15,0)),0,VLOOKUP($S$525,'TAR FIN'!$A$1:$O$92,15,0))</f>
        <v>0</v>
      </c>
      <c r="W525" s="6">
        <f>IF(ISERROR(VLOOKUP($T$525,'TAR FIN'!$A$1:$O$92,15,0)),0,VLOOKUP($T$525,'TAR FIN'!$A$1:$O$92,15,0))</f>
        <v>343.17</v>
      </c>
      <c r="X525" s="6">
        <f>IF(ISERROR(VLOOKUP($U$525,'TAR FIN'!$A$1:$O$92,15,0)),0,VLOOKUP($U$525,'TAR FIN'!$A$1:$O$92,15,0))</f>
        <v>303.54000000000002</v>
      </c>
      <c r="Y525" s="6"/>
      <c r="Z525" s="6">
        <f ca="1">('TUSD BE'!$AM$52+'TUSD BF'!$AM$52+'TUSD CVA'!$AM$52)*1</f>
        <v>471.78110106754735</v>
      </c>
      <c r="AA525" s="6">
        <f>('TE BE'!$AB$40+'TE BF'!$AB$40+'TE CVA'!$AB$40)*1</f>
        <v>287.16392669686104</v>
      </c>
      <c r="AB525" s="6">
        <f>$K$525*$V$525</f>
        <v>0</v>
      </c>
      <c r="AC525" s="6">
        <f>$M$525*$W$525</f>
        <v>1413.8604</v>
      </c>
      <c r="AD525" s="6">
        <f>$O$525*$X$525</f>
        <v>1250.5848000000001</v>
      </c>
      <c r="AE525" s="6">
        <f>$K$525*$Y$525</f>
        <v>0</v>
      </c>
      <c r="AF525" s="6">
        <f ca="1">$M$525*$Z$525</f>
        <v>1943.7381363982952</v>
      </c>
      <c r="AG525" s="6">
        <f>$O$525*$AA$525</f>
        <v>1183.1153779910676</v>
      </c>
    </row>
    <row r="526" spans="1:33" ht="11.25" hidden="1" customHeight="1" x14ac:dyDescent="0.3">
      <c r="A526" s="4" t="s">
        <v>21</v>
      </c>
      <c r="B526" s="4" t="s">
        <v>32</v>
      </c>
      <c r="C526" s="4" t="s">
        <v>23</v>
      </c>
      <c r="D526" s="4" t="s">
        <v>49</v>
      </c>
      <c r="E526" s="4" t="s">
        <v>25</v>
      </c>
      <c r="F526" s="4" t="s">
        <v>25</v>
      </c>
      <c r="G526" s="4" t="s">
        <v>25</v>
      </c>
      <c r="H526" s="4" t="s">
        <v>25</v>
      </c>
      <c r="I526" s="5">
        <v>44562</v>
      </c>
      <c r="J526" s="6">
        <v>0</v>
      </c>
      <c r="K526" s="6">
        <v>0</v>
      </c>
      <c r="L526" s="6">
        <v>4.63</v>
      </c>
      <c r="M526" s="6">
        <v>4.63</v>
      </c>
      <c r="N526" s="6">
        <v>4.63</v>
      </c>
      <c r="O526" s="6">
        <v>4.63</v>
      </c>
      <c r="P526" s="6">
        <v>2</v>
      </c>
      <c r="Q526" s="4" t="s">
        <v>26</v>
      </c>
      <c r="R526" s="4">
        <v>0</v>
      </c>
      <c r="S526" s="6">
        <v>0</v>
      </c>
      <c r="T526" s="6">
        <v>77</v>
      </c>
      <c r="U526" s="6">
        <v>52</v>
      </c>
      <c r="V526" s="6">
        <f>IF(ISERROR(VLOOKUP($S$526,'TAR FIN'!$A$1:$O$92,15,0)),0,VLOOKUP($S$526,'TAR FIN'!$A$1:$O$92,15,0))</f>
        <v>0</v>
      </c>
      <c r="W526" s="6">
        <f>IF(ISERROR(VLOOKUP($T$526,'TAR FIN'!$A$1:$O$92,15,0)),0,VLOOKUP($T$526,'TAR FIN'!$A$1:$O$92,15,0))</f>
        <v>343.17</v>
      </c>
      <c r="X526" s="6">
        <f>IF(ISERROR(VLOOKUP($U$526,'TAR FIN'!$A$1:$O$92,15,0)),0,VLOOKUP($U$526,'TAR FIN'!$A$1:$O$92,15,0))</f>
        <v>303.54000000000002</v>
      </c>
      <c r="Y526" s="6"/>
      <c r="Z526" s="6">
        <f ca="1">('TUSD BE'!$AM$52+'TUSD BF'!$AM$52+'TUSD CVA'!$AM$52)*1</f>
        <v>471.78110106754735</v>
      </c>
      <c r="AA526" s="6">
        <f>('TE BE'!$AB$40+'TE BF'!$AB$40+'TE CVA'!$AB$40)*1</f>
        <v>287.16392669686104</v>
      </c>
      <c r="AB526" s="6">
        <f>$K$526*$V$526</f>
        <v>0</v>
      </c>
      <c r="AC526" s="6">
        <f>$M$526*$W$526</f>
        <v>1588.8770999999999</v>
      </c>
      <c r="AD526" s="6">
        <f>$O$526*$X$526</f>
        <v>1405.3902</v>
      </c>
      <c r="AE526" s="6">
        <f>$K$526*$Y$526</f>
        <v>0</v>
      </c>
      <c r="AF526" s="6">
        <f ca="1">$M$526*$Z$526</f>
        <v>2184.346497942744</v>
      </c>
      <c r="AG526" s="6">
        <f>$O$526*$AA$526</f>
        <v>1329.5689806064665</v>
      </c>
    </row>
    <row r="527" spans="1:33" ht="11.25" hidden="1" customHeight="1" x14ac:dyDescent="0.3">
      <c r="A527" s="4" t="s">
        <v>21</v>
      </c>
      <c r="B527" s="4" t="s">
        <v>32</v>
      </c>
      <c r="C527" s="4" t="s">
        <v>23</v>
      </c>
      <c r="D527" s="4" t="s">
        <v>49</v>
      </c>
      <c r="E527" s="4" t="s">
        <v>25</v>
      </c>
      <c r="F527" s="4" t="s">
        <v>25</v>
      </c>
      <c r="G527" s="4" t="s">
        <v>25</v>
      </c>
      <c r="H527" s="4" t="s">
        <v>25</v>
      </c>
      <c r="I527" s="5">
        <v>44593</v>
      </c>
      <c r="J527" s="6">
        <v>0</v>
      </c>
      <c r="K527" s="6">
        <v>0</v>
      </c>
      <c r="L527" s="6">
        <v>6.49</v>
      </c>
      <c r="M527" s="6">
        <v>6.49</v>
      </c>
      <c r="N527" s="6">
        <v>6.49</v>
      </c>
      <c r="O527" s="6">
        <v>6.49</v>
      </c>
      <c r="P527" s="6">
        <v>2</v>
      </c>
      <c r="Q527" s="4" t="s">
        <v>26</v>
      </c>
      <c r="R527" s="4">
        <v>0</v>
      </c>
      <c r="S527" s="6">
        <v>0</v>
      </c>
      <c r="T527" s="6">
        <v>77</v>
      </c>
      <c r="U527" s="6">
        <v>52</v>
      </c>
      <c r="V527" s="6">
        <f>IF(ISERROR(VLOOKUP($S$527,'TAR FIN'!$A$1:$O$92,15,0)),0,VLOOKUP($S$527,'TAR FIN'!$A$1:$O$92,15,0))</f>
        <v>0</v>
      </c>
      <c r="W527" s="6">
        <f>IF(ISERROR(VLOOKUP($T$527,'TAR FIN'!$A$1:$O$92,15,0)),0,VLOOKUP($T$527,'TAR FIN'!$A$1:$O$92,15,0))</f>
        <v>343.17</v>
      </c>
      <c r="X527" s="6">
        <f>IF(ISERROR(VLOOKUP($U$527,'TAR FIN'!$A$1:$O$92,15,0)),0,VLOOKUP($U$527,'TAR FIN'!$A$1:$O$92,15,0))</f>
        <v>303.54000000000002</v>
      </c>
      <c r="Y527" s="6"/>
      <c r="Z527" s="6">
        <f ca="1">('TUSD BE'!$AM$52+'TUSD BF'!$AM$52+'TUSD CVA'!$AM$52)*1</f>
        <v>471.78110106754735</v>
      </c>
      <c r="AA527" s="6">
        <f>('TE BE'!$AB$40+'TE BF'!$AB$40+'TE CVA'!$AB$40)*1</f>
        <v>287.16392669686104</v>
      </c>
      <c r="AB527" s="6">
        <f>$K$527*$V$527</f>
        <v>0</v>
      </c>
      <c r="AC527" s="6">
        <f>$M$527*$W$527</f>
        <v>2227.1733000000004</v>
      </c>
      <c r="AD527" s="6">
        <f>$O$527*$X$527</f>
        <v>1969.9746000000002</v>
      </c>
      <c r="AE527" s="6">
        <f>$K$527*$Y$527</f>
        <v>0</v>
      </c>
      <c r="AF527" s="6">
        <f ca="1">$M$527*$Z$527</f>
        <v>3061.8593459283825</v>
      </c>
      <c r="AG527" s="6">
        <f>$O$527*$AA$527</f>
        <v>1863.6938842626282</v>
      </c>
    </row>
    <row r="528" spans="1:33" ht="11.25" hidden="1" customHeight="1" x14ac:dyDescent="0.3">
      <c r="A528" s="4" t="s">
        <v>21</v>
      </c>
      <c r="B528" s="4" t="s">
        <v>32</v>
      </c>
      <c r="C528" s="4" t="s">
        <v>23</v>
      </c>
      <c r="D528" s="4" t="s">
        <v>49</v>
      </c>
      <c r="E528" s="4" t="s">
        <v>25</v>
      </c>
      <c r="F528" s="4" t="s">
        <v>25</v>
      </c>
      <c r="G528" s="4" t="s">
        <v>25</v>
      </c>
      <c r="H528" s="4" t="s">
        <v>25</v>
      </c>
      <c r="I528" s="5">
        <v>44621</v>
      </c>
      <c r="J528" s="6">
        <v>0</v>
      </c>
      <c r="K528" s="6">
        <v>0</v>
      </c>
      <c r="L528" s="6">
        <v>5.14</v>
      </c>
      <c r="M528" s="6">
        <v>5.14</v>
      </c>
      <c r="N528" s="6">
        <v>5.14</v>
      </c>
      <c r="O528" s="6">
        <v>5.14</v>
      </c>
      <c r="P528" s="6">
        <v>2</v>
      </c>
      <c r="Q528" s="4" t="s">
        <v>26</v>
      </c>
      <c r="R528" s="4">
        <v>0</v>
      </c>
      <c r="S528" s="6">
        <v>0</v>
      </c>
      <c r="T528" s="6">
        <v>77</v>
      </c>
      <c r="U528" s="6">
        <v>52</v>
      </c>
      <c r="V528" s="6">
        <f>IF(ISERROR(VLOOKUP($S$528,'TAR FIN'!$A$1:$O$92,15,0)),0,VLOOKUP($S$528,'TAR FIN'!$A$1:$O$92,15,0))</f>
        <v>0</v>
      </c>
      <c r="W528" s="6">
        <f>IF(ISERROR(VLOOKUP($T$528,'TAR FIN'!$A$1:$O$92,15,0)),0,VLOOKUP($T$528,'TAR FIN'!$A$1:$O$92,15,0))</f>
        <v>343.17</v>
      </c>
      <c r="X528" s="6">
        <f>IF(ISERROR(VLOOKUP($U$528,'TAR FIN'!$A$1:$O$92,15,0)),0,VLOOKUP($U$528,'TAR FIN'!$A$1:$O$92,15,0))</f>
        <v>303.54000000000002</v>
      </c>
      <c r="Y528" s="6"/>
      <c r="Z528" s="6">
        <f ca="1">('TUSD BE'!$AM$52+'TUSD BF'!$AM$52+'TUSD CVA'!$AM$52)*1</f>
        <v>471.78110106754735</v>
      </c>
      <c r="AA528" s="6">
        <f>('TE BE'!$AB$40+'TE BF'!$AB$40+'TE CVA'!$AB$40)*1</f>
        <v>287.16392669686104</v>
      </c>
      <c r="AB528" s="6">
        <f>$K$528*$V$528</f>
        <v>0</v>
      </c>
      <c r="AC528" s="6">
        <f>$M$528*$W$528</f>
        <v>1763.8938000000001</v>
      </c>
      <c r="AD528" s="6">
        <f>$O$528*$X$528</f>
        <v>1560.1956</v>
      </c>
      <c r="AE528" s="6">
        <f>$K$528*$Y$528</f>
        <v>0</v>
      </c>
      <c r="AF528" s="6">
        <f ca="1">$M$528*$Z$528</f>
        <v>2424.9548594871931</v>
      </c>
      <c r="AG528" s="6">
        <f>$O$528*$AA$528</f>
        <v>1476.0225832218657</v>
      </c>
    </row>
    <row r="529" spans="1:33" ht="11.25" hidden="1" customHeight="1" x14ac:dyDescent="0.3">
      <c r="A529" s="4" t="s">
        <v>21</v>
      </c>
      <c r="B529" s="4" t="s">
        <v>32</v>
      </c>
      <c r="C529" s="4" t="s">
        <v>23</v>
      </c>
      <c r="D529" s="4" t="s">
        <v>49</v>
      </c>
      <c r="E529" s="4" t="s">
        <v>25</v>
      </c>
      <c r="F529" s="4" t="s">
        <v>25</v>
      </c>
      <c r="G529" s="4" t="s">
        <v>25</v>
      </c>
      <c r="H529" s="4" t="s">
        <v>25</v>
      </c>
      <c r="I529" s="5">
        <v>44652</v>
      </c>
      <c r="J529" s="6">
        <v>0</v>
      </c>
      <c r="K529" s="6">
        <v>0</v>
      </c>
      <c r="L529" s="6">
        <v>4.57</v>
      </c>
      <c r="M529" s="6">
        <v>4.57</v>
      </c>
      <c r="N529" s="6">
        <v>4.57</v>
      </c>
      <c r="O529" s="6">
        <v>4.57</v>
      </c>
      <c r="P529" s="6">
        <v>2</v>
      </c>
      <c r="Q529" s="4" t="s">
        <v>26</v>
      </c>
      <c r="R529" s="4">
        <v>0</v>
      </c>
      <c r="S529" s="6">
        <v>0</v>
      </c>
      <c r="T529" s="6">
        <v>77</v>
      </c>
      <c r="U529" s="6">
        <v>52</v>
      </c>
      <c r="V529" s="6">
        <f>IF(ISERROR(VLOOKUP($S$529,'TAR FIN'!$A$1:$O$92,15,0)),0,VLOOKUP($S$529,'TAR FIN'!$A$1:$O$92,15,0))</f>
        <v>0</v>
      </c>
      <c r="W529" s="6">
        <f>IF(ISERROR(VLOOKUP($T$529,'TAR FIN'!$A$1:$O$92,15,0)),0,VLOOKUP($T$529,'TAR FIN'!$A$1:$O$92,15,0))</f>
        <v>343.17</v>
      </c>
      <c r="X529" s="6">
        <f>IF(ISERROR(VLOOKUP($U$529,'TAR FIN'!$A$1:$O$92,15,0)),0,VLOOKUP($U$529,'TAR FIN'!$A$1:$O$92,15,0))</f>
        <v>303.54000000000002</v>
      </c>
      <c r="Y529" s="6"/>
      <c r="Z529" s="6">
        <f ca="1">('TUSD BE'!$AM$52+'TUSD BF'!$AM$52+'TUSD CVA'!$AM$52)*1</f>
        <v>471.78110106754735</v>
      </c>
      <c r="AA529" s="6">
        <f>('TE BE'!$AB$40+'TE BF'!$AB$40+'TE CVA'!$AB$40)*1</f>
        <v>287.16392669686104</v>
      </c>
      <c r="AB529" s="6">
        <f>$K$529*$V$529</f>
        <v>0</v>
      </c>
      <c r="AC529" s="6">
        <f>$M$529*$W$529</f>
        <v>1568.2869000000001</v>
      </c>
      <c r="AD529" s="6">
        <f>$O$529*$X$529</f>
        <v>1387.1778000000002</v>
      </c>
      <c r="AE529" s="6">
        <f>$K$529*$Y$529</f>
        <v>0</v>
      </c>
      <c r="AF529" s="6">
        <f ca="1">$M$529*$Z$529</f>
        <v>2156.0396318786916</v>
      </c>
      <c r="AG529" s="6">
        <f>$O$529*$AA$529</f>
        <v>1312.3391450046549</v>
      </c>
    </row>
    <row r="530" spans="1:33" ht="11.25" hidden="1" customHeight="1" x14ac:dyDescent="0.3">
      <c r="A530" s="4" t="s">
        <v>21</v>
      </c>
      <c r="B530" s="4" t="s">
        <v>32</v>
      </c>
      <c r="C530" s="4" t="s">
        <v>23</v>
      </c>
      <c r="D530" s="4" t="s">
        <v>49</v>
      </c>
      <c r="E530" s="4" t="s">
        <v>25</v>
      </c>
      <c r="F530" s="4" t="s">
        <v>25</v>
      </c>
      <c r="G530" s="4" t="s">
        <v>25</v>
      </c>
      <c r="H530" s="4" t="s">
        <v>25</v>
      </c>
      <c r="I530" s="5">
        <v>44682</v>
      </c>
      <c r="J530" s="6">
        <v>0</v>
      </c>
      <c r="K530" s="6">
        <v>0</v>
      </c>
      <c r="L530" s="6">
        <v>2.68</v>
      </c>
      <c r="M530" s="6">
        <v>2.68</v>
      </c>
      <c r="N530" s="6">
        <v>2.68</v>
      </c>
      <c r="O530" s="6">
        <v>2.68</v>
      </c>
      <c r="P530" s="6">
        <v>2</v>
      </c>
      <c r="Q530" s="4" t="s">
        <v>26</v>
      </c>
      <c r="R530" s="4">
        <v>0</v>
      </c>
      <c r="S530" s="6">
        <v>0</v>
      </c>
      <c r="T530" s="6">
        <v>77</v>
      </c>
      <c r="U530" s="6">
        <v>52</v>
      </c>
      <c r="V530" s="6">
        <f>IF(ISERROR(VLOOKUP($S$530,'TAR FIN'!$A$1:$O$92,15,0)),0,VLOOKUP($S$530,'TAR FIN'!$A$1:$O$92,15,0))</f>
        <v>0</v>
      </c>
      <c r="W530" s="6">
        <f>IF(ISERROR(VLOOKUP($T$530,'TAR FIN'!$A$1:$O$92,15,0)),0,VLOOKUP($T$530,'TAR FIN'!$A$1:$O$92,15,0))</f>
        <v>343.17</v>
      </c>
      <c r="X530" s="6">
        <f>IF(ISERROR(VLOOKUP($U$530,'TAR FIN'!$A$1:$O$92,15,0)),0,VLOOKUP($U$530,'TAR FIN'!$A$1:$O$92,15,0))</f>
        <v>303.54000000000002</v>
      </c>
      <c r="Y530" s="6"/>
      <c r="Z530" s="6">
        <f ca="1">('TUSD BE'!$AM$52+'TUSD BF'!$AM$52+'TUSD CVA'!$AM$52)*1</f>
        <v>471.78110106754735</v>
      </c>
      <c r="AA530" s="6">
        <f>('TE BE'!$AB$40+'TE BF'!$AB$40+'TE CVA'!$AB$40)*1</f>
        <v>287.16392669686104</v>
      </c>
      <c r="AB530" s="6">
        <f>$K$530*$V$530</f>
        <v>0</v>
      </c>
      <c r="AC530" s="6">
        <f>$M$530*$W$530</f>
        <v>919.69560000000013</v>
      </c>
      <c r="AD530" s="6">
        <f>$O$530*$X$530</f>
        <v>813.48720000000014</v>
      </c>
      <c r="AE530" s="6">
        <f>$K$530*$Y$530</f>
        <v>0</v>
      </c>
      <c r="AF530" s="6">
        <f ca="1">$M$530*$Z$530</f>
        <v>1264.3733508610269</v>
      </c>
      <c r="AG530" s="6">
        <f>$O$530*$AA$530</f>
        <v>769.59932354758769</v>
      </c>
    </row>
    <row r="531" spans="1:33" ht="11.25" hidden="1" customHeight="1" x14ac:dyDescent="0.3">
      <c r="A531" s="4" t="s">
        <v>21</v>
      </c>
      <c r="B531" s="4" t="s">
        <v>32</v>
      </c>
      <c r="C531" s="4" t="s">
        <v>23</v>
      </c>
      <c r="D531" s="4" t="s">
        <v>49</v>
      </c>
      <c r="E531" s="4" t="s">
        <v>25</v>
      </c>
      <c r="F531" s="4" t="s">
        <v>25</v>
      </c>
      <c r="G531" s="4" t="s">
        <v>25</v>
      </c>
      <c r="H531" s="4" t="s">
        <v>25</v>
      </c>
      <c r="I531" s="5">
        <v>44713</v>
      </c>
      <c r="J531" s="6">
        <v>0</v>
      </c>
      <c r="K531" s="6">
        <v>0</v>
      </c>
      <c r="L531" s="6">
        <v>2.68</v>
      </c>
      <c r="M531" s="6">
        <v>2.68</v>
      </c>
      <c r="N531" s="6">
        <v>2.68</v>
      </c>
      <c r="O531" s="6">
        <v>2.68</v>
      </c>
      <c r="P531" s="6">
        <v>2</v>
      </c>
      <c r="Q531" s="4" t="s">
        <v>26</v>
      </c>
      <c r="R531" s="4">
        <v>0</v>
      </c>
      <c r="S531" s="6">
        <v>0</v>
      </c>
      <c r="T531" s="6">
        <v>77</v>
      </c>
      <c r="U531" s="6">
        <v>52</v>
      </c>
      <c r="V531" s="6">
        <f>IF(ISERROR(VLOOKUP($S$531,'TAR FIN'!$A$1:$O$92,15,0)),0,VLOOKUP($S$531,'TAR FIN'!$A$1:$O$92,15,0))</f>
        <v>0</v>
      </c>
      <c r="W531" s="6">
        <f>IF(ISERROR(VLOOKUP($T$531,'TAR FIN'!$A$1:$O$92,15,0)),0,VLOOKUP($T$531,'TAR FIN'!$A$1:$O$92,15,0))</f>
        <v>343.17</v>
      </c>
      <c r="X531" s="6">
        <f>IF(ISERROR(VLOOKUP($U$531,'TAR FIN'!$A$1:$O$92,15,0)),0,VLOOKUP($U$531,'TAR FIN'!$A$1:$O$92,15,0))</f>
        <v>303.54000000000002</v>
      </c>
      <c r="Y531" s="6"/>
      <c r="Z531" s="6">
        <f ca="1">('TUSD BE'!$AM$52+'TUSD BF'!$AM$52+'TUSD CVA'!$AM$52)*1</f>
        <v>471.78110106754735</v>
      </c>
      <c r="AA531" s="6">
        <f>('TE BE'!$AB$40+'TE BF'!$AB$40+'TE CVA'!$AB$40)*1</f>
        <v>287.16392669686104</v>
      </c>
      <c r="AB531" s="6">
        <f>$K$531*$V$531</f>
        <v>0</v>
      </c>
      <c r="AC531" s="6">
        <f>$M$531*$W$531</f>
        <v>919.69560000000013</v>
      </c>
      <c r="AD531" s="6">
        <f>$O$531*$X$531</f>
        <v>813.48720000000014</v>
      </c>
      <c r="AE531" s="6">
        <f>$K$531*$Y$531</f>
        <v>0</v>
      </c>
      <c r="AF531" s="6">
        <f ca="1">$M$531*$Z$531</f>
        <v>1264.3733508610269</v>
      </c>
      <c r="AG531" s="6">
        <f>$O$531*$AA$531</f>
        <v>769.59932354758769</v>
      </c>
    </row>
    <row r="532" spans="1:33" ht="11.25" hidden="1" customHeight="1" x14ac:dyDescent="0.3">
      <c r="A532" s="4" t="s">
        <v>21</v>
      </c>
      <c r="B532" s="4" t="s">
        <v>32</v>
      </c>
      <c r="C532" s="4" t="s">
        <v>23</v>
      </c>
      <c r="D532" s="4" t="s">
        <v>49</v>
      </c>
      <c r="E532" s="4" t="s">
        <v>25</v>
      </c>
      <c r="F532" s="4" t="s">
        <v>25</v>
      </c>
      <c r="G532" s="4" t="s">
        <v>25</v>
      </c>
      <c r="H532" s="4" t="s">
        <v>25</v>
      </c>
      <c r="I532" s="5">
        <v>44743</v>
      </c>
      <c r="J532" s="6">
        <v>0</v>
      </c>
      <c r="K532" s="6">
        <v>0</v>
      </c>
      <c r="L532" s="6">
        <v>2.38</v>
      </c>
      <c r="M532" s="6">
        <v>2.38</v>
      </c>
      <c r="N532" s="6">
        <v>2.38</v>
      </c>
      <c r="O532" s="6">
        <v>2.38</v>
      </c>
      <c r="P532" s="6">
        <v>2</v>
      </c>
      <c r="Q532" s="4" t="s">
        <v>26</v>
      </c>
      <c r="R532" s="4">
        <v>0</v>
      </c>
      <c r="S532" s="6">
        <v>0</v>
      </c>
      <c r="T532" s="6">
        <v>77</v>
      </c>
      <c r="U532" s="6">
        <v>52</v>
      </c>
      <c r="V532" s="6">
        <f>IF(ISERROR(VLOOKUP($S$532,'TAR FIN'!$A$1:$O$92,15,0)),0,VLOOKUP($S$532,'TAR FIN'!$A$1:$O$92,15,0))</f>
        <v>0</v>
      </c>
      <c r="W532" s="6">
        <f>IF(ISERROR(VLOOKUP($T$532,'TAR FIN'!$A$1:$O$92,15,0)),0,VLOOKUP($T$532,'TAR FIN'!$A$1:$O$92,15,0))</f>
        <v>343.17</v>
      </c>
      <c r="X532" s="6">
        <f>IF(ISERROR(VLOOKUP($U$532,'TAR FIN'!$A$1:$O$92,15,0)),0,VLOOKUP($U$532,'TAR FIN'!$A$1:$O$92,15,0))</f>
        <v>303.54000000000002</v>
      </c>
      <c r="Y532" s="6"/>
      <c r="Z532" s="6">
        <f ca="1">('TUSD BE'!$AM$52+'TUSD BF'!$AM$52+'TUSD CVA'!$AM$52)*1</f>
        <v>471.78110106754735</v>
      </c>
      <c r="AA532" s="6">
        <f>('TE BE'!$AB$40+'TE BF'!$AB$40+'TE CVA'!$AB$40)*1</f>
        <v>287.16392669686104</v>
      </c>
      <c r="AB532" s="6">
        <f>$K$532*$V$532</f>
        <v>0</v>
      </c>
      <c r="AC532" s="6">
        <f>$M$532*$W$532</f>
        <v>816.74459999999999</v>
      </c>
      <c r="AD532" s="6">
        <f>$O$532*$X$532</f>
        <v>722.42520000000002</v>
      </c>
      <c r="AE532" s="6">
        <f>$K$532*$Y$532</f>
        <v>0</v>
      </c>
      <c r="AF532" s="6">
        <f ca="1">$M$532*$Z$532</f>
        <v>1122.8390205407627</v>
      </c>
      <c r="AG532" s="6">
        <f>$O$532*$AA$532</f>
        <v>683.45014553852923</v>
      </c>
    </row>
    <row r="533" spans="1:33" ht="11.25" hidden="1" customHeight="1" x14ac:dyDescent="0.3">
      <c r="A533" s="4" t="s">
        <v>21</v>
      </c>
      <c r="B533" s="4" t="s">
        <v>32</v>
      </c>
      <c r="C533" s="4" t="s">
        <v>23</v>
      </c>
      <c r="D533" s="4" t="s">
        <v>33</v>
      </c>
      <c r="E533" s="4" t="s">
        <v>25</v>
      </c>
      <c r="F533" s="4" t="s">
        <v>25</v>
      </c>
      <c r="G533" s="4" t="s">
        <v>25</v>
      </c>
      <c r="H533" s="4" t="s">
        <v>25</v>
      </c>
      <c r="I533" s="5">
        <v>44409</v>
      </c>
      <c r="J533" s="6">
        <v>0</v>
      </c>
      <c r="K533" s="6">
        <v>0</v>
      </c>
      <c r="L533" s="6">
        <v>98.552999999999997</v>
      </c>
      <c r="M533" s="6">
        <v>98.552999999999997</v>
      </c>
      <c r="N533" s="6">
        <v>98.552999999999997</v>
      </c>
      <c r="O533" s="6">
        <v>98.552999999999997</v>
      </c>
      <c r="P533" s="6">
        <v>89</v>
      </c>
      <c r="Q533" s="4" t="s">
        <v>26</v>
      </c>
      <c r="R533" s="4">
        <v>0</v>
      </c>
      <c r="S533" s="6">
        <v>0</v>
      </c>
      <c r="T533" s="6">
        <v>77</v>
      </c>
      <c r="U533" s="6">
        <v>52</v>
      </c>
      <c r="V533" s="6">
        <f>IF(ISERROR(VLOOKUP($S$533,'TAR FIN'!$A$1:$O$92,15,0)),0,VLOOKUP($S$533,'TAR FIN'!$A$1:$O$92,15,0))</f>
        <v>0</v>
      </c>
      <c r="W533" s="6">
        <f>IF(ISERROR(VLOOKUP($T$533,'TAR FIN'!$A$1:$O$92,15,0)),0,VLOOKUP($T$533,'TAR FIN'!$A$1:$O$92,15,0))</f>
        <v>343.17</v>
      </c>
      <c r="X533" s="6">
        <f>IF(ISERROR(VLOOKUP($U$533,'TAR FIN'!$A$1:$O$92,15,0)),0,VLOOKUP($U$533,'TAR FIN'!$A$1:$O$92,15,0))</f>
        <v>303.54000000000002</v>
      </c>
      <c r="Y533" s="6"/>
      <c r="Z533" s="6">
        <f ca="1">('TUSD BE'!$AM$52+'TUSD BF'!$AM$52+'TUSD CVA'!$AM$52)*1</f>
        <v>471.78110106754735</v>
      </c>
      <c r="AA533" s="6">
        <f>('TE BE'!$AB$40+'TE BF'!$AB$40+'TE CVA'!$AB$40)*1</f>
        <v>287.16392669686104</v>
      </c>
      <c r="AB533" s="6">
        <f>$K$533*$V$533</f>
        <v>0</v>
      </c>
      <c r="AC533" s="6">
        <f>$M$533*$W$533</f>
        <v>33820.433010000001</v>
      </c>
      <c r="AD533" s="6">
        <f>$O$533*$X$533</f>
        <v>29914.777620000001</v>
      </c>
      <c r="AE533" s="6">
        <f>$K$533*$Y$533</f>
        <v>0</v>
      </c>
      <c r="AF533" s="6">
        <f ca="1">$M$533*$Z$533</f>
        <v>46495.442853509994</v>
      </c>
      <c r="AG533" s="6">
        <f>$O$533*$AA$533</f>
        <v>28300.866467755746</v>
      </c>
    </row>
    <row r="534" spans="1:33" ht="11.25" hidden="1" customHeight="1" x14ac:dyDescent="0.3">
      <c r="A534" s="4" t="s">
        <v>27</v>
      </c>
      <c r="B534" s="4" t="s">
        <v>32</v>
      </c>
      <c r="C534" s="4" t="s">
        <v>23</v>
      </c>
      <c r="D534" s="4" t="s">
        <v>33</v>
      </c>
      <c r="E534" s="4" t="s">
        <v>25</v>
      </c>
      <c r="F534" s="4" t="s">
        <v>25</v>
      </c>
      <c r="G534" s="4" t="s">
        <v>25</v>
      </c>
      <c r="H534" s="4" t="s">
        <v>25</v>
      </c>
      <c r="I534" s="5">
        <v>44409</v>
      </c>
      <c r="J534" s="6">
        <v>0</v>
      </c>
      <c r="K534" s="6">
        <v>0</v>
      </c>
      <c r="L534" s="6">
        <v>0.45500000000000002</v>
      </c>
      <c r="M534" s="6">
        <v>0.45500000000000002</v>
      </c>
      <c r="N534" s="6">
        <v>0.45500000000000002</v>
      </c>
      <c r="O534" s="6">
        <v>0.45500000000000002</v>
      </c>
      <c r="P534" s="6">
        <v>3</v>
      </c>
      <c r="Q534" s="4" t="s">
        <v>26</v>
      </c>
      <c r="R534" s="4">
        <v>0</v>
      </c>
      <c r="S534" s="6">
        <v>0</v>
      </c>
      <c r="T534" s="6">
        <v>77</v>
      </c>
      <c r="U534" s="6">
        <v>52</v>
      </c>
      <c r="V534" s="6">
        <f>IF(ISERROR(VLOOKUP($S$534,'TAR FIN'!$A$1:$O$92,15,0)),0,VLOOKUP($S$534,'TAR FIN'!$A$1:$O$92,15,0))</f>
        <v>0</v>
      </c>
      <c r="W534" s="6">
        <f>IF(ISERROR(VLOOKUP($T$534,'TAR FIN'!$A$1:$O$92,15,0)),0,VLOOKUP($T$534,'TAR FIN'!$A$1:$O$92,15,0))</f>
        <v>343.17</v>
      </c>
      <c r="X534" s="6">
        <f>IF(ISERROR(VLOOKUP($U$534,'TAR FIN'!$A$1:$O$92,15,0)),0,VLOOKUP($U$534,'TAR FIN'!$A$1:$O$92,15,0))</f>
        <v>303.54000000000002</v>
      </c>
      <c r="Y534" s="6"/>
      <c r="Z534" s="6">
        <f ca="1">('TUSD BE'!$AM$52+'TUSD BF'!$AM$52+'TUSD CVA'!$AM$52)*1</f>
        <v>471.78110106754735</v>
      </c>
      <c r="AA534" s="6">
        <f>('TE BE'!$AB$40+'TE BF'!$AB$40+'TE CVA'!$AB$40)*1</f>
        <v>287.16392669686104</v>
      </c>
      <c r="AB534" s="6">
        <f>$K$534*$V$534</f>
        <v>0</v>
      </c>
      <c r="AC534" s="6">
        <f>$M$534*$W$534</f>
        <v>156.14235000000002</v>
      </c>
      <c r="AD534" s="6">
        <f>$O$534*$X$534</f>
        <v>138.11070000000001</v>
      </c>
      <c r="AE534" s="6">
        <f>$K$534*$Y$534</f>
        <v>0</v>
      </c>
      <c r="AF534" s="6">
        <f ca="1">$M$534*$Z$534</f>
        <v>214.66040098573404</v>
      </c>
      <c r="AG534" s="6">
        <f>$O$534*$AA$534</f>
        <v>130.65958664707179</v>
      </c>
    </row>
    <row r="535" spans="1:33" ht="11.25" hidden="1" customHeight="1" x14ac:dyDescent="0.3">
      <c r="A535" s="4" t="s">
        <v>21</v>
      </c>
      <c r="B535" s="4" t="s">
        <v>32</v>
      </c>
      <c r="C535" s="4" t="s">
        <v>23</v>
      </c>
      <c r="D535" s="4" t="s">
        <v>33</v>
      </c>
      <c r="E535" s="4" t="s">
        <v>25</v>
      </c>
      <c r="F535" s="4" t="s">
        <v>25</v>
      </c>
      <c r="G535" s="4" t="s">
        <v>25</v>
      </c>
      <c r="H535" s="4" t="s">
        <v>25</v>
      </c>
      <c r="I535" s="5">
        <v>44440</v>
      </c>
      <c r="J535" s="6">
        <v>0</v>
      </c>
      <c r="K535" s="6">
        <v>0</v>
      </c>
      <c r="L535" s="6">
        <v>105.804</v>
      </c>
      <c r="M535" s="6">
        <v>105.804</v>
      </c>
      <c r="N535" s="6">
        <v>105.804</v>
      </c>
      <c r="O535" s="6">
        <v>105.804</v>
      </c>
      <c r="P535" s="6">
        <v>88</v>
      </c>
      <c r="Q535" s="4" t="s">
        <v>26</v>
      </c>
      <c r="R535" s="4">
        <v>0</v>
      </c>
      <c r="S535" s="6">
        <v>0</v>
      </c>
      <c r="T535" s="6">
        <v>77</v>
      </c>
      <c r="U535" s="6">
        <v>52</v>
      </c>
      <c r="V535" s="6">
        <f>IF(ISERROR(VLOOKUP($S$535,'TAR FIN'!$A$1:$O$92,15,0)),0,VLOOKUP($S$535,'TAR FIN'!$A$1:$O$92,15,0))</f>
        <v>0</v>
      </c>
      <c r="W535" s="6">
        <f>IF(ISERROR(VLOOKUP($T$535,'TAR FIN'!$A$1:$O$92,15,0)),0,VLOOKUP($T$535,'TAR FIN'!$A$1:$O$92,15,0))</f>
        <v>343.17</v>
      </c>
      <c r="X535" s="6">
        <f>IF(ISERROR(VLOOKUP($U$535,'TAR FIN'!$A$1:$O$92,15,0)),0,VLOOKUP($U$535,'TAR FIN'!$A$1:$O$92,15,0))</f>
        <v>303.54000000000002</v>
      </c>
      <c r="Y535" s="6"/>
      <c r="Z535" s="6">
        <f ca="1">('TUSD BE'!$AM$52+'TUSD BF'!$AM$52+'TUSD CVA'!$AM$52)*1</f>
        <v>471.78110106754735</v>
      </c>
      <c r="AA535" s="6">
        <f>('TE BE'!$AB$40+'TE BF'!$AB$40+'TE CVA'!$AB$40)*1</f>
        <v>287.16392669686104</v>
      </c>
      <c r="AB535" s="6">
        <f>$K$535*$V$535</f>
        <v>0</v>
      </c>
      <c r="AC535" s="6">
        <f>$M$535*$W$535</f>
        <v>36308.758679999999</v>
      </c>
      <c r="AD535" s="6">
        <f>$O$535*$X$535</f>
        <v>32115.746160000002</v>
      </c>
      <c r="AE535" s="6">
        <f>$K$535*$Y$535</f>
        <v>0</v>
      </c>
      <c r="AF535" s="6">
        <f ca="1">$M$535*$Z$535</f>
        <v>49916.327617350784</v>
      </c>
      <c r="AG535" s="6">
        <f>$O$535*$AA$535</f>
        <v>30383.092100234688</v>
      </c>
    </row>
    <row r="536" spans="1:33" ht="11.25" hidden="1" customHeight="1" x14ac:dyDescent="0.3">
      <c r="A536" s="4" t="s">
        <v>27</v>
      </c>
      <c r="B536" s="4" t="s">
        <v>32</v>
      </c>
      <c r="C536" s="4" t="s">
        <v>23</v>
      </c>
      <c r="D536" s="4" t="s">
        <v>33</v>
      </c>
      <c r="E536" s="4" t="s">
        <v>25</v>
      </c>
      <c r="F536" s="4" t="s">
        <v>25</v>
      </c>
      <c r="G536" s="4" t="s">
        <v>25</v>
      </c>
      <c r="H536" s="4" t="s">
        <v>25</v>
      </c>
      <c r="I536" s="5">
        <v>44440</v>
      </c>
      <c r="J536" s="6">
        <v>0</v>
      </c>
      <c r="K536" s="6">
        <v>0</v>
      </c>
      <c r="L536" s="6">
        <v>0.97899999999999998</v>
      </c>
      <c r="M536" s="6">
        <v>0.97899999999999998</v>
      </c>
      <c r="N536" s="6">
        <v>0.97899999999999998</v>
      </c>
      <c r="O536" s="6">
        <v>0.97899999999999998</v>
      </c>
      <c r="P536" s="6">
        <v>3</v>
      </c>
      <c r="Q536" s="4" t="s">
        <v>26</v>
      </c>
      <c r="R536" s="4">
        <v>0</v>
      </c>
      <c r="S536" s="6">
        <v>0</v>
      </c>
      <c r="T536" s="6">
        <v>77</v>
      </c>
      <c r="U536" s="6">
        <v>52</v>
      </c>
      <c r="V536" s="6">
        <f>IF(ISERROR(VLOOKUP($S$536,'TAR FIN'!$A$1:$O$92,15,0)),0,VLOOKUP($S$536,'TAR FIN'!$A$1:$O$92,15,0))</f>
        <v>0</v>
      </c>
      <c r="W536" s="6">
        <f>IF(ISERROR(VLOOKUP($T$536,'TAR FIN'!$A$1:$O$92,15,0)),0,VLOOKUP($T$536,'TAR FIN'!$A$1:$O$92,15,0))</f>
        <v>343.17</v>
      </c>
      <c r="X536" s="6">
        <f>IF(ISERROR(VLOOKUP($U$536,'TAR FIN'!$A$1:$O$92,15,0)),0,VLOOKUP($U$536,'TAR FIN'!$A$1:$O$92,15,0))</f>
        <v>303.54000000000002</v>
      </c>
      <c r="Y536" s="6"/>
      <c r="Z536" s="6">
        <f ca="1">('TUSD BE'!$AM$52+'TUSD BF'!$AM$52+'TUSD CVA'!$AM$52)*1</f>
        <v>471.78110106754735</v>
      </c>
      <c r="AA536" s="6">
        <f>('TE BE'!$AB$40+'TE BF'!$AB$40+'TE CVA'!$AB$40)*1</f>
        <v>287.16392669686104</v>
      </c>
      <c r="AB536" s="6">
        <f>$K$536*$V$536</f>
        <v>0</v>
      </c>
      <c r="AC536" s="6">
        <f>$M$536*$W$536</f>
        <v>335.96343000000002</v>
      </c>
      <c r="AD536" s="6">
        <f>$O$536*$X$536</f>
        <v>297.16566</v>
      </c>
      <c r="AE536" s="6">
        <f>$K$536*$Y$536</f>
        <v>0</v>
      </c>
      <c r="AF536" s="6">
        <f ca="1">$M$536*$Z$536</f>
        <v>461.87369794512887</v>
      </c>
      <c r="AG536" s="6">
        <f>$O$536*$AA$536</f>
        <v>281.13348423622693</v>
      </c>
    </row>
    <row r="537" spans="1:33" ht="11.25" hidden="1" customHeight="1" x14ac:dyDescent="0.3">
      <c r="A537" s="4" t="s">
        <v>21</v>
      </c>
      <c r="B537" s="4" t="s">
        <v>32</v>
      </c>
      <c r="C537" s="4" t="s">
        <v>23</v>
      </c>
      <c r="D537" s="4" t="s">
        <v>33</v>
      </c>
      <c r="E537" s="4" t="s">
        <v>25</v>
      </c>
      <c r="F537" s="4" t="s">
        <v>25</v>
      </c>
      <c r="G537" s="4" t="s">
        <v>25</v>
      </c>
      <c r="H537" s="4" t="s">
        <v>25</v>
      </c>
      <c r="I537" s="5">
        <v>44470</v>
      </c>
      <c r="J537" s="6">
        <v>0</v>
      </c>
      <c r="K537" s="6">
        <v>0</v>
      </c>
      <c r="L537" s="6">
        <v>97.123999999999995</v>
      </c>
      <c r="M537" s="6">
        <v>97.123999999999995</v>
      </c>
      <c r="N537" s="6">
        <v>97.123999999999995</v>
      </c>
      <c r="O537" s="6">
        <v>97.123999999999995</v>
      </c>
      <c r="P537" s="6">
        <v>87</v>
      </c>
      <c r="Q537" s="4" t="s">
        <v>26</v>
      </c>
      <c r="R537" s="4">
        <v>0</v>
      </c>
      <c r="S537" s="6">
        <v>0</v>
      </c>
      <c r="T537" s="6">
        <v>77</v>
      </c>
      <c r="U537" s="6">
        <v>52</v>
      </c>
      <c r="V537" s="6">
        <f>IF(ISERROR(VLOOKUP($S$537,'TAR FIN'!$A$1:$O$92,15,0)),0,VLOOKUP($S$537,'TAR FIN'!$A$1:$O$92,15,0))</f>
        <v>0</v>
      </c>
      <c r="W537" s="6">
        <f>IF(ISERROR(VLOOKUP($T$537,'TAR FIN'!$A$1:$O$92,15,0)),0,VLOOKUP($T$537,'TAR FIN'!$A$1:$O$92,15,0))</f>
        <v>343.17</v>
      </c>
      <c r="X537" s="6">
        <f>IF(ISERROR(VLOOKUP($U$537,'TAR FIN'!$A$1:$O$92,15,0)),0,VLOOKUP($U$537,'TAR FIN'!$A$1:$O$92,15,0))</f>
        <v>303.54000000000002</v>
      </c>
      <c r="Y537" s="6"/>
      <c r="Z537" s="6">
        <f ca="1">('TUSD BE'!$AM$52+'TUSD BF'!$AM$52+'TUSD CVA'!$AM$52)*1</f>
        <v>471.78110106754735</v>
      </c>
      <c r="AA537" s="6">
        <f>('TE BE'!$AB$40+'TE BF'!$AB$40+'TE CVA'!$AB$40)*1</f>
        <v>287.16392669686104</v>
      </c>
      <c r="AB537" s="6">
        <f>$K$537*$V$537</f>
        <v>0</v>
      </c>
      <c r="AC537" s="6">
        <f>$M$537*$W$537</f>
        <v>33330.043080000003</v>
      </c>
      <c r="AD537" s="6">
        <f>$O$537*$X$537</f>
        <v>29481.018960000001</v>
      </c>
      <c r="AE537" s="6">
        <f>$K$537*$Y$537</f>
        <v>0</v>
      </c>
      <c r="AF537" s="6">
        <f ca="1">$M$537*$Z$537</f>
        <v>45821.267660084464</v>
      </c>
      <c r="AG537" s="6">
        <f>$O$537*$AA$537</f>
        <v>27890.509216505929</v>
      </c>
    </row>
    <row r="538" spans="1:33" ht="11.25" hidden="1" customHeight="1" x14ac:dyDescent="0.3">
      <c r="A538" s="4" t="s">
        <v>27</v>
      </c>
      <c r="B538" s="4" t="s">
        <v>32</v>
      </c>
      <c r="C538" s="4" t="s">
        <v>23</v>
      </c>
      <c r="D538" s="4" t="s">
        <v>33</v>
      </c>
      <c r="E538" s="4" t="s">
        <v>25</v>
      </c>
      <c r="F538" s="4" t="s">
        <v>25</v>
      </c>
      <c r="G538" s="4" t="s">
        <v>25</v>
      </c>
      <c r="H538" s="4" t="s">
        <v>25</v>
      </c>
      <c r="I538" s="5">
        <v>44470</v>
      </c>
      <c r="J538" s="6">
        <v>0</v>
      </c>
      <c r="K538" s="6">
        <v>0</v>
      </c>
      <c r="L538" s="6">
        <v>2.5230000000000001</v>
      </c>
      <c r="M538" s="6">
        <v>2.5230000000000001</v>
      </c>
      <c r="N538" s="6">
        <v>2.5230000000000001</v>
      </c>
      <c r="O538" s="6">
        <v>2.5230000000000001</v>
      </c>
      <c r="P538" s="6">
        <v>4</v>
      </c>
      <c r="Q538" s="4" t="s">
        <v>26</v>
      </c>
      <c r="R538" s="4">
        <v>0</v>
      </c>
      <c r="S538" s="6">
        <v>0</v>
      </c>
      <c r="T538" s="6">
        <v>77</v>
      </c>
      <c r="U538" s="6">
        <v>52</v>
      </c>
      <c r="V538" s="6">
        <f>IF(ISERROR(VLOOKUP($S$538,'TAR FIN'!$A$1:$O$92,15,0)),0,VLOOKUP($S$538,'TAR FIN'!$A$1:$O$92,15,0))</f>
        <v>0</v>
      </c>
      <c r="W538" s="6">
        <f>IF(ISERROR(VLOOKUP($T$538,'TAR FIN'!$A$1:$O$92,15,0)),0,VLOOKUP($T$538,'TAR FIN'!$A$1:$O$92,15,0))</f>
        <v>343.17</v>
      </c>
      <c r="X538" s="6">
        <f>IF(ISERROR(VLOOKUP($U$538,'TAR FIN'!$A$1:$O$92,15,0)),0,VLOOKUP($U$538,'TAR FIN'!$A$1:$O$92,15,0))</f>
        <v>303.54000000000002</v>
      </c>
      <c r="Y538" s="6"/>
      <c r="Z538" s="6">
        <f ca="1">('TUSD BE'!$AM$52+'TUSD BF'!$AM$52+'TUSD CVA'!$AM$52)*1</f>
        <v>471.78110106754735</v>
      </c>
      <c r="AA538" s="6">
        <f>('TE BE'!$AB$40+'TE BF'!$AB$40+'TE CVA'!$AB$40)*1</f>
        <v>287.16392669686104</v>
      </c>
      <c r="AB538" s="6">
        <f>$K$538*$V$538</f>
        <v>0</v>
      </c>
      <c r="AC538" s="6">
        <f>$M$538*$W$538</f>
        <v>865.8179100000001</v>
      </c>
      <c r="AD538" s="6">
        <f>$O$538*$X$538</f>
        <v>765.83142000000009</v>
      </c>
      <c r="AE538" s="6">
        <f>$K$538*$Y$538</f>
        <v>0</v>
      </c>
      <c r="AF538" s="6">
        <f ca="1">$M$538*$Z$538</f>
        <v>1190.303717993422</v>
      </c>
      <c r="AG538" s="6">
        <f>$O$538*$AA$538</f>
        <v>724.5145870561804</v>
      </c>
    </row>
    <row r="539" spans="1:33" ht="11.25" hidden="1" customHeight="1" x14ac:dyDescent="0.3">
      <c r="A539" s="4" t="s">
        <v>21</v>
      </c>
      <c r="B539" s="4" t="s">
        <v>32</v>
      </c>
      <c r="C539" s="4" t="s">
        <v>23</v>
      </c>
      <c r="D539" s="4" t="s">
        <v>33</v>
      </c>
      <c r="E539" s="4" t="s">
        <v>25</v>
      </c>
      <c r="F539" s="4" t="s">
        <v>25</v>
      </c>
      <c r="G539" s="4" t="s">
        <v>25</v>
      </c>
      <c r="H539" s="4" t="s">
        <v>25</v>
      </c>
      <c r="I539" s="5">
        <v>44501</v>
      </c>
      <c r="J539" s="6">
        <v>0</v>
      </c>
      <c r="K539" s="6">
        <v>0</v>
      </c>
      <c r="L539" s="6">
        <v>97.576999999999998</v>
      </c>
      <c r="M539" s="6">
        <v>97.576999999999998</v>
      </c>
      <c r="N539" s="6">
        <v>97.576999999999998</v>
      </c>
      <c r="O539" s="6">
        <v>97.576999999999998</v>
      </c>
      <c r="P539" s="6">
        <v>88</v>
      </c>
      <c r="Q539" s="4" t="s">
        <v>26</v>
      </c>
      <c r="R539" s="4">
        <v>0</v>
      </c>
      <c r="S539" s="6">
        <v>0</v>
      </c>
      <c r="T539" s="6">
        <v>77</v>
      </c>
      <c r="U539" s="6">
        <v>52</v>
      </c>
      <c r="V539" s="6">
        <f>IF(ISERROR(VLOOKUP($S$539,'TAR FIN'!$A$1:$O$92,15,0)),0,VLOOKUP($S$539,'TAR FIN'!$A$1:$O$92,15,0))</f>
        <v>0</v>
      </c>
      <c r="W539" s="6">
        <f>IF(ISERROR(VLOOKUP($T$539,'TAR FIN'!$A$1:$O$92,15,0)),0,VLOOKUP($T$539,'TAR FIN'!$A$1:$O$92,15,0))</f>
        <v>343.17</v>
      </c>
      <c r="X539" s="6">
        <f>IF(ISERROR(VLOOKUP($U$539,'TAR FIN'!$A$1:$O$92,15,0)),0,VLOOKUP($U$539,'TAR FIN'!$A$1:$O$92,15,0))</f>
        <v>303.54000000000002</v>
      </c>
      <c r="Y539" s="6"/>
      <c r="Z539" s="6">
        <f ca="1">('TUSD BE'!$AM$52+'TUSD BF'!$AM$52+'TUSD CVA'!$AM$52)*1</f>
        <v>471.78110106754735</v>
      </c>
      <c r="AA539" s="6">
        <f>('TE BE'!$AB$40+'TE BF'!$AB$40+'TE CVA'!$AB$40)*1</f>
        <v>287.16392669686104</v>
      </c>
      <c r="AB539" s="6">
        <f>$K$539*$V$539</f>
        <v>0</v>
      </c>
      <c r="AC539" s="6">
        <f>$M$539*$W$539</f>
        <v>33485.499089999998</v>
      </c>
      <c r="AD539" s="6">
        <f>$O$539*$X$539</f>
        <v>29618.522580000001</v>
      </c>
      <c r="AE539" s="6">
        <f>$K$539*$Y$539</f>
        <v>0</v>
      </c>
      <c r="AF539" s="6">
        <f ca="1">$M$539*$Z$539</f>
        <v>46034.984498868071</v>
      </c>
      <c r="AG539" s="6">
        <f>$O$539*$AA$539</f>
        <v>28020.594475299607</v>
      </c>
    </row>
    <row r="540" spans="1:33" ht="11.25" hidden="1" customHeight="1" x14ac:dyDescent="0.3">
      <c r="A540" s="4" t="s">
        <v>27</v>
      </c>
      <c r="B540" s="4" t="s">
        <v>32</v>
      </c>
      <c r="C540" s="4" t="s">
        <v>23</v>
      </c>
      <c r="D540" s="4" t="s">
        <v>33</v>
      </c>
      <c r="E540" s="4" t="s">
        <v>25</v>
      </c>
      <c r="F540" s="4" t="s">
        <v>25</v>
      </c>
      <c r="G540" s="4" t="s">
        <v>25</v>
      </c>
      <c r="H540" s="4" t="s">
        <v>25</v>
      </c>
      <c r="I540" s="5">
        <v>44501</v>
      </c>
      <c r="J540" s="6">
        <v>0</v>
      </c>
      <c r="K540" s="6">
        <v>0</v>
      </c>
      <c r="L540" s="6">
        <v>0.55400000000000005</v>
      </c>
      <c r="M540" s="6">
        <v>0.55400000000000005</v>
      </c>
      <c r="N540" s="6">
        <v>0.55400000000000005</v>
      </c>
      <c r="O540" s="6">
        <v>0.55400000000000005</v>
      </c>
      <c r="P540" s="6">
        <v>4</v>
      </c>
      <c r="Q540" s="4" t="s">
        <v>26</v>
      </c>
      <c r="R540" s="4">
        <v>0</v>
      </c>
      <c r="S540" s="6">
        <v>0</v>
      </c>
      <c r="T540" s="6">
        <v>77</v>
      </c>
      <c r="U540" s="6">
        <v>52</v>
      </c>
      <c r="V540" s="6">
        <f>IF(ISERROR(VLOOKUP($S$540,'TAR FIN'!$A$1:$O$92,15,0)),0,VLOOKUP($S$540,'TAR FIN'!$A$1:$O$92,15,0))</f>
        <v>0</v>
      </c>
      <c r="W540" s="6">
        <f>IF(ISERROR(VLOOKUP($T$540,'TAR FIN'!$A$1:$O$92,15,0)),0,VLOOKUP($T$540,'TAR FIN'!$A$1:$O$92,15,0))</f>
        <v>343.17</v>
      </c>
      <c r="X540" s="6">
        <f>IF(ISERROR(VLOOKUP($U$540,'TAR FIN'!$A$1:$O$92,15,0)),0,VLOOKUP($U$540,'TAR FIN'!$A$1:$O$92,15,0))</f>
        <v>303.54000000000002</v>
      </c>
      <c r="Y540" s="6"/>
      <c r="Z540" s="6">
        <f ca="1">('TUSD BE'!$AM$52+'TUSD BF'!$AM$52+'TUSD CVA'!$AM$52)*1</f>
        <v>471.78110106754735</v>
      </c>
      <c r="AA540" s="6">
        <f>('TE BE'!$AB$40+'TE BF'!$AB$40+'TE CVA'!$AB$40)*1</f>
        <v>287.16392669686104</v>
      </c>
      <c r="AB540" s="6">
        <f>$K$540*$V$540</f>
        <v>0</v>
      </c>
      <c r="AC540" s="6">
        <f>$M$540*$W$540</f>
        <v>190.11618000000001</v>
      </c>
      <c r="AD540" s="6">
        <f>$O$540*$X$540</f>
        <v>168.16116000000002</v>
      </c>
      <c r="AE540" s="6">
        <f>$K$540*$Y$540</f>
        <v>0</v>
      </c>
      <c r="AF540" s="6">
        <f ca="1">$M$540*$Z$540</f>
        <v>261.36672999142127</v>
      </c>
      <c r="AG540" s="6">
        <f>$O$540*$AA$540</f>
        <v>159.08881539006103</v>
      </c>
    </row>
    <row r="541" spans="1:33" ht="11.25" hidden="1" customHeight="1" x14ac:dyDescent="0.3">
      <c r="A541" s="4" t="s">
        <v>21</v>
      </c>
      <c r="B541" s="4" t="s">
        <v>32</v>
      </c>
      <c r="C541" s="4" t="s">
        <v>23</v>
      </c>
      <c r="D541" s="4" t="s">
        <v>33</v>
      </c>
      <c r="E541" s="4" t="s">
        <v>25</v>
      </c>
      <c r="F541" s="4" t="s">
        <v>25</v>
      </c>
      <c r="G541" s="4" t="s">
        <v>25</v>
      </c>
      <c r="H541" s="4" t="s">
        <v>25</v>
      </c>
      <c r="I541" s="5">
        <v>44531</v>
      </c>
      <c r="J541" s="6">
        <v>0</v>
      </c>
      <c r="K541" s="6">
        <v>0</v>
      </c>
      <c r="L541" s="6">
        <v>108.20099999999999</v>
      </c>
      <c r="M541" s="6">
        <v>108.20099999999999</v>
      </c>
      <c r="N541" s="6">
        <v>108.20099999999999</v>
      </c>
      <c r="O541" s="6">
        <v>108.20099999999999</v>
      </c>
      <c r="P541" s="6">
        <v>88</v>
      </c>
      <c r="Q541" s="4" t="s">
        <v>26</v>
      </c>
      <c r="R541" s="4">
        <v>0</v>
      </c>
      <c r="S541" s="6">
        <v>0</v>
      </c>
      <c r="T541" s="6">
        <v>77</v>
      </c>
      <c r="U541" s="6">
        <v>52</v>
      </c>
      <c r="V541" s="6">
        <f>IF(ISERROR(VLOOKUP($S$541,'TAR FIN'!$A$1:$O$92,15,0)),0,VLOOKUP($S$541,'TAR FIN'!$A$1:$O$92,15,0))</f>
        <v>0</v>
      </c>
      <c r="W541" s="6">
        <f>IF(ISERROR(VLOOKUP($T$541,'TAR FIN'!$A$1:$O$92,15,0)),0,VLOOKUP($T$541,'TAR FIN'!$A$1:$O$92,15,0))</f>
        <v>343.17</v>
      </c>
      <c r="X541" s="6">
        <f>IF(ISERROR(VLOOKUP($U$541,'TAR FIN'!$A$1:$O$92,15,0)),0,VLOOKUP($U$541,'TAR FIN'!$A$1:$O$92,15,0))</f>
        <v>303.54000000000002</v>
      </c>
      <c r="Y541" s="6"/>
      <c r="Z541" s="6">
        <f ca="1">('TUSD BE'!$AM$52+'TUSD BF'!$AM$52+'TUSD CVA'!$AM$52)*1</f>
        <v>471.78110106754735</v>
      </c>
      <c r="AA541" s="6">
        <f>('TE BE'!$AB$40+'TE BF'!$AB$40+'TE CVA'!$AB$40)*1</f>
        <v>287.16392669686104</v>
      </c>
      <c r="AB541" s="6">
        <f>$K$541*$V$541</f>
        <v>0</v>
      </c>
      <c r="AC541" s="6">
        <f>$M$541*$W$541</f>
        <v>37131.337169999999</v>
      </c>
      <c r="AD541" s="6">
        <f>$O$541*$X$541</f>
        <v>32843.331539999999</v>
      </c>
      <c r="AE541" s="6">
        <f>$K$541*$Y$541</f>
        <v>0</v>
      </c>
      <c r="AF541" s="6">
        <f ca="1">$M$541*$Z$541</f>
        <v>51047.186916609688</v>
      </c>
      <c r="AG541" s="6">
        <f>$O$541*$AA$541</f>
        <v>31071.424032527058</v>
      </c>
    </row>
    <row r="542" spans="1:33" ht="11.25" hidden="1" customHeight="1" x14ac:dyDescent="0.3">
      <c r="A542" s="4" t="s">
        <v>27</v>
      </c>
      <c r="B542" s="4" t="s">
        <v>32</v>
      </c>
      <c r="C542" s="4" t="s">
        <v>23</v>
      </c>
      <c r="D542" s="4" t="s">
        <v>33</v>
      </c>
      <c r="E542" s="4" t="s">
        <v>25</v>
      </c>
      <c r="F542" s="4" t="s">
        <v>25</v>
      </c>
      <c r="G542" s="4" t="s">
        <v>25</v>
      </c>
      <c r="H542" s="4" t="s">
        <v>25</v>
      </c>
      <c r="I542" s="5">
        <v>44531</v>
      </c>
      <c r="J542" s="6">
        <v>0</v>
      </c>
      <c r="K542" s="6">
        <v>0</v>
      </c>
      <c r="L542" s="6">
        <v>0.66600000000000004</v>
      </c>
      <c r="M542" s="6">
        <v>0.66600000000000004</v>
      </c>
      <c r="N542" s="6">
        <v>0.66600000000000004</v>
      </c>
      <c r="O542" s="6">
        <v>0.66600000000000004</v>
      </c>
      <c r="P542" s="6">
        <v>4</v>
      </c>
      <c r="Q542" s="4" t="s">
        <v>26</v>
      </c>
      <c r="R542" s="4">
        <v>0</v>
      </c>
      <c r="S542" s="6">
        <v>0</v>
      </c>
      <c r="T542" s="6">
        <v>77</v>
      </c>
      <c r="U542" s="6">
        <v>52</v>
      </c>
      <c r="V542" s="6">
        <f>IF(ISERROR(VLOOKUP($S$542,'TAR FIN'!$A$1:$O$92,15,0)),0,VLOOKUP($S$542,'TAR FIN'!$A$1:$O$92,15,0))</f>
        <v>0</v>
      </c>
      <c r="W542" s="6">
        <f>IF(ISERROR(VLOOKUP($T$542,'TAR FIN'!$A$1:$O$92,15,0)),0,VLOOKUP($T$542,'TAR FIN'!$A$1:$O$92,15,0))</f>
        <v>343.17</v>
      </c>
      <c r="X542" s="6">
        <f>IF(ISERROR(VLOOKUP($U$542,'TAR FIN'!$A$1:$O$92,15,0)),0,VLOOKUP($U$542,'TAR FIN'!$A$1:$O$92,15,0))</f>
        <v>303.54000000000002</v>
      </c>
      <c r="Y542" s="6"/>
      <c r="Z542" s="6">
        <f ca="1">('TUSD BE'!$AM$52+'TUSD BF'!$AM$52+'TUSD CVA'!$AM$52)*1</f>
        <v>471.78110106754735</v>
      </c>
      <c r="AA542" s="6">
        <f>('TE BE'!$AB$40+'TE BF'!$AB$40+'TE CVA'!$AB$40)*1</f>
        <v>287.16392669686104</v>
      </c>
      <c r="AB542" s="6">
        <f>$K$542*$V$542</f>
        <v>0</v>
      </c>
      <c r="AC542" s="6">
        <f>$M$542*$W$542</f>
        <v>228.55122000000003</v>
      </c>
      <c r="AD542" s="6">
        <f>$O$542*$X$542</f>
        <v>202.15764000000001</v>
      </c>
      <c r="AE542" s="6">
        <f>$K$542*$Y$542</f>
        <v>0</v>
      </c>
      <c r="AF542" s="6">
        <f ca="1">$M$542*$Z$542</f>
        <v>314.20621331098653</v>
      </c>
      <c r="AG542" s="6">
        <f>$O$542*$AA$542</f>
        <v>191.25117518010947</v>
      </c>
    </row>
    <row r="543" spans="1:33" ht="11.25" hidden="1" customHeight="1" x14ac:dyDescent="0.3">
      <c r="A543" s="4" t="s">
        <v>21</v>
      </c>
      <c r="B543" s="4" t="s">
        <v>32</v>
      </c>
      <c r="C543" s="4" t="s">
        <v>23</v>
      </c>
      <c r="D543" s="4" t="s">
        <v>33</v>
      </c>
      <c r="E543" s="4" t="s">
        <v>25</v>
      </c>
      <c r="F543" s="4" t="s">
        <v>25</v>
      </c>
      <c r="G543" s="4" t="s">
        <v>25</v>
      </c>
      <c r="H543" s="4" t="s">
        <v>25</v>
      </c>
      <c r="I543" s="5">
        <v>44562</v>
      </c>
      <c r="J543" s="6">
        <v>0</v>
      </c>
      <c r="K543" s="6">
        <v>0</v>
      </c>
      <c r="L543" s="6">
        <v>94.998000000000005</v>
      </c>
      <c r="M543" s="6">
        <v>94.998000000000005</v>
      </c>
      <c r="N543" s="6">
        <v>94.998000000000005</v>
      </c>
      <c r="O543" s="6">
        <v>94.998000000000005</v>
      </c>
      <c r="P543" s="6">
        <v>87</v>
      </c>
      <c r="Q543" s="4" t="s">
        <v>26</v>
      </c>
      <c r="R543" s="4">
        <v>0</v>
      </c>
      <c r="S543" s="6">
        <v>0</v>
      </c>
      <c r="T543" s="6">
        <v>77</v>
      </c>
      <c r="U543" s="6">
        <v>52</v>
      </c>
      <c r="V543" s="6">
        <f>IF(ISERROR(VLOOKUP($S$543,'TAR FIN'!$A$1:$O$92,15,0)),0,VLOOKUP($S$543,'TAR FIN'!$A$1:$O$92,15,0))</f>
        <v>0</v>
      </c>
      <c r="W543" s="6">
        <f>IF(ISERROR(VLOOKUP($T$543,'TAR FIN'!$A$1:$O$92,15,0)),0,VLOOKUP($T$543,'TAR FIN'!$A$1:$O$92,15,0))</f>
        <v>343.17</v>
      </c>
      <c r="X543" s="6">
        <f>IF(ISERROR(VLOOKUP($U$543,'TAR FIN'!$A$1:$O$92,15,0)),0,VLOOKUP($U$543,'TAR FIN'!$A$1:$O$92,15,0))</f>
        <v>303.54000000000002</v>
      </c>
      <c r="Y543" s="6"/>
      <c r="Z543" s="6">
        <f ca="1">('TUSD BE'!$AM$52+'TUSD BF'!$AM$52+'TUSD CVA'!$AM$52)*1</f>
        <v>471.78110106754735</v>
      </c>
      <c r="AA543" s="6">
        <f>('TE BE'!$AB$40+'TE BF'!$AB$40+'TE CVA'!$AB$40)*1</f>
        <v>287.16392669686104</v>
      </c>
      <c r="AB543" s="6">
        <f>$K$543*$V$543</f>
        <v>0</v>
      </c>
      <c r="AC543" s="6">
        <f>$M$543*$W$543</f>
        <v>32600.463660000005</v>
      </c>
      <c r="AD543" s="6">
        <f>$O$543*$X$543</f>
        <v>28835.692920000005</v>
      </c>
      <c r="AE543" s="6">
        <f>$K$543*$Y$543</f>
        <v>0</v>
      </c>
      <c r="AF543" s="6">
        <f ca="1">$M$543*$Z$543</f>
        <v>44818.261039214864</v>
      </c>
      <c r="AG543" s="6">
        <f>$O$543*$AA$543</f>
        <v>27279.998708348405</v>
      </c>
    </row>
    <row r="544" spans="1:33" ht="11.25" hidden="1" customHeight="1" x14ac:dyDescent="0.3">
      <c r="A544" s="4" t="s">
        <v>27</v>
      </c>
      <c r="B544" s="4" t="s">
        <v>32</v>
      </c>
      <c r="C544" s="4" t="s">
        <v>23</v>
      </c>
      <c r="D544" s="4" t="s">
        <v>33</v>
      </c>
      <c r="E544" s="4" t="s">
        <v>25</v>
      </c>
      <c r="F544" s="4" t="s">
        <v>25</v>
      </c>
      <c r="G544" s="4" t="s">
        <v>25</v>
      </c>
      <c r="H544" s="4" t="s">
        <v>25</v>
      </c>
      <c r="I544" s="5">
        <v>44562</v>
      </c>
      <c r="J544" s="6">
        <v>0</v>
      </c>
      <c r="K544" s="6">
        <v>0</v>
      </c>
      <c r="L544" s="6">
        <v>0.4</v>
      </c>
      <c r="M544" s="6">
        <v>0.4</v>
      </c>
      <c r="N544" s="6">
        <v>0.4</v>
      </c>
      <c r="O544" s="6">
        <v>0.4</v>
      </c>
      <c r="P544" s="6">
        <v>4</v>
      </c>
      <c r="Q544" s="4" t="s">
        <v>26</v>
      </c>
      <c r="R544" s="4">
        <v>0</v>
      </c>
      <c r="S544" s="6">
        <v>0</v>
      </c>
      <c r="T544" s="6">
        <v>77</v>
      </c>
      <c r="U544" s="6">
        <v>52</v>
      </c>
      <c r="V544" s="6">
        <f>IF(ISERROR(VLOOKUP($S$544,'TAR FIN'!$A$1:$O$92,15,0)),0,VLOOKUP($S$544,'TAR FIN'!$A$1:$O$92,15,0))</f>
        <v>0</v>
      </c>
      <c r="W544" s="6">
        <f>IF(ISERROR(VLOOKUP($T$544,'TAR FIN'!$A$1:$O$92,15,0)),0,VLOOKUP($T$544,'TAR FIN'!$A$1:$O$92,15,0))</f>
        <v>343.17</v>
      </c>
      <c r="X544" s="6">
        <f>IF(ISERROR(VLOOKUP($U$544,'TAR FIN'!$A$1:$O$92,15,0)),0,VLOOKUP($U$544,'TAR FIN'!$A$1:$O$92,15,0))</f>
        <v>303.54000000000002</v>
      </c>
      <c r="Y544" s="6"/>
      <c r="Z544" s="6">
        <f ca="1">('TUSD BE'!$AM$52+'TUSD BF'!$AM$52+'TUSD CVA'!$AM$52)*1</f>
        <v>471.78110106754735</v>
      </c>
      <c r="AA544" s="6">
        <f>('TE BE'!$AB$40+'TE BF'!$AB$40+'TE CVA'!$AB$40)*1</f>
        <v>287.16392669686104</v>
      </c>
      <c r="AB544" s="6">
        <f>$K$544*$V$544</f>
        <v>0</v>
      </c>
      <c r="AC544" s="6">
        <f>$M$544*$W$544</f>
        <v>137.268</v>
      </c>
      <c r="AD544" s="6">
        <f>$O$544*$X$544</f>
        <v>121.41600000000001</v>
      </c>
      <c r="AE544" s="6">
        <f>$K$544*$Y$544</f>
        <v>0</v>
      </c>
      <c r="AF544" s="6">
        <f ca="1">$M$544*$Z$544</f>
        <v>188.71244042701895</v>
      </c>
      <c r="AG544" s="6">
        <f>$O$544*$AA$544</f>
        <v>114.86557067874442</v>
      </c>
    </row>
    <row r="545" spans="1:33" ht="11.25" hidden="1" customHeight="1" x14ac:dyDescent="0.3">
      <c r="A545" s="4" t="s">
        <v>21</v>
      </c>
      <c r="B545" s="4" t="s">
        <v>32</v>
      </c>
      <c r="C545" s="4" t="s">
        <v>23</v>
      </c>
      <c r="D545" s="4" t="s">
        <v>33</v>
      </c>
      <c r="E545" s="4" t="s">
        <v>25</v>
      </c>
      <c r="F545" s="4" t="s">
        <v>25</v>
      </c>
      <c r="G545" s="4" t="s">
        <v>25</v>
      </c>
      <c r="H545" s="4" t="s">
        <v>25</v>
      </c>
      <c r="I545" s="5">
        <v>44593</v>
      </c>
      <c r="J545" s="6">
        <v>0</v>
      </c>
      <c r="K545" s="6">
        <v>0</v>
      </c>
      <c r="L545" s="6">
        <v>110.358</v>
      </c>
      <c r="M545" s="6">
        <v>110.358</v>
      </c>
      <c r="N545" s="6">
        <v>110.358</v>
      </c>
      <c r="O545" s="6">
        <v>110.358</v>
      </c>
      <c r="P545" s="6">
        <v>87</v>
      </c>
      <c r="Q545" s="4" t="s">
        <v>26</v>
      </c>
      <c r="R545" s="4">
        <v>0</v>
      </c>
      <c r="S545" s="6">
        <v>0</v>
      </c>
      <c r="T545" s="6">
        <v>77</v>
      </c>
      <c r="U545" s="6">
        <v>52</v>
      </c>
      <c r="V545" s="6">
        <f>IF(ISERROR(VLOOKUP($S$545,'TAR FIN'!$A$1:$O$92,15,0)),0,VLOOKUP($S$545,'TAR FIN'!$A$1:$O$92,15,0))</f>
        <v>0</v>
      </c>
      <c r="W545" s="6">
        <f>IF(ISERROR(VLOOKUP($T$545,'TAR FIN'!$A$1:$O$92,15,0)),0,VLOOKUP($T$545,'TAR FIN'!$A$1:$O$92,15,0))</f>
        <v>343.17</v>
      </c>
      <c r="X545" s="6">
        <f>IF(ISERROR(VLOOKUP($U$545,'TAR FIN'!$A$1:$O$92,15,0)),0,VLOOKUP($U$545,'TAR FIN'!$A$1:$O$92,15,0))</f>
        <v>303.54000000000002</v>
      </c>
      <c r="Y545" s="6"/>
      <c r="Z545" s="6">
        <f ca="1">('TUSD BE'!$AM$52+'TUSD BF'!$AM$52+'TUSD CVA'!$AM$52)*1</f>
        <v>471.78110106754735</v>
      </c>
      <c r="AA545" s="6">
        <f>('TE BE'!$AB$40+'TE BF'!$AB$40+'TE CVA'!$AB$40)*1</f>
        <v>287.16392669686104</v>
      </c>
      <c r="AB545" s="6">
        <f>$K$545*$V$545</f>
        <v>0</v>
      </c>
      <c r="AC545" s="6">
        <f>$M$545*$W$545</f>
        <v>37871.554860000004</v>
      </c>
      <c r="AD545" s="6">
        <f>$O$545*$X$545</f>
        <v>33498.067320000002</v>
      </c>
      <c r="AE545" s="6">
        <f>$K$545*$Y$545</f>
        <v>0</v>
      </c>
      <c r="AF545" s="6">
        <f ca="1">$M$545*$Z$545</f>
        <v>52064.818751612394</v>
      </c>
      <c r="AG545" s="6">
        <f>$O$545*$AA$545</f>
        <v>31690.836622412193</v>
      </c>
    </row>
    <row r="546" spans="1:33" ht="11.25" hidden="1" customHeight="1" x14ac:dyDescent="0.3">
      <c r="A546" s="4" t="s">
        <v>27</v>
      </c>
      <c r="B546" s="4" t="s">
        <v>32</v>
      </c>
      <c r="C546" s="4" t="s">
        <v>23</v>
      </c>
      <c r="D546" s="4" t="s">
        <v>33</v>
      </c>
      <c r="E546" s="4" t="s">
        <v>25</v>
      </c>
      <c r="F546" s="4" t="s">
        <v>25</v>
      </c>
      <c r="G546" s="4" t="s">
        <v>25</v>
      </c>
      <c r="H546" s="4" t="s">
        <v>25</v>
      </c>
      <c r="I546" s="5">
        <v>44593</v>
      </c>
      <c r="J546" s="6">
        <v>0</v>
      </c>
      <c r="K546" s="6">
        <v>0</v>
      </c>
      <c r="L546" s="6">
        <v>0.4</v>
      </c>
      <c r="M546" s="6">
        <v>0.4</v>
      </c>
      <c r="N546" s="6">
        <v>0.4</v>
      </c>
      <c r="O546" s="6">
        <v>0.4</v>
      </c>
      <c r="P546" s="6">
        <v>4</v>
      </c>
      <c r="Q546" s="4" t="s">
        <v>26</v>
      </c>
      <c r="R546" s="4">
        <v>0</v>
      </c>
      <c r="S546" s="6">
        <v>0</v>
      </c>
      <c r="T546" s="6">
        <v>77</v>
      </c>
      <c r="U546" s="6">
        <v>52</v>
      </c>
      <c r="V546" s="6">
        <f>IF(ISERROR(VLOOKUP($S$546,'TAR FIN'!$A$1:$O$92,15,0)),0,VLOOKUP($S$546,'TAR FIN'!$A$1:$O$92,15,0))</f>
        <v>0</v>
      </c>
      <c r="W546" s="6">
        <f>IF(ISERROR(VLOOKUP($T$546,'TAR FIN'!$A$1:$O$92,15,0)),0,VLOOKUP($T$546,'TAR FIN'!$A$1:$O$92,15,0))</f>
        <v>343.17</v>
      </c>
      <c r="X546" s="6">
        <f>IF(ISERROR(VLOOKUP($U$546,'TAR FIN'!$A$1:$O$92,15,0)),0,VLOOKUP($U$546,'TAR FIN'!$A$1:$O$92,15,0))</f>
        <v>303.54000000000002</v>
      </c>
      <c r="Y546" s="6"/>
      <c r="Z546" s="6">
        <f ca="1">('TUSD BE'!$AM$52+'TUSD BF'!$AM$52+'TUSD CVA'!$AM$52)*1</f>
        <v>471.78110106754735</v>
      </c>
      <c r="AA546" s="6">
        <f>('TE BE'!$AB$40+'TE BF'!$AB$40+'TE CVA'!$AB$40)*1</f>
        <v>287.16392669686104</v>
      </c>
      <c r="AB546" s="6">
        <f>$K$546*$V$546</f>
        <v>0</v>
      </c>
      <c r="AC546" s="6">
        <f>$M$546*$W$546</f>
        <v>137.268</v>
      </c>
      <c r="AD546" s="6">
        <f>$O$546*$X$546</f>
        <v>121.41600000000001</v>
      </c>
      <c r="AE546" s="6">
        <f>$K$546*$Y$546</f>
        <v>0</v>
      </c>
      <c r="AF546" s="6">
        <f ca="1">$M$546*$Z$546</f>
        <v>188.71244042701895</v>
      </c>
      <c r="AG546" s="6">
        <f>$O$546*$AA$546</f>
        <v>114.86557067874442</v>
      </c>
    </row>
    <row r="547" spans="1:33" ht="11.25" hidden="1" customHeight="1" x14ac:dyDescent="0.3">
      <c r="A547" s="4" t="s">
        <v>21</v>
      </c>
      <c r="B547" s="4" t="s">
        <v>32</v>
      </c>
      <c r="C547" s="4" t="s">
        <v>23</v>
      </c>
      <c r="D547" s="4" t="s">
        <v>33</v>
      </c>
      <c r="E547" s="4" t="s">
        <v>25</v>
      </c>
      <c r="F547" s="4" t="s">
        <v>25</v>
      </c>
      <c r="G547" s="4" t="s">
        <v>25</v>
      </c>
      <c r="H547" s="4" t="s">
        <v>25</v>
      </c>
      <c r="I547" s="5">
        <v>44621</v>
      </c>
      <c r="J547" s="6">
        <v>0</v>
      </c>
      <c r="K547" s="6">
        <v>0</v>
      </c>
      <c r="L547" s="6">
        <v>111.623</v>
      </c>
      <c r="M547" s="6">
        <v>111.623</v>
      </c>
      <c r="N547" s="6">
        <v>111.623</v>
      </c>
      <c r="O547" s="6">
        <v>111.623</v>
      </c>
      <c r="P547" s="6">
        <v>86</v>
      </c>
      <c r="Q547" s="4" t="s">
        <v>26</v>
      </c>
      <c r="R547" s="4">
        <v>0</v>
      </c>
      <c r="S547" s="6">
        <v>0</v>
      </c>
      <c r="T547" s="6">
        <v>77</v>
      </c>
      <c r="U547" s="6">
        <v>52</v>
      </c>
      <c r="V547" s="6">
        <f>IF(ISERROR(VLOOKUP($S$547,'TAR FIN'!$A$1:$O$92,15,0)),0,VLOOKUP($S$547,'TAR FIN'!$A$1:$O$92,15,0))</f>
        <v>0</v>
      </c>
      <c r="W547" s="6">
        <f>IF(ISERROR(VLOOKUP($T$547,'TAR FIN'!$A$1:$O$92,15,0)),0,VLOOKUP($T$547,'TAR FIN'!$A$1:$O$92,15,0))</f>
        <v>343.17</v>
      </c>
      <c r="X547" s="6">
        <f>IF(ISERROR(VLOOKUP($U$547,'TAR FIN'!$A$1:$O$92,15,0)),0,VLOOKUP($U$547,'TAR FIN'!$A$1:$O$92,15,0))</f>
        <v>303.54000000000002</v>
      </c>
      <c r="Y547" s="6"/>
      <c r="Z547" s="6">
        <f ca="1">('TUSD BE'!$AM$52+'TUSD BF'!$AM$52+'TUSD CVA'!$AM$52)*1</f>
        <v>471.78110106754735</v>
      </c>
      <c r="AA547" s="6">
        <f>('TE BE'!$AB$40+'TE BF'!$AB$40+'TE CVA'!$AB$40)*1</f>
        <v>287.16392669686104</v>
      </c>
      <c r="AB547" s="6">
        <f>$K$547*$V$547</f>
        <v>0</v>
      </c>
      <c r="AC547" s="6">
        <f>$M$547*$W$547</f>
        <v>38305.664910000007</v>
      </c>
      <c r="AD547" s="6">
        <f>$O$547*$X$547</f>
        <v>33882.045420000002</v>
      </c>
      <c r="AE547" s="6">
        <f>$K$547*$Y$547</f>
        <v>0</v>
      </c>
      <c r="AF547" s="6">
        <f ca="1">$M$547*$Z$547</f>
        <v>52661.621844462839</v>
      </c>
      <c r="AG547" s="6">
        <f>$O$547*$AA$547</f>
        <v>32054.09898968372</v>
      </c>
    </row>
    <row r="548" spans="1:33" ht="11.25" hidden="1" customHeight="1" x14ac:dyDescent="0.3">
      <c r="A548" s="4" t="s">
        <v>27</v>
      </c>
      <c r="B548" s="4" t="s">
        <v>32</v>
      </c>
      <c r="C548" s="4" t="s">
        <v>23</v>
      </c>
      <c r="D548" s="4" t="s">
        <v>33</v>
      </c>
      <c r="E548" s="4" t="s">
        <v>25</v>
      </c>
      <c r="F548" s="4" t="s">
        <v>25</v>
      </c>
      <c r="G548" s="4" t="s">
        <v>25</v>
      </c>
      <c r="H548" s="4" t="s">
        <v>25</v>
      </c>
      <c r="I548" s="5">
        <v>44621</v>
      </c>
      <c r="J548" s="6">
        <v>0</v>
      </c>
      <c r="K548" s="6">
        <v>0</v>
      </c>
      <c r="L548" s="6">
        <v>0.4</v>
      </c>
      <c r="M548" s="6">
        <v>0.4</v>
      </c>
      <c r="N548" s="6">
        <v>0.4</v>
      </c>
      <c r="O548" s="6">
        <v>0.4</v>
      </c>
      <c r="P548" s="6">
        <v>4</v>
      </c>
      <c r="Q548" s="4" t="s">
        <v>26</v>
      </c>
      <c r="R548" s="4">
        <v>0</v>
      </c>
      <c r="S548" s="6">
        <v>0</v>
      </c>
      <c r="T548" s="6">
        <v>77</v>
      </c>
      <c r="U548" s="6">
        <v>52</v>
      </c>
      <c r="V548" s="6">
        <f>IF(ISERROR(VLOOKUP($S$548,'TAR FIN'!$A$1:$O$92,15,0)),0,VLOOKUP($S$548,'TAR FIN'!$A$1:$O$92,15,0))</f>
        <v>0</v>
      </c>
      <c r="W548" s="6">
        <f>IF(ISERROR(VLOOKUP($T$548,'TAR FIN'!$A$1:$O$92,15,0)),0,VLOOKUP($T$548,'TAR FIN'!$A$1:$O$92,15,0))</f>
        <v>343.17</v>
      </c>
      <c r="X548" s="6">
        <f>IF(ISERROR(VLOOKUP($U$548,'TAR FIN'!$A$1:$O$92,15,0)),0,VLOOKUP($U$548,'TAR FIN'!$A$1:$O$92,15,0))</f>
        <v>303.54000000000002</v>
      </c>
      <c r="Y548" s="6"/>
      <c r="Z548" s="6">
        <f ca="1">('TUSD BE'!$AM$52+'TUSD BF'!$AM$52+'TUSD CVA'!$AM$52)*1</f>
        <v>471.78110106754735</v>
      </c>
      <c r="AA548" s="6">
        <f>('TE BE'!$AB$40+'TE BF'!$AB$40+'TE CVA'!$AB$40)*1</f>
        <v>287.16392669686104</v>
      </c>
      <c r="AB548" s="6">
        <f>$K$548*$V$548</f>
        <v>0</v>
      </c>
      <c r="AC548" s="6">
        <f>$M$548*$W$548</f>
        <v>137.268</v>
      </c>
      <c r="AD548" s="6">
        <f>$O$548*$X$548</f>
        <v>121.41600000000001</v>
      </c>
      <c r="AE548" s="6">
        <f>$K$548*$Y$548</f>
        <v>0</v>
      </c>
      <c r="AF548" s="6">
        <f ca="1">$M$548*$Z$548</f>
        <v>188.71244042701895</v>
      </c>
      <c r="AG548" s="6">
        <f>$O$548*$AA$548</f>
        <v>114.86557067874442</v>
      </c>
    </row>
    <row r="549" spans="1:33" ht="11.25" hidden="1" customHeight="1" x14ac:dyDescent="0.3">
      <c r="A549" s="4" t="s">
        <v>21</v>
      </c>
      <c r="B549" s="4" t="s">
        <v>32</v>
      </c>
      <c r="C549" s="4" t="s">
        <v>23</v>
      </c>
      <c r="D549" s="4" t="s">
        <v>33</v>
      </c>
      <c r="E549" s="4" t="s">
        <v>25</v>
      </c>
      <c r="F549" s="4" t="s">
        <v>25</v>
      </c>
      <c r="G549" s="4" t="s">
        <v>25</v>
      </c>
      <c r="H549" s="4" t="s">
        <v>25</v>
      </c>
      <c r="I549" s="5">
        <v>44652</v>
      </c>
      <c r="J549" s="6">
        <v>0</v>
      </c>
      <c r="K549" s="6">
        <v>0</v>
      </c>
      <c r="L549" s="6">
        <v>100.437</v>
      </c>
      <c r="M549" s="6">
        <v>100.437</v>
      </c>
      <c r="N549" s="6">
        <v>100.437</v>
      </c>
      <c r="O549" s="6">
        <v>100.437</v>
      </c>
      <c r="P549" s="6">
        <v>88</v>
      </c>
      <c r="Q549" s="4" t="s">
        <v>26</v>
      </c>
      <c r="R549" s="4">
        <v>0</v>
      </c>
      <c r="S549" s="6">
        <v>0</v>
      </c>
      <c r="T549" s="6">
        <v>77</v>
      </c>
      <c r="U549" s="6">
        <v>52</v>
      </c>
      <c r="V549" s="6">
        <f>IF(ISERROR(VLOOKUP($S$549,'TAR FIN'!$A$1:$O$92,15,0)),0,VLOOKUP($S$549,'TAR FIN'!$A$1:$O$92,15,0))</f>
        <v>0</v>
      </c>
      <c r="W549" s="6">
        <f>IF(ISERROR(VLOOKUP($T$549,'TAR FIN'!$A$1:$O$92,15,0)),0,VLOOKUP($T$549,'TAR FIN'!$A$1:$O$92,15,0))</f>
        <v>343.17</v>
      </c>
      <c r="X549" s="6">
        <f>IF(ISERROR(VLOOKUP($U$549,'TAR FIN'!$A$1:$O$92,15,0)),0,VLOOKUP($U$549,'TAR FIN'!$A$1:$O$92,15,0))</f>
        <v>303.54000000000002</v>
      </c>
      <c r="Y549" s="6"/>
      <c r="Z549" s="6">
        <f ca="1">('TUSD BE'!$AM$52+'TUSD BF'!$AM$52+'TUSD CVA'!$AM$52)*1</f>
        <v>471.78110106754735</v>
      </c>
      <c r="AA549" s="6">
        <f>('TE BE'!$AB$40+'TE BF'!$AB$40+'TE CVA'!$AB$40)*1</f>
        <v>287.16392669686104</v>
      </c>
      <c r="AB549" s="6">
        <f>$K$549*$V$549</f>
        <v>0</v>
      </c>
      <c r="AC549" s="6">
        <f>$M$549*$W$549</f>
        <v>34466.96529</v>
      </c>
      <c r="AD549" s="6">
        <f>$O$549*$X$549</f>
        <v>30486.646980000001</v>
      </c>
      <c r="AE549" s="6">
        <f>$K$549*$Y$549</f>
        <v>0</v>
      </c>
      <c r="AF549" s="6">
        <f ca="1">$M$549*$Z$549</f>
        <v>47384.27844792125</v>
      </c>
      <c r="AG549" s="6">
        <f>$O$549*$AA$549</f>
        <v>28841.883305652631</v>
      </c>
    </row>
    <row r="550" spans="1:33" ht="11.25" hidden="1" customHeight="1" x14ac:dyDescent="0.3">
      <c r="A550" s="4" t="s">
        <v>27</v>
      </c>
      <c r="B550" s="4" t="s">
        <v>32</v>
      </c>
      <c r="C550" s="4" t="s">
        <v>23</v>
      </c>
      <c r="D550" s="4" t="s">
        <v>33</v>
      </c>
      <c r="E550" s="4" t="s">
        <v>25</v>
      </c>
      <c r="F550" s="4" t="s">
        <v>25</v>
      </c>
      <c r="G550" s="4" t="s">
        <v>25</v>
      </c>
      <c r="H550" s="4" t="s">
        <v>25</v>
      </c>
      <c r="I550" s="5">
        <v>44652</v>
      </c>
      <c r="J550" s="6">
        <v>0</v>
      </c>
      <c r="K550" s="6">
        <v>0</v>
      </c>
      <c r="L550" s="6">
        <v>0.4</v>
      </c>
      <c r="M550" s="6">
        <v>0.4</v>
      </c>
      <c r="N550" s="6">
        <v>0.4</v>
      </c>
      <c r="O550" s="6">
        <v>0.4</v>
      </c>
      <c r="P550" s="6">
        <v>4</v>
      </c>
      <c r="Q550" s="4" t="s">
        <v>26</v>
      </c>
      <c r="R550" s="4">
        <v>0</v>
      </c>
      <c r="S550" s="6">
        <v>0</v>
      </c>
      <c r="T550" s="6">
        <v>77</v>
      </c>
      <c r="U550" s="6">
        <v>52</v>
      </c>
      <c r="V550" s="6">
        <f>IF(ISERROR(VLOOKUP($S$550,'TAR FIN'!$A$1:$O$92,15,0)),0,VLOOKUP($S$550,'TAR FIN'!$A$1:$O$92,15,0))</f>
        <v>0</v>
      </c>
      <c r="W550" s="6">
        <f>IF(ISERROR(VLOOKUP($T$550,'TAR FIN'!$A$1:$O$92,15,0)),0,VLOOKUP($T$550,'TAR FIN'!$A$1:$O$92,15,0))</f>
        <v>343.17</v>
      </c>
      <c r="X550" s="6">
        <f>IF(ISERROR(VLOOKUP($U$550,'TAR FIN'!$A$1:$O$92,15,0)),0,VLOOKUP($U$550,'TAR FIN'!$A$1:$O$92,15,0))</f>
        <v>303.54000000000002</v>
      </c>
      <c r="Y550" s="6"/>
      <c r="Z550" s="6">
        <f ca="1">('TUSD BE'!$AM$52+'TUSD BF'!$AM$52+'TUSD CVA'!$AM$52)*1</f>
        <v>471.78110106754735</v>
      </c>
      <c r="AA550" s="6">
        <f>('TE BE'!$AB$40+'TE BF'!$AB$40+'TE CVA'!$AB$40)*1</f>
        <v>287.16392669686104</v>
      </c>
      <c r="AB550" s="6">
        <f>$K$550*$V$550</f>
        <v>0</v>
      </c>
      <c r="AC550" s="6">
        <f>$M$550*$W$550</f>
        <v>137.268</v>
      </c>
      <c r="AD550" s="6">
        <f>$O$550*$X$550</f>
        <v>121.41600000000001</v>
      </c>
      <c r="AE550" s="6">
        <f>$K$550*$Y$550</f>
        <v>0</v>
      </c>
      <c r="AF550" s="6">
        <f ca="1">$M$550*$Z$550</f>
        <v>188.71244042701895</v>
      </c>
      <c r="AG550" s="6">
        <f>$O$550*$AA$550</f>
        <v>114.86557067874442</v>
      </c>
    </row>
    <row r="551" spans="1:33" ht="11.25" hidden="1" customHeight="1" x14ac:dyDescent="0.3">
      <c r="A551" s="4" t="s">
        <v>21</v>
      </c>
      <c r="B551" s="4" t="s">
        <v>32</v>
      </c>
      <c r="C551" s="4" t="s">
        <v>23</v>
      </c>
      <c r="D551" s="4" t="s">
        <v>33</v>
      </c>
      <c r="E551" s="4" t="s">
        <v>25</v>
      </c>
      <c r="F551" s="4" t="s">
        <v>25</v>
      </c>
      <c r="G551" s="4" t="s">
        <v>25</v>
      </c>
      <c r="H551" s="4" t="s">
        <v>25</v>
      </c>
      <c r="I551" s="5">
        <v>44682</v>
      </c>
      <c r="J551" s="6">
        <v>0</v>
      </c>
      <c r="K551" s="6">
        <v>0</v>
      </c>
      <c r="L551" s="6">
        <v>90.561999999999998</v>
      </c>
      <c r="M551" s="6">
        <v>90.561999999999998</v>
      </c>
      <c r="N551" s="6">
        <v>90.561999999999998</v>
      </c>
      <c r="O551" s="6">
        <v>90.561999999999998</v>
      </c>
      <c r="P551" s="6">
        <v>87</v>
      </c>
      <c r="Q551" s="4" t="s">
        <v>26</v>
      </c>
      <c r="R551" s="4">
        <v>0</v>
      </c>
      <c r="S551" s="6">
        <v>0</v>
      </c>
      <c r="T551" s="6">
        <v>77</v>
      </c>
      <c r="U551" s="6">
        <v>52</v>
      </c>
      <c r="V551" s="6">
        <f>IF(ISERROR(VLOOKUP($S$551,'TAR FIN'!$A$1:$O$92,15,0)),0,VLOOKUP($S$551,'TAR FIN'!$A$1:$O$92,15,0))</f>
        <v>0</v>
      </c>
      <c r="W551" s="6">
        <f>IF(ISERROR(VLOOKUP($T$551,'TAR FIN'!$A$1:$O$92,15,0)),0,VLOOKUP($T$551,'TAR FIN'!$A$1:$O$92,15,0))</f>
        <v>343.17</v>
      </c>
      <c r="X551" s="6">
        <f>IF(ISERROR(VLOOKUP($U$551,'TAR FIN'!$A$1:$O$92,15,0)),0,VLOOKUP($U$551,'TAR FIN'!$A$1:$O$92,15,0))</f>
        <v>303.54000000000002</v>
      </c>
      <c r="Y551" s="6"/>
      <c r="Z551" s="6">
        <f ca="1">('TUSD BE'!$AM$52+'TUSD BF'!$AM$52+'TUSD CVA'!$AM$52)*1</f>
        <v>471.78110106754735</v>
      </c>
      <c r="AA551" s="6">
        <f>('TE BE'!$AB$40+'TE BF'!$AB$40+'TE CVA'!$AB$40)*1</f>
        <v>287.16392669686104</v>
      </c>
      <c r="AB551" s="6">
        <f>$K$551*$V$551</f>
        <v>0</v>
      </c>
      <c r="AC551" s="6">
        <f>$M$551*$W$551</f>
        <v>31078.161540000001</v>
      </c>
      <c r="AD551" s="6">
        <f>$O$551*$X$551</f>
        <v>27489.189480000001</v>
      </c>
      <c r="AE551" s="6">
        <f>$K$551*$Y$551</f>
        <v>0</v>
      </c>
      <c r="AF551" s="6">
        <f ca="1">$M$551*$Z$551</f>
        <v>42725.440074879225</v>
      </c>
      <c r="AG551" s="6">
        <f>$O$551*$AA$551</f>
        <v>26006.13952952113</v>
      </c>
    </row>
    <row r="552" spans="1:33" ht="11.25" hidden="1" customHeight="1" x14ac:dyDescent="0.3">
      <c r="A552" s="4" t="s">
        <v>27</v>
      </c>
      <c r="B552" s="4" t="s">
        <v>32</v>
      </c>
      <c r="C552" s="4" t="s">
        <v>23</v>
      </c>
      <c r="D552" s="4" t="s">
        <v>33</v>
      </c>
      <c r="E552" s="4" t="s">
        <v>25</v>
      </c>
      <c r="F552" s="4" t="s">
        <v>25</v>
      </c>
      <c r="G552" s="4" t="s">
        <v>25</v>
      </c>
      <c r="H552" s="4" t="s">
        <v>25</v>
      </c>
      <c r="I552" s="5">
        <v>44682</v>
      </c>
      <c r="J552" s="6">
        <v>0</v>
      </c>
      <c r="K552" s="6">
        <v>0</v>
      </c>
      <c r="L552" s="6">
        <v>0.4</v>
      </c>
      <c r="M552" s="6">
        <v>0.4</v>
      </c>
      <c r="N552" s="6">
        <v>0.4</v>
      </c>
      <c r="O552" s="6">
        <v>0.4</v>
      </c>
      <c r="P552" s="6">
        <v>4</v>
      </c>
      <c r="Q552" s="4" t="s">
        <v>26</v>
      </c>
      <c r="R552" s="4">
        <v>0</v>
      </c>
      <c r="S552" s="6">
        <v>0</v>
      </c>
      <c r="T552" s="6">
        <v>77</v>
      </c>
      <c r="U552" s="6">
        <v>52</v>
      </c>
      <c r="V552" s="6">
        <f>IF(ISERROR(VLOOKUP($S$552,'TAR FIN'!$A$1:$O$92,15,0)),0,VLOOKUP($S$552,'TAR FIN'!$A$1:$O$92,15,0))</f>
        <v>0</v>
      </c>
      <c r="W552" s="6">
        <f>IF(ISERROR(VLOOKUP($T$552,'TAR FIN'!$A$1:$O$92,15,0)),0,VLOOKUP($T$552,'TAR FIN'!$A$1:$O$92,15,0))</f>
        <v>343.17</v>
      </c>
      <c r="X552" s="6">
        <f>IF(ISERROR(VLOOKUP($U$552,'TAR FIN'!$A$1:$O$92,15,0)),0,VLOOKUP($U$552,'TAR FIN'!$A$1:$O$92,15,0))</f>
        <v>303.54000000000002</v>
      </c>
      <c r="Y552" s="6"/>
      <c r="Z552" s="6">
        <f ca="1">('TUSD BE'!$AM$52+'TUSD BF'!$AM$52+'TUSD CVA'!$AM$52)*1</f>
        <v>471.78110106754735</v>
      </c>
      <c r="AA552" s="6">
        <f>('TE BE'!$AB$40+'TE BF'!$AB$40+'TE CVA'!$AB$40)*1</f>
        <v>287.16392669686104</v>
      </c>
      <c r="AB552" s="6">
        <f>$K$552*$V$552</f>
        <v>0</v>
      </c>
      <c r="AC552" s="6">
        <f>$M$552*$W$552</f>
        <v>137.268</v>
      </c>
      <c r="AD552" s="6">
        <f>$O$552*$X$552</f>
        <v>121.41600000000001</v>
      </c>
      <c r="AE552" s="6">
        <f>$K$552*$Y$552</f>
        <v>0</v>
      </c>
      <c r="AF552" s="6">
        <f ca="1">$M$552*$Z$552</f>
        <v>188.71244042701895</v>
      </c>
      <c r="AG552" s="6">
        <f>$O$552*$AA$552</f>
        <v>114.86557067874442</v>
      </c>
    </row>
    <row r="553" spans="1:33" ht="11.25" hidden="1" customHeight="1" x14ac:dyDescent="0.3">
      <c r="A553" s="4" t="s">
        <v>21</v>
      </c>
      <c r="B553" s="4" t="s">
        <v>32</v>
      </c>
      <c r="C553" s="4" t="s">
        <v>23</v>
      </c>
      <c r="D553" s="4" t="s">
        <v>33</v>
      </c>
      <c r="E553" s="4" t="s">
        <v>25</v>
      </c>
      <c r="F553" s="4" t="s">
        <v>25</v>
      </c>
      <c r="G553" s="4" t="s">
        <v>25</v>
      </c>
      <c r="H553" s="4" t="s">
        <v>25</v>
      </c>
      <c r="I553" s="5">
        <v>44713</v>
      </c>
      <c r="J553" s="6">
        <v>0</v>
      </c>
      <c r="K553" s="6">
        <v>0</v>
      </c>
      <c r="L553" s="6">
        <v>99.206000000000003</v>
      </c>
      <c r="M553" s="6">
        <v>99.206000000000003</v>
      </c>
      <c r="N553" s="6">
        <v>99.206000000000003</v>
      </c>
      <c r="O553" s="6">
        <v>99.206000000000003</v>
      </c>
      <c r="P553" s="6">
        <v>86</v>
      </c>
      <c r="Q553" s="4" t="s">
        <v>26</v>
      </c>
      <c r="R553" s="4">
        <v>0</v>
      </c>
      <c r="S553" s="6">
        <v>0</v>
      </c>
      <c r="T553" s="6">
        <v>77</v>
      </c>
      <c r="U553" s="6">
        <v>52</v>
      </c>
      <c r="V553" s="6">
        <f>IF(ISERROR(VLOOKUP($S$553,'TAR FIN'!$A$1:$O$92,15,0)),0,VLOOKUP($S$553,'TAR FIN'!$A$1:$O$92,15,0))</f>
        <v>0</v>
      </c>
      <c r="W553" s="6">
        <f>IF(ISERROR(VLOOKUP($T$553,'TAR FIN'!$A$1:$O$92,15,0)),0,VLOOKUP($T$553,'TAR FIN'!$A$1:$O$92,15,0))</f>
        <v>343.17</v>
      </c>
      <c r="X553" s="6">
        <f>IF(ISERROR(VLOOKUP($U$553,'TAR FIN'!$A$1:$O$92,15,0)),0,VLOOKUP($U$553,'TAR FIN'!$A$1:$O$92,15,0))</f>
        <v>303.54000000000002</v>
      </c>
      <c r="Y553" s="6"/>
      <c r="Z553" s="6">
        <f ca="1">('TUSD BE'!$AM$52+'TUSD BF'!$AM$52+'TUSD CVA'!$AM$52)*1</f>
        <v>471.78110106754735</v>
      </c>
      <c r="AA553" s="6">
        <f>('TE BE'!$AB$40+'TE BF'!$AB$40+'TE CVA'!$AB$40)*1</f>
        <v>287.16392669686104</v>
      </c>
      <c r="AB553" s="6">
        <f>$K$553*$V$553</f>
        <v>0</v>
      </c>
      <c r="AC553" s="6">
        <f>$M$553*$W$553</f>
        <v>34044.523020000001</v>
      </c>
      <c r="AD553" s="6">
        <f>$O$553*$X$553</f>
        <v>30112.989240000003</v>
      </c>
      <c r="AE553" s="6">
        <f>$K$553*$Y$553</f>
        <v>0</v>
      </c>
      <c r="AF553" s="6">
        <f ca="1">$M$553*$Z$553</f>
        <v>46803.515912507108</v>
      </c>
      <c r="AG553" s="6">
        <f>$O$553*$AA$553</f>
        <v>28488.384511888798</v>
      </c>
    </row>
    <row r="554" spans="1:33" ht="11.25" hidden="1" customHeight="1" x14ac:dyDescent="0.3">
      <c r="A554" s="4" t="s">
        <v>27</v>
      </c>
      <c r="B554" s="4" t="s">
        <v>32</v>
      </c>
      <c r="C554" s="4" t="s">
        <v>23</v>
      </c>
      <c r="D554" s="4" t="s">
        <v>33</v>
      </c>
      <c r="E554" s="4" t="s">
        <v>25</v>
      </c>
      <c r="F554" s="4" t="s">
        <v>25</v>
      </c>
      <c r="G554" s="4" t="s">
        <v>25</v>
      </c>
      <c r="H554" s="4" t="s">
        <v>25</v>
      </c>
      <c r="I554" s="5">
        <v>44713</v>
      </c>
      <c r="J554" s="6">
        <v>0</v>
      </c>
      <c r="K554" s="6">
        <v>0</v>
      </c>
      <c r="L554" s="6">
        <v>2.3279999999999998</v>
      </c>
      <c r="M554" s="6">
        <v>2.3279999999999998</v>
      </c>
      <c r="N554" s="6">
        <v>2.3279999999999998</v>
      </c>
      <c r="O554" s="6">
        <v>2.3279999999999998</v>
      </c>
      <c r="P554" s="6">
        <v>5</v>
      </c>
      <c r="Q554" s="4" t="s">
        <v>26</v>
      </c>
      <c r="R554" s="4">
        <v>0</v>
      </c>
      <c r="S554" s="6">
        <v>0</v>
      </c>
      <c r="T554" s="6">
        <v>77</v>
      </c>
      <c r="U554" s="6">
        <v>52</v>
      </c>
      <c r="V554" s="6">
        <f>IF(ISERROR(VLOOKUP($S$554,'TAR FIN'!$A$1:$O$92,15,0)),0,VLOOKUP($S$554,'TAR FIN'!$A$1:$O$92,15,0))</f>
        <v>0</v>
      </c>
      <c r="W554" s="6">
        <f>IF(ISERROR(VLOOKUP($T$554,'TAR FIN'!$A$1:$O$92,15,0)),0,VLOOKUP($T$554,'TAR FIN'!$A$1:$O$92,15,0))</f>
        <v>343.17</v>
      </c>
      <c r="X554" s="6">
        <f>IF(ISERROR(VLOOKUP($U$554,'TAR FIN'!$A$1:$O$92,15,0)),0,VLOOKUP($U$554,'TAR FIN'!$A$1:$O$92,15,0))</f>
        <v>303.54000000000002</v>
      </c>
      <c r="Y554" s="6"/>
      <c r="Z554" s="6">
        <f ca="1">('TUSD BE'!$AM$52+'TUSD BF'!$AM$52+'TUSD CVA'!$AM$52)*1</f>
        <v>471.78110106754735</v>
      </c>
      <c r="AA554" s="6">
        <f>('TE BE'!$AB$40+'TE BF'!$AB$40+'TE CVA'!$AB$40)*1</f>
        <v>287.16392669686104</v>
      </c>
      <c r="AB554" s="6">
        <f>$K$554*$V$554</f>
        <v>0</v>
      </c>
      <c r="AC554" s="6">
        <f>$M$554*$W$554</f>
        <v>798.89976000000001</v>
      </c>
      <c r="AD554" s="6">
        <f>$O$554*$X$554</f>
        <v>706.64112</v>
      </c>
      <c r="AE554" s="6">
        <f>$K$554*$Y$554</f>
        <v>0</v>
      </c>
      <c r="AF554" s="6">
        <f ca="1">$M$554*$Z$554</f>
        <v>1098.3064032852501</v>
      </c>
      <c r="AG554" s="6">
        <f>$O$554*$AA$554</f>
        <v>668.51762135029242</v>
      </c>
    </row>
    <row r="555" spans="1:33" ht="11.25" hidden="1" customHeight="1" x14ac:dyDescent="0.3">
      <c r="A555" s="4" t="s">
        <v>21</v>
      </c>
      <c r="B555" s="4" t="s">
        <v>32</v>
      </c>
      <c r="C555" s="4" t="s">
        <v>23</v>
      </c>
      <c r="D555" s="4" t="s">
        <v>33</v>
      </c>
      <c r="E555" s="4" t="s">
        <v>25</v>
      </c>
      <c r="F555" s="4" t="s">
        <v>25</v>
      </c>
      <c r="G555" s="4" t="s">
        <v>25</v>
      </c>
      <c r="H555" s="4" t="s">
        <v>25</v>
      </c>
      <c r="I555" s="5">
        <v>44743</v>
      </c>
      <c r="J555" s="6">
        <v>0</v>
      </c>
      <c r="K555" s="6">
        <v>0</v>
      </c>
      <c r="L555" s="6">
        <v>106.953</v>
      </c>
      <c r="M555" s="6">
        <v>106.953</v>
      </c>
      <c r="N555" s="6">
        <v>106.953</v>
      </c>
      <c r="O555" s="6">
        <v>106.953</v>
      </c>
      <c r="P555" s="6">
        <v>83</v>
      </c>
      <c r="Q555" s="4" t="s">
        <v>26</v>
      </c>
      <c r="R555" s="4">
        <v>0</v>
      </c>
      <c r="S555" s="6">
        <v>0</v>
      </c>
      <c r="T555" s="6">
        <v>77</v>
      </c>
      <c r="U555" s="6">
        <v>52</v>
      </c>
      <c r="V555" s="6">
        <f>IF(ISERROR(VLOOKUP($S$555,'TAR FIN'!$A$1:$O$92,15,0)),0,VLOOKUP($S$555,'TAR FIN'!$A$1:$O$92,15,0))</f>
        <v>0</v>
      </c>
      <c r="W555" s="6">
        <f>IF(ISERROR(VLOOKUP($T$555,'TAR FIN'!$A$1:$O$92,15,0)),0,VLOOKUP($T$555,'TAR FIN'!$A$1:$O$92,15,0))</f>
        <v>343.17</v>
      </c>
      <c r="X555" s="6">
        <f>IF(ISERROR(VLOOKUP($U$555,'TAR FIN'!$A$1:$O$92,15,0)),0,VLOOKUP($U$555,'TAR FIN'!$A$1:$O$92,15,0))</f>
        <v>303.54000000000002</v>
      </c>
      <c r="Y555" s="6"/>
      <c r="Z555" s="6">
        <f ca="1">('TUSD BE'!$AM$52+'TUSD BF'!$AM$52+'TUSD CVA'!$AM$52)*1</f>
        <v>471.78110106754735</v>
      </c>
      <c r="AA555" s="6">
        <f>('TE BE'!$AB$40+'TE BF'!$AB$40+'TE CVA'!$AB$40)*1</f>
        <v>287.16392669686104</v>
      </c>
      <c r="AB555" s="6">
        <f>$K$555*$V$555</f>
        <v>0</v>
      </c>
      <c r="AC555" s="6">
        <f>$M$555*$W$555</f>
        <v>36703.061010000005</v>
      </c>
      <c r="AD555" s="6">
        <f>$O$555*$X$555</f>
        <v>32464.513620000002</v>
      </c>
      <c r="AE555" s="6">
        <f>$K$555*$Y$555</f>
        <v>0</v>
      </c>
      <c r="AF555" s="6">
        <f ca="1">$M$555*$Z$555</f>
        <v>50458.404102477391</v>
      </c>
      <c r="AG555" s="6">
        <f>$O$555*$AA$555</f>
        <v>30713.04345200938</v>
      </c>
    </row>
    <row r="556" spans="1:33" ht="11.25" hidden="1" customHeight="1" x14ac:dyDescent="0.3">
      <c r="A556" s="4" t="s">
        <v>27</v>
      </c>
      <c r="B556" s="4" t="s">
        <v>32</v>
      </c>
      <c r="C556" s="4" t="s">
        <v>23</v>
      </c>
      <c r="D556" s="4" t="s">
        <v>33</v>
      </c>
      <c r="E556" s="4" t="s">
        <v>25</v>
      </c>
      <c r="F556" s="4" t="s">
        <v>25</v>
      </c>
      <c r="G556" s="4" t="s">
        <v>25</v>
      </c>
      <c r="H556" s="4" t="s">
        <v>25</v>
      </c>
      <c r="I556" s="5">
        <v>44743</v>
      </c>
      <c r="J556" s="6">
        <v>0</v>
      </c>
      <c r="K556" s="6">
        <v>0</v>
      </c>
      <c r="L556" s="6">
        <v>6.556</v>
      </c>
      <c r="M556" s="6">
        <v>6.556</v>
      </c>
      <c r="N556" s="6">
        <v>6.556</v>
      </c>
      <c r="O556" s="6">
        <v>6.556</v>
      </c>
      <c r="P556" s="6">
        <v>6</v>
      </c>
      <c r="Q556" s="4" t="s">
        <v>26</v>
      </c>
      <c r="R556" s="4">
        <v>0</v>
      </c>
      <c r="S556" s="6">
        <v>0</v>
      </c>
      <c r="T556" s="6">
        <v>77</v>
      </c>
      <c r="U556" s="6">
        <v>52</v>
      </c>
      <c r="V556" s="6">
        <f>IF(ISERROR(VLOOKUP($S$556,'TAR FIN'!$A$1:$O$92,15,0)),0,VLOOKUP($S$556,'TAR FIN'!$A$1:$O$92,15,0))</f>
        <v>0</v>
      </c>
      <c r="W556" s="6">
        <f>IF(ISERROR(VLOOKUP($T$556,'TAR FIN'!$A$1:$O$92,15,0)),0,VLOOKUP($T$556,'TAR FIN'!$A$1:$O$92,15,0))</f>
        <v>343.17</v>
      </c>
      <c r="X556" s="6">
        <f>IF(ISERROR(VLOOKUP($U$556,'TAR FIN'!$A$1:$O$92,15,0)),0,VLOOKUP($U$556,'TAR FIN'!$A$1:$O$92,15,0))</f>
        <v>303.54000000000002</v>
      </c>
      <c r="Y556" s="6"/>
      <c r="Z556" s="6">
        <f ca="1">('TUSD BE'!$AM$52+'TUSD BF'!$AM$52+'TUSD CVA'!$AM$52)*1</f>
        <v>471.78110106754735</v>
      </c>
      <c r="AA556" s="6">
        <f>('TE BE'!$AB$40+'TE BF'!$AB$40+'TE CVA'!$AB$40)*1</f>
        <v>287.16392669686104</v>
      </c>
      <c r="AB556" s="6">
        <f>$K$556*$V$556</f>
        <v>0</v>
      </c>
      <c r="AC556" s="6">
        <f>$M$556*$W$556</f>
        <v>2249.8225200000002</v>
      </c>
      <c r="AD556" s="6">
        <f>$O$556*$X$556</f>
        <v>1990.0082400000001</v>
      </c>
      <c r="AE556" s="6">
        <f>$K$556*$Y$556</f>
        <v>0</v>
      </c>
      <c r="AF556" s="6">
        <f ca="1">$M$556*$Z$556</f>
        <v>3092.9968985988403</v>
      </c>
      <c r="AG556" s="6">
        <f>$O$556*$AA$556</f>
        <v>1882.6467034246209</v>
      </c>
    </row>
    <row r="557" spans="1:33" ht="11.25" hidden="1" customHeight="1" x14ac:dyDescent="0.3">
      <c r="A557" s="4" t="s">
        <v>21</v>
      </c>
      <c r="B557" s="4" t="s">
        <v>32</v>
      </c>
      <c r="C557" s="4" t="s">
        <v>23</v>
      </c>
      <c r="D557" s="4" t="s">
        <v>43</v>
      </c>
      <c r="E557" s="4" t="s">
        <v>25</v>
      </c>
      <c r="F557" s="4" t="s">
        <v>25</v>
      </c>
      <c r="G557" s="4" t="s">
        <v>25</v>
      </c>
      <c r="H557" s="4" t="s">
        <v>25</v>
      </c>
      <c r="I557" s="5">
        <v>44409</v>
      </c>
      <c r="J557" s="6">
        <v>0</v>
      </c>
      <c r="K557" s="6">
        <v>0</v>
      </c>
      <c r="L557" s="6">
        <v>67.95</v>
      </c>
      <c r="M557" s="6">
        <v>67.95</v>
      </c>
      <c r="N557" s="6">
        <v>67.95</v>
      </c>
      <c r="O557" s="6">
        <v>67.95</v>
      </c>
      <c r="P557" s="6">
        <v>75</v>
      </c>
      <c r="Q557" s="4" t="s">
        <v>26</v>
      </c>
      <c r="R557" s="4">
        <v>0</v>
      </c>
      <c r="S557" s="6">
        <v>0</v>
      </c>
      <c r="T557" s="6">
        <v>77</v>
      </c>
      <c r="U557" s="6">
        <v>52</v>
      </c>
      <c r="V557" s="6">
        <f>IF(ISERROR(VLOOKUP($S$557,'TAR FIN'!$A$1:$O$92,15,0)),0,VLOOKUP($S$557,'TAR FIN'!$A$1:$O$92,15,0))</f>
        <v>0</v>
      </c>
      <c r="W557" s="6">
        <f>IF(ISERROR(VLOOKUP($T$557,'TAR FIN'!$A$1:$O$92,15,0)),0,VLOOKUP($T$557,'TAR FIN'!$A$1:$O$92,15,0))</f>
        <v>343.17</v>
      </c>
      <c r="X557" s="6">
        <f>IF(ISERROR(VLOOKUP($U$557,'TAR FIN'!$A$1:$O$92,15,0)),0,VLOOKUP($U$557,'TAR FIN'!$A$1:$O$92,15,0))</f>
        <v>303.54000000000002</v>
      </c>
      <c r="Y557" s="6"/>
      <c r="Z557" s="6">
        <f ca="1">('TUSD BE'!$AM$52+'TUSD BF'!$AM$52+'TUSD CVA'!$AM$52)*1</f>
        <v>471.78110106754735</v>
      </c>
      <c r="AA557" s="6">
        <f>('TE BE'!$AB$40+'TE BF'!$AB$40+'TE CVA'!$AB$40)*1</f>
        <v>287.16392669686104</v>
      </c>
      <c r="AB557" s="6">
        <f>$K$557*$V$557</f>
        <v>0</v>
      </c>
      <c r="AC557" s="6">
        <f>$M$557*$W$557</f>
        <v>23318.401500000004</v>
      </c>
      <c r="AD557" s="6">
        <f>$O$557*$X$557</f>
        <v>20625.543000000001</v>
      </c>
      <c r="AE557" s="6">
        <f>$K$557*$Y$557</f>
        <v>0</v>
      </c>
      <c r="AF557" s="6">
        <f ca="1">$M$557*$Z$557</f>
        <v>32057.525817539845</v>
      </c>
      <c r="AG557" s="6">
        <f>$O$557*$AA$557</f>
        <v>19512.788819051708</v>
      </c>
    </row>
    <row r="558" spans="1:33" ht="11.25" hidden="1" customHeight="1" x14ac:dyDescent="0.3">
      <c r="A558" s="4" t="s">
        <v>27</v>
      </c>
      <c r="B558" s="4" t="s">
        <v>32</v>
      </c>
      <c r="C558" s="4" t="s">
        <v>23</v>
      </c>
      <c r="D558" s="4" t="s">
        <v>43</v>
      </c>
      <c r="E558" s="4" t="s">
        <v>25</v>
      </c>
      <c r="F558" s="4" t="s">
        <v>25</v>
      </c>
      <c r="G558" s="4" t="s">
        <v>25</v>
      </c>
      <c r="H558" s="4" t="s">
        <v>25</v>
      </c>
      <c r="I558" s="5">
        <v>44409</v>
      </c>
      <c r="J558" s="6">
        <v>0</v>
      </c>
      <c r="K558" s="6">
        <v>0</v>
      </c>
      <c r="L558" s="6">
        <v>0.52400000000000002</v>
      </c>
      <c r="M558" s="6">
        <v>0.52400000000000002</v>
      </c>
      <c r="N558" s="6">
        <v>0.52400000000000002</v>
      </c>
      <c r="O558" s="6">
        <v>0.52400000000000002</v>
      </c>
      <c r="P558" s="6">
        <v>2</v>
      </c>
      <c r="Q558" s="4" t="s">
        <v>26</v>
      </c>
      <c r="R558" s="4">
        <v>0</v>
      </c>
      <c r="S558" s="6">
        <v>0</v>
      </c>
      <c r="T558" s="6">
        <v>77</v>
      </c>
      <c r="U558" s="6">
        <v>52</v>
      </c>
      <c r="V558" s="6">
        <f>IF(ISERROR(VLOOKUP($S$558,'TAR FIN'!$A$1:$O$92,15,0)),0,VLOOKUP($S$558,'TAR FIN'!$A$1:$O$92,15,0))</f>
        <v>0</v>
      </c>
      <c r="W558" s="6">
        <f>IF(ISERROR(VLOOKUP($T$558,'TAR FIN'!$A$1:$O$92,15,0)),0,VLOOKUP($T$558,'TAR FIN'!$A$1:$O$92,15,0))</f>
        <v>343.17</v>
      </c>
      <c r="X558" s="6">
        <f>IF(ISERROR(VLOOKUP($U$558,'TAR FIN'!$A$1:$O$92,15,0)),0,VLOOKUP($U$558,'TAR FIN'!$A$1:$O$92,15,0))</f>
        <v>303.54000000000002</v>
      </c>
      <c r="Y558" s="6"/>
      <c r="Z558" s="6">
        <f ca="1">('TUSD BE'!$AM$52+'TUSD BF'!$AM$52+'TUSD CVA'!$AM$52)*1</f>
        <v>471.78110106754735</v>
      </c>
      <c r="AA558" s="6">
        <f>('TE BE'!$AB$40+'TE BF'!$AB$40+'TE CVA'!$AB$40)*1</f>
        <v>287.16392669686104</v>
      </c>
      <c r="AB558" s="6">
        <f>$K$558*$V$558</f>
        <v>0</v>
      </c>
      <c r="AC558" s="6">
        <f>$M$558*$W$558</f>
        <v>179.82108000000002</v>
      </c>
      <c r="AD558" s="6">
        <f>$O$558*$X$558</f>
        <v>159.05496000000002</v>
      </c>
      <c r="AE558" s="6">
        <f>$K$558*$Y$558</f>
        <v>0</v>
      </c>
      <c r="AF558" s="6">
        <f ca="1">$M$558*$Z$558</f>
        <v>247.21329695939482</v>
      </c>
      <c r="AG558" s="6">
        <f>$O$558*$AA$558</f>
        <v>150.4738975891552</v>
      </c>
    </row>
    <row r="559" spans="1:33" ht="11.25" hidden="1" customHeight="1" x14ac:dyDescent="0.3">
      <c r="A559" s="4" t="s">
        <v>21</v>
      </c>
      <c r="B559" s="4" t="s">
        <v>32</v>
      </c>
      <c r="C559" s="4" t="s">
        <v>23</v>
      </c>
      <c r="D559" s="4" t="s">
        <v>43</v>
      </c>
      <c r="E559" s="4" t="s">
        <v>25</v>
      </c>
      <c r="F559" s="4" t="s">
        <v>25</v>
      </c>
      <c r="G559" s="4" t="s">
        <v>25</v>
      </c>
      <c r="H559" s="4" t="s">
        <v>25</v>
      </c>
      <c r="I559" s="5">
        <v>44440</v>
      </c>
      <c r="J559" s="6">
        <v>0</v>
      </c>
      <c r="K559" s="6">
        <v>0</v>
      </c>
      <c r="L559" s="6">
        <v>71.960999999999999</v>
      </c>
      <c r="M559" s="6">
        <v>71.960999999999999</v>
      </c>
      <c r="N559" s="6">
        <v>71.960999999999999</v>
      </c>
      <c r="O559" s="6">
        <v>71.960999999999999</v>
      </c>
      <c r="P559" s="6">
        <v>75</v>
      </c>
      <c r="Q559" s="4" t="s">
        <v>26</v>
      </c>
      <c r="R559" s="4">
        <v>0</v>
      </c>
      <c r="S559" s="6">
        <v>0</v>
      </c>
      <c r="T559" s="6">
        <v>77</v>
      </c>
      <c r="U559" s="6">
        <v>52</v>
      </c>
      <c r="V559" s="6">
        <f>IF(ISERROR(VLOOKUP($S$559,'TAR FIN'!$A$1:$O$92,15,0)),0,VLOOKUP($S$559,'TAR FIN'!$A$1:$O$92,15,0))</f>
        <v>0</v>
      </c>
      <c r="W559" s="6">
        <f>IF(ISERROR(VLOOKUP($T$559,'TAR FIN'!$A$1:$O$92,15,0)),0,VLOOKUP($T$559,'TAR FIN'!$A$1:$O$92,15,0))</f>
        <v>343.17</v>
      </c>
      <c r="X559" s="6">
        <f>IF(ISERROR(VLOOKUP($U$559,'TAR FIN'!$A$1:$O$92,15,0)),0,VLOOKUP($U$559,'TAR FIN'!$A$1:$O$92,15,0))</f>
        <v>303.54000000000002</v>
      </c>
      <c r="Y559" s="6"/>
      <c r="Z559" s="6">
        <f ca="1">('TUSD BE'!$AM$52+'TUSD BF'!$AM$52+'TUSD CVA'!$AM$52)*1</f>
        <v>471.78110106754735</v>
      </c>
      <c r="AA559" s="6">
        <f>('TE BE'!$AB$40+'TE BF'!$AB$40+'TE CVA'!$AB$40)*1</f>
        <v>287.16392669686104</v>
      </c>
      <c r="AB559" s="6">
        <f>$K$559*$V$559</f>
        <v>0</v>
      </c>
      <c r="AC559" s="6">
        <f>$M$559*$W$559</f>
        <v>24694.856370000001</v>
      </c>
      <c r="AD559" s="6">
        <f>$O$559*$X$559</f>
        <v>21843.041940000003</v>
      </c>
      <c r="AE559" s="6">
        <f>$K$559*$Y$559</f>
        <v>0</v>
      </c>
      <c r="AF559" s="6">
        <f ca="1">$M$559*$Z$559</f>
        <v>33949.839813921775</v>
      </c>
      <c r="AG559" s="6">
        <f>$O$559*$AA$559</f>
        <v>20664.603329032816</v>
      </c>
    </row>
    <row r="560" spans="1:33" ht="11.25" hidden="1" customHeight="1" x14ac:dyDescent="0.3">
      <c r="A560" s="4" t="s">
        <v>27</v>
      </c>
      <c r="B560" s="4" t="s">
        <v>32</v>
      </c>
      <c r="C560" s="4" t="s">
        <v>23</v>
      </c>
      <c r="D560" s="4" t="s">
        <v>43</v>
      </c>
      <c r="E560" s="4" t="s">
        <v>25</v>
      </c>
      <c r="F560" s="4" t="s">
        <v>25</v>
      </c>
      <c r="G560" s="4" t="s">
        <v>25</v>
      </c>
      <c r="H560" s="4" t="s">
        <v>25</v>
      </c>
      <c r="I560" s="5">
        <v>44440</v>
      </c>
      <c r="J560" s="6">
        <v>0</v>
      </c>
      <c r="K560" s="6">
        <v>0</v>
      </c>
      <c r="L560" s="6">
        <v>0.65500000000000003</v>
      </c>
      <c r="M560" s="6">
        <v>0.65500000000000003</v>
      </c>
      <c r="N560" s="6">
        <v>0.65500000000000003</v>
      </c>
      <c r="O560" s="6">
        <v>0.65500000000000003</v>
      </c>
      <c r="P560" s="6">
        <v>2</v>
      </c>
      <c r="Q560" s="4" t="s">
        <v>26</v>
      </c>
      <c r="R560" s="4">
        <v>0</v>
      </c>
      <c r="S560" s="6">
        <v>0</v>
      </c>
      <c r="T560" s="6">
        <v>77</v>
      </c>
      <c r="U560" s="6">
        <v>52</v>
      </c>
      <c r="V560" s="6">
        <f>IF(ISERROR(VLOOKUP($S$560,'TAR FIN'!$A$1:$O$92,15,0)),0,VLOOKUP($S$560,'TAR FIN'!$A$1:$O$92,15,0))</f>
        <v>0</v>
      </c>
      <c r="W560" s="6">
        <f>IF(ISERROR(VLOOKUP($T$560,'TAR FIN'!$A$1:$O$92,15,0)),0,VLOOKUP($T$560,'TAR FIN'!$A$1:$O$92,15,0))</f>
        <v>343.17</v>
      </c>
      <c r="X560" s="6">
        <f>IF(ISERROR(VLOOKUP($U$560,'TAR FIN'!$A$1:$O$92,15,0)),0,VLOOKUP($U$560,'TAR FIN'!$A$1:$O$92,15,0))</f>
        <v>303.54000000000002</v>
      </c>
      <c r="Y560" s="6"/>
      <c r="Z560" s="6">
        <f ca="1">('TUSD BE'!$AM$52+'TUSD BF'!$AM$52+'TUSD CVA'!$AM$52)*1</f>
        <v>471.78110106754735</v>
      </c>
      <c r="AA560" s="6">
        <f>('TE BE'!$AB$40+'TE BF'!$AB$40+'TE CVA'!$AB$40)*1</f>
        <v>287.16392669686104</v>
      </c>
      <c r="AB560" s="6">
        <f>$K$560*$V$560</f>
        <v>0</v>
      </c>
      <c r="AC560" s="6">
        <f>$M$560*$W$560</f>
        <v>224.77635000000001</v>
      </c>
      <c r="AD560" s="6">
        <f>$O$560*$X$560</f>
        <v>198.81870000000004</v>
      </c>
      <c r="AE560" s="6">
        <f>$K$560*$Y$560</f>
        <v>0</v>
      </c>
      <c r="AF560" s="6">
        <f ca="1">$M$560*$Z$560</f>
        <v>309.0166211992435</v>
      </c>
      <c r="AG560" s="6">
        <f>$O$560*$AA$560</f>
        <v>188.09237198644399</v>
      </c>
    </row>
    <row r="561" spans="1:33" ht="11.25" hidden="1" customHeight="1" x14ac:dyDescent="0.3">
      <c r="A561" s="4" t="s">
        <v>21</v>
      </c>
      <c r="B561" s="4" t="s">
        <v>32</v>
      </c>
      <c r="C561" s="4" t="s">
        <v>23</v>
      </c>
      <c r="D561" s="4" t="s">
        <v>43</v>
      </c>
      <c r="E561" s="4" t="s">
        <v>25</v>
      </c>
      <c r="F561" s="4" t="s">
        <v>25</v>
      </c>
      <c r="G561" s="4" t="s">
        <v>25</v>
      </c>
      <c r="H561" s="4" t="s">
        <v>25</v>
      </c>
      <c r="I561" s="5">
        <v>44470</v>
      </c>
      <c r="J561" s="6">
        <v>0</v>
      </c>
      <c r="K561" s="6">
        <v>0</v>
      </c>
      <c r="L561" s="6">
        <v>69.941000000000003</v>
      </c>
      <c r="M561" s="6">
        <v>69.941000000000003</v>
      </c>
      <c r="N561" s="6">
        <v>69.941000000000003</v>
      </c>
      <c r="O561" s="6">
        <v>69.941000000000003</v>
      </c>
      <c r="P561" s="6">
        <v>75</v>
      </c>
      <c r="Q561" s="4" t="s">
        <v>26</v>
      </c>
      <c r="R561" s="4">
        <v>0</v>
      </c>
      <c r="S561" s="6">
        <v>0</v>
      </c>
      <c r="T561" s="6">
        <v>77</v>
      </c>
      <c r="U561" s="6">
        <v>52</v>
      </c>
      <c r="V561" s="6">
        <f>IF(ISERROR(VLOOKUP($S$561,'TAR FIN'!$A$1:$O$92,15,0)),0,VLOOKUP($S$561,'TAR FIN'!$A$1:$O$92,15,0))</f>
        <v>0</v>
      </c>
      <c r="W561" s="6">
        <f>IF(ISERROR(VLOOKUP($T$561,'TAR FIN'!$A$1:$O$92,15,0)),0,VLOOKUP($T$561,'TAR FIN'!$A$1:$O$92,15,0))</f>
        <v>343.17</v>
      </c>
      <c r="X561" s="6">
        <f>IF(ISERROR(VLOOKUP($U$561,'TAR FIN'!$A$1:$O$92,15,0)),0,VLOOKUP($U$561,'TAR FIN'!$A$1:$O$92,15,0))</f>
        <v>303.54000000000002</v>
      </c>
      <c r="Y561" s="6"/>
      <c r="Z561" s="6">
        <f ca="1">('TUSD BE'!$AM$52+'TUSD BF'!$AM$52+'TUSD CVA'!$AM$52)*1</f>
        <v>471.78110106754735</v>
      </c>
      <c r="AA561" s="6">
        <f>('TE BE'!$AB$40+'TE BF'!$AB$40+'TE CVA'!$AB$40)*1</f>
        <v>287.16392669686104</v>
      </c>
      <c r="AB561" s="6">
        <f>$K$561*$V$561</f>
        <v>0</v>
      </c>
      <c r="AC561" s="6">
        <f>$M$561*$W$561</f>
        <v>24001.652970000003</v>
      </c>
      <c r="AD561" s="6">
        <f>$O$561*$X$561</f>
        <v>21229.891140000003</v>
      </c>
      <c r="AE561" s="6">
        <f>$K$561*$Y$561</f>
        <v>0</v>
      </c>
      <c r="AF561" s="6">
        <f ca="1">$M$561*$Z$561</f>
        <v>32996.841989765329</v>
      </c>
      <c r="AG561" s="6">
        <f>$O$561*$AA$561</f>
        <v>20084.53219710516</v>
      </c>
    </row>
    <row r="562" spans="1:33" ht="11.25" hidden="1" customHeight="1" x14ac:dyDescent="0.3">
      <c r="A562" s="4" t="s">
        <v>27</v>
      </c>
      <c r="B562" s="4" t="s">
        <v>32</v>
      </c>
      <c r="C562" s="4" t="s">
        <v>23</v>
      </c>
      <c r="D562" s="4" t="s">
        <v>43</v>
      </c>
      <c r="E562" s="4" t="s">
        <v>25</v>
      </c>
      <c r="F562" s="4" t="s">
        <v>25</v>
      </c>
      <c r="G562" s="4" t="s">
        <v>25</v>
      </c>
      <c r="H562" s="4" t="s">
        <v>25</v>
      </c>
      <c r="I562" s="5">
        <v>44470</v>
      </c>
      <c r="J562" s="6">
        <v>0</v>
      </c>
      <c r="K562" s="6">
        <v>0</v>
      </c>
      <c r="L562" s="6">
        <v>0.67200000000000004</v>
      </c>
      <c r="M562" s="6">
        <v>0.67200000000000004</v>
      </c>
      <c r="N562" s="6">
        <v>0.67200000000000004</v>
      </c>
      <c r="O562" s="6">
        <v>0.67200000000000004</v>
      </c>
      <c r="P562" s="6">
        <v>2</v>
      </c>
      <c r="Q562" s="4" t="s">
        <v>26</v>
      </c>
      <c r="R562" s="4">
        <v>0</v>
      </c>
      <c r="S562" s="6">
        <v>0</v>
      </c>
      <c r="T562" s="6">
        <v>77</v>
      </c>
      <c r="U562" s="6">
        <v>52</v>
      </c>
      <c r="V562" s="6">
        <f>IF(ISERROR(VLOOKUP($S$562,'TAR FIN'!$A$1:$O$92,15,0)),0,VLOOKUP($S$562,'TAR FIN'!$A$1:$O$92,15,0))</f>
        <v>0</v>
      </c>
      <c r="W562" s="6">
        <f>IF(ISERROR(VLOOKUP($T$562,'TAR FIN'!$A$1:$O$92,15,0)),0,VLOOKUP($T$562,'TAR FIN'!$A$1:$O$92,15,0))</f>
        <v>343.17</v>
      </c>
      <c r="X562" s="6">
        <f>IF(ISERROR(VLOOKUP($U$562,'TAR FIN'!$A$1:$O$92,15,0)),0,VLOOKUP($U$562,'TAR FIN'!$A$1:$O$92,15,0))</f>
        <v>303.54000000000002</v>
      </c>
      <c r="Y562" s="6"/>
      <c r="Z562" s="6">
        <f ca="1">('TUSD BE'!$AM$52+'TUSD BF'!$AM$52+'TUSD CVA'!$AM$52)*1</f>
        <v>471.78110106754735</v>
      </c>
      <c r="AA562" s="6">
        <f>('TE BE'!$AB$40+'TE BF'!$AB$40+'TE CVA'!$AB$40)*1</f>
        <v>287.16392669686104</v>
      </c>
      <c r="AB562" s="6">
        <f>$K$562*$V$562</f>
        <v>0</v>
      </c>
      <c r="AC562" s="6">
        <f>$M$562*$W$562</f>
        <v>230.61024000000003</v>
      </c>
      <c r="AD562" s="6">
        <f>$O$562*$X$562</f>
        <v>203.97888000000003</v>
      </c>
      <c r="AE562" s="6">
        <f>$K$562*$Y$562</f>
        <v>0</v>
      </c>
      <c r="AF562" s="6">
        <f ca="1">$M$562*$Z$562</f>
        <v>317.03689991739185</v>
      </c>
      <c r="AG562" s="6">
        <f>$O$562*$AA$562</f>
        <v>192.97415874029062</v>
      </c>
    </row>
    <row r="563" spans="1:33" ht="11.25" hidden="1" customHeight="1" x14ac:dyDescent="0.3">
      <c r="A563" s="4" t="s">
        <v>21</v>
      </c>
      <c r="B563" s="4" t="s">
        <v>32</v>
      </c>
      <c r="C563" s="4" t="s">
        <v>23</v>
      </c>
      <c r="D563" s="4" t="s">
        <v>43</v>
      </c>
      <c r="E563" s="4" t="s">
        <v>25</v>
      </c>
      <c r="F563" s="4" t="s">
        <v>25</v>
      </c>
      <c r="G563" s="4" t="s">
        <v>25</v>
      </c>
      <c r="H563" s="4" t="s">
        <v>25</v>
      </c>
      <c r="I563" s="5">
        <v>44501</v>
      </c>
      <c r="J563" s="6">
        <v>0</v>
      </c>
      <c r="K563" s="6">
        <v>0</v>
      </c>
      <c r="L563" s="6">
        <v>69.537999999999997</v>
      </c>
      <c r="M563" s="6">
        <v>69.537999999999997</v>
      </c>
      <c r="N563" s="6">
        <v>69.537999999999997</v>
      </c>
      <c r="O563" s="6">
        <v>69.537999999999997</v>
      </c>
      <c r="P563" s="6">
        <v>75</v>
      </c>
      <c r="Q563" s="4" t="s">
        <v>26</v>
      </c>
      <c r="R563" s="4">
        <v>0</v>
      </c>
      <c r="S563" s="6">
        <v>0</v>
      </c>
      <c r="T563" s="6">
        <v>77</v>
      </c>
      <c r="U563" s="6">
        <v>52</v>
      </c>
      <c r="V563" s="6">
        <f>IF(ISERROR(VLOOKUP($S$563,'TAR FIN'!$A$1:$O$92,15,0)),0,VLOOKUP($S$563,'TAR FIN'!$A$1:$O$92,15,0))</f>
        <v>0</v>
      </c>
      <c r="W563" s="6">
        <f>IF(ISERROR(VLOOKUP($T$563,'TAR FIN'!$A$1:$O$92,15,0)),0,VLOOKUP($T$563,'TAR FIN'!$A$1:$O$92,15,0))</f>
        <v>343.17</v>
      </c>
      <c r="X563" s="6">
        <f>IF(ISERROR(VLOOKUP($U$563,'TAR FIN'!$A$1:$O$92,15,0)),0,VLOOKUP($U$563,'TAR FIN'!$A$1:$O$92,15,0))</f>
        <v>303.54000000000002</v>
      </c>
      <c r="Y563" s="6"/>
      <c r="Z563" s="6">
        <f ca="1">('TUSD BE'!$AM$52+'TUSD BF'!$AM$52+'TUSD CVA'!$AM$52)*1</f>
        <v>471.78110106754735</v>
      </c>
      <c r="AA563" s="6">
        <f>('TE BE'!$AB$40+'TE BF'!$AB$40+'TE CVA'!$AB$40)*1</f>
        <v>287.16392669686104</v>
      </c>
      <c r="AB563" s="6">
        <f>$K$563*$V$563</f>
        <v>0</v>
      </c>
      <c r="AC563" s="6">
        <f>$M$563*$W$563</f>
        <v>23863.355459999999</v>
      </c>
      <c r="AD563" s="6">
        <f>$O$563*$X$563</f>
        <v>21107.56452</v>
      </c>
      <c r="AE563" s="6">
        <f>$K$563*$Y$563</f>
        <v>0</v>
      </c>
      <c r="AF563" s="6">
        <f ca="1">$M$563*$Z$563</f>
        <v>32806.714206035103</v>
      </c>
      <c r="AG563" s="6">
        <f>$O$563*$AA$563</f>
        <v>19968.805134646322</v>
      </c>
    </row>
    <row r="564" spans="1:33" ht="11.25" hidden="1" customHeight="1" x14ac:dyDescent="0.3">
      <c r="A564" s="4" t="s">
        <v>27</v>
      </c>
      <c r="B564" s="4" t="s">
        <v>32</v>
      </c>
      <c r="C564" s="4" t="s">
        <v>23</v>
      </c>
      <c r="D564" s="4" t="s">
        <v>43</v>
      </c>
      <c r="E564" s="4" t="s">
        <v>25</v>
      </c>
      <c r="F564" s="4" t="s">
        <v>25</v>
      </c>
      <c r="G564" s="4" t="s">
        <v>25</v>
      </c>
      <c r="H564" s="4" t="s">
        <v>25</v>
      </c>
      <c r="I564" s="5">
        <v>44501</v>
      </c>
      <c r="J564" s="6">
        <v>0</v>
      </c>
      <c r="K564" s="6">
        <v>0</v>
      </c>
      <c r="L564" s="6">
        <v>0.82699999999999996</v>
      </c>
      <c r="M564" s="6">
        <v>0.82699999999999996</v>
      </c>
      <c r="N564" s="6">
        <v>0.82699999999999996</v>
      </c>
      <c r="O564" s="6">
        <v>0.82699999999999996</v>
      </c>
      <c r="P564" s="6">
        <v>2</v>
      </c>
      <c r="Q564" s="4" t="s">
        <v>26</v>
      </c>
      <c r="R564" s="4">
        <v>0</v>
      </c>
      <c r="S564" s="6">
        <v>0</v>
      </c>
      <c r="T564" s="6">
        <v>77</v>
      </c>
      <c r="U564" s="6">
        <v>52</v>
      </c>
      <c r="V564" s="6">
        <f>IF(ISERROR(VLOOKUP($S$564,'TAR FIN'!$A$1:$O$92,15,0)),0,VLOOKUP($S$564,'TAR FIN'!$A$1:$O$92,15,0))</f>
        <v>0</v>
      </c>
      <c r="W564" s="6">
        <f>IF(ISERROR(VLOOKUP($T$564,'TAR FIN'!$A$1:$O$92,15,0)),0,VLOOKUP($T$564,'TAR FIN'!$A$1:$O$92,15,0))</f>
        <v>343.17</v>
      </c>
      <c r="X564" s="6">
        <f>IF(ISERROR(VLOOKUP($U$564,'TAR FIN'!$A$1:$O$92,15,0)),0,VLOOKUP($U$564,'TAR FIN'!$A$1:$O$92,15,0))</f>
        <v>303.54000000000002</v>
      </c>
      <c r="Y564" s="6"/>
      <c r="Z564" s="6">
        <f ca="1">('TUSD BE'!$AM$52+'TUSD BF'!$AM$52+'TUSD CVA'!$AM$52)*1</f>
        <v>471.78110106754735</v>
      </c>
      <c r="AA564" s="6">
        <f>('TE BE'!$AB$40+'TE BF'!$AB$40+'TE CVA'!$AB$40)*1</f>
        <v>287.16392669686104</v>
      </c>
      <c r="AB564" s="6">
        <f>$K$564*$V$564</f>
        <v>0</v>
      </c>
      <c r="AC564" s="6">
        <f>$M$564*$W$564</f>
        <v>283.80158999999998</v>
      </c>
      <c r="AD564" s="6">
        <f>$O$564*$X$564</f>
        <v>251.02758</v>
      </c>
      <c r="AE564" s="6">
        <f>$K$564*$Y$564</f>
        <v>0</v>
      </c>
      <c r="AF564" s="6">
        <f ca="1">$M$564*$Z$564</f>
        <v>390.16297058286165</v>
      </c>
      <c r="AG564" s="6">
        <f>$O$564*$AA$564</f>
        <v>237.48456737830406</v>
      </c>
    </row>
    <row r="565" spans="1:33" ht="11.25" hidden="1" customHeight="1" x14ac:dyDescent="0.3">
      <c r="A565" s="4" t="s">
        <v>21</v>
      </c>
      <c r="B565" s="4" t="s">
        <v>32</v>
      </c>
      <c r="C565" s="4" t="s">
        <v>23</v>
      </c>
      <c r="D565" s="4" t="s">
        <v>43</v>
      </c>
      <c r="E565" s="4" t="s">
        <v>25</v>
      </c>
      <c r="F565" s="4" t="s">
        <v>25</v>
      </c>
      <c r="G565" s="4" t="s">
        <v>25</v>
      </c>
      <c r="H565" s="4" t="s">
        <v>25</v>
      </c>
      <c r="I565" s="5">
        <v>44531</v>
      </c>
      <c r="J565" s="6">
        <v>0</v>
      </c>
      <c r="K565" s="6">
        <v>0</v>
      </c>
      <c r="L565" s="6">
        <v>87.212999999999994</v>
      </c>
      <c r="M565" s="6">
        <v>87.212999999999994</v>
      </c>
      <c r="N565" s="6">
        <v>87.212999999999994</v>
      </c>
      <c r="O565" s="6">
        <v>87.212999999999994</v>
      </c>
      <c r="P565" s="6">
        <v>73</v>
      </c>
      <c r="Q565" s="4" t="s">
        <v>26</v>
      </c>
      <c r="R565" s="4">
        <v>0</v>
      </c>
      <c r="S565" s="6">
        <v>0</v>
      </c>
      <c r="T565" s="6">
        <v>77</v>
      </c>
      <c r="U565" s="6">
        <v>52</v>
      </c>
      <c r="V565" s="6">
        <f>IF(ISERROR(VLOOKUP($S$565,'TAR FIN'!$A$1:$O$92,15,0)),0,VLOOKUP($S$565,'TAR FIN'!$A$1:$O$92,15,0))</f>
        <v>0</v>
      </c>
      <c r="W565" s="6">
        <f>IF(ISERROR(VLOOKUP($T$565,'TAR FIN'!$A$1:$O$92,15,0)),0,VLOOKUP($T$565,'TAR FIN'!$A$1:$O$92,15,0))</f>
        <v>343.17</v>
      </c>
      <c r="X565" s="6">
        <f>IF(ISERROR(VLOOKUP($U$565,'TAR FIN'!$A$1:$O$92,15,0)),0,VLOOKUP($U$565,'TAR FIN'!$A$1:$O$92,15,0))</f>
        <v>303.54000000000002</v>
      </c>
      <c r="Y565" s="6"/>
      <c r="Z565" s="6">
        <f ca="1">('TUSD BE'!$AM$52+'TUSD BF'!$AM$52+'TUSD CVA'!$AM$52)*1</f>
        <v>471.78110106754735</v>
      </c>
      <c r="AA565" s="6">
        <f>('TE BE'!$AB$40+'TE BF'!$AB$40+'TE CVA'!$AB$40)*1</f>
        <v>287.16392669686104</v>
      </c>
      <c r="AB565" s="6">
        <f>$K$565*$V$565</f>
        <v>0</v>
      </c>
      <c r="AC565" s="6">
        <f>$M$565*$W$565</f>
        <v>29928.88521</v>
      </c>
      <c r="AD565" s="6">
        <f>$O$565*$X$565</f>
        <v>26472.634020000001</v>
      </c>
      <c r="AE565" s="6">
        <f>$K$565*$Y$565</f>
        <v>0</v>
      </c>
      <c r="AF565" s="6">
        <f ca="1">$M$565*$Z$565</f>
        <v>41145.445167404003</v>
      </c>
      <c r="AG565" s="6">
        <f>$O$565*$AA$565</f>
        <v>25044.427539013341</v>
      </c>
    </row>
    <row r="566" spans="1:33" ht="11.25" hidden="1" customHeight="1" x14ac:dyDescent="0.3">
      <c r="A566" s="4" t="s">
        <v>27</v>
      </c>
      <c r="B566" s="4" t="s">
        <v>32</v>
      </c>
      <c r="C566" s="4" t="s">
        <v>23</v>
      </c>
      <c r="D566" s="4" t="s">
        <v>43</v>
      </c>
      <c r="E566" s="4" t="s">
        <v>25</v>
      </c>
      <c r="F566" s="4" t="s">
        <v>25</v>
      </c>
      <c r="G566" s="4" t="s">
        <v>25</v>
      </c>
      <c r="H566" s="4" t="s">
        <v>25</v>
      </c>
      <c r="I566" s="5">
        <v>44531</v>
      </c>
      <c r="J566" s="6">
        <v>0</v>
      </c>
      <c r="K566" s="6">
        <v>0</v>
      </c>
      <c r="L566" s="6">
        <v>1.367</v>
      </c>
      <c r="M566" s="6">
        <v>1.367</v>
      </c>
      <c r="N566" s="6">
        <v>1.367</v>
      </c>
      <c r="O566" s="6">
        <v>1.367</v>
      </c>
      <c r="P566" s="6">
        <v>2</v>
      </c>
      <c r="Q566" s="4" t="s">
        <v>26</v>
      </c>
      <c r="R566" s="4">
        <v>0</v>
      </c>
      <c r="S566" s="6">
        <v>0</v>
      </c>
      <c r="T566" s="6">
        <v>77</v>
      </c>
      <c r="U566" s="6">
        <v>52</v>
      </c>
      <c r="V566" s="6">
        <f>IF(ISERROR(VLOOKUP($S$566,'TAR FIN'!$A$1:$O$92,15,0)),0,VLOOKUP($S$566,'TAR FIN'!$A$1:$O$92,15,0))</f>
        <v>0</v>
      </c>
      <c r="W566" s="6">
        <f>IF(ISERROR(VLOOKUP($T$566,'TAR FIN'!$A$1:$O$92,15,0)),0,VLOOKUP($T$566,'TAR FIN'!$A$1:$O$92,15,0))</f>
        <v>343.17</v>
      </c>
      <c r="X566" s="6">
        <f>IF(ISERROR(VLOOKUP($U$566,'TAR FIN'!$A$1:$O$92,15,0)),0,VLOOKUP($U$566,'TAR FIN'!$A$1:$O$92,15,0))</f>
        <v>303.54000000000002</v>
      </c>
      <c r="Y566" s="6"/>
      <c r="Z566" s="6">
        <f ca="1">('TUSD BE'!$AM$52+'TUSD BF'!$AM$52+'TUSD CVA'!$AM$52)*1</f>
        <v>471.78110106754735</v>
      </c>
      <c r="AA566" s="6">
        <f>('TE BE'!$AB$40+'TE BF'!$AB$40+'TE CVA'!$AB$40)*1</f>
        <v>287.16392669686104</v>
      </c>
      <c r="AB566" s="6">
        <f>$K$566*$V$566</f>
        <v>0</v>
      </c>
      <c r="AC566" s="6">
        <f>$M$566*$W$566</f>
        <v>469.11339000000004</v>
      </c>
      <c r="AD566" s="6">
        <f>$O$566*$X$566</f>
        <v>414.93918000000002</v>
      </c>
      <c r="AE566" s="6">
        <f>$K$566*$Y$566</f>
        <v>0</v>
      </c>
      <c r="AF566" s="6">
        <f ca="1">$M$566*$Z$566</f>
        <v>644.9247651593372</v>
      </c>
      <c r="AG566" s="6">
        <f>$O$566*$AA$566</f>
        <v>392.55308779460904</v>
      </c>
    </row>
    <row r="567" spans="1:33" ht="11.25" hidden="1" customHeight="1" x14ac:dyDescent="0.3">
      <c r="A567" s="4" t="s">
        <v>21</v>
      </c>
      <c r="B567" s="4" t="s">
        <v>32</v>
      </c>
      <c r="C567" s="4" t="s">
        <v>23</v>
      </c>
      <c r="D567" s="4" t="s">
        <v>43</v>
      </c>
      <c r="E567" s="4" t="s">
        <v>25</v>
      </c>
      <c r="F567" s="4" t="s">
        <v>25</v>
      </c>
      <c r="G567" s="4" t="s">
        <v>25</v>
      </c>
      <c r="H567" s="4" t="s">
        <v>25</v>
      </c>
      <c r="I567" s="5">
        <v>44562</v>
      </c>
      <c r="J567" s="6">
        <v>0</v>
      </c>
      <c r="K567" s="6">
        <v>0</v>
      </c>
      <c r="L567" s="6">
        <v>77.984999999999999</v>
      </c>
      <c r="M567" s="6">
        <v>77.984999999999999</v>
      </c>
      <c r="N567" s="6">
        <v>77.984999999999999</v>
      </c>
      <c r="O567" s="6">
        <v>77.984999999999999</v>
      </c>
      <c r="P567" s="6">
        <v>73</v>
      </c>
      <c r="Q567" s="4" t="s">
        <v>26</v>
      </c>
      <c r="R567" s="4">
        <v>0</v>
      </c>
      <c r="S567" s="6">
        <v>0</v>
      </c>
      <c r="T567" s="6">
        <v>77</v>
      </c>
      <c r="U567" s="6">
        <v>52</v>
      </c>
      <c r="V567" s="6">
        <f>IF(ISERROR(VLOOKUP($S$567,'TAR FIN'!$A$1:$O$92,15,0)),0,VLOOKUP($S$567,'TAR FIN'!$A$1:$O$92,15,0))</f>
        <v>0</v>
      </c>
      <c r="W567" s="6">
        <f>IF(ISERROR(VLOOKUP($T$567,'TAR FIN'!$A$1:$O$92,15,0)),0,VLOOKUP($T$567,'TAR FIN'!$A$1:$O$92,15,0))</f>
        <v>343.17</v>
      </c>
      <c r="X567" s="6">
        <f>IF(ISERROR(VLOOKUP($U$567,'TAR FIN'!$A$1:$O$92,15,0)),0,VLOOKUP($U$567,'TAR FIN'!$A$1:$O$92,15,0))</f>
        <v>303.54000000000002</v>
      </c>
      <c r="Y567" s="6"/>
      <c r="Z567" s="6">
        <f ca="1">('TUSD BE'!$AM$52+'TUSD BF'!$AM$52+'TUSD CVA'!$AM$52)*1</f>
        <v>471.78110106754735</v>
      </c>
      <c r="AA567" s="6">
        <f>('TE BE'!$AB$40+'TE BF'!$AB$40+'TE CVA'!$AB$40)*1</f>
        <v>287.16392669686104</v>
      </c>
      <c r="AB567" s="6">
        <f>$K$567*$V$567</f>
        <v>0</v>
      </c>
      <c r="AC567" s="6">
        <f>$M$567*$W$567</f>
        <v>26762.112450000001</v>
      </c>
      <c r="AD567" s="6">
        <f>$O$567*$X$567</f>
        <v>23671.566900000002</v>
      </c>
      <c r="AE567" s="6">
        <f>$K$567*$Y$567</f>
        <v>0</v>
      </c>
      <c r="AF567" s="6">
        <f ca="1">$M$567*$Z$567</f>
        <v>36791.849166752683</v>
      </c>
      <c r="AG567" s="6">
        <f>$O$567*$AA$567</f>
        <v>22394.478823454709</v>
      </c>
    </row>
    <row r="568" spans="1:33" ht="11.25" hidden="1" customHeight="1" x14ac:dyDescent="0.3">
      <c r="A568" s="4" t="s">
        <v>27</v>
      </c>
      <c r="B568" s="4" t="s">
        <v>32</v>
      </c>
      <c r="C568" s="4" t="s">
        <v>23</v>
      </c>
      <c r="D568" s="4" t="s">
        <v>43</v>
      </c>
      <c r="E568" s="4" t="s">
        <v>25</v>
      </c>
      <c r="F568" s="4" t="s">
        <v>25</v>
      </c>
      <c r="G568" s="4" t="s">
        <v>25</v>
      </c>
      <c r="H568" s="4" t="s">
        <v>25</v>
      </c>
      <c r="I568" s="5">
        <v>44562</v>
      </c>
      <c r="J568" s="6">
        <v>0</v>
      </c>
      <c r="K568" s="6">
        <v>0</v>
      </c>
      <c r="L568" s="6">
        <v>0.65600000000000003</v>
      </c>
      <c r="M568" s="6">
        <v>0.65600000000000003</v>
      </c>
      <c r="N568" s="6">
        <v>0.65600000000000003</v>
      </c>
      <c r="O568" s="6">
        <v>0.65600000000000003</v>
      </c>
      <c r="P568" s="6">
        <v>2</v>
      </c>
      <c r="Q568" s="4" t="s">
        <v>26</v>
      </c>
      <c r="R568" s="4">
        <v>0</v>
      </c>
      <c r="S568" s="6">
        <v>0</v>
      </c>
      <c r="T568" s="6">
        <v>77</v>
      </c>
      <c r="U568" s="6">
        <v>52</v>
      </c>
      <c r="V568" s="6">
        <f>IF(ISERROR(VLOOKUP($S$568,'TAR FIN'!$A$1:$O$92,15,0)),0,VLOOKUP($S$568,'TAR FIN'!$A$1:$O$92,15,0))</f>
        <v>0</v>
      </c>
      <c r="W568" s="6">
        <f>IF(ISERROR(VLOOKUP($T$568,'TAR FIN'!$A$1:$O$92,15,0)),0,VLOOKUP($T$568,'TAR FIN'!$A$1:$O$92,15,0))</f>
        <v>343.17</v>
      </c>
      <c r="X568" s="6">
        <f>IF(ISERROR(VLOOKUP($U$568,'TAR FIN'!$A$1:$O$92,15,0)),0,VLOOKUP($U$568,'TAR FIN'!$A$1:$O$92,15,0))</f>
        <v>303.54000000000002</v>
      </c>
      <c r="Y568" s="6"/>
      <c r="Z568" s="6">
        <f ca="1">('TUSD BE'!$AM$52+'TUSD BF'!$AM$52+'TUSD CVA'!$AM$52)*1</f>
        <v>471.78110106754735</v>
      </c>
      <c r="AA568" s="6">
        <f>('TE BE'!$AB$40+'TE BF'!$AB$40+'TE CVA'!$AB$40)*1</f>
        <v>287.16392669686104</v>
      </c>
      <c r="AB568" s="6">
        <f>$K$568*$V$568</f>
        <v>0</v>
      </c>
      <c r="AC568" s="6">
        <f>$M$568*$W$568</f>
        <v>225.11952000000002</v>
      </c>
      <c r="AD568" s="6">
        <f>$O$568*$X$568</f>
        <v>199.12224000000003</v>
      </c>
      <c r="AE568" s="6">
        <f>$K$568*$Y$568</f>
        <v>0</v>
      </c>
      <c r="AF568" s="6">
        <f ca="1">$M$568*$Z$568</f>
        <v>309.48840230031107</v>
      </c>
      <c r="AG568" s="6">
        <f>$O$568*$AA$568</f>
        <v>188.37953591314084</v>
      </c>
    </row>
    <row r="569" spans="1:33" ht="11.25" hidden="1" customHeight="1" x14ac:dyDescent="0.3">
      <c r="A569" s="4" t="s">
        <v>21</v>
      </c>
      <c r="B569" s="4" t="s">
        <v>32</v>
      </c>
      <c r="C569" s="4" t="s">
        <v>23</v>
      </c>
      <c r="D569" s="4" t="s">
        <v>43</v>
      </c>
      <c r="E569" s="4" t="s">
        <v>25</v>
      </c>
      <c r="F569" s="4" t="s">
        <v>25</v>
      </c>
      <c r="G569" s="4" t="s">
        <v>25</v>
      </c>
      <c r="H569" s="4" t="s">
        <v>25</v>
      </c>
      <c r="I569" s="5">
        <v>44593</v>
      </c>
      <c r="J569" s="6">
        <v>0</v>
      </c>
      <c r="K569" s="6">
        <v>0</v>
      </c>
      <c r="L569" s="6">
        <v>88.49</v>
      </c>
      <c r="M569" s="6">
        <v>88.49</v>
      </c>
      <c r="N569" s="6">
        <v>88.49</v>
      </c>
      <c r="O569" s="6">
        <v>88.49</v>
      </c>
      <c r="P569" s="6">
        <v>73</v>
      </c>
      <c r="Q569" s="4" t="s">
        <v>26</v>
      </c>
      <c r="R569" s="4">
        <v>0</v>
      </c>
      <c r="S569" s="6">
        <v>0</v>
      </c>
      <c r="T569" s="6">
        <v>77</v>
      </c>
      <c r="U569" s="6">
        <v>52</v>
      </c>
      <c r="V569" s="6">
        <f>IF(ISERROR(VLOOKUP($S$569,'TAR FIN'!$A$1:$O$92,15,0)),0,VLOOKUP($S$569,'TAR FIN'!$A$1:$O$92,15,0))</f>
        <v>0</v>
      </c>
      <c r="W569" s="6">
        <f>IF(ISERROR(VLOOKUP($T$569,'TAR FIN'!$A$1:$O$92,15,0)),0,VLOOKUP($T$569,'TAR FIN'!$A$1:$O$92,15,0))</f>
        <v>343.17</v>
      </c>
      <c r="X569" s="6">
        <f>IF(ISERROR(VLOOKUP($U$569,'TAR FIN'!$A$1:$O$92,15,0)),0,VLOOKUP($U$569,'TAR FIN'!$A$1:$O$92,15,0))</f>
        <v>303.54000000000002</v>
      </c>
      <c r="Y569" s="6"/>
      <c r="Z569" s="6">
        <f ca="1">('TUSD BE'!$AM$52+'TUSD BF'!$AM$52+'TUSD CVA'!$AM$52)*1</f>
        <v>471.78110106754735</v>
      </c>
      <c r="AA569" s="6">
        <f>('TE BE'!$AB$40+'TE BF'!$AB$40+'TE CVA'!$AB$40)*1</f>
        <v>287.16392669686104</v>
      </c>
      <c r="AB569" s="6">
        <f>$K$569*$V$569</f>
        <v>0</v>
      </c>
      <c r="AC569" s="6">
        <f>$M$569*$W$569</f>
        <v>30367.113300000001</v>
      </c>
      <c r="AD569" s="6">
        <f>$O$569*$X$569</f>
        <v>26860.2546</v>
      </c>
      <c r="AE569" s="6">
        <f>$K$569*$Y$569</f>
        <v>0</v>
      </c>
      <c r="AF569" s="6">
        <f ca="1">$M$569*$Z$569</f>
        <v>41747.909633467265</v>
      </c>
      <c r="AG569" s="6">
        <f>$O$569*$AA$569</f>
        <v>25411.135873405234</v>
      </c>
    </row>
    <row r="570" spans="1:33" ht="11.25" hidden="1" customHeight="1" x14ac:dyDescent="0.3">
      <c r="A570" s="4" t="s">
        <v>27</v>
      </c>
      <c r="B570" s="4" t="s">
        <v>32</v>
      </c>
      <c r="C570" s="4" t="s">
        <v>23</v>
      </c>
      <c r="D570" s="4" t="s">
        <v>43</v>
      </c>
      <c r="E570" s="4" t="s">
        <v>25</v>
      </c>
      <c r="F570" s="4" t="s">
        <v>25</v>
      </c>
      <c r="G570" s="4" t="s">
        <v>25</v>
      </c>
      <c r="H570" s="4" t="s">
        <v>25</v>
      </c>
      <c r="I570" s="5">
        <v>44593</v>
      </c>
      <c r="J570" s="6">
        <v>0</v>
      </c>
      <c r="K570" s="6">
        <v>0</v>
      </c>
      <c r="L570" s="6">
        <v>0.2</v>
      </c>
      <c r="M570" s="6">
        <v>0.2</v>
      </c>
      <c r="N570" s="6">
        <v>0.2</v>
      </c>
      <c r="O570" s="6">
        <v>0.2</v>
      </c>
      <c r="P570" s="6">
        <v>2</v>
      </c>
      <c r="Q570" s="4" t="s">
        <v>26</v>
      </c>
      <c r="R570" s="4">
        <v>0</v>
      </c>
      <c r="S570" s="6">
        <v>0</v>
      </c>
      <c r="T570" s="6">
        <v>77</v>
      </c>
      <c r="U570" s="6">
        <v>52</v>
      </c>
      <c r="V570" s="6">
        <f>IF(ISERROR(VLOOKUP($S$570,'TAR FIN'!$A$1:$O$92,15,0)),0,VLOOKUP($S$570,'TAR FIN'!$A$1:$O$92,15,0))</f>
        <v>0</v>
      </c>
      <c r="W570" s="6">
        <f>IF(ISERROR(VLOOKUP($T$570,'TAR FIN'!$A$1:$O$92,15,0)),0,VLOOKUP($T$570,'TAR FIN'!$A$1:$O$92,15,0))</f>
        <v>343.17</v>
      </c>
      <c r="X570" s="6">
        <f>IF(ISERROR(VLOOKUP($U$570,'TAR FIN'!$A$1:$O$92,15,0)),0,VLOOKUP($U$570,'TAR FIN'!$A$1:$O$92,15,0))</f>
        <v>303.54000000000002</v>
      </c>
      <c r="Y570" s="6"/>
      <c r="Z570" s="6">
        <f ca="1">('TUSD BE'!$AM$52+'TUSD BF'!$AM$52+'TUSD CVA'!$AM$52)*1</f>
        <v>471.78110106754735</v>
      </c>
      <c r="AA570" s="6">
        <f>('TE BE'!$AB$40+'TE BF'!$AB$40+'TE CVA'!$AB$40)*1</f>
        <v>287.16392669686104</v>
      </c>
      <c r="AB570" s="6">
        <f>$K$570*$V$570</f>
        <v>0</v>
      </c>
      <c r="AC570" s="6">
        <f>$M$570*$W$570</f>
        <v>68.634</v>
      </c>
      <c r="AD570" s="6">
        <f>$O$570*$X$570</f>
        <v>60.708000000000006</v>
      </c>
      <c r="AE570" s="6">
        <f>$K$570*$Y$570</f>
        <v>0</v>
      </c>
      <c r="AF570" s="6">
        <f ca="1">$M$570*$Z$570</f>
        <v>94.356220213509474</v>
      </c>
      <c r="AG570" s="6">
        <f>$O$570*$AA$570</f>
        <v>57.432785339372209</v>
      </c>
    </row>
    <row r="571" spans="1:33" ht="11.25" hidden="1" customHeight="1" x14ac:dyDescent="0.3">
      <c r="A571" s="4" t="s">
        <v>21</v>
      </c>
      <c r="B571" s="4" t="s">
        <v>32</v>
      </c>
      <c r="C571" s="4" t="s">
        <v>23</v>
      </c>
      <c r="D571" s="4" t="s">
        <v>43</v>
      </c>
      <c r="E571" s="4" t="s">
        <v>25</v>
      </c>
      <c r="F571" s="4" t="s">
        <v>25</v>
      </c>
      <c r="G571" s="4" t="s">
        <v>25</v>
      </c>
      <c r="H571" s="4" t="s">
        <v>25</v>
      </c>
      <c r="I571" s="5">
        <v>44621</v>
      </c>
      <c r="J571" s="6">
        <v>0</v>
      </c>
      <c r="K571" s="6">
        <v>0</v>
      </c>
      <c r="L571" s="6">
        <v>109.11199999999999</v>
      </c>
      <c r="M571" s="6">
        <v>109.11199999999999</v>
      </c>
      <c r="N571" s="6">
        <v>109.11199999999999</v>
      </c>
      <c r="O571" s="6">
        <v>109.11199999999999</v>
      </c>
      <c r="P571" s="6">
        <v>73</v>
      </c>
      <c r="Q571" s="4" t="s">
        <v>26</v>
      </c>
      <c r="R571" s="4">
        <v>0</v>
      </c>
      <c r="S571" s="6">
        <v>0</v>
      </c>
      <c r="T571" s="6">
        <v>77</v>
      </c>
      <c r="U571" s="6">
        <v>52</v>
      </c>
      <c r="V571" s="6">
        <f>IF(ISERROR(VLOOKUP($S$571,'TAR FIN'!$A$1:$O$92,15,0)),0,VLOOKUP($S$571,'TAR FIN'!$A$1:$O$92,15,0))</f>
        <v>0</v>
      </c>
      <c r="W571" s="6">
        <f>IF(ISERROR(VLOOKUP($T$571,'TAR FIN'!$A$1:$O$92,15,0)),0,VLOOKUP($T$571,'TAR FIN'!$A$1:$O$92,15,0))</f>
        <v>343.17</v>
      </c>
      <c r="X571" s="6">
        <f>IF(ISERROR(VLOOKUP($U$571,'TAR FIN'!$A$1:$O$92,15,0)),0,VLOOKUP($U$571,'TAR FIN'!$A$1:$O$92,15,0))</f>
        <v>303.54000000000002</v>
      </c>
      <c r="Y571" s="6"/>
      <c r="Z571" s="6">
        <f ca="1">('TUSD BE'!$AM$52+'TUSD BF'!$AM$52+'TUSD CVA'!$AM$52)*1</f>
        <v>471.78110106754735</v>
      </c>
      <c r="AA571" s="6">
        <f>('TE BE'!$AB$40+'TE BF'!$AB$40+'TE CVA'!$AB$40)*1</f>
        <v>287.16392669686104</v>
      </c>
      <c r="AB571" s="6">
        <f>$K$571*$V$571</f>
        <v>0</v>
      </c>
      <c r="AC571" s="6">
        <f>$M$571*$W$571</f>
        <v>37443.965040000003</v>
      </c>
      <c r="AD571" s="6">
        <f>$O$571*$X$571</f>
        <v>33119.856480000002</v>
      </c>
      <c r="AE571" s="6">
        <f>$K$571*$Y$571</f>
        <v>0</v>
      </c>
      <c r="AF571" s="6">
        <f ca="1">$M$571*$Z$571</f>
        <v>51476.979499682224</v>
      </c>
      <c r="AG571" s="6">
        <f>$O$571*$AA$571</f>
        <v>31333.030369747899</v>
      </c>
    </row>
    <row r="572" spans="1:33" ht="11.25" hidden="1" customHeight="1" x14ac:dyDescent="0.3">
      <c r="A572" s="4" t="s">
        <v>27</v>
      </c>
      <c r="B572" s="4" t="s">
        <v>32</v>
      </c>
      <c r="C572" s="4" t="s">
        <v>23</v>
      </c>
      <c r="D572" s="4" t="s">
        <v>43</v>
      </c>
      <c r="E572" s="4" t="s">
        <v>25</v>
      </c>
      <c r="F572" s="4" t="s">
        <v>25</v>
      </c>
      <c r="G572" s="4" t="s">
        <v>25</v>
      </c>
      <c r="H572" s="4" t="s">
        <v>25</v>
      </c>
      <c r="I572" s="5">
        <v>44621</v>
      </c>
      <c r="J572" s="6">
        <v>0</v>
      </c>
      <c r="K572" s="6">
        <v>0</v>
      </c>
      <c r="L572" s="6">
        <v>1.6080000000000001</v>
      </c>
      <c r="M572" s="6">
        <v>1.6080000000000001</v>
      </c>
      <c r="N572" s="6">
        <v>1.6080000000000001</v>
      </c>
      <c r="O572" s="6">
        <v>1.6080000000000001</v>
      </c>
      <c r="P572" s="6">
        <v>2</v>
      </c>
      <c r="Q572" s="4" t="s">
        <v>26</v>
      </c>
      <c r="R572" s="4">
        <v>0</v>
      </c>
      <c r="S572" s="6">
        <v>0</v>
      </c>
      <c r="T572" s="6">
        <v>77</v>
      </c>
      <c r="U572" s="6">
        <v>52</v>
      </c>
      <c r="V572" s="6">
        <f>IF(ISERROR(VLOOKUP($S$572,'TAR FIN'!$A$1:$O$92,15,0)),0,VLOOKUP($S$572,'TAR FIN'!$A$1:$O$92,15,0))</f>
        <v>0</v>
      </c>
      <c r="W572" s="6">
        <f>IF(ISERROR(VLOOKUP($T$572,'TAR FIN'!$A$1:$O$92,15,0)),0,VLOOKUP($T$572,'TAR FIN'!$A$1:$O$92,15,0))</f>
        <v>343.17</v>
      </c>
      <c r="X572" s="6">
        <f>IF(ISERROR(VLOOKUP($U$572,'TAR FIN'!$A$1:$O$92,15,0)),0,VLOOKUP($U$572,'TAR FIN'!$A$1:$O$92,15,0))</f>
        <v>303.54000000000002</v>
      </c>
      <c r="Y572" s="6"/>
      <c r="Z572" s="6">
        <f ca="1">('TUSD BE'!$AM$52+'TUSD BF'!$AM$52+'TUSD CVA'!$AM$52)*1</f>
        <v>471.78110106754735</v>
      </c>
      <c r="AA572" s="6">
        <f>('TE BE'!$AB$40+'TE BF'!$AB$40+'TE CVA'!$AB$40)*1</f>
        <v>287.16392669686104</v>
      </c>
      <c r="AB572" s="6">
        <f>$K$572*$V$572</f>
        <v>0</v>
      </c>
      <c r="AC572" s="6">
        <f>$M$572*$W$572</f>
        <v>551.81736000000001</v>
      </c>
      <c r="AD572" s="6">
        <f>$O$572*$X$572</f>
        <v>488.09232000000009</v>
      </c>
      <c r="AE572" s="6">
        <f>$K$572*$Y$572</f>
        <v>0</v>
      </c>
      <c r="AF572" s="6">
        <f ca="1">$M$572*$Z$572</f>
        <v>758.62401051661618</v>
      </c>
      <c r="AG572" s="6">
        <f>$O$572*$AA$572</f>
        <v>461.75959412855258</v>
      </c>
    </row>
    <row r="573" spans="1:33" ht="11.25" hidden="1" customHeight="1" x14ac:dyDescent="0.3">
      <c r="A573" s="4" t="s">
        <v>21</v>
      </c>
      <c r="B573" s="4" t="s">
        <v>32</v>
      </c>
      <c r="C573" s="4" t="s">
        <v>23</v>
      </c>
      <c r="D573" s="4" t="s">
        <v>43</v>
      </c>
      <c r="E573" s="4" t="s">
        <v>25</v>
      </c>
      <c r="F573" s="4" t="s">
        <v>25</v>
      </c>
      <c r="G573" s="4" t="s">
        <v>25</v>
      </c>
      <c r="H573" s="4" t="s">
        <v>25</v>
      </c>
      <c r="I573" s="5">
        <v>44652</v>
      </c>
      <c r="J573" s="6">
        <v>0</v>
      </c>
      <c r="K573" s="6">
        <v>0</v>
      </c>
      <c r="L573" s="6">
        <v>107.56399999999999</v>
      </c>
      <c r="M573" s="6">
        <v>107.56399999999999</v>
      </c>
      <c r="N573" s="6">
        <v>107.56399999999999</v>
      </c>
      <c r="O573" s="6">
        <v>107.56399999999999</v>
      </c>
      <c r="P573" s="6">
        <v>73</v>
      </c>
      <c r="Q573" s="4" t="s">
        <v>26</v>
      </c>
      <c r="R573" s="4">
        <v>0</v>
      </c>
      <c r="S573" s="6">
        <v>0</v>
      </c>
      <c r="T573" s="6">
        <v>77</v>
      </c>
      <c r="U573" s="6">
        <v>52</v>
      </c>
      <c r="V573" s="6">
        <f>IF(ISERROR(VLOOKUP($S$573,'TAR FIN'!$A$1:$O$92,15,0)),0,VLOOKUP($S$573,'TAR FIN'!$A$1:$O$92,15,0))</f>
        <v>0</v>
      </c>
      <c r="W573" s="6">
        <f>IF(ISERROR(VLOOKUP($T$573,'TAR FIN'!$A$1:$O$92,15,0)),0,VLOOKUP($T$573,'TAR FIN'!$A$1:$O$92,15,0))</f>
        <v>343.17</v>
      </c>
      <c r="X573" s="6">
        <f>IF(ISERROR(VLOOKUP($U$573,'TAR FIN'!$A$1:$O$92,15,0)),0,VLOOKUP($U$573,'TAR FIN'!$A$1:$O$92,15,0))</f>
        <v>303.54000000000002</v>
      </c>
      <c r="Y573" s="6"/>
      <c r="Z573" s="6">
        <f ca="1">('TUSD BE'!$AM$52+'TUSD BF'!$AM$52+'TUSD CVA'!$AM$52)*1</f>
        <v>471.78110106754735</v>
      </c>
      <c r="AA573" s="6">
        <f>('TE BE'!$AB$40+'TE BF'!$AB$40+'TE CVA'!$AB$40)*1</f>
        <v>287.16392669686104</v>
      </c>
      <c r="AB573" s="6">
        <f>$K$573*$V$573</f>
        <v>0</v>
      </c>
      <c r="AC573" s="6">
        <f>$M$573*$W$573</f>
        <v>36912.737880000001</v>
      </c>
      <c r="AD573" s="6">
        <f>$O$573*$X$573</f>
        <v>32649.976559999999</v>
      </c>
      <c r="AE573" s="6">
        <f>$K$573*$Y$573</f>
        <v>0</v>
      </c>
      <c r="AF573" s="6">
        <f ca="1">$M$573*$Z$573</f>
        <v>50746.662355229659</v>
      </c>
      <c r="AG573" s="6">
        <f>$O$573*$AA$573</f>
        <v>30888.500611221159</v>
      </c>
    </row>
    <row r="574" spans="1:33" ht="11.25" hidden="1" customHeight="1" x14ac:dyDescent="0.3">
      <c r="A574" s="4" t="s">
        <v>27</v>
      </c>
      <c r="B574" s="4" t="s">
        <v>32</v>
      </c>
      <c r="C574" s="4" t="s">
        <v>23</v>
      </c>
      <c r="D574" s="4" t="s">
        <v>43</v>
      </c>
      <c r="E574" s="4" t="s">
        <v>25</v>
      </c>
      <c r="F574" s="4" t="s">
        <v>25</v>
      </c>
      <c r="G574" s="4" t="s">
        <v>25</v>
      </c>
      <c r="H574" s="4" t="s">
        <v>25</v>
      </c>
      <c r="I574" s="5">
        <v>44652</v>
      </c>
      <c r="J574" s="6">
        <v>0</v>
      </c>
      <c r="K574" s="6">
        <v>0</v>
      </c>
      <c r="L574" s="6">
        <v>1.5760000000000001</v>
      </c>
      <c r="M574" s="6">
        <v>1.5760000000000001</v>
      </c>
      <c r="N574" s="6">
        <v>1.5760000000000001</v>
      </c>
      <c r="O574" s="6">
        <v>1.5760000000000001</v>
      </c>
      <c r="P574" s="6">
        <v>2</v>
      </c>
      <c r="Q574" s="4" t="s">
        <v>26</v>
      </c>
      <c r="R574" s="4">
        <v>0</v>
      </c>
      <c r="S574" s="6">
        <v>0</v>
      </c>
      <c r="T574" s="6">
        <v>77</v>
      </c>
      <c r="U574" s="6">
        <v>52</v>
      </c>
      <c r="V574" s="6">
        <f>IF(ISERROR(VLOOKUP($S$574,'TAR FIN'!$A$1:$O$92,15,0)),0,VLOOKUP($S$574,'TAR FIN'!$A$1:$O$92,15,0))</f>
        <v>0</v>
      </c>
      <c r="W574" s="6">
        <f>IF(ISERROR(VLOOKUP($T$574,'TAR FIN'!$A$1:$O$92,15,0)),0,VLOOKUP($T$574,'TAR FIN'!$A$1:$O$92,15,0))</f>
        <v>343.17</v>
      </c>
      <c r="X574" s="6">
        <f>IF(ISERROR(VLOOKUP($U$574,'TAR FIN'!$A$1:$O$92,15,0)),0,VLOOKUP($U$574,'TAR FIN'!$A$1:$O$92,15,0))</f>
        <v>303.54000000000002</v>
      </c>
      <c r="Y574" s="6"/>
      <c r="Z574" s="6">
        <f ca="1">('TUSD BE'!$AM$52+'TUSD BF'!$AM$52+'TUSD CVA'!$AM$52)*1</f>
        <v>471.78110106754735</v>
      </c>
      <c r="AA574" s="6">
        <f>('TE BE'!$AB$40+'TE BF'!$AB$40+'TE CVA'!$AB$40)*1</f>
        <v>287.16392669686104</v>
      </c>
      <c r="AB574" s="6">
        <f>$K$574*$V$574</f>
        <v>0</v>
      </c>
      <c r="AC574" s="6">
        <f>$M$574*$W$574</f>
        <v>540.8359200000001</v>
      </c>
      <c r="AD574" s="6">
        <f>$O$574*$X$574</f>
        <v>478.37904000000003</v>
      </c>
      <c r="AE574" s="6">
        <f>$K$574*$Y$574</f>
        <v>0</v>
      </c>
      <c r="AF574" s="6">
        <f ca="1">$M$574*$Z$574</f>
        <v>743.52701528245461</v>
      </c>
      <c r="AG574" s="6">
        <f>$O$574*$AA$574</f>
        <v>452.57034847425302</v>
      </c>
    </row>
    <row r="575" spans="1:33" ht="11.25" hidden="1" customHeight="1" x14ac:dyDescent="0.3">
      <c r="A575" s="4" t="s">
        <v>21</v>
      </c>
      <c r="B575" s="4" t="s">
        <v>32</v>
      </c>
      <c r="C575" s="4" t="s">
        <v>23</v>
      </c>
      <c r="D575" s="4" t="s">
        <v>43</v>
      </c>
      <c r="E575" s="4" t="s">
        <v>25</v>
      </c>
      <c r="F575" s="4" t="s">
        <v>25</v>
      </c>
      <c r="G575" s="4" t="s">
        <v>25</v>
      </c>
      <c r="H575" s="4" t="s">
        <v>25</v>
      </c>
      <c r="I575" s="5">
        <v>44682</v>
      </c>
      <c r="J575" s="6">
        <v>0</v>
      </c>
      <c r="K575" s="6">
        <v>0</v>
      </c>
      <c r="L575" s="6">
        <v>70.241</v>
      </c>
      <c r="M575" s="6">
        <v>70.241</v>
      </c>
      <c r="N575" s="6">
        <v>70.241</v>
      </c>
      <c r="O575" s="6">
        <v>70.241</v>
      </c>
      <c r="P575" s="6">
        <v>73</v>
      </c>
      <c r="Q575" s="4" t="s">
        <v>26</v>
      </c>
      <c r="R575" s="4">
        <v>0</v>
      </c>
      <c r="S575" s="6">
        <v>0</v>
      </c>
      <c r="T575" s="6">
        <v>77</v>
      </c>
      <c r="U575" s="6">
        <v>52</v>
      </c>
      <c r="V575" s="6">
        <f>IF(ISERROR(VLOOKUP($S$575,'TAR FIN'!$A$1:$O$92,15,0)),0,VLOOKUP($S$575,'TAR FIN'!$A$1:$O$92,15,0))</f>
        <v>0</v>
      </c>
      <c r="W575" s="6">
        <f>IF(ISERROR(VLOOKUP($T$575,'TAR FIN'!$A$1:$O$92,15,0)),0,VLOOKUP($T$575,'TAR FIN'!$A$1:$O$92,15,0))</f>
        <v>343.17</v>
      </c>
      <c r="X575" s="6">
        <f>IF(ISERROR(VLOOKUP($U$575,'TAR FIN'!$A$1:$O$92,15,0)),0,VLOOKUP($U$575,'TAR FIN'!$A$1:$O$92,15,0))</f>
        <v>303.54000000000002</v>
      </c>
      <c r="Y575" s="6"/>
      <c r="Z575" s="6">
        <f ca="1">('TUSD BE'!$AM$52+'TUSD BF'!$AM$52+'TUSD CVA'!$AM$52)*1</f>
        <v>471.78110106754735</v>
      </c>
      <c r="AA575" s="6">
        <f>('TE BE'!$AB$40+'TE BF'!$AB$40+'TE CVA'!$AB$40)*1</f>
        <v>287.16392669686104</v>
      </c>
      <c r="AB575" s="6">
        <f>$K$575*$V$575</f>
        <v>0</v>
      </c>
      <c r="AC575" s="6">
        <f>$M$575*$W$575</f>
        <v>24104.60397</v>
      </c>
      <c r="AD575" s="6">
        <f>$O$575*$X$575</f>
        <v>21320.953140000001</v>
      </c>
      <c r="AE575" s="6">
        <f>$K$575*$Y$575</f>
        <v>0</v>
      </c>
      <c r="AF575" s="6">
        <f ca="1">$M$575*$Z$575</f>
        <v>33138.37632008559</v>
      </c>
      <c r="AG575" s="6">
        <f>$O$575*$AA$575</f>
        <v>20170.681375114214</v>
      </c>
    </row>
    <row r="576" spans="1:33" ht="11.25" hidden="1" customHeight="1" x14ac:dyDescent="0.3">
      <c r="A576" s="4" t="s">
        <v>27</v>
      </c>
      <c r="B576" s="4" t="s">
        <v>32</v>
      </c>
      <c r="C576" s="4" t="s">
        <v>23</v>
      </c>
      <c r="D576" s="4" t="s">
        <v>43</v>
      </c>
      <c r="E576" s="4" t="s">
        <v>25</v>
      </c>
      <c r="F576" s="4" t="s">
        <v>25</v>
      </c>
      <c r="G576" s="4" t="s">
        <v>25</v>
      </c>
      <c r="H576" s="4" t="s">
        <v>25</v>
      </c>
      <c r="I576" s="5">
        <v>44682</v>
      </c>
      <c r="J576" s="6">
        <v>0</v>
      </c>
      <c r="K576" s="6">
        <v>0</v>
      </c>
      <c r="L576" s="6">
        <v>0.2</v>
      </c>
      <c r="M576" s="6">
        <v>0.2</v>
      </c>
      <c r="N576" s="6">
        <v>0.2</v>
      </c>
      <c r="O576" s="6">
        <v>0.2</v>
      </c>
      <c r="P576" s="6">
        <v>2</v>
      </c>
      <c r="Q576" s="4" t="s">
        <v>26</v>
      </c>
      <c r="R576" s="4">
        <v>0</v>
      </c>
      <c r="S576" s="6">
        <v>0</v>
      </c>
      <c r="T576" s="6">
        <v>77</v>
      </c>
      <c r="U576" s="6">
        <v>52</v>
      </c>
      <c r="V576" s="6">
        <f>IF(ISERROR(VLOOKUP($S$576,'TAR FIN'!$A$1:$O$92,15,0)),0,VLOOKUP($S$576,'TAR FIN'!$A$1:$O$92,15,0))</f>
        <v>0</v>
      </c>
      <c r="W576" s="6">
        <f>IF(ISERROR(VLOOKUP($T$576,'TAR FIN'!$A$1:$O$92,15,0)),0,VLOOKUP($T$576,'TAR FIN'!$A$1:$O$92,15,0))</f>
        <v>343.17</v>
      </c>
      <c r="X576" s="6">
        <f>IF(ISERROR(VLOOKUP($U$576,'TAR FIN'!$A$1:$O$92,15,0)),0,VLOOKUP($U$576,'TAR FIN'!$A$1:$O$92,15,0))</f>
        <v>303.54000000000002</v>
      </c>
      <c r="Y576" s="6"/>
      <c r="Z576" s="6">
        <f ca="1">('TUSD BE'!$AM$52+'TUSD BF'!$AM$52+'TUSD CVA'!$AM$52)*1</f>
        <v>471.78110106754735</v>
      </c>
      <c r="AA576" s="6">
        <f>('TE BE'!$AB$40+'TE BF'!$AB$40+'TE CVA'!$AB$40)*1</f>
        <v>287.16392669686104</v>
      </c>
      <c r="AB576" s="6">
        <f>$K$576*$V$576</f>
        <v>0</v>
      </c>
      <c r="AC576" s="6">
        <f>$M$576*$W$576</f>
        <v>68.634</v>
      </c>
      <c r="AD576" s="6">
        <f>$O$576*$X$576</f>
        <v>60.708000000000006</v>
      </c>
      <c r="AE576" s="6">
        <f>$K$576*$Y$576</f>
        <v>0</v>
      </c>
      <c r="AF576" s="6">
        <f ca="1">$M$576*$Z$576</f>
        <v>94.356220213509474</v>
      </c>
      <c r="AG576" s="6">
        <f>$O$576*$AA$576</f>
        <v>57.432785339372209</v>
      </c>
    </row>
    <row r="577" spans="1:33" ht="11.25" hidden="1" customHeight="1" x14ac:dyDescent="0.3">
      <c r="A577" s="4" t="s">
        <v>21</v>
      </c>
      <c r="B577" s="4" t="s">
        <v>32</v>
      </c>
      <c r="C577" s="4" t="s">
        <v>23</v>
      </c>
      <c r="D577" s="4" t="s">
        <v>43</v>
      </c>
      <c r="E577" s="4" t="s">
        <v>25</v>
      </c>
      <c r="F577" s="4" t="s">
        <v>25</v>
      </c>
      <c r="G577" s="4" t="s">
        <v>25</v>
      </c>
      <c r="H577" s="4" t="s">
        <v>25</v>
      </c>
      <c r="I577" s="5">
        <v>44713</v>
      </c>
      <c r="J577" s="6">
        <v>0</v>
      </c>
      <c r="K577" s="6">
        <v>0</v>
      </c>
      <c r="L577" s="6">
        <v>68.995000000000005</v>
      </c>
      <c r="M577" s="6">
        <v>68.995000000000005</v>
      </c>
      <c r="N577" s="6">
        <v>68.995000000000005</v>
      </c>
      <c r="O577" s="6">
        <v>68.995000000000005</v>
      </c>
      <c r="P577" s="6">
        <v>73</v>
      </c>
      <c r="Q577" s="4" t="s">
        <v>26</v>
      </c>
      <c r="R577" s="4">
        <v>0</v>
      </c>
      <c r="S577" s="6">
        <v>0</v>
      </c>
      <c r="T577" s="6">
        <v>77</v>
      </c>
      <c r="U577" s="6">
        <v>52</v>
      </c>
      <c r="V577" s="6">
        <f>IF(ISERROR(VLOOKUP($S$577,'TAR FIN'!$A$1:$O$92,15,0)),0,VLOOKUP($S$577,'TAR FIN'!$A$1:$O$92,15,0))</f>
        <v>0</v>
      </c>
      <c r="W577" s="6">
        <f>IF(ISERROR(VLOOKUP($T$577,'TAR FIN'!$A$1:$O$92,15,0)),0,VLOOKUP($T$577,'TAR FIN'!$A$1:$O$92,15,0))</f>
        <v>343.17</v>
      </c>
      <c r="X577" s="6">
        <f>IF(ISERROR(VLOOKUP($U$577,'TAR FIN'!$A$1:$O$92,15,0)),0,VLOOKUP($U$577,'TAR FIN'!$A$1:$O$92,15,0))</f>
        <v>303.54000000000002</v>
      </c>
      <c r="Y577" s="6"/>
      <c r="Z577" s="6">
        <f ca="1">('TUSD BE'!$AM$52+'TUSD BF'!$AM$52+'TUSD CVA'!$AM$52)*1</f>
        <v>471.78110106754735</v>
      </c>
      <c r="AA577" s="6">
        <f>('TE BE'!$AB$40+'TE BF'!$AB$40+'TE CVA'!$AB$40)*1</f>
        <v>287.16392669686104</v>
      </c>
      <c r="AB577" s="6">
        <f>$K$577*$V$577</f>
        <v>0</v>
      </c>
      <c r="AC577" s="6">
        <f>$M$577*$W$577</f>
        <v>23677.014150000003</v>
      </c>
      <c r="AD577" s="6">
        <f>$O$577*$X$577</f>
        <v>20942.742300000002</v>
      </c>
      <c r="AE577" s="6">
        <f>$K$577*$Y$577</f>
        <v>0</v>
      </c>
      <c r="AF577" s="6">
        <f ca="1">$M$577*$Z$577</f>
        <v>32550.53706815543</v>
      </c>
      <c r="AG577" s="6">
        <f>$O$577*$AA$577</f>
        <v>19812.875122449928</v>
      </c>
    </row>
    <row r="578" spans="1:33" ht="11.25" hidden="1" customHeight="1" x14ac:dyDescent="0.3">
      <c r="A578" s="4" t="s">
        <v>27</v>
      </c>
      <c r="B578" s="4" t="s">
        <v>32</v>
      </c>
      <c r="C578" s="4" t="s">
        <v>23</v>
      </c>
      <c r="D578" s="4" t="s">
        <v>43</v>
      </c>
      <c r="E578" s="4" t="s">
        <v>25</v>
      </c>
      <c r="F578" s="4" t="s">
        <v>25</v>
      </c>
      <c r="G578" s="4" t="s">
        <v>25</v>
      </c>
      <c r="H578" s="4" t="s">
        <v>25</v>
      </c>
      <c r="I578" s="5">
        <v>44713</v>
      </c>
      <c r="J578" s="6">
        <v>0</v>
      </c>
      <c r="K578" s="6">
        <v>0</v>
      </c>
      <c r="L578" s="6">
        <v>0.63</v>
      </c>
      <c r="M578" s="6">
        <v>0.63</v>
      </c>
      <c r="N578" s="6">
        <v>0.63</v>
      </c>
      <c r="O578" s="6">
        <v>0.63</v>
      </c>
      <c r="P578" s="6">
        <v>2</v>
      </c>
      <c r="Q578" s="4" t="s">
        <v>26</v>
      </c>
      <c r="R578" s="4">
        <v>0</v>
      </c>
      <c r="S578" s="6">
        <v>0</v>
      </c>
      <c r="T578" s="6">
        <v>77</v>
      </c>
      <c r="U578" s="6">
        <v>52</v>
      </c>
      <c r="V578" s="6">
        <f>IF(ISERROR(VLOOKUP($S$578,'TAR FIN'!$A$1:$O$92,15,0)),0,VLOOKUP($S$578,'TAR FIN'!$A$1:$O$92,15,0))</f>
        <v>0</v>
      </c>
      <c r="W578" s="6">
        <f>IF(ISERROR(VLOOKUP($T$578,'TAR FIN'!$A$1:$O$92,15,0)),0,VLOOKUP($T$578,'TAR FIN'!$A$1:$O$92,15,0))</f>
        <v>343.17</v>
      </c>
      <c r="X578" s="6">
        <f>IF(ISERROR(VLOOKUP($U$578,'TAR FIN'!$A$1:$O$92,15,0)),0,VLOOKUP($U$578,'TAR FIN'!$A$1:$O$92,15,0))</f>
        <v>303.54000000000002</v>
      </c>
      <c r="Y578" s="6"/>
      <c r="Z578" s="6">
        <f ca="1">('TUSD BE'!$AM$52+'TUSD BF'!$AM$52+'TUSD CVA'!$AM$52)*1</f>
        <v>471.78110106754735</v>
      </c>
      <c r="AA578" s="6">
        <f>('TE BE'!$AB$40+'TE BF'!$AB$40+'TE CVA'!$AB$40)*1</f>
        <v>287.16392669686104</v>
      </c>
      <c r="AB578" s="6">
        <f>$K$578*$V$578</f>
        <v>0</v>
      </c>
      <c r="AC578" s="6">
        <f>$M$578*$W$578</f>
        <v>216.19710000000001</v>
      </c>
      <c r="AD578" s="6">
        <f>$O$578*$X$578</f>
        <v>191.23020000000002</v>
      </c>
      <c r="AE578" s="6">
        <f>$K$578*$Y$578</f>
        <v>0</v>
      </c>
      <c r="AF578" s="6">
        <f ca="1">$M$578*$Z$578</f>
        <v>297.22209367255482</v>
      </c>
      <c r="AG578" s="6">
        <f>$O$578*$AA$578</f>
        <v>180.91327381902246</v>
      </c>
    </row>
    <row r="579" spans="1:33" ht="11.25" hidden="1" customHeight="1" x14ac:dyDescent="0.3">
      <c r="A579" s="4" t="s">
        <v>21</v>
      </c>
      <c r="B579" s="4" t="s">
        <v>32</v>
      </c>
      <c r="C579" s="4" t="s">
        <v>23</v>
      </c>
      <c r="D579" s="4" t="s">
        <v>43</v>
      </c>
      <c r="E579" s="4" t="s">
        <v>25</v>
      </c>
      <c r="F579" s="4" t="s">
        <v>25</v>
      </c>
      <c r="G579" s="4" t="s">
        <v>25</v>
      </c>
      <c r="H579" s="4" t="s">
        <v>25</v>
      </c>
      <c r="I579" s="5">
        <v>44743</v>
      </c>
      <c r="J579" s="6">
        <v>0</v>
      </c>
      <c r="K579" s="6">
        <v>0</v>
      </c>
      <c r="L579" s="6">
        <v>70.135999999999996</v>
      </c>
      <c r="M579" s="6">
        <v>70.135999999999996</v>
      </c>
      <c r="N579" s="6">
        <v>70.135999999999996</v>
      </c>
      <c r="O579" s="6">
        <v>70.135999999999996</v>
      </c>
      <c r="P579" s="6">
        <v>73</v>
      </c>
      <c r="Q579" s="4" t="s">
        <v>26</v>
      </c>
      <c r="R579" s="4">
        <v>0</v>
      </c>
      <c r="S579" s="6">
        <v>0</v>
      </c>
      <c r="T579" s="6">
        <v>77</v>
      </c>
      <c r="U579" s="6">
        <v>52</v>
      </c>
      <c r="V579" s="6">
        <f>IF(ISERROR(VLOOKUP($S$579,'TAR FIN'!$A$1:$O$92,15,0)),0,VLOOKUP($S$579,'TAR FIN'!$A$1:$O$92,15,0))</f>
        <v>0</v>
      </c>
      <c r="W579" s="6">
        <f>IF(ISERROR(VLOOKUP($T$579,'TAR FIN'!$A$1:$O$92,15,0)),0,VLOOKUP($T$579,'TAR FIN'!$A$1:$O$92,15,0))</f>
        <v>343.17</v>
      </c>
      <c r="X579" s="6">
        <f>IF(ISERROR(VLOOKUP($U$579,'TAR FIN'!$A$1:$O$92,15,0)),0,VLOOKUP($U$579,'TAR FIN'!$A$1:$O$92,15,0))</f>
        <v>303.54000000000002</v>
      </c>
      <c r="Y579" s="6"/>
      <c r="Z579" s="6">
        <f ca="1">('TUSD BE'!$AM$52+'TUSD BF'!$AM$52+'TUSD CVA'!$AM$52)*1</f>
        <v>471.78110106754735</v>
      </c>
      <c r="AA579" s="6">
        <f>('TE BE'!$AB$40+'TE BF'!$AB$40+'TE CVA'!$AB$40)*1</f>
        <v>287.16392669686104</v>
      </c>
      <c r="AB579" s="6">
        <f>$K$579*$V$579</f>
        <v>0</v>
      </c>
      <c r="AC579" s="6">
        <f>$M$579*$W$579</f>
        <v>24068.571120000001</v>
      </c>
      <c r="AD579" s="6">
        <f>$O$579*$X$579</f>
        <v>21289.081440000002</v>
      </c>
      <c r="AE579" s="6">
        <f>$K$579*$Y$579</f>
        <v>0</v>
      </c>
      <c r="AF579" s="6">
        <f ca="1">$M$579*$Z$579</f>
        <v>33088.839304473498</v>
      </c>
      <c r="AG579" s="6">
        <f>$O$579*$AA$579</f>
        <v>20140.529162811046</v>
      </c>
    </row>
    <row r="580" spans="1:33" ht="11.25" hidden="1" customHeight="1" x14ac:dyDescent="0.3">
      <c r="A580" s="4" t="s">
        <v>27</v>
      </c>
      <c r="B580" s="4" t="s">
        <v>32</v>
      </c>
      <c r="C580" s="4" t="s">
        <v>23</v>
      </c>
      <c r="D580" s="4" t="s">
        <v>43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44743</v>
      </c>
      <c r="J580" s="6">
        <v>0</v>
      </c>
      <c r="K580" s="6">
        <v>0</v>
      </c>
      <c r="L580" s="6">
        <v>0.68200000000000005</v>
      </c>
      <c r="M580" s="6">
        <v>0.68200000000000005</v>
      </c>
      <c r="N580" s="6">
        <v>0.68200000000000005</v>
      </c>
      <c r="O580" s="6">
        <v>0.68200000000000005</v>
      </c>
      <c r="P580" s="6">
        <v>2</v>
      </c>
      <c r="Q580" s="4" t="s">
        <v>26</v>
      </c>
      <c r="R580" s="4">
        <v>0</v>
      </c>
      <c r="S580" s="6">
        <v>0</v>
      </c>
      <c r="T580" s="6">
        <v>77</v>
      </c>
      <c r="U580" s="6">
        <v>52</v>
      </c>
      <c r="V580" s="6">
        <f>IF(ISERROR(VLOOKUP($S$580,'TAR FIN'!$A$1:$O$92,15,0)),0,VLOOKUP($S$580,'TAR FIN'!$A$1:$O$92,15,0))</f>
        <v>0</v>
      </c>
      <c r="W580" s="6">
        <f>IF(ISERROR(VLOOKUP($T$580,'TAR FIN'!$A$1:$O$92,15,0)),0,VLOOKUP($T$580,'TAR FIN'!$A$1:$O$92,15,0))</f>
        <v>343.17</v>
      </c>
      <c r="X580" s="6">
        <f>IF(ISERROR(VLOOKUP($U$580,'TAR FIN'!$A$1:$O$92,15,0)),0,VLOOKUP($U$580,'TAR FIN'!$A$1:$O$92,15,0))</f>
        <v>303.54000000000002</v>
      </c>
      <c r="Y580" s="6"/>
      <c r="Z580" s="6">
        <f ca="1">('TUSD BE'!$AM$52+'TUSD BF'!$AM$52+'TUSD CVA'!$AM$52)*1</f>
        <v>471.78110106754735</v>
      </c>
      <c r="AA580" s="6">
        <f>('TE BE'!$AB$40+'TE BF'!$AB$40+'TE CVA'!$AB$40)*1</f>
        <v>287.16392669686104</v>
      </c>
      <c r="AB580" s="6">
        <f>$K$580*$V$580</f>
        <v>0</v>
      </c>
      <c r="AC580" s="6">
        <f>$M$580*$W$580</f>
        <v>234.04194000000004</v>
      </c>
      <c r="AD580" s="6">
        <f>$O$580*$X$580</f>
        <v>207.01428000000004</v>
      </c>
      <c r="AE580" s="6">
        <f>$K$580*$Y$580</f>
        <v>0</v>
      </c>
      <c r="AF580" s="6">
        <f ca="1">$M$580*$Z$580</f>
        <v>321.75471092806731</v>
      </c>
      <c r="AG580" s="6">
        <f>$O$580*$AA$580</f>
        <v>195.84579800725925</v>
      </c>
    </row>
    <row r="581" spans="1:33" ht="11.25" hidden="1" customHeight="1" x14ac:dyDescent="0.3">
      <c r="A581" s="4" t="s">
        <v>21</v>
      </c>
      <c r="B581" s="4" t="s">
        <v>32</v>
      </c>
      <c r="C581" s="4" t="s">
        <v>23</v>
      </c>
      <c r="D581" s="4" t="s">
        <v>47</v>
      </c>
      <c r="E581" s="4" t="s">
        <v>48</v>
      </c>
      <c r="F581" s="4" t="s">
        <v>25</v>
      </c>
      <c r="G581" s="4" t="s">
        <v>25</v>
      </c>
      <c r="H581" s="4" t="s">
        <v>25</v>
      </c>
      <c r="I581" s="5">
        <v>44409</v>
      </c>
      <c r="J581" s="6">
        <v>0</v>
      </c>
      <c r="K581" s="58">
        <v>0</v>
      </c>
      <c r="L581" s="6">
        <v>35.756999999999998</v>
      </c>
      <c r="M581" s="58">
        <v>35.756999999999998</v>
      </c>
      <c r="N581" s="6">
        <v>35.756999999999998</v>
      </c>
      <c r="O581" s="58">
        <v>35.756999999999998</v>
      </c>
      <c r="P581" s="6">
        <v>32</v>
      </c>
      <c r="Q581" s="4" t="s">
        <v>26</v>
      </c>
      <c r="R581" s="4">
        <v>0</v>
      </c>
      <c r="S581" s="6">
        <v>0</v>
      </c>
      <c r="T581" s="6">
        <v>77</v>
      </c>
      <c r="U581" s="6">
        <v>52</v>
      </c>
      <c r="V581" s="58">
        <f>IF(ISERROR(VLOOKUP($S$581,'TAR FIN'!$A$1:$O$92,15,0)),0,VLOOKUP($S$581,'TAR FIN'!$A$1:$O$92,15,0))</f>
        <v>0</v>
      </c>
      <c r="W581" s="58">
        <f>IF(ISERROR(VLOOKUP($T$581,'TAR FIN'!$A$1:$O$92,15,0)),0,VLOOKUP($T$581,'TAR FIN'!$A$1:$O$92,15,0))*(1-0.06)</f>
        <v>322.57979999999998</v>
      </c>
      <c r="X581" s="58">
        <f>IF(ISERROR(VLOOKUP($U$581,'TAR FIN'!$A$1:$O$92,15,0)),0,VLOOKUP($U$581,'TAR FIN'!$A$1:$O$92,15,0))*(1-0.06)</f>
        <v>285.32760000000002</v>
      </c>
      <c r="Y581" s="58"/>
      <c r="Z581" s="58">
        <f ca="1">('TUSD BE'!$AM$52+'TUSD BF'!$AM$52+'TUSD CVA'!$AM$52)*1*(1-0.03)</f>
        <v>457.62766803552091</v>
      </c>
      <c r="AA581" s="58">
        <f>('TE BE'!$AB$40+'TE BF'!$AB$40+'TE CVA'!$AB$40)*1*(1-0.03)</f>
        <v>278.54900889595518</v>
      </c>
      <c r="AB581" s="6">
        <f>$K$581*$V$581</f>
        <v>0</v>
      </c>
      <c r="AC581" s="6">
        <f>$M$581*$W$581</f>
        <v>11534.485908599998</v>
      </c>
      <c r="AD581" s="6">
        <f>$O$581*$X$581</f>
        <v>10202.4589932</v>
      </c>
      <c r="AE581" s="6">
        <f>$K$581*$Y$581</f>
        <v>0</v>
      </c>
      <c r="AF581" s="6">
        <f ca="1">$M$581*$Z$581</f>
        <v>16363.392525946121</v>
      </c>
      <c r="AG581" s="6">
        <f>$O$581*$AA$581</f>
        <v>9960.0769110926685</v>
      </c>
    </row>
    <row r="582" spans="1:33" ht="11.25" hidden="1" customHeight="1" x14ac:dyDescent="0.3">
      <c r="A582" s="4" t="s">
        <v>21</v>
      </c>
      <c r="B582" s="4" t="s">
        <v>32</v>
      </c>
      <c r="C582" s="4" t="s">
        <v>23</v>
      </c>
      <c r="D582" s="4" t="s">
        <v>47</v>
      </c>
      <c r="E582" s="4" t="s">
        <v>48</v>
      </c>
      <c r="F582" s="4" t="s">
        <v>25</v>
      </c>
      <c r="G582" s="4" t="s">
        <v>25</v>
      </c>
      <c r="H582" s="4" t="s">
        <v>25</v>
      </c>
      <c r="I582" s="5">
        <v>44440</v>
      </c>
      <c r="J582" s="6">
        <v>0</v>
      </c>
      <c r="K582" s="58">
        <v>0</v>
      </c>
      <c r="L582" s="6">
        <v>42.151000000000003</v>
      </c>
      <c r="M582" s="58">
        <v>42.151000000000003</v>
      </c>
      <c r="N582" s="6">
        <v>42.151000000000003</v>
      </c>
      <c r="O582" s="58">
        <v>42.151000000000003</v>
      </c>
      <c r="P582" s="6">
        <v>32</v>
      </c>
      <c r="Q582" s="4" t="s">
        <v>26</v>
      </c>
      <c r="R582" s="4">
        <v>0</v>
      </c>
      <c r="S582" s="6">
        <v>0</v>
      </c>
      <c r="T582" s="6">
        <v>77</v>
      </c>
      <c r="U582" s="6">
        <v>52</v>
      </c>
      <c r="V582" s="58">
        <f>IF(ISERROR(VLOOKUP($S$582,'TAR FIN'!$A$1:$O$92,15,0)),0,VLOOKUP($S$582,'TAR FIN'!$A$1:$O$92,15,0))</f>
        <v>0</v>
      </c>
      <c r="W582" s="58">
        <f>IF(ISERROR(VLOOKUP($T$582,'TAR FIN'!$A$1:$O$92,15,0)),0,VLOOKUP($T$582,'TAR FIN'!$A$1:$O$92,15,0))*(1-0.06)</f>
        <v>322.57979999999998</v>
      </c>
      <c r="X582" s="58">
        <f>IF(ISERROR(VLOOKUP($U$582,'TAR FIN'!$A$1:$O$92,15,0)),0,VLOOKUP($U$582,'TAR FIN'!$A$1:$O$92,15,0))*(1-0.06)</f>
        <v>285.32760000000002</v>
      </c>
      <c r="Y582" s="58"/>
      <c r="Z582" s="58">
        <f ca="1">('TUSD BE'!$AM$52+'TUSD BF'!$AM$52+'TUSD CVA'!$AM$52)*1*(1-0.03)</f>
        <v>457.62766803552091</v>
      </c>
      <c r="AA582" s="58">
        <f>('TE BE'!$AB$40+'TE BF'!$AB$40+'TE CVA'!$AB$40)*1*(1-0.03)</f>
        <v>278.54900889595518</v>
      </c>
      <c r="AB582" s="6">
        <f>$K$582*$V$582</f>
        <v>0</v>
      </c>
      <c r="AC582" s="6">
        <f>$M$582*$W$582</f>
        <v>13597.0611498</v>
      </c>
      <c r="AD582" s="6">
        <f>$O$582*$X$582</f>
        <v>12026.843667600002</v>
      </c>
      <c r="AE582" s="6">
        <f>$K$582*$Y$582</f>
        <v>0</v>
      </c>
      <c r="AF582" s="6">
        <f ca="1">$M$582*$Z$582</f>
        <v>19289.463835365244</v>
      </c>
      <c r="AG582" s="6">
        <f>$O$582*$AA$582</f>
        <v>11741.119273973407</v>
      </c>
    </row>
    <row r="583" spans="1:33" ht="11.25" hidden="1" customHeight="1" x14ac:dyDescent="0.3">
      <c r="A583" s="4" t="s">
        <v>21</v>
      </c>
      <c r="B583" s="4" t="s">
        <v>32</v>
      </c>
      <c r="C583" s="4" t="s">
        <v>23</v>
      </c>
      <c r="D583" s="4" t="s">
        <v>47</v>
      </c>
      <c r="E583" s="4" t="s">
        <v>48</v>
      </c>
      <c r="F583" s="4" t="s">
        <v>25</v>
      </c>
      <c r="G583" s="4" t="s">
        <v>25</v>
      </c>
      <c r="H583" s="4" t="s">
        <v>25</v>
      </c>
      <c r="I583" s="5">
        <v>44470</v>
      </c>
      <c r="J583" s="6">
        <v>0</v>
      </c>
      <c r="K583" s="58">
        <v>0</v>
      </c>
      <c r="L583" s="6">
        <v>39.543999999999997</v>
      </c>
      <c r="M583" s="58">
        <v>39.543999999999997</v>
      </c>
      <c r="N583" s="6">
        <v>39.543999999999997</v>
      </c>
      <c r="O583" s="58">
        <v>39.543999999999997</v>
      </c>
      <c r="P583" s="6">
        <v>32</v>
      </c>
      <c r="Q583" s="4" t="s">
        <v>26</v>
      </c>
      <c r="R583" s="4">
        <v>0</v>
      </c>
      <c r="S583" s="6">
        <v>0</v>
      </c>
      <c r="T583" s="6">
        <v>77</v>
      </c>
      <c r="U583" s="6">
        <v>52</v>
      </c>
      <c r="V583" s="58">
        <f>IF(ISERROR(VLOOKUP($S$583,'TAR FIN'!$A$1:$O$92,15,0)),0,VLOOKUP($S$583,'TAR FIN'!$A$1:$O$92,15,0))</f>
        <v>0</v>
      </c>
      <c r="W583" s="58">
        <f>IF(ISERROR(VLOOKUP($T$583,'TAR FIN'!$A$1:$O$92,15,0)),0,VLOOKUP($T$583,'TAR FIN'!$A$1:$O$92,15,0))*(1-0.06)</f>
        <v>322.57979999999998</v>
      </c>
      <c r="X583" s="58">
        <f>IF(ISERROR(VLOOKUP($U$583,'TAR FIN'!$A$1:$O$92,15,0)),0,VLOOKUP($U$583,'TAR FIN'!$A$1:$O$92,15,0))*(1-0.06)</f>
        <v>285.32760000000002</v>
      </c>
      <c r="Y583" s="58"/>
      <c r="Z583" s="58">
        <f ca="1">('TUSD BE'!$AM$52+'TUSD BF'!$AM$52+'TUSD CVA'!$AM$52)*1*(1-0.03)</f>
        <v>457.62766803552091</v>
      </c>
      <c r="AA583" s="58">
        <f>('TE BE'!$AB$40+'TE BF'!$AB$40+'TE CVA'!$AB$40)*1*(1-0.03)</f>
        <v>278.54900889595518</v>
      </c>
      <c r="AB583" s="6">
        <f>$K$583*$V$583</f>
        <v>0</v>
      </c>
      <c r="AC583" s="6">
        <f>$M$583*$W$583</f>
        <v>12756.095611199999</v>
      </c>
      <c r="AD583" s="6">
        <f>$O$583*$X$583</f>
        <v>11282.994614400001</v>
      </c>
      <c r="AE583" s="6">
        <f>$K$583*$Y$583</f>
        <v>0</v>
      </c>
      <c r="AF583" s="6">
        <f ca="1">$M$583*$Z$583</f>
        <v>18096.428504796637</v>
      </c>
      <c r="AG583" s="6">
        <f>$O$583*$AA$583</f>
        <v>11014.94200778165</v>
      </c>
    </row>
    <row r="584" spans="1:33" ht="11.25" hidden="1" customHeight="1" x14ac:dyDescent="0.3">
      <c r="A584" s="4" t="s">
        <v>21</v>
      </c>
      <c r="B584" s="4" t="s">
        <v>32</v>
      </c>
      <c r="C584" s="4" t="s">
        <v>23</v>
      </c>
      <c r="D584" s="4" t="s">
        <v>47</v>
      </c>
      <c r="E584" s="4" t="s">
        <v>48</v>
      </c>
      <c r="F584" s="4" t="s">
        <v>25</v>
      </c>
      <c r="G584" s="4" t="s">
        <v>25</v>
      </c>
      <c r="H584" s="4" t="s">
        <v>25</v>
      </c>
      <c r="I584" s="5">
        <v>44501</v>
      </c>
      <c r="J584" s="6">
        <v>0</v>
      </c>
      <c r="K584" s="58">
        <v>0</v>
      </c>
      <c r="L584" s="6">
        <v>37.927</v>
      </c>
      <c r="M584" s="58">
        <v>37.927</v>
      </c>
      <c r="N584" s="6">
        <v>37.927</v>
      </c>
      <c r="O584" s="58">
        <v>37.927</v>
      </c>
      <c r="P584" s="6">
        <v>32</v>
      </c>
      <c r="Q584" s="4" t="s">
        <v>26</v>
      </c>
      <c r="R584" s="4">
        <v>0</v>
      </c>
      <c r="S584" s="6">
        <v>0</v>
      </c>
      <c r="T584" s="6">
        <v>77</v>
      </c>
      <c r="U584" s="6">
        <v>52</v>
      </c>
      <c r="V584" s="58">
        <f>IF(ISERROR(VLOOKUP($S$584,'TAR FIN'!$A$1:$O$92,15,0)),0,VLOOKUP($S$584,'TAR FIN'!$A$1:$O$92,15,0))</f>
        <v>0</v>
      </c>
      <c r="W584" s="58">
        <f>IF(ISERROR(VLOOKUP($T$584,'TAR FIN'!$A$1:$O$92,15,0)),0,VLOOKUP($T$584,'TAR FIN'!$A$1:$O$92,15,0))*(1-0.06)</f>
        <v>322.57979999999998</v>
      </c>
      <c r="X584" s="58">
        <f>IF(ISERROR(VLOOKUP($U$584,'TAR FIN'!$A$1:$O$92,15,0)),0,VLOOKUP($U$584,'TAR FIN'!$A$1:$O$92,15,0))*(1-0.06)</f>
        <v>285.32760000000002</v>
      </c>
      <c r="Y584" s="58"/>
      <c r="Z584" s="58">
        <f ca="1">('TUSD BE'!$AM$52+'TUSD BF'!$AM$52+'TUSD CVA'!$AM$52)*1*(1-0.03)</f>
        <v>457.62766803552091</v>
      </c>
      <c r="AA584" s="58">
        <f>('TE BE'!$AB$40+'TE BF'!$AB$40+'TE CVA'!$AB$40)*1*(1-0.03)</f>
        <v>278.54900889595518</v>
      </c>
      <c r="AB584" s="6">
        <f>$K$584*$V$584</f>
        <v>0</v>
      </c>
      <c r="AC584" s="6">
        <f>$M$584*$W$584</f>
        <v>12234.484074599999</v>
      </c>
      <c r="AD584" s="6">
        <f>$O$584*$X$584</f>
        <v>10821.6198852</v>
      </c>
      <c r="AE584" s="6">
        <f>$K$584*$Y$584</f>
        <v>0</v>
      </c>
      <c r="AF584" s="6">
        <f ca="1">$M$584*$Z$584</f>
        <v>17356.444565583202</v>
      </c>
      <c r="AG584" s="6">
        <f>$O$584*$AA$584</f>
        <v>10564.528260396892</v>
      </c>
    </row>
    <row r="585" spans="1:33" ht="11.25" hidden="1" customHeight="1" x14ac:dyDescent="0.3">
      <c r="A585" s="4" t="s">
        <v>21</v>
      </c>
      <c r="B585" s="4" t="s">
        <v>32</v>
      </c>
      <c r="C585" s="4" t="s">
        <v>23</v>
      </c>
      <c r="D585" s="4" t="s">
        <v>47</v>
      </c>
      <c r="E585" s="4" t="s">
        <v>48</v>
      </c>
      <c r="F585" s="4" t="s">
        <v>25</v>
      </c>
      <c r="G585" s="4" t="s">
        <v>25</v>
      </c>
      <c r="H585" s="4" t="s">
        <v>25</v>
      </c>
      <c r="I585" s="5">
        <v>44531</v>
      </c>
      <c r="J585" s="6">
        <v>0</v>
      </c>
      <c r="K585" s="58">
        <v>0</v>
      </c>
      <c r="L585" s="6">
        <v>42.985999999999997</v>
      </c>
      <c r="M585" s="58">
        <v>42.985999999999997</v>
      </c>
      <c r="N585" s="6">
        <v>42.985999999999997</v>
      </c>
      <c r="O585" s="58">
        <v>42.985999999999997</v>
      </c>
      <c r="P585" s="6">
        <v>32</v>
      </c>
      <c r="Q585" s="4" t="s">
        <v>26</v>
      </c>
      <c r="R585" s="4">
        <v>0</v>
      </c>
      <c r="S585" s="6">
        <v>0</v>
      </c>
      <c r="T585" s="6">
        <v>77</v>
      </c>
      <c r="U585" s="6">
        <v>52</v>
      </c>
      <c r="V585" s="58">
        <f>IF(ISERROR(VLOOKUP($S$585,'TAR FIN'!$A$1:$O$92,15,0)),0,VLOOKUP($S$585,'TAR FIN'!$A$1:$O$92,15,0))</f>
        <v>0</v>
      </c>
      <c r="W585" s="58">
        <f>IF(ISERROR(VLOOKUP($T$585,'TAR FIN'!$A$1:$O$92,15,0)),0,VLOOKUP($T$585,'TAR FIN'!$A$1:$O$92,15,0))*(1-0.06)</f>
        <v>322.57979999999998</v>
      </c>
      <c r="X585" s="58">
        <f>IF(ISERROR(VLOOKUP($U$585,'TAR FIN'!$A$1:$O$92,15,0)),0,VLOOKUP($U$585,'TAR FIN'!$A$1:$O$92,15,0))*(1-0.06)</f>
        <v>285.32760000000002</v>
      </c>
      <c r="Y585" s="58"/>
      <c r="Z585" s="58">
        <f ca="1">('TUSD BE'!$AM$52+'TUSD BF'!$AM$52+'TUSD CVA'!$AM$52)*1*(1-0.03)</f>
        <v>457.62766803552091</v>
      </c>
      <c r="AA585" s="58">
        <f>('TE BE'!$AB$40+'TE BF'!$AB$40+'TE CVA'!$AB$40)*1*(1-0.03)</f>
        <v>278.54900889595518</v>
      </c>
      <c r="AB585" s="6">
        <f>$K$585*$V$585</f>
        <v>0</v>
      </c>
      <c r="AC585" s="6">
        <f>$M$585*$W$585</f>
        <v>13866.415282799999</v>
      </c>
      <c r="AD585" s="6">
        <f>$O$585*$X$585</f>
        <v>12265.092213600001</v>
      </c>
      <c r="AE585" s="6">
        <f>$K$585*$Y$585</f>
        <v>0</v>
      </c>
      <c r="AF585" s="6">
        <f ca="1">$M$585*$Z$585</f>
        <v>19671.582938174899</v>
      </c>
      <c r="AG585" s="6">
        <f>$O$585*$AA$585</f>
        <v>11973.707696401529</v>
      </c>
    </row>
    <row r="586" spans="1:33" ht="11.25" hidden="1" customHeight="1" x14ac:dyDescent="0.3">
      <c r="A586" s="4" t="s">
        <v>21</v>
      </c>
      <c r="B586" s="4" t="s">
        <v>32</v>
      </c>
      <c r="C586" s="4" t="s">
        <v>23</v>
      </c>
      <c r="D586" s="4" t="s">
        <v>47</v>
      </c>
      <c r="E586" s="4" t="s">
        <v>48</v>
      </c>
      <c r="F586" s="4" t="s">
        <v>25</v>
      </c>
      <c r="G586" s="4" t="s">
        <v>25</v>
      </c>
      <c r="H586" s="4" t="s">
        <v>25</v>
      </c>
      <c r="I586" s="5">
        <v>44562</v>
      </c>
      <c r="J586" s="6">
        <v>0</v>
      </c>
      <c r="K586" s="58">
        <v>0</v>
      </c>
      <c r="L586" s="6">
        <v>47.173999999999999</v>
      </c>
      <c r="M586" s="58">
        <v>47.173999999999999</v>
      </c>
      <c r="N586" s="6">
        <v>47.173999999999999</v>
      </c>
      <c r="O586" s="58">
        <v>47.173999999999999</v>
      </c>
      <c r="P586" s="6">
        <v>32</v>
      </c>
      <c r="Q586" s="4" t="s">
        <v>26</v>
      </c>
      <c r="R586" s="4">
        <v>0</v>
      </c>
      <c r="S586" s="6">
        <v>0</v>
      </c>
      <c r="T586" s="6">
        <v>77</v>
      </c>
      <c r="U586" s="6">
        <v>52</v>
      </c>
      <c r="V586" s="58">
        <f>IF(ISERROR(VLOOKUP($S$586,'TAR FIN'!$A$1:$O$92,15,0)),0,VLOOKUP($S$586,'TAR FIN'!$A$1:$O$92,15,0))</f>
        <v>0</v>
      </c>
      <c r="W586" s="58">
        <f>IF(ISERROR(VLOOKUP($T$586,'TAR FIN'!$A$1:$O$92,15,0)),0,VLOOKUP($T$586,'TAR FIN'!$A$1:$O$92,15,0))*(1-0.06)</f>
        <v>322.57979999999998</v>
      </c>
      <c r="X586" s="58">
        <f>IF(ISERROR(VLOOKUP($U$586,'TAR FIN'!$A$1:$O$92,15,0)),0,VLOOKUP($U$586,'TAR FIN'!$A$1:$O$92,15,0))*(1-0.06)</f>
        <v>285.32760000000002</v>
      </c>
      <c r="Y586" s="58"/>
      <c r="Z586" s="58">
        <f ca="1">('TUSD BE'!$AM$52+'TUSD BF'!$AM$52+'TUSD CVA'!$AM$52)*1*(1-0.03)</f>
        <v>457.62766803552091</v>
      </c>
      <c r="AA586" s="58">
        <f>('TE BE'!$AB$40+'TE BF'!$AB$40+'TE CVA'!$AB$40)*1*(1-0.03)</f>
        <v>278.54900889595518</v>
      </c>
      <c r="AB586" s="6">
        <f>$K$586*$V$586</f>
        <v>0</v>
      </c>
      <c r="AC586" s="6">
        <f>$M$586*$W$586</f>
        <v>15217.379485199999</v>
      </c>
      <c r="AD586" s="6">
        <f>$O$586*$X$586</f>
        <v>13460.0442024</v>
      </c>
      <c r="AE586" s="6">
        <f>$K$586*$Y$586</f>
        <v>0</v>
      </c>
      <c r="AF586" s="6">
        <f ca="1">$M$586*$Z$586</f>
        <v>21588.127611907665</v>
      </c>
      <c r="AG586" s="6">
        <f>$O$586*$AA$586</f>
        <v>13140.27094565779</v>
      </c>
    </row>
    <row r="587" spans="1:33" ht="11.25" hidden="1" customHeight="1" x14ac:dyDescent="0.3">
      <c r="A587" s="4" t="s">
        <v>21</v>
      </c>
      <c r="B587" s="4" t="s">
        <v>32</v>
      </c>
      <c r="C587" s="4" t="s">
        <v>23</v>
      </c>
      <c r="D587" s="4" t="s">
        <v>47</v>
      </c>
      <c r="E587" s="4" t="s">
        <v>48</v>
      </c>
      <c r="F587" s="4" t="s">
        <v>25</v>
      </c>
      <c r="G587" s="4" t="s">
        <v>25</v>
      </c>
      <c r="H587" s="4" t="s">
        <v>25</v>
      </c>
      <c r="I587" s="5">
        <v>44593</v>
      </c>
      <c r="J587" s="6">
        <v>0</v>
      </c>
      <c r="K587" s="58">
        <v>0</v>
      </c>
      <c r="L587" s="6">
        <v>51.765999999999998</v>
      </c>
      <c r="M587" s="58">
        <v>51.765999999999998</v>
      </c>
      <c r="N587" s="6">
        <v>51.765999999999998</v>
      </c>
      <c r="O587" s="58">
        <v>51.765999999999998</v>
      </c>
      <c r="P587" s="6">
        <v>32</v>
      </c>
      <c r="Q587" s="4" t="s">
        <v>26</v>
      </c>
      <c r="R587" s="4">
        <v>0</v>
      </c>
      <c r="S587" s="6">
        <v>0</v>
      </c>
      <c r="T587" s="6">
        <v>77</v>
      </c>
      <c r="U587" s="6">
        <v>52</v>
      </c>
      <c r="V587" s="58">
        <f>IF(ISERROR(VLOOKUP($S$587,'TAR FIN'!$A$1:$O$92,15,0)),0,VLOOKUP($S$587,'TAR FIN'!$A$1:$O$92,15,0))</f>
        <v>0</v>
      </c>
      <c r="W587" s="58">
        <f>IF(ISERROR(VLOOKUP($T$587,'TAR FIN'!$A$1:$O$92,15,0)),0,VLOOKUP($T$587,'TAR FIN'!$A$1:$O$92,15,0))*(1-0.06)</f>
        <v>322.57979999999998</v>
      </c>
      <c r="X587" s="58">
        <f>IF(ISERROR(VLOOKUP($U$587,'TAR FIN'!$A$1:$O$92,15,0)),0,VLOOKUP($U$587,'TAR FIN'!$A$1:$O$92,15,0))*(1-0.06)</f>
        <v>285.32760000000002</v>
      </c>
      <c r="Y587" s="58"/>
      <c r="Z587" s="58">
        <f ca="1">('TUSD BE'!$AM$52+'TUSD BF'!$AM$52+'TUSD CVA'!$AM$52)*1*(1-0.03)</f>
        <v>457.62766803552091</v>
      </c>
      <c r="AA587" s="58">
        <f>('TE BE'!$AB$40+'TE BF'!$AB$40+'TE CVA'!$AB$40)*1*(1-0.03)</f>
        <v>278.54900889595518</v>
      </c>
      <c r="AB587" s="6">
        <f>$K$587*$V$587</f>
        <v>0</v>
      </c>
      <c r="AC587" s="6">
        <f>$M$587*$W$587</f>
        <v>16698.665926799997</v>
      </c>
      <c r="AD587" s="6">
        <f>$O$587*$X$587</f>
        <v>14770.2685416</v>
      </c>
      <c r="AE587" s="6">
        <f>$K$587*$Y$587</f>
        <v>0</v>
      </c>
      <c r="AF587" s="6">
        <f ca="1">$M$587*$Z$587</f>
        <v>23689.553863526773</v>
      </c>
      <c r="AG587" s="6">
        <f>$O$587*$AA$587</f>
        <v>14419.367994508015</v>
      </c>
    </row>
    <row r="588" spans="1:33" ht="11.25" hidden="1" customHeight="1" x14ac:dyDescent="0.3">
      <c r="A588" s="4" t="s">
        <v>21</v>
      </c>
      <c r="B588" s="4" t="s">
        <v>32</v>
      </c>
      <c r="C588" s="4" t="s">
        <v>23</v>
      </c>
      <c r="D588" s="4" t="s">
        <v>47</v>
      </c>
      <c r="E588" s="4" t="s">
        <v>48</v>
      </c>
      <c r="F588" s="4" t="s">
        <v>25</v>
      </c>
      <c r="G588" s="4" t="s">
        <v>25</v>
      </c>
      <c r="H588" s="4" t="s">
        <v>25</v>
      </c>
      <c r="I588" s="5">
        <v>44621</v>
      </c>
      <c r="J588" s="6">
        <v>0</v>
      </c>
      <c r="K588" s="58">
        <v>0</v>
      </c>
      <c r="L588" s="6">
        <v>43.442</v>
      </c>
      <c r="M588" s="58">
        <v>43.442</v>
      </c>
      <c r="N588" s="6">
        <v>43.442</v>
      </c>
      <c r="O588" s="58">
        <v>43.442</v>
      </c>
      <c r="P588" s="6">
        <v>32</v>
      </c>
      <c r="Q588" s="4" t="s">
        <v>26</v>
      </c>
      <c r="R588" s="4">
        <v>0</v>
      </c>
      <c r="S588" s="6">
        <v>0</v>
      </c>
      <c r="T588" s="6">
        <v>77</v>
      </c>
      <c r="U588" s="6">
        <v>52</v>
      </c>
      <c r="V588" s="58">
        <f>IF(ISERROR(VLOOKUP($S$588,'TAR FIN'!$A$1:$O$92,15,0)),0,VLOOKUP($S$588,'TAR FIN'!$A$1:$O$92,15,0))</f>
        <v>0</v>
      </c>
      <c r="W588" s="58">
        <f>IF(ISERROR(VLOOKUP($T$588,'TAR FIN'!$A$1:$O$92,15,0)),0,VLOOKUP($T$588,'TAR FIN'!$A$1:$O$92,15,0))*(1-0.06)</f>
        <v>322.57979999999998</v>
      </c>
      <c r="X588" s="58">
        <f>IF(ISERROR(VLOOKUP($U$588,'TAR FIN'!$A$1:$O$92,15,0)),0,VLOOKUP($U$588,'TAR FIN'!$A$1:$O$92,15,0))*(1-0.06)</f>
        <v>285.32760000000002</v>
      </c>
      <c r="Y588" s="58"/>
      <c r="Z588" s="58">
        <f ca="1">('TUSD BE'!$AM$52+'TUSD BF'!$AM$52+'TUSD CVA'!$AM$52)*1*(1-0.03)</f>
        <v>457.62766803552091</v>
      </c>
      <c r="AA588" s="58">
        <f>('TE BE'!$AB$40+'TE BF'!$AB$40+'TE CVA'!$AB$40)*1*(1-0.03)</f>
        <v>278.54900889595518</v>
      </c>
      <c r="AB588" s="6">
        <f>$K$588*$V$588</f>
        <v>0</v>
      </c>
      <c r="AC588" s="6">
        <f>$M$588*$W$588</f>
        <v>14013.511671599999</v>
      </c>
      <c r="AD588" s="6">
        <f>$O$588*$X$588</f>
        <v>12395.201599200002</v>
      </c>
      <c r="AE588" s="6">
        <f>$K$588*$Y$588</f>
        <v>0</v>
      </c>
      <c r="AF588" s="6">
        <f ca="1">$M$588*$Z$588</f>
        <v>19880.2611547991</v>
      </c>
      <c r="AG588" s="6">
        <f>$O$588*$AA$588</f>
        <v>12100.726044458084</v>
      </c>
    </row>
    <row r="589" spans="1:33" ht="11.25" hidden="1" customHeight="1" x14ac:dyDescent="0.3">
      <c r="A589" s="4" t="s">
        <v>21</v>
      </c>
      <c r="B589" s="4" t="s">
        <v>32</v>
      </c>
      <c r="C589" s="4" t="s">
        <v>23</v>
      </c>
      <c r="D589" s="4" t="s">
        <v>47</v>
      </c>
      <c r="E589" s="4" t="s">
        <v>48</v>
      </c>
      <c r="F589" s="4" t="s">
        <v>25</v>
      </c>
      <c r="G589" s="4" t="s">
        <v>25</v>
      </c>
      <c r="H589" s="4" t="s">
        <v>25</v>
      </c>
      <c r="I589" s="5">
        <v>44652</v>
      </c>
      <c r="J589" s="6">
        <v>0</v>
      </c>
      <c r="K589" s="58">
        <v>0</v>
      </c>
      <c r="L589" s="6">
        <v>43.895000000000003</v>
      </c>
      <c r="M589" s="58">
        <v>43.895000000000003</v>
      </c>
      <c r="N589" s="6">
        <v>43.895000000000003</v>
      </c>
      <c r="O589" s="58">
        <v>43.895000000000003</v>
      </c>
      <c r="P589" s="6">
        <v>32</v>
      </c>
      <c r="Q589" s="4" t="s">
        <v>26</v>
      </c>
      <c r="R589" s="4">
        <v>0</v>
      </c>
      <c r="S589" s="6">
        <v>0</v>
      </c>
      <c r="T589" s="6">
        <v>77</v>
      </c>
      <c r="U589" s="6">
        <v>52</v>
      </c>
      <c r="V589" s="58">
        <f>IF(ISERROR(VLOOKUP($S$589,'TAR FIN'!$A$1:$O$92,15,0)),0,VLOOKUP($S$589,'TAR FIN'!$A$1:$O$92,15,0))</f>
        <v>0</v>
      </c>
      <c r="W589" s="58">
        <f>IF(ISERROR(VLOOKUP($T$589,'TAR FIN'!$A$1:$O$92,15,0)),0,VLOOKUP($T$589,'TAR FIN'!$A$1:$O$92,15,0))*(1-0.06)</f>
        <v>322.57979999999998</v>
      </c>
      <c r="X589" s="58">
        <f>IF(ISERROR(VLOOKUP($U$589,'TAR FIN'!$A$1:$O$92,15,0)),0,VLOOKUP($U$589,'TAR FIN'!$A$1:$O$92,15,0))*(1-0.06)</f>
        <v>285.32760000000002</v>
      </c>
      <c r="Y589" s="58"/>
      <c r="Z589" s="58">
        <f ca="1">('TUSD BE'!$AM$52+'TUSD BF'!$AM$52+'TUSD CVA'!$AM$52)*1*(1-0.03)</f>
        <v>457.62766803552091</v>
      </c>
      <c r="AA589" s="58">
        <f>('TE BE'!$AB$40+'TE BF'!$AB$40+'TE CVA'!$AB$40)*1*(1-0.03)</f>
        <v>278.54900889595518</v>
      </c>
      <c r="AB589" s="6">
        <f>$K$589*$V$589</f>
        <v>0</v>
      </c>
      <c r="AC589" s="6">
        <f>$M$589*$W$589</f>
        <v>14159.640321000001</v>
      </c>
      <c r="AD589" s="6">
        <f>$O$589*$X$589</f>
        <v>12524.455002000002</v>
      </c>
      <c r="AE589" s="6">
        <f>$K$589*$Y$589</f>
        <v>0</v>
      </c>
      <c r="AF589" s="6">
        <f ca="1">$M$589*$Z$589</f>
        <v>20087.56648841919</v>
      </c>
      <c r="AG589" s="6">
        <f>$O$589*$AA$589</f>
        <v>12226.908745487954</v>
      </c>
    </row>
    <row r="590" spans="1:33" ht="11.25" hidden="1" customHeight="1" x14ac:dyDescent="0.3">
      <c r="A590" s="4" t="s">
        <v>21</v>
      </c>
      <c r="B590" s="4" t="s">
        <v>32</v>
      </c>
      <c r="C590" s="4" t="s">
        <v>23</v>
      </c>
      <c r="D590" s="4" t="s">
        <v>47</v>
      </c>
      <c r="E590" s="4" t="s">
        <v>48</v>
      </c>
      <c r="F590" s="4" t="s">
        <v>25</v>
      </c>
      <c r="G590" s="4" t="s">
        <v>25</v>
      </c>
      <c r="H590" s="4" t="s">
        <v>25</v>
      </c>
      <c r="I590" s="5">
        <v>44682</v>
      </c>
      <c r="J590" s="6">
        <v>0</v>
      </c>
      <c r="K590" s="58">
        <v>0</v>
      </c>
      <c r="L590" s="6">
        <v>40.804000000000002</v>
      </c>
      <c r="M590" s="58">
        <v>40.804000000000002</v>
      </c>
      <c r="N590" s="6">
        <v>40.804000000000002</v>
      </c>
      <c r="O590" s="58">
        <v>40.804000000000002</v>
      </c>
      <c r="P590" s="6">
        <v>32</v>
      </c>
      <c r="Q590" s="4" t="s">
        <v>26</v>
      </c>
      <c r="R590" s="4">
        <v>0</v>
      </c>
      <c r="S590" s="6">
        <v>0</v>
      </c>
      <c r="T590" s="6">
        <v>77</v>
      </c>
      <c r="U590" s="6">
        <v>52</v>
      </c>
      <c r="V590" s="58">
        <f>IF(ISERROR(VLOOKUP($S$590,'TAR FIN'!$A$1:$O$92,15,0)),0,VLOOKUP($S$590,'TAR FIN'!$A$1:$O$92,15,0))</f>
        <v>0</v>
      </c>
      <c r="W590" s="58">
        <f>IF(ISERROR(VLOOKUP($T$590,'TAR FIN'!$A$1:$O$92,15,0)),0,VLOOKUP($T$590,'TAR FIN'!$A$1:$O$92,15,0))*(1-0.06)</f>
        <v>322.57979999999998</v>
      </c>
      <c r="X590" s="58">
        <f>IF(ISERROR(VLOOKUP($U$590,'TAR FIN'!$A$1:$O$92,15,0)),0,VLOOKUP($U$590,'TAR FIN'!$A$1:$O$92,15,0))*(1-0.06)</f>
        <v>285.32760000000002</v>
      </c>
      <c r="Y590" s="58"/>
      <c r="Z590" s="58">
        <f ca="1">('TUSD BE'!$AM$52+'TUSD BF'!$AM$52+'TUSD CVA'!$AM$52)*1*(1-0.03)</f>
        <v>457.62766803552091</v>
      </c>
      <c r="AA590" s="58">
        <f>('TE BE'!$AB$40+'TE BF'!$AB$40+'TE CVA'!$AB$40)*1*(1-0.03)</f>
        <v>278.54900889595518</v>
      </c>
      <c r="AB590" s="6">
        <f>$K$590*$V$590</f>
        <v>0</v>
      </c>
      <c r="AC590" s="6">
        <f>$M$590*$W$590</f>
        <v>13162.546159199999</v>
      </c>
      <c r="AD590" s="6">
        <f>$O$590*$X$590</f>
        <v>11642.507390400002</v>
      </c>
      <c r="AE590" s="6">
        <f>$K$590*$Y$590</f>
        <v>0</v>
      </c>
      <c r="AF590" s="6">
        <f ca="1">$M$590*$Z$590</f>
        <v>18673.039366521396</v>
      </c>
      <c r="AG590" s="6">
        <f>$O$590*$AA$590</f>
        <v>11365.913758990557</v>
      </c>
    </row>
    <row r="591" spans="1:33" ht="11.25" hidden="1" customHeight="1" x14ac:dyDescent="0.3">
      <c r="A591" s="4" t="s">
        <v>21</v>
      </c>
      <c r="B591" s="4" t="s">
        <v>32</v>
      </c>
      <c r="C591" s="4" t="s">
        <v>23</v>
      </c>
      <c r="D591" s="4" t="s">
        <v>47</v>
      </c>
      <c r="E591" s="4" t="s">
        <v>48</v>
      </c>
      <c r="F591" s="4" t="s">
        <v>25</v>
      </c>
      <c r="G591" s="4" t="s">
        <v>25</v>
      </c>
      <c r="H591" s="4" t="s">
        <v>25</v>
      </c>
      <c r="I591" s="5">
        <v>44713</v>
      </c>
      <c r="J591" s="6">
        <v>0</v>
      </c>
      <c r="K591" s="58">
        <v>0</v>
      </c>
      <c r="L591" s="6">
        <v>38.534999999999997</v>
      </c>
      <c r="M591" s="58">
        <v>38.534999999999997</v>
      </c>
      <c r="N591" s="6">
        <v>38.534999999999997</v>
      </c>
      <c r="O591" s="58">
        <v>38.534999999999997</v>
      </c>
      <c r="P591" s="6">
        <v>32</v>
      </c>
      <c r="Q591" s="4" t="s">
        <v>26</v>
      </c>
      <c r="R591" s="4">
        <v>0</v>
      </c>
      <c r="S591" s="6">
        <v>0</v>
      </c>
      <c r="T591" s="6">
        <v>77</v>
      </c>
      <c r="U591" s="6">
        <v>52</v>
      </c>
      <c r="V591" s="58">
        <f>IF(ISERROR(VLOOKUP($S$591,'TAR FIN'!$A$1:$O$92,15,0)),0,VLOOKUP($S$591,'TAR FIN'!$A$1:$O$92,15,0))</f>
        <v>0</v>
      </c>
      <c r="W591" s="58">
        <f>IF(ISERROR(VLOOKUP($T$591,'TAR FIN'!$A$1:$O$92,15,0)),0,VLOOKUP($T$591,'TAR FIN'!$A$1:$O$92,15,0))*(1-0.06)</f>
        <v>322.57979999999998</v>
      </c>
      <c r="X591" s="58">
        <f>IF(ISERROR(VLOOKUP($U$591,'TAR FIN'!$A$1:$O$92,15,0)),0,VLOOKUP($U$591,'TAR FIN'!$A$1:$O$92,15,0))*(1-0.06)</f>
        <v>285.32760000000002</v>
      </c>
      <c r="Y591" s="58"/>
      <c r="Z591" s="58">
        <f ca="1">('TUSD BE'!$AM$52+'TUSD BF'!$AM$52+'TUSD CVA'!$AM$52)*1*(1-0.03)</f>
        <v>457.62766803552091</v>
      </c>
      <c r="AA591" s="58">
        <f>('TE BE'!$AB$40+'TE BF'!$AB$40+'TE CVA'!$AB$40)*1*(1-0.03)</f>
        <v>278.54900889595518</v>
      </c>
      <c r="AB591" s="6">
        <f>$K$591*$V$591</f>
        <v>0</v>
      </c>
      <c r="AC591" s="6">
        <f>$M$591*$W$591</f>
        <v>12430.612592999998</v>
      </c>
      <c r="AD591" s="6">
        <f>$O$591*$X$591</f>
        <v>10995.099065999999</v>
      </c>
      <c r="AE591" s="6">
        <f>$K$591*$Y$591</f>
        <v>0</v>
      </c>
      <c r="AF591" s="6">
        <f ca="1">$M$591*$Z$591</f>
        <v>17634.682187748796</v>
      </c>
      <c r="AG591" s="6">
        <f>$O$591*$AA$591</f>
        <v>10733.886057805632</v>
      </c>
    </row>
    <row r="592" spans="1:33" ht="11.25" hidden="1" customHeight="1" x14ac:dyDescent="0.3">
      <c r="A592" s="4" t="s">
        <v>21</v>
      </c>
      <c r="B592" s="4" t="s">
        <v>32</v>
      </c>
      <c r="C592" s="4" t="s">
        <v>23</v>
      </c>
      <c r="D592" s="4" t="s">
        <v>47</v>
      </c>
      <c r="E592" s="4" t="s">
        <v>48</v>
      </c>
      <c r="F592" s="4" t="s">
        <v>25</v>
      </c>
      <c r="G592" s="4" t="s">
        <v>25</v>
      </c>
      <c r="H592" s="4" t="s">
        <v>25</v>
      </c>
      <c r="I592" s="5">
        <v>44743</v>
      </c>
      <c r="J592" s="6">
        <v>0</v>
      </c>
      <c r="K592" s="58">
        <v>0</v>
      </c>
      <c r="L592" s="6">
        <v>35.773000000000003</v>
      </c>
      <c r="M592" s="58">
        <v>35.773000000000003</v>
      </c>
      <c r="N592" s="6">
        <v>35.773000000000003</v>
      </c>
      <c r="O592" s="58">
        <v>35.773000000000003</v>
      </c>
      <c r="P592" s="6">
        <v>32</v>
      </c>
      <c r="Q592" s="4" t="s">
        <v>26</v>
      </c>
      <c r="R592" s="4">
        <v>0</v>
      </c>
      <c r="S592" s="6">
        <v>0</v>
      </c>
      <c r="T592" s="6">
        <v>77</v>
      </c>
      <c r="U592" s="6">
        <v>52</v>
      </c>
      <c r="V592" s="58">
        <f>IF(ISERROR(VLOOKUP($S$592,'TAR FIN'!$A$1:$O$92,15,0)),0,VLOOKUP($S$592,'TAR FIN'!$A$1:$O$92,15,0))</f>
        <v>0</v>
      </c>
      <c r="W592" s="58">
        <f>IF(ISERROR(VLOOKUP($T$592,'TAR FIN'!$A$1:$O$92,15,0)),0,VLOOKUP($T$592,'TAR FIN'!$A$1:$O$92,15,0))*(1-0.06)</f>
        <v>322.57979999999998</v>
      </c>
      <c r="X592" s="58">
        <f>IF(ISERROR(VLOOKUP($U$592,'TAR FIN'!$A$1:$O$92,15,0)),0,VLOOKUP($U$592,'TAR FIN'!$A$1:$O$92,15,0))*(1-0.06)</f>
        <v>285.32760000000002</v>
      </c>
      <c r="Y592" s="58"/>
      <c r="Z592" s="58">
        <f ca="1">('TUSD BE'!$AM$52+'TUSD BF'!$AM$52+'TUSD CVA'!$AM$52)*1*(1-0.03)</f>
        <v>457.62766803552091</v>
      </c>
      <c r="AA592" s="58">
        <f>('TE BE'!$AB$40+'TE BF'!$AB$40+'TE CVA'!$AB$40)*1*(1-0.03)</f>
        <v>278.54900889595518</v>
      </c>
      <c r="AB592" s="6">
        <f>$K$592*$V$592</f>
        <v>0</v>
      </c>
      <c r="AC592" s="6">
        <f>$M$592*$W$592</f>
        <v>11539.647185400001</v>
      </c>
      <c r="AD592" s="6">
        <f>$O$592*$X$592</f>
        <v>10207.024234800001</v>
      </c>
      <c r="AE592" s="6">
        <f>$K$592*$Y$592</f>
        <v>0</v>
      </c>
      <c r="AF592" s="6">
        <f ca="1">$M$592*$Z$592</f>
        <v>16370.71456863469</v>
      </c>
      <c r="AG592" s="6">
        <f>$O$592*$AA$592</f>
        <v>9964.5336952350062</v>
      </c>
    </row>
    <row r="593" spans="1:33" ht="11.25" hidden="1" customHeight="1" x14ac:dyDescent="0.3">
      <c r="A593" s="4" t="s">
        <v>21</v>
      </c>
      <c r="B593" s="4" t="s">
        <v>44</v>
      </c>
      <c r="C593" s="4" t="s">
        <v>23</v>
      </c>
      <c r="D593" s="4" t="s">
        <v>45</v>
      </c>
      <c r="E593" s="4" t="s">
        <v>46</v>
      </c>
      <c r="F593" s="4" t="s">
        <v>25</v>
      </c>
      <c r="G593" s="4" t="s">
        <v>25</v>
      </c>
      <c r="H593" s="4" t="s">
        <v>25</v>
      </c>
      <c r="I593" s="5">
        <v>44409</v>
      </c>
      <c r="J593" s="6">
        <v>0</v>
      </c>
      <c r="K593" s="6">
        <v>0</v>
      </c>
      <c r="L593" s="6">
        <v>214.02199999999999</v>
      </c>
      <c r="M593" s="6">
        <v>214.02199999999999</v>
      </c>
      <c r="N593" s="6">
        <v>214.02199999999999</v>
      </c>
      <c r="O593" s="6">
        <v>214.02199999999999</v>
      </c>
      <c r="P593" s="6">
        <v>2</v>
      </c>
      <c r="Q593" s="4" t="s">
        <v>26</v>
      </c>
      <c r="R593" s="4">
        <v>0</v>
      </c>
      <c r="S593" s="6">
        <v>0</v>
      </c>
      <c r="T593" s="6">
        <v>79</v>
      </c>
      <c r="U593" s="6">
        <v>56</v>
      </c>
      <c r="V593" s="6">
        <f>IF(ISERROR(VLOOKUP($S$593,'TAR FIN'!$A$1:$O$92,15,0)),0,VLOOKUP($S$593,'TAR FIN'!$A$1:$O$92,15,0))</f>
        <v>0</v>
      </c>
      <c r="W593" s="6">
        <f>IF(ISERROR(VLOOKUP($T$593,'TAR FIN'!$A$1:$O$92,15,0)),0,VLOOKUP($T$593,'TAR FIN'!$A$1:$O$92,15,0))</f>
        <v>188.74</v>
      </c>
      <c r="X593" s="6">
        <f>IF(ISERROR(VLOOKUP($U$593,'TAR FIN'!$A$1:$O$92,15,0)),0,VLOOKUP($U$593,'TAR FIN'!$A$1:$O$92,15,0))</f>
        <v>166.95</v>
      </c>
      <c r="Y593" s="6"/>
      <c r="Z593" s="6">
        <f ca="1">('TUSD BE'!$AM$54+'TUSD BF'!$AM$54+'TUSD CVA'!$AM$54)*1</f>
        <v>259.47960558715107</v>
      </c>
      <c r="AA593" s="6">
        <f>('TE BE'!$AB$42+'TE BF'!$AB$42+'TE CVA'!$AB$42)*1</f>
        <v>157.94015968327355</v>
      </c>
      <c r="AB593" s="6">
        <f>$K$593*$V$593</f>
        <v>0</v>
      </c>
      <c r="AC593" s="6">
        <f>$M$593*$W$593</f>
        <v>40394.512280000003</v>
      </c>
      <c r="AD593" s="6">
        <f>$O$593*$X$593</f>
        <v>35730.972899999993</v>
      </c>
      <c r="AE593" s="6">
        <f>$K$593*$Y$593</f>
        <v>0</v>
      </c>
      <c r="AF593" s="6">
        <f ca="1">$M$593*$Z$593</f>
        <v>55534.344146973242</v>
      </c>
      <c r="AG593" s="6">
        <f>$O$593*$AA$593</f>
        <v>33802.668855733573</v>
      </c>
    </row>
    <row r="594" spans="1:33" ht="11.25" hidden="1" customHeight="1" x14ac:dyDescent="0.3">
      <c r="A594" s="4" t="s">
        <v>21</v>
      </c>
      <c r="B594" s="4" t="s">
        <v>44</v>
      </c>
      <c r="C594" s="4" t="s">
        <v>23</v>
      </c>
      <c r="D594" s="4" t="s">
        <v>45</v>
      </c>
      <c r="E594" s="4" t="s">
        <v>46</v>
      </c>
      <c r="F594" s="4" t="s">
        <v>25</v>
      </c>
      <c r="G594" s="4" t="s">
        <v>25</v>
      </c>
      <c r="H594" s="4" t="s">
        <v>25</v>
      </c>
      <c r="I594" s="5">
        <v>44440</v>
      </c>
      <c r="J594" s="6">
        <v>0</v>
      </c>
      <c r="K594" s="6">
        <v>0</v>
      </c>
      <c r="L594" s="6">
        <v>192.84399999999999</v>
      </c>
      <c r="M594" s="6">
        <v>192.84399999999999</v>
      </c>
      <c r="N594" s="6">
        <v>192.84399999999999</v>
      </c>
      <c r="O594" s="6">
        <v>192.84399999999999</v>
      </c>
      <c r="P594" s="6">
        <v>2</v>
      </c>
      <c r="Q594" s="4" t="s">
        <v>26</v>
      </c>
      <c r="R594" s="4">
        <v>0</v>
      </c>
      <c r="S594" s="6">
        <v>0</v>
      </c>
      <c r="T594" s="6">
        <v>79</v>
      </c>
      <c r="U594" s="6">
        <v>56</v>
      </c>
      <c r="V594" s="6">
        <f>IF(ISERROR(VLOOKUP($S$594,'TAR FIN'!$A$1:$O$92,15,0)),0,VLOOKUP($S$594,'TAR FIN'!$A$1:$O$92,15,0))</f>
        <v>0</v>
      </c>
      <c r="W594" s="6">
        <f>IF(ISERROR(VLOOKUP($T$594,'TAR FIN'!$A$1:$O$92,15,0)),0,VLOOKUP($T$594,'TAR FIN'!$A$1:$O$92,15,0))</f>
        <v>188.74</v>
      </c>
      <c r="X594" s="6">
        <f>IF(ISERROR(VLOOKUP($U$594,'TAR FIN'!$A$1:$O$92,15,0)),0,VLOOKUP($U$594,'TAR FIN'!$A$1:$O$92,15,0))</f>
        <v>166.95</v>
      </c>
      <c r="Y594" s="6"/>
      <c r="Z594" s="6">
        <f ca="1">('TUSD BE'!$AM$54+'TUSD BF'!$AM$54+'TUSD CVA'!$AM$54)*1</f>
        <v>259.47960558715107</v>
      </c>
      <c r="AA594" s="6">
        <f>('TE BE'!$AB$42+'TE BF'!$AB$42+'TE CVA'!$AB$42)*1</f>
        <v>157.94015968327355</v>
      </c>
      <c r="AB594" s="6">
        <f>$K$594*$V$594</f>
        <v>0</v>
      </c>
      <c r="AC594" s="6">
        <f>$M$594*$W$594</f>
        <v>36397.376560000004</v>
      </c>
      <c r="AD594" s="6">
        <f>$O$594*$X$594</f>
        <v>32195.305799999998</v>
      </c>
      <c r="AE594" s="6">
        <f>$K$594*$Y$594</f>
        <v>0</v>
      </c>
      <c r="AF594" s="6">
        <f ca="1">$M$594*$Z$594</f>
        <v>50039.085059848556</v>
      </c>
      <c r="AG594" s="6">
        <f>$O$594*$AA$594</f>
        <v>30457.812153961204</v>
      </c>
    </row>
    <row r="595" spans="1:33" ht="11.25" hidden="1" customHeight="1" x14ac:dyDescent="0.3">
      <c r="A595" s="4" t="s">
        <v>21</v>
      </c>
      <c r="B595" s="4" t="s">
        <v>44</v>
      </c>
      <c r="C595" s="4" t="s">
        <v>23</v>
      </c>
      <c r="D595" s="4" t="s">
        <v>45</v>
      </c>
      <c r="E595" s="4" t="s">
        <v>46</v>
      </c>
      <c r="F595" s="4" t="s">
        <v>25</v>
      </c>
      <c r="G595" s="4" t="s">
        <v>25</v>
      </c>
      <c r="H595" s="4" t="s">
        <v>25</v>
      </c>
      <c r="I595" s="5">
        <v>44470</v>
      </c>
      <c r="J595" s="6">
        <v>0</v>
      </c>
      <c r="K595" s="6">
        <v>0</v>
      </c>
      <c r="L595" s="6">
        <v>191.751</v>
      </c>
      <c r="M595" s="6">
        <v>191.751</v>
      </c>
      <c r="N595" s="6">
        <v>191.751</v>
      </c>
      <c r="O595" s="6">
        <v>191.751</v>
      </c>
      <c r="P595" s="6">
        <v>2</v>
      </c>
      <c r="Q595" s="4" t="s">
        <v>26</v>
      </c>
      <c r="R595" s="4">
        <v>0</v>
      </c>
      <c r="S595" s="6">
        <v>0</v>
      </c>
      <c r="T595" s="6">
        <v>79</v>
      </c>
      <c r="U595" s="6">
        <v>56</v>
      </c>
      <c r="V595" s="6">
        <f>IF(ISERROR(VLOOKUP($S$595,'TAR FIN'!$A$1:$O$92,15,0)),0,VLOOKUP($S$595,'TAR FIN'!$A$1:$O$92,15,0))</f>
        <v>0</v>
      </c>
      <c r="W595" s="6">
        <f>IF(ISERROR(VLOOKUP($T$595,'TAR FIN'!$A$1:$O$92,15,0)),0,VLOOKUP($T$595,'TAR FIN'!$A$1:$O$92,15,0))</f>
        <v>188.74</v>
      </c>
      <c r="X595" s="6">
        <f>IF(ISERROR(VLOOKUP($U$595,'TAR FIN'!$A$1:$O$92,15,0)),0,VLOOKUP($U$595,'TAR FIN'!$A$1:$O$92,15,0))</f>
        <v>166.95</v>
      </c>
      <c r="Y595" s="6"/>
      <c r="Z595" s="6">
        <f ca="1">('TUSD BE'!$AM$54+'TUSD BF'!$AM$54+'TUSD CVA'!$AM$54)*1</f>
        <v>259.47960558715107</v>
      </c>
      <c r="AA595" s="6">
        <f>('TE BE'!$AB$42+'TE BF'!$AB$42+'TE CVA'!$AB$42)*1</f>
        <v>157.94015968327355</v>
      </c>
      <c r="AB595" s="6">
        <f>$K$595*$V$595</f>
        <v>0</v>
      </c>
      <c r="AC595" s="6">
        <f>$M$595*$W$595</f>
        <v>36191.083740000002</v>
      </c>
      <c r="AD595" s="6">
        <f>$O$595*$X$595</f>
        <v>32012.829449999997</v>
      </c>
      <c r="AE595" s="6">
        <f>$K$595*$Y$595</f>
        <v>0</v>
      </c>
      <c r="AF595" s="6">
        <f ca="1">$M$595*$Z$595</f>
        <v>49755.473850941809</v>
      </c>
      <c r="AG595" s="6">
        <f>$O$595*$AA$595</f>
        <v>30285.183559427387</v>
      </c>
    </row>
    <row r="596" spans="1:33" ht="11.25" hidden="1" customHeight="1" x14ac:dyDescent="0.3">
      <c r="A596" s="4" t="s">
        <v>21</v>
      </c>
      <c r="B596" s="4" t="s">
        <v>44</v>
      </c>
      <c r="C596" s="4" t="s">
        <v>23</v>
      </c>
      <c r="D596" s="4" t="s">
        <v>45</v>
      </c>
      <c r="E596" s="4" t="s">
        <v>46</v>
      </c>
      <c r="F596" s="4" t="s">
        <v>25</v>
      </c>
      <c r="G596" s="4" t="s">
        <v>25</v>
      </c>
      <c r="H596" s="4" t="s">
        <v>25</v>
      </c>
      <c r="I596" s="5">
        <v>44501</v>
      </c>
      <c r="J596" s="6">
        <v>0</v>
      </c>
      <c r="K596" s="6">
        <v>0</v>
      </c>
      <c r="L596" s="6">
        <v>170.47399999999999</v>
      </c>
      <c r="M596" s="6">
        <v>170.47399999999999</v>
      </c>
      <c r="N596" s="6">
        <v>170.47399999999999</v>
      </c>
      <c r="O596" s="6">
        <v>170.47399999999999</v>
      </c>
      <c r="P596" s="6">
        <v>2</v>
      </c>
      <c r="Q596" s="4" t="s">
        <v>26</v>
      </c>
      <c r="R596" s="4">
        <v>0</v>
      </c>
      <c r="S596" s="6">
        <v>0</v>
      </c>
      <c r="T596" s="6">
        <v>79</v>
      </c>
      <c r="U596" s="6">
        <v>56</v>
      </c>
      <c r="V596" s="6">
        <f>IF(ISERROR(VLOOKUP($S$596,'TAR FIN'!$A$1:$O$92,15,0)),0,VLOOKUP($S$596,'TAR FIN'!$A$1:$O$92,15,0))</f>
        <v>0</v>
      </c>
      <c r="W596" s="6">
        <f>IF(ISERROR(VLOOKUP($T$596,'TAR FIN'!$A$1:$O$92,15,0)),0,VLOOKUP($T$596,'TAR FIN'!$A$1:$O$92,15,0))</f>
        <v>188.74</v>
      </c>
      <c r="X596" s="6">
        <f>IF(ISERROR(VLOOKUP($U$596,'TAR FIN'!$A$1:$O$92,15,0)),0,VLOOKUP($U$596,'TAR FIN'!$A$1:$O$92,15,0))</f>
        <v>166.95</v>
      </c>
      <c r="Y596" s="6"/>
      <c r="Z596" s="6">
        <f ca="1">('TUSD BE'!$AM$54+'TUSD BF'!$AM$54+'TUSD CVA'!$AM$54)*1</f>
        <v>259.47960558715107</v>
      </c>
      <c r="AA596" s="6">
        <f>('TE BE'!$AB$42+'TE BF'!$AB$42+'TE CVA'!$AB$42)*1</f>
        <v>157.94015968327355</v>
      </c>
      <c r="AB596" s="6">
        <f>$K$596*$V$596</f>
        <v>0</v>
      </c>
      <c r="AC596" s="6">
        <f>$M$596*$W$596</f>
        <v>32175.262759999998</v>
      </c>
      <c r="AD596" s="6">
        <f>$O$596*$X$596</f>
        <v>28460.634299999998</v>
      </c>
      <c r="AE596" s="6">
        <f>$K$596*$Y$596</f>
        <v>0</v>
      </c>
      <c r="AF596" s="6">
        <f ca="1">$M$596*$Z$596</f>
        <v>44234.52628286399</v>
      </c>
      <c r="AG596" s="6">
        <f>$O$596*$AA$596</f>
        <v>26924.690781846373</v>
      </c>
    </row>
    <row r="597" spans="1:33" ht="11.25" hidden="1" customHeight="1" x14ac:dyDescent="0.3">
      <c r="A597" s="4" t="s">
        <v>21</v>
      </c>
      <c r="B597" s="4" t="s">
        <v>44</v>
      </c>
      <c r="C597" s="4" t="s">
        <v>23</v>
      </c>
      <c r="D597" s="4" t="s">
        <v>45</v>
      </c>
      <c r="E597" s="4" t="s">
        <v>46</v>
      </c>
      <c r="F597" s="4" t="s">
        <v>25</v>
      </c>
      <c r="G597" s="4" t="s">
        <v>25</v>
      </c>
      <c r="H597" s="4" t="s">
        <v>25</v>
      </c>
      <c r="I597" s="5">
        <v>44531</v>
      </c>
      <c r="J597" s="6">
        <v>0</v>
      </c>
      <c r="K597" s="6">
        <v>0</v>
      </c>
      <c r="L597" s="6">
        <v>175.501</v>
      </c>
      <c r="M597" s="6">
        <v>175.501</v>
      </c>
      <c r="N597" s="6">
        <v>175.501</v>
      </c>
      <c r="O597" s="6">
        <v>175.501</v>
      </c>
      <c r="P597" s="6">
        <v>2</v>
      </c>
      <c r="Q597" s="4" t="s">
        <v>26</v>
      </c>
      <c r="R597" s="4">
        <v>0</v>
      </c>
      <c r="S597" s="6">
        <v>0</v>
      </c>
      <c r="T597" s="6">
        <v>79</v>
      </c>
      <c r="U597" s="6">
        <v>56</v>
      </c>
      <c r="V597" s="6">
        <f>IF(ISERROR(VLOOKUP($S$597,'TAR FIN'!$A$1:$O$92,15,0)),0,VLOOKUP($S$597,'TAR FIN'!$A$1:$O$92,15,0))</f>
        <v>0</v>
      </c>
      <c r="W597" s="6">
        <f>IF(ISERROR(VLOOKUP($T$597,'TAR FIN'!$A$1:$O$92,15,0)),0,VLOOKUP($T$597,'TAR FIN'!$A$1:$O$92,15,0))</f>
        <v>188.74</v>
      </c>
      <c r="X597" s="6">
        <f>IF(ISERROR(VLOOKUP($U$597,'TAR FIN'!$A$1:$O$92,15,0)),0,VLOOKUP($U$597,'TAR FIN'!$A$1:$O$92,15,0))</f>
        <v>166.95</v>
      </c>
      <c r="Y597" s="6"/>
      <c r="Z597" s="6">
        <f ca="1">('TUSD BE'!$AM$54+'TUSD BF'!$AM$54+'TUSD CVA'!$AM$54)*1</f>
        <v>259.47960558715107</v>
      </c>
      <c r="AA597" s="6">
        <f>('TE BE'!$AB$42+'TE BF'!$AB$42+'TE CVA'!$AB$42)*1</f>
        <v>157.94015968327355</v>
      </c>
      <c r="AB597" s="6">
        <f>$K$597*$V$597</f>
        <v>0</v>
      </c>
      <c r="AC597" s="6">
        <f>$M$597*$W$597</f>
        <v>33124.05874</v>
      </c>
      <c r="AD597" s="6">
        <f>$O$597*$X$597</f>
        <v>29299.891949999997</v>
      </c>
      <c r="AE597" s="6">
        <f>$K$597*$Y$597</f>
        <v>0</v>
      </c>
      <c r="AF597" s="6">
        <f ca="1">$M$597*$Z$597</f>
        <v>45538.930260150599</v>
      </c>
      <c r="AG597" s="6">
        <f>$O$597*$AA$597</f>
        <v>27718.655964574191</v>
      </c>
    </row>
    <row r="598" spans="1:33" ht="11.25" hidden="1" customHeight="1" x14ac:dyDescent="0.3">
      <c r="A598" s="4" t="s">
        <v>21</v>
      </c>
      <c r="B598" s="4" t="s">
        <v>44</v>
      </c>
      <c r="C598" s="4" t="s">
        <v>23</v>
      </c>
      <c r="D598" s="4" t="s">
        <v>45</v>
      </c>
      <c r="E598" s="4" t="s">
        <v>46</v>
      </c>
      <c r="F598" s="4" t="s">
        <v>25</v>
      </c>
      <c r="G598" s="4" t="s">
        <v>25</v>
      </c>
      <c r="H598" s="4" t="s">
        <v>25</v>
      </c>
      <c r="I598" s="5">
        <v>44562</v>
      </c>
      <c r="J598" s="6">
        <v>0</v>
      </c>
      <c r="K598" s="6">
        <v>0</v>
      </c>
      <c r="L598" s="6">
        <v>177.334</v>
      </c>
      <c r="M598" s="6">
        <v>177.334</v>
      </c>
      <c r="N598" s="6">
        <v>177.334</v>
      </c>
      <c r="O598" s="6">
        <v>177.334</v>
      </c>
      <c r="P598" s="6">
        <v>2</v>
      </c>
      <c r="Q598" s="4" t="s">
        <v>26</v>
      </c>
      <c r="R598" s="4">
        <v>0</v>
      </c>
      <c r="S598" s="6">
        <v>0</v>
      </c>
      <c r="T598" s="6">
        <v>79</v>
      </c>
      <c r="U598" s="6">
        <v>56</v>
      </c>
      <c r="V598" s="6">
        <f>IF(ISERROR(VLOOKUP($S$598,'TAR FIN'!$A$1:$O$92,15,0)),0,VLOOKUP($S$598,'TAR FIN'!$A$1:$O$92,15,0))</f>
        <v>0</v>
      </c>
      <c r="W598" s="6">
        <f>IF(ISERROR(VLOOKUP($T$598,'TAR FIN'!$A$1:$O$92,15,0)),0,VLOOKUP($T$598,'TAR FIN'!$A$1:$O$92,15,0))</f>
        <v>188.74</v>
      </c>
      <c r="X598" s="6">
        <f>IF(ISERROR(VLOOKUP($U$598,'TAR FIN'!$A$1:$O$92,15,0)),0,VLOOKUP($U$598,'TAR FIN'!$A$1:$O$92,15,0))</f>
        <v>166.95</v>
      </c>
      <c r="Y598" s="6"/>
      <c r="Z598" s="6">
        <f ca="1">('TUSD BE'!$AM$54+'TUSD BF'!$AM$54+'TUSD CVA'!$AM$54)*1</f>
        <v>259.47960558715107</v>
      </c>
      <c r="AA598" s="6">
        <f>('TE BE'!$AB$42+'TE BF'!$AB$42+'TE CVA'!$AB$42)*1</f>
        <v>157.94015968327355</v>
      </c>
      <c r="AB598" s="6">
        <f>$K$598*$V$598</f>
        <v>0</v>
      </c>
      <c r="AC598" s="6">
        <f>$M$598*$W$598</f>
        <v>33470.019160000003</v>
      </c>
      <c r="AD598" s="6">
        <f>$O$598*$X$598</f>
        <v>29605.9113</v>
      </c>
      <c r="AE598" s="6">
        <f>$K$598*$Y$598</f>
        <v>0</v>
      </c>
      <c r="AF598" s="6">
        <f ca="1">$M$598*$Z$598</f>
        <v>46014.556377191846</v>
      </c>
      <c r="AG598" s="6">
        <f>$O$598*$AA$598</f>
        <v>28008.160277273633</v>
      </c>
    </row>
    <row r="599" spans="1:33" ht="11.25" hidden="1" customHeight="1" x14ac:dyDescent="0.3">
      <c r="A599" s="4" t="s">
        <v>21</v>
      </c>
      <c r="B599" s="4" t="s">
        <v>44</v>
      </c>
      <c r="C599" s="4" t="s">
        <v>23</v>
      </c>
      <c r="D599" s="4" t="s">
        <v>45</v>
      </c>
      <c r="E599" s="4" t="s">
        <v>46</v>
      </c>
      <c r="F599" s="4" t="s">
        <v>25</v>
      </c>
      <c r="G599" s="4" t="s">
        <v>25</v>
      </c>
      <c r="H599" s="4" t="s">
        <v>25</v>
      </c>
      <c r="I599" s="5">
        <v>44593</v>
      </c>
      <c r="J599" s="6">
        <v>0</v>
      </c>
      <c r="K599" s="6">
        <v>0</v>
      </c>
      <c r="L599" s="6">
        <v>171.881</v>
      </c>
      <c r="M599" s="6">
        <v>171.881</v>
      </c>
      <c r="N599" s="6">
        <v>171.881</v>
      </c>
      <c r="O599" s="6">
        <v>171.881</v>
      </c>
      <c r="P599" s="6">
        <v>2</v>
      </c>
      <c r="Q599" s="4" t="s">
        <v>26</v>
      </c>
      <c r="R599" s="4">
        <v>0</v>
      </c>
      <c r="S599" s="6">
        <v>0</v>
      </c>
      <c r="T599" s="6">
        <v>79</v>
      </c>
      <c r="U599" s="6">
        <v>56</v>
      </c>
      <c r="V599" s="6">
        <f>IF(ISERROR(VLOOKUP($S$599,'TAR FIN'!$A$1:$O$92,15,0)),0,VLOOKUP($S$599,'TAR FIN'!$A$1:$O$92,15,0))</f>
        <v>0</v>
      </c>
      <c r="W599" s="6">
        <f>IF(ISERROR(VLOOKUP($T$599,'TAR FIN'!$A$1:$O$92,15,0)),0,VLOOKUP($T$599,'TAR FIN'!$A$1:$O$92,15,0))</f>
        <v>188.74</v>
      </c>
      <c r="X599" s="6">
        <f>IF(ISERROR(VLOOKUP($U$599,'TAR FIN'!$A$1:$O$92,15,0)),0,VLOOKUP($U$599,'TAR FIN'!$A$1:$O$92,15,0))</f>
        <v>166.95</v>
      </c>
      <c r="Y599" s="6"/>
      <c r="Z599" s="6">
        <f ca="1">('TUSD BE'!$AM$54+'TUSD BF'!$AM$54+'TUSD CVA'!$AM$54)*1</f>
        <v>259.47960558715107</v>
      </c>
      <c r="AA599" s="6">
        <f>('TE BE'!$AB$42+'TE BF'!$AB$42+'TE CVA'!$AB$42)*1</f>
        <v>157.94015968327355</v>
      </c>
      <c r="AB599" s="6">
        <f>$K$599*$V$599</f>
        <v>0</v>
      </c>
      <c r="AC599" s="6">
        <f>$M$599*$W$599</f>
        <v>32440.819940000001</v>
      </c>
      <c r="AD599" s="6">
        <f>$O$599*$X$599</f>
        <v>28695.532949999997</v>
      </c>
      <c r="AE599" s="6">
        <f>$K$599*$Y$599</f>
        <v>0</v>
      </c>
      <c r="AF599" s="6">
        <f ca="1">$M$599*$Z$599</f>
        <v>44599.614087925111</v>
      </c>
      <c r="AG599" s="6">
        <f>$O$599*$AA$599</f>
        <v>27146.912586520742</v>
      </c>
    </row>
    <row r="600" spans="1:33" ht="11.25" hidden="1" customHeight="1" x14ac:dyDescent="0.3">
      <c r="A600" s="4" t="s">
        <v>21</v>
      </c>
      <c r="B600" s="4" t="s">
        <v>44</v>
      </c>
      <c r="C600" s="4" t="s">
        <v>23</v>
      </c>
      <c r="D600" s="4" t="s">
        <v>45</v>
      </c>
      <c r="E600" s="4" t="s">
        <v>46</v>
      </c>
      <c r="F600" s="4" t="s">
        <v>25</v>
      </c>
      <c r="G600" s="4" t="s">
        <v>25</v>
      </c>
      <c r="H600" s="4" t="s">
        <v>25</v>
      </c>
      <c r="I600" s="5">
        <v>44621</v>
      </c>
      <c r="J600" s="6">
        <v>0</v>
      </c>
      <c r="K600" s="6">
        <v>0</v>
      </c>
      <c r="L600" s="6">
        <v>205.21799999999999</v>
      </c>
      <c r="M600" s="6">
        <v>205.21799999999999</v>
      </c>
      <c r="N600" s="6">
        <v>205.21799999999999</v>
      </c>
      <c r="O600" s="6">
        <v>205.21799999999999</v>
      </c>
      <c r="P600" s="6">
        <v>2</v>
      </c>
      <c r="Q600" s="4" t="s">
        <v>26</v>
      </c>
      <c r="R600" s="4">
        <v>0</v>
      </c>
      <c r="S600" s="6">
        <v>0</v>
      </c>
      <c r="T600" s="6">
        <v>79</v>
      </c>
      <c r="U600" s="6">
        <v>56</v>
      </c>
      <c r="V600" s="6">
        <f>IF(ISERROR(VLOOKUP($S$600,'TAR FIN'!$A$1:$O$92,15,0)),0,VLOOKUP($S$600,'TAR FIN'!$A$1:$O$92,15,0))</f>
        <v>0</v>
      </c>
      <c r="W600" s="6">
        <f>IF(ISERROR(VLOOKUP($T$600,'TAR FIN'!$A$1:$O$92,15,0)),0,VLOOKUP($T$600,'TAR FIN'!$A$1:$O$92,15,0))</f>
        <v>188.74</v>
      </c>
      <c r="X600" s="6">
        <f>IF(ISERROR(VLOOKUP($U$600,'TAR FIN'!$A$1:$O$92,15,0)),0,VLOOKUP($U$600,'TAR FIN'!$A$1:$O$92,15,0))</f>
        <v>166.95</v>
      </c>
      <c r="Y600" s="6"/>
      <c r="Z600" s="6">
        <f ca="1">('TUSD BE'!$AM$54+'TUSD BF'!$AM$54+'TUSD CVA'!$AM$54)*1</f>
        <v>259.47960558715107</v>
      </c>
      <c r="AA600" s="6">
        <f>('TE BE'!$AB$42+'TE BF'!$AB$42+'TE CVA'!$AB$42)*1</f>
        <v>157.94015968327355</v>
      </c>
      <c r="AB600" s="6">
        <f>$K$600*$V$600</f>
        <v>0</v>
      </c>
      <c r="AC600" s="6">
        <f>$M$600*$W$600</f>
        <v>38732.84532</v>
      </c>
      <c r="AD600" s="6">
        <f>$O$600*$X$600</f>
        <v>34261.145099999994</v>
      </c>
      <c r="AE600" s="6">
        <f>$K$600*$Y$600</f>
        <v>0</v>
      </c>
      <c r="AF600" s="6">
        <f ca="1">$M$600*$Z$600</f>
        <v>53249.885699383965</v>
      </c>
      <c r="AG600" s="6">
        <f>$O$600*$AA$600</f>
        <v>32412.163689882029</v>
      </c>
    </row>
    <row r="601" spans="1:33" ht="11.25" hidden="1" customHeight="1" x14ac:dyDescent="0.3">
      <c r="A601" s="4" t="s">
        <v>21</v>
      </c>
      <c r="B601" s="4" t="s">
        <v>44</v>
      </c>
      <c r="C601" s="4" t="s">
        <v>23</v>
      </c>
      <c r="D601" s="4" t="s">
        <v>45</v>
      </c>
      <c r="E601" s="4" t="s">
        <v>46</v>
      </c>
      <c r="F601" s="4" t="s">
        <v>25</v>
      </c>
      <c r="G601" s="4" t="s">
        <v>25</v>
      </c>
      <c r="H601" s="4" t="s">
        <v>25</v>
      </c>
      <c r="I601" s="5">
        <v>44652</v>
      </c>
      <c r="J601" s="6">
        <v>0</v>
      </c>
      <c r="K601" s="6">
        <v>0</v>
      </c>
      <c r="L601" s="6">
        <v>215.04300000000001</v>
      </c>
      <c r="M601" s="6">
        <v>215.04300000000001</v>
      </c>
      <c r="N601" s="6">
        <v>215.04300000000001</v>
      </c>
      <c r="O601" s="6">
        <v>215.04300000000001</v>
      </c>
      <c r="P601" s="6">
        <v>2</v>
      </c>
      <c r="Q601" s="4" t="s">
        <v>26</v>
      </c>
      <c r="R601" s="4">
        <v>0</v>
      </c>
      <c r="S601" s="6">
        <v>0</v>
      </c>
      <c r="T601" s="6">
        <v>79</v>
      </c>
      <c r="U601" s="6">
        <v>56</v>
      </c>
      <c r="V601" s="6">
        <f>IF(ISERROR(VLOOKUP($S$601,'TAR FIN'!$A$1:$O$92,15,0)),0,VLOOKUP($S$601,'TAR FIN'!$A$1:$O$92,15,0))</f>
        <v>0</v>
      </c>
      <c r="W601" s="6">
        <f>IF(ISERROR(VLOOKUP($T$601,'TAR FIN'!$A$1:$O$92,15,0)),0,VLOOKUP($T$601,'TAR FIN'!$A$1:$O$92,15,0))</f>
        <v>188.74</v>
      </c>
      <c r="X601" s="6">
        <f>IF(ISERROR(VLOOKUP($U$601,'TAR FIN'!$A$1:$O$92,15,0)),0,VLOOKUP($U$601,'TAR FIN'!$A$1:$O$92,15,0))</f>
        <v>166.95</v>
      </c>
      <c r="Y601" s="6"/>
      <c r="Z601" s="6">
        <f ca="1">('TUSD BE'!$AM$54+'TUSD BF'!$AM$54+'TUSD CVA'!$AM$54)*1</f>
        <v>259.47960558715107</v>
      </c>
      <c r="AA601" s="6">
        <f>('TE BE'!$AB$42+'TE BF'!$AB$42+'TE CVA'!$AB$42)*1</f>
        <v>157.94015968327355</v>
      </c>
      <c r="AB601" s="6">
        <f>$K$601*$V$601</f>
        <v>0</v>
      </c>
      <c r="AC601" s="6">
        <f>$M$601*$W$601</f>
        <v>40587.215820000005</v>
      </c>
      <c r="AD601" s="6">
        <f>$O$601*$X$601</f>
        <v>35901.428849999997</v>
      </c>
      <c r="AE601" s="6">
        <f>$K$601*$Y$601</f>
        <v>0</v>
      </c>
      <c r="AF601" s="6">
        <f ca="1">$M$601*$Z$601</f>
        <v>55799.27282427773</v>
      </c>
      <c r="AG601" s="6">
        <f>$O$601*$AA$601</f>
        <v>33963.925758770194</v>
      </c>
    </row>
    <row r="602" spans="1:33" ht="11.25" hidden="1" customHeight="1" x14ac:dyDescent="0.3">
      <c r="A602" s="4" t="s">
        <v>21</v>
      </c>
      <c r="B602" s="4" t="s">
        <v>44</v>
      </c>
      <c r="C602" s="4" t="s">
        <v>23</v>
      </c>
      <c r="D602" s="4" t="s">
        <v>45</v>
      </c>
      <c r="E602" s="4" t="s">
        <v>46</v>
      </c>
      <c r="F602" s="4" t="s">
        <v>25</v>
      </c>
      <c r="G602" s="4" t="s">
        <v>25</v>
      </c>
      <c r="H602" s="4" t="s">
        <v>25</v>
      </c>
      <c r="I602" s="5">
        <v>44682</v>
      </c>
      <c r="J602" s="6">
        <v>0</v>
      </c>
      <c r="K602" s="6">
        <v>0</v>
      </c>
      <c r="L602" s="6">
        <v>229.447</v>
      </c>
      <c r="M602" s="6">
        <v>229.447</v>
      </c>
      <c r="N602" s="6">
        <v>229.447</v>
      </c>
      <c r="O602" s="6">
        <v>229.447</v>
      </c>
      <c r="P602" s="6">
        <v>2</v>
      </c>
      <c r="Q602" s="4" t="s">
        <v>26</v>
      </c>
      <c r="R602" s="4">
        <v>0</v>
      </c>
      <c r="S602" s="6">
        <v>0</v>
      </c>
      <c r="T602" s="6">
        <v>79</v>
      </c>
      <c r="U602" s="6">
        <v>56</v>
      </c>
      <c r="V602" s="6">
        <f>IF(ISERROR(VLOOKUP($S$602,'TAR FIN'!$A$1:$O$92,15,0)),0,VLOOKUP($S$602,'TAR FIN'!$A$1:$O$92,15,0))</f>
        <v>0</v>
      </c>
      <c r="W602" s="6">
        <f>IF(ISERROR(VLOOKUP($T$602,'TAR FIN'!$A$1:$O$92,15,0)),0,VLOOKUP($T$602,'TAR FIN'!$A$1:$O$92,15,0))</f>
        <v>188.74</v>
      </c>
      <c r="X602" s="6">
        <f>IF(ISERROR(VLOOKUP($U$602,'TAR FIN'!$A$1:$O$92,15,0)),0,VLOOKUP($U$602,'TAR FIN'!$A$1:$O$92,15,0))</f>
        <v>166.95</v>
      </c>
      <c r="Y602" s="6"/>
      <c r="Z602" s="6">
        <f ca="1">('TUSD BE'!$AM$54+'TUSD BF'!$AM$54+'TUSD CVA'!$AM$54)*1</f>
        <v>259.47960558715107</v>
      </c>
      <c r="AA602" s="6">
        <f>('TE BE'!$AB$42+'TE BF'!$AB$42+'TE CVA'!$AB$42)*1</f>
        <v>157.94015968327355</v>
      </c>
      <c r="AB602" s="6">
        <f>$K$602*$V$602</f>
        <v>0</v>
      </c>
      <c r="AC602" s="6">
        <f>$M$602*$W$602</f>
        <v>43305.826780000003</v>
      </c>
      <c r="AD602" s="6">
        <f>$O$602*$X$602</f>
        <v>38306.176650000001</v>
      </c>
      <c r="AE602" s="6">
        <f>$K$602*$Y$602</f>
        <v>0</v>
      </c>
      <c r="AF602" s="6">
        <f ca="1">$M$602*$Z$602</f>
        <v>59536.817063155053</v>
      </c>
      <c r="AG602" s="6">
        <f>$O$602*$AA$602</f>
        <v>36238.895818848068</v>
      </c>
    </row>
    <row r="603" spans="1:33" ht="11.25" hidden="1" customHeight="1" x14ac:dyDescent="0.3">
      <c r="A603" s="4" t="s">
        <v>21</v>
      </c>
      <c r="B603" s="4" t="s">
        <v>44</v>
      </c>
      <c r="C603" s="4" t="s">
        <v>23</v>
      </c>
      <c r="D603" s="4" t="s">
        <v>45</v>
      </c>
      <c r="E603" s="4" t="s">
        <v>46</v>
      </c>
      <c r="F603" s="4" t="s">
        <v>25</v>
      </c>
      <c r="G603" s="4" t="s">
        <v>25</v>
      </c>
      <c r="H603" s="4" t="s">
        <v>25</v>
      </c>
      <c r="I603" s="5">
        <v>44713</v>
      </c>
      <c r="J603" s="6">
        <v>0</v>
      </c>
      <c r="K603" s="6">
        <v>0</v>
      </c>
      <c r="L603" s="6">
        <v>240.41900000000001</v>
      </c>
      <c r="M603" s="6">
        <v>240.41900000000001</v>
      </c>
      <c r="N603" s="6">
        <v>240.41900000000001</v>
      </c>
      <c r="O603" s="6">
        <v>240.41900000000001</v>
      </c>
      <c r="P603" s="6">
        <v>2</v>
      </c>
      <c r="Q603" s="4" t="s">
        <v>26</v>
      </c>
      <c r="R603" s="4">
        <v>0</v>
      </c>
      <c r="S603" s="6">
        <v>0</v>
      </c>
      <c r="T603" s="6">
        <v>79</v>
      </c>
      <c r="U603" s="6">
        <v>56</v>
      </c>
      <c r="V603" s="6">
        <f>IF(ISERROR(VLOOKUP($S$603,'TAR FIN'!$A$1:$O$92,15,0)),0,VLOOKUP($S$603,'TAR FIN'!$A$1:$O$92,15,0))</f>
        <v>0</v>
      </c>
      <c r="W603" s="6">
        <f>IF(ISERROR(VLOOKUP($T$603,'TAR FIN'!$A$1:$O$92,15,0)),0,VLOOKUP($T$603,'TAR FIN'!$A$1:$O$92,15,0))</f>
        <v>188.74</v>
      </c>
      <c r="X603" s="6">
        <f>IF(ISERROR(VLOOKUP($U$603,'TAR FIN'!$A$1:$O$92,15,0)),0,VLOOKUP($U$603,'TAR FIN'!$A$1:$O$92,15,0))</f>
        <v>166.95</v>
      </c>
      <c r="Y603" s="6"/>
      <c r="Z603" s="6">
        <f ca="1">('TUSD BE'!$AM$54+'TUSD BF'!$AM$54+'TUSD CVA'!$AM$54)*1</f>
        <v>259.47960558715107</v>
      </c>
      <c r="AA603" s="6">
        <f>('TE BE'!$AB$42+'TE BF'!$AB$42+'TE CVA'!$AB$42)*1</f>
        <v>157.94015968327355</v>
      </c>
      <c r="AB603" s="6">
        <f>$K$603*$V$603</f>
        <v>0</v>
      </c>
      <c r="AC603" s="6">
        <f>$M$603*$W$603</f>
        <v>45376.682060000006</v>
      </c>
      <c r="AD603" s="6">
        <f>$O$603*$X$603</f>
        <v>40137.95205</v>
      </c>
      <c r="AE603" s="6">
        <f>$K$603*$Y$603</f>
        <v>0</v>
      </c>
      <c r="AF603" s="6">
        <f ca="1">$M$603*$Z$603</f>
        <v>62383.827295657276</v>
      </c>
      <c r="AG603" s="6">
        <f>$O$603*$AA$603</f>
        <v>37971.815250892949</v>
      </c>
    </row>
    <row r="604" spans="1:33" ht="11.25" hidden="1" customHeight="1" x14ac:dyDescent="0.3">
      <c r="A604" s="4" t="s">
        <v>21</v>
      </c>
      <c r="B604" s="4" t="s">
        <v>44</v>
      </c>
      <c r="C604" s="4" t="s">
        <v>23</v>
      </c>
      <c r="D604" s="4" t="s">
        <v>45</v>
      </c>
      <c r="E604" s="4" t="s">
        <v>46</v>
      </c>
      <c r="F604" s="4" t="s">
        <v>25</v>
      </c>
      <c r="G604" s="4" t="s">
        <v>25</v>
      </c>
      <c r="H604" s="4" t="s">
        <v>25</v>
      </c>
      <c r="I604" s="5">
        <v>44743</v>
      </c>
      <c r="J604" s="6">
        <v>0</v>
      </c>
      <c r="K604" s="6">
        <v>0</v>
      </c>
      <c r="L604" s="6">
        <v>231.773</v>
      </c>
      <c r="M604" s="6">
        <v>231.773</v>
      </c>
      <c r="N604" s="6">
        <v>231.773</v>
      </c>
      <c r="O604" s="6">
        <v>231.773</v>
      </c>
      <c r="P604" s="6">
        <v>2</v>
      </c>
      <c r="Q604" s="4" t="s">
        <v>26</v>
      </c>
      <c r="R604" s="4">
        <v>0</v>
      </c>
      <c r="S604" s="6">
        <v>0</v>
      </c>
      <c r="T604" s="6">
        <v>79</v>
      </c>
      <c r="U604" s="6">
        <v>56</v>
      </c>
      <c r="V604" s="6">
        <f>IF(ISERROR(VLOOKUP($S$604,'TAR FIN'!$A$1:$O$92,15,0)),0,VLOOKUP($S$604,'TAR FIN'!$A$1:$O$92,15,0))</f>
        <v>0</v>
      </c>
      <c r="W604" s="6">
        <f>IF(ISERROR(VLOOKUP($T$604,'TAR FIN'!$A$1:$O$92,15,0)),0,VLOOKUP($T$604,'TAR FIN'!$A$1:$O$92,15,0))</f>
        <v>188.74</v>
      </c>
      <c r="X604" s="6">
        <f>IF(ISERROR(VLOOKUP($U$604,'TAR FIN'!$A$1:$O$92,15,0)),0,VLOOKUP($U$604,'TAR FIN'!$A$1:$O$92,15,0))</f>
        <v>166.95</v>
      </c>
      <c r="Y604" s="6"/>
      <c r="Z604" s="6">
        <f ca="1">('TUSD BE'!$AM$54+'TUSD BF'!$AM$54+'TUSD CVA'!$AM$54)*1</f>
        <v>259.47960558715107</v>
      </c>
      <c r="AA604" s="6">
        <f>('TE BE'!$AB$42+'TE BF'!$AB$42+'TE CVA'!$AB$42)*1</f>
        <v>157.94015968327355</v>
      </c>
      <c r="AB604" s="6">
        <f>$K$604*$V$604</f>
        <v>0</v>
      </c>
      <c r="AC604" s="6">
        <f>$M$604*$W$604</f>
        <v>43744.836020000002</v>
      </c>
      <c r="AD604" s="6">
        <f>$O$604*$X$604</f>
        <v>38694.502349999995</v>
      </c>
      <c r="AE604" s="6">
        <f>$K$604*$Y$604</f>
        <v>0</v>
      </c>
      <c r="AF604" s="6">
        <f ca="1">$M$604*$Z$604</f>
        <v>60140.366625750765</v>
      </c>
      <c r="AG604" s="6">
        <f>$O$604*$AA$604</f>
        <v>36606.264630271362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0B319-E6AA-4C23-A72B-5D6BAE328E3C}">
  <dimension ref="A1:AL605"/>
  <sheetViews>
    <sheetView showGridLines="0" topLeftCell="AA1" workbookViewId="0">
      <selection activeCell="AL2" sqref="AL2:AL9"/>
    </sheetView>
  </sheetViews>
  <sheetFormatPr defaultRowHeight="11.25" customHeight="1" x14ac:dyDescent="0.3"/>
  <cols>
    <col min="1" max="1" width="18" style="4" bestFit="1" customWidth="1"/>
    <col min="2" max="2" width="12.109375" style="4" bestFit="1" customWidth="1"/>
    <col min="3" max="3" width="13.5546875" style="4" bestFit="1" customWidth="1"/>
    <col min="4" max="4" width="10.44140625" style="4" bestFit="1" customWidth="1"/>
    <col min="5" max="5" width="23.109375" style="4" bestFit="1" customWidth="1"/>
    <col min="6" max="6" width="12.88671875" style="4" bestFit="1" customWidth="1"/>
    <col min="7" max="7" width="13.21875" style="4" bestFit="1" customWidth="1"/>
    <col min="8" max="8" width="9.5546875" style="4" bestFit="1" customWidth="1"/>
    <col min="9" max="9" width="10.77734375" style="5" bestFit="1" customWidth="1"/>
    <col min="10" max="10" width="7.109375" style="6" bestFit="1" customWidth="1"/>
    <col min="11" max="11" width="7.5546875" style="6" bestFit="1" customWidth="1"/>
    <col min="12" max="12" width="10.77734375" style="6" bestFit="1" customWidth="1"/>
    <col min="13" max="13" width="12.109375" style="6" bestFit="1" customWidth="1"/>
    <col min="14" max="14" width="8.6640625" style="6" bestFit="1" customWidth="1"/>
    <col min="15" max="15" width="10" style="6" bestFit="1" customWidth="1"/>
    <col min="16" max="16" width="7.21875" style="6" bestFit="1" customWidth="1"/>
    <col min="17" max="17" width="10.44140625" style="4" bestFit="1" customWidth="1"/>
    <col min="18" max="18" width="12.44140625" style="4" bestFit="1" customWidth="1"/>
    <col min="19" max="19" width="21.88671875" style="4" bestFit="1" customWidth="1"/>
    <col min="20" max="20" width="23.21875" style="4" bestFit="1" customWidth="1"/>
    <col min="21" max="21" width="21" style="4" bestFit="1" customWidth="1"/>
    <col min="22" max="22" width="14.88671875" style="4" bestFit="1" customWidth="1"/>
    <col min="23" max="23" width="16.21875" style="4" bestFit="1" customWidth="1"/>
    <col min="24" max="24" width="14.109375" style="4" bestFit="1" customWidth="1"/>
    <col min="25" max="25" width="19.5546875" style="4" bestFit="1" customWidth="1"/>
    <col min="26" max="26" width="20.88671875" style="4" bestFit="1" customWidth="1"/>
    <col min="27" max="27" width="18.77734375" style="4" bestFit="1" customWidth="1"/>
    <col min="28" max="28" width="18.21875" style="4" bestFit="1" customWidth="1"/>
    <col min="29" max="29" width="19.5546875" style="4" bestFit="1" customWidth="1"/>
    <col min="30" max="30" width="18.21875" style="4" bestFit="1" customWidth="1"/>
    <col min="31" max="31" width="19.5546875" style="4" bestFit="1" customWidth="1"/>
    <col min="32" max="32" width="31.6640625" style="4" bestFit="1" customWidth="1"/>
    <col min="33" max="33" width="8.88671875" style="4"/>
    <col min="34" max="34" width="31.6640625" style="4" bestFit="1" customWidth="1"/>
    <col min="35" max="36" width="9.109375" style="4" bestFit="1" customWidth="1"/>
    <col min="37" max="16384" width="8.88671875" style="4"/>
  </cols>
  <sheetData>
    <row r="1" spans="1:38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635</v>
      </c>
      <c r="W1" s="1" t="s">
        <v>636</v>
      </c>
      <c r="X1" s="1" t="s">
        <v>637</v>
      </c>
      <c r="Y1" s="1" t="s">
        <v>638</v>
      </c>
      <c r="Z1" s="1" t="s">
        <v>639</v>
      </c>
      <c r="AA1" s="1" t="s">
        <v>640</v>
      </c>
      <c r="AB1" s="1" t="s">
        <v>681</v>
      </c>
      <c r="AC1" s="1" t="s">
        <v>682</v>
      </c>
      <c r="AD1" s="1" t="s">
        <v>683</v>
      </c>
      <c r="AE1" s="1" t="s">
        <v>684</v>
      </c>
      <c r="AF1" s="1" t="s">
        <v>685</v>
      </c>
      <c r="AH1" s="40" t="s">
        <v>685</v>
      </c>
      <c r="AI1" s="40" t="s">
        <v>692</v>
      </c>
      <c r="AJ1" s="40" t="s">
        <v>693</v>
      </c>
    </row>
    <row r="2" spans="1:38" ht="11.25" customHeight="1" x14ac:dyDescent="0.3">
      <c r="A2" s="4" t="s">
        <v>21</v>
      </c>
      <c r="B2" s="4" t="s">
        <v>61</v>
      </c>
      <c r="C2" s="4" t="s">
        <v>54</v>
      </c>
      <c r="D2" s="4" t="s">
        <v>33</v>
      </c>
      <c r="E2" s="4" t="s">
        <v>25</v>
      </c>
      <c r="F2" s="4" t="s">
        <v>55</v>
      </c>
      <c r="G2" s="4" t="s">
        <v>25</v>
      </c>
      <c r="H2" s="4" t="s">
        <v>37</v>
      </c>
      <c r="I2" s="5">
        <v>44652</v>
      </c>
      <c r="J2" s="6">
        <v>3469.2</v>
      </c>
      <c r="K2" s="6">
        <v>1735.4571699359999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56</v>
      </c>
      <c r="R2" s="4">
        <v>0</v>
      </c>
      <c r="S2" s="4">
        <v>3</v>
      </c>
      <c r="T2" s="4">
        <v>0</v>
      </c>
      <c r="U2" s="4">
        <v>0</v>
      </c>
      <c r="V2" s="6">
        <f>IF(ISERROR(VLOOKUP($S$2,'TAR FIN'!$A$1:$O$92,15,0)),0,VLOOKUP($S$2,'TAR FIN'!$A$1:$O$92,15,0))</f>
        <v>13.87</v>
      </c>
      <c r="W2" s="6">
        <f>IF(ISERROR(VLOOKUP($T$2,'TAR FIN'!$A$1:$O$92,15,0)),0,VLOOKUP($T$2,'TAR FIN'!$A$1:$O$92,15,0))</f>
        <v>0</v>
      </c>
      <c r="X2" s="6">
        <f>IF(ISERROR(VLOOKUP($U$2,'TAR FIN'!$A$1:$O$92,15,0)),0,VLOOKUP($U$2,'TAR FIN'!$A$1:$O$92,15,0))</f>
        <v>0</v>
      </c>
      <c r="Y2" s="6">
        <f ca="1">('TUSD BE'!$AM$6+'TUSD BF'!$AM$6+'TUSD CVA'!$AM$6)*1</f>
        <v>17.732846540237446</v>
      </c>
      <c r="Z2" s="6">
        <f ca="1">('TUSD BE'!$AM$7+'TUSD BF'!$AM$7+'TUSD CVA'!$AM$7)*1</f>
        <v>108.4730198859402</v>
      </c>
      <c r="AA2" s="6"/>
      <c r="AB2" s="6">
        <f t="shared" ref="AB2:AB65" si="0">(J2-K2)*V2</f>
        <v>24047.013052987677</v>
      </c>
      <c r="AC2" s="6">
        <f t="shared" ref="AC2:AC33" si="1">(L2-M2)*W2+(N2-O2)*X2</f>
        <v>0</v>
      </c>
      <c r="AD2" s="6">
        <f t="shared" ref="AD2:AD65" ca="1" si="2">(J2-K2)*Y2</f>
        <v>30744.195545761879</v>
      </c>
      <c r="AE2" s="6">
        <f t="shared" ref="AE2:AE33" ca="1" si="3">(L2-M2)*Z2+(N2-O2)*AA2</f>
        <v>0</v>
      </c>
      <c r="AF2" s="4" t="s">
        <v>686</v>
      </c>
      <c r="AH2" s="41" t="s">
        <v>686</v>
      </c>
      <c r="AI2" s="42">
        <f t="shared" ref="AI2:AI9" si="4">SUMIF($AF$2:$AF$605,AH2,$AB$2:$AB$605)+SUMIF($AF$2:$AF$605,AH2,$AC$2:$AC$605)</f>
        <v>4530854.2313559651</v>
      </c>
      <c r="AJ2" s="42">
        <f t="shared" ref="AJ2:AJ9" ca="1" si="5">SUMIF($AF$2:$AF$605,AH2,$AD$2:$AD$605)+SUMIF($AF$2:$AF$605,AH2,$AE$2:$AE$605)</f>
        <v>5946309.1833406417</v>
      </c>
      <c r="AK2" s="4">
        <v>5946309.1833406417</v>
      </c>
      <c r="AL2" s="100">
        <f ca="1">AJ2-AK2</f>
        <v>0</v>
      </c>
    </row>
    <row r="3" spans="1:38" ht="11.25" customHeight="1" x14ac:dyDescent="0.3">
      <c r="A3" s="4" t="s">
        <v>21</v>
      </c>
      <c r="B3" s="4" t="s">
        <v>61</v>
      </c>
      <c r="C3" s="4" t="s">
        <v>54</v>
      </c>
      <c r="D3" s="4" t="s">
        <v>33</v>
      </c>
      <c r="E3" s="4" t="s">
        <v>25</v>
      </c>
      <c r="F3" s="4" t="s">
        <v>55</v>
      </c>
      <c r="G3" s="4" t="s">
        <v>25</v>
      </c>
      <c r="H3" s="4" t="s">
        <v>37</v>
      </c>
      <c r="I3" s="5">
        <v>44682</v>
      </c>
      <c r="J3" s="6">
        <v>3738</v>
      </c>
      <c r="K3" s="6">
        <v>1869.74565624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56</v>
      </c>
      <c r="R3" s="4">
        <v>0</v>
      </c>
      <c r="S3" s="4">
        <v>3</v>
      </c>
      <c r="T3" s="4">
        <v>0</v>
      </c>
      <c r="U3" s="4">
        <v>0</v>
      </c>
      <c r="V3" s="6">
        <f>IF(ISERROR(VLOOKUP($S$3,'TAR FIN'!$A$1:$O$92,15,0)),0,VLOOKUP($S$3,'TAR FIN'!$A$1:$O$92,15,0))</f>
        <v>13.87</v>
      </c>
      <c r="W3" s="6">
        <f>IF(ISERROR(VLOOKUP($T$3,'TAR FIN'!$A$1:$O$92,15,0)),0,VLOOKUP($T$3,'TAR FIN'!$A$1:$O$92,15,0))</f>
        <v>0</v>
      </c>
      <c r="X3" s="6">
        <f>IF(ISERROR(VLOOKUP($U$3,'TAR FIN'!$A$1:$O$92,15,0)),0,VLOOKUP($U$3,'TAR FIN'!$A$1:$O$92,15,0))</f>
        <v>0</v>
      </c>
      <c r="Y3" s="6">
        <f ca="1">('TUSD BE'!$AM$6+'TUSD BF'!$AM$6+'TUSD CVA'!$AM$6)*1</f>
        <v>17.732846540237446</v>
      </c>
      <c r="Z3" s="6">
        <f ca="1">('TUSD BE'!$AM$7+'TUSD BF'!$AM$7+'TUSD CVA'!$AM$7)*1</f>
        <v>108.4730198859402</v>
      </c>
      <c r="AA3" s="6"/>
      <c r="AB3" s="6">
        <f t="shared" si="0"/>
        <v>25912.687747951197</v>
      </c>
      <c r="AC3" s="6">
        <f t="shared" si="1"/>
        <v>0</v>
      </c>
      <c r="AD3" s="6">
        <f t="shared" ca="1" si="2"/>
        <v>33129.467576028095</v>
      </c>
      <c r="AE3" s="6">
        <f t="shared" ca="1" si="3"/>
        <v>0</v>
      </c>
      <c r="AF3" s="4" t="s">
        <v>686</v>
      </c>
      <c r="AH3" s="41" t="s">
        <v>687</v>
      </c>
      <c r="AI3" s="42">
        <f t="shared" si="4"/>
        <v>114840</v>
      </c>
      <c r="AJ3" s="42">
        <f t="shared" ca="1" si="5"/>
        <v>136779.87767418881</v>
      </c>
      <c r="AK3" s="4">
        <v>136779.87767418881</v>
      </c>
      <c r="AL3" s="100">
        <f t="shared" ref="AL3:AL9" ca="1" si="6">AJ3-AK3</f>
        <v>0</v>
      </c>
    </row>
    <row r="4" spans="1:38" ht="11.25" customHeight="1" x14ac:dyDescent="0.3">
      <c r="A4" s="4" t="s">
        <v>21</v>
      </c>
      <c r="B4" s="4" t="s">
        <v>61</v>
      </c>
      <c r="C4" s="4" t="s">
        <v>54</v>
      </c>
      <c r="D4" s="4" t="s">
        <v>33</v>
      </c>
      <c r="E4" s="4" t="s">
        <v>25</v>
      </c>
      <c r="F4" s="4" t="s">
        <v>55</v>
      </c>
      <c r="G4" s="4" t="s">
        <v>25</v>
      </c>
      <c r="H4" s="4" t="s">
        <v>37</v>
      </c>
      <c r="I4" s="5">
        <v>44713</v>
      </c>
      <c r="J4" s="6">
        <v>3763.2</v>
      </c>
      <c r="K4" s="6">
        <v>1900.6458562559999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56</v>
      </c>
      <c r="R4" s="4">
        <v>0</v>
      </c>
      <c r="S4" s="4">
        <v>3</v>
      </c>
      <c r="T4" s="4">
        <v>0</v>
      </c>
      <c r="U4" s="4">
        <v>0</v>
      </c>
      <c r="V4" s="6">
        <f>IF(ISERROR(VLOOKUP($S$4,'TAR FIN'!$A$1:$O$92,15,0)),0,VLOOKUP($S$4,'TAR FIN'!$A$1:$O$92,15,0))</f>
        <v>13.87</v>
      </c>
      <c r="W4" s="6">
        <f>IF(ISERROR(VLOOKUP($T$4,'TAR FIN'!$A$1:$O$92,15,0)),0,VLOOKUP($T$4,'TAR FIN'!$A$1:$O$92,15,0))</f>
        <v>0</v>
      </c>
      <c r="X4" s="6">
        <f>IF(ISERROR(VLOOKUP($U$4,'TAR FIN'!$A$1:$O$92,15,0)),0,VLOOKUP($U$4,'TAR FIN'!$A$1:$O$92,15,0))</f>
        <v>0</v>
      </c>
      <c r="Y4" s="6">
        <f ca="1">('TUSD BE'!$AM$6+'TUSD BF'!$AM$6+'TUSD CVA'!$AM$6)*1</f>
        <v>17.732846540237446</v>
      </c>
      <c r="Z4" s="6">
        <f ca="1">('TUSD BE'!$AM$7+'TUSD BF'!$AM$7+'TUSD CVA'!$AM$7)*1</f>
        <v>108.4730198859402</v>
      </c>
      <c r="AA4" s="6"/>
      <c r="AB4" s="6">
        <f t="shared" si="0"/>
        <v>25833.625973729278</v>
      </c>
      <c r="AC4" s="6">
        <f t="shared" si="1"/>
        <v>0</v>
      </c>
      <c r="AD4" s="6">
        <f t="shared" ca="1" si="2"/>
        <v>33028.386803895708</v>
      </c>
      <c r="AE4" s="6">
        <f t="shared" ca="1" si="3"/>
        <v>0</v>
      </c>
      <c r="AF4" s="4" t="s">
        <v>686</v>
      </c>
      <c r="AH4" s="41" t="s">
        <v>694</v>
      </c>
      <c r="AI4" s="42">
        <f t="shared" si="4"/>
        <v>0</v>
      </c>
      <c r="AJ4" s="42">
        <f t="shared" si="5"/>
        <v>0</v>
      </c>
      <c r="AK4" s="4">
        <v>0</v>
      </c>
      <c r="AL4" s="100">
        <f t="shared" si="6"/>
        <v>0</v>
      </c>
    </row>
    <row r="5" spans="1:38" ht="11.25" customHeight="1" x14ac:dyDescent="0.3">
      <c r="A5" s="4" t="s">
        <v>21</v>
      </c>
      <c r="B5" s="4" t="s">
        <v>61</v>
      </c>
      <c r="C5" s="4" t="s">
        <v>54</v>
      </c>
      <c r="D5" s="4" t="s">
        <v>33</v>
      </c>
      <c r="E5" s="4" t="s">
        <v>25</v>
      </c>
      <c r="F5" s="4" t="s">
        <v>55</v>
      </c>
      <c r="G5" s="4" t="s">
        <v>25</v>
      </c>
      <c r="H5" s="4" t="s">
        <v>37</v>
      </c>
      <c r="I5" s="5">
        <v>44743</v>
      </c>
      <c r="J5" s="6">
        <v>4100</v>
      </c>
      <c r="K5" s="6">
        <v>2087.3986829999999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56</v>
      </c>
      <c r="R5" s="4">
        <v>0</v>
      </c>
      <c r="S5" s="4">
        <v>3</v>
      </c>
      <c r="T5" s="4">
        <v>0</v>
      </c>
      <c r="U5" s="4">
        <v>0</v>
      </c>
      <c r="V5" s="6">
        <f>IF(ISERROR(VLOOKUP($S$5,'TAR FIN'!$A$1:$O$92,15,0)),0,VLOOKUP($S$5,'TAR FIN'!$A$1:$O$92,15,0))</f>
        <v>13.87</v>
      </c>
      <c r="W5" s="6">
        <f>IF(ISERROR(VLOOKUP($T$5,'TAR FIN'!$A$1:$O$92,15,0)),0,VLOOKUP($T$5,'TAR FIN'!$A$1:$O$92,15,0))</f>
        <v>0</v>
      </c>
      <c r="X5" s="6">
        <f>IF(ISERROR(VLOOKUP($U$5,'TAR FIN'!$A$1:$O$92,15,0)),0,VLOOKUP($U$5,'TAR FIN'!$A$1:$O$92,15,0))</f>
        <v>0</v>
      </c>
      <c r="Y5" s="6">
        <f ca="1">('TUSD BE'!$AM$6+'TUSD BF'!$AM$6+'TUSD CVA'!$AM$6)*1</f>
        <v>17.732846540237446</v>
      </c>
      <c r="Z5" s="6">
        <f ca="1">('TUSD BE'!$AM$7+'TUSD BF'!$AM$7+'TUSD CVA'!$AM$7)*1</f>
        <v>108.4730198859402</v>
      </c>
      <c r="AA5" s="6"/>
      <c r="AB5" s="6">
        <f t="shared" si="0"/>
        <v>27914.78026679</v>
      </c>
      <c r="AC5" s="6">
        <f t="shared" si="1"/>
        <v>0</v>
      </c>
      <c r="AD5" s="6">
        <f t="shared" ca="1" si="2"/>
        <v>35689.150301040783</v>
      </c>
      <c r="AE5" s="6">
        <f t="shared" ca="1" si="3"/>
        <v>0</v>
      </c>
      <c r="AF5" s="4" t="s">
        <v>686</v>
      </c>
      <c r="AH5" s="41" t="s">
        <v>691</v>
      </c>
      <c r="AI5" s="42">
        <f t="shared" si="4"/>
        <v>19391.754560400001</v>
      </c>
      <c r="AJ5" s="42">
        <f t="shared" ca="1" si="5"/>
        <v>11378.574402161223</v>
      </c>
      <c r="AK5" s="4">
        <v>11378.574402161223</v>
      </c>
      <c r="AL5" s="100">
        <f t="shared" ca="1" si="6"/>
        <v>0</v>
      </c>
    </row>
    <row r="6" spans="1:38" ht="11.25" customHeight="1" x14ac:dyDescent="0.3">
      <c r="A6" s="4" t="s">
        <v>21</v>
      </c>
      <c r="B6" s="4" t="s">
        <v>61</v>
      </c>
      <c r="C6" s="4" t="s">
        <v>54</v>
      </c>
      <c r="D6" s="4" t="s">
        <v>33</v>
      </c>
      <c r="E6" s="4" t="s">
        <v>25</v>
      </c>
      <c r="F6" s="4" t="s">
        <v>55</v>
      </c>
      <c r="G6" s="4" t="s">
        <v>25</v>
      </c>
      <c r="H6" s="4" t="s">
        <v>25</v>
      </c>
      <c r="I6" s="5">
        <v>44652</v>
      </c>
      <c r="J6" s="6">
        <v>0</v>
      </c>
      <c r="K6" s="6">
        <v>0</v>
      </c>
      <c r="L6" s="6">
        <v>1349.6216999999999</v>
      </c>
      <c r="M6" s="6">
        <v>1349.6216999999999</v>
      </c>
      <c r="N6" s="6">
        <v>0</v>
      </c>
      <c r="O6" s="6">
        <v>0</v>
      </c>
      <c r="P6" s="6">
        <v>1</v>
      </c>
      <c r="Q6" s="4" t="s">
        <v>56</v>
      </c>
      <c r="R6" s="4">
        <v>0</v>
      </c>
      <c r="S6" s="4">
        <v>0</v>
      </c>
      <c r="T6" s="4">
        <v>5</v>
      </c>
      <c r="U6" s="4">
        <v>0</v>
      </c>
      <c r="V6" s="6">
        <f>IF(ISERROR(VLOOKUP($S$6,'TAR FIN'!$A$1:$O$92,15,0)),0,VLOOKUP($S$6,'TAR FIN'!$A$1:$O$92,15,0))</f>
        <v>0</v>
      </c>
      <c r="W6" s="6">
        <f>IF(ISERROR(VLOOKUP($T$6,'TAR FIN'!$A$1:$O$92,15,0)),0,VLOOKUP($T$6,'TAR FIN'!$A$1:$O$92,15,0))</f>
        <v>57.86</v>
      </c>
      <c r="X6" s="6">
        <f>IF(ISERROR(VLOOKUP($U$6,'TAR FIN'!$A$1:$O$92,15,0)),0,VLOOKUP($U$6,'TAR FIN'!$A$1:$O$92,15,0))</f>
        <v>0</v>
      </c>
      <c r="Y6" s="6"/>
      <c r="Z6" s="6">
        <f ca="1">('TUSD BE'!$AM$7+'TUSD BF'!$AM$7+'TUSD CVA'!$AM$7)*1</f>
        <v>108.4730198859402</v>
      </c>
      <c r="AA6" s="6"/>
      <c r="AB6" s="6">
        <f t="shared" si="0"/>
        <v>0</v>
      </c>
      <c r="AC6" s="6">
        <f t="shared" si="1"/>
        <v>0</v>
      </c>
      <c r="AD6" s="6">
        <f t="shared" si="2"/>
        <v>0</v>
      </c>
      <c r="AE6" s="6">
        <f t="shared" ca="1" si="3"/>
        <v>0</v>
      </c>
      <c r="AF6" s="4" t="s">
        <v>686</v>
      </c>
      <c r="AH6" s="41" t="s">
        <v>689</v>
      </c>
      <c r="AI6" s="42">
        <f t="shared" si="4"/>
        <v>240237.0984000001</v>
      </c>
      <c r="AJ6" s="42">
        <f t="shared" ca="1" si="5"/>
        <v>140956.12780458393</v>
      </c>
      <c r="AK6" s="4">
        <v>140956.12780458393</v>
      </c>
      <c r="AL6" s="100">
        <f t="shared" ca="1" si="6"/>
        <v>0</v>
      </c>
    </row>
    <row r="7" spans="1:38" ht="11.25" customHeight="1" x14ac:dyDescent="0.3">
      <c r="A7" s="4" t="s">
        <v>21</v>
      </c>
      <c r="B7" s="4" t="s">
        <v>61</v>
      </c>
      <c r="C7" s="4" t="s">
        <v>54</v>
      </c>
      <c r="D7" s="4" t="s">
        <v>33</v>
      </c>
      <c r="E7" s="4" t="s">
        <v>25</v>
      </c>
      <c r="F7" s="4" t="s">
        <v>55</v>
      </c>
      <c r="G7" s="4" t="s">
        <v>25</v>
      </c>
      <c r="H7" s="4" t="s">
        <v>25</v>
      </c>
      <c r="I7" s="5">
        <v>44682</v>
      </c>
      <c r="J7" s="6">
        <v>0</v>
      </c>
      <c r="K7" s="6">
        <v>0</v>
      </c>
      <c r="L7" s="6">
        <v>2026.143</v>
      </c>
      <c r="M7" s="6">
        <v>2026.143</v>
      </c>
      <c r="N7" s="6">
        <v>0</v>
      </c>
      <c r="O7" s="6">
        <v>0</v>
      </c>
      <c r="P7" s="6">
        <v>1</v>
      </c>
      <c r="Q7" s="4" t="s">
        <v>56</v>
      </c>
      <c r="R7" s="4">
        <v>0</v>
      </c>
      <c r="S7" s="4">
        <v>0</v>
      </c>
      <c r="T7" s="4">
        <v>5</v>
      </c>
      <c r="U7" s="4">
        <v>0</v>
      </c>
      <c r="V7" s="6">
        <f>IF(ISERROR(VLOOKUP($S$7,'TAR FIN'!$A$1:$O$92,15,0)),0,VLOOKUP($S$7,'TAR FIN'!$A$1:$O$92,15,0))</f>
        <v>0</v>
      </c>
      <c r="W7" s="6">
        <f>IF(ISERROR(VLOOKUP($T$7,'TAR FIN'!$A$1:$O$92,15,0)),0,VLOOKUP($T$7,'TAR FIN'!$A$1:$O$92,15,0))</f>
        <v>57.86</v>
      </c>
      <c r="X7" s="6">
        <f>IF(ISERROR(VLOOKUP($U$7,'TAR FIN'!$A$1:$O$92,15,0)),0,VLOOKUP($U$7,'TAR FIN'!$A$1:$O$92,15,0))</f>
        <v>0</v>
      </c>
      <c r="Y7" s="6"/>
      <c r="Z7" s="6">
        <f ca="1">('TUSD BE'!$AM$7+'TUSD BF'!$AM$7+'TUSD CVA'!$AM$7)*1</f>
        <v>108.4730198859402</v>
      </c>
      <c r="AA7" s="6"/>
      <c r="AB7" s="6">
        <f t="shared" si="0"/>
        <v>0</v>
      </c>
      <c r="AC7" s="6">
        <f t="shared" si="1"/>
        <v>0</v>
      </c>
      <c r="AD7" s="6">
        <f t="shared" si="2"/>
        <v>0</v>
      </c>
      <c r="AE7" s="6">
        <f t="shared" ca="1" si="3"/>
        <v>0</v>
      </c>
      <c r="AF7" s="4" t="s">
        <v>686</v>
      </c>
      <c r="AH7" s="41" t="s">
        <v>690</v>
      </c>
      <c r="AI7" s="42">
        <f t="shared" si="4"/>
        <v>7300.6184699999994</v>
      </c>
      <c r="AJ7" s="42">
        <f t="shared" ca="1" si="5"/>
        <v>8250.266749098666</v>
      </c>
      <c r="AK7" s="4">
        <v>8250.266749098666</v>
      </c>
      <c r="AL7" s="100">
        <f t="shared" ca="1" si="6"/>
        <v>0</v>
      </c>
    </row>
    <row r="8" spans="1:38" ht="11.25" customHeight="1" x14ac:dyDescent="0.3">
      <c r="A8" s="4" t="s">
        <v>21</v>
      </c>
      <c r="B8" s="4" t="s">
        <v>61</v>
      </c>
      <c r="C8" s="4" t="s">
        <v>54</v>
      </c>
      <c r="D8" s="4" t="s">
        <v>33</v>
      </c>
      <c r="E8" s="4" t="s">
        <v>25</v>
      </c>
      <c r="F8" s="4" t="s">
        <v>55</v>
      </c>
      <c r="G8" s="4" t="s">
        <v>25</v>
      </c>
      <c r="H8" s="4" t="s">
        <v>25</v>
      </c>
      <c r="I8" s="5">
        <v>44713</v>
      </c>
      <c r="J8" s="6">
        <v>0</v>
      </c>
      <c r="K8" s="6">
        <v>0</v>
      </c>
      <c r="L8" s="6">
        <v>2090.6046000000001</v>
      </c>
      <c r="M8" s="6">
        <v>2090.6046000000001</v>
      </c>
      <c r="N8" s="6">
        <v>0</v>
      </c>
      <c r="O8" s="6">
        <v>0</v>
      </c>
      <c r="P8" s="6">
        <v>1</v>
      </c>
      <c r="Q8" s="4" t="s">
        <v>56</v>
      </c>
      <c r="R8" s="4">
        <v>0</v>
      </c>
      <c r="S8" s="4">
        <v>0</v>
      </c>
      <c r="T8" s="4">
        <v>5</v>
      </c>
      <c r="U8" s="4">
        <v>0</v>
      </c>
      <c r="V8" s="6">
        <f>IF(ISERROR(VLOOKUP($S$8,'TAR FIN'!$A$1:$O$92,15,0)),0,VLOOKUP($S$8,'TAR FIN'!$A$1:$O$92,15,0))</f>
        <v>0</v>
      </c>
      <c r="W8" s="6">
        <f>IF(ISERROR(VLOOKUP($T$8,'TAR FIN'!$A$1:$O$92,15,0)),0,VLOOKUP($T$8,'TAR FIN'!$A$1:$O$92,15,0))</f>
        <v>57.86</v>
      </c>
      <c r="X8" s="6">
        <f>IF(ISERROR(VLOOKUP($U$8,'TAR FIN'!$A$1:$O$92,15,0)),0,VLOOKUP($U$8,'TAR FIN'!$A$1:$O$92,15,0))</f>
        <v>0</v>
      </c>
      <c r="Y8" s="6"/>
      <c r="Z8" s="6">
        <f ca="1">('TUSD BE'!$AM$7+'TUSD BF'!$AM$7+'TUSD CVA'!$AM$7)*1</f>
        <v>108.4730198859402</v>
      </c>
      <c r="AA8" s="6"/>
      <c r="AB8" s="6">
        <f t="shared" si="0"/>
        <v>0</v>
      </c>
      <c r="AC8" s="6">
        <f t="shared" si="1"/>
        <v>0</v>
      </c>
      <c r="AD8" s="6">
        <f t="shared" si="2"/>
        <v>0</v>
      </c>
      <c r="AE8" s="6">
        <f t="shared" ca="1" si="3"/>
        <v>0</v>
      </c>
      <c r="AF8" s="4" t="s">
        <v>686</v>
      </c>
      <c r="AH8" s="41" t="s">
        <v>688</v>
      </c>
      <c r="AI8" s="42">
        <f t="shared" si="4"/>
        <v>118067.15847999994</v>
      </c>
      <c r="AJ8" s="42">
        <f t="shared" ca="1" si="5"/>
        <v>124677.26499290044</v>
      </c>
      <c r="AK8" s="4">
        <v>124677.26499290044</v>
      </c>
      <c r="AL8" s="100">
        <f t="shared" ca="1" si="6"/>
        <v>0</v>
      </c>
    </row>
    <row r="9" spans="1:38" ht="11.25" customHeight="1" x14ac:dyDescent="0.3">
      <c r="A9" s="4" t="s">
        <v>21</v>
      </c>
      <c r="B9" s="4" t="s">
        <v>61</v>
      </c>
      <c r="C9" s="4" t="s">
        <v>54</v>
      </c>
      <c r="D9" s="4" t="s">
        <v>33</v>
      </c>
      <c r="E9" s="4" t="s">
        <v>25</v>
      </c>
      <c r="F9" s="4" t="s">
        <v>55</v>
      </c>
      <c r="G9" s="4" t="s">
        <v>25</v>
      </c>
      <c r="H9" s="4" t="s">
        <v>25</v>
      </c>
      <c r="I9" s="5">
        <v>44743</v>
      </c>
      <c r="J9" s="6">
        <v>0</v>
      </c>
      <c r="K9" s="6">
        <v>0</v>
      </c>
      <c r="L9" s="6">
        <v>2175.5034000000001</v>
      </c>
      <c r="M9" s="6">
        <v>2175.5034000000001</v>
      </c>
      <c r="N9" s="6">
        <v>0</v>
      </c>
      <c r="O9" s="6">
        <v>0</v>
      </c>
      <c r="P9" s="6">
        <v>1</v>
      </c>
      <c r="Q9" s="4" t="s">
        <v>56</v>
      </c>
      <c r="R9" s="4">
        <v>0</v>
      </c>
      <c r="S9" s="4">
        <v>0</v>
      </c>
      <c r="T9" s="4">
        <v>5</v>
      </c>
      <c r="U9" s="4">
        <v>0</v>
      </c>
      <c r="V9" s="6">
        <f>IF(ISERROR(VLOOKUP($S$9,'TAR FIN'!$A$1:$O$92,15,0)),0,VLOOKUP($S$9,'TAR FIN'!$A$1:$O$92,15,0))</f>
        <v>0</v>
      </c>
      <c r="W9" s="6">
        <f>IF(ISERROR(VLOOKUP($T$9,'TAR FIN'!$A$1:$O$92,15,0)),0,VLOOKUP($T$9,'TAR FIN'!$A$1:$O$92,15,0))</f>
        <v>57.86</v>
      </c>
      <c r="X9" s="6">
        <f>IF(ISERROR(VLOOKUP($U$9,'TAR FIN'!$A$1:$O$92,15,0)),0,VLOOKUP($U$9,'TAR FIN'!$A$1:$O$92,15,0))</f>
        <v>0</v>
      </c>
      <c r="Y9" s="6"/>
      <c r="Z9" s="6">
        <f ca="1">('TUSD BE'!$AM$7+'TUSD BF'!$AM$7+'TUSD CVA'!$AM$7)*1</f>
        <v>108.4730198859402</v>
      </c>
      <c r="AA9" s="6"/>
      <c r="AB9" s="6">
        <f t="shared" si="0"/>
        <v>0</v>
      </c>
      <c r="AC9" s="6">
        <f t="shared" si="1"/>
        <v>0</v>
      </c>
      <c r="AD9" s="6">
        <f t="shared" si="2"/>
        <v>0</v>
      </c>
      <c r="AE9" s="6">
        <f t="shared" ca="1" si="3"/>
        <v>0</v>
      </c>
      <c r="AF9" s="4" t="s">
        <v>686</v>
      </c>
      <c r="AH9" s="41" t="s">
        <v>695</v>
      </c>
      <c r="AI9" s="42">
        <f t="shared" si="4"/>
        <v>0</v>
      </c>
      <c r="AJ9" s="42">
        <f t="shared" si="5"/>
        <v>0</v>
      </c>
      <c r="AK9" s="4">
        <v>0</v>
      </c>
      <c r="AL9" s="100">
        <f t="shared" si="6"/>
        <v>0</v>
      </c>
    </row>
    <row r="10" spans="1:38" ht="11.25" customHeight="1" x14ac:dyDescent="0.3">
      <c r="A10" s="4" t="s">
        <v>21</v>
      </c>
      <c r="B10" s="4" t="s">
        <v>61</v>
      </c>
      <c r="C10" s="4" t="s">
        <v>54</v>
      </c>
      <c r="D10" s="4" t="s">
        <v>33</v>
      </c>
      <c r="E10" s="4" t="s">
        <v>25</v>
      </c>
      <c r="F10" s="4" t="s">
        <v>55</v>
      </c>
      <c r="G10" s="4" t="s">
        <v>25</v>
      </c>
      <c r="H10" s="4" t="s">
        <v>36</v>
      </c>
      <c r="I10" s="5">
        <v>44652</v>
      </c>
      <c r="J10" s="6">
        <v>3427.2</v>
      </c>
      <c r="K10" s="6">
        <v>1714.446792576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56</v>
      </c>
      <c r="R10" s="4">
        <v>0</v>
      </c>
      <c r="S10" s="4">
        <v>1</v>
      </c>
      <c r="T10" s="4">
        <v>0</v>
      </c>
      <c r="U10" s="4">
        <v>0</v>
      </c>
      <c r="V10" s="6">
        <f>IF(ISERROR(VLOOKUP($S$10,'TAR FIN'!$A$1:$O$92,15,0)),0,VLOOKUP($S$10,'TAR FIN'!$A$1:$O$92,15,0))</f>
        <v>22.04</v>
      </c>
      <c r="W10" s="6">
        <f>IF(ISERROR(VLOOKUP($T$10,'TAR FIN'!$A$1:$O$92,15,0)),0,VLOOKUP($T$10,'TAR FIN'!$A$1:$O$92,15,0))</f>
        <v>0</v>
      </c>
      <c r="X10" s="6">
        <f>IF(ISERROR(VLOOKUP($U$10,'TAR FIN'!$A$1:$O$92,15,0)),0,VLOOKUP($U$10,'TAR FIN'!$A$1:$O$92,15,0))</f>
        <v>0</v>
      </c>
      <c r="Y10" s="6">
        <f ca="1">('TUSD BE'!$AM$5+'TUSD BF'!$AM$5+'TUSD CVA'!$AM$5)*1</f>
        <v>28.953484759196108</v>
      </c>
      <c r="Z10" s="6">
        <f ca="1">('TUSD BE'!$AM$7+'TUSD BF'!$AM$7+'TUSD CVA'!$AM$7)*1</f>
        <v>108.4730198859402</v>
      </c>
      <c r="AA10" s="6"/>
      <c r="AB10" s="6">
        <f t="shared" si="0"/>
        <v>37749.080691624957</v>
      </c>
      <c r="AC10" s="6">
        <f t="shared" si="1"/>
        <v>0</v>
      </c>
      <c r="AD10" s="6">
        <f t="shared" ca="1" si="2"/>
        <v>49590.173887415032</v>
      </c>
      <c r="AE10" s="6">
        <f t="shared" ca="1" si="3"/>
        <v>0</v>
      </c>
      <c r="AF10" s="4" t="s">
        <v>686</v>
      </c>
    </row>
    <row r="11" spans="1:38" ht="11.25" customHeight="1" x14ac:dyDescent="0.3">
      <c r="A11" s="4" t="s">
        <v>21</v>
      </c>
      <c r="B11" s="4" t="s">
        <v>61</v>
      </c>
      <c r="C11" s="4" t="s">
        <v>54</v>
      </c>
      <c r="D11" s="4" t="s">
        <v>33</v>
      </c>
      <c r="E11" s="4" t="s">
        <v>25</v>
      </c>
      <c r="F11" s="4" t="s">
        <v>55</v>
      </c>
      <c r="G11" s="4" t="s">
        <v>25</v>
      </c>
      <c r="H11" s="4" t="s">
        <v>36</v>
      </c>
      <c r="I11" s="5">
        <v>44682</v>
      </c>
      <c r="J11" s="6">
        <v>3679.2</v>
      </c>
      <c r="K11" s="6">
        <v>1840.333926816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56</v>
      </c>
      <c r="R11" s="4">
        <v>0</v>
      </c>
      <c r="S11" s="4">
        <v>1</v>
      </c>
      <c r="T11" s="4">
        <v>0</v>
      </c>
      <c r="U11" s="4">
        <v>0</v>
      </c>
      <c r="V11" s="6">
        <f>IF(ISERROR(VLOOKUP($S$11,'TAR FIN'!$A$1:$O$92,15,0)),0,VLOOKUP($S$11,'TAR FIN'!$A$1:$O$92,15,0))</f>
        <v>22.04</v>
      </c>
      <c r="W11" s="6">
        <f>IF(ISERROR(VLOOKUP($T$11,'TAR FIN'!$A$1:$O$92,15,0)),0,VLOOKUP($T$11,'TAR FIN'!$A$1:$O$92,15,0))</f>
        <v>0</v>
      </c>
      <c r="X11" s="6">
        <f>IF(ISERROR(VLOOKUP($U$11,'TAR FIN'!$A$1:$O$92,15,0)),0,VLOOKUP($U$11,'TAR FIN'!$A$1:$O$92,15,0))</f>
        <v>0</v>
      </c>
      <c r="Y11" s="6">
        <f ca="1">('TUSD BE'!$AM$5+'TUSD BF'!$AM$5+'TUSD CVA'!$AM$5)*1</f>
        <v>28.953484759196108</v>
      </c>
      <c r="Z11" s="6">
        <f ca="1">('TUSD BE'!$AM$7+'TUSD BF'!$AM$7+'TUSD CVA'!$AM$7)*1</f>
        <v>108.4730198859402</v>
      </c>
      <c r="AA11" s="6"/>
      <c r="AB11" s="6">
        <f t="shared" si="0"/>
        <v>40528.608252975355</v>
      </c>
      <c r="AC11" s="6">
        <f t="shared" si="1"/>
        <v>0</v>
      </c>
      <c r="AD11" s="6">
        <f t="shared" ca="1" si="2"/>
        <v>53241.58082413573</v>
      </c>
      <c r="AE11" s="6">
        <f t="shared" ca="1" si="3"/>
        <v>0</v>
      </c>
      <c r="AF11" s="4" t="s">
        <v>686</v>
      </c>
    </row>
    <row r="12" spans="1:38" ht="11.25" customHeight="1" x14ac:dyDescent="0.3">
      <c r="A12" s="4" t="s">
        <v>21</v>
      </c>
      <c r="B12" s="4" t="s">
        <v>61</v>
      </c>
      <c r="C12" s="4" t="s">
        <v>54</v>
      </c>
      <c r="D12" s="4" t="s">
        <v>33</v>
      </c>
      <c r="E12" s="4" t="s">
        <v>25</v>
      </c>
      <c r="F12" s="4" t="s">
        <v>55</v>
      </c>
      <c r="G12" s="4" t="s">
        <v>25</v>
      </c>
      <c r="H12" s="4" t="s">
        <v>36</v>
      </c>
      <c r="I12" s="5">
        <v>44713</v>
      </c>
      <c r="J12" s="6">
        <v>3670.8</v>
      </c>
      <c r="K12" s="6">
        <v>1853.9782124640001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56</v>
      </c>
      <c r="R12" s="4">
        <v>0</v>
      </c>
      <c r="S12" s="4">
        <v>1</v>
      </c>
      <c r="T12" s="4">
        <v>0</v>
      </c>
      <c r="U12" s="4">
        <v>0</v>
      </c>
      <c r="V12" s="6">
        <f>IF(ISERROR(VLOOKUP($S$12,'TAR FIN'!$A$1:$O$92,15,0)),0,VLOOKUP($S$12,'TAR FIN'!$A$1:$O$92,15,0))</f>
        <v>22.04</v>
      </c>
      <c r="W12" s="6">
        <f>IF(ISERROR(VLOOKUP($T$12,'TAR FIN'!$A$1:$O$92,15,0)),0,VLOOKUP($T$12,'TAR FIN'!$A$1:$O$92,15,0))</f>
        <v>0</v>
      </c>
      <c r="X12" s="6">
        <f>IF(ISERROR(VLOOKUP($U$12,'TAR FIN'!$A$1:$O$92,15,0)),0,VLOOKUP($U$12,'TAR FIN'!$A$1:$O$92,15,0))</f>
        <v>0</v>
      </c>
      <c r="Y12" s="6">
        <f ca="1">('TUSD BE'!$AM$5+'TUSD BF'!$AM$5+'TUSD CVA'!$AM$5)*1</f>
        <v>28.953484759196108</v>
      </c>
      <c r="Z12" s="6">
        <f ca="1">('TUSD BE'!$AM$7+'TUSD BF'!$AM$7+'TUSD CVA'!$AM$7)*1</f>
        <v>108.4730198859402</v>
      </c>
      <c r="AA12" s="6"/>
      <c r="AB12" s="6">
        <f t="shared" si="0"/>
        <v>40042.752197293441</v>
      </c>
      <c r="AC12" s="6">
        <f t="shared" si="1"/>
        <v>0</v>
      </c>
      <c r="AD12" s="6">
        <f t="shared" ca="1" si="2"/>
        <v>52603.321935599008</v>
      </c>
      <c r="AE12" s="6">
        <f t="shared" ca="1" si="3"/>
        <v>0</v>
      </c>
      <c r="AF12" s="4" t="s">
        <v>686</v>
      </c>
    </row>
    <row r="13" spans="1:38" ht="11.25" customHeight="1" x14ac:dyDescent="0.3">
      <c r="A13" s="4" t="s">
        <v>21</v>
      </c>
      <c r="B13" s="4" t="s">
        <v>61</v>
      </c>
      <c r="C13" s="4" t="s">
        <v>54</v>
      </c>
      <c r="D13" s="4" t="s">
        <v>33</v>
      </c>
      <c r="E13" s="4" t="s">
        <v>25</v>
      </c>
      <c r="F13" s="4" t="s">
        <v>55</v>
      </c>
      <c r="G13" s="4" t="s">
        <v>25</v>
      </c>
      <c r="H13" s="4" t="s">
        <v>36</v>
      </c>
      <c r="I13" s="5">
        <v>44743</v>
      </c>
      <c r="J13" s="6">
        <v>4100</v>
      </c>
      <c r="K13" s="6">
        <v>2087.3986829999999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56</v>
      </c>
      <c r="R13" s="4">
        <v>0</v>
      </c>
      <c r="S13" s="4">
        <v>1</v>
      </c>
      <c r="T13" s="4">
        <v>0</v>
      </c>
      <c r="U13" s="4">
        <v>0</v>
      </c>
      <c r="V13" s="6">
        <f>IF(ISERROR(VLOOKUP($S$13,'TAR FIN'!$A$1:$O$92,15,0)),0,VLOOKUP($S$13,'TAR FIN'!$A$1:$O$92,15,0))</f>
        <v>22.04</v>
      </c>
      <c r="W13" s="6">
        <f>IF(ISERROR(VLOOKUP($T$13,'TAR FIN'!$A$1:$O$92,15,0)),0,VLOOKUP($T$13,'TAR FIN'!$A$1:$O$92,15,0))</f>
        <v>0</v>
      </c>
      <c r="X13" s="6">
        <f>IF(ISERROR(VLOOKUP($U$13,'TAR FIN'!$A$1:$O$92,15,0)),0,VLOOKUP($U$13,'TAR FIN'!$A$1:$O$92,15,0))</f>
        <v>0</v>
      </c>
      <c r="Y13" s="6">
        <f ca="1">('TUSD BE'!$AM$5+'TUSD BF'!$AM$5+'TUSD CVA'!$AM$5)*1</f>
        <v>28.953484759196108</v>
      </c>
      <c r="Z13" s="6">
        <f ca="1">('TUSD BE'!$AM$7+'TUSD BF'!$AM$7+'TUSD CVA'!$AM$7)*1</f>
        <v>108.4730198859402</v>
      </c>
      <c r="AA13" s="6"/>
      <c r="AB13" s="6">
        <f t="shared" si="0"/>
        <v>44357.733026679998</v>
      </c>
      <c r="AC13" s="6">
        <f t="shared" si="1"/>
        <v>0</v>
      </c>
      <c r="AD13" s="6">
        <f t="shared" ca="1" si="2"/>
        <v>58271.821558097516</v>
      </c>
      <c r="AE13" s="6">
        <f t="shared" ca="1" si="3"/>
        <v>0</v>
      </c>
      <c r="AF13" s="4" t="s">
        <v>686</v>
      </c>
    </row>
    <row r="14" spans="1:38" ht="11.25" customHeight="1" x14ac:dyDescent="0.3">
      <c r="A14" s="4" t="s">
        <v>21</v>
      </c>
      <c r="B14" s="4" t="s">
        <v>34</v>
      </c>
      <c r="C14" s="4" t="s">
        <v>54</v>
      </c>
      <c r="D14" s="4" t="s">
        <v>33</v>
      </c>
      <c r="E14" s="4" t="s">
        <v>25</v>
      </c>
      <c r="F14" s="4" t="s">
        <v>55</v>
      </c>
      <c r="G14" s="4" t="s">
        <v>25</v>
      </c>
      <c r="H14" s="4" t="s">
        <v>37</v>
      </c>
      <c r="I14" s="5">
        <v>44409</v>
      </c>
      <c r="J14" s="6">
        <v>7449</v>
      </c>
      <c r="K14" s="6">
        <v>3724.7023148399999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4" t="s">
        <v>56</v>
      </c>
      <c r="R14" s="4">
        <v>0</v>
      </c>
      <c r="S14" s="4">
        <v>10</v>
      </c>
      <c r="T14" s="4">
        <v>0</v>
      </c>
      <c r="U14" s="4">
        <v>0</v>
      </c>
      <c r="V14" s="6">
        <f>IF(ISERROR(VLOOKUP($S$14,'TAR FIN'!$A$1:$O$92,15,0)),0,VLOOKUP($S$14,'TAR FIN'!$A$1:$O$92,15,0))</f>
        <v>18.489999999999998</v>
      </c>
      <c r="W14" s="6">
        <f>IF(ISERROR(VLOOKUP($T$14,'TAR FIN'!$A$1:$O$92,15,0)),0,VLOOKUP($T$14,'TAR FIN'!$A$1:$O$92,15,0))</f>
        <v>0</v>
      </c>
      <c r="X14" s="6">
        <f>IF(ISERROR(VLOOKUP($U$14,'TAR FIN'!$A$1:$O$92,15,0)),0,VLOOKUP($U$14,'TAR FIN'!$A$1:$O$92,15,0))</f>
        <v>0</v>
      </c>
      <c r="Y14" s="6">
        <f ca="1">('TUSD BE'!$AM$10+'TUSD BF'!$AM$10+'TUSD CVA'!$AM$10)*1</f>
        <v>23.643887023397856</v>
      </c>
      <c r="Z14" s="6">
        <f ca="1">('TUSD BE'!$AM$11+'TUSD BF'!$AM$11+'TUSD CVA'!$AM$11)*1</f>
        <v>139.98967941887983</v>
      </c>
      <c r="AA14" s="6"/>
      <c r="AB14" s="6">
        <f t="shared" si="0"/>
        <v>68862.264198608391</v>
      </c>
      <c r="AC14" s="6">
        <f t="shared" si="1"/>
        <v>0</v>
      </c>
      <c r="AD14" s="6">
        <f t="shared" ca="1" si="2"/>
        <v>88056.873709425199</v>
      </c>
      <c r="AE14" s="6">
        <f t="shared" ca="1" si="3"/>
        <v>0</v>
      </c>
      <c r="AF14" s="4" t="s">
        <v>686</v>
      </c>
    </row>
    <row r="15" spans="1:38" ht="11.25" customHeight="1" x14ac:dyDescent="0.3">
      <c r="A15" s="4" t="s">
        <v>21</v>
      </c>
      <c r="B15" s="4" t="s">
        <v>34</v>
      </c>
      <c r="C15" s="4" t="s">
        <v>54</v>
      </c>
      <c r="D15" s="4" t="s">
        <v>33</v>
      </c>
      <c r="E15" s="4" t="s">
        <v>25</v>
      </c>
      <c r="F15" s="4" t="s">
        <v>55</v>
      </c>
      <c r="G15" s="4" t="s">
        <v>25</v>
      </c>
      <c r="H15" s="4" t="s">
        <v>37</v>
      </c>
      <c r="I15" s="5">
        <v>44440</v>
      </c>
      <c r="J15" s="6">
        <v>7484</v>
      </c>
      <c r="K15" s="6">
        <v>3746.0831207199999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4" t="s">
        <v>56</v>
      </c>
      <c r="R15" s="4">
        <v>0</v>
      </c>
      <c r="S15" s="4">
        <v>10</v>
      </c>
      <c r="T15" s="4">
        <v>0</v>
      </c>
      <c r="U15" s="4">
        <v>0</v>
      </c>
      <c r="V15" s="6">
        <f>IF(ISERROR(VLOOKUP($S$15,'TAR FIN'!$A$1:$O$92,15,0)),0,VLOOKUP($S$15,'TAR FIN'!$A$1:$O$92,15,0))</f>
        <v>18.489999999999998</v>
      </c>
      <c r="W15" s="6">
        <f>IF(ISERROR(VLOOKUP($T$15,'TAR FIN'!$A$1:$O$92,15,0)),0,VLOOKUP($T$15,'TAR FIN'!$A$1:$O$92,15,0))</f>
        <v>0</v>
      </c>
      <c r="X15" s="6">
        <f>IF(ISERROR(VLOOKUP($U$15,'TAR FIN'!$A$1:$O$92,15,0)),0,VLOOKUP($U$15,'TAR FIN'!$A$1:$O$92,15,0))</f>
        <v>0</v>
      </c>
      <c r="Y15" s="6">
        <f ca="1">('TUSD BE'!$AM$10+'TUSD BF'!$AM$10+'TUSD CVA'!$AM$10)*1</f>
        <v>23.643887023397856</v>
      </c>
      <c r="Z15" s="6">
        <f ca="1">('TUSD BE'!$AM$11+'TUSD BF'!$AM$11+'TUSD CVA'!$AM$11)*1</f>
        <v>139.98967941887983</v>
      </c>
      <c r="AA15" s="6"/>
      <c r="AB15" s="6">
        <f t="shared" si="0"/>
        <v>69114.083097887196</v>
      </c>
      <c r="AC15" s="6">
        <f t="shared" si="1"/>
        <v>0</v>
      </c>
      <c r="AD15" s="6">
        <f t="shared" ca="1" si="2"/>
        <v>88378.884396548208</v>
      </c>
      <c r="AE15" s="6">
        <f t="shared" ca="1" si="3"/>
        <v>0</v>
      </c>
      <c r="AF15" s="4" t="s">
        <v>686</v>
      </c>
    </row>
    <row r="16" spans="1:38" ht="11.25" customHeight="1" x14ac:dyDescent="0.3">
      <c r="A16" s="4" t="s">
        <v>21</v>
      </c>
      <c r="B16" s="4" t="s">
        <v>34</v>
      </c>
      <c r="C16" s="4" t="s">
        <v>54</v>
      </c>
      <c r="D16" s="4" t="s">
        <v>33</v>
      </c>
      <c r="E16" s="4" t="s">
        <v>25</v>
      </c>
      <c r="F16" s="4" t="s">
        <v>55</v>
      </c>
      <c r="G16" s="4" t="s">
        <v>25</v>
      </c>
      <c r="H16" s="4" t="s">
        <v>37</v>
      </c>
      <c r="I16" s="5">
        <v>44470</v>
      </c>
      <c r="J16" s="6">
        <v>7491</v>
      </c>
      <c r="K16" s="6">
        <v>3748.5737071200001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4" t="s">
        <v>56</v>
      </c>
      <c r="R16" s="4">
        <v>0</v>
      </c>
      <c r="S16" s="4">
        <v>10</v>
      </c>
      <c r="T16" s="4">
        <v>0</v>
      </c>
      <c r="U16" s="4">
        <v>0</v>
      </c>
      <c r="V16" s="6">
        <f>IF(ISERROR(VLOOKUP($S$16,'TAR FIN'!$A$1:$O$92,15,0)),0,VLOOKUP($S$16,'TAR FIN'!$A$1:$O$92,15,0))</f>
        <v>18.489999999999998</v>
      </c>
      <c r="W16" s="6">
        <f>IF(ISERROR(VLOOKUP($T$16,'TAR FIN'!$A$1:$O$92,15,0)),0,VLOOKUP($T$16,'TAR FIN'!$A$1:$O$92,15,0))</f>
        <v>0</v>
      </c>
      <c r="X16" s="6">
        <f>IF(ISERROR(VLOOKUP($U$16,'TAR FIN'!$A$1:$O$92,15,0)),0,VLOOKUP($U$16,'TAR FIN'!$A$1:$O$92,15,0))</f>
        <v>0</v>
      </c>
      <c r="Y16" s="6">
        <f ca="1">('TUSD BE'!$AM$10+'TUSD BF'!$AM$10+'TUSD CVA'!$AM$10)*1</f>
        <v>23.643887023397856</v>
      </c>
      <c r="Z16" s="6">
        <f ca="1">('TUSD BE'!$AM$11+'TUSD BF'!$AM$11+'TUSD CVA'!$AM$11)*1</f>
        <v>139.98967941887983</v>
      </c>
      <c r="AA16" s="6"/>
      <c r="AB16" s="6">
        <f t="shared" si="0"/>
        <v>69197.462155351197</v>
      </c>
      <c r="AC16" s="6">
        <f t="shared" si="1"/>
        <v>0</v>
      </c>
      <c r="AD16" s="6">
        <f t="shared" ca="1" si="2"/>
        <v>88485.504462248369</v>
      </c>
      <c r="AE16" s="6">
        <f t="shared" ca="1" si="3"/>
        <v>0</v>
      </c>
      <c r="AF16" s="4" t="s">
        <v>686</v>
      </c>
    </row>
    <row r="17" spans="1:32" ht="11.25" customHeight="1" x14ac:dyDescent="0.3">
      <c r="A17" s="4" t="s">
        <v>21</v>
      </c>
      <c r="B17" s="4" t="s">
        <v>34</v>
      </c>
      <c r="C17" s="4" t="s">
        <v>54</v>
      </c>
      <c r="D17" s="4" t="s">
        <v>33</v>
      </c>
      <c r="E17" s="4" t="s">
        <v>25</v>
      </c>
      <c r="F17" s="4" t="s">
        <v>55</v>
      </c>
      <c r="G17" s="4" t="s">
        <v>25</v>
      </c>
      <c r="H17" s="4" t="s">
        <v>37</v>
      </c>
      <c r="I17" s="5">
        <v>44501</v>
      </c>
      <c r="J17" s="6">
        <v>7478</v>
      </c>
      <c r="K17" s="6">
        <v>3742.4309811799999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4" t="s">
        <v>56</v>
      </c>
      <c r="R17" s="4">
        <v>0</v>
      </c>
      <c r="S17" s="4">
        <v>10</v>
      </c>
      <c r="T17" s="4">
        <v>0</v>
      </c>
      <c r="U17" s="4">
        <v>0</v>
      </c>
      <c r="V17" s="6">
        <f>IF(ISERROR(VLOOKUP($S$17,'TAR FIN'!$A$1:$O$92,15,0)),0,VLOOKUP($S$17,'TAR FIN'!$A$1:$O$92,15,0))</f>
        <v>18.489999999999998</v>
      </c>
      <c r="W17" s="6">
        <f>IF(ISERROR(VLOOKUP($T$17,'TAR FIN'!$A$1:$O$92,15,0)),0,VLOOKUP($T$17,'TAR FIN'!$A$1:$O$92,15,0))</f>
        <v>0</v>
      </c>
      <c r="X17" s="6">
        <f>IF(ISERROR(VLOOKUP($U$17,'TAR FIN'!$A$1:$O$92,15,0)),0,VLOOKUP($U$17,'TAR FIN'!$A$1:$O$92,15,0))</f>
        <v>0</v>
      </c>
      <c r="Y17" s="6">
        <f ca="1">('TUSD BE'!$AM$10+'TUSD BF'!$AM$10+'TUSD CVA'!$AM$10)*1</f>
        <v>23.643887023397856</v>
      </c>
      <c r="Z17" s="6">
        <f ca="1">('TUSD BE'!$AM$11+'TUSD BF'!$AM$11+'TUSD CVA'!$AM$11)*1</f>
        <v>139.98967941887983</v>
      </c>
      <c r="AA17" s="6"/>
      <c r="AB17" s="6">
        <f t="shared" si="0"/>
        <v>69070.671157981793</v>
      </c>
      <c r="AC17" s="6">
        <f t="shared" si="1"/>
        <v>0</v>
      </c>
      <c r="AD17" s="6">
        <f t="shared" ca="1" si="2"/>
        <v>88323.371849085263</v>
      </c>
      <c r="AE17" s="6">
        <f t="shared" ca="1" si="3"/>
        <v>0</v>
      </c>
      <c r="AF17" s="4" t="s">
        <v>686</v>
      </c>
    </row>
    <row r="18" spans="1:32" ht="11.25" customHeight="1" x14ac:dyDescent="0.3">
      <c r="A18" s="4" t="s">
        <v>21</v>
      </c>
      <c r="B18" s="4" t="s">
        <v>34</v>
      </c>
      <c r="C18" s="4" t="s">
        <v>54</v>
      </c>
      <c r="D18" s="4" t="s">
        <v>33</v>
      </c>
      <c r="E18" s="4" t="s">
        <v>25</v>
      </c>
      <c r="F18" s="4" t="s">
        <v>55</v>
      </c>
      <c r="G18" s="4" t="s">
        <v>25</v>
      </c>
      <c r="H18" s="4" t="s">
        <v>37</v>
      </c>
      <c r="I18" s="5">
        <v>44531</v>
      </c>
      <c r="J18" s="6">
        <v>7501</v>
      </c>
      <c r="K18" s="6">
        <v>3759.8354445599998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4" t="s">
        <v>56</v>
      </c>
      <c r="R18" s="4">
        <v>0</v>
      </c>
      <c r="S18" s="4">
        <v>10</v>
      </c>
      <c r="T18" s="4">
        <v>0</v>
      </c>
      <c r="U18" s="4">
        <v>0</v>
      </c>
      <c r="V18" s="6">
        <f>IF(ISERROR(VLOOKUP($S$18,'TAR FIN'!$A$1:$O$92,15,0)),0,VLOOKUP($S$18,'TAR FIN'!$A$1:$O$92,15,0))</f>
        <v>18.489999999999998</v>
      </c>
      <c r="W18" s="6">
        <f>IF(ISERROR(VLOOKUP($T$18,'TAR FIN'!$A$1:$O$92,15,0)),0,VLOOKUP($T$18,'TAR FIN'!$A$1:$O$92,15,0))</f>
        <v>0</v>
      </c>
      <c r="X18" s="6">
        <f>IF(ISERROR(VLOOKUP($U$18,'TAR FIN'!$A$1:$O$92,15,0)),0,VLOOKUP($U$18,'TAR FIN'!$A$1:$O$92,15,0))</f>
        <v>0</v>
      </c>
      <c r="Y18" s="6">
        <f ca="1">('TUSD BE'!$AM$10+'TUSD BF'!$AM$10+'TUSD CVA'!$AM$10)*1</f>
        <v>23.643887023397856</v>
      </c>
      <c r="Z18" s="6">
        <f ca="1">('TUSD BE'!$AM$11+'TUSD BF'!$AM$11+'TUSD CVA'!$AM$11)*1</f>
        <v>139.98967941887983</v>
      </c>
      <c r="AA18" s="6"/>
      <c r="AB18" s="6">
        <f t="shared" si="0"/>
        <v>69174.132630085602</v>
      </c>
      <c r="AC18" s="6">
        <f t="shared" si="1"/>
        <v>0</v>
      </c>
      <c r="AD18" s="6">
        <f t="shared" ca="1" si="2"/>
        <v>88455.672084763821</v>
      </c>
      <c r="AE18" s="6">
        <f t="shared" ca="1" si="3"/>
        <v>0</v>
      </c>
      <c r="AF18" s="4" t="s">
        <v>686</v>
      </c>
    </row>
    <row r="19" spans="1:32" ht="11.25" customHeight="1" x14ac:dyDescent="0.3">
      <c r="A19" s="4" t="s">
        <v>21</v>
      </c>
      <c r="B19" s="4" t="s">
        <v>34</v>
      </c>
      <c r="C19" s="4" t="s">
        <v>54</v>
      </c>
      <c r="D19" s="4" t="s">
        <v>33</v>
      </c>
      <c r="E19" s="4" t="s">
        <v>25</v>
      </c>
      <c r="F19" s="4" t="s">
        <v>55</v>
      </c>
      <c r="G19" s="4" t="s">
        <v>25</v>
      </c>
      <c r="H19" s="4" t="s">
        <v>37</v>
      </c>
      <c r="I19" s="5">
        <v>44562</v>
      </c>
      <c r="J19" s="6">
        <v>7458</v>
      </c>
      <c r="K19" s="6">
        <v>3750.2420247599998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4" t="s">
        <v>56</v>
      </c>
      <c r="R19" s="4">
        <v>0</v>
      </c>
      <c r="S19" s="4">
        <v>10</v>
      </c>
      <c r="T19" s="4">
        <v>0</v>
      </c>
      <c r="U19" s="4">
        <v>0</v>
      </c>
      <c r="V19" s="6">
        <f>IF(ISERROR(VLOOKUP($S$19,'TAR FIN'!$A$1:$O$92,15,0)),0,VLOOKUP($S$19,'TAR FIN'!$A$1:$O$92,15,0))</f>
        <v>18.489999999999998</v>
      </c>
      <c r="W19" s="6">
        <f>IF(ISERROR(VLOOKUP($T$19,'TAR FIN'!$A$1:$O$92,15,0)),0,VLOOKUP($T$19,'TAR FIN'!$A$1:$O$92,15,0))</f>
        <v>0</v>
      </c>
      <c r="X19" s="6">
        <f>IF(ISERROR(VLOOKUP($U$19,'TAR FIN'!$A$1:$O$92,15,0)),0,VLOOKUP($U$19,'TAR FIN'!$A$1:$O$92,15,0))</f>
        <v>0</v>
      </c>
      <c r="Y19" s="6">
        <f ca="1">('TUSD BE'!$AM$10+'TUSD BF'!$AM$10+'TUSD CVA'!$AM$10)*1</f>
        <v>23.643887023397856</v>
      </c>
      <c r="Z19" s="6">
        <f ca="1">('TUSD BE'!$AM$11+'TUSD BF'!$AM$11+'TUSD CVA'!$AM$11)*1</f>
        <v>139.98967941887983</v>
      </c>
      <c r="AA19" s="6"/>
      <c r="AB19" s="6">
        <f t="shared" si="0"/>
        <v>68556.444962187597</v>
      </c>
      <c r="AC19" s="6">
        <f t="shared" si="1"/>
        <v>0</v>
      </c>
      <c r="AD19" s="6">
        <f t="shared" ca="1" si="2"/>
        <v>87665.810676676949</v>
      </c>
      <c r="AE19" s="6">
        <f t="shared" ca="1" si="3"/>
        <v>0</v>
      </c>
      <c r="AF19" s="4" t="s">
        <v>686</v>
      </c>
    </row>
    <row r="20" spans="1:32" ht="11.25" customHeight="1" x14ac:dyDescent="0.3">
      <c r="A20" s="4" t="s">
        <v>21</v>
      </c>
      <c r="B20" s="4" t="s">
        <v>34</v>
      </c>
      <c r="C20" s="4" t="s">
        <v>54</v>
      </c>
      <c r="D20" s="4" t="s">
        <v>33</v>
      </c>
      <c r="E20" s="4" t="s">
        <v>25</v>
      </c>
      <c r="F20" s="4" t="s">
        <v>55</v>
      </c>
      <c r="G20" s="4" t="s">
        <v>25</v>
      </c>
      <c r="H20" s="4" t="s">
        <v>37</v>
      </c>
      <c r="I20" s="5">
        <v>44593</v>
      </c>
      <c r="J20" s="6">
        <v>7471</v>
      </c>
      <c r="K20" s="6">
        <v>3737.6955774799999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4" t="s">
        <v>56</v>
      </c>
      <c r="R20" s="4">
        <v>0</v>
      </c>
      <c r="S20" s="4">
        <v>10</v>
      </c>
      <c r="T20" s="4">
        <v>0</v>
      </c>
      <c r="U20" s="4">
        <v>0</v>
      </c>
      <c r="V20" s="6">
        <f>IF(ISERROR(VLOOKUP($S$20,'TAR FIN'!$A$1:$O$92,15,0)),0,VLOOKUP($S$20,'TAR FIN'!$A$1:$O$92,15,0))</f>
        <v>18.489999999999998</v>
      </c>
      <c r="W20" s="6">
        <f>IF(ISERROR(VLOOKUP($T$20,'TAR FIN'!$A$1:$O$92,15,0)),0,VLOOKUP($T$20,'TAR FIN'!$A$1:$O$92,15,0))</f>
        <v>0</v>
      </c>
      <c r="X20" s="6">
        <f>IF(ISERROR(VLOOKUP($U$20,'TAR FIN'!$A$1:$O$92,15,0)),0,VLOOKUP($U$20,'TAR FIN'!$A$1:$O$92,15,0))</f>
        <v>0</v>
      </c>
      <c r="Y20" s="6">
        <f ca="1">('TUSD BE'!$AM$10+'TUSD BF'!$AM$10+'TUSD CVA'!$AM$10)*1</f>
        <v>23.643887023397856</v>
      </c>
      <c r="Z20" s="6">
        <f ca="1">('TUSD BE'!$AM$11+'TUSD BF'!$AM$11+'TUSD CVA'!$AM$11)*1</f>
        <v>139.98967941887983</v>
      </c>
      <c r="AA20" s="6"/>
      <c r="AB20" s="6">
        <f t="shared" si="0"/>
        <v>69028.798772394803</v>
      </c>
      <c r="AC20" s="6">
        <f t="shared" si="1"/>
        <v>0</v>
      </c>
      <c r="AD20" s="6">
        <f t="shared" ca="1" si="2"/>
        <v>88269.827990014455</v>
      </c>
      <c r="AE20" s="6">
        <f t="shared" ca="1" si="3"/>
        <v>0</v>
      </c>
      <c r="AF20" s="4" t="s">
        <v>686</v>
      </c>
    </row>
    <row r="21" spans="1:32" ht="11.25" customHeight="1" x14ac:dyDescent="0.3">
      <c r="A21" s="4" t="s">
        <v>21</v>
      </c>
      <c r="B21" s="4" t="s">
        <v>34</v>
      </c>
      <c r="C21" s="4" t="s">
        <v>54</v>
      </c>
      <c r="D21" s="4" t="s">
        <v>33</v>
      </c>
      <c r="E21" s="4" t="s">
        <v>25</v>
      </c>
      <c r="F21" s="4" t="s">
        <v>55</v>
      </c>
      <c r="G21" s="4" t="s">
        <v>25</v>
      </c>
      <c r="H21" s="4" t="s">
        <v>37</v>
      </c>
      <c r="I21" s="5">
        <v>44621</v>
      </c>
      <c r="J21" s="6">
        <v>7050</v>
      </c>
      <c r="K21" s="6">
        <v>3526.0792139999999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4" t="s">
        <v>56</v>
      </c>
      <c r="R21" s="4">
        <v>0</v>
      </c>
      <c r="S21" s="4">
        <v>10</v>
      </c>
      <c r="T21" s="4">
        <v>0</v>
      </c>
      <c r="U21" s="4">
        <v>0</v>
      </c>
      <c r="V21" s="6">
        <f>IF(ISERROR(VLOOKUP($S$21,'TAR FIN'!$A$1:$O$92,15,0)),0,VLOOKUP($S$21,'TAR FIN'!$A$1:$O$92,15,0))</f>
        <v>18.489999999999998</v>
      </c>
      <c r="W21" s="6">
        <f>IF(ISERROR(VLOOKUP($T$21,'TAR FIN'!$A$1:$O$92,15,0)),0,VLOOKUP($T$21,'TAR FIN'!$A$1:$O$92,15,0))</f>
        <v>0</v>
      </c>
      <c r="X21" s="6">
        <f>IF(ISERROR(VLOOKUP($U$21,'TAR FIN'!$A$1:$O$92,15,0)),0,VLOOKUP($U$21,'TAR FIN'!$A$1:$O$92,15,0))</f>
        <v>0</v>
      </c>
      <c r="Y21" s="6">
        <f ca="1">('TUSD BE'!$AM$10+'TUSD BF'!$AM$10+'TUSD CVA'!$AM$10)*1</f>
        <v>23.643887023397856</v>
      </c>
      <c r="Z21" s="6">
        <f ca="1">('TUSD BE'!$AM$11+'TUSD BF'!$AM$11+'TUSD CVA'!$AM$11)*1</f>
        <v>139.98967941887983</v>
      </c>
      <c r="AA21" s="6"/>
      <c r="AB21" s="6">
        <f t="shared" si="0"/>
        <v>65157.295333139999</v>
      </c>
      <c r="AC21" s="6">
        <f t="shared" si="1"/>
        <v>0</v>
      </c>
      <c r="AD21" s="6">
        <f t="shared" ca="1" si="2"/>
        <v>83319.184943587374</v>
      </c>
      <c r="AE21" s="6">
        <f t="shared" ca="1" si="3"/>
        <v>0</v>
      </c>
      <c r="AF21" s="4" t="s">
        <v>686</v>
      </c>
    </row>
    <row r="22" spans="1:32" ht="11.25" customHeight="1" x14ac:dyDescent="0.3">
      <c r="A22" s="4" t="s">
        <v>21</v>
      </c>
      <c r="B22" s="4" t="s">
        <v>34</v>
      </c>
      <c r="C22" s="4" t="s">
        <v>54</v>
      </c>
      <c r="D22" s="4" t="s">
        <v>33</v>
      </c>
      <c r="E22" s="4" t="s">
        <v>25</v>
      </c>
      <c r="F22" s="4" t="s">
        <v>55</v>
      </c>
      <c r="G22" s="4" t="s">
        <v>25</v>
      </c>
      <c r="H22" s="4" t="s">
        <v>37</v>
      </c>
      <c r="I22" s="5">
        <v>44652</v>
      </c>
      <c r="J22" s="6">
        <v>7050</v>
      </c>
      <c r="K22" s="6">
        <v>3527.2197630000001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4" t="s">
        <v>56</v>
      </c>
      <c r="R22" s="4">
        <v>0</v>
      </c>
      <c r="S22" s="4">
        <v>10</v>
      </c>
      <c r="T22" s="4">
        <v>0</v>
      </c>
      <c r="U22" s="4">
        <v>0</v>
      </c>
      <c r="V22" s="6">
        <f>IF(ISERROR(VLOOKUP($S$22,'TAR FIN'!$A$1:$O$92,15,0)),0,VLOOKUP($S$22,'TAR FIN'!$A$1:$O$92,15,0))</f>
        <v>18.489999999999998</v>
      </c>
      <c r="W22" s="6">
        <f>IF(ISERROR(VLOOKUP($T$22,'TAR FIN'!$A$1:$O$92,15,0)),0,VLOOKUP($T$22,'TAR FIN'!$A$1:$O$92,15,0))</f>
        <v>0</v>
      </c>
      <c r="X22" s="6">
        <f>IF(ISERROR(VLOOKUP($U$22,'TAR FIN'!$A$1:$O$92,15,0)),0,VLOOKUP($U$22,'TAR FIN'!$A$1:$O$92,15,0))</f>
        <v>0</v>
      </c>
      <c r="Y22" s="6">
        <f ca="1">('TUSD BE'!$AM$10+'TUSD BF'!$AM$10+'TUSD CVA'!$AM$10)*1</f>
        <v>23.643887023397856</v>
      </c>
      <c r="Z22" s="6">
        <f ca="1">('TUSD BE'!$AM$11+'TUSD BF'!$AM$11+'TUSD CVA'!$AM$11)*1</f>
        <v>139.98967941887983</v>
      </c>
      <c r="AA22" s="6"/>
      <c r="AB22" s="6">
        <f t="shared" si="0"/>
        <v>65136.206582129991</v>
      </c>
      <c r="AC22" s="6">
        <f t="shared" si="1"/>
        <v>0</v>
      </c>
      <c r="AD22" s="6">
        <f t="shared" ca="1" si="2"/>
        <v>83292.217931886727</v>
      </c>
      <c r="AE22" s="6">
        <f t="shared" ca="1" si="3"/>
        <v>0</v>
      </c>
      <c r="AF22" s="4" t="s">
        <v>686</v>
      </c>
    </row>
    <row r="23" spans="1:32" ht="11.25" customHeight="1" x14ac:dyDescent="0.3">
      <c r="A23" s="4" t="s">
        <v>21</v>
      </c>
      <c r="B23" s="4" t="s">
        <v>34</v>
      </c>
      <c r="C23" s="4" t="s">
        <v>54</v>
      </c>
      <c r="D23" s="4" t="s">
        <v>33</v>
      </c>
      <c r="E23" s="4" t="s">
        <v>25</v>
      </c>
      <c r="F23" s="4" t="s">
        <v>55</v>
      </c>
      <c r="G23" s="4" t="s">
        <v>25</v>
      </c>
      <c r="H23" s="4" t="s">
        <v>37</v>
      </c>
      <c r="I23" s="5">
        <v>44682</v>
      </c>
      <c r="J23" s="6">
        <v>4250</v>
      </c>
      <c r="K23" s="6">
        <v>2125.60707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4" t="s">
        <v>56</v>
      </c>
      <c r="R23" s="4">
        <v>0</v>
      </c>
      <c r="S23" s="4">
        <v>10</v>
      </c>
      <c r="T23" s="4">
        <v>0</v>
      </c>
      <c r="U23" s="4">
        <v>0</v>
      </c>
      <c r="V23" s="6">
        <f>IF(ISERROR(VLOOKUP($S$23,'TAR FIN'!$A$1:$O$92,15,0)),0,VLOOKUP($S$23,'TAR FIN'!$A$1:$O$92,15,0))</f>
        <v>18.489999999999998</v>
      </c>
      <c r="W23" s="6">
        <f>IF(ISERROR(VLOOKUP($T$23,'TAR FIN'!$A$1:$O$92,15,0)),0,VLOOKUP($T$23,'TAR FIN'!$A$1:$O$92,15,0))</f>
        <v>0</v>
      </c>
      <c r="X23" s="6">
        <f>IF(ISERROR(VLOOKUP($U$23,'TAR FIN'!$A$1:$O$92,15,0)),0,VLOOKUP($U$23,'TAR FIN'!$A$1:$O$92,15,0))</f>
        <v>0</v>
      </c>
      <c r="Y23" s="6">
        <f ca="1">('TUSD BE'!$AM$10+'TUSD BF'!$AM$10+'TUSD CVA'!$AM$10)*1</f>
        <v>23.643887023397856</v>
      </c>
      <c r="Z23" s="6">
        <f ca="1">('TUSD BE'!$AM$11+'TUSD BF'!$AM$11+'TUSD CVA'!$AM$11)*1</f>
        <v>139.98967941887983</v>
      </c>
      <c r="AA23" s="6"/>
      <c r="AB23" s="6">
        <f t="shared" si="0"/>
        <v>39280.025275699998</v>
      </c>
      <c r="AC23" s="6">
        <f t="shared" si="1"/>
        <v>0</v>
      </c>
      <c r="AD23" s="6">
        <f t="shared" ca="1" si="2"/>
        <v>50228.90643022515</v>
      </c>
      <c r="AE23" s="6">
        <f t="shared" ca="1" si="3"/>
        <v>0</v>
      </c>
      <c r="AF23" s="4" t="s">
        <v>686</v>
      </c>
    </row>
    <row r="24" spans="1:32" ht="11.25" customHeight="1" x14ac:dyDescent="0.3">
      <c r="A24" s="4" t="s">
        <v>21</v>
      </c>
      <c r="B24" s="4" t="s">
        <v>34</v>
      </c>
      <c r="C24" s="4" t="s">
        <v>54</v>
      </c>
      <c r="D24" s="4" t="s">
        <v>33</v>
      </c>
      <c r="E24" s="4" t="s">
        <v>25</v>
      </c>
      <c r="F24" s="4" t="s">
        <v>55</v>
      </c>
      <c r="G24" s="4" t="s">
        <v>25</v>
      </c>
      <c r="H24" s="4" t="s">
        <v>37</v>
      </c>
      <c r="I24" s="5">
        <v>44713</v>
      </c>
      <c r="J24" s="6">
        <v>4250</v>
      </c>
      <c r="K24" s="6">
        <v>2139.1935125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4" t="s">
        <v>56</v>
      </c>
      <c r="R24" s="4">
        <v>0</v>
      </c>
      <c r="S24" s="4">
        <v>10</v>
      </c>
      <c r="T24" s="4">
        <v>0</v>
      </c>
      <c r="U24" s="4">
        <v>0</v>
      </c>
      <c r="V24" s="6">
        <f>IF(ISERROR(VLOOKUP($S$24,'TAR FIN'!$A$1:$O$92,15,0)),0,VLOOKUP($S$24,'TAR FIN'!$A$1:$O$92,15,0))</f>
        <v>18.489999999999998</v>
      </c>
      <c r="W24" s="6">
        <f>IF(ISERROR(VLOOKUP($T$24,'TAR FIN'!$A$1:$O$92,15,0)),0,VLOOKUP($T$24,'TAR FIN'!$A$1:$O$92,15,0))</f>
        <v>0</v>
      </c>
      <c r="X24" s="6">
        <f>IF(ISERROR(VLOOKUP($U$24,'TAR FIN'!$A$1:$O$92,15,0)),0,VLOOKUP($U$24,'TAR FIN'!$A$1:$O$92,15,0))</f>
        <v>0</v>
      </c>
      <c r="Y24" s="6">
        <f ca="1">('TUSD BE'!$AM$10+'TUSD BF'!$AM$10+'TUSD CVA'!$AM$10)*1</f>
        <v>23.643887023397856</v>
      </c>
      <c r="Z24" s="6">
        <f ca="1">('TUSD BE'!$AM$11+'TUSD BF'!$AM$11+'TUSD CVA'!$AM$11)*1</f>
        <v>139.98967941887983</v>
      </c>
      <c r="AA24" s="6"/>
      <c r="AB24" s="6">
        <f t="shared" si="0"/>
        <v>39028.811953874996</v>
      </c>
      <c r="AC24" s="6">
        <f t="shared" si="1"/>
        <v>0</v>
      </c>
      <c r="AD24" s="6">
        <f t="shared" ca="1" si="2"/>
        <v>49907.67011870526</v>
      </c>
      <c r="AE24" s="6">
        <f t="shared" ca="1" si="3"/>
        <v>0</v>
      </c>
      <c r="AF24" s="4" t="s">
        <v>686</v>
      </c>
    </row>
    <row r="25" spans="1:32" ht="11.25" customHeight="1" x14ac:dyDescent="0.3">
      <c r="A25" s="4" t="s">
        <v>21</v>
      </c>
      <c r="B25" s="4" t="s">
        <v>34</v>
      </c>
      <c r="C25" s="4" t="s">
        <v>54</v>
      </c>
      <c r="D25" s="4" t="s">
        <v>33</v>
      </c>
      <c r="E25" s="4" t="s">
        <v>25</v>
      </c>
      <c r="F25" s="4" t="s">
        <v>55</v>
      </c>
      <c r="G25" s="4" t="s">
        <v>25</v>
      </c>
      <c r="H25" s="4" t="s">
        <v>37</v>
      </c>
      <c r="I25" s="5">
        <v>44743</v>
      </c>
      <c r="J25" s="6">
        <v>4250</v>
      </c>
      <c r="K25" s="6">
        <v>2143.1871099999998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4" t="s">
        <v>56</v>
      </c>
      <c r="R25" s="4">
        <v>0</v>
      </c>
      <c r="S25" s="4">
        <v>10</v>
      </c>
      <c r="T25" s="4">
        <v>0</v>
      </c>
      <c r="U25" s="4">
        <v>0</v>
      </c>
      <c r="V25" s="6">
        <f>IF(ISERROR(VLOOKUP($S$25,'TAR FIN'!$A$1:$O$92,15,0)),0,VLOOKUP($S$25,'TAR FIN'!$A$1:$O$92,15,0))</f>
        <v>18.489999999999998</v>
      </c>
      <c r="W25" s="6">
        <f>IF(ISERROR(VLOOKUP($T$25,'TAR FIN'!$A$1:$O$92,15,0)),0,VLOOKUP($T$25,'TAR FIN'!$A$1:$O$92,15,0))</f>
        <v>0</v>
      </c>
      <c r="X25" s="6">
        <f>IF(ISERROR(VLOOKUP($U$25,'TAR FIN'!$A$1:$O$92,15,0)),0,VLOOKUP($U$25,'TAR FIN'!$A$1:$O$92,15,0))</f>
        <v>0</v>
      </c>
      <c r="Y25" s="6">
        <f ca="1">('TUSD BE'!$AM$10+'TUSD BF'!$AM$10+'TUSD CVA'!$AM$10)*1</f>
        <v>23.643887023397856</v>
      </c>
      <c r="Z25" s="6">
        <f ca="1">('TUSD BE'!$AM$11+'TUSD BF'!$AM$11+'TUSD CVA'!$AM$11)*1</f>
        <v>139.98967941887983</v>
      </c>
      <c r="AA25" s="6"/>
      <c r="AB25" s="6">
        <f t="shared" si="0"/>
        <v>38954.970336099999</v>
      </c>
      <c r="AC25" s="6">
        <f t="shared" si="1"/>
        <v>0</v>
      </c>
      <c r="AD25" s="6">
        <f t="shared" ca="1" si="2"/>
        <v>49813.245950598335</v>
      </c>
      <c r="AE25" s="6">
        <f t="shared" ca="1" si="3"/>
        <v>0</v>
      </c>
      <c r="AF25" s="4" t="s">
        <v>686</v>
      </c>
    </row>
    <row r="26" spans="1:32" ht="11.25" customHeight="1" x14ac:dyDescent="0.3">
      <c r="A26" s="4" t="s">
        <v>21</v>
      </c>
      <c r="B26" s="4" t="s">
        <v>34</v>
      </c>
      <c r="C26" s="4" t="s">
        <v>54</v>
      </c>
      <c r="D26" s="4" t="s">
        <v>33</v>
      </c>
      <c r="E26" s="4" t="s">
        <v>25</v>
      </c>
      <c r="F26" s="4" t="s">
        <v>55</v>
      </c>
      <c r="G26" s="4" t="s">
        <v>25</v>
      </c>
      <c r="H26" s="4" t="s">
        <v>25</v>
      </c>
      <c r="I26" s="5">
        <v>44409</v>
      </c>
      <c r="J26" s="6">
        <v>0</v>
      </c>
      <c r="K26" s="6">
        <v>0</v>
      </c>
      <c r="L26" s="6">
        <v>3512.64</v>
      </c>
      <c r="M26" s="6">
        <v>3512.64</v>
      </c>
      <c r="N26" s="6">
        <v>0</v>
      </c>
      <c r="O26" s="6">
        <v>0</v>
      </c>
      <c r="P26" s="6">
        <v>3</v>
      </c>
      <c r="Q26" s="4" t="s">
        <v>56</v>
      </c>
      <c r="R26" s="4">
        <v>0</v>
      </c>
      <c r="S26" s="4">
        <v>0</v>
      </c>
      <c r="T26" s="4">
        <v>13</v>
      </c>
      <c r="U26" s="4">
        <v>0</v>
      </c>
      <c r="V26" s="6">
        <f>IF(ISERROR(VLOOKUP($S$26,'TAR FIN'!$A$1:$O$92,15,0)),0,VLOOKUP($S$26,'TAR FIN'!$A$1:$O$92,15,0))</f>
        <v>0</v>
      </c>
      <c r="W26" s="6">
        <f>IF(ISERROR(VLOOKUP($T$26,'TAR FIN'!$A$1:$O$92,15,0)),0,VLOOKUP($T$26,'TAR FIN'!$A$1:$O$92,15,0))</f>
        <v>73.28</v>
      </c>
      <c r="X26" s="6">
        <f>IF(ISERROR(VLOOKUP($U$26,'TAR FIN'!$A$1:$O$92,15,0)),0,VLOOKUP($U$26,'TAR FIN'!$A$1:$O$92,15,0))</f>
        <v>0</v>
      </c>
      <c r="Y26" s="6"/>
      <c r="Z26" s="6">
        <f ca="1">('TUSD BE'!$AM$11+'TUSD BF'!$AM$11+'TUSD CVA'!$AM$11)*1</f>
        <v>139.98967941887983</v>
      </c>
      <c r="AA26" s="6"/>
      <c r="AB26" s="6">
        <f t="shared" si="0"/>
        <v>0</v>
      </c>
      <c r="AC26" s="6">
        <f t="shared" si="1"/>
        <v>0</v>
      </c>
      <c r="AD26" s="6">
        <f t="shared" si="2"/>
        <v>0</v>
      </c>
      <c r="AE26" s="6">
        <f t="shared" ca="1" si="3"/>
        <v>0</v>
      </c>
      <c r="AF26" s="4" t="s">
        <v>686</v>
      </c>
    </row>
    <row r="27" spans="1:32" ht="11.25" customHeight="1" x14ac:dyDescent="0.3">
      <c r="A27" s="4" t="s">
        <v>21</v>
      </c>
      <c r="B27" s="4" t="s">
        <v>34</v>
      </c>
      <c r="C27" s="4" t="s">
        <v>54</v>
      </c>
      <c r="D27" s="4" t="s">
        <v>33</v>
      </c>
      <c r="E27" s="4" t="s">
        <v>25</v>
      </c>
      <c r="F27" s="4" t="s">
        <v>55</v>
      </c>
      <c r="G27" s="4" t="s">
        <v>25</v>
      </c>
      <c r="H27" s="4" t="s">
        <v>25</v>
      </c>
      <c r="I27" s="5">
        <v>44440</v>
      </c>
      <c r="J27" s="6">
        <v>0</v>
      </c>
      <c r="K27" s="6">
        <v>0</v>
      </c>
      <c r="L27" s="6">
        <v>3376.123</v>
      </c>
      <c r="M27" s="6">
        <v>3376.123</v>
      </c>
      <c r="N27" s="6">
        <v>0</v>
      </c>
      <c r="O27" s="6">
        <v>0</v>
      </c>
      <c r="P27" s="6">
        <v>3</v>
      </c>
      <c r="Q27" s="4" t="s">
        <v>56</v>
      </c>
      <c r="R27" s="4">
        <v>0</v>
      </c>
      <c r="S27" s="4">
        <v>0</v>
      </c>
      <c r="T27" s="4">
        <v>13</v>
      </c>
      <c r="U27" s="4">
        <v>0</v>
      </c>
      <c r="V27" s="6">
        <f>IF(ISERROR(VLOOKUP($S$27,'TAR FIN'!$A$1:$O$92,15,0)),0,VLOOKUP($S$27,'TAR FIN'!$A$1:$O$92,15,0))</f>
        <v>0</v>
      </c>
      <c r="W27" s="6">
        <f>IF(ISERROR(VLOOKUP($T$27,'TAR FIN'!$A$1:$O$92,15,0)),0,VLOOKUP($T$27,'TAR FIN'!$A$1:$O$92,15,0))</f>
        <v>73.28</v>
      </c>
      <c r="X27" s="6">
        <f>IF(ISERROR(VLOOKUP($U$27,'TAR FIN'!$A$1:$O$92,15,0)),0,VLOOKUP($U$27,'TAR FIN'!$A$1:$O$92,15,0))</f>
        <v>0</v>
      </c>
      <c r="Y27" s="6"/>
      <c r="Z27" s="6">
        <f ca="1">('TUSD BE'!$AM$11+'TUSD BF'!$AM$11+'TUSD CVA'!$AM$11)*1</f>
        <v>139.98967941887983</v>
      </c>
      <c r="AA27" s="6"/>
      <c r="AB27" s="6">
        <f t="shared" si="0"/>
        <v>0</v>
      </c>
      <c r="AC27" s="6">
        <f t="shared" si="1"/>
        <v>0</v>
      </c>
      <c r="AD27" s="6">
        <f t="shared" si="2"/>
        <v>0</v>
      </c>
      <c r="AE27" s="6">
        <f t="shared" ca="1" si="3"/>
        <v>0</v>
      </c>
      <c r="AF27" s="4" t="s">
        <v>686</v>
      </c>
    </row>
    <row r="28" spans="1:32" ht="11.25" customHeight="1" x14ac:dyDescent="0.3">
      <c r="A28" s="4" t="s">
        <v>21</v>
      </c>
      <c r="B28" s="4" t="s">
        <v>34</v>
      </c>
      <c r="C28" s="4" t="s">
        <v>54</v>
      </c>
      <c r="D28" s="4" t="s">
        <v>33</v>
      </c>
      <c r="E28" s="4" t="s">
        <v>25</v>
      </c>
      <c r="F28" s="4" t="s">
        <v>55</v>
      </c>
      <c r="G28" s="4" t="s">
        <v>25</v>
      </c>
      <c r="H28" s="4" t="s">
        <v>25</v>
      </c>
      <c r="I28" s="5">
        <v>44470</v>
      </c>
      <c r="J28" s="6">
        <v>0</v>
      </c>
      <c r="K28" s="6">
        <v>0</v>
      </c>
      <c r="L28" s="6">
        <v>3601.8670000000002</v>
      </c>
      <c r="M28" s="6">
        <v>3601.8670000000002</v>
      </c>
      <c r="N28" s="6">
        <v>0</v>
      </c>
      <c r="O28" s="6">
        <v>0</v>
      </c>
      <c r="P28" s="6">
        <v>3</v>
      </c>
      <c r="Q28" s="4" t="s">
        <v>56</v>
      </c>
      <c r="R28" s="4">
        <v>0</v>
      </c>
      <c r="S28" s="4">
        <v>0</v>
      </c>
      <c r="T28" s="4">
        <v>13</v>
      </c>
      <c r="U28" s="4">
        <v>0</v>
      </c>
      <c r="V28" s="6">
        <f>IF(ISERROR(VLOOKUP($S$28,'TAR FIN'!$A$1:$O$92,15,0)),0,VLOOKUP($S$28,'TAR FIN'!$A$1:$O$92,15,0))</f>
        <v>0</v>
      </c>
      <c r="W28" s="6">
        <f>IF(ISERROR(VLOOKUP($T$28,'TAR FIN'!$A$1:$O$92,15,0)),0,VLOOKUP($T$28,'TAR FIN'!$A$1:$O$92,15,0))</f>
        <v>73.28</v>
      </c>
      <c r="X28" s="6">
        <f>IF(ISERROR(VLOOKUP($U$28,'TAR FIN'!$A$1:$O$92,15,0)),0,VLOOKUP($U$28,'TAR FIN'!$A$1:$O$92,15,0))</f>
        <v>0</v>
      </c>
      <c r="Y28" s="6"/>
      <c r="Z28" s="6">
        <f ca="1">('TUSD BE'!$AM$11+'TUSD BF'!$AM$11+'TUSD CVA'!$AM$11)*1</f>
        <v>139.98967941887983</v>
      </c>
      <c r="AA28" s="6"/>
      <c r="AB28" s="6">
        <f t="shared" si="0"/>
        <v>0</v>
      </c>
      <c r="AC28" s="6">
        <f t="shared" si="1"/>
        <v>0</v>
      </c>
      <c r="AD28" s="6">
        <f t="shared" si="2"/>
        <v>0</v>
      </c>
      <c r="AE28" s="6">
        <f t="shared" ca="1" si="3"/>
        <v>0</v>
      </c>
      <c r="AF28" s="4" t="s">
        <v>686</v>
      </c>
    </row>
    <row r="29" spans="1:32" ht="11.25" customHeight="1" x14ac:dyDescent="0.3">
      <c r="A29" s="4" t="s">
        <v>21</v>
      </c>
      <c r="B29" s="4" t="s">
        <v>34</v>
      </c>
      <c r="C29" s="4" t="s">
        <v>54</v>
      </c>
      <c r="D29" s="4" t="s">
        <v>33</v>
      </c>
      <c r="E29" s="4" t="s">
        <v>25</v>
      </c>
      <c r="F29" s="4" t="s">
        <v>55</v>
      </c>
      <c r="G29" s="4" t="s">
        <v>25</v>
      </c>
      <c r="H29" s="4" t="s">
        <v>25</v>
      </c>
      <c r="I29" s="5">
        <v>44501</v>
      </c>
      <c r="J29" s="6">
        <v>0</v>
      </c>
      <c r="K29" s="6">
        <v>0</v>
      </c>
      <c r="L29" s="6">
        <v>3387.4169999999999</v>
      </c>
      <c r="M29" s="6">
        <v>3387.4169999999999</v>
      </c>
      <c r="N29" s="6">
        <v>0</v>
      </c>
      <c r="O29" s="6">
        <v>0</v>
      </c>
      <c r="P29" s="6">
        <v>3</v>
      </c>
      <c r="Q29" s="4" t="s">
        <v>56</v>
      </c>
      <c r="R29" s="4">
        <v>0</v>
      </c>
      <c r="S29" s="4">
        <v>0</v>
      </c>
      <c r="T29" s="4">
        <v>13</v>
      </c>
      <c r="U29" s="4">
        <v>0</v>
      </c>
      <c r="V29" s="6">
        <f>IF(ISERROR(VLOOKUP($S$29,'TAR FIN'!$A$1:$O$92,15,0)),0,VLOOKUP($S$29,'TAR FIN'!$A$1:$O$92,15,0))</f>
        <v>0</v>
      </c>
      <c r="W29" s="6">
        <f>IF(ISERROR(VLOOKUP($T$29,'TAR FIN'!$A$1:$O$92,15,0)),0,VLOOKUP($T$29,'TAR FIN'!$A$1:$O$92,15,0))</f>
        <v>73.28</v>
      </c>
      <c r="X29" s="6">
        <f>IF(ISERROR(VLOOKUP($U$29,'TAR FIN'!$A$1:$O$92,15,0)),0,VLOOKUP($U$29,'TAR FIN'!$A$1:$O$92,15,0))</f>
        <v>0</v>
      </c>
      <c r="Y29" s="6"/>
      <c r="Z29" s="6">
        <f ca="1">('TUSD BE'!$AM$11+'TUSD BF'!$AM$11+'TUSD CVA'!$AM$11)*1</f>
        <v>139.98967941887983</v>
      </c>
      <c r="AA29" s="6"/>
      <c r="AB29" s="6">
        <f t="shared" si="0"/>
        <v>0</v>
      </c>
      <c r="AC29" s="6">
        <f t="shared" si="1"/>
        <v>0</v>
      </c>
      <c r="AD29" s="6">
        <f t="shared" si="2"/>
        <v>0</v>
      </c>
      <c r="AE29" s="6">
        <f t="shared" ca="1" si="3"/>
        <v>0</v>
      </c>
      <c r="AF29" s="4" t="s">
        <v>686</v>
      </c>
    </row>
    <row r="30" spans="1:32" ht="11.25" customHeight="1" x14ac:dyDescent="0.3">
      <c r="A30" s="4" t="s">
        <v>21</v>
      </c>
      <c r="B30" s="4" t="s">
        <v>34</v>
      </c>
      <c r="C30" s="4" t="s">
        <v>54</v>
      </c>
      <c r="D30" s="4" t="s">
        <v>33</v>
      </c>
      <c r="E30" s="4" t="s">
        <v>25</v>
      </c>
      <c r="F30" s="4" t="s">
        <v>55</v>
      </c>
      <c r="G30" s="4" t="s">
        <v>25</v>
      </c>
      <c r="H30" s="4" t="s">
        <v>25</v>
      </c>
      <c r="I30" s="5">
        <v>44531</v>
      </c>
      <c r="J30" s="6">
        <v>0</v>
      </c>
      <c r="K30" s="6">
        <v>0</v>
      </c>
      <c r="L30" s="6">
        <v>3401.2669999999998</v>
      </c>
      <c r="M30" s="6">
        <v>3401.2669999999998</v>
      </c>
      <c r="N30" s="6">
        <v>0</v>
      </c>
      <c r="O30" s="6">
        <v>0</v>
      </c>
      <c r="P30" s="6">
        <v>3</v>
      </c>
      <c r="Q30" s="4" t="s">
        <v>56</v>
      </c>
      <c r="R30" s="4">
        <v>0</v>
      </c>
      <c r="S30" s="4">
        <v>0</v>
      </c>
      <c r="T30" s="4">
        <v>13</v>
      </c>
      <c r="U30" s="4">
        <v>0</v>
      </c>
      <c r="V30" s="6">
        <f>IF(ISERROR(VLOOKUP($S$30,'TAR FIN'!$A$1:$O$92,15,0)),0,VLOOKUP($S$30,'TAR FIN'!$A$1:$O$92,15,0))</f>
        <v>0</v>
      </c>
      <c r="W30" s="6">
        <f>IF(ISERROR(VLOOKUP($T$30,'TAR FIN'!$A$1:$O$92,15,0)),0,VLOOKUP($T$30,'TAR FIN'!$A$1:$O$92,15,0))</f>
        <v>73.28</v>
      </c>
      <c r="X30" s="6">
        <f>IF(ISERROR(VLOOKUP($U$30,'TAR FIN'!$A$1:$O$92,15,0)),0,VLOOKUP($U$30,'TAR FIN'!$A$1:$O$92,15,0))</f>
        <v>0</v>
      </c>
      <c r="Y30" s="6"/>
      <c r="Z30" s="6">
        <f ca="1">('TUSD BE'!$AM$11+'TUSD BF'!$AM$11+'TUSD CVA'!$AM$11)*1</f>
        <v>139.98967941887983</v>
      </c>
      <c r="AA30" s="6"/>
      <c r="AB30" s="6">
        <f t="shared" si="0"/>
        <v>0</v>
      </c>
      <c r="AC30" s="6">
        <f t="shared" si="1"/>
        <v>0</v>
      </c>
      <c r="AD30" s="6">
        <f t="shared" si="2"/>
        <v>0</v>
      </c>
      <c r="AE30" s="6">
        <f t="shared" ca="1" si="3"/>
        <v>0</v>
      </c>
      <c r="AF30" s="4" t="s">
        <v>686</v>
      </c>
    </row>
    <row r="31" spans="1:32" ht="11.25" customHeight="1" x14ac:dyDescent="0.3">
      <c r="A31" s="4" t="s">
        <v>21</v>
      </c>
      <c r="B31" s="4" t="s">
        <v>34</v>
      </c>
      <c r="C31" s="4" t="s">
        <v>54</v>
      </c>
      <c r="D31" s="4" t="s">
        <v>33</v>
      </c>
      <c r="E31" s="4" t="s">
        <v>25</v>
      </c>
      <c r="F31" s="4" t="s">
        <v>55</v>
      </c>
      <c r="G31" s="4" t="s">
        <v>25</v>
      </c>
      <c r="H31" s="4" t="s">
        <v>25</v>
      </c>
      <c r="I31" s="5">
        <v>44562</v>
      </c>
      <c r="J31" s="6">
        <v>0</v>
      </c>
      <c r="K31" s="6">
        <v>0</v>
      </c>
      <c r="L31" s="6">
        <v>3342.7750000000001</v>
      </c>
      <c r="M31" s="6">
        <v>3342.7750000000001</v>
      </c>
      <c r="N31" s="6">
        <v>0</v>
      </c>
      <c r="O31" s="6">
        <v>0</v>
      </c>
      <c r="P31" s="6">
        <v>3</v>
      </c>
      <c r="Q31" s="4" t="s">
        <v>56</v>
      </c>
      <c r="R31" s="4">
        <v>0</v>
      </c>
      <c r="S31" s="4">
        <v>0</v>
      </c>
      <c r="T31" s="4">
        <v>13</v>
      </c>
      <c r="U31" s="4">
        <v>0</v>
      </c>
      <c r="V31" s="6">
        <f>IF(ISERROR(VLOOKUP($S$31,'TAR FIN'!$A$1:$O$92,15,0)),0,VLOOKUP($S$31,'TAR FIN'!$A$1:$O$92,15,0))</f>
        <v>0</v>
      </c>
      <c r="W31" s="6">
        <f>IF(ISERROR(VLOOKUP($T$31,'TAR FIN'!$A$1:$O$92,15,0)),0,VLOOKUP($T$31,'TAR FIN'!$A$1:$O$92,15,0))</f>
        <v>73.28</v>
      </c>
      <c r="X31" s="6">
        <f>IF(ISERROR(VLOOKUP($U$31,'TAR FIN'!$A$1:$O$92,15,0)),0,VLOOKUP($U$31,'TAR FIN'!$A$1:$O$92,15,0))</f>
        <v>0</v>
      </c>
      <c r="Y31" s="6"/>
      <c r="Z31" s="6">
        <f ca="1">('TUSD BE'!$AM$11+'TUSD BF'!$AM$11+'TUSD CVA'!$AM$11)*1</f>
        <v>139.98967941887983</v>
      </c>
      <c r="AA31" s="6"/>
      <c r="AB31" s="6">
        <f t="shared" si="0"/>
        <v>0</v>
      </c>
      <c r="AC31" s="6">
        <f t="shared" si="1"/>
        <v>0</v>
      </c>
      <c r="AD31" s="6">
        <f t="shared" si="2"/>
        <v>0</v>
      </c>
      <c r="AE31" s="6">
        <f t="shared" ca="1" si="3"/>
        <v>0</v>
      </c>
      <c r="AF31" s="4" t="s">
        <v>686</v>
      </c>
    </row>
    <row r="32" spans="1:32" ht="11.25" customHeight="1" x14ac:dyDescent="0.3">
      <c r="A32" s="4" t="s">
        <v>21</v>
      </c>
      <c r="B32" s="4" t="s">
        <v>34</v>
      </c>
      <c r="C32" s="4" t="s">
        <v>54</v>
      </c>
      <c r="D32" s="4" t="s">
        <v>33</v>
      </c>
      <c r="E32" s="4" t="s">
        <v>25</v>
      </c>
      <c r="F32" s="4" t="s">
        <v>55</v>
      </c>
      <c r="G32" s="4" t="s">
        <v>25</v>
      </c>
      <c r="H32" s="4" t="s">
        <v>25</v>
      </c>
      <c r="I32" s="5">
        <v>44593</v>
      </c>
      <c r="J32" s="6">
        <v>0</v>
      </c>
      <c r="K32" s="6">
        <v>0</v>
      </c>
      <c r="L32" s="6">
        <v>3270.0790000000002</v>
      </c>
      <c r="M32" s="6">
        <v>3270.0790000000002</v>
      </c>
      <c r="N32" s="6">
        <v>0</v>
      </c>
      <c r="O32" s="6">
        <v>0</v>
      </c>
      <c r="P32" s="6">
        <v>3</v>
      </c>
      <c r="Q32" s="4" t="s">
        <v>56</v>
      </c>
      <c r="R32" s="4">
        <v>0</v>
      </c>
      <c r="S32" s="4">
        <v>0</v>
      </c>
      <c r="T32" s="4">
        <v>13</v>
      </c>
      <c r="U32" s="4">
        <v>0</v>
      </c>
      <c r="V32" s="6">
        <f>IF(ISERROR(VLOOKUP($S$32,'TAR FIN'!$A$1:$O$92,15,0)),0,VLOOKUP($S$32,'TAR FIN'!$A$1:$O$92,15,0))</f>
        <v>0</v>
      </c>
      <c r="W32" s="6">
        <f>IF(ISERROR(VLOOKUP($T$32,'TAR FIN'!$A$1:$O$92,15,0)),0,VLOOKUP($T$32,'TAR FIN'!$A$1:$O$92,15,0))</f>
        <v>73.28</v>
      </c>
      <c r="X32" s="6">
        <f>IF(ISERROR(VLOOKUP($U$32,'TAR FIN'!$A$1:$O$92,15,0)),0,VLOOKUP($U$32,'TAR FIN'!$A$1:$O$92,15,0))</f>
        <v>0</v>
      </c>
      <c r="Y32" s="6"/>
      <c r="Z32" s="6">
        <f ca="1">('TUSD BE'!$AM$11+'TUSD BF'!$AM$11+'TUSD CVA'!$AM$11)*1</f>
        <v>139.98967941887983</v>
      </c>
      <c r="AA32" s="6"/>
      <c r="AB32" s="6">
        <f t="shared" si="0"/>
        <v>0</v>
      </c>
      <c r="AC32" s="6">
        <f t="shared" si="1"/>
        <v>0</v>
      </c>
      <c r="AD32" s="6">
        <f t="shared" si="2"/>
        <v>0</v>
      </c>
      <c r="AE32" s="6">
        <f t="shared" ca="1" si="3"/>
        <v>0</v>
      </c>
      <c r="AF32" s="4" t="s">
        <v>686</v>
      </c>
    </row>
    <row r="33" spans="1:32" ht="11.25" customHeight="1" x14ac:dyDescent="0.3">
      <c r="A33" s="4" t="s">
        <v>21</v>
      </c>
      <c r="B33" s="4" t="s">
        <v>34</v>
      </c>
      <c r="C33" s="4" t="s">
        <v>54</v>
      </c>
      <c r="D33" s="4" t="s">
        <v>33</v>
      </c>
      <c r="E33" s="4" t="s">
        <v>25</v>
      </c>
      <c r="F33" s="4" t="s">
        <v>55</v>
      </c>
      <c r="G33" s="4" t="s">
        <v>25</v>
      </c>
      <c r="H33" s="4" t="s">
        <v>25</v>
      </c>
      <c r="I33" s="5">
        <v>44621</v>
      </c>
      <c r="J33" s="6">
        <v>0</v>
      </c>
      <c r="K33" s="6">
        <v>0</v>
      </c>
      <c r="L33" s="6">
        <v>3338.7429999999999</v>
      </c>
      <c r="M33" s="6">
        <v>3338.7429999999999</v>
      </c>
      <c r="N33" s="6">
        <v>0</v>
      </c>
      <c r="O33" s="6">
        <v>0</v>
      </c>
      <c r="P33" s="6">
        <v>3</v>
      </c>
      <c r="Q33" s="4" t="s">
        <v>56</v>
      </c>
      <c r="R33" s="4">
        <v>0</v>
      </c>
      <c r="S33" s="4">
        <v>0</v>
      </c>
      <c r="T33" s="4">
        <v>13</v>
      </c>
      <c r="U33" s="4">
        <v>0</v>
      </c>
      <c r="V33" s="6">
        <f>IF(ISERROR(VLOOKUP($S$33,'TAR FIN'!$A$1:$O$92,15,0)),0,VLOOKUP($S$33,'TAR FIN'!$A$1:$O$92,15,0))</f>
        <v>0</v>
      </c>
      <c r="W33" s="6">
        <f>IF(ISERROR(VLOOKUP($T$33,'TAR FIN'!$A$1:$O$92,15,0)),0,VLOOKUP($T$33,'TAR FIN'!$A$1:$O$92,15,0))</f>
        <v>73.28</v>
      </c>
      <c r="X33" s="6">
        <f>IF(ISERROR(VLOOKUP($U$33,'TAR FIN'!$A$1:$O$92,15,0)),0,VLOOKUP($U$33,'TAR FIN'!$A$1:$O$92,15,0))</f>
        <v>0</v>
      </c>
      <c r="Y33" s="6"/>
      <c r="Z33" s="6">
        <f ca="1">('TUSD BE'!$AM$11+'TUSD BF'!$AM$11+'TUSD CVA'!$AM$11)*1</f>
        <v>139.98967941887983</v>
      </c>
      <c r="AA33" s="6"/>
      <c r="AB33" s="6">
        <f t="shared" si="0"/>
        <v>0</v>
      </c>
      <c r="AC33" s="6">
        <f t="shared" si="1"/>
        <v>0</v>
      </c>
      <c r="AD33" s="6">
        <f t="shared" si="2"/>
        <v>0</v>
      </c>
      <c r="AE33" s="6">
        <f t="shared" ca="1" si="3"/>
        <v>0</v>
      </c>
      <c r="AF33" s="4" t="s">
        <v>686</v>
      </c>
    </row>
    <row r="34" spans="1:32" ht="11.25" customHeight="1" x14ac:dyDescent="0.3">
      <c r="A34" s="4" t="s">
        <v>21</v>
      </c>
      <c r="B34" s="4" t="s">
        <v>34</v>
      </c>
      <c r="C34" s="4" t="s">
        <v>54</v>
      </c>
      <c r="D34" s="4" t="s">
        <v>33</v>
      </c>
      <c r="E34" s="4" t="s">
        <v>25</v>
      </c>
      <c r="F34" s="4" t="s">
        <v>55</v>
      </c>
      <c r="G34" s="4" t="s">
        <v>25</v>
      </c>
      <c r="H34" s="4" t="s">
        <v>25</v>
      </c>
      <c r="I34" s="5">
        <v>44652</v>
      </c>
      <c r="J34" s="6">
        <v>0</v>
      </c>
      <c r="K34" s="6">
        <v>0</v>
      </c>
      <c r="L34" s="6">
        <v>1875.12024</v>
      </c>
      <c r="M34" s="6">
        <v>1875.12024</v>
      </c>
      <c r="N34" s="6">
        <v>0</v>
      </c>
      <c r="O34" s="6">
        <v>0</v>
      </c>
      <c r="P34" s="6">
        <v>3</v>
      </c>
      <c r="Q34" s="4" t="s">
        <v>56</v>
      </c>
      <c r="R34" s="4">
        <v>0</v>
      </c>
      <c r="S34" s="4">
        <v>0</v>
      </c>
      <c r="T34" s="4">
        <v>13</v>
      </c>
      <c r="U34" s="4">
        <v>0</v>
      </c>
      <c r="V34" s="6">
        <f>IF(ISERROR(VLOOKUP($S$34,'TAR FIN'!$A$1:$O$92,15,0)),0,VLOOKUP($S$34,'TAR FIN'!$A$1:$O$92,15,0))</f>
        <v>0</v>
      </c>
      <c r="W34" s="6">
        <f>IF(ISERROR(VLOOKUP($T$34,'TAR FIN'!$A$1:$O$92,15,0)),0,VLOOKUP($T$34,'TAR FIN'!$A$1:$O$92,15,0))</f>
        <v>73.28</v>
      </c>
      <c r="X34" s="6">
        <f>IF(ISERROR(VLOOKUP($U$34,'TAR FIN'!$A$1:$O$92,15,0)),0,VLOOKUP($U$34,'TAR FIN'!$A$1:$O$92,15,0))</f>
        <v>0</v>
      </c>
      <c r="Y34" s="6"/>
      <c r="Z34" s="6">
        <f ca="1">('TUSD BE'!$AM$11+'TUSD BF'!$AM$11+'TUSD CVA'!$AM$11)*1</f>
        <v>139.98967941887983</v>
      </c>
      <c r="AA34" s="6"/>
      <c r="AB34" s="6">
        <f t="shared" si="0"/>
        <v>0</v>
      </c>
      <c r="AC34" s="6">
        <f t="shared" ref="AC34:AC65" si="7">(L34-M34)*W34+(N34-O34)*X34</f>
        <v>0</v>
      </c>
      <c r="AD34" s="6">
        <f t="shared" si="2"/>
        <v>0</v>
      </c>
      <c r="AE34" s="6">
        <f t="shared" ref="AE34:AE65" ca="1" si="8">(L34-M34)*Z34+(N34-O34)*AA34</f>
        <v>0</v>
      </c>
      <c r="AF34" s="4" t="s">
        <v>686</v>
      </c>
    </row>
    <row r="35" spans="1:32" ht="11.25" customHeight="1" x14ac:dyDescent="0.3">
      <c r="A35" s="4" t="s">
        <v>21</v>
      </c>
      <c r="B35" s="4" t="s">
        <v>34</v>
      </c>
      <c r="C35" s="4" t="s">
        <v>54</v>
      </c>
      <c r="D35" s="4" t="s">
        <v>33</v>
      </c>
      <c r="E35" s="4" t="s">
        <v>25</v>
      </c>
      <c r="F35" s="4" t="s">
        <v>55</v>
      </c>
      <c r="G35" s="4" t="s">
        <v>25</v>
      </c>
      <c r="H35" s="4" t="s">
        <v>25</v>
      </c>
      <c r="I35" s="5">
        <v>44682</v>
      </c>
      <c r="J35" s="6">
        <v>0</v>
      </c>
      <c r="K35" s="6">
        <v>0</v>
      </c>
      <c r="L35" s="6">
        <v>1588.5139200000001</v>
      </c>
      <c r="M35" s="6">
        <v>1588.5139200000001</v>
      </c>
      <c r="N35" s="6">
        <v>0</v>
      </c>
      <c r="O35" s="6">
        <v>0</v>
      </c>
      <c r="P35" s="6">
        <v>2</v>
      </c>
      <c r="Q35" s="4" t="s">
        <v>56</v>
      </c>
      <c r="R35" s="4">
        <v>0</v>
      </c>
      <c r="S35" s="4">
        <v>0</v>
      </c>
      <c r="T35" s="4">
        <v>13</v>
      </c>
      <c r="U35" s="4">
        <v>0</v>
      </c>
      <c r="V35" s="6">
        <f>IF(ISERROR(VLOOKUP($S$35,'TAR FIN'!$A$1:$O$92,15,0)),0,VLOOKUP($S$35,'TAR FIN'!$A$1:$O$92,15,0))</f>
        <v>0</v>
      </c>
      <c r="W35" s="6">
        <f>IF(ISERROR(VLOOKUP($T$35,'TAR FIN'!$A$1:$O$92,15,0)),0,VLOOKUP($T$35,'TAR FIN'!$A$1:$O$92,15,0))</f>
        <v>73.28</v>
      </c>
      <c r="X35" s="6">
        <f>IF(ISERROR(VLOOKUP($U$35,'TAR FIN'!$A$1:$O$92,15,0)),0,VLOOKUP($U$35,'TAR FIN'!$A$1:$O$92,15,0))</f>
        <v>0</v>
      </c>
      <c r="Y35" s="6"/>
      <c r="Z35" s="6">
        <f ca="1">('TUSD BE'!$AM$11+'TUSD BF'!$AM$11+'TUSD CVA'!$AM$11)*1</f>
        <v>139.98967941887983</v>
      </c>
      <c r="AA35" s="6"/>
      <c r="AB35" s="6">
        <f t="shared" si="0"/>
        <v>0</v>
      </c>
      <c r="AC35" s="6">
        <f t="shared" si="7"/>
        <v>0</v>
      </c>
      <c r="AD35" s="6">
        <f t="shared" si="2"/>
        <v>0</v>
      </c>
      <c r="AE35" s="6">
        <f t="shared" ca="1" si="8"/>
        <v>0</v>
      </c>
      <c r="AF35" s="4" t="s">
        <v>686</v>
      </c>
    </row>
    <row r="36" spans="1:32" ht="11.25" customHeight="1" x14ac:dyDescent="0.3">
      <c r="A36" s="4" t="s">
        <v>21</v>
      </c>
      <c r="B36" s="4" t="s">
        <v>34</v>
      </c>
      <c r="C36" s="4" t="s">
        <v>54</v>
      </c>
      <c r="D36" s="4" t="s">
        <v>33</v>
      </c>
      <c r="E36" s="4" t="s">
        <v>25</v>
      </c>
      <c r="F36" s="4" t="s">
        <v>55</v>
      </c>
      <c r="G36" s="4" t="s">
        <v>25</v>
      </c>
      <c r="H36" s="4" t="s">
        <v>25</v>
      </c>
      <c r="I36" s="5">
        <v>44713</v>
      </c>
      <c r="J36" s="6">
        <v>0</v>
      </c>
      <c r="K36" s="6">
        <v>0</v>
      </c>
      <c r="L36" s="6">
        <v>1451.1084000000001</v>
      </c>
      <c r="M36" s="6">
        <v>1451.1084000000001</v>
      </c>
      <c r="N36" s="6">
        <v>0</v>
      </c>
      <c r="O36" s="6">
        <v>0</v>
      </c>
      <c r="P36" s="6">
        <v>2</v>
      </c>
      <c r="Q36" s="4" t="s">
        <v>56</v>
      </c>
      <c r="R36" s="4">
        <v>0</v>
      </c>
      <c r="S36" s="4">
        <v>0</v>
      </c>
      <c r="T36" s="4">
        <v>13</v>
      </c>
      <c r="U36" s="4">
        <v>0</v>
      </c>
      <c r="V36" s="6">
        <f>IF(ISERROR(VLOOKUP($S$36,'TAR FIN'!$A$1:$O$92,15,0)),0,VLOOKUP($S$36,'TAR FIN'!$A$1:$O$92,15,0))</f>
        <v>0</v>
      </c>
      <c r="W36" s="6">
        <f>IF(ISERROR(VLOOKUP($T$36,'TAR FIN'!$A$1:$O$92,15,0)),0,VLOOKUP($T$36,'TAR FIN'!$A$1:$O$92,15,0))</f>
        <v>73.28</v>
      </c>
      <c r="X36" s="6">
        <f>IF(ISERROR(VLOOKUP($U$36,'TAR FIN'!$A$1:$O$92,15,0)),0,VLOOKUP($U$36,'TAR FIN'!$A$1:$O$92,15,0))</f>
        <v>0</v>
      </c>
      <c r="Y36" s="6"/>
      <c r="Z36" s="6">
        <f ca="1">('TUSD BE'!$AM$11+'TUSD BF'!$AM$11+'TUSD CVA'!$AM$11)*1</f>
        <v>139.98967941887983</v>
      </c>
      <c r="AA36" s="6"/>
      <c r="AB36" s="6">
        <f t="shared" si="0"/>
        <v>0</v>
      </c>
      <c r="AC36" s="6">
        <f t="shared" si="7"/>
        <v>0</v>
      </c>
      <c r="AD36" s="6">
        <f t="shared" si="2"/>
        <v>0</v>
      </c>
      <c r="AE36" s="6">
        <f t="shared" ca="1" si="8"/>
        <v>0</v>
      </c>
      <c r="AF36" s="4" t="s">
        <v>686</v>
      </c>
    </row>
    <row r="37" spans="1:32" ht="11.25" customHeight="1" x14ac:dyDescent="0.3">
      <c r="A37" s="4" t="s">
        <v>21</v>
      </c>
      <c r="B37" s="4" t="s">
        <v>34</v>
      </c>
      <c r="C37" s="4" t="s">
        <v>54</v>
      </c>
      <c r="D37" s="4" t="s">
        <v>33</v>
      </c>
      <c r="E37" s="4" t="s">
        <v>25</v>
      </c>
      <c r="F37" s="4" t="s">
        <v>55</v>
      </c>
      <c r="G37" s="4" t="s">
        <v>25</v>
      </c>
      <c r="H37" s="4" t="s">
        <v>25</v>
      </c>
      <c r="I37" s="5">
        <v>44743</v>
      </c>
      <c r="J37" s="6">
        <v>0</v>
      </c>
      <c r="K37" s="6">
        <v>0</v>
      </c>
      <c r="L37" s="6">
        <v>954.17448000000002</v>
      </c>
      <c r="M37" s="6">
        <v>954.17448000000002</v>
      </c>
      <c r="N37" s="6">
        <v>0</v>
      </c>
      <c r="O37" s="6">
        <v>0</v>
      </c>
      <c r="P37" s="6">
        <v>2</v>
      </c>
      <c r="Q37" s="4" t="s">
        <v>56</v>
      </c>
      <c r="R37" s="4">
        <v>0</v>
      </c>
      <c r="S37" s="4">
        <v>0</v>
      </c>
      <c r="T37" s="4">
        <v>13</v>
      </c>
      <c r="U37" s="4">
        <v>0</v>
      </c>
      <c r="V37" s="6">
        <f>IF(ISERROR(VLOOKUP($S$37,'TAR FIN'!$A$1:$O$92,15,0)),0,VLOOKUP($S$37,'TAR FIN'!$A$1:$O$92,15,0))</f>
        <v>0</v>
      </c>
      <c r="W37" s="6">
        <f>IF(ISERROR(VLOOKUP($T$37,'TAR FIN'!$A$1:$O$92,15,0)),0,VLOOKUP($T$37,'TAR FIN'!$A$1:$O$92,15,0))</f>
        <v>73.28</v>
      </c>
      <c r="X37" s="6">
        <f>IF(ISERROR(VLOOKUP($U$37,'TAR FIN'!$A$1:$O$92,15,0)),0,VLOOKUP($U$37,'TAR FIN'!$A$1:$O$92,15,0))</f>
        <v>0</v>
      </c>
      <c r="Y37" s="6"/>
      <c r="Z37" s="6">
        <f ca="1">('TUSD BE'!$AM$11+'TUSD BF'!$AM$11+'TUSD CVA'!$AM$11)*1</f>
        <v>139.98967941887983</v>
      </c>
      <c r="AA37" s="6"/>
      <c r="AB37" s="6">
        <f t="shared" si="0"/>
        <v>0</v>
      </c>
      <c r="AC37" s="6">
        <f t="shared" si="7"/>
        <v>0</v>
      </c>
      <c r="AD37" s="6">
        <f t="shared" si="2"/>
        <v>0</v>
      </c>
      <c r="AE37" s="6">
        <f t="shared" ca="1" si="8"/>
        <v>0</v>
      </c>
      <c r="AF37" s="4" t="s">
        <v>686</v>
      </c>
    </row>
    <row r="38" spans="1:32" ht="11.25" customHeight="1" x14ac:dyDescent="0.3">
      <c r="A38" s="4" t="s">
        <v>21</v>
      </c>
      <c r="B38" s="4" t="s">
        <v>34</v>
      </c>
      <c r="C38" s="4" t="s">
        <v>54</v>
      </c>
      <c r="D38" s="4" t="s">
        <v>33</v>
      </c>
      <c r="E38" s="4" t="s">
        <v>25</v>
      </c>
      <c r="F38" s="4" t="s">
        <v>55</v>
      </c>
      <c r="G38" s="4" t="s">
        <v>25</v>
      </c>
      <c r="H38" s="4" t="s">
        <v>36</v>
      </c>
      <c r="I38" s="5">
        <v>44409</v>
      </c>
      <c r="J38" s="6">
        <v>7150</v>
      </c>
      <c r="K38" s="6">
        <v>3575.2025595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56</v>
      </c>
      <c r="R38" s="4">
        <v>0</v>
      </c>
      <c r="S38" s="4">
        <v>9</v>
      </c>
      <c r="T38" s="4">
        <v>0</v>
      </c>
      <c r="U38" s="4">
        <v>0</v>
      </c>
      <c r="V38" s="6">
        <f>IF(ISERROR(VLOOKUP($S$38,'TAR FIN'!$A$1:$O$92,15,0)),0,VLOOKUP($S$38,'TAR FIN'!$A$1:$O$92,15,0))</f>
        <v>29.39</v>
      </c>
      <c r="W38" s="6">
        <f>IF(ISERROR(VLOOKUP($T$38,'TAR FIN'!$A$1:$O$92,15,0)),0,VLOOKUP($T$38,'TAR FIN'!$A$1:$O$92,15,0))</f>
        <v>0</v>
      </c>
      <c r="X38" s="6">
        <f>IF(ISERROR(VLOOKUP($U$38,'TAR FIN'!$A$1:$O$92,15,0)),0,VLOOKUP($U$38,'TAR FIN'!$A$1:$O$92,15,0))</f>
        <v>0</v>
      </c>
      <c r="Y38" s="6">
        <f ca="1">('TUSD BE'!$AM$9+'TUSD BF'!$AM$9+'TUSD CVA'!$AM$9)*1</f>
        <v>38.604681932065752</v>
      </c>
      <c r="Z38" s="6">
        <f ca="1">('TUSD BE'!$AM$11+'TUSD BF'!$AM$11+'TUSD CVA'!$AM$11)*1</f>
        <v>139.98967941887983</v>
      </c>
      <c r="AA38" s="6"/>
      <c r="AB38" s="6">
        <f t="shared" si="0"/>
        <v>105063.296776295</v>
      </c>
      <c r="AC38" s="6">
        <f t="shared" si="7"/>
        <v>0</v>
      </c>
      <c r="AD38" s="6">
        <f t="shared" ca="1" si="2"/>
        <v>138003.91816206524</v>
      </c>
      <c r="AE38" s="6">
        <f t="shared" ca="1" si="8"/>
        <v>0</v>
      </c>
      <c r="AF38" s="4" t="s">
        <v>686</v>
      </c>
    </row>
    <row r="39" spans="1:32" ht="11.25" customHeight="1" x14ac:dyDescent="0.3">
      <c r="A39" s="4" t="s">
        <v>21</v>
      </c>
      <c r="B39" s="4" t="s">
        <v>34</v>
      </c>
      <c r="C39" s="4" t="s">
        <v>54</v>
      </c>
      <c r="D39" s="4" t="s">
        <v>33</v>
      </c>
      <c r="E39" s="4" t="s">
        <v>25</v>
      </c>
      <c r="F39" s="4" t="s">
        <v>55</v>
      </c>
      <c r="G39" s="4" t="s">
        <v>25</v>
      </c>
      <c r="H39" s="4" t="s">
        <v>36</v>
      </c>
      <c r="I39" s="5">
        <v>44440</v>
      </c>
      <c r="J39" s="6">
        <v>7158</v>
      </c>
      <c r="K39" s="6">
        <v>3583.0537901399998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56</v>
      </c>
      <c r="R39" s="4">
        <v>0</v>
      </c>
      <c r="S39" s="4">
        <v>9</v>
      </c>
      <c r="T39" s="4">
        <v>0</v>
      </c>
      <c r="U39" s="4">
        <v>0</v>
      </c>
      <c r="V39" s="6">
        <f>IF(ISERROR(VLOOKUP($S$39,'TAR FIN'!$A$1:$O$92,15,0)),0,VLOOKUP($S$39,'TAR FIN'!$A$1:$O$92,15,0))</f>
        <v>29.39</v>
      </c>
      <c r="W39" s="6">
        <f>IF(ISERROR(VLOOKUP($T$39,'TAR FIN'!$A$1:$O$92,15,0)),0,VLOOKUP($T$39,'TAR FIN'!$A$1:$O$92,15,0))</f>
        <v>0</v>
      </c>
      <c r="X39" s="6">
        <f>IF(ISERROR(VLOOKUP($U$39,'TAR FIN'!$A$1:$O$92,15,0)),0,VLOOKUP($U$39,'TAR FIN'!$A$1:$O$92,15,0))</f>
        <v>0</v>
      </c>
      <c r="Y39" s="6">
        <f ca="1">('TUSD BE'!$AM$9+'TUSD BF'!$AM$9+'TUSD CVA'!$AM$9)*1</f>
        <v>38.604681932065752</v>
      </c>
      <c r="Z39" s="6">
        <f ca="1">('TUSD BE'!$AM$11+'TUSD BF'!$AM$11+'TUSD CVA'!$AM$11)*1</f>
        <v>139.98967941887983</v>
      </c>
      <c r="AA39" s="6"/>
      <c r="AB39" s="6">
        <f t="shared" si="0"/>
        <v>105067.6691077854</v>
      </c>
      <c r="AC39" s="6">
        <f t="shared" si="7"/>
        <v>0</v>
      </c>
      <c r="AD39" s="6">
        <f t="shared" ca="1" si="2"/>
        <v>138009.66135588929</v>
      </c>
      <c r="AE39" s="6">
        <f t="shared" ca="1" si="8"/>
        <v>0</v>
      </c>
      <c r="AF39" s="4" t="s">
        <v>686</v>
      </c>
    </row>
    <row r="40" spans="1:32" ht="11.25" customHeight="1" x14ac:dyDescent="0.3">
      <c r="A40" s="4" t="s">
        <v>21</v>
      </c>
      <c r="B40" s="4" t="s">
        <v>34</v>
      </c>
      <c r="C40" s="4" t="s">
        <v>54</v>
      </c>
      <c r="D40" s="4" t="s">
        <v>33</v>
      </c>
      <c r="E40" s="4" t="s">
        <v>25</v>
      </c>
      <c r="F40" s="4" t="s">
        <v>55</v>
      </c>
      <c r="G40" s="4" t="s">
        <v>25</v>
      </c>
      <c r="H40" s="4" t="s">
        <v>36</v>
      </c>
      <c r="I40" s="5">
        <v>44470</v>
      </c>
      <c r="J40" s="6">
        <v>7192</v>
      </c>
      <c r="K40" s="6">
        <v>3599.06537424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56</v>
      </c>
      <c r="R40" s="4">
        <v>0</v>
      </c>
      <c r="S40" s="4">
        <v>9</v>
      </c>
      <c r="T40" s="4">
        <v>0</v>
      </c>
      <c r="U40" s="4">
        <v>0</v>
      </c>
      <c r="V40" s="6">
        <f>IF(ISERROR(VLOOKUP($S$40,'TAR FIN'!$A$1:$O$92,15,0)),0,VLOOKUP($S$40,'TAR FIN'!$A$1:$O$92,15,0))</f>
        <v>29.39</v>
      </c>
      <c r="W40" s="6">
        <f>IF(ISERROR(VLOOKUP($T$40,'TAR FIN'!$A$1:$O$92,15,0)),0,VLOOKUP($T$40,'TAR FIN'!$A$1:$O$92,15,0))</f>
        <v>0</v>
      </c>
      <c r="X40" s="6">
        <f>IF(ISERROR(VLOOKUP($U$40,'TAR FIN'!$A$1:$O$92,15,0)),0,VLOOKUP($U$40,'TAR FIN'!$A$1:$O$92,15,0))</f>
        <v>0</v>
      </c>
      <c r="Y40" s="6">
        <f ca="1">('TUSD BE'!$AM$9+'TUSD BF'!$AM$9+'TUSD CVA'!$AM$9)*1</f>
        <v>38.604681932065752</v>
      </c>
      <c r="Z40" s="6">
        <f ca="1">('TUSD BE'!$AM$11+'TUSD BF'!$AM$11+'TUSD CVA'!$AM$11)*1</f>
        <v>139.98967941887983</v>
      </c>
      <c r="AA40" s="6"/>
      <c r="AB40" s="6">
        <f t="shared" si="0"/>
        <v>105596.3486510864</v>
      </c>
      <c r="AC40" s="6">
        <f t="shared" si="7"/>
        <v>0</v>
      </c>
      <c r="AD40" s="6">
        <f t="shared" ca="1" si="2"/>
        <v>138704.0984301705</v>
      </c>
      <c r="AE40" s="6">
        <f t="shared" ca="1" si="8"/>
        <v>0</v>
      </c>
      <c r="AF40" s="4" t="s">
        <v>686</v>
      </c>
    </row>
    <row r="41" spans="1:32" ht="11.25" customHeight="1" x14ac:dyDescent="0.3">
      <c r="A41" s="4" t="s">
        <v>21</v>
      </c>
      <c r="B41" s="4" t="s">
        <v>34</v>
      </c>
      <c r="C41" s="4" t="s">
        <v>54</v>
      </c>
      <c r="D41" s="4" t="s">
        <v>33</v>
      </c>
      <c r="E41" s="4" t="s">
        <v>25</v>
      </c>
      <c r="F41" s="4" t="s">
        <v>55</v>
      </c>
      <c r="G41" s="4" t="s">
        <v>25</v>
      </c>
      <c r="H41" s="4" t="s">
        <v>36</v>
      </c>
      <c r="I41" s="5">
        <v>44501</v>
      </c>
      <c r="J41" s="6">
        <v>7149</v>
      </c>
      <c r="K41" s="6">
        <v>3577.8967758600002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56</v>
      </c>
      <c r="R41" s="4">
        <v>0</v>
      </c>
      <c r="S41" s="4">
        <v>9</v>
      </c>
      <c r="T41" s="4">
        <v>0</v>
      </c>
      <c r="U41" s="4">
        <v>0</v>
      </c>
      <c r="V41" s="6">
        <f>IF(ISERROR(VLOOKUP($S$41,'TAR FIN'!$A$1:$O$92,15,0)),0,VLOOKUP($S$41,'TAR FIN'!$A$1:$O$92,15,0))</f>
        <v>29.39</v>
      </c>
      <c r="W41" s="6">
        <f>IF(ISERROR(VLOOKUP($T$41,'TAR FIN'!$A$1:$O$92,15,0)),0,VLOOKUP($T$41,'TAR FIN'!$A$1:$O$92,15,0))</f>
        <v>0</v>
      </c>
      <c r="X41" s="6">
        <f>IF(ISERROR(VLOOKUP($U$41,'TAR FIN'!$A$1:$O$92,15,0)),0,VLOOKUP($U$41,'TAR FIN'!$A$1:$O$92,15,0))</f>
        <v>0</v>
      </c>
      <c r="Y41" s="6">
        <f ca="1">('TUSD BE'!$AM$9+'TUSD BF'!$AM$9+'TUSD CVA'!$AM$9)*1</f>
        <v>38.604681932065752</v>
      </c>
      <c r="Z41" s="6">
        <f ca="1">('TUSD BE'!$AM$11+'TUSD BF'!$AM$11+'TUSD CVA'!$AM$11)*1</f>
        <v>139.98967941887983</v>
      </c>
      <c r="AA41" s="6"/>
      <c r="AB41" s="6">
        <f t="shared" si="0"/>
        <v>104954.7237574746</v>
      </c>
      <c r="AC41" s="6">
        <f t="shared" si="7"/>
        <v>0</v>
      </c>
      <c r="AD41" s="6">
        <f t="shared" ca="1" si="2"/>
        <v>137861.30411449922</v>
      </c>
      <c r="AE41" s="6">
        <f t="shared" ca="1" si="8"/>
        <v>0</v>
      </c>
      <c r="AF41" s="4" t="s">
        <v>686</v>
      </c>
    </row>
    <row r="42" spans="1:32" ht="11.25" customHeight="1" x14ac:dyDescent="0.3">
      <c r="A42" s="4" t="s">
        <v>21</v>
      </c>
      <c r="B42" s="4" t="s">
        <v>34</v>
      </c>
      <c r="C42" s="4" t="s">
        <v>54</v>
      </c>
      <c r="D42" s="4" t="s">
        <v>33</v>
      </c>
      <c r="E42" s="4" t="s">
        <v>25</v>
      </c>
      <c r="F42" s="4" t="s">
        <v>55</v>
      </c>
      <c r="G42" s="4" t="s">
        <v>25</v>
      </c>
      <c r="H42" s="4" t="s">
        <v>36</v>
      </c>
      <c r="I42" s="5">
        <v>44531</v>
      </c>
      <c r="J42" s="6">
        <v>7149</v>
      </c>
      <c r="K42" s="6">
        <v>3583.7158473899999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56</v>
      </c>
      <c r="R42" s="4">
        <v>0</v>
      </c>
      <c r="S42" s="4">
        <v>9</v>
      </c>
      <c r="T42" s="4">
        <v>0</v>
      </c>
      <c r="U42" s="4">
        <v>0</v>
      </c>
      <c r="V42" s="6">
        <f>IF(ISERROR(VLOOKUP($S$42,'TAR FIN'!$A$1:$O$92,15,0)),0,VLOOKUP($S$42,'TAR FIN'!$A$1:$O$92,15,0))</f>
        <v>29.39</v>
      </c>
      <c r="W42" s="6">
        <f>IF(ISERROR(VLOOKUP($T$42,'TAR FIN'!$A$1:$O$92,15,0)),0,VLOOKUP($T$42,'TAR FIN'!$A$1:$O$92,15,0))</f>
        <v>0</v>
      </c>
      <c r="X42" s="6">
        <f>IF(ISERROR(VLOOKUP($U$42,'TAR FIN'!$A$1:$O$92,15,0)),0,VLOOKUP($U$42,'TAR FIN'!$A$1:$O$92,15,0))</f>
        <v>0</v>
      </c>
      <c r="Y42" s="6">
        <f ca="1">('TUSD BE'!$AM$9+'TUSD BF'!$AM$9+'TUSD CVA'!$AM$9)*1</f>
        <v>38.604681932065752</v>
      </c>
      <c r="Z42" s="6">
        <f ca="1">('TUSD BE'!$AM$11+'TUSD BF'!$AM$11+'TUSD CVA'!$AM$11)*1</f>
        <v>139.98967941887983</v>
      </c>
      <c r="AA42" s="6"/>
      <c r="AB42" s="6">
        <f t="shared" si="0"/>
        <v>104783.70124520791</v>
      </c>
      <c r="AC42" s="6">
        <f t="shared" si="7"/>
        <v>0</v>
      </c>
      <c r="AD42" s="6">
        <f t="shared" ca="1" si="2"/>
        <v>137636.66070894361</v>
      </c>
      <c r="AE42" s="6">
        <f t="shared" ca="1" si="8"/>
        <v>0</v>
      </c>
      <c r="AF42" s="4" t="s">
        <v>686</v>
      </c>
    </row>
    <row r="43" spans="1:32" ht="11.25" customHeight="1" x14ac:dyDescent="0.3">
      <c r="A43" s="4" t="s">
        <v>21</v>
      </c>
      <c r="B43" s="4" t="s">
        <v>34</v>
      </c>
      <c r="C43" s="4" t="s">
        <v>54</v>
      </c>
      <c r="D43" s="4" t="s">
        <v>33</v>
      </c>
      <c r="E43" s="4" t="s">
        <v>25</v>
      </c>
      <c r="F43" s="4" t="s">
        <v>55</v>
      </c>
      <c r="G43" s="4" t="s">
        <v>25</v>
      </c>
      <c r="H43" s="4" t="s">
        <v>36</v>
      </c>
      <c r="I43" s="5">
        <v>44562</v>
      </c>
      <c r="J43" s="6">
        <v>7150</v>
      </c>
      <c r="K43" s="6">
        <v>3595.9309815000001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56</v>
      </c>
      <c r="R43" s="4">
        <v>0</v>
      </c>
      <c r="S43" s="4">
        <v>9</v>
      </c>
      <c r="T43" s="4">
        <v>0</v>
      </c>
      <c r="U43" s="4">
        <v>0</v>
      </c>
      <c r="V43" s="6">
        <f>IF(ISERROR(VLOOKUP($S$43,'TAR FIN'!$A$1:$O$92,15,0)),0,VLOOKUP($S$43,'TAR FIN'!$A$1:$O$92,15,0))</f>
        <v>29.39</v>
      </c>
      <c r="W43" s="6">
        <f>IF(ISERROR(VLOOKUP($T$43,'TAR FIN'!$A$1:$O$92,15,0)),0,VLOOKUP($T$43,'TAR FIN'!$A$1:$O$92,15,0))</f>
        <v>0</v>
      </c>
      <c r="X43" s="6">
        <f>IF(ISERROR(VLOOKUP($U$43,'TAR FIN'!$A$1:$O$92,15,0)),0,VLOOKUP($U$43,'TAR FIN'!$A$1:$O$92,15,0))</f>
        <v>0</v>
      </c>
      <c r="Y43" s="6">
        <f ca="1">('TUSD BE'!$AM$9+'TUSD BF'!$AM$9+'TUSD CVA'!$AM$9)*1</f>
        <v>38.604681932065752</v>
      </c>
      <c r="Z43" s="6">
        <f ca="1">('TUSD BE'!$AM$11+'TUSD BF'!$AM$11+'TUSD CVA'!$AM$11)*1</f>
        <v>139.98967941887983</v>
      </c>
      <c r="AA43" s="6"/>
      <c r="AB43" s="6">
        <f t="shared" si="0"/>
        <v>104454.088453715</v>
      </c>
      <c r="AC43" s="6">
        <f t="shared" si="7"/>
        <v>0</v>
      </c>
      <c r="AD43" s="6">
        <f t="shared" ca="1" si="2"/>
        <v>137203.70402380161</v>
      </c>
      <c r="AE43" s="6">
        <f t="shared" ca="1" si="8"/>
        <v>0</v>
      </c>
      <c r="AF43" s="4" t="s">
        <v>686</v>
      </c>
    </row>
    <row r="44" spans="1:32" ht="11.25" customHeight="1" x14ac:dyDescent="0.3">
      <c r="A44" s="4" t="s">
        <v>21</v>
      </c>
      <c r="B44" s="4" t="s">
        <v>34</v>
      </c>
      <c r="C44" s="4" t="s">
        <v>54</v>
      </c>
      <c r="D44" s="4" t="s">
        <v>33</v>
      </c>
      <c r="E44" s="4" t="s">
        <v>25</v>
      </c>
      <c r="F44" s="4" t="s">
        <v>55</v>
      </c>
      <c r="G44" s="4" t="s">
        <v>25</v>
      </c>
      <c r="H44" s="4" t="s">
        <v>36</v>
      </c>
      <c r="I44" s="5">
        <v>44593</v>
      </c>
      <c r="J44" s="6">
        <v>7149</v>
      </c>
      <c r="K44" s="6">
        <v>3576.6673623299998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56</v>
      </c>
      <c r="R44" s="4">
        <v>0</v>
      </c>
      <c r="S44" s="4">
        <v>9</v>
      </c>
      <c r="T44" s="4">
        <v>0</v>
      </c>
      <c r="U44" s="4">
        <v>0</v>
      </c>
      <c r="V44" s="6">
        <f>IF(ISERROR(VLOOKUP($S$44,'TAR FIN'!$A$1:$O$92,15,0)),0,VLOOKUP($S$44,'TAR FIN'!$A$1:$O$92,15,0))</f>
        <v>29.39</v>
      </c>
      <c r="W44" s="6">
        <f>IF(ISERROR(VLOOKUP($T$44,'TAR FIN'!$A$1:$O$92,15,0)),0,VLOOKUP($T$44,'TAR FIN'!$A$1:$O$92,15,0))</f>
        <v>0</v>
      </c>
      <c r="X44" s="6">
        <f>IF(ISERROR(VLOOKUP($U$44,'TAR FIN'!$A$1:$O$92,15,0)),0,VLOOKUP($U$44,'TAR FIN'!$A$1:$O$92,15,0))</f>
        <v>0</v>
      </c>
      <c r="Y44" s="6">
        <f ca="1">('TUSD BE'!$AM$9+'TUSD BF'!$AM$9+'TUSD CVA'!$AM$9)*1</f>
        <v>38.604681932065752</v>
      </c>
      <c r="Z44" s="6">
        <f ca="1">('TUSD BE'!$AM$11+'TUSD BF'!$AM$11+'TUSD CVA'!$AM$11)*1</f>
        <v>139.98967941887983</v>
      </c>
      <c r="AA44" s="6"/>
      <c r="AB44" s="6">
        <f t="shared" si="0"/>
        <v>104990.85622112131</v>
      </c>
      <c r="AC44" s="6">
        <f t="shared" si="7"/>
        <v>0</v>
      </c>
      <c r="AD44" s="6">
        <f t="shared" ca="1" si="2"/>
        <v>137908.76523278785</v>
      </c>
      <c r="AE44" s="6">
        <f t="shared" ca="1" si="8"/>
        <v>0</v>
      </c>
      <c r="AF44" s="4" t="s">
        <v>686</v>
      </c>
    </row>
    <row r="45" spans="1:32" ht="11.25" customHeight="1" x14ac:dyDescent="0.3">
      <c r="A45" s="4" t="s">
        <v>21</v>
      </c>
      <c r="B45" s="4" t="s">
        <v>34</v>
      </c>
      <c r="C45" s="4" t="s">
        <v>54</v>
      </c>
      <c r="D45" s="4" t="s">
        <v>33</v>
      </c>
      <c r="E45" s="4" t="s">
        <v>25</v>
      </c>
      <c r="F45" s="4" t="s">
        <v>55</v>
      </c>
      <c r="G45" s="4" t="s">
        <v>25</v>
      </c>
      <c r="H45" s="4" t="s">
        <v>36</v>
      </c>
      <c r="I45" s="5">
        <v>44621</v>
      </c>
      <c r="J45" s="6">
        <v>6550</v>
      </c>
      <c r="K45" s="6">
        <v>3276.0449214999999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56</v>
      </c>
      <c r="R45" s="4">
        <v>0</v>
      </c>
      <c r="S45" s="4">
        <v>9</v>
      </c>
      <c r="T45" s="4">
        <v>0</v>
      </c>
      <c r="U45" s="4">
        <v>0</v>
      </c>
      <c r="V45" s="6">
        <f>IF(ISERROR(VLOOKUP($S$45,'TAR FIN'!$A$1:$O$92,15,0)),0,VLOOKUP($S$45,'TAR FIN'!$A$1:$O$92,15,0))</f>
        <v>29.39</v>
      </c>
      <c r="W45" s="6">
        <f>IF(ISERROR(VLOOKUP($T$45,'TAR FIN'!$A$1:$O$92,15,0)),0,VLOOKUP($T$45,'TAR FIN'!$A$1:$O$92,15,0))</f>
        <v>0</v>
      </c>
      <c r="X45" s="6">
        <f>IF(ISERROR(VLOOKUP($U$45,'TAR FIN'!$A$1:$O$92,15,0)),0,VLOOKUP($U$45,'TAR FIN'!$A$1:$O$92,15,0))</f>
        <v>0</v>
      </c>
      <c r="Y45" s="6">
        <f ca="1">('TUSD BE'!$AM$9+'TUSD BF'!$AM$9+'TUSD CVA'!$AM$9)*1</f>
        <v>38.604681932065752</v>
      </c>
      <c r="Z45" s="6">
        <f ca="1">('TUSD BE'!$AM$11+'TUSD BF'!$AM$11+'TUSD CVA'!$AM$11)*1</f>
        <v>139.98967941887983</v>
      </c>
      <c r="AA45" s="6"/>
      <c r="AB45" s="6">
        <f t="shared" si="0"/>
        <v>96221.53975711501</v>
      </c>
      <c r="AC45" s="6">
        <f t="shared" si="7"/>
        <v>0</v>
      </c>
      <c r="AD45" s="6">
        <f t="shared" ca="1" si="2"/>
        <v>126389.99446536387</v>
      </c>
      <c r="AE45" s="6">
        <f t="shared" ca="1" si="8"/>
        <v>0</v>
      </c>
      <c r="AF45" s="4" t="s">
        <v>686</v>
      </c>
    </row>
    <row r="46" spans="1:32" ht="11.25" customHeight="1" x14ac:dyDescent="0.3">
      <c r="A46" s="4" t="s">
        <v>21</v>
      </c>
      <c r="B46" s="4" t="s">
        <v>34</v>
      </c>
      <c r="C46" s="4" t="s">
        <v>54</v>
      </c>
      <c r="D46" s="4" t="s">
        <v>33</v>
      </c>
      <c r="E46" s="4" t="s">
        <v>25</v>
      </c>
      <c r="F46" s="4" t="s">
        <v>55</v>
      </c>
      <c r="G46" s="4" t="s">
        <v>25</v>
      </c>
      <c r="H46" s="4" t="s">
        <v>36</v>
      </c>
      <c r="I46" s="5">
        <v>44652</v>
      </c>
      <c r="J46" s="6">
        <v>6550</v>
      </c>
      <c r="K46" s="6">
        <v>3277.0388840000001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56</v>
      </c>
      <c r="R46" s="4">
        <v>0</v>
      </c>
      <c r="S46" s="4">
        <v>9</v>
      </c>
      <c r="T46" s="4">
        <v>0</v>
      </c>
      <c r="U46" s="4">
        <v>0</v>
      </c>
      <c r="V46" s="6">
        <f>IF(ISERROR(VLOOKUP($S$46,'TAR FIN'!$A$1:$O$92,15,0)),0,VLOOKUP($S$46,'TAR FIN'!$A$1:$O$92,15,0))</f>
        <v>29.39</v>
      </c>
      <c r="W46" s="6">
        <f>IF(ISERROR(VLOOKUP($T$46,'TAR FIN'!$A$1:$O$92,15,0)),0,VLOOKUP($T$46,'TAR FIN'!$A$1:$O$92,15,0))</f>
        <v>0</v>
      </c>
      <c r="X46" s="6">
        <f>IF(ISERROR(VLOOKUP($U$46,'TAR FIN'!$A$1:$O$92,15,0)),0,VLOOKUP($U$46,'TAR FIN'!$A$1:$O$92,15,0))</f>
        <v>0</v>
      </c>
      <c r="Y46" s="6">
        <f ca="1">('TUSD BE'!$AM$9+'TUSD BF'!$AM$9+'TUSD CVA'!$AM$9)*1</f>
        <v>38.604681932065752</v>
      </c>
      <c r="Z46" s="6">
        <f ca="1">('TUSD BE'!$AM$11+'TUSD BF'!$AM$11+'TUSD CVA'!$AM$11)*1</f>
        <v>139.98967941887983</v>
      </c>
      <c r="AA46" s="6"/>
      <c r="AB46" s="6">
        <f t="shared" si="0"/>
        <v>96192.327199239997</v>
      </c>
      <c r="AC46" s="6">
        <f t="shared" si="7"/>
        <v>0</v>
      </c>
      <c r="AD46" s="6">
        <f t="shared" ca="1" si="2"/>
        <v>126351.62285919896</v>
      </c>
      <c r="AE46" s="6">
        <f t="shared" ca="1" si="8"/>
        <v>0</v>
      </c>
      <c r="AF46" s="4" t="s">
        <v>686</v>
      </c>
    </row>
    <row r="47" spans="1:32" ht="11.25" customHeight="1" x14ac:dyDescent="0.3">
      <c r="A47" s="4" t="s">
        <v>21</v>
      </c>
      <c r="B47" s="4" t="s">
        <v>34</v>
      </c>
      <c r="C47" s="4" t="s">
        <v>54</v>
      </c>
      <c r="D47" s="4" t="s">
        <v>33</v>
      </c>
      <c r="E47" s="4" t="s">
        <v>25</v>
      </c>
      <c r="F47" s="4" t="s">
        <v>55</v>
      </c>
      <c r="G47" s="4" t="s">
        <v>25</v>
      </c>
      <c r="H47" s="4" t="s">
        <v>36</v>
      </c>
      <c r="I47" s="5">
        <v>44682</v>
      </c>
      <c r="J47" s="6">
        <v>3750</v>
      </c>
      <c r="K47" s="6">
        <v>1875.5648624999999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56</v>
      </c>
      <c r="R47" s="4">
        <v>0</v>
      </c>
      <c r="S47" s="4">
        <v>9</v>
      </c>
      <c r="T47" s="4">
        <v>0</v>
      </c>
      <c r="U47" s="4">
        <v>0</v>
      </c>
      <c r="V47" s="6">
        <f>IF(ISERROR(VLOOKUP($S$47,'TAR FIN'!$A$1:$O$92,15,0)),0,VLOOKUP($S$47,'TAR FIN'!$A$1:$O$92,15,0))</f>
        <v>29.39</v>
      </c>
      <c r="W47" s="6">
        <f>IF(ISERROR(VLOOKUP($T$47,'TAR FIN'!$A$1:$O$92,15,0)),0,VLOOKUP($T$47,'TAR FIN'!$A$1:$O$92,15,0))</f>
        <v>0</v>
      </c>
      <c r="X47" s="6">
        <f>IF(ISERROR(VLOOKUP($U$47,'TAR FIN'!$A$1:$O$92,15,0)),0,VLOOKUP($U$47,'TAR FIN'!$A$1:$O$92,15,0))</f>
        <v>0</v>
      </c>
      <c r="Y47" s="6">
        <f ca="1">('TUSD BE'!$AM$9+'TUSD BF'!$AM$9+'TUSD CVA'!$AM$9)*1</f>
        <v>38.604681932065752</v>
      </c>
      <c r="Z47" s="6">
        <f ca="1">('TUSD BE'!$AM$11+'TUSD BF'!$AM$11+'TUSD CVA'!$AM$11)*1</f>
        <v>139.98967941887983</v>
      </c>
      <c r="AA47" s="6"/>
      <c r="AB47" s="6">
        <f t="shared" si="0"/>
        <v>55089.648691125003</v>
      </c>
      <c r="AC47" s="6">
        <f t="shared" si="7"/>
        <v>0</v>
      </c>
      <c r="AD47" s="6">
        <f t="shared" ca="1" si="2"/>
        <v>72361.972285475436</v>
      </c>
      <c r="AE47" s="6">
        <f t="shared" ca="1" si="8"/>
        <v>0</v>
      </c>
      <c r="AF47" s="4" t="s">
        <v>686</v>
      </c>
    </row>
    <row r="48" spans="1:32" ht="11.25" customHeight="1" x14ac:dyDescent="0.3">
      <c r="A48" s="4" t="s">
        <v>21</v>
      </c>
      <c r="B48" s="4" t="s">
        <v>34</v>
      </c>
      <c r="C48" s="4" t="s">
        <v>54</v>
      </c>
      <c r="D48" s="4" t="s">
        <v>33</v>
      </c>
      <c r="E48" s="4" t="s">
        <v>25</v>
      </c>
      <c r="F48" s="4" t="s">
        <v>55</v>
      </c>
      <c r="G48" s="4" t="s">
        <v>25</v>
      </c>
      <c r="H48" s="4" t="s">
        <v>36</v>
      </c>
      <c r="I48" s="5">
        <v>44713</v>
      </c>
      <c r="J48" s="6">
        <v>3750</v>
      </c>
      <c r="K48" s="6">
        <v>1888.4784374999999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56</v>
      </c>
      <c r="R48" s="4">
        <v>0</v>
      </c>
      <c r="S48" s="4">
        <v>9</v>
      </c>
      <c r="T48" s="4">
        <v>0</v>
      </c>
      <c r="U48" s="4">
        <v>0</v>
      </c>
      <c r="V48" s="6">
        <f>IF(ISERROR(VLOOKUP($S$48,'TAR FIN'!$A$1:$O$92,15,0)),0,VLOOKUP($S$48,'TAR FIN'!$A$1:$O$92,15,0))</f>
        <v>29.39</v>
      </c>
      <c r="W48" s="6">
        <f>IF(ISERROR(VLOOKUP($T$48,'TAR FIN'!$A$1:$O$92,15,0)),0,VLOOKUP($T$48,'TAR FIN'!$A$1:$O$92,15,0))</f>
        <v>0</v>
      </c>
      <c r="X48" s="6">
        <f>IF(ISERROR(VLOOKUP($U$48,'TAR FIN'!$A$1:$O$92,15,0)),0,VLOOKUP($U$48,'TAR FIN'!$A$1:$O$92,15,0))</f>
        <v>0</v>
      </c>
      <c r="Y48" s="6">
        <f ca="1">('TUSD BE'!$AM$9+'TUSD BF'!$AM$9+'TUSD CVA'!$AM$9)*1</f>
        <v>38.604681932065752</v>
      </c>
      <c r="Z48" s="6">
        <f ca="1">('TUSD BE'!$AM$11+'TUSD BF'!$AM$11+'TUSD CVA'!$AM$11)*1</f>
        <v>139.98967941887983</v>
      </c>
      <c r="AA48" s="6"/>
      <c r="AB48" s="6">
        <f t="shared" si="0"/>
        <v>54710.118721875006</v>
      </c>
      <c r="AC48" s="6">
        <f t="shared" si="7"/>
        <v>0</v>
      </c>
      <c r="AD48" s="6">
        <f t="shared" ca="1" si="2"/>
        <v>71863.447829994562</v>
      </c>
      <c r="AE48" s="6">
        <f t="shared" ca="1" si="8"/>
        <v>0</v>
      </c>
      <c r="AF48" s="4" t="s">
        <v>686</v>
      </c>
    </row>
    <row r="49" spans="1:32" ht="11.25" customHeight="1" x14ac:dyDescent="0.3">
      <c r="A49" s="4" t="s">
        <v>21</v>
      </c>
      <c r="B49" s="4" t="s">
        <v>34</v>
      </c>
      <c r="C49" s="4" t="s">
        <v>54</v>
      </c>
      <c r="D49" s="4" t="s">
        <v>33</v>
      </c>
      <c r="E49" s="4" t="s">
        <v>25</v>
      </c>
      <c r="F49" s="4" t="s">
        <v>55</v>
      </c>
      <c r="G49" s="4" t="s">
        <v>25</v>
      </c>
      <c r="H49" s="4" t="s">
        <v>36</v>
      </c>
      <c r="I49" s="5">
        <v>44743</v>
      </c>
      <c r="J49" s="6">
        <v>3750</v>
      </c>
      <c r="K49" s="6">
        <v>1891.9794374999999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56</v>
      </c>
      <c r="R49" s="4">
        <v>0</v>
      </c>
      <c r="S49" s="4">
        <v>9</v>
      </c>
      <c r="T49" s="4">
        <v>0</v>
      </c>
      <c r="U49" s="4">
        <v>0</v>
      </c>
      <c r="V49" s="6">
        <f>IF(ISERROR(VLOOKUP($S$49,'TAR FIN'!$A$1:$O$92,15,0)),0,VLOOKUP($S$49,'TAR FIN'!$A$1:$O$92,15,0))</f>
        <v>29.39</v>
      </c>
      <c r="W49" s="6">
        <f>IF(ISERROR(VLOOKUP($T$49,'TAR FIN'!$A$1:$O$92,15,0)),0,VLOOKUP($T$49,'TAR FIN'!$A$1:$O$92,15,0))</f>
        <v>0</v>
      </c>
      <c r="X49" s="6">
        <f>IF(ISERROR(VLOOKUP($U$49,'TAR FIN'!$A$1:$O$92,15,0)),0,VLOOKUP($U$49,'TAR FIN'!$A$1:$O$92,15,0))</f>
        <v>0</v>
      </c>
      <c r="Y49" s="6">
        <f ca="1">('TUSD BE'!$AM$9+'TUSD BF'!$AM$9+'TUSD CVA'!$AM$9)*1</f>
        <v>38.604681932065752</v>
      </c>
      <c r="Z49" s="6">
        <f ca="1">('TUSD BE'!$AM$11+'TUSD BF'!$AM$11+'TUSD CVA'!$AM$11)*1</f>
        <v>139.98967941887983</v>
      </c>
      <c r="AA49" s="6"/>
      <c r="AB49" s="6">
        <f t="shared" si="0"/>
        <v>54607.224331875004</v>
      </c>
      <c r="AC49" s="6">
        <f t="shared" si="7"/>
        <v>0</v>
      </c>
      <c r="AD49" s="6">
        <f t="shared" ca="1" si="2"/>
        <v>71728.292838550406</v>
      </c>
      <c r="AE49" s="6">
        <f t="shared" ca="1" si="8"/>
        <v>0</v>
      </c>
      <c r="AF49" s="4" t="s">
        <v>686</v>
      </c>
    </row>
    <row r="50" spans="1:32" ht="11.25" customHeight="1" x14ac:dyDescent="0.3">
      <c r="A50" s="4" t="s">
        <v>21</v>
      </c>
      <c r="B50" s="4" t="s">
        <v>34</v>
      </c>
      <c r="C50" s="4" t="s">
        <v>57</v>
      </c>
      <c r="D50" s="4" t="s">
        <v>25</v>
      </c>
      <c r="E50" s="4" t="s">
        <v>25</v>
      </c>
      <c r="F50" s="4" t="s">
        <v>25</v>
      </c>
      <c r="G50" s="4" t="s">
        <v>58</v>
      </c>
      <c r="H50" s="4" t="s">
        <v>25</v>
      </c>
      <c r="I50" s="5">
        <v>44409</v>
      </c>
      <c r="J50" s="6">
        <v>1500</v>
      </c>
      <c r="K50" s="6">
        <v>750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4" t="s">
        <v>59</v>
      </c>
      <c r="R50" s="4">
        <v>28195</v>
      </c>
      <c r="S50" s="4">
        <v>17</v>
      </c>
      <c r="T50" s="4">
        <v>0</v>
      </c>
      <c r="U50" s="4">
        <v>0</v>
      </c>
      <c r="V50" s="6">
        <f>IF(ISERROR(VLOOKUP($S$50,'TAR FIN'!$A$1:$O$92,15,0)),0,VLOOKUP($S$50,'TAR FIN'!$A$1:$O$92,15,0))</f>
        <v>6.96</v>
      </c>
      <c r="W50" s="6">
        <f>IF(ISERROR(VLOOKUP($T$50,'TAR FIN'!$A$1:$O$92,15,0)),0,VLOOKUP($T$50,'TAR FIN'!$A$1:$O$92,15,0))</f>
        <v>0</v>
      </c>
      <c r="X50" s="6">
        <f>IF(ISERROR(VLOOKUP($U$50,'TAR FIN'!$A$1:$O$92,15,0)),0,VLOOKUP($U$50,'TAR FIN'!$A$1:$O$92,15,0))</f>
        <v>0</v>
      </c>
      <c r="Y50" s="6">
        <f ca="1">('TUSD BE'!$AM$13+'TUSD BF'!$AM$13+'TUSD CVA'!$AM$13)*1</f>
        <v>8.2896895560114423</v>
      </c>
      <c r="Z50" s="6"/>
      <c r="AA50" s="6"/>
      <c r="AB50" s="6">
        <f t="shared" si="0"/>
        <v>5220</v>
      </c>
      <c r="AC50" s="6">
        <f t="shared" si="7"/>
        <v>0</v>
      </c>
      <c r="AD50" s="6">
        <f t="shared" ca="1" si="2"/>
        <v>6217.267167008582</v>
      </c>
      <c r="AE50" s="6">
        <f t="shared" si="8"/>
        <v>0</v>
      </c>
      <c r="AF50" s="4" t="s">
        <v>687</v>
      </c>
    </row>
    <row r="51" spans="1:32" ht="11.25" customHeight="1" x14ac:dyDescent="0.3">
      <c r="A51" s="4" t="s">
        <v>21</v>
      </c>
      <c r="B51" s="4" t="s">
        <v>34</v>
      </c>
      <c r="C51" s="4" t="s">
        <v>57</v>
      </c>
      <c r="D51" s="4" t="s">
        <v>25</v>
      </c>
      <c r="E51" s="4" t="s">
        <v>25</v>
      </c>
      <c r="F51" s="4" t="s">
        <v>25</v>
      </c>
      <c r="G51" s="4" t="s">
        <v>60</v>
      </c>
      <c r="H51" s="4" t="s">
        <v>25</v>
      </c>
      <c r="I51" s="5">
        <v>44409</v>
      </c>
      <c r="J51" s="6">
        <v>1250</v>
      </c>
      <c r="K51" s="6">
        <v>625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4" t="s">
        <v>59</v>
      </c>
      <c r="R51" s="4">
        <v>29377</v>
      </c>
      <c r="S51" s="4">
        <v>17</v>
      </c>
      <c r="T51" s="4">
        <v>0</v>
      </c>
      <c r="U51" s="4">
        <v>0</v>
      </c>
      <c r="V51" s="6">
        <f>IF(ISERROR(VLOOKUP($S$51,'TAR FIN'!$A$1:$O$92,15,0)),0,VLOOKUP($S$51,'TAR FIN'!$A$1:$O$92,15,0))</f>
        <v>6.96</v>
      </c>
      <c r="W51" s="6">
        <f>IF(ISERROR(VLOOKUP($T$51,'TAR FIN'!$A$1:$O$92,15,0)),0,VLOOKUP($T$51,'TAR FIN'!$A$1:$O$92,15,0))</f>
        <v>0</v>
      </c>
      <c r="X51" s="6">
        <f>IF(ISERROR(VLOOKUP($U$51,'TAR FIN'!$A$1:$O$92,15,0)),0,VLOOKUP($U$51,'TAR FIN'!$A$1:$O$92,15,0))</f>
        <v>0</v>
      </c>
      <c r="Y51" s="6">
        <f ca="1">('TUSD BE'!$AM$13+'TUSD BF'!$AM$13+'TUSD CVA'!$AM$13)*1</f>
        <v>8.2896895560114423</v>
      </c>
      <c r="Z51" s="6"/>
      <c r="AA51" s="6"/>
      <c r="AB51" s="6">
        <f t="shared" si="0"/>
        <v>4350</v>
      </c>
      <c r="AC51" s="6">
        <f t="shared" si="7"/>
        <v>0</v>
      </c>
      <c r="AD51" s="6">
        <f t="shared" ca="1" si="2"/>
        <v>5181.0559725071516</v>
      </c>
      <c r="AE51" s="6">
        <f t="shared" si="8"/>
        <v>0</v>
      </c>
      <c r="AF51" s="4" t="s">
        <v>687</v>
      </c>
    </row>
    <row r="52" spans="1:32" ht="11.25" customHeight="1" x14ac:dyDescent="0.3">
      <c r="A52" s="4" t="s">
        <v>21</v>
      </c>
      <c r="B52" s="4" t="s">
        <v>34</v>
      </c>
      <c r="C52" s="4" t="s">
        <v>57</v>
      </c>
      <c r="D52" s="4" t="s">
        <v>25</v>
      </c>
      <c r="E52" s="4" t="s">
        <v>25</v>
      </c>
      <c r="F52" s="4" t="s">
        <v>25</v>
      </c>
      <c r="G52" s="4" t="s">
        <v>58</v>
      </c>
      <c r="H52" s="4" t="s">
        <v>25</v>
      </c>
      <c r="I52" s="5">
        <v>44440</v>
      </c>
      <c r="J52" s="6">
        <v>1500</v>
      </c>
      <c r="K52" s="6">
        <v>750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4" t="s">
        <v>59</v>
      </c>
      <c r="R52" s="4">
        <v>28195</v>
      </c>
      <c r="S52" s="4">
        <v>17</v>
      </c>
      <c r="T52" s="4">
        <v>0</v>
      </c>
      <c r="U52" s="4">
        <v>0</v>
      </c>
      <c r="V52" s="6">
        <f>IF(ISERROR(VLOOKUP($S$52,'TAR FIN'!$A$1:$O$92,15,0)),0,VLOOKUP($S$52,'TAR FIN'!$A$1:$O$92,15,0))</f>
        <v>6.96</v>
      </c>
      <c r="W52" s="6">
        <f>IF(ISERROR(VLOOKUP($T$52,'TAR FIN'!$A$1:$O$92,15,0)),0,VLOOKUP($T$52,'TAR FIN'!$A$1:$O$92,15,0))</f>
        <v>0</v>
      </c>
      <c r="X52" s="6">
        <f>IF(ISERROR(VLOOKUP($U$52,'TAR FIN'!$A$1:$O$92,15,0)),0,VLOOKUP($U$52,'TAR FIN'!$A$1:$O$92,15,0))</f>
        <v>0</v>
      </c>
      <c r="Y52" s="6">
        <f ca="1">('TUSD BE'!$AM$13+'TUSD BF'!$AM$13+'TUSD CVA'!$AM$13)*1</f>
        <v>8.2896895560114423</v>
      </c>
      <c r="Z52" s="6"/>
      <c r="AA52" s="6"/>
      <c r="AB52" s="6">
        <f t="shared" si="0"/>
        <v>5220</v>
      </c>
      <c r="AC52" s="6">
        <f t="shared" si="7"/>
        <v>0</v>
      </c>
      <c r="AD52" s="6">
        <f t="shared" ca="1" si="2"/>
        <v>6217.267167008582</v>
      </c>
      <c r="AE52" s="6">
        <f t="shared" si="8"/>
        <v>0</v>
      </c>
      <c r="AF52" s="4" t="s">
        <v>687</v>
      </c>
    </row>
    <row r="53" spans="1:32" ht="11.25" customHeight="1" x14ac:dyDescent="0.3">
      <c r="A53" s="4" t="s">
        <v>21</v>
      </c>
      <c r="B53" s="4" t="s">
        <v>34</v>
      </c>
      <c r="C53" s="4" t="s">
        <v>57</v>
      </c>
      <c r="D53" s="4" t="s">
        <v>25</v>
      </c>
      <c r="E53" s="4" t="s">
        <v>25</v>
      </c>
      <c r="F53" s="4" t="s">
        <v>25</v>
      </c>
      <c r="G53" s="4" t="s">
        <v>60</v>
      </c>
      <c r="H53" s="4" t="s">
        <v>25</v>
      </c>
      <c r="I53" s="5">
        <v>44440</v>
      </c>
      <c r="J53" s="6">
        <v>1250</v>
      </c>
      <c r="K53" s="6">
        <v>625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4" t="s">
        <v>59</v>
      </c>
      <c r="R53" s="4">
        <v>29377</v>
      </c>
      <c r="S53" s="4">
        <v>17</v>
      </c>
      <c r="T53" s="4">
        <v>0</v>
      </c>
      <c r="U53" s="4">
        <v>0</v>
      </c>
      <c r="V53" s="6">
        <f>IF(ISERROR(VLOOKUP($S$53,'TAR FIN'!$A$1:$O$92,15,0)),0,VLOOKUP($S$53,'TAR FIN'!$A$1:$O$92,15,0))</f>
        <v>6.96</v>
      </c>
      <c r="W53" s="6">
        <f>IF(ISERROR(VLOOKUP($T$53,'TAR FIN'!$A$1:$O$92,15,0)),0,VLOOKUP($T$53,'TAR FIN'!$A$1:$O$92,15,0))</f>
        <v>0</v>
      </c>
      <c r="X53" s="6">
        <f>IF(ISERROR(VLOOKUP($U$53,'TAR FIN'!$A$1:$O$92,15,0)),0,VLOOKUP($U$53,'TAR FIN'!$A$1:$O$92,15,0))</f>
        <v>0</v>
      </c>
      <c r="Y53" s="6">
        <f ca="1">('TUSD BE'!$AM$13+'TUSD BF'!$AM$13+'TUSD CVA'!$AM$13)*1</f>
        <v>8.2896895560114423</v>
      </c>
      <c r="Z53" s="6"/>
      <c r="AA53" s="6"/>
      <c r="AB53" s="6">
        <f t="shared" si="0"/>
        <v>4350</v>
      </c>
      <c r="AC53" s="6">
        <f t="shared" si="7"/>
        <v>0</v>
      </c>
      <c r="AD53" s="6">
        <f t="shared" ca="1" si="2"/>
        <v>5181.0559725071516</v>
      </c>
      <c r="AE53" s="6">
        <f t="shared" si="8"/>
        <v>0</v>
      </c>
      <c r="AF53" s="4" t="s">
        <v>687</v>
      </c>
    </row>
    <row r="54" spans="1:32" ht="11.25" customHeight="1" x14ac:dyDescent="0.3">
      <c r="A54" s="4" t="s">
        <v>21</v>
      </c>
      <c r="B54" s="4" t="s">
        <v>34</v>
      </c>
      <c r="C54" s="4" t="s">
        <v>57</v>
      </c>
      <c r="D54" s="4" t="s">
        <v>25</v>
      </c>
      <c r="E54" s="4" t="s">
        <v>25</v>
      </c>
      <c r="F54" s="4" t="s">
        <v>25</v>
      </c>
      <c r="G54" s="4" t="s">
        <v>58</v>
      </c>
      <c r="H54" s="4" t="s">
        <v>25</v>
      </c>
      <c r="I54" s="5">
        <v>44470</v>
      </c>
      <c r="J54" s="6">
        <v>1500</v>
      </c>
      <c r="K54" s="6">
        <v>750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4" t="s">
        <v>59</v>
      </c>
      <c r="R54" s="4">
        <v>28195</v>
      </c>
      <c r="S54" s="4">
        <v>17</v>
      </c>
      <c r="T54" s="4">
        <v>0</v>
      </c>
      <c r="U54" s="4">
        <v>0</v>
      </c>
      <c r="V54" s="6">
        <f>IF(ISERROR(VLOOKUP($S$54,'TAR FIN'!$A$1:$O$92,15,0)),0,VLOOKUP($S$54,'TAR FIN'!$A$1:$O$92,15,0))</f>
        <v>6.96</v>
      </c>
      <c r="W54" s="6">
        <f>IF(ISERROR(VLOOKUP($T$54,'TAR FIN'!$A$1:$O$92,15,0)),0,VLOOKUP($T$54,'TAR FIN'!$A$1:$O$92,15,0))</f>
        <v>0</v>
      </c>
      <c r="X54" s="6">
        <f>IF(ISERROR(VLOOKUP($U$54,'TAR FIN'!$A$1:$O$92,15,0)),0,VLOOKUP($U$54,'TAR FIN'!$A$1:$O$92,15,0))</f>
        <v>0</v>
      </c>
      <c r="Y54" s="6">
        <f ca="1">('TUSD BE'!$AM$13+'TUSD BF'!$AM$13+'TUSD CVA'!$AM$13)*1</f>
        <v>8.2896895560114423</v>
      </c>
      <c r="Z54" s="6"/>
      <c r="AA54" s="6"/>
      <c r="AB54" s="6">
        <f t="shared" si="0"/>
        <v>5220</v>
      </c>
      <c r="AC54" s="6">
        <f t="shared" si="7"/>
        <v>0</v>
      </c>
      <c r="AD54" s="6">
        <f t="shared" ca="1" si="2"/>
        <v>6217.267167008582</v>
      </c>
      <c r="AE54" s="6">
        <f t="shared" si="8"/>
        <v>0</v>
      </c>
      <c r="AF54" s="4" t="s">
        <v>687</v>
      </c>
    </row>
    <row r="55" spans="1:32" ht="11.25" customHeight="1" x14ac:dyDescent="0.3">
      <c r="A55" s="4" t="s">
        <v>21</v>
      </c>
      <c r="B55" s="4" t="s">
        <v>34</v>
      </c>
      <c r="C55" s="4" t="s">
        <v>57</v>
      </c>
      <c r="D55" s="4" t="s">
        <v>25</v>
      </c>
      <c r="E55" s="4" t="s">
        <v>25</v>
      </c>
      <c r="F55" s="4" t="s">
        <v>25</v>
      </c>
      <c r="G55" s="4" t="s">
        <v>60</v>
      </c>
      <c r="H55" s="4" t="s">
        <v>25</v>
      </c>
      <c r="I55" s="5">
        <v>44470</v>
      </c>
      <c r="J55" s="6">
        <v>1250</v>
      </c>
      <c r="K55" s="6">
        <v>625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4" t="s">
        <v>59</v>
      </c>
      <c r="R55" s="4">
        <v>29377</v>
      </c>
      <c r="S55" s="4">
        <v>17</v>
      </c>
      <c r="T55" s="4">
        <v>0</v>
      </c>
      <c r="U55" s="4">
        <v>0</v>
      </c>
      <c r="V55" s="6">
        <f>IF(ISERROR(VLOOKUP($S$55,'TAR FIN'!$A$1:$O$92,15,0)),0,VLOOKUP($S$55,'TAR FIN'!$A$1:$O$92,15,0))</f>
        <v>6.96</v>
      </c>
      <c r="W55" s="6">
        <f>IF(ISERROR(VLOOKUP($T$55,'TAR FIN'!$A$1:$O$92,15,0)),0,VLOOKUP($T$55,'TAR FIN'!$A$1:$O$92,15,0))</f>
        <v>0</v>
      </c>
      <c r="X55" s="6">
        <f>IF(ISERROR(VLOOKUP($U$55,'TAR FIN'!$A$1:$O$92,15,0)),0,VLOOKUP($U$55,'TAR FIN'!$A$1:$O$92,15,0))</f>
        <v>0</v>
      </c>
      <c r="Y55" s="6">
        <f ca="1">('TUSD BE'!$AM$13+'TUSD BF'!$AM$13+'TUSD CVA'!$AM$13)*1</f>
        <v>8.2896895560114423</v>
      </c>
      <c r="Z55" s="6"/>
      <c r="AA55" s="6"/>
      <c r="AB55" s="6">
        <f t="shared" si="0"/>
        <v>4350</v>
      </c>
      <c r="AC55" s="6">
        <f t="shared" si="7"/>
        <v>0</v>
      </c>
      <c r="AD55" s="6">
        <f t="shared" ca="1" si="2"/>
        <v>5181.0559725071516</v>
      </c>
      <c r="AE55" s="6">
        <f t="shared" si="8"/>
        <v>0</v>
      </c>
      <c r="AF55" s="4" t="s">
        <v>687</v>
      </c>
    </row>
    <row r="56" spans="1:32" ht="11.25" customHeight="1" x14ac:dyDescent="0.3">
      <c r="A56" s="4" t="s">
        <v>21</v>
      </c>
      <c r="B56" s="4" t="s">
        <v>34</v>
      </c>
      <c r="C56" s="4" t="s">
        <v>57</v>
      </c>
      <c r="D56" s="4" t="s">
        <v>25</v>
      </c>
      <c r="E56" s="4" t="s">
        <v>25</v>
      </c>
      <c r="F56" s="4" t="s">
        <v>25</v>
      </c>
      <c r="G56" s="4" t="s">
        <v>58</v>
      </c>
      <c r="H56" s="4" t="s">
        <v>25</v>
      </c>
      <c r="I56" s="5">
        <v>44501</v>
      </c>
      <c r="J56" s="6">
        <v>1500</v>
      </c>
      <c r="K56" s="6">
        <v>750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4" t="s">
        <v>59</v>
      </c>
      <c r="R56" s="4">
        <v>28195</v>
      </c>
      <c r="S56" s="4">
        <v>17</v>
      </c>
      <c r="T56" s="4">
        <v>0</v>
      </c>
      <c r="U56" s="4">
        <v>0</v>
      </c>
      <c r="V56" s="6">
        <f>IF(ISERROR(VLOOKUP($S$56,'TAR FIN'!$A$1:$O$92,15,0)),0,VLOOKUP($S$56,'TAR FIN'!$A$1:$O$92,15,0))</f>
        <v>6.96</v>
      </c>
      <c r="W56" s="6">
        <f>IF(ISERROR(VLOOKUP($T$56,'TAR FIN'!$A$1:$O$92,15,0)),0,VLOOKUP($T$56,'TAR FIN'!$A$1:$O$92,15,0))</f>
        <v>0</v>
      </c>
      <c r="X56" s="6">
        <f>IF(ISERROR(VLOOKUP($U$56,'TAR FIN'!$A$1:$O$92,15,0)),0,VLOOKUP($U$56,'TAR FIN'!$A$1:$O$92,15,0))</f>
        <v>0</v>
      </c>
      <c r="Y56" s="6">
        <f ca="1">('TUSD BE'!$AM$13+'TUSD BF'!$AM$13+'TUSD CVA'!$AM$13)*1</f>
        <v>8.2896895560114423</v>
      </c>
      <c r="Z56" s="6"/>
      <c r="AA56" s="6"/>
      <c r="AB56" s="6">
        <f t="shared" si="0"/>
        <v>5220</v>
      </c>
      <c r="AC56" s="6">
        <f t="shared" si="7"/>
        <v>0</v>
      </c>
      <c r="AD56" s="6">
        <f t="shared" ca="1" si="2"/>
        <v>6217.267167008582</v>
      </c>
      <c r="AE56" s="6">
        <f t="shared" si="8"/>
        <v>0</v>
      </c>
      <c r="AF56" s="4" t="s">
        <v>687</v>
      </c>
    </row>
    <row r="57" spans="1:32" ht="11.25" customHeight="1" x14ac:dyDescent="0.3">
      <c r="A57" s="4" t="s">
        <v>21</v>
      </c>
      <c r="B57" s="4" t="s">
        <v>34</v>
      </c>
      <c r="C57" s="4" t="s">
        <v>57</v>
      </c>
      <c r="D57" s="4" t="s">
        <v>25</v>
      </c>
      <c r="E57" s="4" t="s">
        <v>25</v>
      </c>
      <c r="F57" s="4" t="s">
        <v>25</v>
      </c>
      <c r="G57" s="4" t="s">
        <v>60</v>
      </c>
      <c r="H57" s="4" t="s">
        <v>25</v>
      </c>
      <c r="I57" s="5">
        <v>44501</v>
      </c>
      <c r="J57" s="6">
        <v>1250</v>
      </c>
      <c r="K57" s="6">
        <v>625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4" t="s">
        <v>59</v>
      </c>
      <c r="R57" s="4">
        <v>29377</v>
      </c>
      <c r="S57" s="4">
        <v>17</v>
      </c>
      <c r="T57" s="4">
        <v>0</v>
      </c>
      <c r="U57" s="4">
        <v>0</v>
      </c>
      <c r="V57" s="6">
        <f>IF(ISERROR(VLOOKUP($S$57,'TAR FIN'!$A$1:$O$92,15,0)),0,VLOOKUP($S$57,'TAR FIN'!$A$1:$O$92,15,0))</f>
        <v>6.96</v>
      </c>
      <c r="W57" s="6">
        <f>IF(ISERROR(VLOOKUP($T$57,'TAR FIN'!$A$1:$O$92,15,0)),0,VLOOKUP($T$57,'TAR FIN'!$A$1:$O$92,15,0))</f>
        <v>0</v>
      </c>
      <c r="X57" s="6">
        <f>IF(ISERROR(VLOOKUP($U$57,'TAR FIN'!$A$1:$O$92,15,0)),0,VLOOKUP($U$57,'TAR FIN'!$A$1:$O$92,15,0))</f>
        <v>0</v>
      </c>
      <c r="Y57" s="6">
        <f ca="1">('TUSD BE'!$AM$13+'TUSD BF'!$AM$13+'TUSD CVA'!$AM$13)*1</f>
        <v>8.2896895560114423</v>
      </c>
      <c r="Z57" s="6"/>
      <c r="AA57" s="6"/>
      <c r="AB57" s="6">
        <f t="shared" si="0"/>
        <v>4350</v>
      </c>
      <c r="AC57" s="6">
        <f t="shared" si="7"/>
        <v>0</v>
      </c>
      <c r="AD57" s="6">
        <f t="shared" ca="1" si="2"/>
        <v>5181.0559725071516</v>
      </c>
      <c r="AE57" s="6">
        <f t="shared" si="8"/>
        <v>0</v>
      </c>
      <c r="AF57" s="4" t="s">
        <v>687</v>
      </c>
    </row>
    <row r="58" spans="1:32" ht="11.25" customHeight="1" x14ac:dyDescent="0.3">
      <c r="A58" s="4" t="s">
        <v>21</v>
      </c>
      <c r="B58" s="4" t="s">
        <v>34</v>
      </c>
      <c r="C58" s="4" t="s">
        <v>57</v>
      </c>
      <c r="D58" s="4" t="s">
        <v>25</v>
      </c>
      <c r="E58" s="4" t="s">
        <v>25</v>
      </c>
      <c r="F58" s="4" t="s">
        <v>25</v>
      </c>
      <c r="G58" s="4" t="s">
        <v>58</v>
      </c>
      <c r="H58" s="4" t="s">
        <v>25</v>
      </c>
      <c r="I58" s="5">
        <v>44531</v>
      </c>
      <c r="J58" s="6">
        <v>1500</v>
      </c>
      <c r="K58" s="6">
        <v>750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4" t="s">
        <v>59</v>
      </c>
      <c r="R58" s="4">
        <v>28195</v>
      </c>
      <c r="S58" s="4">
        <v>17</v>
      </c>
      <c r="T58" s="4">
        <v>0</v>
      </c>
      <c r="U58" s="4">
        <v>0</v>
      </c>
      <c r="V58" s="6">
        <f>IF(ISERROR(VLOOKUP($S$58,'TAR FIN'!$A$1:$O$92,15,0)),0,VLOOKUP($S$58,'TAR FIN'!$A$1:$O$92,15,0))</f>
        <v>6.96</v>
      </c>
      <c r="W58" s="6">
        <f>IF(ISERROR(VLOOKUP($T$58,'TAR FIN'!$A$1:$O$92,15,0)),0,VLOOKUP($T$58,'TAR FIN'!$A$1:$O$92,15,0))</f>
        <v>0</v>
      </c>
      <c r="X58" s="6">
        <f>IF(ISERROR(VLOOKUP($U$58,'TAR FIN'!$A$1:$O$92,15,0)),0,VLOOKUP($U$58,'TAR FIN'!$A$1:$O$92,15,0))</f>
        <v>0</v>
      </c>
      <c r="Y58" s="6">
        <f ca="1">('TUSD BE'!$AM$13+'TUSD BF'!$AM$13+'TUSD CVA'!$AM$13)*1</f>
        <v>8.2896895560114423</v>
      </c>
      <c r="Z58" s="6"/>
      <c r="AA58" s="6"/>
      <c r="AB58" s="6">
        <f t="shared" si="0"/>
        <v>5220</v>
      </c>
      <c r="AC58" s="6">
        <f t="shared" si="7"/>
        <v>0</v>
      </c>
      <c r="AD58" s="6">
        <f t="shared" ca="1" si="2"/>
        <v>6217.267167008582</v>
      </c>
      <c r="AE58" s="6">
        <f t="shared" si="8"/>
        <v>0</v>
      </c>
      <c r="AF58" s="4" t="s">
        <v>687</v>
      </c>
    </row>
    <row r="59" spans="1:32" ht="11.25" customHeight="1" x14ac:dyDescent="0.3">
      <c r="A59" s="4" t="s">
        <v>21</v>
      </c>
      <c r="B59" s="4" t="s">
        <v>34</v>
      </c>
      <c r="C59" s="4" t="s">
        <v>57</v>
      </c>
      <c r="D59" s="4" t="s">
        <v>25</v>
      </c>
      <c r="E59" s="4" t="s">
        <v>25</v>
      </c>
      <c r="F59" s="4" t="s">
        <v>25</v>
      </c>
      <c r="G59" s="4" t="s">
        <v>60</v>
      </c>
      <c r="H59" s="4" t="s">
        <v>25</v>
      </c>
      <c r="I59" s="5">
        <v>44531</v>
      </c>
      <c r="J59" s="6">
        <v>1250</v>
      </c>
      <c r="K59" s="6">
        <v>625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4" t="s">
        <v>59</v>
      </c>
      <c r="R59" s="4">
        <v>29377</v>
      </c>
      <c r="S59" s="4">
        <v>17</v>
      </c>
      <c r="T59" s="4">
        <v>0</v>
      </c>
      <c r="U59" s="4">
        <v>0</v>
      </c>
      <c r="V59" s="6">
        <f>IF(ISERROR(VLOOKUP($S$59,'TAR FIN'!$A$1:$O$92,15,0)),0,VLOOKUP($S$59,'TAR FIN'!$A$1:$O$92,15,0))</f>
        <v>6.96</v>
      </c>
      <c r="W59" s="6">
        <f>IF(ISERROR(VLOOKUP($T$59,'TAR FIN'!$A$1:$O$92,15,0)),0,VLOOKUP($T$59,'TAR FIN'!$A$1:$O$92,15,0))</f>
        <v>0</v>
      </c>
      <c r="X59" s="6">
        <f>IF(ISERROR(VLOOKUP($U$59,'TAR FIN'!$A$1:$O$92,15,0)),0,VLOOKUP($U$59,'TAR FIN'!$A$1:$O$92,15,0))</f>
        <v>0</v>
      </c>
      <c r="Y59" s="6">
        <f ca="1">('TUSD BE'!$AM$13+'TUSD BF'!$AM$13+'TUSD CVA'!$AM$13)*1</f>
        <v>8.2896895560114423</v>
      </c>
      <c r="Z59" s="6"/>
      <c r="AA59" s="6"/>
      <c r="AB59" s="6">
        <f t="shared" si="0"/>
        <v>4350</v>
      </c>
      <c r="AC59" s="6">
        <f t="shared" si="7"/>
        <v>0</v>
      </c>
      <c r="AD59" s="6">
        <f t="shared" ca="1" si="2"/>
        <v>5181.0559725071516</v>
      </c>
      <c r="AE59" s="6">
        <f t="shared" si="8"/>
        <v>0</v>
      </c>
      <c r="AF59" s="4" t="s">
        <v>687</v>
      </c>
    </row>
    <row r="60" spans="1:32" ht="11.25" customHeight="1" x14ac:dyDescent="0.3">
      <c r="A60" s="4" t="s">
        <v>21</v>
      </c>
      <c r="B60" s="4" t="s">
        <v>34</v>
      </c>
      <c r="C60" s="4" t="s">
        <v>57</v>
      </c>
      <c r="D60" s="4" t="s">
        <v>25</v>
      </c>
      <c r="E60" s="4" t="s">
        <v>25</v>
      </c>
      <c r="F60" s="4" t="s">
        <v>25</v>
      </c>
      <c r="G60" s="4" t="s">
        <v>58</v>
      </c>
      <c r="H60" s="4" t="s">
        <v>25</v>
      </c>
      <c r="I60" s="5">
        <v>44562</v>
      </c>
      <c r="J60" s="6">
        <v>1500</v>
      </c>
      <c r="K60" s="6">
        <v>750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4" t="s">
        <v>59</v>
      </c>
      <c r="R60" s="4">
        <v>28195</v>
      </c>
      <c r="S60" s="4">
        <v>17</v>
      </c>
      <c r="T60" s="4">
        <v>0</v>
      </c>
      <c r="U60" s="4">
        <v>0</v>
      </c>
      <c r="V60" s="6">
        <f>IF(ISERROR(VLOOKUP($S$60,'TAR FIN'!$A$1:$O$92,15,0)),0,VLOOKUP($S$60,'TAR FIN'!$A$1:$O$92,15,0))</f>
        <v>6.96</v>
      </c>
      <c r="W60" s="6">
        <f>IF(ISERROR(VLOOKUP($T$60,'TAR FIN'!$A$1:$O$92,15,0)),0,VLOOKUP($T$60,'TAR FIN'!$A$1:$O$92,15,0))</f>
        <v>0</v>
      </c>
      <c r="X60" s="6">
        <f>IF(ISERROR(VLOOKUP($U$60,'TAR FIN'!$A$1:$O$92,15,0)),0,VLOOKUP($U$60,'TAR FIN'!$A$1:$O$92,15,0))</f>
        <v>0</v>
      </c>
      <c r="Y60" s="6">
        <f ca="1">('TUSD BE'!$AM$13+'TUSD BF'!$AM$13+'TUSD CVA'!$AM$13)*1</f>
        <v>8.2896895560114423</v>
      </c>
      <c r="Z60" s="6"/>
      <c r="AA60" s="6"/>
      <c r="AB60" s="6">
        <f t="shared" si="0"/>
        <v>5220</v>
      </c>
      <c r="AC60" s="6">
        <f t="shared" si="7"/>
        <v>0</v>
      </c>
      <c r="AD60" s="6">
        <f t="shared" ca="1" si="2"/>
        <v>6217.267167008582</v>
      </c>
      <c r="AE60" s="6">
        <f t="shared" si="8"/>
        <v>0</v>
      </c>
      <c r="AF60" s="4" t="s">
        <v>687</v>
      </c>
    </row>
    <row r="61" spans="1:32" ht="11.25" customHeight="1" x14ac:dyDescent="0.3">
      <c r="A61" s="4" t="s">
        <v>21</v>
      </c>
      <c r="B61" s="4" t="s">
        <v>34</v>
      </c>
      <c r="C61" s="4" t="s">
        <v>57</v>
      </c>
      <c r="D61" s="4" t="s">
        <v>25</v>
      </c>
      <c r="E61" s="4" t="s">
        <v>25</v>
      </c>
      <c r="F61" s="4" t="s">
        <v>25</v>
      </c>
      <c r="G61" s="4" t="s">
        <v>60</v>
      </c>
      <c r="H61" s="4" t="s">
        <v>25</v>
      </c>
      <c r="I61" s="5">
        <v>44562</v>
      </c>
      <c r="J61" s="6">
        <v>1250</v>
      </c>
      <c r="K61" s="6">
        <v>625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4" t="s">
        <v>59</v>
      </c>
      <c r="R61" s="4">
        <v>29377</v>
      </c>
      <c r="S61" s="4">
        <v>17</v>
      </c>
      <c r="T61" s="4">
        <v>0</v>
      </c>
      <c r="U61" s="4">
        <v>0</v>
      </c>
      <c r="V61" s="6">
        <f>IF(ISERROR(VLOOKUP($S$61,'TAR FIN'!$A$1:$O$92,15,0)),0,VLOOKUP($S$61,'TAR FIN'!$A$1:$O$92,15,0))</f>
        <v>6.96</v>
      </c>
      <c r="W61" s="6">
        <f>IF(ISERROR(VLOOKUP($T$61,'TAR FIN'!$A$1:$O$92,15,0)),0,VLOOKUP($T$61,'TAR FIN'!$A$1:$O$92,15,0))</f>
        <v>0</v>
      </c>
      <c r="X61" s="6">
        <f>IF(ISERROR(VLOOKUP($U$61,'TAR FIN'!$A$1:$O$92,15,0)),0,VLOOKUP($U$61,'TAR FIN'!$A$1:$O$92,15,0))</f>
        <v>0</v>
      </c>
      <c r="Y61" s="6">
        <f ca="1">('TUSD BE'!$AM$13+'TUSD BF'!$AM$13+'TUSD CVA'!$AM$13)*1</f>
        <v>8.2896895560114423</v>
      </c>
      <c r="Z61" s="6"/>
      <c r="AA61" s="6"/>
      <c r="AB61" s="6">
        <f t="shared" si="0"/>
        <v>4350</v>
      </c>
      <c r="AC61" s="6">
        <f t="shared" si="7"/>
        <v>0</v>
      </c>
      <c r="AD61" s="6">
        <f t="shared" ca="1" si="2"/>
        <v>5181.0559725071516</v>
      </c>
      <c r="AE61" s="6">
        <f t="shared" si="8"/>
        <v>0</v>
      </c>
      <c r="AF61" s="4" t="s">
        <v>687</v>
      </c>
    </row>
    <row r="62" spans="1:32" ht="11.25" customHeight="1" x14ac:dyDescent="0.3">
      <c r="A62" s="4" t="s">
        <v>21</v>
      </c>
      <c r="B62" s="4" t="s">
        <v>34</v>
      </c>
      <c r="C62" s="4" t="s">
        <v>57</v>
      </c>
      <c r="D62" s="4" t="s">
        <v>25</v>
      </c>
      <c r="E62" s="4" t="s">
        <v>25</v>
      </c>
      <c r="F62" s="4" t="s">
        <v>25</v>
      </c>
      <c r="G62" s="4" t="s">
        <v>58</v>
      </c>
      <c r="H62" s="4" t="s">
        <v>25</v>
      </c>
      <c r="I62" s="5">
        <v>44593</v>
      </c>
      <c r="J62" s="6">
        <v>1500</v>
      </c>
      <c r="K62" s="6">
        <v>750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59</v>
      </c>
      <c r="R62" s="4">
        <v>28195</v>
      </c>
      <c r="S62" s="4">
        <v>17</v>
      </c>
      <c r="T62" s="4">
        <v>0</v>
      </c>
      <c r="U62" s="4">
        <v>0</v>
      </c>
      <c r="V62" s="6">
        <f>IF(ISERROR(VLOOKUP($S$62,'TAR FIN'!$A$1:$O$92,15,0)),0,VLOOKUP($S$62,'TAR FIN'!$A$1:$O$92,15,0))</f>
        <v>6.96</v>
      </c>
      <c r="W62" s="6">
        <f>IF(ISERROR(VLOOKUP($T$62,'TAR FIN'!$A$1:$O$92,15,0)),0,VLOOKUP($T$62,'TAR FIN'!$A$1:$O$92,15,0))</f>
        <v>0</v>
      </c>
      <c r="X62" s="6">
        <f>IF(ISERROR(VLOOKUP($U$62,'TAR FIN'!$A$1:$O$92,15,0)),0,VLOOKUP($U$62,'TAR FIN'!$A$1:$O$92,15,0))</f>
        <v>0</v>
      </c>
      <c r="Y62" s="6">
        <f ca="1">('TUSD BE'!$AM$13+'TUSD BF'!$AM$13+'TUSD CVA'!$AM$13)*1</f>
        <v>8.2896895560114423</v>
      </c>
      <c r="Z62" s="6"/>
      <c r="AA62" s="6"/>
      <c r="AB62" s="6">
        <f t="shared" si="0"/>
        <v>5220</v>
      </c>
      <c r="AC62" s="6">
        <f t="shared" si="7"/>
        <v>0</v>
      </c>
      <c r="AD62" s="6">
        <f t="shared" ca="1" si="2"/>
        <v>6217.267167008582</v>
      </c>
      <c r="AE62" s="6">
        <f t="shared" si="8"/>
        <v>0</v>
      </c>
      <c r="AF62" s="4" t="s">
        <v>687</v>
      </c>
    </row>
    <row r="63" spans="1:32" ht="11.25" customHeight="1" x14ac:dyDescent="0.3">
      <c r="A63" s="4" t="s">
        <v>21</v>
      </c>
      <c r="B63" s="4" t="s">
        <v>34</v>
      </c>
      <c r="C63" s="4" t="s">
        <v>57</v>
      </c>
      <c r="D63" s="4" t="s">
        <v>25</v>
      </c>
      <c r="E63" s="4" t="s">
        <v>25</v>
      </c>
      <c r="F63" s="4" t="s">
        <v>25</v>
      </c>
      <c r="G63" s="4" t="s">
        <v>60</v>
      </c>
      <c r="H63" s="4" t="s">
        <v>25</v>
      </c>
      <c r="I63" s="5">
        <v>44593</v>
      </c>
      <c r="J63" s="6">
        <v>1250</v>
      </c>
      <c r="K63" s="6">
        <v>625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59</v>
      </c>
      <c r="R63" s="4">
        <v>29377</v>
      </c>
      <c r="S63" s="4">
        <v>17</v>
      </c>
      <c r="T63" s="4">
        <v>0</v>
      </c>
      <c r="U63" s="4">
        <v>0</v>
      </c>
      <c r="V63" s="6">
        <f>IF(ISERROR(VLOOKUP($S$63,'TAR FIN'!$A$1:$O$92,15,0)),0,VLOOKUP($S$63,'TAR FIN'!$A$1:$O$92,15,0))</f>
        <v>6.96</v>
      </c>
      <c r="W63" s="6">
        <f>IF(ISERROR(VLOOKUP($T$63,'TAR FIN'!$A$1:$O$92,15,0)),0,VLOOKUP($T$63,'TAR FIN'!$A$1:$O$92,15,0))</f>
        <v>0</v>
      </c>
      <c r="X63" s="6">
        <f>IF(ISERROR(VLOOKUP($U$63,'TAR FIN'!$A$1:$O$92,15,0)),0,VLOOKUP($U$63,'TAR FIN'!$A$1:$O$92,15,0))</f>
        <v>0</v>
      </c>
      <c r="Y63" s="6">
        <f ca="1">('TUSD BE'!$AM$13+'TUSD BF'!$AM$13+'TUSD CVA'!$AM$13)*1</f>
        <v>8.2896895560114423</v>
      </c>
      <c r="Z63" s="6"/>
      <c r="AA63" s="6"/>
      <c r="AB63" s="6">
        <f t="shared" si="0"/>
        <v>4350</v>
      </c>
      <c r="AC63" s="6">
        <f t="shared" si="7"/>
        <v>0</v>
      </c>
      <c r="AD63" s="6">
        <f t="shared" ca="1" si="2"/>
        <v>5181.0559725071516</v>
      </c>
      <c r="AE63" s="6">
        <f t="shared" si="8"/>
        <v>0</v>
      </c>
      <c r="AF63" s="4" t="s">
        <v>687</v>
      </c>
    </row>
    <row r="64" spans="1:32" ht="11.25" customHeight="1" x14ac:dyDescent="0.3">
      <c r="A64" s="4" t="s">
        <v>21</v>
      </c>
      <c r="B64" s="4" t="s">
        <v>34</v>
      </c>
      <c r="C64" s="4" t="s">
        <v>57</v>
      </c>
      <c r="D64" s="4" t="s">
        <v>25</v>
      </c>
      <c r="E64" s="4" t="s">
        <v>25</v>
      </c>
      <c r="F64" s="4" t="s">
        <v>25</v>
      </c>
      <c r="G64" s="4" t="s">
        <v>58</v>
      </c>
      <c r="H64" s="4" t="s">
        <v>25</v>
      </c>
      <c r="I64" s="5">
        <v>44621</v>
      </c>
      <c r="J64" s="6">
        <v>1500</v>
      </c>
      <c r="K64" s="6">
        <v>750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59</v>
      </c>
      <c r="R64" s="4">
        <v>28195</v>
      </c>
      <c r="S64" s="4">
        <v>17</v>
      </c>
      <c r="T64" s="4">
        <v>0</v>
      </c>
      <c r="U64" s="4">
        <v>0</v>
      </c>
      <c r="V64" s="6">
        <f>IF(ISERROR(VLOOKUP($S$64,'TAR FIN'!$A$1:$O$92,15,0)),0,VLOOKUP($S$64,'TAR FIN'!$A$1:$O$92,15,0))</f>
        <v>6.96</v>
      </c>
      <c r="W64" s="6">
        <f>IF(ISERROR(VLOOKUP($T$64,'TAR FIN'!$A$1:$O$92,15,0)),0,VLOOKUP($T$64,'TAR FIN'!$A$1:$O$92,15,0))</f>
        <v>0</v>
      </c>
      <c r="X64" s="6">
        <f>IF(ISERROR(VLOOKUP($U$64,'TAR FIN'!$A$1:$O$92,15,0)),0,VLOOKUP($U$64,'TAR FIN'!$A$1:$O$92,15,0))</f>
        <v>0</v>
      </c>
      <c r="Y64" s="6">
        <f ca="1">('TUSD BE'!$AM$13+'TUSD BF'!$AM$13+'TUSD CVA'!$AM$13)*1</f>
        <v>8.2896895560114423</v>
      </c>
      <c r="Z64" s="6"/>
      <c r="AA64" s="6"/>
      <c r="AB64" s="6">
        <f t="shared" si="0"/>
        <v>5220</v>
      </c>
      <c r="AC64" s="6">
        <f t="shared" si="7"/>
        <v>0</v>
      </c>
      <c r="AD64" s="6">
        <f t="shared" ca="1" si="2"/>
        <v>6217.267167008582</v>
      </c>
      <c r="AE64" s="6">
        <f t="shared" si="8"/>
        <v>0</v>
      </c>
      <c r="AF64" s="4" t="s">
        <v>687</v>
      </c>
    </row>
    <row r="65" spans="1:32" ht="11.25" customHeight="1" x14ac:dyDescent="0.3">
      <c r="A65" s="4" t="s">
        <v>21</v>
      </c>
      <c r="B65" s="4" t="s">
        <v>34</v>
      </c>
      <c r="C65" s="4" t="s">
        <v>57</v>
      </c>
      <c r="D65" s="4" t="s">
        <v>25</v>
      </c>
      <c r="E65" s="4" t="s">
        <v>25</v>
      </c>
      <c r="F65" s="4" t="s">
        <v>25</v>
      </c>
      <c r="G65" s="4" t="s">
        <v>60</v>
      </c>
      <c r="H65" s="4" t="s">
        <v>25</v>
      </c>
      <c r="I65" s="5">
        <v>44621</v>
      </c>
      <c r="J65" s="6">
        <v>1250</v>
      </c>
      <c r="K65" s="6">
        <v>625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59</v>
      </c>
      <c r="R65" s="4">
        <v>29377</v>
      </c>
      <c r="S65" s="4">
        <v>17</v>
      </c>
      <c r="T65" s="4">
        <v>0</v>
      </c>
      <c r="U65" s="4">
        <v>0</v>
      </c>
      <c r="V65" s="6">
        <f>IF(ISERROR(VLOOKUP($S$65,'TAR FIN'!$A$1:$O$92,15,0)),0,VLOOKUP($S$65,'TAR FIN'!$A$1:$O$92,15,0))</f>
        <v>6.96</v>
      </c>
      <c r="W65" s="6">
        <f>IF(ISERROR(VLOOKUP($T$65,'TAR FIN'!$A$1:$O$92,15,0)),0,VLOOKUP($T$65,'TAR FIN'!$A$1:$O$92,15,0))</f>
        <v>0</v>
      </c>
      <c r="X65" s="6">
        <f>IF(ISERROR(VLOOKUP($U$65,'TAR FIN'!$A$1:$O$92,15,0)),0,VLOOKUP($U$65,'TAR FIN'!$A$1:$O$92,15,0))</f>
        <v>0</v>
      </c>
      <c r="Y65" s="6">
        <f ca="1">('TUSD BE'!$AM$13+'TUSD BF'!$AM$13+'TUSD CVA'!$AM$13)*1</f>
        <v>8.2896895560114423</v>
      </c>
      <c r="Z65" s="6"/>
      <c r="AA65" s="6"/>
      <c r="AB65" s="6">
        <f t="shared" si="0"/>
        <v>4350</v>
      </c>
      <c r="AC65" s="6">
        <f t="shared" si="7"/>
        <v>0</v>
      </c>
      <c r="AD65" s="6">
        <f t="shared" ca="1" si="2"/>
        <v>5181.0559725071516</v>
      </c>
      <c r="AE65" s="6">
        <f t="shared" si="8"/>
        <v>0</v>
      </c>
      <c r="AF65" s="4" t="s">
        <v>687</v>
      </c>
    </row>
    <row r="66" spans="1:32" ht="11.25" customHeight="1" x14ac:dyDescent="0.3">
      <c r="A66" s="4" t="s">
        <v>21</v>
      </c>
      <c r="B66" s="4" t="s">
        <v>34</v>
      </c>
      <c r="C66" s="4" t="s">
        <v>57</v>
      </c>
      <c r="D66" s="4" t="s">
        <v>25</v>
      </c>
      <c r="E66" s="4" t="s">
        <v>25</v>
      </c>
      <c r="F66" s="4" t="s">
        <v>25</v>
      </c>
      <c r="G66" s="4" t="s">
        <v>58</v>
      </c>
      <c r="H66" s="4" t="s">
        <v>25</v>
      </c>
      <c r="I66" s="5">
        <v>44652</v>
      </c>
      <c r="J66" s="6">
        <v>1500</v>
      </c>
      <c r="K66" s="6">
        <v>750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59</v>
      </c>
      <c r="R66" s="4">
        <v>28195</v>
      </c>
      <c r="S66" s="4">
        <v>17</v>
      </c>
      <c r="T66" s="4">
        <v>0</v>
      </c>
      <c r="U66" s="4">
        <v>0</v>
      </c>
      <c r="V66" s="6">
        <f>IF(ISERROR(VLOOKUP($S$66,'TAR FIN'!$A$1:$O$92,15,0)),0,VLOOKUP($S$66,'TAR FIN'!$A$1:$O$92,15,0))</f>
        <v>6.96</v>
      </c>
      <c r="W66" s="6">
        <f>IF(ISERROR(VLOOKUP($T$66,'TAR FIN'!$A$1:$O$92,15,0)),0,VLOOKUP($T$66,'TAR FIN'!$A$1:$O$92,15,0))</f>
        <v>0</v>
      </c>
      <c r="X66" s="6">
        <f>IF(ISERROR(VLOOKUP($U$66,'TAR FIN'!$A$1:$O$92,15,0)),0,VLOOKUP($U$66,'TAR FIN'!$A$1:$O$92,15,0))</f>
        <v>0</v>
      </c>
      <c r="Y66" s="6">
        <f ca="1">('TUSD BE'!$AM$13+'TUSD BF'!$AM$13+'TUSD CVA'!$AM$13)*1</f>
        <v>8.2896895560114423</v>
      </c>
      <c r="Z66" s="6"/>
      <c r="AA66" s="6"/>
      <c r="AB66" s="6">
        <f t="shared" ref="AB66:AB129" si="9">(J66-K66)*V66</f>
        <v>5220</v>
      </c>
      <c r="AC66" s="6">
        <f t="shared" ref="AC66:AC97" si="10">(L66-M66)*W66+(N66-O66)*X66</f>
        <v>0</v>
      </c>
      <c r="AD66" s="6">
        <f t="shared" ref="AD66:AD129" ca="1" si="11">(J66-K66)*Y66</f>
        <v>6217.267167008582</v>
      </c>
      <c r="AE66" s="6">
        <f t="shared" ref="AE66:AE97" si="12">(L66-M66)*Z66+(N66-O66)*AA66</f>
        <v>0</v>
      </c>
      <c r="AF66" s="4" t="s">
        <v>687</v>
      </c>
    </row>
    <row r="67" spans="1:32" ht="11.25" customHeight="1" x14ac:dyDescent="0.3">
      <c r="A67" s="4" t="s">
        <v>21</v>
      </c>
      <c r="B67" s="4" t="s">
        <v>34</v>
      </c>
      <c r="C67" s="4" t="s">
        <v>57</v>
      </c>
      <c r="D67" s="4" t="s">
        <v>25</v>
      </c>
      <c r="E67" s="4" t="s">
        <v>25</v>
      </c>
      <c r="F67" s="4" t="s">
        <v>25</v>
      </c>
      <c r="G67" s="4" t="s">
        <v>60</v>
      </c>
      <c r="H67" s="4" t="s">
        <v>25</v>
      </c>
      <c r="I67" s="5">
        <v>44652</v>
      </c>
      <c r="J67" s="6">
        <v>1250</v>
      </c>
      <c r="K67" s="6">
        <v>625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59</v>
      </c>
      <c r="R67" s="4">
        <v>29377</v>
      </c>
      <c r="S67" s="4">
        <v>17</v>
      </c>
      <c r="T67" s="4">
        <v>0</v>
      </c>
      <c r="U67" s="4">
        <v>0</v>
      </c>
      <c r="V67" s="6">
        <f>IF(ISERROR(VLOOKUP($S$67,'TAR FIN'!$A$1:$O$92,15,0)),0,VLOOKUP($S$67,'TAR FIN'!$A$1:$O$92,15,0))</f>
        <v>6.96</v>
      </c>
      <c r="W67" s="6">
        <f>IF(ISERROR(VLOOKUP($T$67,'TAR FIN'!$A$1:$O$92,15,0)),0,VLOOKUP($T$67,'TAR FIN'!$A$1:$O$92,15,0))</f>
        <v>0</v>
      </c>
      <c r="X67" s="6">
        <f>IF(ISERROR(VLOOKUP($U$67,'TAR FIN'!$A$1:$O$92,15,0)),0,VLOOKUP($U$67,'TAR FIN'!$A$1:$O$92,15,0))</f>
        <v>0</v>
      </c>
      <c r="Y67" s="6">
        <f ca="1">('TUSD BE'!$AM$13+'TUSD BF'!$AM$13+'TUSD CVA'!$AM$13)*1</f>
        <v>8.2896895560114423</v>
      </c>
      <c r="Z67" s="6"/>
      <c r="AA67" s="6"/>
      <c r="AB67" s="6">
        <f t="shared" si="9"/>
        <v>4350</v>
      </c>
      <c r="AC67" s="6">
        <f t="shared" si="10"/>
        <v>0</v>
      </c>
      <c r="AD67" s="6">
        <f t="shared" ca="1" si="11"/>
        <v>5181.0559725071516</v>
      </c>
      <c r="AE67" s="6">
        <f t="shared" si="12"/>
        <v>0</v>
      </c>
      <c r="AF67" s="4" t="s">
        <v>687</v>
      </c>
    </row>
    <row r="68" spans="1:32" ht="11.25" customHeight="1" x14ac:dyDescent="0.3">
      <c r="A68" s="4" t="s">
        <v>21</v>
      </c>
      <c r="B68" s="4" t="s">
        <v>34</v>
      </c>
      <c r="C68" s="4" t="s">
        <v>57</v>
      </c>
      <c r="D68" s="4" t="s">
        <v>25</v>
      </c>
      <c r="E68" s="4" t="s">
        <v>25</v>
      </c>
      <c r="F68" s="4" t="s">
        <v>25</v>
      </c>
      <c r="G68" s="4" t="s">
        <v>58</v>
      </c>
      <c r="H68" s="4" t="s">
        <v>25</v>
      </c>
      <c r="I68" s="5">
        <v>44682</v>
      </c>
      <c r="J68" s="6">
        <v>1500</v>
      </c>
      <c r="K68" s="6">
        <v>750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59</v>
      </c>
      <c r="R68" s="4">
        <v>28195</v>
      </c>
      <c r="S68" s="4">
        <v>17</v>
      </c>
      <c r="T68" s="4">
        <v>0</v>
      </c>
      <c r="U68" s="4">
        <v>0</v>
      </c>
      <c r="V68" s="6">
        <f>IF(ISERROR(VLOOKUP($S$68,'TAR FIN'!$A$1:$O$92,15,0)),0,VLOOKUP($S$68,'TAR FIN'!$A$1:$O$92,15,0))</f>
        <v>6.96</v>
      </c>
      <c r="W68" s="6">
        <f>IF(ISERROR(VLOOKUP($T$68,'TAR FIN'!$A$1:$O$92,15,0)),0,VLOOKUP($T$68,'TAR FIN'!$A$1:$O$92,15,0))</f>
        <v>0</v>
      </c>
      <c r="X68" s="6">
        <f>IF(ISERROR(VLOOKUP($U$68,'TAR FIN'!$A$1:$O$92,15,0)),0,VLOOKUP($U$68,'TAR FIN'!$A$1:$O$92,15,0))</f>
        <v>0</v>
      </c>
      <c r="Y68" s="6">
        <f ca="1">('TUSD BE'!$AM$13+'TUSD BF'!$AM$13+'TUSD CVA'!$AM$13)*1</f>
        <v>8.2896895560114423</v>
      </c>
      <c r="Z68" s="6"/>
      <c r="AA68" s="6"/>
      <c r="AB68" s="6">
        <f t="shared" si="9"/>
        <v>5220</v>
      </c>
      <c r="AC68" s="6">
        <f t="shared" si="10"/>
        <v>0</v>
      </c>
      <c r="AD68" s="6">
        <f t="shared" ca="1" si="11"/>
        <v>6217.267167008582</v>
      </c>
      <c r="AE68" s="6">
        <f t="shared" si="12"/>
        <v>0</v>
      </c>
      <c r="AF68" s="4" t="s">
        <v>687</v>
      </c>
    </row>
    <row r="69" spans="1:32" ht="11.25" customHeight="1" x14ac:dyDescent="0.3">
      <c r="A69" s="4" t="s">
        <v>21</v>
      </c>
      <c r="B69" s="4" t="s">
        <v>34</v>
      </c>
      <c r="C69" s="4" t="s">
        <v>57</v>
      </c>
      <c r="D69" s="4" t="s">
        <v>25</v>
      </c>
      <c r="E69" s="4" t="s">
        <v>25</v>
      </c>
      <c r="F69" s="4" t="s">
        <v>25</v>
      </c>
      <c r="G69" s="4" t="s">
        <v>60</v>
      </c>
      <c r="H69" s="4" t="s">
        <v>25</v>
      </c>
      <c r="I69" s="5">
        <v>44682</v>
      </c>
      <c r="J69" s="6">
        <v>1250</v>
      </c>
      <c r="K69" s="6">
        <v>625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59</v>
      </c>
      <c r="R69" s="4">
        <v>29377</v>
      </c>
      <c r="S69" s="4">
        <v>17</v>
      </c>
      <c r="T69" s="4">
        <v>0</v>
      </c>
      <c r="U69" s="4">
        <v>0</v>
      </c>
      <c r="V69" s="6">
        <f>IF(ISERROR(VLOOKUP($S$69,'TAR FIN'!$A$1:$O$92,15,0)),0,VLOOKUP($S$69,'TAR FIN'!$A$1:$O$92,15,0))</f>
        <v>6.96</v>
      </c>
      <c r="W69" s="6">
        <f>IF(ISERROR(VLOOKUP($T$69,'TAR FIN'!$A$1:$O$92,15,0)),0,VLOOKUP($T$69,'TAR FIN'!$A$1:$O$92,15,0))</f>
        <v>0</v>
      </c>
      <c r="X69" s="6">
        <f>IF(ISERROR(VLOOKUP($U$69,'TAR FIN'!$A$1:$O$92,15,0)),0,VLOOKUP($U$69,'TAR FIN'!$A$1:$O$92,15,0))</f>
        <v>0</v>
      </c>
      <c r="Y69" s="6">
        <f ca="1">('TUSD BE'!$AM$13+'TUSD BF'!$AM$13+'TUSD CVA'!$AM$13)*1</f>
        <v>8.2896895560114423</v>
      </c>
      <c r="Z69" s="6"/>
      <c r="AA69" s="6"/>
      <c r="AB69" s="6">
        <f t="shared" si="9"/>
        <v>4350</v>
      </c>
      <c r="AC69" s="6">
        <f t="shared" si="10"/>
        <v>0</v>
      </c>
      <c r="AD69" s="6">
        <f t="shared" ca="1" si="11"/>
        <v>5181.0559725071516</v>
      </c>
      <c r="AE69" s="6">
        <f t="shared" si="12"/>
        <v>0</v>
      </c>
      <c r="AF69" s="4" t="s">
        <v>687</v>
      </c>
    </row>
    <row r="70" spans="1:32" ht="11.25" customHeight="1" x14ac:dyDescent="0.3">
      <c r="A70" s="4" t="s">
        <v>21</v>
      </c>
      <c r="B70" s="4" t="s">
        <v>34</v>
      </c>
      <c r="C70" s="4" t="s">
        <v>57</v>
      </c>
      <c r="D70" s="4" t="s">
        <v>25</v>
      </c>
      <c r="E70" s="4" t="s">
        <v>25</v>
      </c>
      <c r="F70" s="4" t="s">
        <v>25</v>
      </c>
      <c r="G70" s="4" t="s">
        <v>58</v>
      </c>
      <c r="H70" s="4" t="s">
        <v>25</v>
      </c>
      <c r="I70" s="5">
        <v>44713</v>
      </c>
      <c r="J70" s="6">
        <v>1500</v>
      </c>
      <c r="K70" s="6">
        <v>750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59</v>
      </c>
      <c r="R70" s="4">
        <v>28195</v>
      </c>
      <c r="S70" s="4">
        <v>17</v>
      </c>
      <c r="T70" s="4">
        <v>0</v>
      </c>
      <c r="U70" s="4">
        <v>0</v>
      </c>
      <c r="V70" s="6">
        <f>IF(ISERROR(VLOOKUP($S$70,'TAR FIN'!$A$1:$O$92,15,0)),0,VLOOKUP($S$70,'TAR FIN'!$A$1:$O$92,15,0))</f>
        <v>6.96</v>
      </c>
      <c r="W70" s="6">
        <f>IF(ISERROR(VLOOKUP($T$70,'TAR FIN'!$A$1:$O$92,15,0)),0,VLOOKUP($T$70,'TAR FIN'!$A$1:$O$92,15,0))</f>
        <v>0</v>
      </c>
      <c r="X70" s="6">
        <f>IF(ISERROR(VLOOKUP($U$70,'TAR FIN'!$A$1:$O$92,15,0)),0,VLOOKUP($U$70,'TAR FIN'!$A$1:$O$92,15,0))</f>
        <v>0</v>
      </c>
      <c r="Y70" s="6">
        <f ca="1">('TUSD BE'!$AM$13+'TUSD BF'!$AM$13+'TUSD CVA'!$AM$13)*1</f>
        <v>8.2896895560114423</v>
      </c>
      <c r="Z70" s="6"/>
      <c r="AA70" s="6"/>
      <c r="AB70" s="6">
        <f t="shared" si="9"/>
        <v>5220</v>
      </c>
      <c r="AC70" s="6">
        <f t="shared" si="10"/>
        <v>0</v>
      </c>
      <c r="AD70" s="6">
        <f t="shared" ca="1" si="11"/>
        <v>6217.267167008582</v>
      </c>
      <c r="AE70" s="6">
        <f t="shared" si="12"/>
        <v>0</v>
      </c>
      <c r="AF70" s="4" t="s">
        <v>687</v>
      </c>
    </row>
    <row r="71" spans="1:32" ht="11.25" customHeight="1" x14ac:dyDescent="0.3">
      <c r="A71" s="4" t="s">
        <v>21</v>
      </c>
      <c r="B71" s="4" t="s">
        <v>34</v>
      </c>
      <c r="C71" s="4" t="s">
        <v>57</v>
      </c>
      <c r="D71" s="4" t="s">
        <v>25</v>
      </c>
      <c r="E71" s="4" t="s">
        <v>25</v>
      </c>
      <c r="F71" s="4" t="s">
        <v>25</v>
      </c>
      <c r="G71" s="4" t="s">
        <v>60</v>
      </c>
      <c r="H71" s="4" t="s">
        <v>25</v>
      </c>
      <c r="I71" s="5">
        <v>44713</v>
      </c>
      <c r="J71" s="6">
        <v>1250</v>
      </c>
      <c r="K71" s="6">
        <v>625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59</v>
      </c>
      <c r="R71" s="4">
        <v>29377</v>
      </c>
      <c r="S71" s="4">
        <v>17</v>
      </c>
      <c r="T71" s="4">
        <v>0</v>
      </c>
      <c r="U71" s="4">
        <v>0</v>
      </c>
      <c r="V71" s="6">
        <f>IF(ISERROR(VLOOKUP($S$71,'TAR FIN'!$A$1:$O$92,15,0)),0,VLOOKUP($S$71,'TAR FIN'!$A$1:$O$92,15,0))</f>
        <v>6.96</v>
      </c>
      <c r="W71" s="6">
        <f>IF(ISERROR(VLOOKUP($T$71,'TAR FIN'!$A$1:$O$92,15,0)),0,VLOOKUP($T$71,'TAR FIN'!$A$1:$O$92,15,0))</f>
        <v>0</v>
      </c>
      <c r="X71" s="6">
        <f>IF(ISERROR(VLOOKUP($U$71,'TAR FIN'!$A$1:$O$92,15,0)),0,VLOOKUP($U$71,'TAR FIN'!$A$1:$O$92,15,0))</f>
        <v>0</v>
      </c>
      <c r="Y71" s="6">
        <f ca="1">('TUSD BE'!$AM$13+'TUSD BF'!$AM$13+'TUSD CVA'!$AM$13)*1</f>
        <v>8.2896895560114423</v>
      </c>
      <c r="Z71" s="6"/>
      <c r="AA71" s="6"/>
      <c r="AB71" s="6">
        <f t="shared" si="9"/>
        <v>4350</v>
      </c>
      <c r="AC71" s="6">
        <f t="shared" si="10"/>
        <v>0</v>
      </c>
      <c r="AD71" s="6">
        <f t="shared" ca="1" si="11"/>
        <v>5181.0559725071516</v>
      </c>
      <c r="AE71" s="6">
        <f t="shared" si="12"/>
        <v>0</v>
      </c>
      <c r="AF71" s="4" t="s">
        <v>687</v>
      </c>
    </row>
    <row r="72" spans="1:32" ht="11.25" customHeight="1" x14ac:dyDescent="0.3">
      <c r="A72" s="4" t="s">
        <v>21</v>
      </c>
      <c r="B72" s="4" t="s">
        <v>34</v>
      </c>
      <c r="C72" s="4" t="s">
        <v>57</v>
      </c>
      <c r="D72" s="4" t="s">
        <v>25</v>
      </c>
      <c r="E72" s="4" t="s">
        <v>25</v>
      </c>
      <c r="F72" s="4" t="s">
        <v>25</v>
      </c>
      <c r="G72" s="4" t="s">
        <v>58</v>
      </c>
      <c r="H72" s="4" t="s">
        <v>25</v>
      </c>
      <c r="I72" s="5">
        <v>44743</v>
      </c>
      <c r="J72" s="6">
        <v>1500</v>
      </c>
      <c r="K72" s="6">
        <v>750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59</v>
      </c>
      <c r="R72" s="4">
        <v>28195</v>
      </c>
      <c r="S72" s="4">
        <v>17</v>
      </c>
      <c r="T72" s="4">
        <v>0</v>
      </c>
      <c r="U72" s="4">
        <v>0</v>
      </c>
      <c r="V72" s="6">
        <f>IF(ISERROR(VLOOKUP($S$72,'TAR FIN'!$A$1:$O$92,15,0)),0,VLOOKUP($S$72,'TAR FIN'!$A$1:$O$92,15,0))</f>
        <v>6.96</v>
      </c>
      <c r="W72" s="6">
        <f>IF(ISERROR(VLOOKUP($T$72,'TAR FIN'!$A$1:$O$92,15,0)),0,VLOOKUP($T$72,'TAR FIN'!$A$1:$O$92,15,0))</f>
        <v>0</v>
      </c>
      <c r="X72" s="6">
        <f>IF(ISERROR(VLOOKUP($U$72,'TAR FIN'!$A$1:$O$92,15,0)),0,VLOOKUP($U$72,'TAR FIN'!$A$1:$O$92,15,0))</f>
        <v>0</v>
      </c>
      <c r="Y72" s="6">
        <f ca="1">('TUSD BE'!$AM$13+'TUSD BF'!$AM$13+'TUSD CVA'!$AM$13)*1</f>
        <v>8.2896895560114423</v>
      </c>
      <c r="Z72" s="6"/>
      <c r="AA72" s="6"/>
      <c r="AB72" s="6">
        <f t="shared" si="9"/>
        <v>5220</v>
      </c>
      <c r="AC72" s="6">
        <f t="shared" si="10"/>
        <v>0</v>
      </c>
      <c r="AD72" s="6">
        <f t="shared" ca="1" si="11"/>
        <v>6217.267167008582</v>
      </c>
      <c r="AE72" s="6">
        <f t="shared" si="12"/>
        <v>0</v>
      </c>
      <c r="AF72" s="4" t="s">
        <v>687</v>
      </c>
    </row>
    <row r="73" spans="1:32" ht="11.25" customHeight="1" x14ac:dyDescent="0.3">
      <c r="A73" s="4" t="s">
        <v>21</v>
      </c>
      <c r="B73" s="4" t="s">
        <v>34</v>
      </c>
      <c r="C73" s="4" t="s">
        <v>57</v>
      </c>
      <c r="D73" s="4" t="s">
        <v>25</v>
      </c>
      <c r="E73" s="4" t="s">
        <v>25</v>
      </c>
      <c r="F73" s="4" t="s">
        <v>25</v>
      </c>
      <c r="G73" s="4" t="s">
        <v>60</v>
      </c>
      <c r="H73" s="4" t="s">
        <v>25</v>
      </c>
      <c r="I73" s="5">
        <v>44743</v>
      </c>
      <c r="J73" s="6">
        <v>1250</v>
      </c>
      <c r="K73" s="6">
        <v>625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59</v>
      </c>
      <c r="R73" s="4">
        <v>29377</v>
      </c>
      <c r="S73" s="4">
        <v>17</v>
      </c>
      <c r="T73" s="4">
        <v>0</v>
      </c>
      <c r="U73" s="4">
        <v>0</v>
      </c>
      <c r="V73" s="6">
        <f>IF(ISERROR(VLOOKUP($S$73,'TAR FIN'!$A$1:$O$92,15,0)),0,VLOOKUP($S$73,'TAR FIN'!$A$1:$O$92,15,0))</f>
        <v>6.96</v>
      </c>
      <c r="W73" s="6">
        <f>IF(ISERROR(VLOOKUP($T$73,'TAR FIN'!$A$1:$O$92,15,0)),0,VLOOKUP($T$73,'TAR FIN'!$A$1:$O$92,15,0))</f>
        <v>0</v>
      </c>
      <c r="X73" s="6">
        <f>IF(ISERROR(VLOOKUP($U$73,'TAR FIN'!$A$1:$O$92,15,0)),0,VLOOKUP($U$73,'TAR FIN'!$A$1:$O$92,15,0))</f>
        <v>0</v>
      </c>
      <c r="Y73" s="6">
        <f ca="1">('TUSD BE'!$AM$13+'TUSD BF'!$AM$13+'TUSD CVA'!$AM$13)*1</f>
        <v>8.2896895560114423</v>
      </c>
      <c r="Z73" s="6"/>
      <c r="AA73" s="6"/>
      <c r="AB73" s="6">
        <f t="shared" si="9"/>
        <v>4350</v>
      </c>
      <c r="AC73" s="6">
        <f t="shared" si="10"/>
        <v>0</v>
      </c>
      <c r="AD73" s="6">
        <f t="shared" ca="1" si="11"/>
        <v>5181.0559725071516</v>
      </c>
      <c r="AE73" s="6">
        <f t="shared" si="12"/>
        <v>0</v>
      </c>
      <c r="AF73" s="4" t="s">
        <v>687</v>
      </c>
    </row>
    <row r="74" spans="1:32" ht="11.25" customHeight="1" x14ac:dyDescent="0.3">
      <c r="A74" s="4" t="s">
        <v>21</v>
      </c>
      <c r="B74" s="4" t="s">
        <v>34</v>
      </c>
      <c r="C74" s="4" t="s">
        <v>35</v>
      </c>
      <c r="D74" s="4" t="s">
        <v>33</v>
      </c>
      <c r="E74" s="4" t="s">
        <v>25</v>
      </c>
      <c r="F74" s="4" t="s">
        <v>55</v>
      </c>
      <c r="G74" s="4" t="s">
        <v>25</v>
      </c>
      <c r="H74" s="4" t="s">
        <v>37</v>
      </c>
      <c r="I74" s="5">
        <v>44409</v>
      </c>
      <c r="J74" s="6">
        <v>0</v>
      </c>
      <c r="K74" s="6">
        <v>0</v>
      </c>
      <c r="L74" s="6">
        <v>2970.8047099999999</v>
      </c>
      <c r="M74" s="6">
        <v>2970.8047099999999</v>
      </c>
      <c r="N74" s="6">
        <v>0</v>
      </c>
      <c r="O74" s="6">
        <v>0</v>
      </c>
      <c r="P74" s="6">
        <v>0</v>
      </c>
      <c r="Q74" s="4" t="s">
        <v>56</v>
      </c>
      <c r="R74" s="4">
        <v>0</v>
      </c>
      <c r="S74" s="4">
        <v>0</v>
      </c>
      <c r="T74" s="4">
        <v>22</v>
      </c>
      <c r="U74" s="4">
        <v>0</v>
      </c>
      <c r="V74" s="6">
        <f>IF(ISERROR(VLOOKUP($S$74,'TAR FIN'!$A$1:$O$92,15,0)),0,VLOOKUP($S$74,'TAR FIN'!$A$1:$O$92,15,0))</f>
        <v>0</v>
      </c>
      <c r="W74" s="6">
        <f>IF(ISERROR(VLOOKUP($T$74,'TAR FIN'!$A$1:$O$92,15,0)),0,VLOOKUP($T$74,'TAR FIN'!$A$1:$O$92,15,0))</f>
        <v>73.28</v>
      </c>
      <c r="X74" s="6">
        <f>IF(ISERROR(VLOOKUP($U$74,'TAR FIN'!$A$1:$O$92,15,0)),0,VLOOKUP($U$74,'TAR FIN'!$A$1:$O$92,15,0))</f>
        <v>0</v>
      </c>
      <c r="Y74" s="6"/>
      <c r="Z74" s="6">
        <f ca="1">('TUSD BE'!$AM$16+'TUSD BF'!$AM$16+'TUSD CVA'!$AM$16)*1</f>
        <v>139.98967941887983</v>
      </c>
      <c r="AA74" s="6"/>
      <c r="AB74" s="6">
        <f t="shared" si="9"/>
        <v>0</v>
      </c>
      <c r="AC74" s="6">
        <f t="shared" si="10"/>
        <v>0</v>
      </c>
      <c r="AD74" s="6">
        <f t="shared" si="11"/>
        <v>0</v>
      </c>
      <c r="AE74" s="6">
        <f t="shared" ca="1" si="12"/>
        <v>0</v>
      </c>
      <c r="AF74" s="4" t="s">
        <v>686</v>
      </c>
    </row>
    <row r="75" spans="1:32" ht="11.25" customHeight="1" x14ac:dyDescent="0.3">
      <c r="A75" s="4" t="s">
        <v>21</v>
      </c>
      <c r="B75" s="4" t="s">
        <v>34</v>
      </c>
      <c r="C75" s="4" t="s">
        <v>35</v>
      </c>
      <c r="D75" s="4" t="s">
        <v>33</v>
      </c>
      <c r="E75" s="4" t="s">
        <v>25</v>
      </c>
      <c r="F75" s="4" t="s">
        <v>55</v>
      </c>
      <c r="G75" s="4" t="s">
        <v>25</v>
      </c>
      <c r="H75" s="4" t="s">
        <v>37</v>
      </c>
      <c r="I75" s="5">
        <v>44440</v>
      </c>
      <c r="J75" s="6">
        <v>0</v>
      </c>
      <c r="K75" s="6">
        <v>0</v>
      </c>
      <c r="L75" s="6">
        <v>2776.491</v>
      </c>
      <c r="M75" s="6">
        <v>2776.491</v>
      </c>
      <c r="N75" s="6">
        <v>0</v>
      </c>
      <c r="O75" s="6">
        <v>0</v>
      </c>
      <c r="P75" s="6">
        <v>0</v>
      </c>
      <c r="Q75" s="4" t="s">
        <v>56</v>
      </c>
      <c r="R75" s="4">
        <v>0</v>
      </c>
      <c r="S75" s="4">
        <v>0</v>
      </c>
      <c r="T75" s="4">
        <v>22</v>
      </c>
      <c r="U75" s="4">
        <v>0</v>
      </c>
      <c r="V75" s="6">
        <f>IF(ISERROR(VLOOKUP($S$75,'TAR FIN'!$A$1:$O$92,15,0)),0,VLOOKUP($S$75,'TAR FIN'!$A$1:$O$92,15,0))</f>
        <v>0</v>
      </c>
      <c r="W75" s="6">
        <f>IF(ISERROR(VLOOKUP($T$75,'TAR FIN'!$A$1:$O$92,15,0)),0,VLOOKUP($T$75,'TAR FIN'!$A$1:$O$92,15,0))</f>
        <v>73.28</v>
      </c>
      <c r="X75" s="6">
        <f>IF(ISERROR(VLOOKUP($U$75,'TAR FIN'!$A$1:$O$92,15,0)),0,VLOOKUP($U$75,'TAR FIN'!$A$1:$O$92,15,0))</f>
        <v>0</v>
      </c>
      <c r="Y75" s="6"/>
      <c r="Z75" s="6">
        <f ca="1">('TUSD BE'!$AM$16+'TUSD BF'!$AM$16+'TUSD CVA'!$AM$16)*1</f>
        <v>139.98967941887983</v>
      </c>
      <c r="AA75" s="6"/>
      <c r="AB75" s="6">
        <f t="shared" si="9"/>
        <v>0</v>
      </c>
      <c r="AC75" s="6">
        <f t="shared" si="10"/>
        <v>0</v>
      </c>
      <c r="AD75" s="6">
        <f t="shared" si="11"/>
        <v>0</v>
      </c>
      <c r="AE75" s="6">
        <f t="shared" ca="1" si="12"/>
        <v>0</v>
      </c>
      <c r="AF75" s="4" t="s">
        <v>686</v>
      </c>
    </row>
    <row r="76" spans="1:32" ht="11.25" customHeight="1" x14ac:dyDescent="0.3">
      <c r="A76" s="4" t="s">
        <v>21</v>
      </c>
      <c r="B76" s="4" t="s">
        <v>34</v>
      </c>
      <c r="C76" s="4" t="s">
        <v>35</v>
      </c>
      <c r="D76" s="4" t="s">
        <v>33</v>
      </c>
      <c r="E76" s="4" t="s">
        <v>25</v>
      </c>
      <c r="F76" s="4" t="s">
        <v>55</v>
      </c>
      <c r="G76" s="4" t="s">
        <v>25</v>
      </c>
      <c r="H76" s="4" t="s">
        <v>37</v>
      </c>
      <c r="I76" s="5">
        <v>44470</v>
      </c>
      <c r="J76" s="6">
        <v>0</v>
      </c>
      <c r="K76" s="6">
        <v>0</v>
      </c>
      <c r="L76" s="6">
        <v>3080.5311900000002</v>
      </c>
      <c r="M76" s="6">
        <v>3080.5311900000002</v>
      </c>
      <c r="N76" s="6">
        <v>0</v>
      </c>
      <c r="O76" s="6">
        <v>0</v>
      </c>
      <c r="P76" s="6">
        <v>0</v>
      </c>
      <c r="Q76" s="4" t="s">
        <v>56</v>
      </c>
      <c r="R76" s="4">
        <v>0</v>
      </c>
      <c r="S76" s="4">
        <v>0</v>
      </c>
      <c r="T76" s="4">
        <v>22</v>
      </c>
      <c r="U76" s="4">
        <v>0</v>
      </c>
      <c r="V76" s="6">
        <f>IF(ISERROR(VLOOKUP($S$76,'TAR FIN'!$A$1:$O$92,15,0)),0,VLOOKUP($S$76,'TAR FIN'!$A$1:$O$92,15,0))</f>
        <v>0</v>
      </c>
      <c r="W76" s="6">
        <f>IF(ISERROR(VLOOKUP($T$76,'TAR FIN'!$A$1:$O$92,15,0)),0,VLOOKUP($T$76,'TAR FIN'!$A$1:$O$92,15,0))</f>
        <v>73.28</v>
      </c>
      <c r="X76" s="6">
        <f>IF(ISERROR(VLOOKUP($U$76,'TAR FIN'!$A$1:$O$92,15,0)),0,VLOOKUP($U$76,'TAR FIN'!$A$1:$O$92,15,0))</f>
        <v>0</v>
      </c>
      <c r="Y76" s="6"/>
      <c r="Z76" s="6">
        <f ca="1">('TUSD BE'!$AM$16+'TUSD BF'!$AM$16+'TUSD CVA'!$AM$16)*1</f>
        <v>139.98967941887983</v>
      </c>
      <c r="AA76" s="6"/>
      <c r="AB76" s="6">
        <f t="shared" si="9"/>
        <v>0</v>
      </c>
      <c r="AC76" s="6">
        <f t="shared" si="10"/>
        <v>0</v>
      </c>
      <c r="AD76" s="6">
        <f t="shared" si="11"/>
        <v>0</v>
      </c>
      <c r="AE76" s="6">
        <f t="shared" ca="1" si="12"/>
        <v>0</v>
      </c>
      <c r="AF76" s="4" t="s">
        <v>686</v>
      </c>
    </row>
    <row r="77" spans="1:32" ht="11.25" customHeight="1" x14ac:dyDescent="0.3">
      <c r="A77" s="4" t="s">
        <v>21</v>
      </c>
      <c r="B77" s="4" t="s">
        <v>34</v>
      </c>
      <c r="C77" s="4" t="s">
        <v>35</v>
      </c>
      <c r="D77" s="4" t="s">
        <v>33</v>
      </c>
      <c r="E77" s="4" t="s">
        <v>25</v>
      </c>
      <c r="F77" s="4" t="s">
        <v>55</v>
      </c>
      <c r="G77" s="4" t="s">
        <v>25</v>
      </c>
      <c r="H77" s="4" t="s">
        <v>37</v>
      </c>
      <c r="I77" s="5">
        <v>44501</v>
      </c>
      <c r="J77" s="6">
        <v>0</v>
      </c>
      <c r="K77" s="6">
        <v>0</v>
      </c>
      <c r="L77" s="6">
        <v>3219.0039999999999</v>
      </c>
      <c r="M77" s="6">
        <v>3219.0039999999999</v>
      </c>
      <c r="N77" s="6">
        <v>0</v>
      </c>
      <c r="O77" s="6">
        <v>0</v>
      </c>
      <c r="P77" s="6">
        <v>0</v>
      </c>
      <c r="Q77" s="4" t="s">
        <v>56</v>
      </c>
      <c r="R77" s="4">
        <v>0</v>
      </c>
      <c r="S77" s="4">
        <v>0</v>
      </c>
      <c r="T77" s="4">
        <v>22</v>
      </c>
      <c r="U77" s="4">
        <v>0</v>
      </c>
      <c r="V77" s="6">
        <f>IF(ISERROR(VLOOKUP($S$77,'TAR FIN'!$A$1:$O$92,15,0)),0,VLOOKUP($S$77,'TAR FIN'!$A$1:$O$92,15,0))</f>
        <v>0</v>
      </c>
      <c r="W77" s="6">
        <f>IF(ISERROR(VLOOKUP($T$77,'TAR FIN'!$A$1:$O$92,15,0)),0,VLOOKUP($T$77,'TAR FIN'!$A$1:$O$92,15,0))</f>
        <v>73.28</v>
      </c>
      <c r="X77" s="6">
        <f>IF(ISERROR(VLOOKUP($U$77,'TAR FIN'!$A$1:$O$92,15,0)),0,VLOOKUP($U$77,'TAR FIN'!$A$1:$O$92,15,0))</f>
        <v>0</v>
      </c>
      <c r="Y77" s="6"/>
      <c r="Z77" s="6">
        <f ca="1">('TUSD BE'!$AM$16+'TUSD BF'!$AM$16+'TUSD CVA'!$AM$16)*1</f>
        <v>139.98967941887983</v>
      </c>
      <c r="AA77" s="6"/>
      <c r="AB77" s="6">
        <f t="shared" si="9"/>
        <v>0</v>
      </c>
      <c r="AC77" s="6">
        <f t="shared" si="10"/>
        <v>0</v>
      </c>
      <c r="AD77" s="6">
        <f t="shared" si="11"/>
        <v>0</v>
      </c>
      <c r="AE77" s="6">
        <f t="shared" ca="1" si="12"/>
        <v>0</v>
      </c>
      <c r="AF77" s="4" t="s">
        <v>686</v>
      </c>
    </row>
    <row r="78" spans="1:32" ht="11.25" customHeight="1" x14ac:dyDescent="0.3">
      <c r="A78" s="4" t="s">
        <v>21</v>
      </c>
      <c r="B78" s="4" t="s">
        <v>34</v>
      </c>
      <c r="C78" s="4" t="s">
        <v>35</v>
      </c>
      <c r="D78" s="4" t="s">
        <v>33</v>
      </c>
      <c r="E78" s="4" t="s">
        <v>25</v>
      </c>
      <c r="F78" s="4" t="s">
        <v>55</v>
      </c>
      <c r="G78" s="4" t="s">
        <v>25</v>
      </c>
      <c r="H78" s="4" t="s">
        <v>37</v>
      </c>
      <c r="I78" s="5">
        <v>44531</v>
      </c>
      <c r="J78" s="6">
        <v>0</v>
      </c>
      <c r="K78" s="6">
        <v>0</v>
      </c>
      <c r="L78" s="6">
        <v>2476.0529999999999</v>
      </c>
      <c r="M78" s="6">
        <v>2476.0529999999999</v>
      </c>
      <c r="N78" s="6">
        <v>0</v>
      </c>
      <c r="O78" s="6">
        <v>0</v>
      </c>
      <c r="P78" s="6">
        <v>0</v>
      </c>
      <c r="Q78" s="4" t="s">
        <v>56</v>
      </c>
      <c r="R78" s="4">
        <v>0</v>
      </c>
      <c r="S78" s="4">
        <v>0</v>
      </c>
      <c r="T78" s="4">
        <v>22</v>
      </c>
      <c r="U78" s="4">
        <v>0</v>
      </c>
      <c r="V78" s="6">
        <f>IF(ISERROR(VLOOKUP($S$78,'TAR FIN'!$A$1:$O$92,15,0)),0,VLOOKUP($S$78,'TAR FIN'!$A$1:$O$92,15,0))</f>
        <v>0</v>
      </c>
      <c r="W78" s="6">
        <f>IF(ISERROR(VLOOKUP($T$78,'TAR FIN'!$A$1:$O$92,15,0)),0,VLOOKUP($T$78,'TAR FIN'!$A$1:$O$92,15,0))</f>
        <v>73.28</v>
      </c>
      <c r="X78" s="6">
        <f>IF(ISERROR(VLOOKUP($U$78,'TAR FIN'!$A$1:$O$92,15,0)),0,VLOOKUP($U$78,'TAR FIN'!$A$1:$O$92,15,0))</f>
        <v>0</v>
      </c>
      <c r="Y78" s="6"/>
      <c r="Z78" s="6">
        <f ca="1">('TUSD BE'!$AM$16+'TUSD BF'!$AM$16+'TUSD CVA'!$AM$16)*1</f>
        <v>139.98967941887983</v>
      </c>
      <c r="AA78" s="6"/>
      <c r="AB78" s="6">
        <f t="shared" si="9"/>
        <v>0</v>
      </c>
      <c r="AC78" s="6">
        <f t="shared" si="10"/>
        <v>0</v>
      </c>
      <c r="AD78" s="6">
        <f t="shared" si="11"/>
        <v>0</v>
      </c>
      <c r="AE78" s="6">
        <f t="shared" ca="1" si="12"/>
        <v>0</v>
      </c>
      <c r="AF78" s="4" t="s">
        <v>686</v>
      </c>
    </row>
    <row r="79" spans="1:32" ht="11.25" customHeight="1" x14ac:dyDescent="0.3">
      <c r="A79" s="4" t="s">
        <v>21</v>
      </c>
      <c r="B79" s="4" t="s">
        <v>34</v>
      </c>
      <c r="C79" s="4" t="s">
        <v>35</v>
      </c>
      <c r="D79" s="4" t="s">
        <v>33</v>
      </c>
      <c r="E79" s="4" t="s">
        <v>25</v>
      </c>
      <c r="F79" s="4" t="s">
        <v>55</v>
      </c>
      <c r="G79" s="4" t="s">
        <v>25</v>
      </c>
      <c r="H79" s="4" t="s">
        <v>37</v>
      </c>
      <c r="I79" s="5">
        <v>44562</v>
      </c>
      <c r="J79" s="6">
        <v>0</v>
      </c>
      <c r="K79" s="6">
        <v>0</v>
      </c>
      <c r="L79" s="6">
        <v>2614.6350000000002</v>
      </c>
      <c r="M79" s="6">
        <v>2614.6350000000002</v>
      </c>
      <c r="N79" s="6">
        <v>0</v>
      </c>
      <c r="O79" s="6">
        <v>0</v>
      </c>
      <c r="P79" s="6">
        <v>0</v>
      </c>
      <c r="Q79" s="4" t="s">
        <v>56</v>
      </c>
      <c r="R79" s="4">
        <v>0</v>
      </c>
      <c r="S79" s="4">
        <v>0</v>
      </c>
      <c r="T79" s="4">
        <v>22</v>
      </c>
      <c r="U79" s="4">
        <v>0</v>
      </c>
      <c r="V79" s="6">
        <f>IF(ISERROR(VLOOKUP($S$79,'TAR FIN'!$A$1:$O$92,15,0)),0,VLOOKUP($S$79,'TAR FIN'!$A$1:$O$92,15,0))</f>
        <v>0</v>
      </c>
      <c r="W79" s="6">
        <f>IF(ISERROR(VLOOKUP($T$79,'TAR FIN'!$A$1:$O$92,15,0)),0,VLOOKUP($T$79,'TAR FIN'!$A$1:$O$92,15,0))</f>
        <v>73.28</v>
      </c>
      <c r="X79" s="6">
        <f>IF(ISERROR(VLOOKUP($U$79,'TAR FIN'!$A$1:$O$92,15,0)),0,VLOOKUP($U$79,'TAR FIN'!$A$1:$O$92,15,0))</f>
        <v>0</v>
      </c>
      <c r="Y79" s="6"/>
      <c r="Z79" s="6">
        <f ca="1">('TUSD BE'!$AM$16+'TUSD BF'!$AM$16+'TUSD CVA'!$AM$16)*1</f>
        <v>139.98967941887983</v>
      </c>
      <c r="AA79" s="6"/>
      <c r="AB79" s="6">
        <f t="shared" si="9"/>
        <v>0</v>
      </c>
      <c r="AC79" s="6">
        <f t="shared" si="10"/>
        <v>0</v>
      </c>
      <c r="AD79" s="6">
        <f t="shared" si="11"/>
        <v>0</v>
      </c>
      <c r="AE79" s="6">
        <f t="shared" ca="1" si="12"/>
        <v>0</v>
      </c>
      <c r="AF79" s="4" t="s">
        <v>686</v>
      </c>
    </row>
    <row r="80" spans="1:32" ht="11.25" customHeight="1" x14ac:dyDescent="0.3">
      <c r="A80" s="4" t="s">
        <v>21</v>
      </c>
      <c r="B80" s="4" t="s">
        <v>34</v>
      </c>
      <c r="C80" s="4" t="s">
        <v>35</v>
      </c>
      <c r="D80" s="4" t="s">
        <v>33</v>
      </c>
      <c r="E80" s="4" t="s">
        <v>25</v>
      </c>
      <c r="F80" s="4" t="s">
        <v>55</v>
      </c>
      <c r="G80" s="4" t="s">
        <v>25</v>
      </c>
      <c r="H80" s="4" t="s">
        <v>37</v>
      </c>
      <c r="I80" s="5">
        <v>44593</v>
      </c>
      <c r="J80" s="6">
        <v>0</v>
      </c>
      <c r="K80" s="6">
        <v>0</v>
      </c>
      <c r="L80" s="6">
        <v>2692.8690000000001</v>
      </c>
      <c r="M80" s="6">
        <v>2692.8690000000001</v>
      </c>
      <c r="N80" s="6">
        <v>0</v>
      </c>
      <c r="O80" s="6">
        <v>0</v>
      </c>
      <c r="P80" s="6">
        <v>0</v>
      </c>
      <c r="Q80" s="4" t="s">
        <v>56</v>
      </c>
      <c r="R80" s="4">
        <v>0</v>
      </c>
      <c r="S80" s="4">
        <v>0</v>
      </c>
      <c r="T80" s="4">
        <v>22</v>
      </c>
      <c r="U80" s="4">
        <v>0</v>
      </c>
      <c r="V80" s="6">
        <f>IF(ISERROR(VLOOKUP($S$80,'TAR FIN'!$A$1:$O$92,15,0)),0,VLOOKUP($S$80,'TAR FIN'!$A$1:$O$92,15,0))</f>
        <v>0</v>
      </c>
      <c r="W80" s="6">
        <f>IF(ISERROR(VLOOKUP($T$80,'TAR FIN'!$A$1:$O$92,15,0)),0,VLOOKUP($T$80,'TAR FIN'!$A$1:$O$92,15,0))</f>
        <v>73.28</v>
      </c>
      <c r="X80" s="6">
        <f>IF(ISERROR(VLOOKUP($U$80,'TAR FIN'!$A$1:$O$92,15,0)),0,VLOOKUP($U$80,'TAR FIN'!$A$1:$O$92,15,0))</f>
        <v>0</v>
      </c>
      <c r="Y80" s="6"/>
      <c r="Z80" s="6">
        <f ca="1">('TUSD BE'!$AM$16+'TUSD BF'!$AM$16+'TUSD CVA'!$AM$16)*1</f>
        <v>139.98967941887983</v>
      </c>
      <c r="AA80" s="6"/>
      <c r="AB80" s="6">
        <f t="shared" si="9"/>
        <v>0</v>
      </c>
      <c r="AC80" s="6">
        <f t="shared" si="10"/>
        <v>0</v>
      </c>
      <c r="AD80" s="6">
        <f t="shared" si="11"/>
        <v>0</v>
      </c>
      <c r="AE80" s="6">
        <f t="shared" ca="1" si="12"/>
        <v>0</v>
      </c>
      <c r="AF80" s="4" t="s">
        <v>686</v>
      </c>
    </row>
    <row r="81" spans="1:32" ht="11.25" customHeight="1" x14ac:dyDescent="0.3">
      <c r="A81" s="4" t="s">
        <v>21</v>
      </c>
      <c r="B81" s="4" t="s">
        <v>34</v>
      </c>
      <c r="C81" s="4" t="s">
        <v>35</v>
      </c>
      <c r="D81" s="4" t="s">
        <v>33</v>
      </c>
      <c r="E81" s="4" t="s">
        <v>25</v>
      </c>
      <c r="F81" s="4" t="s">
        <v>55</v>
      </c>
      <c r="G81" s="4" t="s">
        <v>25</v>
      </c>
      <c r="H81" s="4" t="s">
        <v>37</v>
      </c>
      <c r="I81" s="5">
        <v>44621</v>
      </c>
      <c r="J81" s="6">
        <v>0</v>
      </c>
      <c r="K81" s="6">
        <v>0</v>
      </c>
      <c r="L81" s="6">
        <v>3033.424</v>
      </c>
      <c r="M81" s="6">
        <v>3033.424</v>
      </c>
      <c r="N81" s="6">
        <v>0</v>
      </c>
      <c r="O81" s="6">
        <v>0</v>
      </c>
      <c r="P81" s="6">
        <v>0</v>
      </c>
      <c r="Q81" s="4" t="s">
        <v>56</v>
      </c>
      <c r="R81" s="4">
        <v>0</v>
      </c>
      <c r="S81" s="4">
        <v>0</v>
      </c>
      <c r="T81" s="4">
        <v>22</v>
      </c>
      <c r="U81" s="4">
        <v>0</v>
      </c>
      <c r="V81" s="6">
        <f>IF(ISERROR(VLOOKUP($S$81,'TAR FIN'!$A$1:$O$92,15,0)),0,VLOOKUP($S$81,'TAR FIN'!$A$1:$O$92,15,0))</f>
        <v>0</v>
      </c>
      <c r="W81" s="6">
        <f>IF(ISERROR(VLOOKUP($T$81,'TAR FIN'!$A$1:$O$92,15,0)),0,VLOOKUP($T$81,'TAR FIN'!$A$1:$O$92,15,0))</f>
        <v>73.28</v>
      </c>
      <c r="X81" s="6">
        <f>IF(ISERROR(VLOOKUP($U$81,'TAR FIN'!$A$1:$O$92,15,0)),0,VLOOKUP($U$81,'TAR FIN'!$A$1:$O$92,15,0))</f>
        <v>0</v>
      </c>
      <c r="Y81" s="6"/>
      <c r="Z81" s="6">
        <f ca="1">('TUSD BE'!$AM$16+'TUSD BF'!$AM$16+'TUSD CVA'!$AM$16)*1</f>
        <v>139.98967941887983</v>
      </c>
      <c r="AA81" s="6"/>
      <c r="AB81" s="6">
        <f t="shared" si="9"/>
        <v>0</v>
      </c>
      <c r="AC81" s="6">
        <f t="shared" si="10"/>
        <v>0</v>
      </c>
      <c r="AD81" s="6">
        <f t="shared" si="11"/>
        <v>0</v>
      </c>
      <c r="AE81" s="6">
        <f t="shared" ca="1" si="12"/>
        <v>0</v>
      </c>
      <c r="AF81" s="4" t="s">
        <v>686</v>
      </c>
    </row>
    <row r="82" spans="1:32" ht="11.25" customHeight="1" x14ac:dyDescent="0.3">
      <c r="A82" s="4" t="s">
        <v>21</v>
      </c>
      <c r="B82" s="4" t="s">
        <v>34</v>
      </c>
      <c r="C82" s="4" t="s">
        <v>35</v>
      </c>
      <c r="D82" s="4" t="s">
        <v>33</v>
      </c>
      <c r="E82" s="4" t="s">
        <v>25</v>
      </c>
      <c r="F82" s="4" t="s">
        <v>55</v>
      </c>
      <c r="G82" s="4" t="s">
        <v>25</v>
      </c>
      <c r="H82" s="4" t="s">
        <v>37</v>
      </c>
      <c r="I82" s="5">
        <v>44652</v>
      </c>
      <c r="J82" s="6">
        <v>0</v>
      </c>
      <c r="K82" s="6">
        <v>0</v>
      </c>
      <c r="L82" s="6">
        <v>2854.1410000000001</v>
      </c>
      <c r="M82" s="6">
        <v>2854.1410000000001</v>
      </c>
      <c r="N82" s="6">
        <v>0</v>
      </c>
      <c r="O82" s="6">
        <v>0</v>
      </c>
      <c r="P82" s="6">
        <v>0</v>
      </c>
      <c r="Q82" s="4" t="s">
        <v>56</v>
      </c>
      <c r="R82" s="4">
        <v>0</v>
      </c>
      <c r="S82" s="4">
        <v>0</v>
      </c>
      <c r="T82" s="4">
        <v>22</v>
      </c>
      <c r="U82" s="4">
        <v>0</v>
      </c>
      <c r="V82" s="6">
        <f>IF(ISERROR(VLOOKUP($S$82,'TAR FIN'!$A$1:$O$92,15,0)),0,VLOOKUP($S$82,'TAR FIN'!$A$1:$O$92,15,0))</f>
        <v>0</v>
      </c>
      <c r="W82" s="6">
        <f>IF(ISERROR(VLOOKUP($T$82,'TAR FIN'!$A$1:$O$92,15,0)),0,VLOOKUP($T$82,'TAR FIN'!$A$1:$O$92,15,0))</f>
        <v>73.28</v>
      </c>
      <c r="X82" s="6">
        <f>IF(ISERROR(VLOOKUP($U$82,'TAR FIN'!$A$1:$O$92,15,0)),0,VLOOKUP($U$82,'TAR FIN'!$A$1:$O$92,15,0))</f>
        <v>0</v>
      </c>
      <c r="Y82" s="6"/>
      <c r="Z82" s="6">
        <f ca="1">('TUSD BE'!$AM$16+'TUSD BF'!$AM$16+'TUSD CVA'!$AM$16)*1</f>
        <v>139.98967941887983</v>
      </c>
      <c r="AA82" s="6"/>
      <c r="AB82" s="6">
        <f t="shared" si="9"/>
        <v>0</v>
      </c>
      <c r="AC82" s="6">
        <f t="shared" si="10"/>
        <v>0</v>
      </c>
      <c r="AD82" s="6">
        <f t="shared" si="11"/>
        <v>0</v>
      </c>
      <c r="AE82" s="6">
        <f t="shared" ca="1" si="12"/>
        <v>0</v>
      </c>
      <c r="AF82" s="4" t="s">
        <v>686</v>
      </c>
    </row>
    <row r="83" spans="1:32" ht="11.25" customHeight="1" x14ac:dyDescent="0.3">
      <c r="A83" s="4" t="s">
        <v>21</v>
      </c>
      <c r="B83" s="4" t="s">
        <v>34</v>
      </c>
      <c r="C83" s="4" t="s">
        <v>35</v>
      </c>
      <c r="D83" s="4" t="s">
        <v>33</v>
      </c>
      <c r="E83" s="4" t="s">
        <v>25</v>
      </c>
      <c r="F83" s="4" t="s">
        <v>55</v>
      </c>
      <c r="G83" s="4" t="s">
        <v>25</v>
      </c>
      <c r="H83" s="4" t="s">
        <v>37</v>
      </c>
      <c r="I83" s="5">
        <v>44682</v>
      </c>
      <c r="J83" s="6">
        <v>0</v>
      </c>
      <c r="K83" s="6">
        <v>0</v>
      </c>
      <c r="L83" s="6">
        <v>2914.23</v>
      </c>
      <c r="M83" s="6">
        <v>2914.23</v>
      </c>
      <c r="N83" s="6">
        <v>0</v>
      </c>
      <c r="O83" s="6">
        <v>0</v>
      </c>
      <c r="P83" s="6">
        <v>0</v>
      </c>
      <c r="Q83" s="4" t="s">
        <v>56</v>
      </c>
      <c r="R83" s="4">
        <v>0</v>
      </c>
      <c r="S83" s="4">
        <v>0</v>
      </c>
      <c r="T83" s="4">
        <v>22</v>
      </c>
      <c r="U83" s="4">
        <v>0</v>
      </c>
      <c r="V83" s="6">
        <f>IF(ISERROR(VLOOKUP($S$83,'TAR FIN'!$A$1:$O$92,15,0)),0,VLOOKUP($S$83,'TAR FIN'!$A$1:$O$92,15,0))</f>
        <v>0</v>
      </c>
      <c r="W83" s="6">
        <f>IF(ISERROR(VLOOKUP($T$83,'TAR FIN'!$A$1:$O$92,15,0)),0,VLOOKUP($T$83,'TAR FIN'!$A$1:$O$92,15,0))</f>
        <v>73.28</v>
      </c>
      <c r="X83" s="6">
        <f>IF(ISERROR(VLOOKUP($U$83,'TAR FIN'!$A$1:$O$92,15,0)),0,VLOOKUP($U$83,'TAR FIN'!$A$1:$O$92,15,0))</f>
        <v>0</v>
      </c>
      <c r="Y83" s="6"/>
      <c r="Z83" s="6">
        <f ca="1">('TUSD BE'!$AM$16+'TUSD BF'!$AM$16+'TUSD CVA'!$AM$16)*1</f>
        <v>139.98967941887983</v>
      </c>
      <c r="AA83" s="6"/>
      <c r="AB83" s="6">
        <f t="shared" si="9"/>
        <v>0</v>
      </c>
      <c r="AC83" s="6">
        <f t="shared" si="10"/>
        <v>0</v>
      </c>
      <c r="AD83" s="6">
        <f t="shared" si="11"/>
        <v>0</v>
      </c>
      <c r="AE83" s="6">
        <f t="shared" ca="1" si="12"/>
        <v>0</v>
      </c>
      <c r="AF83" s="4" t="s">
        <v>686</v>
      </c>
    </row>
    <row r="84" spans="1:32" ht="11.25" customHeight="1" x14ac:dyDescent="0.3">
      <c r="A84" s="4" t="s">
        <v>21</v>
      </c>
      <c r="B84" s="4" t="s">
        <v>34</v>
      </c>
      <c r="C84" s="4" t="s">
        <v>35</v>
      </c>
      <c r="D84" s="4" t="s">
        <v>33</v>
      </c>
      <c r="E84" s="4" t="s">
        <v>25</v>
      </c>
      <c r="F84" s="4" t="s">
        <v>55</v>
      </c>
      <c r="G84" s="4" t="s">
        <v>25</v>
      </c>
      <c r="H84" s="4" t="s">
        <v>37</v>
      </c>
      <c r="I84" s="5">
        <v>44713</v>
      </c>
      <c r="J84" s="6">
        <v>0</v>
      </c>
      <c r="K84" s="6">
        <v>0</v>
      </c>
      <c r="L84" s="6">
        <v>2965.4425299999998</v>
      </c>
      <c r="M84" s="6">
        <v>2965.4425299999998</v>
      </c>
      <c r="N84" s="6">
        <v>0</v>
      </c>
      <c r="O84" s="6">
        <v>0</v>
      </c>
      <c r="P84" s="6">
        <v>0</v>
      </c>
      <c r="Q84" s="4" t="s">
        <v>56</v>
      </c>
      <c r="R84" s="4">
        <v>0</v>
      </c>
      <c r="S84" s="4">
        <v>0</v>
      </c>
      <c r="T84" s="4">
        <v>22</v>
      </c>
      <c r="U84" s="4">
        <v>0</v>
      </c>
      <c r="V84" s="6">
        <f>IF(ISERROR(VLOOKUP($S$84,'TAR FIN'!$A$1:$O$92,15,0)),0,VLOOKUP($S$84,'TAR FIN'!$A$1:$O$92,15,0))</f>
        <v>0</v>
      </c>
      <c r="W84" s="6">
        <f>IF(ISERROR(VLOOKUP($T$84,'TAR FIN'!$A$1:$O$92,15,0)),0,VLOOKUP($T$84,'TAR FIN'!$A$1:$O$92,15,0))</f>
        <v>73.28</v>
      </c>
      <c r="X84" s="6">
        <f>IF(ISERROR(VLOOKUP($U$84,'TAR FIN'!$A$1:$O$92,15,0)),0,VLOOKUP($U$84,'TAR FIN'!$A$1:$O$92,15,0))</f>
        <v>0</v>
      </c>
      <c r="Y84" s="6"/>
      <c r="Z84" s="6">
        <f ca="1">('TUSD BE'!$AM$16+'TUSD BF'!$AM$16+'TUSD CVA'!$AM$16)*1</f>
        <v>139.98967941887983</v>
      </c>
      <c r="AA84" s="6"/>
      <c r="AB84" s="6">
        <f t="shared" si="9"/>
        <v>0</v>
      </c>
      <c r="AC84" s="6">
        <f t="shared" si="10"/>
        <v>0</v>
      </c>
      <c r="AD84" s="6">
        <f t="shared" si="11"/>
        <v>0</v>
      </c>
      <c r="AE84" s="6">
        <f t="shared" ca="1" si="12"/>
        <v>0</v>
      </c>
      <c r="AF84" s="4" t="s">
        <v>686</v>
      </c>
    </row>
    <row r="85" spans="1:32" ht="11.25" customHeight="1" x14ac:dyDescent="0.3">
      <c r="A85" s="4" t="s">
        <v>21</v>
      </c>
      <c r="B85" s="4" t="s">
        <v>34</v>
      </c>
      <c r="C85" s="4" t="s">
        <v>35</v>
      </c>
      <c r="D85" s="4" t="s">
        <v>33</v>
      </c>
      <c r="E85" s="4" t="s">
        <v>25</v>
      </c>
      <c r="F85" s="4" t="s">
        <v>55</v>
      </c>
      <c r="G85" s="4" t="s">
        <v>25</v>
      </c>
      <c r="H85" s="4" t="s">
        <v>37</v>
      </c>
      <c r="I85" s="5">
        <v>44743</v>
      </c>
      <c r="J85" s="6">
        <v>0</v>
      </c>
      <c r="K85" s="6">
        <v>0</v>
      </c>
      <c r="L85" s="6">
        <v>3008.4816900000001</v>
      </c>
      <c r="M85" s="6">
        <v>3008.4816900000001</v>
      </c>
      <c r="N85" s="6">
        <v>0</v>
      </c>
      <c r="O85" s="6">
        <v>0</v>
      </c>
      <c r="P85" s="6">
        <v>0</v>
      </c>
      <c r="Q85" s="4" t="s">
        <v>56</v>
      </c>
      <c r="R85" s="4">
        <v>0</v>
      </c>
      <c r="S85" s="4">
        <v>0</v>
      </c>
      <c r="T85" s="4">
        <v>22</v>
      </c>
      <c r="U85" s="4">
        <v>0</v>
      </c>
      <c r="V85" s="6">
        <f>IF(ISERROR(VLOOKUP($S$85,'TAR FIN'!$A$1:$O$92,15,0)),0,VLOOKUP($S$85,'TAR FIN'!$A$1:$O$92,15,0))</f>
        <v>0</v>
      </c>
      <c r="W85" s="6">
        <f>IF(ISERROR(VLOOKUP($T$85,'TAR FIN'!$A$1:$O$92,15,0)),0,VLOOKUP($T$85,'TAR FIN'!$A$1:$O$92,15,0))</f>
        <v>73.28</v>
      </c>
      <c r="X85" s="6">
        <f>IF(ISERROR(VLOOKUP($U$85,'TAR FIN'!$A$1:$O$92,15,0)),0,VLOOKUP($U$85,'TAR FIN'!$A$1:$O$92,15,0))</f>
        <v>0</v>
      </c>
      <c r="Y85" s="6"/>
      <c r="Z85" s="6">
        <f ca="1">('TUSD BE'!$AM$16+'TUSD BF'!$AM$16+'TUSD CVA'!$AM$16)*1</f>
        <v>139.98967941887983</v>
      </c>
      <c r="AA85" s="6"/>
      <c r="AB85" s="6">
        <f t="shared" si="9"/>
        <v>0</v>
      </c>
      <c r="AC85" s="6">
        <f t="shared" si="10"/>
        <v>0</v>
      </c>
      <c r="AD85" s="6">
        <f t="shared" si="11"/>
        <v>0</v>
      </c>
      <c r="AE85" s="6">
        <f t="shared" ca="1" si="12"/>
        <v>0</v>
      </c>
      <c r="AF85" s="4" t="s">
        <v>686</v>
      </c>
    </row>
    <row r="86" spans="1:32" ht="11.25" customHeight="1" x14ac:dyDescent="0.3">
      <c r="A86" s="4" t="s">
        <v>21</v>
      </c>
      <c r="B86" s="4" t="s">
        <v>34</v>
      </c>
      <c r="C86" s="4" t="s">
        <v>35</v>
      </c>
      <c r="D86" s="4" t="s">
        <v>33</v>
      </c>
      <c r="E86" s="4" t="s">
        <v>25</v>
      </c>
      <c r="F86" s="4" t="s">
        <v>55</v>
      </c>
      <c r="G86" s="4" t="s">
        <v>25</v>
      </c>
      <c r="H86" s="4" t="s">
        <v>25</v>
      </c>
      <c r="I86" s="5">
        <v>44409</v>
      </c>
      <c r="J86" s="6">
        <v>10860.54</v>
      </c>
      <c r="K86" s="6">
        <v>5493.7808088390002</v>
      </c>
      <c r="L86" s="6">
        <v>0</v>
      </c>
      <c r="M86" s="6">
        <v>0</v>
      </c>
      <c r="N86" s="6">
        <v>0</v>
      </c>
      <c r="O86" s="6">
        <v>0</v>
      </c>
      <c r="P86" s="6">
        <v>12</v>
      </c>
      <c r="Q86" s="4" t="s">
        <v>56</v>
      </c>
      <c r="R86" s="4">
        <v>0</v>
      </c>
      <c r="S86" s="4">
        <v>18</v>
      </c>
      <c r="T86" s="4">
        <v>0</v>
      </c>
      <c r="U86" s="4">
        <v>0</v>
      </c>
      <c r="V86" s="6">
        <f>IF(ISERROR(VLOOKUP($S$86,'TAR FIN'!$A$1:$O$92,15,0)),0,VLOOKUP($S$86,'TAR FIN'!$A$1:$O$92,15,0))</f>
        <v>18.489999999999998</v>
      </c>
      <c r="W86" s="6">
        <f>IF(ISERROR(VLOOKUP($T$86,'TAR FIN'!$A$1:$O$92,15,0)),0,VLOOKUP($T$86,'TAR FIN'!$A$1:$O$92,15,0))</f>
        <v>0</v>
      </c>
      <c r="X86" s="6">
        <f>IF(ISERROR(VLOOKUP($U$86,'TAR FIN'!$A$1:$O$92,15,0)),0,VLOOKUP($U$86,'TAR FIN'!$A$1:$O$92,15,0))</f>
        <v>0</v>
      </c>
      <c r="Y86" s="6">
        <f ca="1">('TUSD BE'!$AM$14+'TUSD BF'!$AM$14+'TUSD CVA'!$AM$14)*1</f>
        <v>23.643887023397856</v>
      </c>
      <c r="Z86" s="6"/>
      <c r="AA86" s="6"/>
      <c r="AB86" s="6">
        <f t="shared" si="9"/>
        <v>99231.377444566897</v>
      </c>
      <c r="AC86" s="6">
        <f t="shared" si="10"/>
        <v>0</v>
      </c>
      <c r="AD86" s="6">
        <f t="shared" ca="1" si="11"/>
        <v>126891.04799759276</v>
      </c>
      <c r="AE86" s="6">
        <f t="shared" si="12"/>
        <v>0</v>
      </c>
      <c r="AF86" s="4" t="s">
        <v>686</v>
      </c>
    </row>
    <row r="87" spans="1:32" ht="11.25" customHeight="1" x14ac:dyDescent="0.3">
      <c r="A87" s="4" t="s">
        <v>21</v>
      </c>
      <c r="B87" s="4" t="s">
        <v>34</v>
      </c>
      <c r="C87" s="4" t="s">
        <v>35</v>
      </c>
      <c r="D87" s="4" t="s">
        <v>33</v>
      </c>
      <c r="E87" s="4" t="s">
        <v>25</v>
      </c>
      <c r="F87" s="4" t="s">
        <v>55</v>
      </c>
      <c r="G87" s="4" t="s">
        <v>25</v>
      </c>
      <c r="H87" s="4" t="s">
        <v>25</v>
      </c>
      <c r="I87" s="5">
        <v>44440</v>
      </c>
      <c r="J87" s="6">
        <v>10843</v>
      </c>
      <c r="K87" s="6">
        <v>5470.3615940400005</v>
      </c>
      <c r="L87" s="6">
        <v>0</v>
      </c>
      <c r="M87" s="6">
        <v>0</v>
      </c>
      <c r="N87" s="6">
        <v>0</v>
      </c>
      <c r="O87" s="6">
        <v>0</v>
      </c>
      <c r="P87" s="6">
        <v>12</v>
      </c>
      <c r="Q87" s="4" t="s">
        <v>56</v>
      </c>
      <c r="R87" s="4">
        <v>0</v>
      </c>
      <c r="S87" s="4">
        <v>18</v>
      </c>
      <c r="T87" s="4">
        <v>0</v>
      </c>
      <c r="U87" s="4">
        <v>0</v>
      </c>
      <c r="V87" s="6">
        <f>IF(ISERROR(VLOOKUP($S$87,'TAR FIN'!$A$1:$O$92,15,0)),0,VLOOKUP($S$87,'TAR FIN'!$A$1:$O$92,15,0))</f>
        <v>18.489999999999998</v>
      </c>
      <c r="W87" s="6">
        <f>IF(ISERROR(VLOOKUP($T$87,'TAR FIN'!$A$1:$O$92,15,0)),0,VLOOKUP($T$87,'TAR FIN'!$A$1:$O$92,15,0))</f>
        <v>0</v>
      </c>
      <c r="X87" s="6">
        <f>IF(ISERROR(VLOOKUP($U$87,'TAR FIN'!$A$1:$O$92,15,0)),0,VLOOKUP($U$87,'TAR FIN'!$A$1:$O$92,15,0))</f>
        <v>0</v>
      </c>
      <c r="Y87" s="6">
        <f ca="1">('TUSD BE'!$AM$14+'TUSD BF'!$AM$14+'TUSD CVA'!$AM$14)*1</f>
        <v>23.643887023397856</v>
      </c>
      <c r="Z87" s="6"/>
      <c r="AA87" s="6"/>
      <c r="AB87" s="6">
        <f t="shared" si="9"/>
        <v>99340.084126200381</v>
      </c>
      <c r="AC87" s="6">
        <f t="shared" si="10"/>
        <v>0</v>
      </c>
      <c r="AD87" s="6">
        <f t="shared" ca="1" si="11"/>
        <v>127030.05548808657</v>
      </c>
      <c r="AE87" s="6">
        <f t="shared" si="12"/>
        <v>0</v>
      </c>
      <c r="AF87" s="4" t="s">
        <v>686</v>
      </c>
    </row>
    <row r="88" spans="1:32" ht="11.25" customHeight="1" x14ac:dyDescent="0.3">
      <c r="A88" s="4" t="s">
        <v>21</v>
      </c>
      <c r="B88" s="4" t="s">
        <v>34</v>
      </c>
      <c r="C88" s="4" t="s">
        <v>35</v>
      </c>
      <c r="D88" s="4" t="s">
        <v>33</v>
      </c>
      <c r="E88" s="4" t="s">
        <v>25</v>
      </c>
      <c r="F88" s="4" t="s">
        <v>55</v>
      </c>
      <c r="G88" s="4" t="s">
        <v>25</v>
      </c>
      <c r="H88" s="4" t="s">
        <v>25</v>
      </c>
      <c r="I88" s="5">
        <v>44470</v>
      </c>
      <c r="J88" s="6">
        <v>11240.22</v>
      </c>
      <c r="K88" s="6">
        <v>5671.8020857470001</v>
      </c>
      <c r="L88" s="6">
        <v>0</v>
      </c>
      <c r="M88" s="6">
        <v>0</v>
      </c>
      <c r="N88" s="6">
        <v>0</v>
      </c>
      <c r="O88" s="6">
        <v>0</v>
      </c>
      <c r="P88" s="6">
        <v>12</v>
      </c>
      <c r="Q88" s="4" t="s">
        <v>56</v>
      </c>
      <c r="R88" s="4">
        <v>0</v>
      </c>
      <c r="S88" s="4">
        <v>18</v>
      </c>
      <c r="T88" s="4">
        <v>0</v>
      </c>
      <c r="U88" s="4">
        <v>0</v>
      </c>
      <c r="V88" s="6">
        <f>IF(ISERROR(VLOOKUP($S$88,'TAR FIN'!$A$1:$O$92,15,0)),0,VLOOKUP($S$88,'TAR FIN'!$A$1:$O$92,15,0))</f>
        <v>18.489999999999998</v>
      </c>
      <c r="W88" s="6">
        <f>IF(ISERROR(VLOOKUP($T$88,'TAR FIN'!$A$1:$O$92,15,0)),0,VLOOKUP($T$88,'TAR FIN'!$A$1:$O$92,15,0))</f>
        <v>0</v>
      </c>
      <c r="X88" s="6">
        <f>IF(ISERROR(VLOOKUP($U$88,'TAR FIN'!$A$1:$O$92,15,0)),0,VLOOKUP($U$88,'TAR FIN'!$A$1:$O$92,15,0))</f>
        <v>0</v>
      </c>
      <c r="Y88" s="6">
        <f ca="1">('TUSD BE'!$AM$14+'TUSD BF'!$AM$14+'TUSD CVA'!$AM$14)*1</f>
        <v>23.643887023397856</v>
      </c>
      <c r="Z88" s="6"/>
      <c r="AA88" s="6"/>
      <c r="AB88" s="6">
        <f t="shared" si="9"/>
        <v>102960.04723453795</v>
      </c>
      <c r="AC88" s="6">
        <f t="shared" si="10"/>
        <v>0</v>
      </c>
      <c r="AD88" s="6">
        <f t="shared" ca="1" si="11"/>
        <v>131659.04406366264</v>
      </c>
      <c r="AE88" s="6">
        <f t="shared" si="12"/>
        <v>0</v>
      </c>
      <c r="AF88" s="4" t="s">
        <v>686</v>
      </c>
    </row>
    <row r="89" spans="1:32" ht="11.25" customHeight="1" x14ac:dyDescent="0.3">
      <c r="A89" s="4" t="s">
        <v>21</v>
      </c>
      <c r="B89" s="4" t="s">
        <v>34</v>
      </c>
      <c r="C89" s="4" t="s">
        <v>35</v>
      </c>
      <c r="D89" s="4" t="s">
        <v>33</v>
      </c>
      <c r="E89" s="4" t="s">
        <v>25</v>
      </c>
      <c r="F89" s="4" t="s">
        <v>55</v>
      </c>
      <c r="G89" s="4" t="s">
        <v>25</v>
      </c>
      <c r="H89" s="4" t="s">
        <v>25</v>
      </c>
      <c r="I89" s="5">
        <v>44501</v>
      </c>
      <c r="J89" s="6">
        <v>11461</v>
      </c>
      <c r="K89" s="6">
        <v>5831.1337689399998</v>
      </c>
      <c r="L89" s="6">
        <v>0</v>
      </c>
      <c r="M89" s="6">
        <v>0</v>
      </c>
      <c r="N89" s="6">
        <v>0</v>
      </c>
      <c r="O89" s="6">
        <v>0</v>
      </c>
      <c r="P89" s="6">
        <v>12</v>
      </c>
      <c r="Q89" s="4" t="s">
        <v>56</v>
      </c>
      <c r="R89" s="4">
        <v>0</v>
      </c>
      <c r="S89" s="4">
        <v>18</v>
      </c>
      <c r="T89" s="4">
        <v>0</v>
      </c>
      <c r="U89" s="4">
        <v>0</v>
      </c>
      <c r="V89" s="6">
        <f>IF(ISERROR(VLOOKUP($S$89,'TAR FIN'!$A$1:$O$92,15,0)),0,VLOOKUP($S$89,'TAR FIN'!$A$1:$O$92,15,0))</f>
        <v>18.489999999999998</v>
      </c>
      <c r="W89" s="6">
        <f>IF(ISERROR(VLOOKUP($T$89,'TAR FIN'!$A$1:$O$92,15,0)),0,VLOOKUP($T$89,'TAR FIN'!$A$1:$O$92,15,0))</f>
        <v>0</v>
      </c>
      <c r="X89" s="6">
        <f>IF(ISERROR(VLOOKUP($U$89,'TAR FIN'!$A$1:$O$92,15,0)),0,VLOOKUP($U$89,'TAR FIN'!$A$1:$O$92,15,0))</f>
        <v>0</v>
      </c>
      <c r="Y89" s="6">
        <f ca="1">('TUSD BE'!$AM$14+'TUSD BF'!$AM$14+'TUSD CVA'!$AM$14)*1</f>
        <v>23.643887023397856</v>
      </c>
      <c r="Z89" s="6"/>
      <c r="AA89" s="6"/>
      <c r="AB89" s="6">
        <f t="shared" si="9"/>
        <v>104096.22661229939</v>
      </c>
      <c r="AC89" s="6">
        <f t="shared" si="10"/>
        <v>0</v>
      </c>
      <c r="AD89" s="6">
        <f t="shared" ca="1" si="11"/>
        <v>133111.92112402534</v>
      </c>
      <c r="AE89" s="6">
        <f t="shared" si="12"/>
        <v>0</v>
      </c>
      <c r="AF89" s="4" t="s">
        <v>686</v>
      </c>
    </row>
    <row r="90" spans="1:32" ht="11.25" customHeight="1" x14ac:dyDescent="0.3">
      <c r="A90" s="4" t="s">
        <v>21</v>
      </c>
      <c r="B90" s="4" t="s">
        <v>34</v>
      </c>
      <c r="C90" s="4" t="s">
        <v>35</v>
      </c>
      <c r="D90" s="4" t="s">
        <v>33</v>
      </c>
      <c r="E90" s="4" t="s">
        <v>25</v>
      </c>
      <c r="F90" s="4" t="s">
        <v>55</v>
      </c>
      <c r="G90" s="4" t="s">
        <v>25</v>
      </c>
      <c r="H90" s="4" t="s">
        <v>25</v>
      </c>
      <c r="I90" s="5">
        <v>44531</v>
      </c>
      <c r="J90" s="6">
        <v>11352</v>
      </c>
      <c r="K90" s="6">
        <v>5753.7146567999998</v>
      </c>
      <c r="L90" s="6">
        <v>0</v>
      </c>
      <c r="M90" s="6">
        <v>0</v>
      </c>
      <c r="N90" s="6">
        <v>0</v>
      </c>
      <c r="O90" s="6">
        <v>0</v>
      </c>
      <c r="P90" s="6">
        <v>12</v>
      </c>
      <c r="Q90" s="4" t="s">
        <v>56</v>
      </c>
      <c r="R90" s="4">
        <v>0</v>
      </c>
      <c r="S90" s="4">
        <v>18</v>
      </c>
      <c r="T90" s="4">
        <v>0</v>
      </c>
      <c r="U90" s="4">
        <v>0</v>
      </c>
      <c r="V90" s="6">
        <f>IF(ISERROR(VLOOKUP($S$90,'TAR FIN'!$A$1:$O$92,15,0)),0,VLOOKUP($S$90,'TAR FIN'!$A$1:$O$92,15,0))</f>
        <v>18.489999999999998</v>
      </c>
      <c r="W90" s="6">
        <f>IF(ISERROR(VLOOKUP($T$90,'TAR FIN'!$A$1:$O$92,15,0)),0,VLOOKUP($T$90,'TAR FIN'!$A$1:$O$92,15,0))</f>
        <v>0</v>
      </c>
      <c r="X90" s="6">
        <f>IF(ISERROR(VLOOKUP($U$90,'TAR FIN'!$A$1:$O$92,15,0)),0,VLOOKUP($U$90,'TAR FIN'!$A$1:$O$92,15,0))</f>
        <v>0</v>
      </c>
      <c r="Y90" s="6">
        <f ca="1">('TUSD BE'!$AM$14+'TUSD BF'!$AM$14+'TUSD CVA'!$AM$14)*1</f>
        <v>23.643887023397856</v>
      </c>
      <c r="Z90" s="6"/>
      <c r="AA90" s="6"/>
      <c r="AB90" s="6">
        <f t="shared" si="9"/>
        <v>103512.295995768</v>
      </c>
      <c r="AC90" s="6">
        <f t="shared" si="10"/>
        <v>0</v>
      </c>
      <c r="AD90" s="6">
        <f t="shared" ca="1" si="11"/>
        <v>132365.22617936489</v>
      </c>
      <c r="AE90" s="6">
        <f t="shared" si="12"/>
        <v>0</v>
      </c>
      <c r="AF90" s="4" t="s">
        <v>686</v>
      </c>
    </row>
    <row r="91" spans="1:32" ht="11.25" customHeight="1" x14ac:dyDescent="0.3">
      <c r="A91" s="4" t="s">
        <v>21</v>
      </c>
      <c r="B91" s="4" t="s">
        <v>34</v>
      </c>
      <c r="C91" s="4" t="s">
        <v>35</v>
      </c>
      <c r="D91" s="4" t="s">
        <v>33</v>
      </c>
      <c r="E91" s="4" t="s">
        <v>25</v>
      </c>
      <c r="F91" s="4" t="s">
        <v>55</v>
      </c>
      <c r="G91" s="4" t="s">
        <v>25</v>
      </c>
      <c r="H91" s="4" t="s">
        <v>25</v>
      </c>
      <c r="I91" s="5">
        <v>44562</v>
      </c>
      <c r="J91" s="6">
        <v>11339</v>
      </c>
      <c r="K91" s="6">
        <v>5732.9009979900002</v>
      </c>
      <c r="L91" s="6">
        <v>0</v>
      </c>
      <c r="M91" s="6">
        <v>0</v>
      </c>
      <c r="N91" s="6">
        <v>0</v>
      </c>
      <c r="O91" s="6">
        <v>0</v>
      </c>
      <c r="P91" s="6">
        <v>12</v>
      </c>
      <c r="Q91" s="4" t="s">
        <v>56</v>
      </c>
      <c r="R91" s="4">
        <v>0</v>
      </c>
      <c r="S91" s="4">
        <v>18</v>
      </c>
      <c r="T91" s="4">
        <v>0</v>
      </c>
      <c r="U91" s="4">
        <v>0</v>
      </c>
      <c r="V91" s="6">
        <f>IF(ISERROR(VLOOKUP($S$91,'TAR FIN'!$A$1:$O$92,15,0)),0,VLOOKUP($S$91,'TAR FIN'!$A$1:$O$92,15,0))</f>
        <v>18.489999999999998</v>
      </c>
      <c r="W91" s="6">
        <f>IF(ISERROR(VLOOKUP($T$91,'TAR FIN'!$A$1:$O$92,15,0)),0,VLOOKUP($T$91,'TAR FIN'!$A$1:$O$92,15,0))</f>
        <v>0</v>
      </c>
      <c r="X91" s="6">
        <f>IF(ISERROR(VLOOKUP($U$91,'TAR FIN'!$A$1:$O$92,15,0)),0,VLOOKUP($U$91,'TAR FIN'!$A$1:$O$92,15,0))</f>
        <v>0</v>
      </c>
      <c r="Y91" s="6">
        <f ca="1">('TUSD BE'!$AM$14+'TUSD BF'!$AM$14+'TUSD CVA'!$AM$14)*1</f>
        <v>23.643887023397856</v>
      </c>
      <c r="Z91" s="6"/>
      <c r="AA91" s="6"/>
      <c r="AB91" s="6">
        <f t="shared" si="9"/>
        <v>103656.7705471649</v>
      </c>
      <c r="AC91" s="6">
        <f t="shared" si="10"/>
        <v>0</v>
      </c>
      <c r="AD91" s="6">
        <f t="shared" ca="1" si="11"/>
        <v>132549.97144550789</v>
      </c>
      <c r="AE91" s="6">
        <f t="shared" si="12"/>
        <v>0</v>
      </c>
      <c r="AF91" s="4" t="s">
        <v>686</v>
      </c>
    </row>
    <row r="92" spans="1:32" ht="11.25" customHeight="1" x14ac:dyDescent="0.3">
      <c r="A92" s="4" t="s">
        <v>21</v>
      </c>
      <c r="B92" s="4" t="s">
        <v>34</v>
      </c>
      <c r="C92" s="4" t="s">
        <v>35</v>
      </c>
      <c r="D92" s="4" t="s">
        <v>33</v>
      </c>
      <c r="E92" s="4" t="s">
        <v>25</v>
      </c>
      <c r="F92" s="4" t="s">
        <v>55</v>
      </c>
      <c r="G92" s="4" t="s">
        <v>25</v>
      </c>
      <c r="H92" s="4" t="s">
        <v>25</v>
      </c>
      <c r="I92" s="5">
        <v>44593</v>
      </c>
      <c r="J92" s="6">
        <v>11178</v>
      </c>
      <c r="K92" s="6">
        <v>5654.33194482</v>
      </c>
      <c r="L92" s="6">
        <v>0</v>
      </c>
      <c r="M92" s="6">
        <v>0</v>
      </c>
      <c r="N92" s="6">
        <v>0</v>
      </c>
      <c r="O92" s="6">
        <v>0</v>
      </c>
      <c r="P92" s="6">
        <v>12</v>
      </c>
      <c r="Q92" s="4" t="s">
        <v>56</v>
      </c>
      <c r="R92" s="4">
        <v>0</v>
      </c>
      <c r="S92" s="4">
        <v>18</v>
      </c>
      <c r="T92" s="4">
        <v>0</v>
      </c>
      <c r="U92" s="4">
        <v>0</v>
      </c>
      <c r="V92" s="6">
        <f>IF(ISERROR(VLOOKUP($S$92,'TAR FIN'!$A$1:$O$92,15,0)),0,VLOOKUP($S$92,'TAR FIN'!$A$1:$O$92,15,0))</f>
        <v>18.489999999999998</v>
      </c>
      <c r="W92" s="6">
        <f>IF(ISERROR(VLOOKUP($T$92,'TAR FIN'!$A$1:$O$92,15,0)),0,VLOOKUP($T$92,'TAR FIN'!$A$1:$O$92,15,0))</f>
        <v>0</v>
      </c>
      <c r="X92" s="6">
        <f>IF(ISERROR(VLOOKUP($U$92,'TAR FIN'!$A$1:$O$92,15,0)),0,VLOOKUP($U$92,'TAR FIN'!$A$1:$O$92,15,0))</f>
        <v>0</v>
      </c>
      <c r="Y92" s="6">
        <f ca="1">('TUSD BE'!$AM$14+'TUSD BF'!$AM$14+'TUSD CVA'!$AM$14)*1</f>
        <v>23.643887023397856</v>
      </c>
      <c r="Z92" s="6"/>
      <c r="AA92" s="6"/>
      <c r="AB92" s="6">
        <f t="shared" si="9"/>
        <v>102132.62234027819</v>
      </c>
      <c r="AC92" s="6">
        <f t="shared" si="10"/>
        <v>0</v>
      </c>
      <c r="AD92" s="6">
        <f t="shared" ca="1" si="11"/>
        <v>130600.98345142767</v>
      </c>
      <c r="AE92" s="6">
        <f t="shared" si="12"/>
        <v>0</v>
      </c>
      <c r="AF92" s="4" t="s">
        <v>686</v>
      </c>
    </row>
    <row r="93" spans="1:32" ht="11.25" customHeight="1" x14ac:dyDescent="0.3">
      <c r="A93" s="4" t="s">
        <v>21</v>
      </c>
      <c r="B93" s="4" t="s">
        <v>34</v>
      </c>
      <c r="C93" s="4" t="s">
        <v>35</v>
      </c>
      <c r="D93" s="4" t="s">
        <v>33</v>
      </c>
      <c r="E93" s="4" t="s">
        <v>25</v>
      </c>
      <c r="F93" s="4" t="s">
        <v>55</v>
      </c>
      <c r="G93" s="4" t="s">
        <v>25</v>
      </c>
      <c r="H93" s="4" t="s">
        <v>25</v>
      </c>
      <c r="I93" s="5">
        <v>44621</v>
      </c>
      <c r="J93" s="6">
        <v>11143</v>
      </c>
      <c r="K93" s="6">
        <v>5667.1542977500003</v>
      </c>
      <c r="L93" s="6">
        <v>0</v>
      </c>
      <c r="M93" s="6">
        <v>0</v>
      </c>
      <c r="N93" s="6">
        <v>0</v>
      </c>
      <c r="O93" s="6">
        <v>0</v>
      </c>
      <c r="P93" s="6">
        <v>12</v>
      </c>
      <c r="Q93" s="4" t="s">
        <v>56</v>
      </c>
      <c r="R93" s="4">
        <v>0</v>
      </c>
      <c r="S93" s="4">
        <v>18</v>
      </c>
      <c r="T93" s="4">
        <v>0</v>
      </c>
      <c r="U93" s="4">
        <v>0</v>
      </c>
      <c r="V93" s="6">
        <f>IF(ISERROR(VLOOKUP($S$93,'TAR FIN'!$A$1:$O$92,15,0)),0,VLOOKUP($S$93,'TAR FIN'!$A$1:$O$92,15,0))</f>
        <v>18.489999999999998</v>
      </c>
      <c r="W93" s="6">
        <f>IF(ISERROR(VLOOKUP($T$93,'TAR FIN'!$A$1:$O$92,15,0)),0,VLOOKUP($T$93,'TAR FIN'!$A$1:$O$92,15,0))</f>
        <v>0</v>
      </c>
      <c r="X93" s="6">
        <f>IF(ISERROR(VLOOKUP($U$93,'TAR FIN'!$A$1:$O$92,15,0)),0,VLOOKUP($U$93,'TAR FIN'!$A$1:$O$92,15,0))</f>
        <v>0</v>
      </c>
      <c r="Y93" s="6">
        <f ca="1">('TUSD BE'!$AM$14+'TUSD BF'!$AM$14+'TUSD CVA'!$AM$14)*1</f>
        <v>23.643887023397856</v>
      </c>
      <c r="Z93" s="6"/>
      <c r="AA93" s="6"/>
      <c r="AB93" s="6">
        <f t="shared" si="9"/>
        <v>101248.38703460249</v>
      </c>
      <c r="AC93" s="6">
        <f t="shared" si="10"/>
        <v>0</v>
      </c>
      <c r="AD93" s="6">
        <f t="shared" ca="1" si="11"/>
        <v>129470.27714155769</v>
      </c>
      <c r="AE93" s="6">
        <f t="shared" si="12"/>
        <v>0</v>
      </c>
      <c r="AF93" s="4" t="s">
        <v>686</v>
      </c>
    </row>
    <row r="94" spans="1:32" ht="11.25" customHeight="1" x14ac:dyDescent="0.3">
      <c r="A94" s="4" t="s">
        <v>21</v>
      </c>
      <c r="B94" s="4" t="s">
        <v>34</v>
      </c>
      <c r="C94" s="4" t="s">
        <v>35</v>
      </c>
      <c r="D94" s="4" t="s">
        <v>33</v>
      </c>
      <c r="E94" s="4" t="s">
        <v>25</v>
      </c>
      <c r="F94" s="4" t="s">
        <v>55</v>
      </c>
      <c r="G94" s="4" t="s">
        <v>25</v>
      </c>
      <c r="H94" s="4" t="s">
        <v>25</v>
      </c>
      <c r="I94" s="5">
        <v>44652</v>
      </c>
      <c r="J94" s="6">
        <v>11145</v>
      </c>
      <c r="K94" s="6">
        <v>5626.5137967000001</v>
      </c>
      <c r="L94" s="6">
        <v>0</v>
      </c>
      <c r="M94" s="6">
        <v>0</v>
      </c>
      <c r="N94" s="6">
        <v>0</v>
      </c>
      <c r="O94" s="6">
        <v>0</v>
      </c>
      <c r="P94" s="6">
        <v>12</v>
      </c>
      <c r="Q94" s="4" t="s">
        <v>56</v>
      </c>
      <c r="R94" s="4">
        <v>0</v>
      </c>
      <c r="S94" s="4">
        <v>18</v>
      </c>
      <c r="T94" s="4">
        <v>0</v>
      </c>
      <c r="U94" s="4">
        <v>0</v>
      </c>
      <c r="V94" s="6">
        <f>IF(ISERROR(VLOOKUP($S$94,'TAR FIN'!$A$1:$O$92,15,0)),0,VLOOKUP($S$94,'TAR FIN'!$A$1:$O$92,15,0))</f>
        <v>18.489999999999998</v>
      </c>
      <c r="W94" s="6">
        <f>IF(ISERROR(VLOOKUP($T$94,'TAR FIN'!$A$1:$O$92,15,0)),0,VLOOKUP($T$94,'TAR FIN'!$A$1:$O$92,15,0))</f>
        <v>0</v>
      </c>
      <c r="X94" s="6">
        <f>IF(ISERROR(VLOOKUP($U$94,'TAR FIN'!$A$1:$O$92,15,0)),0,VLOOKUP($U$94,'TAR FIN'!$A$1:$O$92,15,0))</f>
        <v>0</v>
      </c>
      <c r="Y94" s="6">
        <f ca="1">('TUSD BE'!$AM$14+'TUSD BF'!$AM$14+'TUSD CVA'!$AM$14)*1</f>
        <v>23.643887023397856</v>
      </c>
      <c r="Z94" s="6"/>
      <c r="AA94" s="6"/>
      <c r="AB94" s="6">
        <f t="shared" si="9"/>
        <v>102036.809899017</v>
      </c>
      <c r="AC94" s="6">
        <f t="shared" si="10"/>
        <v>0</v>
      </c>
      <c r="AD94" s="6">
        <f t="shared" ca="1" si="11"/>
        <v>130478.46433100497</v>
      </c>
      <c r="AE94" s="6">
        <f t="shared" si="12"/>
        <v>0</v>
      </c>
      <c r="AF94" s="4" t="s">
        <v>686</v>
      </c>
    </row>
    <row r="95" spans="1:32" ht="11.25" customHeight="1" x14ac:dyDescent="0.3">
      <c r="A95" s="4" t="s">
        <v>21</v>
      </c>
      <c r="B95" s="4" t="s">
        <v>34</v>
      </c>
      <c r="C95" s="4" t="s">
        <v>35</v>
      </c>
      <c r="D95" s="4" t="s">
        <v>33</v>
      </c>
      <c r="E95" s="4" t="s">
        <v>25</v>
      </c>
      <c r="F95" s="4" t="s">
        <v>55</v>
      </c>
      <c r="G95" s="4" t="s">
        <v>25</v>
      </c>
      <c r="H95" s="4" t="s">
        <v>25</v>
      </c>
      <c r="I95" s="5">
        <v>44682</v>
      </c>
      <c r="J95" s="6">
        <v>11192</v>
      </c>
      <c r="K95" s="6">
        <v>5663.6857464799996</v>
      </c>
      <c r="L95" s="6">
        <v>0</v>
      </c>
      <c r="M95" s="6">
        <v>0</v>
      </c>
      <c r="N95" s="6">
        <v>0</v>
      </c>
      <c r="O95" s="6">
        <v>0</v>
      </c>
      <c r="P95" s="6">
        <v>12</v>
      </c>
      <c r="Q95" s="4" t="s">
        <v>56</v>
      </c>
      <c r="R95" s="4">
        <v>0</v>
      </c>
      <c r="S95" s="4">
        <v>18</v>
      </c>
      <c r="T95" s="4">
        <v>0</v>
      </c>
      <c r="U95" s="4">
        <v>0</v>
      </c>
      <c r="V95" s="6">
        <f>IF(ISERROR(VLOOKUP($S$95,'TAR FIN'!$A$1:$O$92,15,0)),0,VLOOKUP($S$95,'TAR FIN'!$A$1:$O$92,15,0))</f>
        <v>18.489999999999998</v>
      </c>
      <c r="W95" s="6">
        <f>IF(ISERROR(VLOOKUP($T$95,'TAR FIN'!$A$1:$O$92,15,0)),0,VLOOKUP($T$95,'TAR FIN'!$A$1:$O$92,15,0))</f>
        <v>0</v>
      </c>
      <c r="X95" s="6">
        <f>IF(ISERROR(VLOOKUP($U$95,'TAR FIN'!$A$1:$O$92,15,0)),0,VLOOKUP($U$95,'TAR FIN'!$A$1:$O$92,15,0))</f>
        <v>0</v>
      </c>
      <c r="Y95" s="6">
        <f ca="1">('TUSD BE'!$AM$14+'TUSD BF'!$AM$14+'TUSD CVA'!$AM$14)*1</f>
        <v>23.643887023397856</v>
      </c>
      <c r="Z95" s="6"/>
      <c r="AA95" s="6"/>
      <c r="AB95" s="6">
        <f t="shared" si="9"/>
        <v>102218.5305475848</v>
      </c>
      <c r="AC95" s="6">
        <f t="shared" si="10"/>
        <v>0</v>
      </c>
      <c r="AD95" s="6">
        <f t="shared" ca="1" si="11"/>
        <v>130710.83764006694</v>
      </c>
      <c r="AE95" s="6">
        <f t="shared" si="12"/>
        <v>0</v>
      </c>
      <c r="AF95" s="4" t="s">
        <v>686</v>
      </c>
    </row>
    <row r="96" spans="1:32" ht="11.25" customHeight="1" x14ac:dyDescent="0.3">
      <c r="A96" s="4" t="s">
        <v>21</v>
      </c>
      <c r="B96" s="4" t="s">
        <v>34</v>
      </c>
      <c r="C96" s="4" t="s">
        <v>35</v>
      </c>
      <c r="D96" s="4" t="s">
        <v>33</v>
      </c>
      <c r="E96" s="4" t="s">
        <v>25</v>
      </c>
      <c r="F96" s="4" t="s">
        <v>55</v>
      </c>
      <c r="G96" s="4" t="s">
        <v>25</v>
      </c>
      <c r="H96" s="4" t="s">
        <v>25</v>
      </c>
      <c r="I96" s="5">
        <v>44713</v>
      </c>
      <c r="J96" s="6">
        <v>11135</v>
      </c>
      <c r="K96" s="6">
        <v>5673.2455318000002</v>
      </c>
      <c r="L96" s="6">
        <v>0</v>
      </c>
      <c r="M96" s="6">
        <v>0</v>
      </c>
      <c r="N96" s="6">
        <v>0</v>
      </c>
      <c r="O96" s="6">
        <v>0</v>
      </c>
      <c r="P96" s="6">
        <v>12</v>
      </c>
      <c r="Q96" s="4" t="s">
        <v>56</v>
      </c>
      <c r="R96" s="4">
        <v>0</v>
      </c>
      <c r="S96" s="4">
        <v>18</v>
      </c>
      <c r="T96" s="4">
        <v>0</v>
      </c>
      <c r="U96" s="4">
        <v>0</v>
      </c>
      <c r="V96" s="6">
        <f>IF(ISERROR(VLOOKUP($S$96,'TAR FIN'!$A$1:$O$92,15,0)),0,VLOOKUP($S$96,'TAR FIN'!$A$1:$O$92,15,0))</f>
        <v>18.489999999999998</v>
      </c>
      <c r="W96" s="6">
        <f>IF(ISERROR(VLOOKUP($T$96,'TAR FIN'!$A$1:$O$92,15,0)),0,VLOOKUP($T$96,'TAR FIN'!$A$1:$O$92,15,0))</f>
        <v>0</v>
      </c>
      <c r="X96" s="6">
        <f>IF(ISERROR(VLOOKUP($U$96,'TAR FIN'!$A$1:$O$92,15,0)),0,VLOOKUP($U$96,'TAR FIN'!$A$1:$O$92,15,0))</f>
        <v>0</v>
      </c>
      <c r="Y96" s="6">
        <f ca="1">('TUSD BE'!$AM$14+'TUSD BF'!$AM$14+'TUSD CVA'!$AM$14)*1</f>
        <v>23.643887023397856</v>
      </c>
      <c r="Z96" s="6"/>
      <c r="AA96" s="6"/>
      <c r="AB96" s="6">
        <f t="shared" si="9"/>
        <v>100987.84011701799</v>
      </c>
      <c r="AC96" s="6">
        <f t="shared" si="10"/>
        <v>0</v>
      </c>
      <c r="AD96" s="6">
        <f t="shared" ca="1" si="11"/>
        <v>129137.10559565923</v>
      </c>
      <c r="AE96" s="6">
        <f t="shared" si="12"/>
        <v>0</v>
      </c>
      <c r="AF96" s="4" t="s">
        <v>686</v>
      </c>
    </row>
    <row r="97" spans="1:32" ht="11.25" customHeight="1" x14ac:dyDescent="0.3">
      <c r="A97" s="4" t="s">
        <v>21</v>
      </c>
      <c r="B97" s="4" t="s">
        <v>34</v>
      </c>
      <c r="C97" s="4" t="s">
        <v>35</v>
      </c>
      <c r="D97" s="4" t="s">
        <v>33</v>
      </c>
      <c r="E97" s="4" t="s">
        <v>25</v>
      </c>
      <c r="F97" s="4" t="s">
        <v>55</v>
      </c>
      <c r="G97" s="4" t="s">
        <v>25</v>
      </c>
      <c r="H97" s="4" t="s">
        <v>25</v>
      </c>
      <c r="I97" s="5">
        <v>44743</v>
      </c>
      <c r="J97" s="6">
        <v>11165.48</v>
      </c>
      <c r="K97" s="6">
        <v>5624.0284935276004</v>
      </c>
      <c r="L97" s="6">
        <v>0</v>
      </c>
      <c r="M97" s="6">
        <v>0</v>
      </c>
      <c r="N97" s="6">
        <v>0</v>
      </c>
      <c r="O97" s="6">
        <v>0</v>
      </c>
      <c r="P97" s="6">
        <v>12</v>
      </c>
      <c r="Q97" s="4" t="s">
        <v>56</v>
      </c>
      <c r="R97" s="4">
        <v>0</v>
      </c>
      <c r="S97" s="4">
        <v>18</v>
      </c>
      <c r="T97" s="4">
        <v>0</v>
      </c>
      <c r="U97" s="4">
        <v>0</v>
      </c>
      <c r="V97" s="6">
        <f>IF(ISERROR(VLOOKUP($S$97,'TAR FIN'!$A$1:$O$92,15,0)),0,VLOOKUP($S$97,'TAR FIN'!$A$1:$O$92,15,0))</f>
        <v>18.489999999999998</v>
      </c>
      <c r="W97" s="6">
        <f>IF(ISERROR(VLOOKUP($T$97,'TAR FIN'!$A$1:$O$92,15,0)),0,VLOOKUP($T$97,'TAR FIN'!$A$1:$O$92,15,0))</f>
        <v>0</v>
      </c>
      <c r="X97" s="6">
        <f>IF(ISERROR(VLOOKUP($U$97,'TAR FIN'!$A$1:$O$92,15,0)),0,VLOOKUP($U$97,'TAR FIN'!$A$1:$O$92,15,0))</f>
        <v>0</v>
      </c>
      <c r="Y97" s="6">
        <f ca="1">('TUSD BE'!$AM$14+'TUSD BF'!$AM$14+'TUSD CVA'!$AM$14)*1</f>
        <v>23.643887023397856</v>
      </c>
      <c r="Z97" s="6"/>
      <c r="AA97" s="6"/>
      <c r="AB97" s="6">
        <f t="shared" si="9"/>
        <v>102461.43835467465</v>
      </c>
      <c r="AC97" s="6">
        <f t="shared" si="10"/>
        <v>0</v>
      </c>
      <c r="AD97" s="6">
        <f t="shared" ca="1" si="11"/>
        <v>131021.45336467125</v>
      </c>
      <c r="AE97" s="6">
        <f t="shared" si="12"/>
        <v>0</v>
      </c>
      <c r="AF97" s="4" t="s">
        <v>686</v>
      </c>
    </row>
    <row r="98" spans="1:32" ht="11.25" customHeight="1" x14ac:dyDescent="0.3">
      <c r="A98" s="4" t="s">
        <v>21</v>
      </c>
      <c r="B98" s="4" t="s">
        <v>34</v>
      </c>
      <c r="C98" s="4" t="s">
        <v>35</v>
      </c>
      <c r="D98" s="4" t="s">
        <v>33</v>
      </c>
      <c r="E98" s="4" t="s">
        <v>25</v>
      </c>
      <c r="F98" s="4" t="s">
        <v>55</v>
      </c>
      <c r="G98" s="4" t="s">
        <v>25</v>
      </c>
      <c r="H98" s="4" t="s">
        <v>36</v>
      </c>
      <c r="I98" s="5">
        <v>44409</v>
      </c>
      <c r="J98" s="6">
        <v>0</v>
      </c>
      <c r="K98" s="6">
        <v>0</v>
      </c>
      <c r="L98" s="6">
        <v>321.35113999999999</v>
      </c>
      <c r="M98" s="6">
        <v>162.49413787690801</v>
      </c>
      <c r="N98" s="6">
        <v>0</v>
      </c>
      <c r="O98" s="6">
        <v>0</v>
      </c>
      <c r="P98" s="6">
        <v>0</v>
      </c>
      <c r="Q98" s="4" t="s">
        <v>56</v>
      </c>
      <c r="R98" s="4">
        <v>0</v>
      </c>
      <c r="S98" s="4">
        <v>0</v>
      </c>
      <c r="T98" s="4">
        <v>21</v>
      </c>
      <c r="U98" s="4">
        <v>0</v>
      </c>
      <c r="V98" s="6">
        <f>IF(ISERROR(VLOOKUP($S$98,'TAR FIN'!$A$1:$O$92,15,0)),0,VLOOKUP($S$98,'TAR FIN'!$A$1:$O$92,15,0))</f>
        <v>0</v>
      </c>
      <c r="W98" s="6">
        <f>IF(ISERROR(VLOOKUP($T$98,'TAR FIN'!$A$1:$O$92,15,0)),0,VLOOKUP($T$98,'TAR FIN'!$A$1:$O$92,15,0))</f>
        <v>789.62</v>
      </c>
      <c r="X98" s="6">
        <f>IF(ISERROR(VLOOKUP($U$98,'TAR FIN'!$A$1:$O$92,15,0)),0,VLOOKUP($U$98,'TAR FIN'!$A$1:$O$92,15,0))</f>
        <v>0</v>
      </c>
      <c r="Y98" s="6"/>
      <c r="Z98" s="6">
        <f ca="1">('TUSD BE'!$AM$15+'TUSD BF'!$AM$15+'TUSD CVA'!$AM$15)*1</f>
        <v>1080.2905876373179</v>
      </c>
      <c r="AA98" s="6"/>
      <c r="AB98" s="6">
        <f t="shared" si="9"/>
        <v>0</v>
      </c>
      <c r="AC98" s="6">
        <f t="shared" ref="AC98:AC110" si="13">(L98-M98)*W98+(N98-O98)*X98</f>
        <v>125436.66601643589</v>
      </c>
      <c r="AD98" s="6">
        <f t="shared" si="11"/>
        <v>0</v>
      </c>
      <c r="AE98" s="6">
        <f t="shared" ref="AE98:AE110" ca="1" si="14">(L98-M98)*Z98+(N98-O98)*AA98</f>
        <v>171611.72417385768</v>
      </c>
      <c r="AF98" s="4" t="s">
        <v>686</v>
      </c>
    </row>
    <row r="99" spans="1:32" ht="11.25" customHeight="1" x14ac:dyDescent="0.3">
      <c r="A99" s="4" t="s">
        <v>21</v>
      </c>
      <c r="B99" s="4" t="s">
        <v>34</v>
      </c>
      <c r="C99" s="4" t="s">
        <v>35</v>
      </c>
      <c r="D99" s="4" t="s">
        <v>33</v>
      </c>
      <c r="E99" s="4" t="s">
        <v>25</v>
      </c>
      <c r="F99" s="4" t="s">
        <v>55</v>
      </c>
      <c r="G99" s="4" t="s">
        <v>25</v>
      </c>
      <c r="H99" s="4" t="s">
        <v>36</v>
      </c>
      <c r="I99" s="5">
        <v>44440</v>
      </c>
      <c r="J99" s="6">
        <v>0</v>
      </c>
      <c r="K99" s="6">
        <v>0</v>
      </c>
      <c r="L99" s="6">
        <v>283.25900000000001</v>
      </c>
      <c r="M99" s="6">
        <v>142.74908403008999</v>
      </c>
      <c r="N99" s="6">
        <v>0</v>
      </c>
      <c r="O99" s="6">
        <v>0</v>
      </c>
      <c r="P99" s="6">
        <v>0</v>
      </c>
      <c r="Q99" s="4" t="s">
        <v>56</v>
      </c>
      <c r="R99" s="4">
        <v>0</v>
      </c>
      <c r="S99" s="4">
        <v>0</v>
      </c>
      <c r="T99" s="4">
        <v>21</v>
      </c>
      <c r="U99" s="4">
        <v>0</v>
      </c>
      <c r="V99" s="6">
        <f>IF(ISERROR(VLOOKUP($S$99,'TAR FIN'!$A$1:$O$92,15,0)),0,VLOOKUP($S$99,'TAR FIN'!$A$1:$O$92,15,0))</f>
        <v>0</v>
      </c>
      <c r="W99" s="6">
        <f>IF(ISERROR(VLOOKUP($T$99,'TAR FIN'!$A$1:$O$92,15,0)),0,VLOOKUP($T$99,'TAR FIN'!$A$1:$O$92,15,0))</f>
        <v>789.62</v>
      </c>
      <c r="X99" s="6">
        <f>IF(ISERROR(VLOOKUP($U$99,'TAR FIN'!$A$1:$O$92,15,0)),0,VLOOKUP($U$99,'TAR FIN'!$A$1:$O$92,15,0))</f>
        <v>0</v>
      </c>
      <c r="Y99" s="6"/>
      <c r="Z99" s="6">
        <f ca="1">('TUSD BE'!$AM$15+'TUSD BF'!$AM$15+'TUSD CVA'!$AM$15)*1</f>
        <v>1080.2905876373179</v>
      </c>
      <c r="AA99" s="6"/>
      <c r="AB99" s="6">
        <f t="shared" si="9"/>
        <v>0</v>
      </c>
      <c r="AC99" s="6">
        <f t="shared" si="13"/>
        <v>110949.43984816036</v>
      </c>
      <c r="AD99" s="6">
        <f t="shared" si="11"/>
        <v>0</v>
      </c>
      <c r="AE99" s="6">
        <f t="shared" ca="1" si="14"/>
        <v>151791.53969200427</v>
      </c>
      <c r="AF99" s="4" t="s">
        <v>686</v>
      </c>
    </row>
    <row r="100" spans="1:32" ht="11.25" customHeight="1" x14ac:dyDescent="0.3">
      <c r="A100" s="4" t="s">
        <v>21</v>
      </c>
      <c r="B100" s="4" t="s">
        <v>34</v>
      </c>
      <c r="C100" s="4" t="s">
        <v>35</v>
      </c>
      <c r="D100" s="4" t="s">
        <v>33</v>
      </c>
      <c r="E100" s="4" t="s">
        <v>25</v>
      </c>
      <c r="F100" s="4" t="s">
        <v>55</v>
      </c>
      <c r="G100" s="4" t="s">
        <v>25</v>
      </c>
      <c r="H100" s="4" t="s">
        <v>36</v>
      </c>
      <c r="I100" s="5">
        <v>44470</v>
      </c>
      <c r="J100" s="6">
        <v>0</v>
      </c>
      <c r="K100" s="6">
        <v>0</v>
      </c>
      <c r="L100" s="6">
        <v>304.5573</v>
      </c>
      <c r="M100" s="6">
        <v>153.48364313974199</v>
      </c>
      <c r="N100" s="6">
        <v>0</v>
      </c>
      <c r="O100" s="6">
        <v>0</v>
      </c>
      <c r="P100" s="6">
        <v>0</v>
      </c>
      <c r="Q100" s="4" t="s">
        <v>56</v>
      </c>
      <c r="R100" s="4">
        <v>0</v>
      </c>
      <c r="S100" s="4">
        <v>0</v>
      </c>
      <c r="T100" s="4">
        <v>21</v>
      </c>
      <c r="U100" s="4">
        <v>0</v>
      </c>
      <c r="V100" s="6">
        <f>IF(ISERROR(VLOOKUP($S$100,'TAR FIN'!$A$1:$O$92,15,0)),0,VLOOKUP($S$100,'TAR FIN'!$A$1:$O$92,15,0))</f>
        <v>0</v>
      </c>
      <c r="W100" s="6">
        <f>IF(ISERROR(VLOOKUP($T$100,'TAR FIN'!$A$1:$O$92,15,0)),0,VLOOKUP($T$100,'TAR FIN'!$A$1:$O$92,15,0))</f>
        <v>789.62</v>
      </c>
      <c r="X100" s="6">
        <f>IF(ISERROR(VLOOKUP($U$100,'TAR FIN'!$A$1:$O$92,15,0)),0,VLOOKUP($U$100,'TAR FIN'!$A$1:$O$92,15,0))</f>
        <v>0</v>
      </c>
      <c r="Y100" s="6"/>
      <c r="Z100" s="6">
        <f ca="1">('TUSD BE'!$AM$15+'TUSD BF'!$AM$15+'TUSD CVA'!$AM$15)*1</f>
        <v>1080.2905876373179</v>
      </c>
      <c r="AA100" s="6"/>
      <c r="AB100" s="6">
        <f t="shared" si="9"/>
        <v>0</v>
      </c>
      <c r="AC100" s="6">
        <f t="shared" si="13"/>
        <v>119290.78092999694</v>
      </c>
      <c r="AD100" s="6">
        <f t="shared" si="11"/>
        <v>0</v>
      </c>
      <c r="AE100" s="6">
        <f t="shared" ca="1" si="14"/>
        <v>163203.44954608666</v>
      </c>
      <c r="AF100" s="4" t="s">
        <v>686</v>
      </c>
    </row>
    <row r="101" spans="1:32" ht="11.25" customHeight="1" x14ac:dyDescent="0.3">
      <c r="A101" s="4" t="s">
        <v>21</v>
      </c>
      <c r="B101" s="4" t="s">
        <v>34</v>
      </c>
      <c r="C101" s="4" t="s">
        <v>35</v>
      </c>
      <c r="D101" s="4" t="s">
        <v>33</v>
      </c>
      <c r="E101" s="4" t="s">
        <v>25</v>
      </c>
      <c r="F101" s="4" t="s">
        <v>55</v>
      </c>
      <c r="G101" s="4" t="s">
        <v>25</v>
      </c>
      <c r="H101" s="4" t="s">
        <v>36</v>
      </c>
      <c r="I101" s="5">
        <v>44501</v>
      </c>
      <c r="J101" s="6">
        <v>0</v>
      </c>
      <c r="K101" s="6">
        <v>0</v>
      </c>
      <c r="L101" s="6">
        <v>286.74200000000002</v>
      </c>
      <c r="M101" s="6">
        <v>145.64622895191999</v>
      </c>
      <c r="N101" s="6">
        <v>0</v>
      </c>
      <c r="O101" s="6">
        <v>0</v>
      </c>
      <c r="P101" s="6">
        <v>0</v>
      </c>
      <c r="Q101" s="4" t="s">
        <v>56</v>
      </c>
      <c r="R101" s="4">
        <v>0</v>
      </c>
      <c r="S101" s="4">
        <v>0</v>
      </c>
      <c r="T101" s="4">
        <v>21</v>
      </c>
      <c r="U101" s="4">
        <v>0</v>
      </c>
      <c r="V101" s="6">
        <f>IF(ISERROR(VLOOKUP($S$101,'TAR FIN'!$A$1:$O$92,15,0)),0,VLOOKUP($S$101,'TAR FIN'!$A$1:$O$92,15,0))</f>
        <v>0</v>
      </c>
      <c r="W101" s="6">
        <f>IF(ISERROR(VLOOKUP($T$101,'TAR FIN'!$A$1:$O$92,15,0)),0,VLOOKUP($T$101,'TAR FIN'!$A$1:$O$92,15,0))</f>
        <v>789.62</v>
      </c>
      <c r="X101" s="6">
        <f>IF(ISERROR(VLOOKUP($U$101,'TAR FIN'!$A$1:$O$92,15,0)),0,VLOOKUP($U$101,'TAR FIN'!$A$1:$O$92,15,0))</f>
        <v>0</v>
      </c>
      <c r="Y101" s="6"/>
      <c r="Z101" s="6">
        <f ca="1">('TUSD BE'!$AM$15+'TUSD BF'!$AM$15+'TUSD CVA'!$AM$15)*1</f>
        <v>1080.2905876373179</v>
      </c>
      <c r="AA101" s="6"/>
      <c r="AB101" s="6">
        <f t="shared" si="9"/>
        <v>0</v>
      </c>
      <c r="AC101" s="6">
        <f t="shared" si="13"/>
        <v>111412.04273498495</v>
      </c>
      <c r="AD101" s="6">
        <f t="shared" si="11"/>
        <v>0</v>
      </c>
      <c r="AE101" s="6">
        <f t="shared" ca="1" si="14"/>
        <v>152424.43341867084</v>
      </c>
      <c r="AF101" s="4" t="s">
        <v>686</v>
      </c>
    </row>
    <row r="102" spans="1:32" ht="11.25" customHeight="1" x14ac:dyDescent="0.3">
      <c r="A102" s="4" t="s">
        <v>21</v>
      </c>
      <c r="B102" s="4" t="s">
        <v>34</v>
      </c>
      <c r="C102" s="4" t="s">
        <v>35</v>
      </c>
      <c r="D102" s="4" t="s">
        <v>33</v>
      </c>
      <c r="E102" s="4" t="s">
        <v>25</v>
      </c>
      <c r="F102" s="4" t="s">
        <v>55</v>
      </c>
      <c r="G102" s="4" t="s">
        <v>25</v>
      </c>
      <c r="H102" s="4" t="s">
        <v>36</v>
      </c>
      <c r="I102" s="5">
        <v>44531</v>
      </c>
      <c r="J102" s="6">
        <v>0</v>
      </c>
      <c r="K102" s="6">
        <v>0</v>
      </c>
      <c r="L102" s="6">
        <v>248.25200000000001</v>
      </c>
      <c r="M102" s="6">
        <v>125.5233980954</v>
      </c>
      <c r="N102" s="6">
        <v>0</v>
      </c>
      <c r="O102" s="6">
        <v>0</v>
      </c>
      <c r="P102" s="6">
        <v>0</v>
      </c>
      <c r="Q102" s="4" t="s">
        <v>56</v>
      </c>
      <c r="R102" s="4">
        <v>0</v>
      </c>
      <c r="S102" s="4">
        <v>0</v>
      </c>
      <c r="T102" s="4">
        <v>21</v>
      </c>
      <c r="U102" s="4">
        <v>0</v>
      </c>
      <c r="V102" s="6">
        <f>IF(ISERROR(VLOOKUP($S$102,'TAR FIN'!$A$1:$O$92,15,0)),0,VLOOKUP($S$102,'TAR FIN'!$A$1:$O$92,15,0))</f>
        <v>0</v>
      </c>
      <c r="W102" s="6">
        <f>IF(ISERROR(VLOOKUP($T$102,'TAR FIN'!$A$1:$O$92,15,0)),0,VLOOKUP($T$102,'TAR FIN'!$A$1:$O$92,15,0))</f>
        <v>789.62</v>
      </c>
      <c r="X102" s="6">
        <f>IF(ISERROR(VLOOKUP($U$102,'TAR FIN'!$A$1:$O$92,15,0)),0,VLOOKUP($U$102,'TAR FIN'!$A$1:$O$92,15,0))</f>
        <v>0</v>
      </c>
      <c r="Y102" s="6"/>
      <c r="Z102" s="6">
        <f ca="1">('TUSD BE'!$AM$15+'TUSD BF'!$AM$15+'TUSD CVA'!$AM$15)*1</f>
        <v>1080.2905876373179</v>
      </c>
      <c r="AA102" s="6"/>
      <c r="AB102" s="6">
        <f t="shared" si="9"/>
        <v>0</v>
      </c>
      <c r="AC102" s="6">
        <f t="shared" si="13"/>
        <v>96908.958635910269</v>
      </c>
      <c r="AD102" s="6">
        <f t="shared" si="11"/>
        <v>0</v>
      </c>
      <c r="AE102" s="6">
        <f t="shared" ca="1" si="14"/>
        <v>132582.5534714268</v>
      </c>
      <c r="AF102" s="4" t="s">
        <v>686</v>
      </c>
    </row>
    <row r="103" spans="1:32" ht="11.25" customHeight="1" x14ac:dyDescent="0.3">
      <c r="A103" s="4" t="s">
        <v>21</v>
      </c>
      <c r="B103" s="4" t="s">
        <v>34</v>
      </c>
      <c r="C103" s="4" t="s">
        <v>35</v>
      </c>
      <c r="D103" s="4" t="s">
        <v>33</v>
      </c>
      <c r="E103" s="4" t="s">
        <v>25</v>
      </c>
      <c r="F103" s="4" t="s">
        <v>55</v>
      </c>
      <c r="G103" s="4" t="s">
        <v>25</v>
      </c>
      <c r="H103" s="4" t="s">
        <v>36</v>
      </c>
      <c r="I103" s="5">
        <v>44562</v>
      </c>
      <c r="J103" s="6">
        <v>0</v>
      </c>
      <c r="K103" s="6">
        <v>0</v>
      </c>
      <c r="L103" s="6">
        <v>230.46899999999999</v>
      </c>
      <c r="M103" s="6">
        <v>116.43120336843</v>
      </c>
      <c r="N103" s="6">
        <v>0</v>
      </c>
      <c r="O103" s="6">
        <v>0</v>
      </c>
      <c r="P103" s="6">
        <v>0</v>
      </c>
      <c r="Q103" s="4" t="s">
        <v>56</v>
      </c>
      <c r="R103" s="4">
        <v>0</v>
      </c>
      <c r="S103" s="4">
        <v>0</v>
      </c>
      <c r="T103" s="4">
        <v>21</v>
      </c>
      <c r="U103" s="4">
        <v>0</v>
      </c>
      <c r="V103" s="6">
        <f>IF(ISERROR(VLOOKUP($S$103,'TAR FIN'!$A$1:$O$92,15,0)),0,VLOOKUP($S$103,'TAR FIN'!$A$1:$O$92,15,0))</f>
        <v>0</v>
      </c>
      <c r="W103" s="6">
        <f>IF(ISERROR(VLOOKUP($T$103,'TAR FIN'!$A$1:$O$92,15,0)),0,VLOOKUP($T$103,'TAR FIN'!$A$1:$O$92,15,0))</f>
        <v>789.62</v>
      </c>
      <c r="X103" s="6">
        <f>IF(ISERROR(VLOOKUP($U$103,'TAR FIN'!$A$1:$O$92,15,0)),0,VLOOKUP($U$103,'TAR FIN'!$A$1:$O$92,15,0))</f>
        <v>0</v>
      </c>
      <c r="Y103" s="6"/>
      <c r="Z103" s="6">
        <f ca="1">('TUSD BE'!$AM$15+'TUSD BF'!$AM$15+'TUSD CVA'!$AM$15)*1</f>
        <v>1080.2905876373179</v>
      </c>
      <c r="AA103" s="6"/>
      <c r="AB103" s="6">
        <f t="shared" si="9"/>
        <v>0</v>
      </c>
      <c r="AC103" s="6">
        <f t="shared" si="13"/>
        <v>90046.524976220302</v>
      </c>
      <c r="AD103" s="6">
        <f t="shared" si="11"/>
        <v>0</v>
      </c>
      <c r="AE103" s="6">
        <f t="shared" ca="1" si="14"/>
        <v>123193.9583359837</v>
      </c>
      <c r="AF103" s="4" t="s">
        <v>686</v>
      </c>
    </row>
    <row r="104" spans="1:32" ht="11.25" customHeight="1" x14ac:dyDescent="0.3">
      <c r="A104" s="4" t="s">
        <v>21</v>
      </c>
      <c r="B104" s="4" t="s">
        <v>34</v>
      </c>
      <c r="C104" s="4" t="s">
        <v>35</v>
      </c>
      <c r="D104" s="4" t="s">
        <v>33</v>
      </c>
      <c r="E104" s="4" t="s">
        <v>25</v>
      </c>
      <c r="F104" s="4" t="s">
        <v>55</v>
      </c>
      <c r="G104" s="4" t="s">
        <v>25</v>
      </c>
      <c r="H104" s="4" t="s">
        <v>36</v>
      </c>
      <c r="I104" s="5">
        <v>44593</v>
      </c>
      <c r="J104" s="6">
        <v>0</v>
      </c>
      <c r="K104" s="6">
        <v>0</v>
      </c>
      <c r="L104" s="6">
        <v>228.01300000000001</v>
      </c>
      <c r="M104" s="6">
        <v>115.24984120822</v>
      </c>
      <c r="N104" s="6">
        <v>0</v>
      </c>
      <c r="O104" s="6">
        <v>0</v>
      </c>
      <c r="P104" s="6">
        <v>0</v>
      </c>
      <c r="Q104" s="4" t="s">
        <v>56</v>
      </c>
      <c r="R104" s="4">
        <v>0</v>
      </c>
      <c r="S104" s="4">
        <v>0</v>
      </c>
      <c r="T104" s="4">
        <v>21</v>
      </c>
      <c r="U104" s="4">
        <v>0</v>
      </c>
      <c r="V104" s="6">
        <f>IF(ISERROR(VLOOKUP($S$104,'TAR FIN'!$A$1:$O$92,15,0)),0,VLOOKUP($S$104,'TAR FIN'!$A$1:$O$92,15,0))</f>
        <v>0</v>
      </c>
      <c r="W104" s="6">
        <f>IF(ISERROR(VLOOKUP($T$104,'TAR FIN'!$A$1:$O$92,15,0)),0,VLOOKUP($T$104,'TAR FIN'!$A$1:$O$92,15,0))</f>
        <v>789.62</v>
      </c>
      <c r="X104" s="6">
        <f>IF(ISERROR(VLOOKUP($U$104,'TAR FIN'!$A$1:$O$92,15,0)),0,VLOOKUP($U$104,'TAR FIN'!$A$1:$O$92,15,0))</f>
        <v>0</v>
      </c>
      <c r="Y104" s="6"/>
      <c r="Z104" s="6">
        <f ca="1">('TUSD BE'!$AM$15+'TUSD BF'!$AM$15+'TUSD CVA'!$AM$15)*1</f>
        <v>1080.2905876373179</v>
      </c>
      <c r="AA104" s="6"/>
      <c r="AB104" s="6">
        <f t="shared" si="9"/>
        <v>0</v>
      </c>
      <c r="AC104" s="6">
        <f t="shared" si="13"/>
        <v>89040.04544516532</v>
      </c>
      <c r="AD104" s="6">
        <f t="shared" si="11"/>
        <v>0</v>
      </c>
      <c r="AE104" s="6">
        <f t="shared" ca="1" si="14"/>
        <v>121816.9790750122</v>
      </c>
      <c r="AF104" s="4" t="s">
        <v>686</v>
      </c>
    </row>
    <row r="105" spans="1:32" ht="11.25" customHeight="1" x14ac:dyDescent="0.3">
      <c r="A105" s="4" t="s">
        <v>21</v>
      </c>
      <c r="B105" s="4" t="s">
        <v>34</v>
      </c>
      <c r="C105" s="4" t="s">
        <v>35</v>
      </c>
      <c r="D105" s="4" t="s">
        <v>33</v>
      </c>
      <c r="E105" s="4" t="s">
        <v>25</v>
      </c>
      <c r="F105" s="4" t="s">
        <v>55</v>
      </c>
      <c r="G105" s="4" t="s">
        <v>25</v>
      </c>
      <c r="H105" s="4" t="s">
        <v>36</v>
      </c>
      <c r="I105" s="5">
        <v>44621</v>
      </c>
      <c r="J105" s="6">
        <v>0</v>
      </c>
      <c r="K105" s="6">
        <v>0</v>
      </c>
      <c r="L105" s="6">
        <v>249.446</v>
      </c>
      <c r="M105" s="6">
        <v>126.737027004</v>
      </c>
      <c r="N105" s="6">
        <v>0</v>
      </c>
      <c r="O105" s="6">
        <v>0</v>
      </c>
      <c r="P105" s="6">
        <v>0</v>
      </c>
      <c r="Q105" s="4" t="s">
        <v>56</v>
      </c>
      <c r="R105" s="4">
        <v>0</v>
      </c>
      <c r="S105" s="4">
        <v>0</v>
      </c>
      <c r="T105" s="4">
        <v>21</v>
      </c>
      <c r="U105" s="4">
        <v>0</v>
      </c>
      <c r="V105" s="6">
        <f>IF(ISERROR(VLOOKUP($S$105,'TAR FIN'!$A$1:$O$92,15,0)),0,VLOOKUP($S$105,'TAR FIN'!$A$1:$O$92,15,0))</f>
        <v>0</v>
      </c>
      <c r="W105" s="6">
        <f>IF(ISERROR(VLOOKUP($T$105,'TAR FIN'!$A$1:$O$92,15,0)),0,VLOOKUP($T$105,'TAR FIN'!$A$1:$O$92,15,0))</f>
        <v>789.62</v>
      </c>
      <c r="X105" s="6">
        <f>IF(ISERROR(VLOOKUP($U$105,'TAR FIN'!$A$1:$O$92,15,0)),0,VLOOKUP($U$105,'TAR FIN'!$A$1:$O$92,15,0))</f>
        <v>0</v>
      </c>
      <c r="Y105" s="6"/>
      <c r="Z105" s="6">
        <f ca="1">('TUSD BE'!$AM$15+'TUSD BF'!$AM$15+'TUSD CVA'!$AM$15)*1</f>
        <v>1080.2905876373179</v>
      </c>
      <c r="AA105" s="6"/>
      <c r="AB105" s="6">
        <f t="shared" si="9"/>
        <v>0</v>
      </c>
      <c r="AC105" s="6">
        <f t="shared" si="13"/>
        <v>96893.459257101524</v>
      </c>
      <c r="AD105" s="6">
        <f t="shared" si="11"/>
        <v>0</v>
      </c>
      <c r="AE105" s="6">
        <f t="shared" ca="1" si="14"/>
        <v>132561.3485462206</v>
      </c>
      <c r="AF105" s="4" t="s">
        <v>686</v>
      </c>
    </row>
    <row r="106" spans="1:32" ht="11.25" customHeight="1" x14ac:dyDescent="0.3">
      <c r="A106" s="4" t="s">
        <v>21</v>
      </c>
      <c r="B106" s="4" t="s">
        <v>34</v>
      </c>
      <c r="C106" s="4" t="s">
        <v>35</v>
      </c>
      <c r="D106" s="4" t="s">
        <v>33</v>
      </c>
      <c r="E106" s="4" t="s">
        <v>25</v>
      </c>
      <c r="F106" s="4" t="s">
        <v>55</v>
      </c>
      <c r="G106" s="4" t="s">
        <v>25</v>
      </c>
      <c r="H106" s="4" t="s">
        <v>36</v>
      </c>
      <c r="I106" s="5">
        <v>44652</v>
      </c>
      <c r="J106" s="6">
        <v>0</v>
      </c>
      <c r="K106" s="6">
        <v>0</v>
      </c>
      <c r="L106" s="6">
        <v>214.226</v>
      </c>
      <c r="M106" s="6">
        <v>108.15031656815999</v>
      </c>
      <c r="N106" s="6">
        <v>0</v>
      </c>
      <c r="O106" s="6">
        <v>0</v>
      </c>
      <c r="P106" s="6">
        <v>0</v>
      </c>
      <c r="Q106" s="4" t="s">
        <v>56</v>
      </c>
      <c r="R106" s="4">
        <v>0</v>
      </c>
      <c r="S106" s="4">
        <v>0</v>
      </c>
      <c r="T106" s="4">
        <v>21</v>
      </c>
      <c r="U106" s="4">
        <v>0</v>
      </c>
      <c r="V106" s="6">
        <f>IF(ISERROR(VLOOKUP($S$106,'TAR FIN'!$A$1:$O$92,15,0)),0,VLOOKUP($S$106,'TAR FIN'!$A$1:$O$92,15,0))</f>
        <v>0</v>
      </c>
      <c r="W106" s="6">
        <f>IF(ISERROR(VLOOKUP($T$106,'TAR FIN'!$A$1:$O$92,15,0)),0,VLOOKUP($T$106,'TAR FIN'!$A$1:$O$92,15,0))</f>
        <v>789.62</v>
      </c>
      <c r="X106" s="6">
        <f>IF(ISERROR(VLOOKUP($U$106,'TAR FIN'!$A$1:$O$92,15,0)),0,VLOOKUP($U$106,'TAR FIN'!$A$1:$O$92,15,0))</f>
        <v>0</v>
      </c>
      <c r="Y106" s="6"/>
      <c r="Z106" s="6">
        <f ca="1">('TUSD BE'!$AM$15+'TUSD BF'!$AM$15+'TUSD CVA'!$AM$15)*1</f>
        <v>1080.2905876373179</v>
      </c>
      <c r="AA106" s="6"/>
      <c r="AB106" s="6">
        <f t="shared" si="9"/>
        <v>0</v>
      </c>
      <c r="AC106" s="6">
        <f t="shared" si="13"/>
        <v>83759.481151449509</v>
      </c>
      <c r="AD106" s="6">
        <f t="shared" si="11"/>
        <v>0</v>
      </c>
      <c r="AE106" s="6">
        <f t="shared" ca="1" si="14"/>
        <v>114592.56238861255</v>
      </c>
      <c r="AF106" s="4" t="s">
        <v>686</v>
      </c>
    </row>
    <row r="107" spans="1:32" ht="11.25" customHeight="1" x14ac:dyDescent="0.3">
      <c r="A107" s="4" t="s">
        <v>21</v>
      </c>
      <c r="B107" s="4" t="s">
        <v>34</v>
      </c>
      <c r="C107" s="4" t="s">
        <v>35</v>
      </c>
      <c r="D107" s="4" t="s">
        <v>33</v>
      </c>
      <c r="E107" s="4" t="s">
        <v>25</v>
      </c>
      <c r="F107" s="4" t="s">
        <v>55</v>
      </c>
      <c r="G107" s="4" t="s">
        <v>25</v>
      </c>
      <c r="H107" s="4" t="s">
        <v>36</v>
      </c>
      <c r="I107" s="5">
        <v>44682</v>
      </c>
      <c r="J107" s="6">
        <v>0</v>
      </c>
      <c r="K107" s="6">
        <v>0</v>
      </c>
      <c r="L107" s="6">
        <v>257.37099999999998</v>
      </c>
      <c r="M107" s="6">
        <v>130.17359853232</v>
      </c>
      <c r="N107" s="6">
        <v>0</v>
      </c>
      <c r="O107" s="6">
        <v>0</v>
      </c>
      <c r="P107" s="6">
        <v>0</v>
      </c>
      <c r="Q107" s="4" t="s">
        <v>56</v>
      </c>
      <c r="R107" s="4">
        <v>0</v>
      </c>
      <c r="S107" s="4">
        <v>0</v>
      </c>
      <c r="T107" s="4">
        <v>21</v>
      </c>
      <c r="U107" s="4">
        <v>0</v>
      </c>
      <c r="V107" s="6">
        <f>IF(ISERROR(VLOOKUP($S$107,'TAR FIN'!$A$1:$O$92,15,0)),0,VLOOKUP($S$107,'TAR FIN'!$A$1:$O$92,15,0))</f>
        <v>0</v>
      </c>
      <c r="W107" s="6">
        <f>IF(ISERROR(VLOOKUP($T$107,'TAR FIN'!$A$1:$O$92,15,0)),0,VLOOKUP($T$107,'TAR FIN'!$A$1:$O$92,15,0))</f>
        <v>789.62</v>
      </c>
      <c r="X107" s="6">
        <f>IF(ISERROR(VLOOKUP($U$107,'TAR FIN'!$A$1:$O$92,15,0)),0,VLOOKUP($U$107,'TAR FIN'!$A$1:$O$92,15,0))</f>
        <v>0</v>
      </c>
      <c r="Y107" s="6"/>
      <c r="Z107" s="6">
        <f ca="1">('TUSD BE'!$AM$15+'TUSD BF'!$AM$15+'TUSD CVA'!$AM$15)*1</f>
        <v>1080.2905876373179</v>
      </c>
      <c r="AA107" s="6"/>
      <c r="AB107" s="6">
        <f t="shared" si="9"/>
        <v>0</v>
      </c>
      <c r="AC107" s="6">
        <f t="shared" si="13"/>
        <v>100437.61214690947</v>
      </c>
      <c r="AD107" s="6">
        <f t="shared" si="11"/>
        <v>0</v>
      </c>
      <c r="AE107" s="6">
        <f t="shared" ca="1" si="14"/>
        <v>137410.15557745984</v>
      </c>
      <c r="AF107" s="4" t="s">
        <v>686</v>
      </c>
    </row>
    <row r="108" spans="1:32" ht="11.25" customHeight="1" x14ac:dyDescent="0.3">
      <c r="A108" s="4" t="s">
        <v>21</v>
      </c>
      <c r="B108" s="4" t="s">
        <v>34</v>
      </c>
      <c r="C108" s="4" t="s">
        <v>35</v>
      </c>
      <c r="D108" s="4" t="s">
        <v>33</v>
      </c>
      <c r="E108" s="4" t="s">
        <v>25</v>
      </c>
      <c r="F108" s="4" t="s">
        <v>55</v>
      </c>
      <c r="G108" s="4" t="s">
        <v>25</v>
      </c>
      <c r="H108" s="4" t="s">
        <v>36</v>
      </c>
      <c r="I108" s="5">
        <v>44713</v>
      </c>
      <c r="J108" s="6">
        <v>0</v>
      </c>
      <c r="K108" s="6">
        <v>0</v>
      </c>
      <c r="L108" s="6">
        <v>251.95477</v>
      </c>
      <c r="M108" s="6">
        <v>128.185312520916</v>
      </c>
      <c r="N108" s="6">
        <v>0</v>
      </c>
      <c r="O108" s="6">
        <v>0</v>
      </c>
      <c r="P108" s="6">
        <v>0</v>
      </c>
      <c r="Q108" s="4" t="s">
        <v>56</v>
      </c>
      <c r="R108" s="4">
        <v>0</v>
      </c>
      <c r="S108" s="4">
        <v>0</v>
      </c>
      <c r="T108" s="4">
        <v>21</v>
      </c>
      <c r="U108" s="4">
        <v>0</v>
      </c>
      <c r="V108" s="6">
        <f>IF(ISERROR(VLOOKUP($S$108,'TAR FIN'!$A$1:$O$92,15,0)),0,VLOOKUP($S$108,'TAR FIN'!$A$1:$O$92,15,0))</f>
        <v>0</v>
      </c>
      <c r="W108" s="6">
        <f>IF(ISERROR(VLOOKUP($T$108,'TAR FIN'!$A$1:$O$92,15,0)),0,VLOOKUP($T$108,'TAR FIN'!$A$1:$O$92,15,0))</f>
        <v>789.62</v>
      </c>
      <c r="X108" s="6">
        <f>IF(ISERROR(VLOOKUP($U$108,'TAR FIN'!$A$1:$O$92,15,0)),0,VLOOKUP($U$108,'TAR FIN'!$A$1:$O$92,15,0))</f>
        <v>0</v>
      </c>
      <c r="Y108" s="6"/>
      <c r="Z108" s="6">
        <f ca="1">('TUSD BE'!$AM$15+'TUSD BF'!$AM$15+'TUSD CVA'!$AM$15)*1</f>
        <v>1080.2905876373179</v>
      </c>
      <c r="AA108" s="6"/>
      <c r="AB108" s="6">
        <f t="shared" si="9"/>
        <v>0</v>
      </c>
      <c r="AC108" s="6">
        <f t="shared" si="13"/>
        <v>97730.839014634301</v>
      </c>
      <c r="AD108" s="6">
        <f t="shared" si="11"/>
        <v>0</v>
      </c>
      <c r="AE108" s="6">
        <f t="shared" ca="1" si="14"/>
        <v>133706.97995163169</v>
      </c>
      <c r="AF108" s="4" t="s">
        <v>686</v>
      </c>
    </row>
    <row r="109" spans="1:32" ht="11.25" customHeight="1" x14ac:dyDescent="0.3">
      <c r="A109" s="4" t="s">
        <v>21</v>
      </c>
      <c r="B109" s="4" t="s">
        <v>34</v>
      </c>
      <c r="C109" s="4" t="s">
        <v>35</v>
      </c>
      <c r="D109" s="4" t="s">
        <v>33</v>
      </c>
      <c r="E109" s="4" t="s">
        <v>25</v>
      </c>
      <c r="F109" s="4" t="s">
        <v>55</v>
      </c>
      <c r="G109" s="4" t="s">
        <v>25</v>
      </c>
      <c r="H109" s="4" t="s">
        <v>36</v>
      </c>
      <c r="I109" s="5">
        <v>44743</v>
      </c>
      <c r="J109" s="6">
        <v>0</v>
      </c>
      <c r="K109" s="6">
        <v>0</v>
      </c>
      <c r="L109" s="6">
        <v>246.23115999999999</v>
      </c>
      <c r="M109" s="6">
        <v>124.163633384801</v>
      </c>
      <c r="N109" s="6">
        <v>0</v>
      </c>
      <c r="O109" s="6">
        <v>0</v>
      </c>
      <c r="P109" s="6">
        <v>0</v>
      </c>
      <c r="Q109" s="4" t="s">
        <v>56</v>
      </c>
      <c r="R109" s="4">
        <v>0</v>
      </c>
      <c r="S109" s="4">
        <v>0</v>
      </c>
      <c r="T109" s="4">
        <v>21</v>
      </c>
      <c r="U109" s="4">
        <v>0</v>
      </c>
      <c r="V109" s="6">
        <f>IF(ISERROR(VLOOKUP($S$109,'TAR FIN'!$A$1:$O$92,15,0)),0,VLOOKUP($S$109,'TAR FIN'!$A$1:$O$92,15,0))</f>
        <v>0</v>
      </c>
      <c r="W109" s="6">
        <f>IF(ISERROR(VLOOKUP($T$109,'TAR FIN'!$A$1:$O$92,15,0)),0,VLOOKUP($T$109,'TAR FIN'!$A$1:$O$92,15,0))</f>
        <v>789.62</v>
      </c>
      <c r="X109" s="6">
        <f>IF(ISERROR(VLOOKUP($U$109,'TAR FIN'!$A$1:$O$92,15,0)),0,VLOOKUP($U$109,'TAR FIN'!$A$1:$O$92,15,0))</f>
        <v>0</v>
      </c>
      <c r="Y109" s="6"/>
      <c r="Z109" s="6">
        <f ca="1">('TUSD BE'!$AM$15+'TUSD BF'!$AM$15+'TUSD CVA'!$AM$15)*1</f>
        <v>1080.2905876373179</v>
      </c>
      <c r="AA109" s="6"/>
      <c r="AB109" s="6">
        <f t="shared" si="9"/>
        <v>0</v>
      </c>
      <c r="AC109" s="6">
        <f t="shared" si="13"/>
        <v>96386.960365893421</v>
      </c>
      <c r="AD109" s="6">
        <f t="shared" si="11"/>
        <v>0</v>
      </c>
      <c r="AE109" s="6">
        <f t="shared" ca="1" si="14"/>
        <v>131868.40005856726</v>
      </c>
      <c r="AF109" s="4" t="s">
        <v>686</v>
      </c>
    </row>
    <row r="110" spans="1:32" ht="11.25" customHeight="1" x14ac:dyDescent="0.3">
      <c r="A110" s="4" t="s">
        <v>21</v>
      </c>
      <c r="B110" s="4" t="s">
        <v>22</v>
      </c>
      <c r="C110" s="4" t="s">
        <v>23</v>
      </c>
      <c r="D110" s="4" t="s">
        <v>24</v>
      </c>
      <c r="E110" s="4" t="s">
        <v>24</v>
      </c>
      <c r="F110" s="4" t="s">
        <v>25</v>
      </c>
      <c r="G110" s="4" t="s">
        <v>25</v>
      </c>
      <c r="H110" s="4" t="s">
        <v>25</v>
      </c>
      <c r="I110" s="5">
        <v>44409</v>
      </c>
      <c r="J110" s="6">
        <v>0</v>
      </c>
      <c r="K110" s="6">
        <v>0</v>
      </c>
      <c r="L110" s="6">
        <v>905.87900000000002</v>
      </c>
      <c r="M110" s="6">
        <v>905.87900000000002</v>
      </c>
      <c r="N110" s="6">
        <v>905.87900000000002</v>
      </c>
      <c r="O110" s="6">
        <v>905.87900000000002</v>
      </c>
      <c r="P110" s="6">
        <v>5048</v>
      </c>
      <c r="Q110" s="4" t="s">
        <v>26</v>
      </c>
      <c r="R110" s="4">
        <v>0</v>
      </c>
      <c r="S110" s="4">
        <v>0</v>
      </c>
      <c r="T110" s="4">
        <v>38</v>
      </c>
      <c r="U110" s="4">
        <v>89</v>
      </c>
      <c r="V110" s="6">
        <f>IF(ISERROR(VLOOKUP($S$110,'TAR FIN'!$A$1:$O$92,15,0)),0,VLOOKUP($S$110,'TAR FIN'!$A$1:$O$92,15,0))</f>
        <v>0</v>
      </c>
      <c r="W110" s="6">
        <f>IF(ISERROR(VLOOKUP($T$110,'TAR FIN'!$A$1:$O$92,15,0)),0,VLOOKUP($T$110,'TAR FIN'!$A$1:$O$92,15,0))</f>
        <v>343.17</v>
      </c>
      <c r="X110" s="6">
        <f>IF(ISERROR(VLOOKUP($U$110,'TAR FIN'!$A$1:$O$92,15,0)),0,VLOOKUP($U$110,'TAR FIN'!$A$1:$O$92,15,0))</f>
        <v>303.54000000000002</v>
      </c>
      <c r="Y110" s="6"/>
      <c r="Z110" s="6">
        <f ca="1">('TUSD BE'!$AM$24+'TUSD BF'!$AM$24+'TUSD CVA'!$AM$24)*1</f>
        <v>471.78110106754735</v>
      </c>
      <c r="AA110" s="6">
        <f>('TE BE'!$AB$12+'TE BF'!$AB$12+'TE CVA'!$AB$12)*1</f>
        <v>287.16392669686104</v>
      </c>
      <c r="AB110" s="6">
        <f t="shared" si="9"/>
        <v>0</v>
      </c>
      <c r="AC110" s="6">
        <f t="shared" si="13"/>
        <v>0</v>
      </c>
      <c r="AD110" s="6">
        <f t="shared" si="11"/>
        <v>0</v>
      </c>
      <c r="AE110" s="6">
        <f t="shared" ca="1" si="14"/>
        <v>0</v>
      </c>
    </row>
    <row r="111" spans="1:32" ht="11.25" customHeight="1" x14ac:dyDescent="0.3">
      <c r="A111" s="4" t="s">
        <v>21</v>
      </c>
      <c r="B111" s="4" t="s">
        <v>22</v>
      </c>
      <c r="C111" s="4" t="s">
        <v>23</v>
      </c>
      <c r="D111" s="4" t="s">
        <v>24</v>
      </c>
      <c r="E111" s="4" t="s">
        <v>28</v>
      </c>
      <c r="F111" s="4" t="s">
        <v>25</v>
      </c>
      <c r="G111" s="4" t="s">
        <v>25</v>
      </c>
      <c r="H111" s="4" t="s">
        <v>25</v>
      </c>
      <c r="I111" s="5">
        <v>44409</v>
      </c>
      <c r="J111" s="6">
        <v>0</v>
      </c>
      <c r="K111" s="6">
        <v>0</v>
      </c>
      <c r="L111" s="6">
        <v>8.9700000000000006</v>
      </c>
      <c r="M111" s="6">
        <v>8.9700000000000006</v>
      </c>
      <c r="N111" s="6">
        <v>8.9700000000000006</v>
      </c>
      <c r="O111" s="6">
        <v>8.9700000000000006</v>
      </c>
      <c r="P111" s="6">
        <v>14</v>
      </c>
      <c r="Q111" s="4" t="s">
        <v>26</v>
      </c>
      <c r="R111" s="4">
        <v>0</v>
      </c>
      <c r="S111" s="4">
        <v>0</v>
      </c>
      <c r="T111" s="4">
        <v>41</v>
      </c>
      <c r="U111" s="4">
        <v>90</v>
      </c>
      <c r="V111" s="6">
        <f>IF(ISERROR(VLOOKUP($S$111,'TAR FIN'!$A$1:$O$92,15,0)),0,VLOOKUP($S$111,'TAR FIN'!$A$1:$O$92,15,0))</f>
        <v>0</v>
      </c>
      <c r="W111" s="6">
        <f>IF(ISERROR(VLOOKUP($T$111,'TAR FIN'!$A$1:$O$92,15,0)),0,VLOOKUP($T$111,'TAR FIN'!$A$1:$O$92,15,0))</f>
        <v>94.95</v>
      </c>
      <c r="X111" s="6">
        <f>IF(ISERROR(VLOOKUP($U$111,'TAR FIN'!$A$1:$O$92,15,0)),0,VLOOKUP($U$111,'TAR FIN'!$A$1:$O$92,15,0))</f>
        <v>106.24</v>
      </c>
      <c r="Y111" s="6"/>
      <c r="Z111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111" s="6">
        <f>('TE BE'!$AB$13+'TE BF'!$AB$13+'TE CVA'!$AB$13)*(1-CUSTOS!$M$34)</f>
        <v>100.50737434390136</v>
      </c>
      <c r="AB111" s="6">
        <f t="shared" si="9"/>
        <v>0</v>
      </c>
      <c r="AC111" s="6">
        <f>(L111-M111)*(W111+X111)+($W$147+$X$147-$W$111-$X$111)*(L111)</f>
        <v>3351.4610999999995</v>
      </c>
      <c r="AD111" s="6">
        <f t="shared" si="11"/>
        <v>0</v>
      </c>
      <c r="AE111" s="6">
        <f ca="1">(L111-M111)*(Z111+AA111)+($Z$147+$AA$147-$Z$111-$AA$111)*(L111)</f>
        <v>3539.1138205625352</v>
      </c>
      <c r="AF111" s="4" t="s">
        <v>688</v>
      </c>
    </row>
    <row r="112" spans="1:32" ht="11.25" customHeight="1" x14ac:dyDescent="0.3">
      <c r="A112" s="4" t="s">
        <v>21</v>
      </c>
      <c r="B112" s="4" t="s">
        <v>22</v>
      </c>
      <c r="C112" s="4" t="s">
        <v>23</v>
      </c>
      <c r="D112" s="4" t="s">
        <v>24</v>
      </c>
      <c r="E112" s="4" t="s">
        <v>28</v>
      </c>
      <c r="F112" s="4" t="s">
        <v>25</v>
      </c>
      <c r="G112" s="4" t="s">
        <v>25</v>
      </c>
      <c r="H112" s="4" t="s">
        <v>25</v>
      </c>
      <c r="I112" s="5">
        <v>44440</v>
      </c>
      <c r="J112" s="6">
        <v>0</v>
      </c>
      <c r="K112" s="6">
        <v>0</v>
      </c>
      <c r="L112" s="6">
        <v>9.2100000000000009</v>
      </c>
      <c r="M112" s="6">
        <v>9.2100000000000009</v>
      </c>
      <c r="N112" s="6">
        <v>9.2100000000000009</v>
      </c>
      <c r="O112" s="6">
        <v>9.2100000000000009</v>
      </c>
      <c r="P112" s="6">
        <v>10</v>
      </c>
      <c r="Q112" s="4" t="s">
        <v>26</v>
      </c>
      <c r="R112" s="4">
        <v>0</v>
      </c>
      <c r="S112" s="4">
        <v>0</v>
      </c>
      <c r="T112" s="4">
        <v>41</v>
      </c>
      <c r="U112" s="4">
        <v>90</v>
      </c>
      <c r="V112" s="6">
        <f>IF(ISERROR(VLOOKUP($S$112,'TAR FIN'!$A$1:$O$92,15,0)),0,VLOOKUP($S$112,'TAR FIN'!$A$1:$O$92,15,0))</f>
        <v>0</v>
      </c>
      <c r="W112" s="6">
        <f>IF(ISERROR(VLOOKUP($T$112,'TAR FIN'!$A$1:$O$92,15,0)),0,VLOOKUP($T$112,'TAR FIN'!$A$1:$O$92,15,0))</f>
        <v>94.95</v>
      </c>
      <c r="X112" s="6">
        <f>IF(ISERROR(VLOOKUP($U$112,'TAR FIN'!$A$1:$O$92,15,0)),0,VLOOKUP($U$112,'TAR FIN'!$A$1:$O$92,15,0))</f>
        <v>106.24</v>
      </c>
      <c r="Y112" s="6"/>
      <c r="Z112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112" s="6">
        <f>('TE BE'!$AB$13+'TE BF'!$AB$13+'TE CVA'!$AB$13)*(1-CUSTOS!$M$34)</f>
        <v>100.50737434390136</v>
      </c>
      <c r="AB112" s="6">
        <f t="shared" si="9"/>
        <v>0</v>
      </c>
      <c r="AC112" s="6">
        <f>(L112-M112)*(W112+X112)+($W$147+$X$147-$W$112-$X$112)*(L112)</f>
        <v>3441.1322999999998</v>
      </c>
      <c r="AD112" s="6">
        <f t="shared" si="11"/>
        <v>0</v>
      </c>
      <c r="AE112" s="6">
        <f ca="1">(L112-M112)*(Z112+AA112)+($Z$147+$AA$147-$Z$112-$AA$112)*(L112)</f>
        <v>3633.8058291394595</v>
      </c>
      <c r="AF112" s="4" t="s">
        <v>688</v>
      </c>
    </row>
    <row r="113" spans="1:32" ht="11.25" customHeight="1" x14ac:dyDescent="0.3">
      <c r="A113" s="4" t="s">
        <v>21</v>
      </c>
      <c r="B113" s="4" t="s">
        <v>22</v>
      </c>
      <c r="C113" s="4" t="s">
        <v>23</v>
      </c>
      <c r="D113" s="4" t="s">
        <v>24</v>
      </c>
      <c r="E113" s="4" t="s">
        <v>28</v>
      </c>
      <c r="F113" s="4" t="s">
        <v>25</v>
      </c>
      <c r="G113" s="4" t="s">
        <v>25</v>
      </c>
      <c r="H113" s="4" t="s">
        <v>25</v>
      </c>
      <c r="I113" s="5">
        <v>44470</v>
      </c>
      <c r="J113" s="6">
        <v>0</v>
      </c>
      <c r="K113" s="6">
        <v>0</v>
      </c>
      <c r="L113" s="6">
        <v>9.09</v>
      </c>
      <c r="M113" s="6">
        <v>9.09</v>
      </c>
      <c r="N113" s="6">
        <v>9.09</v>
      </c>
      <c r="O113" s="6">
        <v>9.09</v>
      </c>
      <c r="P113" s="6">
        <v>11</v>
      </c>
      <c r="Q113" s="4" t="s">
        <v>26</v>
      </c>
      <c r="R113" s="4">
        <v>0</v>
      </c>
      <c r="S113" s="4">
        <v>0</v>
      </c>
      <c r="T113" s="4">
        <v>41</v>
      </c>
      <c r="U113" s="4">
        <v>90</v>
      </c>
      <c r="V113" s="6">
        <f>IF(ISERROR(VLOOKUP($S$113,'TAR FIN'!$A$1:$O$92,15,0)),0,VLOOKUP($S$113,'TAR FIN'!$A$1:$O$92,15,0))</f>
        <v>0</v>
      </c>
      <c r="W113" s="6">
        <f>IF(ISERROR(VLOOKUP($T$113,'TAR FIN'!$A$1:$O$92,15,0)),0,VLOOKUP($T$113,'TAR FIN'!$A$1:$O$92,15,0))</f>
        <v>94.95</v>
      </c>
      <c r="X113" s="6">
        <f>IF(ISERROR(VLOOKUP($U$113,'TAR FIN'!$A$1:$O$92,15,0)),0,VLOOKUP($U$113,'TAR FIN'!$A$1:$O$92,15,0))</f>
        <v>106.24</v>
      </c>
      <c r="Y113" s="6"/>
      <c r="Z113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113" s="6">
        <f>('TE BE'!$AB$13+'TE BF'!$AB$13+'TE CVA'!$AB$13)*(1-CUSTOS!$M$34)</f>
        <v>100.50737434390136</v>
      </c>
      <c r="AB113" s="6">
        <f t="shared" si="9"/>
        <v>0</v>
      </c>
      <c r="AC113" s="6">
        <f>(L113-M113)*(W113+X113)+($W$147+$X$147-$W$113-$X$113)*(L113)</f>
        <v>3396.2966999999994</v>
      </c>
      <c r="AD113" s="6">
        <f t="shared" si="11"/>
        <v>0</v>
      </c>
      <c r="AE113" s="6">
        <f ca="1">(L113-M113)*(Z113+AA113)+($Z$147+$AA$147-$Z$113-$AA$113)*(L113)</f>
        <v>3586.4598248509969</v>
      </c>
      <c r="AF113" s="4" t="s">
        <v>688</v>
      </c>
    </row>
    <row r="114" spans="1:32" ht="11.25" customHeight="1" x14ac:dyDescent="0.3">
      <c r="A114" s="4" t="s">
        <v>21</v>
      </c>
      <c r="B114" s="4" t="s">
        <v>22</v>
      </c>
      <c r="C114" s="4" t="s">
        <v>23</v>
      </c>
      <c r="D114" s="4" t="s">
        <v>24</v>
      </c>
      <c r="E114" s="4" t="s">
        <v>28</v>
      </c>
      <c r="F114" s="4" t="s">
        <v>25</v>
      </c>
      <c r="G114" s="4" t="s">
        <v>25</v>
      </c>
      <c r="H114" s="4" t="s">
        <v>25</v>
      </c>
      <c r="I114" s="5">
        <v>44501</v>
      </c>
      <c r="J114" s="6">
        <v>0</v>
      </c>
      <c r="K114" s="6">
        <v>0</v>
      </c>
      <c r="L114" s="6">
        <v>9.27</v>
      </c>
      <c r="M114" s="6">
        <v>9.27</v>
      </c>
      <c r="N114" s="6">
        <v>9.27</v>
      </c>
      <c r="O114" s="6">
        <v>9.27</v>
      </c>
      <c r="P114" s="6">
        <v>12</v>
      </c>
      <c r="Q114" s="4" t="s">
        <v>26</v>
      </c>
      <c r="R114" s="4">
        <v>0</v>
      </c>
      <c r="S114" s="4">
        <v>0</v>
      </c>
      <c r="T114" s="4">
        <v>41</v>
      </c>
      <c r="U114" s="4">
        <v>90</v>
      </c>
      <c r="V114" s="6">
        <f>IF(ISERROR(VLOOKUP($S$114,'TAR FIN'!$A$1:$O$92,15,0)),0,VLOOKUP($S$114,'TAR FIN'!$A$1:$O$92,15,0))</f>
        <v>0</v>
      </c>
      <c r="W114" s="6">
        <f>IF(ISERROR(VLOOKUP($T$114,'TAR FIN'!$A$1:$O$92,15,0)),0,VLOOKUP($T$114,'TAR FIN'!$A$1:$O$92,15,0))</f>
        <v>94.95</v>
      </c>
      <c r="X114" s="6">
        <f>IF(ISERROR(VLOOKUP($U$114,'TAR FIN'!$A$1:$O$92,15,0)),0,VLOOKUP($U$114,'TAR FIN'!$A$1:$O$92,15,0))</f>
        <v>106.24</v>
      </c>
      <c r="Y114" s="6"/>
      <c r="Z114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114" s="6">
        <f>('TE BE'!$AB$13+'TE BF'!$AB$13+'TE CVA'!$AB$13)*(1-CUSTOS!$M$34)</f>
        <v>100.50737434390136</v>
      </c>
      <c r="AB114" s="6">
        <f t="shared" si="9"/>
        <v>0</v>
      </c>
      <c r="AC114" s="6">
        <f>(L114-M114)*(W114+X114)+($W$147+$X$147-$W$114-$X$114)*(L114)</f>
        <v>3463.5500999999995</v>
      </c>
      <c r="AD114" s="6">
        <f t="shared" si="11"/>
        <v>0</v>
      </c>
      <c r="AE114" s="6">
        <f ca="1">(L114-M114)*(Z114+AA114)+($Z$147+$AA$147-$Z$114-$AA$114)*(L114)</f>
        <v>3657.4788312836899</v>
      </c>
      <c r="AF114" s="4" t="s">
        <v>688</v>
      </c>
    </row>
    <row r="115" spans="1:32" ht="11.25" customHeight="1" x14ac:dyDescent="0.3">
      <c r="A115" s="4" t="s">
        <v>21</v>
      </c>
      <c r="B115" s="4" t="s">
        <v>22</v>
      </c>
      <c r="C115" s="4" t="s">
        <v>23</v>
      </c>
      <c r="D115" s="4" t="s">
        <v>24</v>
      </c>
      <c r="E115" s="4" t="s">
        <v>28</v>
      </c>
      <c r="F115" s="4" t="s">
        <v>25</v>
      </c>
      <c r="G115" s="4" t="s">
        <v>25</v>
      </c>
      <c r="H115" s="4" t="s">
        <v>25</v>
      </c>
      <c r="I115" s="5">
        <v>44531</v>
      </c>
      <c r="J115" s="6">
        <v>0</v>
      </c>
      <c r="K115" s="6">
        <v>0</v>
      </c>
      <c r="L115" s="6">
        <v>9.48</v>
      </c>
      <c r="M115" s="6">
        <v>9.48</v>
      </c>
      <c r="N115" s="6">
        <v>9.48</v>
      </c>
      <c r="O115" s="6">
        <v>9.48</v>
      </c>
      <c r="P115" s="6">
        <v>11</v>
      </c>
      <c r="Q115" s="4" t="s">
        <v>26</v>
      </c>
      <c r="R115" s="4">
        <v>0</v>
      </c>
      <c r="S115" s="4">
        <v>0</v>
      </c>
      <c r="T115" s="4">
        <v>41</v>
      </c>
      <c r="U115" s="4">
        <v>90</v>
      </c>
      <c r="V115" s="6">
        <f>IF(ISERROR(VLOOKUP($S$115,'TAR FIN'!$A$1:$O$92,15,0)),0,VLOOKUP($S$115,'TAR FIN'!$A$1:$O$92,15,0))</f>
        <v>0</v>
      </c>
      <c r="W115" s="6">
        <f>IF(ISERROR(VLOOKUP($T$115,'TAR FIN'!$A$1:$O$92,15,0)),0,VLOOKUP($T$115,'TAR FIN'!$A$1:$O$92,15,0))</f>
        <v>94.95</v>
      </c>
      <c r="X115" s="6">
        <f>IF(ISERROR(VLOOKUP($U$115,'TAR FIN'!$A$1:$O$92,15,0)),0,VLOOKUP($U$115,'TAR FIN'!$A$1:$O$92,15,0))</f>
        <v>106.24</v>
      </c>
      <c r="Y115" s="6"/>
      <c r="Z115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115" s="6">
        <f>('TE BE'!$AB$13+'TE BF'!$AB$13+'TE CVA'!$AB$13)*(1-CUSTOS!$M$34)</f>
        <v>100.50737434390136</v>
      </c>
      <c r="AB115" s="6">
        <f t="shared" si="9"/>
        <v>0</v>
      </c>
      <c r="AC115" s="6">
        <f>(L115-M115)*(W115+X115)+($W$147+$X$147-$W$115-$X$115)*(L115)</f>
        <v>3542.0123999999996</v>
      </c>
      <c r="AD115" s="6">
        <f t="shared" si="11"/>
        <v>0</v>
      </c>
      <c r="AE115" s="6">
        <f ca="1">(L115-M115)*(Z115+AA115)+($Z$147+$AA$147-$Z$115-$AA$115)*(L115)</f>
        <v>3740.3343387884988</v>
      </c>
      <c r="AF115" s="4" t="s">
        <v>688</v>
      </c>
    </row>
    <row r="116" spans="1:32" ht="11.25" customHeight="1" x14ac:dyDescent="0.3">
      <c r="A116" s="4" t="s">
        <v>21</v>
      </c>
      <c r="B116" s="4" t="s">
        <v>22</v>
      </c>
      <c r="C116" s="4" t="s">
        <v>23</v>
      </c>
      <c r="D116" s="4" t="s">
        <v>24</v>
      </c>
      <c r="E116" s="4" t="s">
        <v>28</v>
      </c>
      <c r="F116" s="4" t="s">
        <v>25</v>
      </c>
      <c r="G116" s="4" t="s">
        <v>25</v>
      </c>
      <c r="H116" s="4" t="s">
        <v>25</v>
      </c>
      <c r="I116" s="5">
        <v>44562</v>
      </c>
      <c r="J116" s="6">
        <v>0</v>
      </c>
      <c r="K116" s="6">
        <v>0</v>
      </c>
      <c r="L116" s="6">
        <v>9.69</v>
      </c>
      <c r="M116" s="6">
        <v>9.69</v>
      </c>
      <c r="N116" s="6">
        <v>9.69</v>
      </c>
      <c r="O116" s="6">
        <v>9.69</v>
      </c>
      <c r="P116" s="6">
        <v>10</v>
      </c>
      <c r="Q116" s="4" t="s">
        <v>26</v>
      </c>
      <c r="R116" s="4">
        <v>0</v>
      </c>
      <c r="S116" s="4">
        <v>0</v>
      </c>
      <c r="T116" s="4">
        <v>41</v>
      </c>
      <c r="U116" s="4">
        <v>90</v>
      </c>
      <c r="V116" s="6">
        <f>IF(ISERROR(VLOOKUP($S$116,'TAR FIN'!$A$1:$O$92,15,0)),0,VLOOKUP($S$116,'TAR FIN'!$A$1:$O$92,15,0))</f>
        <v>0</v>
      </c>
      <c r="W116" s="6">
        <f>IF(ISERROR(VLOOKUP($T$116,'TAR FIN'!$A$1:$O$92,15,0)),0,VLOOKUP($T$116,'TAR FIN'!$A$1:$O$92,15,0))</f>
        <v>94.95</v>
      </c>
      <c r="X116" s="6">
        <f>IF(ISERROR(VLOOKUP($U$116,'TAR FIN'!$A$1:$O$92,15,0)),0,VLOOKUP($U$116,'TAR FIN'!$A$1:$O$92,15,0))</f>
        <v>106.24</v>
      </c>
      <c r="Y116" s="6"/>
      <c r="Z116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116" s="6">
        <f>('TE BE'!$AB$13+'TE BF'!$AB$13+'TE CVA'!$AB$13)*(1-CUSTOS!$M$34)</f>
        <v>100.50737434390136</v>
      </c>
      <c r="AB116" s="6">
        <f t="shared" si="9"/>
        <v>0</v>
      </c>
      <c r="AC116" s="6">
        <f>(L116-M116)*(W116+X116)+($W$147+$X$147-$W$116-$X$116)*(L116)</f>
        <v>3620.4746999999993</v>
      </c>
      <c r="AD116" s="6">
        <f t="shared" si="11"/>
        <v>0</v>
      </c>
      <c r="AE116" s="6">
        <f ca="1">(L116-M116)*(Z116+AA116)+($Z$147+$AA$147-$Z$116-$AA$116)*(L116)</f>
        <v>3823.1898462933068</v>
      </c>
      <c r="AF116" s="4" t="s">
        <v>688</v>
      </c>
    </row>
    <row r="117" spans="1:32" ht="11.25" customHeight="1" x14ac:dyDescent="0.3">
      <c r="A117" s="4" t="s">
        <v>21</v>
      </c>
      <c r="B117" s="4" t="s">
        <v>22</v>
      </c>
      <c r="C117" s="4" t="s">
        <v>23</v>
      </c>
      <c r="D117" s="4" t="s">
        <v>24</v>
      </c>
      <c r="E117" s="4" t="s">
        <v>28</v>
      </c>
      <c r="F117" s="4" t="s">
        <v>25</v>
      </c>
      <c r="G117" s="4" t="s">
        <v>25</v>
      </c>
      <c r="H117" s="4" t="s">
        <v>25</v>
      </c>
      <c r="I117" s="5">
        <v>44593</v>
      </c>
      <c r="J117" s="6">
        <v>0</v>
      </c>
      <c r="K117" s="6">
        <v>0</v>
      </c>
      <c r="L117" s="6">
        <v>10.56</v>
      </c>
      <c r="M117" s="6">
        <v>10.56</v>
      </c>
      <c r="N117" s="6">
        <v>10.56</v>
      </c>
      <c r="O117" s="6">
        <v>10.56</v>
      </c>
      <c r="P117" s="6">
        <v>9</v>
      </c>
      <c r="Q117" s="4" t="s">
        <v>26</v>
      </c>
      <c r="R117" s="4">
        <v>0</v>
      </c>
      <c r="S117" s="4">
        <v>0</v>
      </c>
      <c r="T117" s="4">
        <v>41</v>
      </c>
      <c r="U117" s="4">
        <v>90</v>
      </c>
      <c r="V117" s="6">
        <f>IF(ISERROR(VLOOKUP($S$117,'TAR FIN'!$A$1:$O$92,15,0)),0,VLOOKUP($S$117,'TAR FIN'!$A$1:$O$92,15,0))</f>
        <v>0</v>
      </c>
      <c r="W117" s="6">
        <f>IF(ISERROR(VLOOKUP($T$117,'TAR FIN'!$A$1:$O$92,15,0)),0,VLOOKUP($T$117,'TAR FIN'!$A$1:$O$92,15,0))</f>
        <v>94.95</v>
      </c>
      <c r="X117" s="6">
        <f>IF(ISERROR(VLOOKUP($U$117,'TAR FIN'!$A$1:$O$92,15,0)),0,VLOOKUP($U$117,'TAR FIN'!$A$1:$O$92,15,0))</f>
        <v>106.24</v>
      </c>
      <c r="Y117" s="6"/>
      <c r="Z117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117" s="6">
        <f>('TE BE'!$AB$13+'TE BF'!$AB$13+'TE CVA'!$AB$13)*(1-CUSTOS!$M$34)</f>
        <v>100.50737434390136</v>
      </c>
      <c r="AB117" s="6">
        <f t="shared" si="9"/>
        <v>0</v>
      </c>
      <c r="AC117" s="6">
        <f>(L117-M117)*(W117+X117)+($W$147+$X$147-$W$117-$X$117)*(L117)</f>
        <v>3945.5327999999995</v>
      </c>
      <c r="AD117" s="6">
        <f t="shared" si="11"/>
        <v>0</v>
      </c>
      <c r="AE117" s="6">
        <f ca="1">(L117-M117)*(Z117+AA117)+($Z$147+$AA$147-$Z$117-$AA$117)*(L117)</f>
        <v>4166.4483773846569</v>
      </c>
      <c r="AF117" s="4" t="s">
        <v>688</v>
      </c>
    </row>
    <row r="118" spans="1:32" ht="11.25" customHeight="1" x14ac:dyDescent="0.3">
      <c r="A118" s="4" t="s">
        <v>21</v>
      </c>
      <c r="B118" s="4" t="s">
        <v>22</v>
      </c>
      <c r="C118" s="4" t="s">
        <v>23</v>
      </c>
      <c r="D118" s="4" t="s">
        <v>24</v>
      </c>
      <c r="E118" s="4" t="s">
        <v>28</v>
      </c>
      <c r="F118" s="4" t="s">
        <v>25</v>
      </c>
      <c r="G118" s="4" t="s">
        <v>25</v>
      </c>
      <c r="H118" s="4" t="s">
        <v>25</v>
      </c>
      <c r="I118" s="5">
        <v>44621</v>
      </c>
      <c r="J118" s="6">
        <v>0</v>
      </c>
      <c r="K118" s="6">
        <v>0</v>
      </c>
      <c r="L118" s="6">
        <v>11.22</v>
      </c>
      <c r="M118" s="6">
        <v>11.22</v>
      </c>
      <c r="N118" s="6">
        <v>11.22</v>
      </c>
      <c r="O118" s="6">
        <v>11.22</v>
      </c>
      <c r="P118" s="6">
        <v>11</v>
      </c>
      <c r="Q118" s="4" t="s">
        <v>26</v>
      </c>
      <c r="R118" s="4">
        <v>0</v>
      </c>
      <c r="S118" s="4">
        <v>0</v>
      </c>
      <c r="T118" s="4">
        <v>41</v>
      </c>
      <c r="U118" s="4">
        <v>90</v>
      </c>
      <c r="V118" s="6">
        <f>IF(ISERROR(VLOOKUP($S$118,'TAR FIN'!$A$1:$O$92,15,0)),0,VLOOKUP($S$118,'TAR FIN'!$A$1:$O$92,15,0))</f>
        <v>0</v>
      </c>
      <c r="W118" s="6">
        <f>IF(ISERROR(VLOOKUP($T$118,'TAR FIN'!$A$1:$O$92,15,0)),0,VLOOKUP($T$118,'TAR FIN'!$A$1:$O$92,15,0))</f>
        <v>94.95</v>
      </c>
      <c r="X118" s="6">
        <f>IF(ISERROR(VLOOKUP($U$118,'TAR FIN'!$A$1:$O$92,15,0)),0,VLOOKUP($U$118,'TAR FIN'!$A$1:$O$92,15,0))</f>
        <v>106.24</v>
      </c>
      <c r="Y118" s="6"/>
      <c r="Z118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118" s="6">
        <f>('TE BE'!$AB$13+'TE BF'!$AB$13+'TE CVA'!$AB$13)*(1-CUSTOS!$M$34)</f>
        <v>100.50737434390136</v>
      </c>
      <c r="AB118" s="6">
        <f t="shared" si="9"/>
        <v>0</v>
      </c>
      <c r="AC118" s="6">
        <f>(L118-M118)*(W118+X118)+($W$147+$X$147-$W$118-$X$118)*(L118)</f>
        <v>4192.1285999999991</v>
      </c>
      <c r="AD118" s="6">
        <f t="shared" si="11"/>
        <v>0</v>
      </c>
      <c r="AE118" s="6">
        <f ca="1">(L118-M118)*(Z118+AA118)+($Z$147+$AA$147-$Z$118-$AA$118)*(L118)</f>
        <v>4426.851400971198</v>
      </c>
      <c r="AF118" s="4" t="s">
        <v>688</v>
      </c>
    </row>
    <row r="119" spans="1:32" ht="11.25" customHeight="1" x14ac:dyDescent="0.3">
      <c r="A119" s="4" t="s">
        <v>21</v>
      </c>
      <c r="B119" s="4" t="s">
        <v>22</v>
      </c>
      <c r="C119" s="4" t="s">
        <v>23</v>
      </c>
      <c r="D119" s="4" t="s">
        <v>24</v>
      </c>
      <c r="E119" s="4" t="s">
        <v>28</v>
      </c>
      <c r="F119" s="4" t="s">
        <v>25</v>
      </c>
      <c r="G119" s="4" t="s">
        <v>25</v>
      </c>
      <c r="H119" s="4" t="s">
        <v>25</v>
      </c>
      <c r="I119" s="5">
        <v>44652</v>
      </c>
      <c r="J119" s="6">
        <v>0</v>
      </c>
      <c r="K119" s="6">
        <v>0</v>
      </c>
      <c r="L119" s="6">
        <v>11.37</v>
      </c>
      <c r="M119" s="6">
        <v>11.37</v>
      </c>
      <c r="N119" s="6">
        <v>11.37</v>
      </c>
      <c r="O119" s="6">
        <v>11.37</v>
      </c>
      <c r="P119" s="6">
        <v>14</v>
      </c>
      <c r="Q119" s="4" t="s">
        <v>26</v>
      </c>
      <c r="R119" s="4">
        <v>0</v>
      </c>
      <c r="S119" s="4">
        <v>0</v>
      </c>
      <c r="T119" s="4">
        <v>41</v>
      </c>
      <c r="U119" s="4">
        <v>90</v>
      </c>
      <c r="V119" s="6">
        <f>IF(ISERROR(VLOOKUP($S$119,'TAR FIN'!$A$1:$O$92,15,0)),0,VLOOKUP($S$119,'TAR FIN'!$A$1:$O$92,15,0))</f>
        <v>0</v>
      </c>
      <c r="W119" s="6">
        <f>IF(ISERROR(VLOOKUP($T$119,'TAR FIN'!$A$1:$O$92,15,0)),0,VLOOKUP($T$119,'TAR FIN'!$A$1:$O$92,15,0))</f>
        <v>94.95</v>
      </c>
      <c r="X119" s="6">
        <f>IF(ISERROR(VLOOKUP($U$119,'TAR FIN'!$A$1:$O$92,15,0)),0,VLOOKUP($U$119,'TAR FIN'!$A$1:$O$92,15,0))</f>
        <v>106.24</v>
      </c>
      <c r="Y119" s="6"/>
      <c r="Z119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119" s="6">
        <f>('TE BE'!$AB$13+'TE BF'!$AB$13+'TE CVA'!$AB$13)*(1-CUSTOS!$M$34)</f>
        <v>100.50737434390136</v>
      </c>
      <c r="AB119" s="6">
        <f t="shared" si="9"/>
        <v>0</v>
      </c>
      <c r="AC119" s="6">
        <f>(L119-M119)*(W119+X119)+($W$147+$X$147-$W$119-$X$119)*(L119)</f>
        <v>4248.1730999999991</v>
      </c>
      <c r="AD119" s="6">
        <f t="shared" si="11"/>
        <v>0</v>
      </c>
      <c r="AE119" s="6">
        <f ca="1">(L119-M119)*(Z119+AA119)+($Z$147+$AA$147-$Z$119-$AA$119)*(L119)</f>
        <v>4486.0339063317751</v>
      </c>
      <c r="AF119" s="4" t="s">
        <v>688</v>
      </c>
    </row>
    <row r="120" spans="1:32" ht="11.25" customHeight="1" x14ac:dyDescent="0.3">
      <c r="A120" s="4" t="s">
        <v>21</v>
      </c>
      <c r="B120" s="4" t="s">
        <v>22</v>
      </c>
      <c r="C120" s="4" t="s">
        <v>23</v>
      </c>
      <c r="D120" s="4" t="s">
        <v>24</v>
      </c>
      <c r="E120" s="4" t="s">
        <v>28</v>
      </c>
      <c r="F120" s="4" t="s">
        <v>25</v>
      </c>
      <c r="G120" s="4" t="s">
        <v>25</v>
      </c>
      <c r="H120" s="4" t="s">
        <v>25</v>
      </c>
      <c r="I120" s="5">
        <v>44682</v>
      </c>
      <c r="J120" s="6">
        <v>0</v>
      </c>
      <c r="K120" s="6">
        <v>0</v>
      </c>
      <c r="L120" s="6">
        <v>11.82</v>
      </c>
      <c r="M120" s="6">
        <v>11.82</v>
      </c>
      <c r="N120" s="6">
        <v>11.82</v>
      </c>
      <c r="O120" s="6">
        <v>11.82</v>
      </c>
      <c r="P120" s="6">
        <v>9</v>
      </c>
      <c r="Q120" s="4" t="s">
        <v>26</v>
      </c>
      <c r="R120" s="4">
        <v>0</v>
      </c>
      <c r="S120" s="4">
        <v>0</v>
      </c>
      <c r="T120" s="4">
        <v>41</v>
      </c>
      <c r="U120" s="4">
        <v>90</v>
      </c>
      <c r="V120" s="6">
        <f>IF(ISERROR(VLOOKUP($S$120,'TAR FIN'!$A$1:$O$92,15,0)),0,VLOOKUP($S$120,'TAR FIN'!$A$1:$O$92,15,0))</f>
        <v>0</v>
      </c>
      <c r="W120" s="6">
        <f>IF(ISERROR(VLOOKUP($T$120,'TAR FIN'!$A$1:$O$92,15,0)),0,VLOOKUP($T$120,'TAR FIN'!$A$1:$O$92,15,0))</f>
        <v>94.95</v>
      </c>
      <c r="X120" s="6">
        <f>IF(ISERROR(VLOOKUP($U$120,'TAR FIN'!$A$1:$O$92,15,0)),0,VLOOKUP($U$120,'TAR FIN'!$A$1:$O$92,15,0))</f>
        <v>106.24</v>
      </c>
      <c r="Y120" s="6"/>
      <c r="Z120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120" s="6">
        <f>('TE BE'!$AB$13+'TE BF'!$AB$13+'TE CVA'!$AB$13)*(1-CUSTOS!$M$34)</f>
        <v>100.50737434390136</v>
      </c>
      <c r="AB120" s="6">
        <f t="shared" si="9"/>
        <v>0</v>
      </c>
      <c r="AC120" s="6">
        <f>(L120-M120)*(W120+X120)+($W$147+$X$147-$W$120-$X$120)*(L120)</f>
        <v>4416.306599999999</v>
      </c>
      <c r="AD120" s="6">
        <f t="shared" si="11"/>
        <v>0</v>
      </c>
      <c r="AE120" s="6">
        <f ca="1">(L120-M120)*(Z120+AA120)+($Z$147+$AA$147-$Z$120-$AA$120)*(L120)</f>
        <v>4663.5814224135083</v>
      </c>
      <c r="AF120" s="4" t="s">
        <v>688</v>
      </c>
    </row>
    <row r="121" spans="1:32" ht="11.25" customHeight="1" x14ac:dyDescent="0.3">
      <c r="A121" s="4" t="s">
        <v>21</v>
      </c>
      <c r="B121" s="4" t="s">
        <v>22</v>
      </c>
      <c r="C121" s="4" t="s">
        <v>23</v>
      </c>
      <c r="D121" s="4" t="s">
        <v>24</v>
      </c>
      <c r="E121" s="4" t="s">
        <v>28</v>
      </c>
      <c r="F121" s="4" t="s">
        <v>25</v>
      </c>
      <c r="G121" s="4" t="s">
        <v>25</v>
      </c>
      <c r="H121" s="4" t="s">
        <v>25</v>
      </c>
      <c r="I121" s="5">
        <v>44713</v>
      </c>
      <c r="J121" s="6">
        <v>0</v>
      </c>
      <c r="K121" s="6">
        <v>0</v>
      </c>
      <c r="L121" s="6">
        <v>9.6300000000000008</v>
      </c>
      <c r="M121" s="6">
        <v>9.6300000000000008</v>
      </c>
      <c r="N121" s="6">
        <v>9.6300000000000008</v>
      </c>
      <c r="O121" s="6">
        <v>9.6300000000000008</v>
      </c>
      <c r="P121" s="6">
        <v>10</v>
      </c>
      <c r="Q121" s="4" t="s">
        <v>26</v>
      </c>
      <c r="R121" s="4">
        <v>0</v>
      </c>
      <c r="S121" s="4">
        <v>0</v>
      </c>
      <c r="T121" s="4">
        <v>41</v>
      </c>
      <c r="U121" s="4">
        <v>90</v>
      </c>
      <c r="V121" s="6">
        <f>IF(ISERROR(VLOOKUP($S$121,'TAR FIN'!$A$1:$O$92,15,0)),0,VLOOKUP($S$121,'TAR FIN'!$A$1:$O$92,15,0))</f>
        <v>0</v>
      </c>
      <c r="W121" s="6">
        <f>IF(ISERROR(VLOOKUP($T$121,'TAR FIN'!$A$1:$O$92,15,0)),0,VLOOKUP($T$121,'TAR FIN'!$A$1:$O$92,15,0))</f>
        <v>94.95</v>
      </c>
      <c r="X121" s="6">
        <f>IF(ISERROR(VLOOKUP($U$121,'TAR FIN'!$A$1:$O$92,15,0)),0,VLOOKUP($U$121,'TAR FIN'!$A$1:$O$92,15,0))</f>
        <v>106.24</v>
      </c>
      <c r="Y121" s="6"/>
      <c r="Z121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121" s="6">
        <f>('TE BE'!$AB$13+'TE BF'!$AB$13+'TE CVA'!$AB$13)*(1-CUSTOS!$M$34)</f>
        <v>100.50737434390136</v>
      </c>
      <c r="AB121" s="6">
        <f t="shared" si="9"/>
        <v>0</v>
      </c>
      <c r="AC121" s="6">
        <f>(L121-M121)*(W121+X121)+($W$147+$X$147-$W$121-$X$121)*(L121)</f>
        <v>3598.0568999999996</v>
      </c>
      <c r="AD121" s="6">
        <f t="shared" si="11"/>
        <v>0</v>
      </c>
      <c r="AE121" s="6">
        <f ca="1">(L121-M121)*(Z121+AA121)+($Z$147+$AA$147-$Z$121-$AA$121)*(L121)</f>
        <v>3799.5168441490764</v>
      </c>
      <c r="AF121" s="4" t="s">
        <v>688</v>
      </c>
    </row>
    <row r="122" spans="1:32" ht="11.25" customHeight="1" x14ac:dyDescent="0.3">
      <c r="A122" s="4" t="s">
        <v>21</v>
      </c>
      <c r="B122" s="4" t="s">
        <v>22</v>
      </c>
      <c r="C122" s="4" t="s">
        <v>23</v>
      </c>
      <c r="D122" s="4" t="s">
        <v>24</v>
      </c>
      <c r="E122" s="4" t="s">
        <v>28</v>
      </c>
      <c r="F122" s="4" t="s">
        <v>25</v>
      </c>
      <c r="G122" s="4" t="s">
        <v>25</v>
      </c>
      <c r="H122" s="4" t="s">
        <v>25</v>
      </c>
      <c r="I122" s="5">
        <v>44743</v>
      </c>
      <c r="J122" s="6">
        <v>0</v>
      </c>
      <c r="K122" s="6">
        <v>0</v>
      </c>
      <c r="L122" s="6">
        <v>10.95</v>
      </c>
      <c r="M122" s="6">
        <v>10.95</v>
      </c>
      <c r="N122" s="6">
        <v>10.95</v>
      </c>
      <c r="O122" s="6">
        <v>10.95</v>
      </c>
      <c r="P122" s="6">
        <v>17</v>
      </c>
      <c r="Q122" s="4" t="s">
        <v>26</v>
      </c>
      <c r="R122" s="4">
        <v>0</v>
      </c>
      <c r="S122" s="4">
        <v>0</v>
      </c>
      <c r="T122" s="4">
        <v>41</v>
      </c>
      <c r="U122" s="4">
        <v>90</v>
      </c>
      <c r="V122" s="6">
        <f>IF(ISERROR(VLOOKUP($S$122,'TAR FIN'!$A$1:$O$92,15,0)),0,VLOOKUP($S$122,'TAR FIN'!$A$1:$O$92,15,0))</f>
        <v>0</v>
      </c>
      <c r="W122" s="6">
        <f>IF(ISERROR(VLOOKUP($T$122,'TAR FIN'!$A$1:$O$92,15,0)),0,VLOOKUP($T$122,'TAR FIN'!$A$1:$O$92,15,0))</f>
        <v>94.95</v>
      </c>
      <c r="X122" s="6">
        <f>IF(ISERROR(VLOOKUP($U$122,'TAR FIN'!$A$1:$O$92,15,0)),0,VLOOKUP($U$122,'TAR FIN'!$A$1:$O$92,15,0))</f>
        <v>106.24</v>
      </c>
      <c r="Y122" s="6"/>
      <c r="Z122" s="6">
        <f ca="1">('TUSD BE'!$AM$25+'TUSD BF'!$AM$25+'TUSD CVA'!$AM$25-('TUSD BE'!$P$25+'TUSD BF'!$P$25+'TUSD CVA'!$P$25)-('TUSD BE'!$Q$25+'TUSD BF'!$Q$25+'TUSD CVA'!$Q$25)-('TUSD BE'!$R$25+'TUSD BF'!$R$25+'TUSD CVA'!$R$25))*(1-CUSTOS!$M$34)</f>
        <v>111.94264489919739</v>
      </c>
      <c r="AA122" s="6">
        <f>('TE BE'!$AB$13+'TE BF'!$AB$13+'TE CVA'!$AB$13)*(1-CUSTOS!$M$34)</f>
        <v>100.50737434390136</v>
      </c>
      <c r="AB122" s="6">
        <f t="shared" si="9"/>
        <v>0</v>
      </c>
      <c r="AC122" s="6">
        <f>(L122-M122)*(W122+X122)+($W$147+$X$147-$W$122-$X$122)*(L122)</f>
        <v>4091.2484999999992</v>
      </c>
      <c r="AD122" s="6">
        <f t="shared" si="11"/>
        <v>0</v>
      </c>
      <c r="AE122" s="6">
        <f ca="1">(L122-M122)*(Z122+AA122)+($Z$147+$AA$147-$Z$122-$AA$122)*(L122)</f>
        <v>4320.3228913221583</v>
      </c>
      <c r="AF122" s="4" t="s">
        <v>688</v>
      </c>
    </row>
    <row r="123" spans="1:32" ht="11.25" customHeight="1" x14ac:dyDescent="0.3">
      <c r="A123" s="4" t="s">
        <v>21</v>
      </c>
      <c r="B123" s="4" t="s">
        <v>22</v>
      </c>
      <c r="C123" s="4" t="s">
        <v>23</v>
      </c>
      <c r="D123" s="4" t="s">
        <v>24</v>
      </c>
      <c r="E123" s="4" t="s">
        <v>29</v>
      </c>
      <c r="F123" s="4" t="s">
        <v>25</v>
      </c>
      <c r="G123" s="4" t="s">
        <v>25</v>
      </c>
      <c r="H123" s="4" t="s">
        <v>25</v>
      </c>
      <c r="I123" s="5">
        <v>44409</v>
      </c>
      <c r="J123" s="6">
        <v>0</v>
      </c>
      <c r="K123" s="6">
        <v>0</v>
      </c>
      <c r="L123" s="6">
        <v>18.370999999999999</v>
      </c>
      <c r="M123" s="6">
        <v>18.370999999999999</v>
      </c>
      <c r="N123" s="6">
        <v>18.370999999999999</v>
      </c>
      <c r="O123" s="6">
        <v>18.370999999999999</v>
      </c>
      <c r="P123" s="6">
        <v>56</v>
      </c>
      <c r="Q123" s="4" t="s">
        <v>26</v>
      </c>
      <c r="R123" s="4">
        <v>0</v>
      </c>
      <c r="S123" s="4">
        <v>0</v>
      </c>
      <c r="T123" s="4">
        <v>42</v>
      </c>
      <c r="U123" s="4">
        <v>91</v>
      </c>
      <c r="V123" s="6">
        <f>IF(ISERROR(VLOOKUP($S$123,'TAR FIN'!$A$1:$O$92,15,0)),0,VLOOKUP($S$123,'TAR FIN'!$A$1:$O$92,15,0))</f>
        <v>0</v>
      </c>
      <c r="W123" s="6">
        <f>IF(ISERROR(VLOOKUP($T$123,'TAR FIN'!$A$1:$O$92,15,0)),0,VLOOKUP($T$123,'TAR FIN'!$A$1:$O$92,15,0))</f>
        <v>162.77000000000001</v>
      </c>
      <c r="X123" s="6">
        <f>IF(ISERROR(VLOOKUP($U$123,'TAR FIN'!$A$1:$O$92,15,0)),0,VLOOKUP($U$123,'TAR FIN'!$A$1:$O$92,15,0))</f>
        <v>182.12</v>
      </c>
      <c r="Y123" s="6"/>
      <c r="Z123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123" s="6">
        <f>('TE BE'!$AB$14+'TE BF'!$AB$14+'TE CVA'!$AB$14)*(1-CUSTOS!$M$35)</f>
        <v>172.29835601811661</v>
      </c>
      <c r="AB123" s="6">
        <f t="shared" si="9"/>
        <v>0</v>
      </c>
      <c r="AC123" s="6">
        <f>(L123-M123)*(W123+X123)+($W$147+$X$147-$W$123-$X$123)*(L123)</f>
        <v>4224.0440299999991</v>
      </c>
      <c r="AD123" s="6">
        <f t="shared" si="11"/>
        <v>0</v>
      </c>
      <c r="AE123" s="6">
        <f ca="1">(L123-M123)*(Z123+AA123)+($Z$147+$AA$147-$Z$123-$AA$123)*(L123)</f>
        <v>4460.4792040171051</v>
      </c>
      <c r="AF123" s="4" t="s">
        <v>688</v>
      </c>
    </row>
    <row r="124" spans="1:32" ht="11.25" customHeight="1" x14ac:dyDescent="0.3">
      <c r="A124" s="4" t="s">
        <v>21</v>
      </c>
      <c r="B124" s="4" t="s">
        <v>22</v>
      </c>
      <c r="C124" s="4" t="s">
        <v>23</v>
      </c>
      <c r="D124" s="4" t="s">
        <v>24</v>
      </c>
      <c r="E124" s="4" t="s">
        <v>29</v>
      </c>
      <c r="F124" s="4" t="s">
        <v>25</v>
      </c>
      <c r="G124" s="4" t="s">
        <v>25</v>
      </c>
      <c r="H124" s="4" t="s">
        <v>25</v>
      </c>
      <c r="I124" s="5">
        <v>44440</v>
      </c>
      <c r="J124" s="6">
        <v>0</v>
      </c>
      <c r="K124" s="6">
        <v>0</v>
      </c>
      <c r="L124" s="6">
        <v>19.5</v>
      </c>
      <c r="M124" s="6">
        <v>19.5</v>
      </c>
      <c r="N124" s="6">
        <v>19.5</v>
      </c>
      <c r="O124" s="6">
        <v>19.5</v>
      </c>
      <c r="P124" s="6">
        <v>42</v>
      </c>
      <c r="Q124" s="4" t="s">
        <v>26</v>
      </c>
      <c r="R124" s="4">
        <v>0</v>
      </c>
      <c r="S124" s="4">
        <v>0</v>
      </c>
      <c r="T124" s="4">
        <v>42</v>
      </c>
      <c r="U124" s="4">
        <v>91</v>
      </c>
      <c r="V124" s="6">
        <f>IF(ISERROR(VLOOKUP($S$124,'TAR FIN'!$A$1:$O$92,15,0)),0,VLOOKUP($S$124,'TAR FIN'!$A$1:$O$92,15,0))</f>
        <v>0</v>
      </c>
      <c r="W124" s="6">
        <f>IF(ISERROR(VLOOKUP($T$124,'TAR FIN'!$A$1:$O$92,15,0)),0,VLOOKUP($T$124,'TAR FIN'!$A$1:$O$92,15,0))</f>
        <v>162.77000000000001</v>
      </c>
      <c r="X124" s="6">
        <f>IF(ISERROR(VLOOKUP($U$124,'TAR FIN'!$A$1:$O$92,15,0)),0,VLOOKUP($U$124,'TAR FIN'!$A$1:$O$92,15,0))</f>
        <v>182.12</v>
      </c>
      <c r="Y124" s="6"/>
      <c r="Z124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124" s="6">
        <f>('TE BE'!$AB$14+'TE BF'!$AB$14+'TE CVA'!$AB$14)*(1-CUSTOS!$M$35)</f>
        <v>172.29835601811661</v>
      </c>
      <c r="AB124" s="6">
        <f t="shared" si="9"/>
        <v>0</v>
      </c>
      <c r="AC124" s="6">
        <f>(L124-M124)*(W124+X124)+($W$147+$X$147-$W$124-$X$124)*(L124)</f>
        <v>4483.6349999999993</v>
      </c>
      <c r="AD124" s="6">
        <f t="shared" si="11"/>
        <v>0</v>
      </c>
      <c r="AE124" s="6">
        <f ca="1">(L124-M124)*(Z124+AA124)+($Z$147+$AA$147-$Z$124-$AA$124)*(L124)</f>
        <v>4734.6004288462009</v>
      </c>
      <c r="AF124" s="4" t="s">
        <v>688</v>
      </c>
    </row>
    <row r="125" spans="1:32" ht="11.25" customHeight="1" x14ac:dyDescent="0.3">
      <c r="A125" s="4" t="s">
        <v>21</v>
      </c>
      <c r="B125" s="4" t="s">
        <v>22</v>
      </c>
      <c r="C125" s="4" t="s">
        <v>23</v>
      </c>
      <c r="D125" s="4" t="s">
        <v>24</v>
      </c>
      <c r="E125" s="4" t="s">
        <v>29</v>
      </c>
      <c r="F125" s="4" t="s">
        <v>25</v>
      </c>
      <c r="G125" s="4" t="s">
        <v>25</v>
      </c>
      <c r="H125" s="4" t="s">
        <v>25</v>
      </c>
      <c r="I125" s="5">
        <v>44470</v>
      </c>
      <c r="J125" s="6">
        <v>0</v>
      </c>
      <c r="K125" s="6">
        <v>0</v>
      </c>
      <c r="L125" s="6">
        <v>19.084</v>
      </c>
      <c r="M125" s="6">
        <v>19.084</v>
      </c>
      <c r="N125" s="6">
        <v>19.084</v>
      </c>
      <c r="O125" s="6">
        <v>19.084</v>
      </c>
      <c r="P125" s="6">
        <v>58</v>
      </c>
      <c r="Q125" s="4" t="s">
        <v>26</v>
      </c>
      <c r="R125" s="4">
        <v>0</v>
      </c>
      <c r="S125" s="4">
        <v>0</v>
      </c>
      <c r="T125" s="4">
        <v>42</v>
      </c>
      <c r="U125" s="4">
        <v>91</v>
      </c>
      <c r="V125" s="6">
        <f>IF(ISERROR(VLOOKUP($S$125,'TAR FIN'!$A$1:$O$92,15,0)),0,VLOOKUP($S$125,'TAR FIN'!$A$1:$O$92,15,0))</f>
        <v>0</v>
      </c>
      <c r="W125" s="6">
        <f>IF(ISERROR(VLOOKUP($T$125,'TAR FIN'!$A$1:$O$92,15,0)),0,VLOOKUP($T$125,'TAR FIN'!$A$1:$O$92,15,0))</f>
        <v>162.77000000000001</v>
      </c>
      <c r="X125" s="6">
        <f>IF(ISERROR(VLOOKUP($U$125,'TAR FIN'!$A$1:$O$92,15,0)),0,VLOOKUP($U$125,'TAR FIN'!$A$1:$O$92,15,0))</f>
        <v>182.12</v>
      </c>
      <c r="Y125" s="6"/>
      <c r="Z125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125" s="6">
        <f>('TE BE'!$AB$14+'TE BF'!$AB$14+'TE CVA'!$AB$14)*(1-CUSTOS!$M$35)</f>
        <v>172.29835601811661</v>
      </c>
      <c r="AB125" s="6">
        <f t="shared" si="9"/>
        <v>0</v>
      </c>
      <c r="AC125" s="6">
        <f>(L125-M125)*(W125+X125)+($W$147+$X$147-$W$125-$X$125)*(L125)</f>
        <v>4387.9841199999992</v>
      </c>
      <c r="AD125" s="6">
        <f t="shared" si="11"/>
        <v>0</v>
      </c>
      <c r="AE125" s="6">
        <f ca="1">(L125-M125)*(Z125+AA125)+($Z$147+$AA$147-$Z$125-$AA$125)*(L125)</f>
        <v>4633.5956196974812</v>
      </c>
      <c r="AF125" s="4" t="s">
        <v>688</v>
      </c>
    </row>
    <row r="126" spans="1:32" ht="11.25" customHeight="1" x14ac:dyDescent="0.3">
      <c r="A126" s="4" t="s">
        <v>21</v>
      </c>
      <c r="B126" s="4" t="s">
        <v>22</v>
      </c>
      <c r="C126" s="4" t="s">
        <v>23</v>
      </c>
      <c r="D126" s="4" t="s">
        <v>24</v>
      </c>
      <c r="E126" s="4" t="s">
        <v>29</v>
      </c>
      <c r="F126" s="4" t="s">
        <v>25</v>
      </c>
      <c r="G126" s="4" t="s">
        <v>25</v>
      </c>
      <c r="H126" s="4" t="s">
        <v>25</v>
      </c>
      <c r="I126" s="5">
        <v>44501</v>
      </c>
      <c r="J126" s="6">
        <v>0</v>
      </c>
      <c r="K126" s="6">
        <v>0</v>
      </c>
      <c r="L126" s="6">
        <v>18.992999999999999</v>
      </c>
      <c r="M126" s="6">
        <v>18.992999999999999</v>
      </c>
      <c r="N126" s="6">
        <v>18.992999999999999</v>
      </c>
      <c r="O126" s="6">
        <v>18.992999999999999</v>
      </c>
      <c r="P126" s="6">
        <v>67</v>
      </c>
      <c r="Q126" s="4" t="s">
        <v>26</v>
      </c>
      <c r="R126" s="4">
        <v>0</v>
      </c>
      <c r="S126" s="4">
        <v>0</v>
      </c>
      <c r="T126" s="4">
        <v>42</v>
      </c>
      <c r="U126" s="4">
        <v>91</v>
      </c>
      <c r="V126" s="6">
        <f>IF(ISERROR(VLOOKUP($S$126,'TAR FIN'!$A$1:$O$92,15,0)),0,VLOOKUP($S$126,'TAR FIN'!$A$1:$O$92,15,0))</f>
        <v>0</v>
      </c>
      <c r="W126" s="6">
        <f>IF(ISERROR(VLOOKUP($T$126,'TAR FIN'!$A$1:$O$92,15,0)),0,VLOOKUP($T$126,'TAR FIN'!$A$1:$O$92,15,0))</f>
        <v>162.77000000000001</v>
      </c>
      <c r="X126" s="6">
        <f>IF(ISERROR(VLOOKUP($U$126,'TAR FIN'!$A$1:$O$92,15,0)),0,VLOOKUP($U$126,'TAR FIN'!$A$1:$O$92,15,0))</f>
        <v>182.12</v>
      </c>
      <c r="Y126" s="6"/>
      <c r="Z126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126" s="6">
        <f>('TE BE'!$AB$14+'TE BF'!$AB$14+'TE CVA'!$AB$14)*(1-CUSTOS!$M$35)</f>
        <v>172.29835601811661</v>
      </c>
      <c r="AB126" s="6">
        <f t="shared" si="9"/>
        <v>0</v>
      </c>
      <c r="AC126" s="6">
        <f>(L126-M126)*(W126+X126)+($W$147+$X$147-$W$126-$X$126)*(L126)</f>
        <v>4367.0604899999989</v>
      </c>
      <c r="AD126" s="6">
        <f t="shared" si="11"/>
        <v>0</v>
      </c>
      <c r="AE126" s="6">
        <f ca="1">(L126-M126)*(Z126+AA126)+($Z$147+$AA$147-$Z$126-$AA$126)*(L126)</f>
        <v>4611.5008176961992</v>
      </c>
      <c r="AF126" s="4" t="s">
        <v>688</v>
      </c>
    </row>
    <row r="127" spans="1:32" ht="11.25" customHeight="1" x14ac:dyDescent="0.3">
      <c r="A127" s="4" t="s">
        <v>21</v>
      </c>
      <c r="B127" s="4" t="s">
        <v>22</v>
      </c>
      <c r="C127" s="4" t="s">
        <v>23</v>
      </c>
      <c r="D127" s="4" t="s">
        <v>24</v>
      </c>
      <c r="E127" s="4" t="s">
        <v>29</v>
      </c>
      <c r="F127" s="4" t="s">
        <v>25</v>
      </c>
      <c r="G127" s="4" t="s">
        <v>25</v>
      </c>
      <c r="H127" s="4" t="s">
        <v>25</v>
      </c>
      <c r="I127" s="5">
        <v>44531</v>
      </c>
      <c r="J127" s="6">
        <v>0</v>
      </c>
      <c r="K127" s="6">
        <v>0</v>
      </c>
      <c r="L127" s="6">
        <v>20.306999999999999</v>
      </c>
      <c r="M127" s="6">
        <v>20.306999999999999</v>
      </c>
      <c r="N127" s="6">
        <v>20.306999999999999</v>
      </c>
      <c r="O127" s="6">
        <v>20.306999999999999</v>
      </c>
      <c r="P127" s="6">
        <v>47</v>
      </c>
      <c r="Q127" s="4" t="s">
        <v>26</v>
      </c>
      <c r="R127" s="4">
        <v>0</v>
      </c>
      <c r="S127" s="4">
        <v>0</v>
      </c>
      <c r="T127" s="4">
        <v>42</v>
      </c>
      <c r="U127" s="4">
        <v>91</v>
      </c>
      <c r="V127" s="6">
        <f>IF(ISERROR(VLOOKUP($S$127,'TAR FIN'!$A$1:$O$92,15,0)),0,VLOOKUP($S$127,'TAR FIN'!$A$1:$O$92,15,0))</f>
        <v>0</v>
      </c>
      <c r="W127" s="6">
        <f>IF(ISERROR(VLOOKUP($T$127,'TAR FIN'!$A$1:$O$92,15,0)),0,VLOOKUP($T$127,'TAR FIN'!$A$1:$O$92,15,0))</f>
        <v>162.77000000000001</v>
      </c>
      <c r="X127" s="6">
        <f>IF(ISERROR(VLOOKUP($U$127,'TAR FIN'!$A$1:$O$92,15,0)),0,VLOOKUP($U$127,'TAR FIN'!$A$1:$O$92,15,0))</f>
        <v>182.12</v>
      </c>
      <c r="Y127" s="6"/>
      <c r="Z127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127" s="6">
        <f>('TE BE'!$AB$14+'TE BF'!$AB$14+'TE CVA'!$AB$14)*(1-CUSTOS!$M$35)</f>
        <v>172.29835601811661</v>
      </c>
      <c r="AB127" s="6">
        <f t="shared" si="9"/>
        <v>0</v>
      </c>
      <c r="AC127" s="6">
        <f>(L127-M127)*(W127+X127)+($W$147+$X$147-$W$127-$X$127)*(L127)</f>
        <v>4669.188509999999</v>
      </c>
      <c r="AD127" s="6">
        <f t="shared" si="11"/>
        <v>0</v>
      </c>
      <c r="AE127" s="6">
        <f ca="1">(L127-M127)*(Z127+AA127)+($Z$147+$AA$147-$Z$127-$AA$127)*(L127)</f>
        <v>4930.5400465938355</v>
      </c>
      <c r="AF127" s="4" t="s">
        <v>688</v>
      </c>
    </row>
    <row r="128" spans="1:32" ht="11.25" customHeight="1" x14ac:dyDescent="0.3">
      <c r="A128" s="4" t="s">
        <v>21</v>
      </c>
      <c r="B128" s="4" t="s">
        <v>22</v>
      </c>
      <c r="C128" s="4" t="s">
        <v>23</v>
      </c>
      <c r="D128" s="4" t="s">
        <v>24</v>
      </c>
      <c r="E128" s="4" t="s">
        <v>29</v>
      </c>
      <c r="F128" s="4" t="s">
        <v>25</v>
      </c>
      <c r="G128" s="4" t="s">
        <v>25</v>
      </c>
      <c r="H128" s="4" t="s">
        <v>25</v>
      </c>
      <c r="I128" s="5">
        <v>44562</v>
      </c>
      <c r="J128" s="6">
        <v>0</v>
      </c>
      <c r="K128" s="6">
        <v>0</v>
      </c>
      <c r="L128" s="6">
        <v>20.56</v>
      </c>
      <c r="M128" s="6">
        <v>20.56</v>
      </c>
      <c r="N128" s="6">
        <v>20.56</v>
      </c>
      <c r="O128" s="6">
        <v>20.56</v>
      </c>
      <c r="P128" s="6">
        <v>54</v>
      </c>
      <c r="Q128" s="4" t="s">
        <v>26</v>
      </c>
      <c r="R128" s="4">
        <v>0</v>
      </c>
      <c r="S128" s="4">
        <v>0</v>
      </c>
      <c r="T128" s="4">
        <v>42</v>
      </c>
      <c r="U128" s="4">
        <v>91</v>
      </c>
      <c r="V128" s="6">
        <f>IF(ISERROR(VLOOKUP($S$128,'TAR FIN'!$A$1:$O$92,15,0)),0,VLOOKUP($S$128,'TAR FIN'!$A$1:$O$92,15,0))</f>
        <v>0</v>
      </c>
      <c r="W128" s="6">
        <f>IF(ISERROR(VLOOKUP($T$128,'TAR FIN'!$A$1:$O$92,15,0)),0,VLOOKUP($T$128,'TAR FIN'!$A$1:$O$92,15,0))</f>
        <v>162.77000000000001</v>
      </c>
      <c r="X128" s="6">
        <f>IF(ISERROR(VLOOKUP($U$128,'TAR FIN'!$A$1:$O$92,15,0)),0,VLOOKUP($U$128,'TAR FIN'!$A$1:$O$92,15,0))</f>
        <v>182.12</v>
      </c>
      <c r="Y128" s="6"/>
      <c r="Z128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128" s="6">
        <f>('TE BE'!$AB$14+'TE BF'!$AB$14+'TE CVA'!$AB$14)*(1-CUSTOS!$M$35)</f>
        <v>172.29835601811661</v>
      </c>
      <c r="AB128" s="6">
        <f t="shared" si="9"/>
        <v>0</v>
      </c>
      <c r="AC128" s="6">
        <f>(L128-M128)*(W128+X128)+($W$147+$X$147-$W$128-$X$128)*(L128)</f>
        <v>4727.3607999999986</v>
      </c>
      <c r="AD128" s="6">
        <f t="shared" si="11"/>
        <v>0</v>
      </c>
      <c r="AE128" s="6">
        <f ca="1">(L128-M128)*(Z128+AA128)+($Z$147+$AA$147-$Z$128-$AA$128)*(L128)</f>
        <v>4991.9684521578401</v>
      </c>
      <c r="AF128" s="4" t="s">
        <v>688</v>
      </c>
    </row>
    <row r="129" spans="1:32" ht="11.25" customHeight="1" x14ac:dyDescent="0.3">
      <c r="A129" s="4" t="s">
        <v>21</v>
      </c>
      <c r="B129" s="4" t="s">
        <v>22</v>
      </c>
      <c r="C129" s="4" t="s">
        <v>23</v>
      </c>
      <c r="D129" s="4" t="s">
        <v>24</v>
      </c>
      <c r="E129" s="4" t="s">
        <v>29</v>
      </c>
      <c r="F129" s="4" t="s">
        <v>25</v>
      </c>
      <c r="G129" s="4" t="s">
        <v>25</v>
      </c>
      <c r="H129" s="4" t="s">
        <v>25</v>
      </c>
      <c r="I129" s="5">
        <v>44593</v>
      </c>
      <c r="J129" s="6">
        <v>0</v>
      </c>
      <c r="K129" s="6">
        <v>0</v>
      </c>
      <c r="L129" s="6">
        <v>23.015999999999998</v>
      </c>
      <c r="M129" s="6">
        <v>23.015999999999998</v>
      </c>
      <c r="N129" s="6">
        <v>23.015999999999998</v>
      </c>
      <c r="O129" s="6">
        <v>23.015999999999998</v>
      </c>
      <c r="P129" s="6">
        <v>37</v>
      </c>
      <c r="Q129" s="4" t="s">
        <v>26</v>
      </c>
      <c r="R129" s="4">
        <v>0</v>
      </c>
      <c r="S129" s="4">
        <v>0</v>
      </c>
      <c r="T129" s="4">
        <v>42</v>
      </c>
      <c r="U129" s="4">
        <v>91</v>
      </c>
      <c r="V129" s="6">
        <f>IF(ISERROR(VLOOKUP($S$129,'TAR FIN'!$A$1:$O$92,15,0)),0,VLOOKUP($S$129,'TAR FIN'!$A$1:$O$92,15,0))</f>
        <v>0</v>
      </c>
      <c r="W129" s="6">
        <f>IF(ISERROR(VLOOKUP($T$129,'TAR FIN'!$A$1:$O$92,15,0)),0,VLOOKUP($T$129,'TAR FIN'!$A$1:$O$92,15,0))</f>
        <v>162.77000000000001</v>
      </c>
      <c r="X129" s="6">
        <f>IF(ISERROR(VLOOKUP($U$129,'TAR FIN'!$A$1:$O$92,15,0)),0,VLOOKUP($U$129,'TAR FIN'!$A$1:$O$92,15,0))</f>
        <v>182.12</v>
      </c>
      <c r="Y129" s="6"/>
      <c r="Z129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129" s="6">
        <f>('TE BE'!$AB$14+'TE BF'!$AB$14+'TE CVA'!$AB$14)*(1-CUSTOS!$M$35)</f>
        <v>172.29835601811661</v>
      </c>
      <c r="AB129" s="6">
        <f t="shared" si="9"/>
        <v>0</v>
      </c>
      <c r="AC129" s="6">
        <f>(L129-M129)*(W129+X129)+($W$147+$X$147-$W$129-$X$129)*(L129)</f>
        <v>5292.068879999998</v>
      </c>
      <c r="AD129" s="6">
        <f t="shared" si="11"/>
        <v>0</v>
      </c>
      <c r="AE129" s="6">
        <f ca="1">(L129-M129)*(Z129+AA129)+($Z$147+$AA$147-$Z$129-$AA$129)*(L129)</f>
        <v>5588.2853061704691</v>
      </c>
      <c r="AF129" s="4" t="s">
        <v>688</v>
      </c>
    </row>
    <row r="130" spans="1:32" ht="11.25" customHeight="1" x14ac:dyDescent="0.3">
      <c r="A130" s="4" t="s">
        <v>21</v>
      </c>
      <c r="B130" s="4" t="s">
        <v>22</v>
      </c>
      <c r="C130" s="4" t="s">
        <v>23</v>
      </c>
      <c r="D130" s="4" t="s">
        <v>24</v>
      </c>
      <c r="E130" s="4" t="s">
        <v>29</v>
      </c>
      <c r="F130" s="4" t="s">
        <v>25</v>
      </c>
      <c r="G130" s="4" t="s">
        <v>25</v>
      </c>
      <c r="H130" s="4" t="s">
        <v>25</v>
      </c>
      <c r="I130" s="5">
        <v>44621</v>
      </c>
      <c r="J130" s="6">
        <v>0</v>
      </c>
      <c r="K130" s="6">
        <v>0</v>
      </c>
      <c r="L130" s="6">
        <v>24</v>
      </c>
      <c r="M130" s="6">
        <v>24</v>
      </c>
      <c r="N130" s="6">
        <v>24</v>
      </c>
      <c r="O130" s="6">
        <v>24</v>
      </c>
      <c r="P130" s="6">
        <v>55</v>
      </c>
      <c r="Q130" s="4" t="s">
        <v>26</v>
      </c>
      <c r="R130" s="4">
        <v>0</v>
      </c>
      <c r="S130" s="4">
        <v>0</v>
      </c>
      <c r="T130" s="4">
        <v>42</v>
      </c>
      <c r="U130" s="4">
        <v>91</v>
      </c>
      <c r="V130" s="6">
        <f>IF(ISERROR(VLOOKUP($S$130,'TAR FIN'!$A$1:$O$92,15,0)),0,VLOOKUP($S$130,'TAR FIN'!$A$1:$O$92,15,0))</f>
        <v>0</v>
      </c>
      <c r="W130" s="6">
        <f>IF(ISERROR(VLOOKUP($T$130,'TAR FIN'!$A$1:$O$92,15,0)),0,VLOOKUP($T$130,'TAR FIN'!$A$1:$O$92,15,0))</f>
        <v>162.77000000000001</v>
      </c>
      <c r="X130" s="6">
        <f>IF(ISERROR(VLOOKUP($U$130,'TAR FIN'!$A$1:$O$92,15,0)),0,VLOOKUP($U$130,'TAR FIN'!$A$1:$O$92,15,0))</f>
        <v>182.12</v>
      </c>
      <c r="Y130" s="6"/>
      <c r="Z130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130" s="6">
        <f>('TE BE'!$AB$14+'TE BF'!$AB$14+'TE CVA'!$AB$14)*(1-CUSTOS!$M$35)</f>
        <v>172.29835601811661</v>
      </c>
      <c r="AB130" s="6">
        <f t="shared" ref="AB130:AB193" si="15">(J130-K130)*V130</f>
        <v>0</v>
      </c>
      <c r="AC130" s="6">
        <f>(L130-M130)*(W130+X130)+($W$147+$X$147-$W$130-$X$130)*(L130)</f>
        <v>5518.3199999999988</v>
      </c>
      <c r="AD130" s="6">
        <f t="shared" ref="AD130:AD193" si="16">(J130-K130)*Y130</f>
        <v>0</v>
      </c>
      <c r="AE130" s="6">
        <f ca="1">(L130-M130)*(Z130+AA130)+($Z$147+$AA$147-$Z$130-$AA$130)*(L130)</f>
        <v>5827.2005278107081</v>
      </c>
      <c r="AF130" s="4" t="s">
        <v>688</v>
      </c>
    </row>
    <row r="131" spans="1:32" ht="11.25" customHeight="1" x14ac:dyDescent="0.3">
      <c r="A131" s="4" t="s">
        <v>21</v>
      </c>
      <c r="B131" s="4" t="s">
        <v>22</v>
      </c>
      <c r="C131" s="4" t="s">
        <v>23</v>
      </c>
      <c r="D131" s="4" t="s">
        <v>24</v>
      </c>
      <c r="E131" s="4" t="s">
        <v>29</v>
      </c>
      <c r="F131" s="4" t="s">
        <v>25</v>
      </c>
      <c r="G131" s="4" t="s">
        <v>25</v>
      </c>
      <c r="H131" s="4" t="s">
        <v>25</v>
      </c>
      <c r="I131" s="5">
        <v>44652</v>
      </c>
      <c r="J131" s="6">
        <v>0</v>
      </c>
      <c r="K131" s="6">
        <v>0</v>
      </c>
      <c r="L131" s="6">
        <v>23.969000000000001</v>
      </c>
      <c r="M131" s="6">
        <v>23.969000000000001</v>
      </c>
      <c r="N131" s="6">
        <v>23.969000000000001</v>
      </c>
      <c r="O131" s="6">
        <v>23.969000000000001</v>
      </c>
      <c r="P131" s="6">
        <v>65</v>
      </c>
      <c r="Q131" s="4" t="s">
        <v>26</v>
      </c>
      <c r="R131" s="4">
        <v>0</v>
      </c>
      <c r="S131" s="4">
        <v>0</v>
      </c>
      <c r="T131" s="4">
        <v>42</v>
      </c>
      <c r="U131" s="4">
        <v>91</v>
      </c>
      <c r="V131" s="6">
        <f>IF(ISERROR(VLOOKUP($S$131,'TAR FIN'!$A$1:$O$92,15,0)),0,VLOOKUP($S$131,'TAR FIN'!$A$1:$O$92,15,0))</f>
        <v>0</v>
      </c>
      <c r="W131" s="6">
        <f>IF(ISERROR(VLOOKUP($T$131,'TAR FIN'!$A$1:$O$92,15,0)),0,VLOOKUP($T$131,'TAR FIN'!$A$1:$O$92,15,0))</f>
        <v>162.77000000000001</v>
      </c>
      <c r="X131" s="6">
        <f>IF(ISERROR(VLOOKUP($U$131,'TAR FIN'!$A$1:$O$92,15,0)),0,VLOOKUP($U$131,'TAR FIN'!$A$1:$O$92,15,0))</f>
        <v>182.12</v>
      </c>
      <c r="Y131" s="6"/>
      <c r="Z131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131" s="6">
        <f>('TE BE'!$AB$14+'TE BF'!$AB$14+'TE CVA'!$AB$14)*(1-CUSTOS!$M$35)</f>
        <v>172.29835601811661</v>
      </c>
      <c r="AB131" s="6">
        <f t="shared" si="15"/>
        <v>0</v>
      </c>
      <c r="AC131" s="6">
        <f>(L131-M131)*(W131+X131)+($W$147+$X$147-$W$131-$X$131)*(L131)</f>
        <v>5511.1921699999994</v>
      </c>
      <c r="AD131" s="6">
        <f t="shared" si="16"/>
        <v>0</v>
      </c>
      <c r="AE131" s="6">
        <f ca="1">(L131-M131)*(Z131+AA131)+($Z$147+$AA$147-$Z$131-$AA$131)*(L131)</f>
        <v>5819.673727128953</v>
      </c>
      <c r="AF131" s="4" t="s">
        <v>688</v>
      </c>
    </row>
    <row r="132" spans="1:32" ht="11.25" customHeight="1" x14ac:dyDescent="0.3">
      <c r="A132" s="4" t="s">
        <v>21</v>
      </c>
      <c r="B132" s="4" t="s">
        <v>22</v>
      </c>
      <c r="C132" s="4" t="s">
        <v>23</v>
      </c>
      <c r="D132" s="4" t="s">
        <v>24</v>
      </c>
      <c r="E132" s="4" t="s">
        <v>29</v>
      </c>
      <c r="F132" s="4" t="s">
        <v>25</v>
      </c>
      <c r="G132" s="4" t="s">
        <v>25</v>
      </c>
      <c r="H132" s="4" t="s">
        <v>25</v>
      </c>
      <c r="I132" s="5">
        <v>44682</v>
      </c>
      <c r="J132" s="6">
        <v>0</v>
      </c>
      <c r="K132" s="6">
        <v>0</v>
      </c>
      <c r="L132" s="6">
        <v>24.436</v>
      </c>
      <c r="M132" s="6">
        <v>24.436</v>
      </c>
      <c r="N132" s="6">
        <v>24.436</v>
      </c>
      <c r="O132" s="6">
        <v>24.436</v>
      </c>
      <c r="P132" s="6">
        <v>97</v>
      </c>
      <c r="Q132" s="4" t="s">
        <v>26</v>
      </c>
      <c r="R132" s="4">
        <v>0</v>
      </c>
      <c r="S132" s="4">
        <v>0</v>
      </c>
      <c r="T132" s="4">
        <v>42</v>
      </c>
      <c r="U132" s="4">
        <v>91</v>
      </c>
      <c r="V132" s="6">
        <f>IF(ISERROR(VLOOKUP($S$132,'TAR FIN'!$A$1:$O$92,15,0)),0,VLOOKUP($S$132,'TAR FIN'!$A$1:$O$92,15,0))</f>
        <v>0</v>
      </c>
      <c r="W132" s="6">
        <f>IF(ISERROR(VLOOKUP($T$132,'TAR FIN'!$A$1:$O$92,15,0)),0,VLOOKUP($T$132,'TAR FIN'!$A$1:$O$92,15,0))</f>
        <v>162.77000000000001</v>
      </c>
      <c r="X132" s="6">
        <f>IF(ISERROR(VLOOKUP($U$132,'TAR FIN'!$A$1:$O$92,15,0)),0,VLOOKUP($U$132,'TAR FIN'!$A$1:$O$92,15,0))</f>
        <v>182.12</v>
      </c>
      <c r="Y132" s="6"/>
      <c r="Z132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132" s="6">
        <f>('TE BE'!$AB$14+'TE BF'!$AB$14+'TE CVA'!$AB$14)*(1-CUSTOS!$M$35)</f>
        <v>172.29835601811661</v>
      </c>
      <c r="AB132" s="6">
        <f t="shared" si="15"/>
        <v>0</v>
      </c>
      <c r="AC132" s="6">
        <f>(L132-M132)*(W132+X132)+($W$147+$X$147-$W$132-$X$132)*(L132)</f>
        <v>5618.5694799999992</v>
      </c>
      <c r="AD132" s="6">
        <f t="shared" si="16"/>
        <v>0</v>
      </c>
      <c r="AE132" s="6">
        <f ca="1">(L132-M132)*(Z132+AA132)+($Z$147+$AA$147-$Z$132-$AA$132)*(L132)</f>
        <v>5933.0613373992692</v>
      </c>
      <c r="AF132" s="4" t="s">
        <v>688</v>
      </c>
    </row>
    <row r="133" spans="1:32" ht="11.25" customHeight="1" x14ac:dyDescent="0.3">
      <c r="A133" s="4" t="s">
        <v>21</v>
      </c>
      <c r="B133" s="4" t="s">
        <v>22</v>
      </c>
      <c r="C133" s="4" t="s">
        <v>23</v>
      </c>
      <c r="D133" s="4" t="s">
        <v>24</v>
      </c>
      <c r="E133" s="4" t="s">
        <v>29</v>
      </c>
      <c r="F133" s="4" t="s">
        <v>25</v>
      </c>
      <c r="G133" s="4" t="s">
        <v>25</v>
      </c>
      <c r="H133" s="4" t="s">
        <v>25</v>
      </c>
      <c r="I133" s="5">
        <v>44713</v>
      </c>
      <c r="J133" s="6">
        <v>0</v>
      </c>
      <c r="K133" s="6">
        <v>0</v>
      </c>
      <c r="L133" s="6">
        <v>19.992999999999999</v>
      </c>
      <c r="M133" s="6">
        <v>19.992999999999999</v>
      </c>
      <c r="N133" s="6">
        <v>19.992999999999999</v>
      </c>
      <c r="O133" s="6">
        <v>19.992999999999999</v>
      </c>
      <c r="P133" s="6">
        <v>64</v>
      </c>
      <c r="Q133" s="4" t="s">
        <v>26</v>
      </c>
      <c r="R133" s="4">
        <v>0</v>
      </c>
      <c r="S133" s="4">
        <v>0</v>
      </c>
      <c r="T133" s="4">
        <v>42</v>
      </c>
      <c r="U133" s="4">
        <v>91</v>
      </c>
      <c r="V133" s="6">
        <f>IF(ISERROR(VLOOKUP($S$133,'TAR FIN'!$A$1:$O$92,15,0)),0,VLOOKUP($S$133,'TAR FIN'!$A$1:$O$92,15,0))</f>
        <v>0</v>
      </c>
      <c r="W133" s="6">
        <f>IF(ISERROR(VLOOKUP($T$133,'TAR FIN'!$A$1:$O$92,15,0)),0,VLOOKUP($T$133,'TAR FIN'!$A$1:$O$92,15,0))</f>
        <v>162.77000000000001</v>
      </c>
      <c r="X133" s="6">
        <f>IF(ISERROR(VLOOKUP($U$133,'TAR FIN'!$A$1:$O$92,15,0)),0,VLOOKUP($U$133,'TAR FIN'!$A$1:$O$92,15,0))</f>
        <v>182.12</v>
      </c>
      <c r="Y133" s="6"/>
      <c r="Z133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133" s="6">
        <f>('TE BE'!$AB$14+'TE BF'!$AB$14+'TE CVA'!$AB$14)*(1-CUSTOS!$M$35)</f>
        <v>172.29835601811661</v>
      </c>
      <c r="AB133" s="6">
        <f t="shared" si="15"/>
        <v>0</v>
      </c>
      <c r="AC133" s="6">
        <f>(L133-M133)*(W133+X133)+($W$147+$X$147-$W$133-$X$133)*(L133)</f>
        <v>4596.9904899999983</v>
      </c>
      <c r="AD133" s="6">
        <f t="shared" si="16"/>
        <v>0</v>
      </c>
      <c r="AE133" s="6">
        <f ca="1">(L133-M133)*(Z133+AA133)+($Z$147+$AA$147-$Z$133-$AA$133)*(L133)</f>
        <v>4854.3008396883115</v>
      </c>
      <c r="AF133" s="4" t="s">
        <v>688</v>
      </c>
    </row>
    <row r="134" spans="1:32" ht="11.25" customHeight="1" x14ac:dyDescent="0.3">
      <c r="A134" s="4" t="s">
        <v>21</v>
      </c>
      <c r="B134" s="4" t="s">
        <v>22</v>
      </c>
      <c r="C134" s="4" t="s">
        <v>23</v>
      </c>
      <c r="D134" s="4" t="s">
        <v>24</v>
      </c>
      <c r="E134" s="4" t="s">
        <v>29</v>
      </c>
      <c r="F134" s="4" t="s">
        <v>25</v>
      </c>
      <c r="G134" s="4" t="s">
        <v>25</v>
      </c>
      <c r="H134" s="4" t="s">
        <v>25</v>
      </c>
      <c r="I134" s="5">
        <v>44743</v>
      </c>
      <c r="J134" s="6">
        <v>0</v>
      </c>
      <c r="K134" s="6">
        <v>0</v>
      </c>
      <c r="L134" s="6">
        <v>22.091000000000001</v>
      </c>
      <c r="M134" s="6">
        <v>22.091000000000001</v>
      </c>
      <c r="N134" s="6">
        <v>22.091000000000001</v>
      </c>
      <c r="O134" s="6">
        <v>22.091000000000001</v>
      </c>
      <c r="P134" s="6">
        <v>78</v>
      </c>
      <c r="Q134" s="4" t="s">
        <v>26</v>
      </c>
      <c r="R134" s="4">
        <v>0</v>
      </c>
      <c r="S134" s="4">
        <v>0</v>
      </c>
      <c r="T134" s="4">
        <v>42</v>
      </c>
      <c r="U134" s="4">
        <v>91</v>
      </c>
      <c r="V134" s="6">
        <f>IF(ISERROR(VLOOKUP($S$134,'TAR FIN'!$A$1:$O$92,15,0)),0,VLOOKUP($S$134,'TAR FIN'!$A$1:$O$92,15,0))</f>
        <v>0</v>
      </c>
      <c r="W134" s="6">
        <f>IF(ISERROR(VLOOKUP($T$134,'TAR FIN'!$A$1:$O$92,15,0)),0,VLOOKUP($T$134,'TAR FIN'!$A$1:$O$92,15,0))</f>
        <v>162.77000000000001</v>
      </c>
      <c r="X134" s="6">
        <f>IF(ISERROR(VLOOKUP($U$134,'TAR FIN'!$A$1:$O$92,15,0)),0,VLOOKUP($U$134,'TAR FIN'!$A$1:$O$92,15,0))</f>
        <v>182.12</v>
      </c>
      <c r="Y134" s="6"/>
      <c r="Z134" s="6">
        <f ca="1">('TUSD BE'!$AM$26+'TUSD BF'!$AM$26+'TUSD CVA'!$AM$26-('TUSD BE'!$P$26+'TUSD BF'!$P$26+'TUSD CVA'!$P$26)-('TUSD BE'!$Q$26+'TUSD BF'!$Q$26+'TUSD CVA'!$Q$26)-('TUSD BE'!$R$26+'TUSD BF'!$R$26+'TUSD CVA'!$R$26))*(1-CUSTOS!$M$35)</f>
        <v>191.90167697005268</v>
      </c>
      <c r="AA134" s="6">
        <f>('TE BE'!$AB$14+'TE BF'!$AB$14+'TE CVA'!$AB$14)*(1-CUSTOS!$M$35)</f>
        <v>172.29835601811661</v>
      </c>
      <c r="AB134" s="6">
        <f t="shared" si="15"/>
        <v>0</v>
      </c>
      <c r="AC134" s="6">
        <f>(L134-M134)*(W134+X134)+($W$147+$X$147-$W$134-$X$134)*(L134)</f>
        <v>5079.3836299999994</v>
      </c>
      <c r="AD134" s="6">
        <f t="shared" si="16"/>
        <v>0</v>
      </c>
      <c r="AE134" s="6">
        <f ca="1">(L134-M134)*(Z134+AA134)+($Z$147+$AA$147-$Z$134-$AA$134)*(L134)</f>
        <v>5363.6952858277655</v>
      </c>
      <c r="AF134" s="4" t="s">
        <v>688</v>
      </c>
    </row>
    <row r="135" spans="1:32" ht="11.25" customHeight="1" x14ac:dyDescent="0.3">
      <c r="A135" s="4" t="s">
        <v>21</v>
      </c>
      <c r="B135" s="4" t="s">
        <v>22</v>
      </c>
      <c r="C135" s="4" t="s">
        <v>23</v>
      </c>
      <c r="D135" s="4" t="s">
        <v>24</v>
      </c>
      <c r="E135" s="4" t="s">
        <v>30</v>
      </c>
      <c r="F135" s="4" t="s">
        <v>25</v>
      </c>
      <c r="G135" s="4" t="s">
        <v>25</v>
      </c>
      <c r="H135" s="4" t="s">
        <v>25</v>
      </c>
      <c r="I135" s="5">
        <v>44409</v>
      </c>
      <c r="J135" s="6">
        <v>0</v>
      </c>
      <c r="K135" s="6">
        <v>0</v>
      </c>
      <c r="L135" s="6">
        <v>17.896999999999998</v>
      </c>
      <c r="M135" s="6">
        <v>17.896999999999998</v>
      </c>
      <c r="N135" s="6">
        <v>17.896999999999998</v>
      </c>
      <c r="O135" s="6">
        <v>17.896999999999998</v>
      </c>
      <c r="P135" s="6">
        <v>147</v>
      </c>
      <c r="Q135" s="4" t="s">
        <v>26</v>
      </c>
      <c r="R135" s="4">
        <v>0</v>
      </c>
      <c r="S135" s="4">
        <v>0</v>
      </c>
      <c r="T135" s="4">
        <v>45</v>
      </c>
      <c r="U135" s="4">
        <v>2</v>
      </c>
      <c r="V135" s="6">
        <f>IF(ISERROR(VLOOKUP($S$135,'TAR FIN'!$A$1:$O$92,15,0)),0,VLOOKUP($S$135,'TAR FIN'!$A$1:$O$92,15,0))</f>
        <v>0</v>
      </c>
      <c r="W135" s="6">
        <f>IF(ISERROR(VLOOKUP($T$135,'TAR FIN'!$A$1:$O$92,15,0)),0,VLOOKUP($T$135,'TAR FIN'!$A$1:$O$92,15,0))</f>
        <v>244.15</v>
      </c>
      <c r="X135" s="6">
        <f>IF(ISERROR(VLOOKUP($U$135,'TAR FIN'!$A$1:$O$92,15,0)),0,VLOOKUP($U$135,'TAR FIN'!$A$1:$O$92,15,0))</f>
        <v>273.19</v>
      </c>
      <c r="Y135" s="6"/>
      <c r="Z135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135" s="6">
        <f>('TE BE'!$AB$15+'TE BF'!$AB$15+'TE CVA'!$AB$15)*(1-CUSTOS!$M$36)</f>
        <v>258.44753402717492</v>
      </c>
      <c r="AB135" s="6">
        <f t="shared" si="15"/>
        <v>0</v>
      </c>
      <c r="AC135" s="6">
        <f>(L135-M135)*(W135+X135)+($W$147+$X$147-$W$135-$X$135)*(L135)</f>
        <v>1028.7195599999993</v>
      </c>
      <c r="AD135" s="6">
        <f t="shared" si="16"/>
        <v>0</v>
      </c>
      <c r="AE135" s="6">
        <f ca="1">(L135-M135)*(Z135+AA135)+($Z$147+$AA$147-$Z$135-$AA$135)*(L135)</f>
        <v>1086.3479983982104</v>
      </c>
      <c r="AF135" s="4" t="s">
        <v>688</v>
      </c>
    </row>
    <row r="136" spans="1:32" ht="11.25" customHeight="1" x14ac:dyDescent="0.3">
      <c r="A136" s="4" t="s">
        <v>21</v>
      </c>
      <c r="B136" s="4" t="s">
        <v>22</v>
      </c>
      <c r="C136" s="4" t="s">
        <v>23</v>
      </c>
      <c r="D136" s="4" t="s">
        <v>24</v>
      </c>
      <c r="E136" s="4" t="s">
        <v>30</v>
      </c>
      <c r="F136" s="4" t="s">
        <v>25</v>
      </c>
      <c r="G136" s="4" t="s">
        <v>25</v>
      </c>
      <c r="H136" s="4" t="s">
        <v>25</v>
      </c>
      <c r="I136" s="5">
        <v>44440</v>
      </c>
      <c r="J136" s="6">
        <v>0</v>
      </c>
      <c r="K136" s="6">
        <v>0</v>
      </c>
      <c r="L136" s="6">
        <v>20.79</v>
      </c>
      <c r="M136" s="6">
        <v>20.79</v>
      </c>
      <c r="N136" s="6">
        <v>20.79</v>
      </c>
      <c r="O136" s="6">
        <v>20.79</v>
      </c>
      <c r="P136" s="6">
        <v>159</v>
      </c>
      <c r="Q136" s="4" t="s">
        <v>26</v>
      </c>
      <c r="R136" s="4">
        <v>0</v>
      </c>
      <c r="S136" s="4">
        <v>0</v>
      </c>
      <c r="T136" s="4">
        <v>45</v>
      </c>
      <c r="U136" s="4">
        <v>2</v>
      </c>
      <c r="V136" s="6">
        <f>IF(ISERROR(VLOOKUP($S$136,'TAR FIN'!$A$1:$O$92,15,0)),0,VLOOKUP($S$136,'TAR FIN'!$A$1:$O$92,15,0))</f>
        <v>0</v>
      </c>
      <c r="W136" s="6">
        <f>IF(ISERROR(VLOOKUP($T$136,'TAR FIN'!$A$1:$O$92,15,0)),0,VLOOKUP($T$136,'TAR FIN'!$A$1:$O$92,15,0))</f>
        <v>244.15</v>
      </c>
      <c r="X136" s="6">
        <f>IF(ISERROR(VLOOKUP($U$136,'TAR FIN'!$A$1:$O$92,15,0)),0,VLOOKUP($U$136,'TAR FIN'!$A$1:$O$92,15,0))</f>
        <v>273.19</v>
      </c>
      <c r="Y136" s="6"/>
      <c r="Z136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136" s="6">
        <f>('TE BE'!$AB$15+'TE BF'!$AB$15+'TE CVA'!$AB$15)*(1-CUSTOS!$M$36)</f>
        <v>258.44753402717492</v>
      </c>
      <c r="AB136" s="6">
        <f t="shared" si="15"/>
        <v>0</v>
      </c>
      <c r="AC136" s="6">
        <f>(L136-M136)*(W136+X136)+($W$147+$X$147-$W$136-$X$136)*(L136)</f>
        <v>1195.0091999999991</v>
      </c>
      <c r="AD136" s="6">
        <f t="shared" si="16"/>
        <v>0</v>
      </c>
      <c r="AE136" s="6">
        <f ca="1">(L136-M136)*(Z136+AA136)+($Z$147+$AA$147-$Z$136-$AA$136)*(L136)</f>
        <v>1261.953114304006</v>
      </c>
      <c r="AF136" s="4" t="s">
        <v>688</v>
      </c>
    </row>
    <row r="137" spans="1:32" ht="11.25" customHeight="1" x14ac:dyDescent="0.3">
      <c r="A137" s="4" t="s">
        <v>21</v>
      </c>
      <c r="B137" s="4" t="s">
        <v>22</v>
      </c>
      <c r="C137" s="4" t="s">
        <v>23</v>
      </c>
      <c r="D137" s="4" t="s">
        <v>24</v>
      </c>
      <c r="E137" s="4" t="s">
        <v>30</v>
      </c>
      <c r="F137" s="4" t="s">
        <v>25</v>
      </c>
      <c r="G137" s="4" t="s">
        <v>25</v>
      </c>
      <c r="H137" s="4" t="s">
        <v>25</v>
      </c>
      <c r="I137" s="5">
        <v>44470</v>
      </c>
      <c r="J137" s="6">
        <v>0</v>
      </c>
      <c r="K137" s="6">
        <v>0</v>
      </c>
      <c r="L137" s="6">
        <v>17.515999999999998</v>
      </c>
      <c r="M137" s="6">
        <v>17.515999999999998</v>
      </c>
      <c r="N137" s="6">
        <v>17.515999999999998</v>
      </c>
      <c r="O137" s="6">
        <v>17.515999999999998</v>
      </c>
      <c r="P137" s="6">
        <v>170</v>
      </c>
      <c r="Q137" s="4" t="s">
        <v>26</v>
      </c>
      <c r="R137" s="4">
        <v>0</v>
      </c>
      <c r="S137" s="4">
        <v>0</v>
      </c>
      <c r="T137" s="4">
        <v>45</v>
      </c>
      <c r="U137" s="4">
        <v>2</v>
      </c>
      <c r="V137" s="6">
        <f>IF(ISERROR(VLOOKUP($S$137,'TAR FIN'!$A$1:$O$92,15,0)),0,VLOOKUP($S$137,'TAR FIN'!$A$1:$O$92,15,0))</f>
        <v>0</v>
      </c>
      <c r="W137" s="6">
        <f>IF(ISERROR(VLOOKUP($T$137,'TAR FIN'!$A$1:$O$92,15,0)),0,VLOOKUP($T$137,'TAR FIN'!$A$1:$O$92,15,0))</f>
        <v>244.15</v>
      </c>
      <c r="X137" s="6">
        <f>IF(ISERROR(VLOOKUP($U$137,'TAR FIN'!$A$1:$O$92,15,0)),0,VLOOKUP($U$137,'TAR FIN'!$A$1:$O$92,15,0))</f>
        <v>273.19</v>
      </c>
      <c r="Y137" s="6"/>
      <c r="Z137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137" s="6">
        <f>('TE BE'!$AB$15+'TE BF'!$AB$15+'TE CVA'!$AB$15)*(1-CUSTOS!$M$36)</f>
        <v>258.44753402717492</v>
      </c>
      <c r="AB137" s="6">
        <f t="shared" si="15"/>
        <v>0</v>
      </c>
      <c r="AC137" s="6">
        <f>(L137-M137)*(W137+X137)+($W$147+$X$147-$W$137-$X$137)*(L137)</f>
        <v>1006.8196799999993</v>
      </c>
      <c r="AD137" s="6">
        <f t="shared" si="16"/>
        <v>0</v>
      </c>
      <c r="AE137" s="6">
        <f ca="1">(L137-M137)*(Z137+AA137)+($Z$147+$AA$147-$Z$137-$AA$137)*(L137)</f>
        <v>1063.2212963034617</v>
      </c>
      <c r="AF137" s="4" t="s">
        <v>688</v>
      </c>
    </row>
    <row r="138" spans="1:32" ht="11.25" customHeight="1" x14ac:dyDescent="0.3">
      <c r="A138" s="4" t="s">
        <v>21</v>
      </c>
      <c r="B138" s="4" t="s">
        <v>22</v>
      </c>
      <c r="C138" s="4" t="s">
        <v>23</v>
      </c>
      <c r="D138" s="4" t="s">
        <v>24</v>
      </c>
      <c r="E138" s="4" t="s">
        <v>30</v>
      </c>
      <c r="F138" s="4" t="s">
        <v>25</v>
      </c>
      <c r="G138" s="4" t="s">
        <v>25</v>
      </c>
      <c r="H138" s="4" t="s">
        <v>25</v>
      </c>
      <c r="I138" s="5">
        <v>44501</v>
      </c>
      <c r="J138" s="6">
        <v>0</v>
      </c>
      <c r="K138" s="6">
        <v>0</v>
      </c>
      <c r="L138" s="6">
        <v>16.582999999999998</v>
      </c>
      <c r="M138" s="6">
        <v>16.582999999999998</v>
      </c>
      <c r="N138" s="6">
        <v>16.582999999999998</v>
      </c>
      <c r="O138" s="6">
        <v>16.582999999999998</v>
      </c>
      <c r="P138" s="6">
        <v>170</v>
      </c>
      <c r="Q138" s="4" t="s">
        <v>26</v>
      </c>
      <c r="R138" s="4">
        <v>0</v>
      </c>
      <c r="S138" s="4">
        <v>0</v>
      </c>
      <c r="T138" s="4">
        <v>45</v>
      </c>
      <c r="U138" s="4">
        <v>2</v>
      </c>
      <c r="V138" s="6">
        <f>IF(ISERROR(VLOOKUP($S$138,'TAR FIN'!$A$1:$O$92,15,0)),0,VLOOKUP($S$138,'TAR FIN'!$A$1:$O$92,15,0))</f>
        <v>0</v>
      </c>
      <c r="W138" s="6">
        <f>IF(ISERROR(VLOOKUP($T$138,'TAR FIN'!$A$1:$O$92,15,0)),0,VLOOKUP($T$138,'TAR FIN'!$A$1:$O$92,15,0))</f>
        <v>244.15</v>
      </c>
      <c r="X138" s="6">
        <f>IF(ISERROR(VLOOKUP($U$138,'TAR FIN'!$A$1:$O$92,15,0)),0,VLOOKUP($U$138,'TAR FIN'!$A$1:$O$92,15,0))</f>
        <v>273.19</v>
      </c>
      <c r="Y138" s="6"/>
      <c r="Z138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138" s="6">
        <f>('TE BE'!$AB$15+'TE BF'!$AB$15+'TE CVA'!$AB$15)*(1-CUSTOS!$M$36)</f>
        <v>258.44753402717492</v>
      </c>
      <c r="AB138" s="6">
        <f t="shared" si="15"/>
        <v>0</v>
      </c>
      <c r="AC138" s="6">
        <f>(L138-M138)*(W138+X138)+($W$147+$X$147-$W$138-$X$138)*(L138)</f>
        <v>953.1908399999993</v>
      </c>
      <c r="AD138" s="6">
        <f t="shared" si="16"/>
        <v>0</v>
      </c>
      <c r="AE138" s="6">
        <f ca="1">(L138-M138)*(Z138+AA138)+($Z$147+$AA$147-$Z$138-$AA$138)*(L138)</f>
        <v>1006.5881911738014</v>
      </c>
      <c r="AF138" s="4" t="s">
        <v>688</v>
      </c>
    </row>
    <row r="139" spans="1:32" ht="11.25" customHeight="1" x14ac:dyDescent="0.3">
      <c r="A139" s="4" t="s">
        <v>21</v>
      </c>
      <c r="B139" s="4" t="s">
        <v>22</v>
      </c>
      <c r="C139" s="4" t="s">
        <v>23</v>
      </c>
      <c r="D139" s="4" t="s">
        <v>24</v>
      </c>
      <c r="E139" s="4" t="s">
        <v>30</v>
      </c>
      <c r="F139" s="4" t="s">
        <v>25</v>
      </c>
      <c r="G139" s="4" t="s">
        <v>25</v>
      </c>
      <c r="H139" s="4" t="s">
        <v>25</v>
      </c>
      <c r="I139" s="5">
        <v>44531</v>
      </c>
      <c r="J139" s="6">
        <v>0</v>
      </c>
      <c r="K139" s="6">
        <v>0</v>
      </c>
      <c r="L139" s="6">
        <v>20.638999999999999</v>
      </c>
      <c r="M139" s="6">
        <v>20.638999999999999</v>
      </c>
      <c r="N139" s="6">
        <v>20.638999999999999</v>
      </c>
      <c r="O139" s="6">
        <v>20.638999999999999</v>
      </c>
      <c r="P139" s="6">
        <v>161</v>
      </c>
      <c r="Q139" s="4" t="s">
        <v>26</v>
      </c>
      <c r="R139" s="4">
        <v>0</v>
      </c>
      <c r="S139" s="4">
        <v>0</v>
      </c>
      <c r="T139" s="4">
        <v>45</v>
      </c>
      <c r="U139" s="4">
        <v>2</v>
      </c>
      <c r="V139" s="6">
        <f>IF(ISERROR(VLOOKUP($S$139,'TAR FIN'!$A$1:$O$92,15,0)),0,VLOOKUP($S$139,'TAR FIN'!$A$1:$O$92,15,0))</f>
        <v>0</v>
      </c>
      <c r="W139" s="6">
        <f>IF(ISERROR(VLOOKUP($T$139,'TAR FIN'!$A$1:$O$92,15,0)),0,VLOOKUP($T$139,'TAR FIN'!$A$1:$O$92,15,0))</f>
        <v>244.15</v>
      </c>
      <c r="X139" s="6">
        <f>IF(ISERROR(VLOOKUP($U$139,'TAR FIN'!$A$1:$O$92,15,0)),0,VLOOKUP($U$139,'TAR FIN'!$A$1:$O$92,15,0))</f>
        <v>273.19</v>
      </c>
      <c r="Y139" s="6"/>
      <c r="Z139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139" s="6">
        <f>('TE BE'!$AB$15+'TE BF'!$AB$15+'TE CVA'!$AB$15)*(1-CUSTOS!$M$36)</f>
        <v>258.44753402717492</v>
      </c>
      <c r="AB139" s="6">
        <f t="shared" si="15"/>
        <v>0</v>
      </c>
      <c r="AC139" s="6">
        <f>(L139-M139)*(W139+X139)+($W$147+$X$147-$W$139-$X$139)*(L139)</f>
        <v>1186.3297199999993</v>
      </c>
      <c r="AD139" s="6">
        <f t="shared" si="16"/>
        <v>0</v>
      </c>
      <c r="AE139" s="6">
        <f ca="1">(L139-M139)*(Z139+AA139)+($Z$147+$AA$147-$Z$139-$AA$139)*(L139)</f>
        <v>1252.7874134738038</v>
      </c>
      <c r="AF139" s="4" t="s">
        <v>688</v>
      </c>
    </row>
    <row r="140" spans="1:32" ht="11.25" customHeight="1" x14ac:dyDescent="0.3">
      <c r="A140" s="4" t="s">
        <v>21</v>
      </c>
      <c r="B140" s="4" t="s">
        <v>22</v>
      </c>
      <c r="C140" s="4" t="s">
        <v>23</v>
      </c>
      <c r="D140" s="4" t="s">
        <v>24</v>
      </c>
      <c r="E140" s="4" t="s">
        <v>30</v>
      </c>
      <c r="F140" s="4" t="s">
        <v>25</v>
      </c>
      <c r="G140" s="4" t="s">
        <v>25</v>
      </c>
      <c r="H140" s="4" t="s">
        <v>25</v>
      </c>
      <c r="I140" s="5">
        <v>44562</v>
      </c>
      <c r="J140" s="6">
        <v>0</v>
      </c>
      <c r="K140" s="6">
        <v>0</v>
      </c>
      <c r="L140" s="6">
        <v>19.594000000000001</v>
      </c>
      <c r="M140" s="6">
        <v>19.594000000000001</v>
      </c>
      <c r="N140" s="6">
        <v>19.594000000000001</v>
      </c>
      <c r="O140" s="6">
        <v>19.594000000000001</v>
      </c>
      <c r="P140" s="6">
        <v>172</v>
      </c>
      <c r="Q140" s="4" t="s">
        <v>26</v>
      </c>
      <c r="R140" s="4">
        <v>0</v>
      </c>
      <c r="S140" s="4">
        <v>0</v>
      </c>
      <c r="T140" s="4">
        <v>45</v>
      </c>
      <c r="U140" s="4">
        <v>2</v>
      </c>
      <c r="V140" s="6">
        <f>IF(ISERROR(VLOOKUP($S$140,'TAR FIN'!$A$1:$O$92,15,0)),0,VLOOKUP($S$140,'TAR FIN'!$A$1:$O$92,15,0))</f>
        <v>0</v>
      </c>
      <c r="W140" s="6">
        <f>IF(ISERROR(VLOOKUP($T$140,'TAR FIN'!$A$1:$O$92,15,0)),0,VLOOKUP($T$140,'TAR FIN'!$A$1:$O$92,15,0))</f>
        <v>244.15</v>
      </c>
      <c r="X140" s="6">
        <f>IF(ISERROR(VLOOKUP($U$140,'TAR FIN'!$A$1:$O$92,15,0)),0,VLOOKUP($U$140,'TAR FIN'!$A$1:$O$92,15,0))</f>
        <v>273.19</v>
      </c>
      <c r="Y140" s="6"/>
      <c r="Z140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140" s="6">
        <f>('TE BE'!$AB$15+'TE BF'!$AB$15+'TE CVA'!$AB$15)*(1-CUSTOS!$M$36)</f>
        <v>258.44753402717492</v>
      </c>
      <c r="AB140" s="6">
        <f t="shared" si="15"/>
        <v>0</v>
      </c>
      <c r="AC140" s="6">
        <f>(L140-M140)*(W140+X140)+($W$147+$X$147-$W$140-$X$140)*(L140)</f>
        <v>1126.2631199999994</v>
      </c>
      <c r="AD140" s="6">
        <f t="shared" si="16"/>
        <v>0</v>
      </c>
      <c r="AE140" s="6">
        <f ca="1">(L140-M140)*(Z140+AA140)+($Z$147+$AA$147-$Z$140-$AA$140)*(L140)</f>
        <v>1189.3559077283644</v>
      </c>
      <c r="AF140" s="4" t="s">
        <v>688</v>
      </c>
    </row>
    <row r="141" spans="1:32" ht="11.25" customHeight="1" x14ac:dyDescent="0.3">
      <c r="A141" s="4" t="s">
        <v>21</v>
      </c>
      <c r="B141" s="4" t="s">
        <v>22</v>
      </c>
      <c r="C141" s="4" t="s">
        <v>23</v>
      </c>
      <c r="D141" s="4" t="s">
        <v>24</v>
      </c>
      <c r="E141" s="4" t="s">
        <v>30</v>
      </c>
      <c r="F141" s="4" t="s">
        <v>25</v>
      </c>
      <c r="G141" s="4" t="s">
        <v>25</v>
      </c>
      <c r="H141" s="4" t="s">
        <v>25</v>
      </c>
      <c r="I141" s="5">
        <v>44593</v>
      </c>
      <c r="J141" s="6">
        <v>0</v>
      </c>
      <c r="K141" s="6">
        <v>0</v>
      </c>
      <c r="L141" s="6">
        <v>26.75</v>
      </c>
      <c r="M141" s="6">
        <v>26.75</v>
      </c>
      <c r="N141" s="6">
        <v>26.75</v>
      </c>
      <c r="O141" s="6">
        <v>26.75</v>
      </c>
      <c r="P141" s="6">
        <v>163</v>
      </c>
      <c r="Q141" s="4" t="s">
        <v>26</v>
      </c>
      <c r="R141" s="4">
        <v>0</v>
      </c>
      <c r="S141" s="4">
        <v>0</v>
      </c>
      <c r="T141" s="4">
        <v>45</v>
      </c>
      <c r="U141" s="4">
        <v>2</v>
      </c>
      <c r="V141" s="6">
        <f>IF(ISERROR(VLOOKUP($S$141,'TAR FIN'!$A$1:$O$92,15,0)),0,VLOOKUP($S$141,'TAR FIN'!$A$1:$O$92,15,0))</f>
        <v>0</v>
      </c>
      <c r="W141" s="6">
        <f>IF(ISERROR(VLOOKUP($T$141,'TAR FIN'!$A$1:$O$92,15,0)),0,VLOOKUP($T$141,'TAR FIN'!$A$1:$O$92,15,0))</f>
        <v>244.15</v>
      </c>
      <c r="X141" s="6">
        <f>IF(ISERROR(VLOOKUP($U$141,'TAR FIN'!$A$1:$O$92,15,0)),0,VLOOKUP($U$141,'TAR FIN'!$A$1:$O$92,15,0))</f>
        <v>273.19</v>
      </c>
      <c r="Y141" s="6"/>
      <c r="Z141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141" s="6">
        <f>('TE BE'!$AB$15+'TE BF'!$AB$15+'TE CVA'!$AB$15)*(1-CUSTOS!$M$36)</f>
        <v>258.44753402717492</v>
      </c>
      <c r="AB141" s="6">
        <f t="shared" si="15"/>
        <v>0</v>
      </c>
      <c r="AC141" s="6">
        <f>(L141-M141)*(W141+X141)+($W$147+$X$147-$W$141-$X$141)*(L141)</f>
        <v>1537.589999999999</v>
      </c>
      <c r="AD141" s="6">
        <f t="shared" si="16"/>
        <v>0</v>
      </c>
      <c r="AE141" s="6">
        <f ca="1">(L141-M141)*(Z141+AA141)+($Z$147+$AA$147-$Z$141-$AA$141)*(L141)</f>
        <v>1623.725147072254</v>
      </c>
      <c r="AF141" s="4" t="s">
        <v>688</v>
      </c>
    </row>
    <row r="142" spans="1:32" ht="11.25" customHeight="1" x14ac:dyDescent="0.3">
      <c r="A142" s="4" t="s">
        <v>21</v>
      </c>
      <c r="B142" s="4" t="s">
        <v>22</v>
      </c>
      <c r="C142" s="4" t="s">
        <v>23</v>
      </c>
      <c r="D142" s="4" t="s">
        <v>24</v>
      </c>
      <c r="E142" s="4" t="s">
        <v>30</v>
      </c>
      <c r="F142" s="4" t="s">
        <v>25</v>
      </c>
      <c r="G142" s="4" t="s">
        <v>25</v>
      </c>
      <c r="H142" s="4" t="s">
        <v>25</v>
      </c>
      <c r="I142" s="5">
        <v>44621</v>
      </c>
      <c r="J142" s="6">
        <v>0</v>
      </c>
      <c r="K142" s="6">
        <v>0</v>
      </c>
      <c r="L142" s="6">
        <v>25.718</v>
      </c>
      <c r="M142" s="6">
        <v>25.718</v>
      </c>
      <c r="N142" s="6">
        <v>25.718</v>
      </c>
      <c r="O142" s="6">
        <v>25.718</v>
      </c>
      <c r="P142" s="6">
        <v>190</v>
      </c>
      <c r="Q142" s="4" t="s">
        <v>26</v>
      </c>
      <c r="R142" s="4">
        <v>0</v>
      </c>
      <c r="S142" s="4">
        <v>0</v>
      </c>
      <c r="T142" s="4">
        <v>45</v>
      </c>
      <c r="U142" s="4">
        <v>2</v>
      </c>
      <c r="V142" s="6">
        <f>IF(ISERROR(VLOOKUP($S$142,'TAR FIN'!$A$1:$O$92,15,0)),0,VLOOKUP($S$142,'TAR FIN'!$A$1:$O$92,15,0))</f>
        <v>0</v>
      </c>
      <c r="W142" s="6">
        <f>IF(ISERROR(VLOOKUP($T$142,'TAR FIN'!$A$1:$O$92,15,0)),0,VLOOKUP($T$142,'TAR FIN'!$A$1:$O$92,15,0))</f>
        <v>244.15</v>
      </c>
      <c r="X142" s="6">
        <f>IF(ISERROR(VLOOKUP($U$142,'TAR FIN'!$A$1:$O$92,15,0)),0,VLOOKUP($U$142,'TAR FIN'!$A$1:$O$92,15,0))</f>
        <v>273.19</v>
      </c>
      <c r="Y142" s="6"/>
      <c r="Z142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142" s="6">
        <f>('TE BE'!$AB$15+'TE BF'!$AB$15+'TE CVA'!$AB$15)*(1-CUSTOS!$M$36)</f>
        <v>258.44753402717492</v>
      </c>
      <c r="AB142" s="6">
        <f t="shared" si="15"/>
        <v>0</v>
      </c>
      <c r="AC142" s="6">
        <f>(L142-M142)*(W142+X142)+($W$147+$X$147-$W$142-$X$142)*(L142)</f>
        <v>1478.270639999999</v>
      </c>
      <c r="AD142" s="6">
        <f t="shared" si="16"/>
        <v>0</v>
      </c>
      <c r="AE142" s="6">
        <f ca="1">(L142-M142)*(Z142+AA142)+($Z$147+$AA$147-$Z$142-$AA$142)*(L142)</f>
        <v>1561.082741398289</v>
      </c>
      <c r="AF142" s="4" t="s">
        <v>688</v>
      </c>
    </row>
    <row r="143" spans="1:32" ht="11.25" customHeight="1" x14ac:dyDescent="0.3">
      <c r="A143" s="4" t="s">
        <v>21</v>
      </c>
      <c r="B143" s="4" t="s">
        <v>22</v>
      </c>
      <c r="C143" s="4" t="s">
        <v>23</v>
      </c>
      <c r="D143" s="4" t="s">
        <v>24</v>
      </c>
      <c r="E143" s="4" t="s">
        <v>30</v>
      </c>
      <c r="F143" s="4" t="s">
        <v>25</v>
      </c>
      <c r="G143" s="4" t="s">
        <v>25</v>
      </c>
      <c r="H143" s="4" t="s">
        <v>25</v>
      </c>
      <c r="I143" s="5">
        <v>44652</v>
      </c>
      <c r="J143" s="6">
        <v>0</v>
      </c>
      <c r="K143" s="6">
        <v>0</v>
      </c>
      <c r="L143" s="6">
        <v>22.731999999999999</v>
      </c>
      <c r="M143" s="6">
        <v>22.731999999999999</v>
      </c>
      <c r="N143" s="6">
        <v>22.731999999999999</v>
      </c>
      <c r="O143" s="6">
        <v>22.731999999999999</v>
      </c>
      <c r="P143" s="6">
        <v>205</v>
      </c>
      <c r="Q143" s="4" t="s">
        <v>26</v>
      </c>
      <c r="R143" s="4">
        <v>0</v>
      </c>
      <c r="S143" s="4">
        <v>0</v>
      </c>
      <c r="T143" s="4">
        <v>45</v>
      </c>
      <c r="U143" s="4">
        <v>2</v>
      </c>
      <c r="V143" s="6">
        <f>IF(ISERROR(VLOOKUP($S$143,'TAR FIN'!$A$1:$O$92,15,0)),0,VLOOKUP($S$143,'TAR FIN'!$A$1:$O$92,15,0))</f>
        <v>0</v>
      </c>
      <c r="W143" s="6">
        <f>IF(ISERROR(VLOOKUP($T$143,'TAR FIN'!$A$1:$O$92,15,0)),0,VLOOKUP($T$143,'TAR FIN'!$A$1:$O$92,15,0))</f>
        <v>244.15</v>
      </c>
      <c r="X143" s="6">
        <f>IF(ISERROR(VLOOKUP($U$143,'TAR FIN'!$A$1:$O$92,15,0)),0,VLOOKUP($U$143,'TAR FIN'!$A$1:$O$92,15,0))</f>
        <v>273.19</v>
      </c>
      <c r="Y143" s="6"/>
      <c r="Z143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143" s="6">
        <f>('TE BE'!$AB$15+'TE BF'!$AB$15+'TE CVA'!$AB$15)*(1-CUSTOS!$M$36)</f>
        <v>258.44753402717492</v>
      </c>
      <c r="AB143" s="6">
        <f t="shared" si="15"/>
        <v>0</v>
      </c>
      <c r="AC143" s="6">
        <f>(L143-M143)*(W143+X143)+($W$147+$X$147-$W$143-$X$143)*(L143)</f>
        <v>1306.6353599999991</v>
      </c>
      <c r="AD143" s="6">
        <f t="shared" si="16"/>
        <v>0</v>
      </c>
      <c r="AE143" s="6">
        <f ca="1">(L143-M143)*(Z143+AA143)+($Z$147+$AA$147-$Z$143-$AA$143)*(L143)</f>
        <v>1379.8325249811767</v>
      </c>
      <c r="AF143" s="4" t="s">
        <v>688</v>
      </c>
    </row>
    <row r="144" spans="1:32" ht="11.25" customHeight="1" x14ac:dyDescent="0.3">
      <c r="A144" s="4" t="s">
        <v>21</v>
      </c>
      <c r="B144" s="4" t="s">
        <v>22</v>
      </c>
      <c r="C144" s="4" t="s">
        <v>23</v>
      </c>
      <c r="D144" s="4" t="s">
        <v>24</v>
      </c>
      <c r="E144" s="4" t="s">
        <v>30</v>
      </c>
      <c r="F144" s="4" t="s">
        <v>25</v>
      </c>
      <c r="G144" s="4" t="s">
        <v>25</v>
      </c>
      <c r="H144" s="4" t="s">
        <v>25</v>
      </c>
      <c r="I144" s="5">
        <v>44682</v>
      </c>
      <c r="J144" s="6">
        <v>0</v>
      </c>
      <c r="K144" s="6">
        <v>0</v>
      </c>
      <c r="L144" s="6">
        <v>21.222999999999999</v>
      </c>
      <c r="M144" s="6">
        <v>21.222999999999999</v>
      </c>
      <c r="N144" s="6">
        <v>21.222999999999999</v>
      </c>
      <c r="O144" s="6">
        <v>21.222999999999999</v>
      </c>
      <c r="P144" s="6">
        <v>212</v>
      </c>
      <c r="Q144" s="4" t="s">
        <v>26</v>
      </c>
      <c r="R144" s="4">
        <v>0</v>
      </c>
      <c r="S144" s="4">
        <v>0</v>
      </c>
      <c r="T144" s="4">
        <v>45</v>
      </c>
      <c r="U144" s="4">
        <v>2</v>
      </c>
      <c r="V144" s="6">
        <f>IF(ISERROR(VLOOKUP($S$144,'TAR FIN'!$A$1:$O$92,15,0)),0,VLOOKUP($S$144,'TAR FIN'!$A$1:$O$92,15,0))</f>
        <v>0</v>
      </c>
      <c r="W144" s="6">
        <f>IF(ISERROR(VLOOKUP($T$144,'TAR FIN'!$A$1:$O$92,15,0)),0,VLOOKUP($T$144,'TAR FIN'!$A$1:$O$92,15,0))</f>
        <v>244.15</v>
      </c>
      <c r="X144" s="6">
        <f>IF(ISERROR(VLOOKUP($U$144,'TAR FIN'!$A$1:$O$92,15,0)),0,VLOOKUP($U$144,'TAR FIN'!$A$1:$O$92,15,0))</f>
        <v>273.19</v>
      </c>
      <c r="Y144" s="6"/>
      <c r="Z144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144" s="6">
        <f>('TE BE'!$AB$15+'TE BF'!$AB$15+'TE CVA'!$AB$15)*(1-CUSTOS!$M$36)</f>
        <v>258.44753402717492</v>
      </c>
      <c r="AB144" s="6">
        <f t="shared" si="15"/>
        <v>0</v>
      </c>
      <c r="AC144" s="6">
        <f>(L144-M144)*(W144+X144)+($W$147+$X$147-$W$144-$X$144)*(L144)</f>
        <v>1219.8980399999991</v>
      </c>
      <c r="AD144" s="6">
        <f t="shared" si="16"/>
        <v>0</v>
      </c>
      <c r="AE144" s="6">
        <f ca="1">(L144-M144)*(Z144+AA144)+($Z$147+$AA$147-$Z$144-$AA$144)*(L144)</f>
        <v>1288.2362166846522</v>
      </c>
      <c r="AF144" s="4" t="s">
        <v>688</v>
      </c>
    </row>
    <row r="145" spans="1:32" ht="11.25" customHeight="1" x14ac:dyDescent="0.3">
      <c r="A145" s="4" t="s">
        <v>21</v>
      </c>
      <c r="B145" s="4" t="s">
        <v>22</v>
      </c>
      <c r="C145" s="4" t="s">
        <v>23</v>
      </c>
      <c r="D145" s="4" t="s">
        <v>24</v>
      </c>
      <c r="E145" s="4" t="s">
        <v>30</v>
      </c>
      <c r="F145" s="4" t="s">
        <v>25</v>
      </c>
      <c r="G145" s="4" t="s">
        <v>25</v>
      </c>
      <c r="H145" s="4" t="s">
        <v>25</v>
      </c>
      <c r="I145" s="5">
        <v>44713</v>
      </c>
      <c r="J145" s="6">
        <v>0</v>
      </c>
      <c r="K145" s="6">
        <v>0</v>
      </c>
      <c r="L145" s="6">
        <v>18.413</v>
      </c>
      <c r="M145" s="6">
        <v>18.413</v>
      </c>
      <c r="N145" s="6">
        <v>18.413</v>
      </c>
      <c r="O145" s="6">
        <v>18.413</v>
      </c>
      <c r="P145" s="6">
        <v>178</v>
      </c>
      <c r="Q145" s="4" t="s">
        <v>26</v>
      </c>
      <c r="R145" s="4">
        <v>0</v>
      </c>
      <c r="S145" s="4">
        <v>0</v>
      </c>
      <c r="T145" s="4">
        <v>45</v>
      </c>
      <c r="U145" s="4">
        <v>2</v>
      </c>
      <c r="V145" s="6">
        <f>IF(ISERROR(VLOOKUP($S$145,'TAR FIN'!$A$1:$O$92,15,0)),0,VLOOKUP($S$145,'TAR FIN'!$A$1:$O$92,15,0))</f>
        <v>0</v>
      </c>
      <c r="W145" s="6">
        <f>IF(ISERROR(VLOOKUP($T$145,'TAR FIN'!$A$1:$O$92,15,0)),0,VLOOKUP($T$145,'TAR FIN'!$A$1:$O$92,15,0))</f>
        <v>244.15</v>
      </c>
      <c r="X145" s="6">
        <f>IF(ISERROR(VLOOKUP($U$145,'TAR FIN'!$A$1:$O$92,15,0)),0,VLOOKUP($U$145,'TAR FIN'!$A$1:$O$92,15,0))</f>
        <v>273.19</v>
      </c>
      <c r="Y145" s="6"/>
      <c r="Z145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145" s="6">
        <f>('TE BE'!$AB$15+'TE BF'!$AB$15+'TE CVA'!$AB$15)*(1-CUSTOS!$M$36)</f>
        <v>258.44753402717492</v>
      </c>
      <c r="AB145" s="6">
        <f t="shared" si="15"/>
        <v>0</v>
      </c>
      <c r="AC145" s="6">
        <f>(L145-M145)*(W145+X145)+($W$147+$X$147-$W$145-$X$145)*(L145)</f>
        <v>1058.3792399999993</v>
      </c>
      <c r="AD145" s="6">
        <f t="shared" si="16"/>
        <v>0</v>
      </c>
      <c r="AE145" s="6">
        <f ca="1">(L145-M145)*(Z145+AA145)+($Z$147+$AA$147-$Z$145-$AA$145)*(L145)</f>
        <v>1117.669201235193</v>
      </c>
      <c r="AF145" s="4" t="s">
        <v>688</v>
      </c>
    </row>
    <row r="146" spans="1:32" ht="11.25" customHeight="1" x14ac:dyDescent="0.3">
      <c r="A146" s="4" t="s">
        <v>21</v>
      </c>
      <c r="B146" s="4" t="s">
        <v>22</v>
      </c>
      <c r="C146" s="4" t="s">
        <v>23</v>
      </c>
      <c r="D146" s="4" t="s">
        <v>24</v>
      </c>
      <c r="E146" s="4" t="s">
        <v>30</v>
      </c>
      <c r="F146" s="4" t="s">
        <v>25</v>
      </c>
      <c r="G146" s="4" t="s">
        <v>25</v>
      </c>
      <c r="H146" s="4" t="s">
        <v>25</v>
      </c>
      <c r="I146" s="5">
        <v>44743</v>
      </c>
      <c r="J146" s="6">
        <v>0</v>
      </c>
      <c r="K146" s="6">
        <v>0</v>
      </c>
      <c r="L146" s="6">
        <v>20.666</v>
      </c>
      <c r="M146" s="6">
        <v>20.666</v>
      </c>
      <c r="N146" s="6">
        <v>20.666</v>
      </c>
      <c r="O146" s="6">
        <v>20.666</v>
      </c>
      <c r="P146" s="6">
        <v>180</v>
      </c>
      <c r="Q146" s="4" t="s">
        <v>26</v>
      </c>
      <c r="R146" s="4">
        <v>0</v>
      </c>
      <c r="S146" s="4">
        <v>0</v>
      </c>
      <c r="T146" s="4">
        <v>45</v>
      </c>
      <c r="U146" s="4">
        <v>2</v>
      </c>
      <c r="V146" s="6">
        <f>IF(ISERROR(VLOOKUP($S$146,'TAR FIN'!$A$1:$O$92,15,0)),0,VLOOKUP($S$146,'TAR FIN'!$A$1:$O$92,15,0))</f>
        <v>0</v>
      </c>
      <c r="W146" s="6">
        <f>IF(ISERROR(VLOOKUP($T$146,'TAR FIN'!$A$1:$O$92,15,0)),0,VLOOKUP($T$146,'TAR FIN'!$A$1:$O$92,15,0))</f>
        <v>244.15</v>
      </c>
      <c r="X146" s="6">
        <f>IF(ISERROR(VLOOKUP($U$146,'TAR FIN'!$A$1:$O$92,15,0)),0,VLOOKUP($U$146,'TAR FIN'!$A$1:$O$92,15,0))</f>
        <v>273.19</v>
      </c>
      <c r="Y146" s="6"/>
      <c r="Z146" s="6">
        <f ca="1">('TUSD BE'!$AM$27+'TUSD BF'!$AM$27+'TUSD CVA'!$AM$27-('TUSD BE'!$P$27+'TUSD BF'!$P$27+'TUSD CVA'!$P$27)-('TUSD BE'!$Q$27+'TUSD BF'!$Q$27+'TUSD CVA'!$Q$27)-('TUSD BE'!$R$27+'TUSD BF'!$R$27+'TUSD CVA'!$R$27))*(1-CUSTOS!$M$36)</f>
        <v>287.85251545507901</v>
      </c>
      <c r="AA146" s="6">
        <f>('TE BE'!$AB$15+'TE BF'!$AB$15+'TE CVA'!$AB$15)*(1-CUSTOS!$M$36)</f>
        <v>258.44753402717492</v>
      </c>
      <c r="AB146" s="6">
        <f t="shared" si="15"/>
        <v>0</v>
      </c>
      <c r="AC146" s="6">
        <f>(L146-M146)*(W146+X146)+($W$147+$X$147-$W$146-$X$146)*(L146)</f>
        <v>1187.8816799999993</v>
      </c>
      <c r="AD146" s="6">
        <f t="shared" si="16"/>
        <v>0</v>
      </c>
      <c r="AE146" s="6">
        <f ca="1">(L146-M146)*(Z146+AA146)+($Z$147+$AA$147-$Z$146-$AA$146)*(L146)</f>
        <v>1254.4263136222505</v>
      </c>
      <c r="AF146" s="4" t="s">
        <v>688</v>
      </c>
    </row>
    <row r="147" spans="1:32" ht="11.25" customHeight="1" x14ac:dyDescent="0.3">
      <c r="A147" s="4" t="s">
        <v>21</v>
      </c>
      <c r="B147" s="4" t="s">
        <v>22</v>
      </c>
      <c r="C147" s="4" t="s">
        <v>23</v>
      </c>
      <c r="D147" s="4" t="s">
        <v>24</v>
      </c>
      <c r="E147" s="4" t="s">
        <v>31</v>
      </c>
      <c r="F147" s="4" t="s">
        <v>25</v>
      </c>
      <c r="G147" s="4" t="s">
        <v>25</v>
      </c>
      <c r="H147" s="4" t="s">
        <v>25</v>
      </c>
      <c r="I147" s="5">
        <v>44409</v>
      </c>
      <c r="J147" s="6">
        <v>0</v>
      </c>
      <c r="K147" s="6">
        <v>0</v>
      </c>
      <c r="L147" s="6">
        <v>5.9829999999999997</v>
      </c>
      <c r="M147" s="6">
        <v>5.9829999999999997</v>
      </c>
      <c r="N147" s="6">
        <v>5.9829999999999997</v>
      </c>
      <c r="O147" s="6">
        <v>5.9829999999999997</v>
      </c>
      <c r="P147" s="6">
        <v>82</v>
      </c>
      <c r="Q147" s="4" t="s">
        <v>26</v>
      </c>
      <c r="R147" s="4">
        <v>0</v>
      </c>
      <c r="S147" s="4">
        <v>0</v>
      </c>
      <c r="T147" s="4">
        <v>46</v>
      </c>
      <c r="U147" s="4">
        <v>4</v>
      </c>
      <c r="V147" s="6">
        <f>IF(ISERROR(VLOOKUP($S$147,'TAR FIN'!$A$1:$O$92,15,0)),0,VLOOKUP($S$147,'TAR FIN'!$A$1:$O$92,15,0))</f>
        <v>0</v>
      </c>
      <c r="W147" s="6">
        <f>IF(ISERROR(VLOOKUP($T$147,'TAR FIN'!$A$1:$O$92,15,0)),0,VLOOKUP($T$147,'TAR FIN'!$A$1:$O$92,15,0))</f>
        <v>271.27999999999997</v>
      </c>
      <c r="X147" s="6">
        <f>IF(ISERROR(VLOOKUP($U$147,'TAR FIN'!$A$1:$O$92,15,0)),0,VLOOKUP($U$147,'TAR FIN'!$A$1:$O$92,15,0))</f>
        <v>303.54000000000002</v>
      </c>
      <c r="Y147" s="6"/>
      <c r="Z147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147" s="6">
        <f>('TE BE'!$AB$16+'TE BF'!$AB$16+'TE CVA'!$AB$16)*(1-CUSTOS!$M$37)</f>
        <v>287.16392669686104</v>
      </c>
      <c r="AB147" s="6">
        <f t="shared" si="15"/>
        <v>0</v>
      </c>
      <c r="AC147" s="6">
        <f>(L147-M147)*(W147+X147)+($W$147+$X$147-$W$147-$X$147)*(L147)</f>
        <v>-3.4009417504421433E-13</v>
      </c>
      <c r="AD147" s="6">
        <f t="shared" si="16"/>
        <v>0</v>
      </c>
      <c r="AE147" s="6">
        <f ca="1">(L147-M147)*(Z147+AA147)+($Z$147+$AA$147-$Z$147-$AA$147)*(L147)</f>
        <v>-3.4009417504421433E-13</v>
      </c>
      <c r="AF147" s="4" t="s">
        <v>688</v>
      </c>
    </row>
    <row r="148" spans="1:32" ht="11.25" customHeight="1" x14ac:dyDescent="0.3">
      <c r="A148" s="4" t="s">
        <v>21</v>
      </c>
      <c r="B148" s="4" t="s">
        <v>22</v>
      </c>
      <c r="C148" s="4" t="s">
        <v>23</v>
      </c>
      <c r="D148" s="4" t="s">
        <v>24</v>
      </c>
      <c r="E148" s="4" t="s">
        <v>31</v>
      </c>
      <c r="F148" s="4" t="s">
        <v>25</v>
      </c>
      <c r="G148" s="4" t="s">
        <v>25</v>
      </c>
      <c r="H148" s="4" t="s">
        <v>25</v>
      </c>
      <c r="I148" s="5">
        <v>44440</v>
      </c>
      <c r="J148" s="6">
        <v>0</v>
      </c>
      <c r="K148" s="6">
        <v>0</v>
      </c>
      <c r="L148" s="6">
        <v>7.6020000000000003</v>
      </c>
      <c r="M148" s="6">
        <v>7.6020000000000003</v>
      </c>
      <c r="N148" s="6">
        <v>7.6020000000000003</v>
      </c>
      <c r="O148" s="6">
        <v>7.6020000000000003</v>
      </c>
      <c r="P148" s="6">
        <v>96</v>
      </c>
      <c r="Q148" s="4" t="s">
        <v>26</v>
      </c>
      <c r="R148" s="4">
        <v>0</v>
      </c>
      <c r="S148" s="4">
        <v>0</v>
      </c>
      <c r="T148" s="4">
        <v>46</v>
      </c>
      <c r="U148" s="4">
        <v>4</v>
      </c>
      <c r="V148" s="6">
        <f>IF(ISERROR(VLOOKUP($S$148,'TAR FIN'!$A$1:$O$92,15,0)),0,VLOOKUP($S$148,'TAR FIN'!$A$1:$O$92,15,0))</f>
        <v>0</v>
      </c>
      <c r="W148" s="6">
        <f>IF(ISERROR(VLOOKUP($T$148,'TAR FIN'!$A$1:$O$92,15,0)),0,VLOOKUP($T$148,'TAR FIN'!$A$1:$O$92,15,0))</f>
        <v>271.27999999999997</v>
      </c>
      <c r="X148" s="6">
        <f>IF(ISERROR(VLOOKUP($U$148,'TAR FIN'!$A$1:$O$92,15,0)),0,VLOOKUP($U$148,'TAR FIN'!$A$1:$O$92,15,0))</f>
        <v>303.54000000000002</v>
      </c>
      <c r="Y148" s="6"/>
      <c r="Z148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148" s="6">
        <f>('TE BE'!$AB$16+'TE BF'!$AB$16+'TE CVA'!$AB$16)*(1-CUSTOS!$M$37)</f>
        <v>287.16392669686104</v>
      </c>
      <c r="AB148" s="6">
        <f t="shared" si="15"/>
        <v>0</v>
      </c>
      <c r="AC148" s="6">
        <f>(L148-M148)*(W148+X148)+($W$147+$X$147-$W$148-$X$148)*(L148)</f>
        <v>-4.3212367017986255E-13</v>
      </c>
      <c r="AD148" s="6">
        <f t="shared" si="16"/>
        <v>0</v>
      </c>
      <c r="AE148" s="6">
        <f ca="1">(L148-M148)*(Z148+AA148)+($Z$147+$AA$147-$Z$148-$AA$148)*(L148)</f>
        <v>-4.3212367017986255E-13</v>
      </c>
      <c r="AF148" s="4" t="s">
        <v>688</v>
      </c>
    </row>
    <row r="149" spans="1:32" ht="11.25" customHeight="1" x14ac:dyDescent="0.3">
      <c r="A149" s="4" t="s">
        <v>21</v>
      </c>
      <c r="B149" s="4" t="s">
        <v>22</v>
      </c>
      <c r="C149" s="4" t="s">
        <v>23</v>
      </c>
      <c r="D149" s="4" t="s">
        <v>24</v>
      </c>
      <c r="E149" s="4" t="s">
        <v>31</v>
      </c>
      <c r="F149" s="4" t="s">
        <v>25</v>
      </c>
      <c r="G149" s="4" t="s">
        <v>25</v>
      </c>
      <c r="H149" s="4" t="s">
        <v>25</v>
      </c>
      <c r="I149" s="5">
        <v>44470</v>
      </c>
      <c r="J149" s="6">
        <v>0</v>
      </c>
      <c r="K149" s="6">
        <v>0</v>
      </c>
      <c r="L149" s="6">
        <v>4.5890000000000004</v>
      </c>
      <c r="M149" s="6">
        <v>4.5890000000000004</v>
      </c>
      <c r="N149" s="6">
        <v>4.5890000000000004</v>
      </c>
      <c r="O149" s="6">
        <v>4.5890000000000004</v>
      </c>
      <c r="P149" s="6">
        <v>64</v>
      </c>
      <c r="Q149" s="4" t="s">
        <v>26</v>
      </c>
      <c r="R149" s="4">
        <v>0</v>
      </c>
      <c r="S149" s="4">
        <v>0</v>
      </c>
      <c r="T149" s="4">
        <v>46</v>
      </c>
      <c r="U149" s="4">
        <v>4</v>
      </c>
      <c r="V149" s="6">
        <f>IF(ISERROR(VLOOKUP($S$149,'TAR FIN'!$A$1:$O$92,15,0)),0,VLOOKUP($S$149,'TAR FIN'!$A$1:$O$92,15,0))</f>
        <v>0</v>
      </c>
      <c r="W149" s="6">
        <f>IF(ISERROR(VLOOKUP($T$149,'TAR FIN'!$A$1:$O$92,15,0)),0,VLOOKUP($T$149,'TAR FIN'!$A$1:$O$92,15,0))</f>
        <v>271.27999999999997</v>
      </c>
      <c r="X149" s="6">
        <f>IF(ISERROR(VLOOKUP($U$149,'TAR FIN'!$A$1:$O$92,15,0)),0,VLOOKUP($U$149,'TAR FIN'!$A$1:$O$92,15,0))</f>
        <v>303.54000000000002</v>
      </c>
      <c r="Y149" s="6"/>
      <c r="Z149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149" s="6">
        <f>('TE BE'!$AB$16+'TE BF'!$AB$16+'TE CVA'!$AB$16)*(1-CUSTOS!$M$37)</f>
        <v>287.16392669686104</v>
      </c>
      <c r="AB149" s="6">
        <f t="shared" si="15"/>
        <v>0</v>
      </c>
      <c r="AC149" s="6">
        <f>(L149-M149)*(W149+X149)+($W$147+$X$147-$W$149-$X$149)*(L149)</f>
        <v>-2.60854449152248E-13</v>
      </c>
      <c r="AD149" s="6">
        <f t="shared" si="16"/>
        <v>0</v>
      </c>
      <c r="AE149" s="6">
        <f ca="1">(L149-M149)*(Z149+AA149)+($Z$147+$AA$147-$Z$149-$AA$149)*(L149)</f>
        <v>-2.60854449152248E-13</v>
      </c>
      <c r="AF149" s="4" t="s">
        <v>688</v>
      </c>
    </row>
    <row r="150" spans="1:32" ht="11.25" customHeight="1" x14ac:dyDescent="0.3">
      <c r="A150" s="4" t="s">
        <v>21</v>
      </c>
      <c r="B150" s="4" t="s">
        <v>22</v>
      </c>
      <c r="C150" s="4" t="s">
        <v>23</v>
      </c>
      <c r="D150" s="4" t="s">
        <v>24</v>
      </c>
      <c r="E150" s="4" t="s">
        <v>31</v>
      </c>
      <c r="F150" s="4" t="s">
        <v>25</v>
      </c>
      <c r="G150" s="4" t="s">
        <v>25</v>
      </c>
      <c r="H150" s="4" t="s">
        <v>25</v>
      </c>
      <c r="I150" s="5">
        <v>44501</v>
      </c>
      <c r="J150" s="6">
        <v>0</v>
      </c>
      <c r="K150" s="6">
        <v>0</v>
      </c>
      <c r="L150" s="6">
        <v>3.7509999999999999</v>
      </c>
      <c r="M150" s="6">
        <v>3.7509999999999999</v>
      </c>
      <c r="N150" s="6">
        <v>3.7509999999999999</v>
      </c>
      <c r="O150" s="6">
        <v>3.7509999999999999</v>
      </c>
      <c r="P150" s="6">
        <v>60</v>
      </c>
      <c r="Q150" s="4" t="s">
        <v>26</v>
      </c>
      <c r="R150" s="4">
        <v>0</v>
      </c>
      <c r="S150" s="4">
        <v>0</v>
      </c>
      <c r="T150" s="4">
        <v>46</v>
      </c>
      <c r="U150" s="4">
        <v>4</v>
      </c>
      <c r="V150" s="6">
        <f>IF(ISERROR(VLOOKUP($S$150,'TAR FIN'!$A$1:$O$92,15,0)),0,VLOOKUP($S$150,'TAR FIN'!$A$1:$O$92,15,0))</f>
        <v>0</v>
      </c>
      <c r="W150" s="6">
        <f>IF(ISERROR(VLOOKUP($T$150,'TAR FIN'!$A$1:$O$92,15,0)),0,VLOOKUP($T$150,'TAR FIN'!$A$1:$O$92,15,0))</f>
        <v>271.27999999999997</v>
      </c>
      <c r="X150" s="6">
        <f>IF(ISERROR(VLOOKUP($U$150,'TAR FIN'!$A$1:$O$92,15,0)),0,VLOOKUP($U$150,'TAR FIN'!$A$1:$O$92,15,0))</f>
        <v>303.54000000000002</v>
      </c>
      <c r="Y150" s="6"/>
      <c r="Z150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150" s="6">
        <f>('TE BE'!$AB$16+'TE BF'!$AB$16+'TE CVA'!$AB$16)*(1-CUSTOS!$M$37)</f>
        <v>287.16392669686104</v>
      </c>
      <c r="AB150" s="6">
        <f t="shared" si="15"/>
        <v>0</v>
      </c>
      <c r="AC150" s="6">
        <f>(L150-M150)*(W150+X150)+($W$147+$X$147-$W$150-$X$150)*(L150)</f>
        <v>-2.1321966414689086E-13</v>
      </c>
      <c r="AD150" s="6">
        <f t="shared" si="16"/>
        <v>0</v>
      </c>
      <c r="AE150" s="6">
        <f ca="1">(L150-M150)*(Z150+AA150)+($Z$147+$AA$147-$Z$150-$AA$150)*(L150)</f>
        <v>-2.1321966414689086E-13</v>
      </c>
      <c r="AF150" s="4" t="s">
        <v>688</v>
      </c>
    </row>
    <row r="151" spans="1:32" ht="11.25" customHeight="1" x14ac:dyDescent="0.3">
      <c r="A151" s="4" t="s">
        <v>21</v>
      </c>
      <c r="B151" s="4" t="s">
        <v>22</v>
      </c>
      <c r="C151" s="4" t="s">
        <v>23</v>
      </c>
      <c r="D151" s="4" t="s">
        <v>24</v>
      </c>
      <c r="E151" s="4" t="s">
        <v>31</v>
      </c>
      <c r="F151" s="4" t="s">
        <v>25</v>
      </c>
      <c r="G151" s="4" t="s">
        <v>25</v>
      </c>
      <c r="H151" s="4" t="s">
        <v>25</v>
      </c>
      <c r="I151" s="5">
        <v>44531</v>
      </c>
      <c r="J151" s="6">
        <v>0</v>
      </c>
      <c r="K151" s="6">
        <v>0</v>
      </c>
      <c r="L151" s="6">
        <v>7.5640000000000001</v>
      </c>
      <c r="M151" s="6">
        <v>7.5640000000000001</v>
      </c>
      <c r="N151" s="6">
        <v>7.5640000000000001</v>
      </c>
      <c r="O151" s="6">
        <v>7.5640000000000001</v>
      </c>
      <c r="P151" s="6">
        <v>97</v>
      </c>
      <c r="Q151" s="4" t="s">
        <v>26</v>
      </c>
      <c r="R151" s="4">
        <v>0</v>
      </c>
      <c r="S151" s="4">
        <v>0</v>
      </c>
      <c r="T151" s="4">
        <v>46</v>
      </c>
      <c r="U151" s="4">
        <v>4</v>
      </c>
      <c r="V151" s="6">
        <f>IF(ISERROR(VLOOKUP($S$151,'TAR FIN'!$A$1:$O$92,15,0)),0,VLOOKUP($S$151,'TAR FIN'!$A$1:$O$92,15,0))</f>
        <v>0</v>
      </c>
      <c r="W151" s="6">
        <f>IF(ISERROR(VLOOKUP($T$151,'TAR FIN'!$A$1:$O$92,15,0)),0,VLOOKUP($T$151,'TAR FIN'!$A$1:$O$92,15,0))</f>
        <v>271.27999999999997</v>
      </c>
      <c r="X151" s="6">
        <f>IF(ISERROR(VLOOKUP($U$151,'TAR FIN'!$A$1:$O$92,15,0)),0,VLOOKUP($U$151,'TAR FIN'!$A$1:$O$92,15,0))</f>
        <v>303.54000000000002</v>
      </c>
      <c r="Y151" s="6"/>
      <c r="Z151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151" s="6">
        <f>('TE BE'!$AB$16+'TE BF'!$AB$16+'TE CVA'!$AB$16)*(1-CUSTOS!$M$37)</f>
        <v>287.16392669686104</v>
      </c>
      <c r="AB151" s="6">
        <f t="shared" si="15"/>
        <v>0</v>
      </c>
      <c r="AC151" s="6">
        <f>(L151-M151)*(W151+X151)+($W$147+$X$147-$W$151-$X$151)*(L151)</f>
        <v>-4.2996362026315183E-13</v>
      </c>
      <c r="AD151" s="6">
        <f t="shared" si="16"/>
        <v>0</v>
      </c>
      <c r="AE151" s="6">
        <f ca="1">(L151-M151)*(Z151+AA151)+($Z$147+$AA$147-$Z$151-$AA$151)*(L151)</f>
        <v>-4.2996362026315183E-13</v>
      </c>
      <c r="AF151" s="4" t="s">
        <v>688</v>
      </c>
    </row>
    <row r="152" spans="1:32" ht="11.25" customHeight="1" x14ac:dyDescent="0.3">
      <c r="A152" s="4" t="s">
        <v>21</v>
      </c>
      <c r="B152" s="4" t="s">
        <v>22</v>
      </c>
      <c r="C152" s="4" t="s">
        <v>23</v>
      </c>
      <c r="D152" s="4" t="s">
        <v>24</v>
      </c>
      <c r="E152" s="4" t="s">
        <v>31</v>
      </c>
      <c r="F152" s="4" t="s">
        <v>25</v>
      </c>
      <c r="G152" s="4" t="s">
        <v>25</v>
      </c>
      <c r="H152" s="4" t="s">
        <v>25</v>
      </c>
      <c r="I152" s="5">
        <v>44562</v>
      </c>
      <c r="J152" s="6">
        <v>0</v>
      </c>
      <c r="K152" s="6">
        <v>0</v>
      </c>
      <c r="L152" s="6">
        <v>6.6920000000000002</v>
      </c>
      <c r="M152" s="6">
        <v>6.6920000000000002</v>
      </c>
      <c r="N152" s="6">
        <v>6.6920000000000002</v>
      </c>
      <c r="O152" s="6">
        <v>6.6920000000000002</v>
      </c>
      <c r="P152" s="6">
        <v>87</v>
      </c>
      <c r="Q152" s="4" t="s">
        <v>26</v>
      </c>
      <c r="R152" s="4">
        <v>0</v>
      </c>
      <c r="S152" s="4">
        <v>0</v>
      </c>
      <c r="T152" s="4">
        <v>46</v>
      </c>
      <c r="U152" s="4">
        <v>4</v>
      </c>
      <c r="V152" s="6">
        <f>IF(ISERROR(VLOOKUP($S$152,'TAR FIN'!$A$1:$O$92,15,0)),0,VLOOKUP($S$152,'TAR FIN'!$A$1:$O$92,15,0))</f>
        <v>0</v>
      </c>
      <c r="W152" s="6">
        <f>IF(ISERROR(VLOOKUP($T$152,'TAR FIN'!$A$1:$O$92,15,0)),0,VLOOKUP($T$152,'TAR FIN'!$A$1:$O$92,15,0))</f>
        <v>271.27999999999997</v>
      </c>
      <c r="X152" s="6">
        <f>IF(ISERROR(VLOOKUP($U$152,'TAR FIN'!$A$1:$O$92,15,0)),0,VLOOKUP($U$152,'TAR FIN'!$A$1:$O$92,15,0))</f>
        <v>303.54000000000002</v>
      </c>
      <c r="Y152" s="6"/>
      <c r="Z152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152" s="6">
        <f>('TE BE'!$AB$16+'TE BF'!$AB$16+'TE CVA'!$AB$16)*(1-CUSTOS!$M$37)</f>
        <v>287.16392669686104</v>
      </c>
      <c r="AB152" s="6">
        <f t="shared" si="15"/>
        <v>0</v>
      </c>
      <c r="AC152" s="6">
        <f>(L152-M152)*(W152+X152)+($W$147+$X$147-$W$152-$X$152)*(L152)</f>
        <v>-3.8039615901652725E-13</v>
      </c>
      <c r="AD152" s="6">
        <f t="shared" si="16"/>
        <v>0</v>
      </c>
      <c r="AE152" s="6">
        <f ca="1">(L152-M152)*(Z152+AA152)+($Z$147+$AA$147-$Z$152-$AA$152)*(L152)</f>
        <v>-3.8039615901652725E-13</v>
      </c>
      <c r="AF152" s="4" t="s">
        <v>688</v>
      </c>
    </row>
    <row r="153" spans="1:32" ht="11.25" customHeight="1" x14ac:dyDescent="0.3">
      <c r="A153" s="4" t="s">
        <v>21</v>
      </c>
      <c r="B153" s="4" t="s">
        <v>22</v>
      </c>
      <c r="C153" s="4" t="s">
        <v>23</v>
      </c>
      <c r="D153" s="4" t="s">
        <v>24</v>
      </c>
      <c r="E153" s="4" t="s">
        <v>31</v>
      </c>
      <c r="F153" s="4" t="s">
        <v>25</v>
      </c>
      <c r="G153" s="4" t="s">
        <v>25</v>
      </c>
      <c r="H153" s="4" t="s">
        <v>25</v>
      </c>
      <c r="I153" s="5">
        <v>44593</v>
      </c>
      <c r="J153" s="6">
        <v>0</v>
      </c>
      <c r="K153" s="6">
        <v>0</v>
      </c>
      <c r="L153" s="6">
        <v>15.93</v>
      </c>
      <c r="M153" s="6">
        <v>15.93</v>
      </c>
      <c r="N153" s="6">
        <v>15.93</v>
      </c>
      <c r="O153" s="6">
        <v>15.93</v>
      </c>
      <c r="P153" s="6">
        <v>143</v>
      </c>
      <c r="Q153" s="4" t="s">
        <v>26</v>
      </c>
      <c r="R153" s="4">
        <v>0</v>
      </c>
      <c r="S153" s="4">
        <v>0</v>
      </c>
      <c r="T153" s="4">
        <v>46</v>
      </c>
      <c r="U153" s="4">
        <v>4</v>
      </c>
      <c r="V153" s="6">
        <f>IF(ISERROR(VLOOKUP($S$153,'TAR FIN'!$A$1:$O$92,15,0)),0,VLOOKUP($S$153,'TAR FIN'!$A$1:$O$92,15,0))</f>
        <v>0</v>
      </c>
      <c r="W153" s="6">
        <f>IF(ISERROR(VLOOKUP($T$153,'TAR FIN'!$A$1:$O$92,15,0)),0,VLOOKUP($T$153,'TAR FIN'!$A$1:$O$92,15,0))</f>
        <v>271.27999999999997</v>
      </c>
      <c r="X153" s="6">
        <f>IF(ISERROR(VLOOKUP($U$153,'TAR FIN'!$A$1:$O$92,15,0)),0,VLOOKUP($U$153,'TAR FIN'!$A$1:$O$92,15,0))</f>
        <v>303.54000000000002</v>
      </c>
      <c r="Y153" s="6"/>
      <c r="Z153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153" s="6">
        <f>('TE BE'!$AB$16+'TE BF'!$AB$16+'TE CVA'!$AB$16)*(1-CUSTOS!$M$37)</f>
        <v>287.16392669686104</v>
      </c>
      <c r="AB153" s="6">
        <f t="shared" si="15"/>
        <v>0</v>
      </c>
      <c r="AC153" s="6">
        <f>(L153-M153)*(W153+X153)+($W$147+$X$147-$W$153-$X$153)*(L153)</f>
        <v>-9.0551566245267166E-13</v>
      </c>
      <c r="AD153" s="6">
        <f t="shared" si="16"/>
        <v>0</v>
      </c>
      <c r="AE153" s="6">
        <f ca="1">(L153-M153)*(Z153+AA153)+($Z$147+$AA$147-$Z$153-$AA$153)*(L153)</f>
        <v>-9.0551566245267166E-13</v>
      </c>
      <c r="AF153" s="4" t="s">
        <v>688</v>
      </c>
    </row>
    <row r="154" spans="1:32" ht="11.25" customHeight="1" x14ac:dyDescent="0.3">
      <c r="A154" s="4" t="s">
        <v>21</v>
      </c>
      <c r="B154" s="4" t="s">
        <v>22</v>
      </c>
      <c r="C154" s="4" t="s">
        <v>23</v>
      </c>
      <c r="D154" s="4" t="s">
        <v>24</v>
      </c>
      <c r="E154" s="4" t="s">
        <v>31</v>
      </c>
      <c r="F154" s="4" t="s">
        <v>25</v>
      </c>
      <c r="G154" s="4" t="s">
        <v>25</v>
      </c>
      <c r="H154" s="4" t="s">
        <v>25</v>
      </c>
      <c r="I154" s="5">
        <v>44621</v>
      </c>
      <c r="J154" s="6">
        <v>0</v>
      </c>
      <c r="K154" s="6">
        <v>0</v>
      </c>
      <c r="L154" s="6">
        <v>12.44</v>
      </c>
      <c r="M154" s="6">
        <v>12.44</v>
      </c>
      <c r="N154" s="6">
        <v>12.44</v>
      </c>
      <c r="O154" s="6">
        <v>12.44</v>
      </c>
      <c r="P154" s="6">
        <v>118</v>
      </c>
      <c r="Q154" s="4" t="s">
        <v>26</v>
      </c>
      <c r="R154" s="4">
        <v>0</v>
      </c>
      <c r="S154" s="4">
        <v>0</v>
      </c>
      <c r="T154" s="4">
        <v>46</v>
      </c>
      <c r="U154" s="4">
        <v>4</v>
      </c>
      <c r="V154" s="6">
        <f>IF(ISERROR(VLOOKUP($S$154,'TAR FIN'!$A$1:$O$92,15,0)),0,VLOOKUP($S$154,'TAR FIN'!$A$1:$O$92,15,0))</f>
        <v>0</v>
      </c>
      <c r="W154" s="6">
        <f>IF(ISERROR(VLOOKUP($T$154,'TAR FIN'!$A$1:$O$92,15,0)),0,VLOOKUP($T$154,'TAR FIN'!$A$1:$O$92,15,0))</f>
        <v>271.27999999999997</v>
      </c>
      <c r="X154" s="6">
        <f>IF(ISERROR(VLOOKUP($U$154,'TAR FIN'!$A$1:$O$92,15,0)),0,VLOOKUP($U$154,'TAR FIN'!$A$1:$O$92,15,0))</f>
        <v>303.54000000000002</v>
      </c>
      <c r="Y154" s="6"/>
      <c r="Z154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154" s="6">
        <f>('TE BE'!$AB$16+'TE BF'!$AB$16+'TE CVA'!$AB$16)*(1-CUSTOS!$M$37)</f>
        <v>287.16392669686104</v>
      </c>
      <c r="AB154" s="6">
        <f t="shared" si="15"/>
        <v>0</v>
      </c>
      <c r="AC154" s="6">
        <f>(L154-M154)*(W154+X154)+($W$147+$X$147-$W$154-$X$154)*(L154)</f>
        <v>-7.0713213062845168E-13</v>
      </c>
      <c r="AD154" s="6">
        <f t="shared" si="16"/>
        <v>0</v>
      </c>
      <c r="AE154" s="6">
        <f ca="1">(L154-M154)*(Z154+AA154)+($Z$147+$AA$147-$Z$154-$AA$154)*(L154)</f>
        <v>-7.0713213062845168E-13</v>
      </c>
      <c r="AF154" s="4" t="s">
        <v>688</v>
      </c>
    </row>
    <row r="155" spans="1:32" ht="11.25" customHeight="1" x14ac:dyDescent="0.3">
      <c r="A155" s="4" t="s">
        <v>21</v>
      </c>
      <c r="B155" s="4" t="s">
        <v>22</v>
      </c>
      <c r="C155" s="4" t="s">
        <v>23</v>
      </c>
      <c r="D155" s="4" t="s">
        <v>24</v>
      </c>
      <c r="E155" s="4" t="s">
        <v>31</v>
      </c>
      <c r="F155" s="4" t="s">
        <v>25</v>
      </c>
      <c r="G155" s="4" t="s">
        <v>25</v>
      </c>
      <c r="H155" s="4" t="s">
        <v>25</v>
      </c>
      <c r="I155" s="5">
        <v>44652</v>
      </c>
      <c r="J155" s="6">
        <v>0</v>
      </c>
      <c r="K155" s="6">
        <v>0</v>
      </c>
      <c r="L155" s="6">
        <v>7.141</v>
      </c>
      <c r="M155" s="6">
        <v>7.141</v>
      </c>
      <c r="N155" s="6">
        <v>7.141</v>
      </c>
      <c r="O155" s="6">
        <v>7.141</v>
      </c>
      <c r="P155" s="6">
        <v>95</v>
      </c>
      <c r="Q155" s="4" t="s">
        <v>26</v>
      </c>
      <c r="R155" s="4">
        <v>0</v>
      </c>
      <c r="S155" s="4">
        <v>0</v>
      </c>
      <c r="T155" s="4">
        <v>46</v>
      </c>
      <c r="U155" s="4">
        <v>4</v>
      </c>
      <c r="V155" s="6">
        <f>IF(ISERROR(VLOOKUP($S$155,'TAR FIN'!$A$1:$O$92,15,0)),0,VLOOKUP($S$155,'TAR FIN'!$A$1:$O$92,15,0))</f>
        <v>0</v>
      </c>
      <c r="W155" s="6">
        <f>IF(ISERROR(VLOOKUP($T$155,'TAR FIN'!$A$1:$O$92,15,0)),0,VLOOKUP($T$155,'TAR FIN'!$A$1:$O$92,15,0))</f>
        <v>271.27999999999997</v>
      </c>
      <c r="X155" s="6">
        <f>IF(ISERROR(VLOOKUP($U$155,'TAR FIN'!$A$1:$O$92,15,0)),0,VLOOKUP($U$155,'TAR FIN'!$A$1:$O$92,15,0))</f>
        <v>303.54000000000002</v>
      </c>
      <c r="Y155" s="6"/>
      <c r="Z155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155" s="6">
        <f>('TE BE'!$AB$16+'TE BF'!$AB$16+'TE CVA'!$AB$16)*(1-CUSTOS!$M$37)</f>
        <v>287.16392669686104</v>
      </c>
      <c r="AB155" s="6">
        <f t="shared" si="15"/>
        <v>0</v>
      </c>
      <c r="AC155" s="6">
        <f>(L155-M155)*(W155+X155)+($W$147+$X$147-$W$155-$X$155)*(L155)</f>
        <v>-4.0591885408503003E-13</v>
      </c>
      <c r="AD155" s="6">
        <f t="shared" si="16"/>
        <v>0</v>
      </c>
      <c r="AE155" s="6">
        <f ca="1">(L155-M155)*(Z155+AA155)+($Z$147+$AA$147-$Z$155-$AA$155)*(L155)</f>
        <v>-4.0591885408503003E-13</v>
      </c>
      <c r="AF155" s="4" t="s">
        <v>688</v>
      </c>
    </row>
    <row r="156" spans="1:32" ht="11.25" customHeight="1" x14ac:dyDescent="0.3">
      <c r="A156" s="4" t="s">
        <v>21</v>
      </c>
      <c r="B156" s="4" t="s">
        <v>22</v>
      </c>
      <c r="C156" s="4" t="s">
        <v>23</v>
      </c>
      <c r="D156" s="4" t="s">
        <v>24</v>
      </c>
      <c r="E156" s="4" t="s">
        <v>31</v>
      </c>
      <c r="F156" s="4" t="s">
        <v>25</v>
      </c>
      <c r="G156" s="4" t="s">
        <v>25</v>
      </c>
      <c r="H156" s="4" t="s">
        <v>25</v>
      </c>
      <c r="I156" s="5">
        <v>44682</v>
      </c>
      <c r="J156" s="6">
        <v>0</v>
      </c>
      <c r="K156" s="6">
        <v>0</v>
      </c>
      <c r="L156" s="6">
        <v>5.4130000000000003</v>
      </c>
      <c r="M156" s="6">
        <v>5.4130000000000003</v>
      </c>
      <c r="N156" s="6">
        <v>5.4130000000000003</v>
      </c>
      <c r="O156" s="6">
        <v>5.4130000000000003</v>
      </c>
      <c r="P156" s="6">
        <v>76</v>
      </c>
      <c r="Q156" s="4" t="s">
        <v>26</v>
      </c>
      <c r="R156" s="4">
        <v>0</v>
      </c>
      <c r="S156" s="4">
        <v>0</v>
      </c>
      <c r="T156" s="4">
        <v>46</v>
      </c>
      <c r="U156" s="4">
        <v>4</v>
      </c>
      <c r="V156" s="6">
        <f>IF(ISERROR(VLOOKUP($S$156,'TAR FIN'!$A$1:$O$92,15,0)),0,VLOOKUP($S$156,'TAR FIN'!$A$1:$O$92,15,0))</f>
        <v>0</v>
      </c>
      <c r="W156" s="6">
        <f>IF(ISERROR(VLOOKUP($T$156,'TAR FIN'!$A$1:$O$92,15,0)),0,VLOOKUP($T$156,'TAR FIN'!$A$1:$O$92,15,0))</f>
        <v>271.27999999999997</v>
      </c>
      <c r="X156" s="6">
        <f>IF(ISERROR(VLOOKUP($U$156,'TAR FIN'!$A$1:$O$92,15,0)),0,VLOOKUP($U$156,'TAR FIN'!$A$1:$O$92,15,0))</f>
        <v>303.54000000000002</v>
      </c>
      <c r="Y156" s="6"/>
      <c r="Z156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156" s="6">
        <f>('TE BE'!$AB$16+'TE BF'!$AB$16+'TE CVA'!$AB$16)*(1-CUSTOS!$M$37)</f>
        <v>287.16392669686104</v>
      </c>
      <c r="AB156" s="6">
        <f t="shared" si="15"/>
        <v>0</v>
      </c>
      <c r="AC156" s="6">
        <f>(L156-M156)*(W156+X156)+($W$147+$X$147-$W$156-$X$156)*(L156)</f>
        <v>-3.076934262935538E-13</v>
      </c>
      <c r="AD156" s="6">
        <f t="shared" si="16"/>
        <v>0</v>
      </c>
      <c r="AE156" s="6">
        <f ca="1">(L156-M156)*(Z156+AA156)+($Z$147+$AA$147-$Z$156-$AA$156)*(L156)</f>
        <v>-3.076934262935538E-13</v>
      </c>
      <c r="AF156" s="4" t="s">
        <v>688</v>
      </c>
    </row>
    <row r="157" spans="1:32" ht="11.25" customHeight="1" x14ac:dyDescent="0.3">
      <c r="A157" s="4" t="s">
        <v>21</v>
      </c>
      <c r="B157" s="4" t="s">
        <v>22</v>
      </c>
      <c r="C157" s="4" t="s">
        <v>23</v>
      </c>
      <c r="D157" s="4" t="s">
        <v>24</v>
      </c>
      <c r="E157" s="4" t="s">
        <v>31</v>
      </c>
      <c r="F157" s="4" t="s">
        <v>25</v>
      </c>
      <c r="G157" s="4" t="s">
        <v>25</v>
      </c>
      <c r="H157" s="4" t="s">
        <v>25</v>
      </c>
      <c r="I157" s="5">
        <v>44713</v>
      </c>
      <c r="J157" s="6">
        <v>0</v>
      </c>
      <c r="K157" s="6">
        <v>0</v>
      </c>
      <c r="L157" s="6">
        <v>6.1180000000000003</v>
      </c>
      <c r="M157" s="6">
        <v>6.1180000000000003</v>
      </c>
      <c r="N157" s="6">
        <v>6.1180000000000003</v>
      </c>
      <c r="O157" s="6">
        <v>6.1180000000000003</v>
      </c>
      <c r="P157" s="6">
        <v>69</v>
      </c>
      <c r="Q157" s="4" t="s">
        <v>26</v>
      </c>
      <c r="R157" s="4">
        <v>0</v>
      </c>
      <c r="S157" s="4">
        <v>0</v>
      </c>
      <c r="T157" s="4">
        <v>46</v>
      </c>
      <c r="U157" s="4">
        <v>4</v>
      </c>
      <c r="V157" s="6">
        <f>IF(ISERROR(VLOOKUP($S$157,'TAR FIN'!$A$1:$O$92,15,0)),0,VLOOKUP($S$157,'TAR FIN'!$A$1:$O$92,15,0))</f>
        <v>0</v>
      </c>
      <c r="W157" s="6">
        <f>IF(ISERROR(VLOOKUP($T$157,'TAR FIN'!$A$1:$O$92,15,0)),0,VLOOKUP($T$157,'TAR FIN'!$A$1:$O$92,15,0))</f>
        <v>271.27999999999997</v>
      </c>
      <c r="X157" s="6">
        <f>IF(ISERROR(VLOOKUP($U$157,'TAR FIN'!$A$1:$O$92,15,0)),0,VLOOKUP($U$157,'TAR FIN'!$A$1:$O$92,15,0))</f>
        <v>303.54000000000002</v>
      </c>
      <c r="Y157" s="6"/>
      <c r="Z157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157" s="6">
        <f>('TE BE'!$AB$16+'TE BF'!$AB$16+'TE CVA'!$AB$16)*(1-CUSTOS!$M$37)</f>
        <v>287.16392669686104</v>
      </c>
      <c r="AB157" s="6">
        <f t="shared" si="15"/>
        <v>0</v>
      </c>
      <c r="AC157" s="6">
        <f>(L157-M157)*(W157+X157)+($W$147+$X$147-$W$157-$X$157)*(L157)</f>
        <v>-3.4776803659042345E-13</v>
      </c>
      <c r="AD157" s="6">
        <f t="shared" si="16"/>
        <v>0</v>
      </c>
      <c r="AE157" s="6">
        <f ca="1">(L157-M157)*(Z157+AA157)+($Z$147+$AA$147-$Z$157-$AA$157)*(L157)</f>
        <v>-3.4776803659042345E-13</v>
      </c>
      <c r="AF157" s="4" t="s">
        <v>688</v>
      </c>
    </row>
    <row r="158" spans="1:32" ht="11.25" customHeight="1" x14ac:dyDescent="0.3">
      <c r="A158" s="4" t="s">
        <v>21</v>
      </c>
      <c r="B158" s="4" t="s">
        <v>22</v>
      </c>
      <c r="C158" s="4" t="s">
        <v>23</v>
      </c>
      <c r="D158" s="4" t="s">
        <v>24</v>
      </c>
      <c r="E158" s="4" t="s">
        <v>31</v>
      </c>
      <c r="F158" s="4" t="s">
        <v>25</v>
      </c>
      <c r="G158" s="4" t="s">
        <v>25</v>
      </c>
      <c r="H158" s="4" t="s">
        <v>25</v>
      </c>
      <c r="I158" s="5">
        <v>44743</v>
      </c>
      <c r="J158" s="6">
        <v>0</v>
      </c>
      <c r="K158" s="6">
        <v>0</v>
      </c>
      <c r="L158" s="6">
        <v>8.77</v>
      </c>
      <c r="M158" s="6">
        <v>8.77</v>
      </c>
      <c r="N158" s="6">
        <v>8.77</v>
      </c>
      <c r="O158" s="6">
        <v>8.77</v>
      </c>
      <c r="P158" s="6">
        <v>90</v>
      </c>
      <c r="Q158" s="4" t="s">
        <v>26</v>
      </c>
      <c r="R158" s="4">
        <v>0</v>
      </c>
      <c r="S158" s="4">
        <v>0</v>
      </c>
      <c r="T158" s="4">
        <v>46</v>
      </c>
      <c r="U158" s="4">
        <v>4</v>
      </c>
      <c r="V158" s="6">
        <f>IF(ISERROR(VLOOKUP($S$158,'TAR FIN'!$A$1:$O$92,15,0)),0,VLOOKUP($S$158,'TAR FIN'!$A$1:$O$92,15,0))</f>
        <v>0</v>
      </c>
      <c r="W158" s="6">
        <f>IF(ISERROR(VLOOKUP($T$158,'TAR FIN'!$A$1:$O$92,15,0)),0,VLOOKUP($T$158,'TAR FIN'!$A$1:$O$92,15,0))</f>
        <v>271.27999999999997</v>
      </c>
      <c r="X158" s="6">
        <f>IF(ISERROR(VLOOKUP($U$158,'TAR FIN'!$A$1:$O$92,15,0)),0,VLOOKUP($U$158,'TAR FIN'!$A$1:$O$92,15,0))</f>
        <v>303.54000000000002</v>
      </c>
      <c r="Y158" s="6"/>
      <c r="Z158" s="6">
        <f ca="1">('TUSD BE'!$AM$28+'TUSD BF'!$AM$28+'TUSD CVA'!$AM$28-('TUSD BE'!$P$28+'TUSD BF'!$P$28+'TUSD CVA'!$P$28)-('TUSD BE'!$Q$28+'TUSD BF'!$Q$28+'TUSD CVA'!$Q$28)-('TUSD BE'!$R$28+'TUSD BF'!$R$28+'TUSD CVA'!$R$28))*(1-CUSTOS!$M$37)</f>
        <v>319.83612828342115</v>
      </c>
      <c r="AA158" s="6">
        <f>('TE BE'!$AB$16+'TE BF'!$AB$16+'TE CVA'!$AB$16)*(1-CUSTOS!$M$37)</f>
        <v>287.16392669686104</v>
      </c>
      <c r="AB158" s="6">
        <f t="shared" si="15"/>
        <v>0</v>
      </c>
      <c r="AC158" s="6">
        <f>(L158-M158)*(W158+X158)+($W$147+$X$147-$W$158-$X$158)*(L158)</f>
        <v>-4.9851678340928627E-13</v>
      </c>
      <c r="AD158" s="6">
        <f t="shared" si="16"/>
        <v>0</v>
      </c>
      <c r="AE158" s="6">
        <f ca="1">(L158-M158)*(Z158+AA158)+($Z$147+$AA$147-$Z$158-$AA$158)*(L158)</f>
        <v>-4.9851678340928627E-13</v>
      </c>
      <c r="AF158" s="4" t="s">
        <v>688</v>
      </c>
    </row>
    <row r="159" spans="1:32" ht="11.25" customHeight="1" x14ac:dyDescent="0.3">
      <c r="A159" s="4" t="s">
        <v>21</v>
      </c>
      <c r="B159" s="4" t="s">
        <v>41</v>
      </c>
      <c r="C159" s="4" t="s">
        <v>23</v>
      </c>
      <c r="D159" s="4" t="s">
        <v>42</v>
      </c>
      <c r="E159" s="4" t="s">
        <v>50</v>
      </c>
      <c r="F159" s="4" t="s">
        <v>51</v>
      </c>
      <c r="G159" s="4" t="s">
        <v>25</v>
      </c>
      <c r="H159" s="4" t="s">
        <v>25</v>
      </c>
      <c r="I159" s="5">
        <v>44409</v>
      </c>
      <c r="J159" s="6">
        <v>0</v>
      </c>
      <c r="K159" s="6">
        <v>0</v>
      </c>
      <c r="L159" s="6">
        <v>0.1</v>
      </c>
      <c r="M159" s="6">
        <v>0.1</v>
      </c>
      <c r="N159" s="6">
        <v>0.1</v>
      </c>
      <c r="O159" s="6">
        <v>0.1</v>
      </c>
      <c r="P159" s="6">
        <v>0</v>
      </c>
      <c r="Q159" s="4" t="s">
        <v>26</v>
      </c>
      <c r="R159" s="4">
        <v>0</v>
      </c>
      <c r="S159" s="4">
        <v>0</v>
      </c>
      <c r="T159" s="4">
        <v>62</v>
      </c>
      <c r="U159" s="4">
        <v>23</v>
      </c>
      <c r="V159" s="6">
        <f>IF(ISERROR(VLOOKUP($S$159,'TAR FIN'!$A$1:$O$92,15,0)),0,VLOOKUP($S$159,'TAR FIN'!$A$1:$O$92,15,0))</f>
        <v>0</v>
      </c>
      <c r="W159" s="6">
        <f>IF(ISERROR(VLOOKUP($T$159,'TAR FIN'!$A$1:$O$92,15,0)),0,VLOOKUP($T$159,'TAR FIN'!$A$1:$O$92,15,0))</f>
        <v>301.99</v>
      </c>
      <c r="X159" s="6">
        <f>IF(ISERROR(VLOOKUP($U$159,'TAR FIN'!$A$1:$O$92,15,0)),0,VLOOKUP($U$159,'TAR FIN'!$A$1:$O$92,15,0))</f>
        <v>267.11</v>
      </c>
      <c r="Y159" s="6"/>
      <c r="Z159" s="6">
        <f ca="1">('TUSD BE'!$AM$37+'TUSD BF'!$AM$37+'TUSD CVA'!$AM$37)*(1-CUSTOS!$M$38)</f>
        <v>443.47423500349447</v>
      </c>
      <c r="AA159" s="6">
        <f>('TE BE'!$AB$25+'TE BF'!$AB$25+'TE CVA'!$AB$25)*(1-CUSTOS!$M$38)</f>
        <v>269.93409109504938</v>
      </c>
      <c r="AB159" s="6">
        <f t="shared" si="15"/>
        <v>0</v>
      </c>
      <c r="AC159" s="6">
        <f>(L159-M159)*(W159+X159)+($W$110+$X$110-$W$159-$X$159)*(L159)</f>
        <v>7.7610000000000019</v>
      </c>
      <c r="AD159" s="6">
        <f t="shared" si="16"/>
        <v>0</v>
      </c>
      <c r="AE159" s="6">
        <f ca="1">(L159-M159)*(Z159+AA159)+($Z$110+$AA$110-$Z$159-$AA$159)*(L159)</f>
        <v>4.5536701665864596</v>
      </c>
      <c r="AF159" s="4" t="s">
        <v>689</v>
      </c>
    </row>
    <row r="160" spans="1:32" ht="11.25" customHeight="1" x14ac:dyDescent="0.3">
      <c r="A160" s="4" t="s">
        <v>21</v>
      </c>
      <c r="B160" s="4" t="s">
        <v>41</v>
      </c>
      <c r="C160" s="4" t="s">
        <v>23</v>
      </c>
      <c r="D160" s="4" t="s">
        <v>42</v>
      </c>
      <c r="E160" s="4" t="s">
        <v>50</v>
      </c>
      <c r="F160" s="4" t="s">
        <v>51</v>
      </c>
      <c r="G160" s="4" t="s">
        <v>25</v>
      </c>
      <c r="H160" s="4" t="s">
        <v>25</v>
      </c>
      <c r="I160" s="5">
        <v>44440</v>
      </c>
      <c r="J160" s="6">
        <v>0</v>
      </c>
      <c r="K160" s="6">
        <v>0</v>
      </c>
      <c r="L160" s="6">
        <v>0.1</v>
      </c>
      <c r="M160" s="6">
        <v>0.1</v>
      </c>
      <c r="N160" s="6">
        <v>0.1</v>
      </c>
      <c r="O160" s="6">
        <v>0.1</v>
      </c>
      <c r="P160" s="6">
        <v>0</v>
      </c>
      <c r="Q160" s="4" t="s">
        <v>26</v>
      </c>
      <c r="R160" s="4">
        <v>0</v>
      </c>
      <c r="S160" s="4">
        <v>0</v>
      </c>
      <c r="T160" s="4">
        <v>62</v>
      </c>
      <c r="U160" s="4">
        <v>23</v>
      </c>
      <c r="V160" s="6">
        <f>IF(ISERROR(VLOOKUP($S$160,'TAR FIN'!$A$1:$O$92,15,0)),0,VLOOKUP($S$160,'TAR FIN'!$A$1:$O$92,15,0))</f>
        <v>0</v>
      </c>
      <c r="W160" s="6">
        <f>IF(ISERROR(VLOOKUP($T$160,'TAR FIN'!$A$1:$O$92,15,0)),0,VLOOKUP($T$160,'TAR FIN'!$A$1:$O$92,15,0))</f>
        <v>301.99</v>
      </c>
      <c r="X160" s="6">
        <f>IF(ISERROR(VLOOKUP($U$160,'TAR FIN'!$A$1:$O$92,15,0)),0,VLOOKUP($U$160,'TAR FIN'!$A$1:$O$92,15,0))</f>
        <v>267.11</v>
      </c>
      <c r="Y160" s="6"/>
      <c r="Z160" s="6">
        <f ca="1">('TUSD BE'!$AM$37+'TUSD BF'!$AM$37+'TUSD CVA'!$AM$37)*(1-CUSTOS!$M$38)</f>
        <v>443.47423500349447</v>
      </c>
      <c r="AA160" s="6">
        <f>('TE BE'!$AB$25+'TE BF'!$AB$25+'TE CVA'!$AB$25)*(1-CUSTOS!$M$38)</f>
        <v>269.93409109504938</v>
      </c>
      <c r="AB160" s="6">
        <f t="shared" si="15"/>
        <v>0</v>
      </c>
      <c r="AC160" s="6">
        <f>(L160-M160)*(W160+X160)+($W$110+$X$110-$W$160-$X$160)*(L160)</f>
        <v>7.7610000000000019</v>
      </c>
      <c r="AD160" s="6">
        <f t="shared" si="16"/>
        <v>0</v>
      </c>
      <c r="AE160" s="6">
        <f ca="1">(L160-M160)*(Z160+AA160)+($Z$110+$AA$110-$Z$160-$AA$160)*(L160)</f>
        <v>4.5536701665864596</v>
      </c>
      <c r="AF160" s="4" t="s">
        <v>689</v>
      </c>
    </row>
    <row r="161" spans="1:32" ht="11.25" customHeight="1" x14ac:dyDescent="0.3">
      <c r="A161" s="4" t="s">
        <v>21</v>
      </c>
      <c r="B161" s="4" t="s">
        <v>41</v>
      </c>
      <c r="C161" s="4" t="s">
        <v>23</v>
      </c>
      <c r="D161" s="4" t="s">
        <v>42</v>
      </c>
      <c r="E161" s="4" t="s">
        <v>50</v>
      </c>
      <c r="F161" s="4" t="s">
        <v>51</v>
      </c>
      <c r="G161" s="4" t="s">
        <v>25</v>
      </c>
      <c r="H161" s="4" t="s">
        <v>25</v>
      </c>
      <c r="I161" s="5">
        <v>44470</v>
      </c>
      <c r="J161" s="6">
        <v>0</v>
      </c>
      <c r="K161" s="6">
        <v>0</v>
      </c>
      <c r="L161" s="6">
        <v>0.221</v>
      </c>
      <c r="M161" s="6">
        <v>0.221</v>
      </c>
      <c r="N161" s="6">
        <v>0.221</v>
      </c>
      <c r="O161" s="6">
        <v>0.221</v>
      </c>
      <c r="P161" s="6">
        <v>0</v>
      </c>
      <c r="Q161" s="4" t="s">
        <v>26</v>
      </c>
      <c r="R161" s="4">
        <v>0</v>
      </c>
      <c r="S161" s="4">
        <v>0</v>
      </c>
      <c r="T161" s="4">
        <v>62</v>
      </c>
      <c r="U161" s="4">
        <v>23</v>
      </c>
      <c r="V161" s="6">
        <f>IF(ISERROR(VLOOKUP($S$161,'TAR FIN'!$A$1:$O$92,15,0)),0,VLOOKUP($S$161,'TAR FIN'!$A$1:$O$92,15,0))</f>
        <v>0</v>
      </c>
      <c r="W161" s="6">
        <f>IF(ISERROR(VLOOKUP($T$161,'TAR FIN'!$A$1:$O$92,15,0)),0,VLOOKUP($T$161,'TAR FIN'!$A$1:$O$92,15,0))</f>
        <v>301.99</v>
      </c>
      <c r="X161" s="6">
        <f>IF(ISERROR(VLOOKUP($U$161,'TAR FIN'!$A$1:$O$92,15,0)),0,VLOOKUP($U$161,'TAR FIN'!$A$1:$O$92,15,0))</f>
        <v>267.11</v>
      </c>
      <c r="Y161" s="6"/>
      <c r="Z161" s="6">
        <f ca="1">('TUSD BE'!$AM$37+'TUSD BF'!$AM$37+'TUSD CVA'!$AM$37)*(1-CUSTOS!$M$38)</f>
        <v>443.47423500349447</v>
      </c>
      <c r="AA161" s="6">
        <f>('TE BE'!$AB$25+'TE BF'!$AB$25+'TE CVA'!$AB$25)*(1-CUSTOS!$M$38)</f>
        <v>269.93409109504938</v>
      </c>
      <c r="AB161" s="6">
        <f t="shared" si="15"/>
        <v>0</v>
      </c>
      <c r="AC161" s="6">
        <f>(L161-M161)*(W161+X161)+($W$110+$X$110-$W$161-$X$161)*(L161)</f>
        <v>17.151810000000005</v>
      </c>
      <c r="AD161" s="6">
        <f t="shared" si="16"/>
        <v>0</v>
      </c>
      <c r="AE161" s="6">
        <f ca="1">(L161-M161)*(Z161+AA161)+($Z$110+$AA$110-$Z$161-$AA$161)*(L161)</f>
        <v>10.063611068156076</v>
      </c>
      <c r="AF161" s="4" t="s">
        <v>689</v>
      </c>
    </row>
    <row r="162" spans="1:32" ht="11.25" customHeight="1" x14ac:dyDescent="0.3">
      <c r="A162" s="4" t="s">
        <v>21</v>
      </c>
      <c r="B162" s="4" t="s">
        <v>41</v>
      </c>
      <c r="C162" s="4" t="s">
        <v>23</v>
      </c>
      <c r="D162" s="4" t="s">
        <v>42</v>
      </c>
      <c r="E162" s="4" t="s">
        <v>50</v>
      </c>
      <c r="F162" s="4" t="s">
        <v>51</v>
      </c>
      <c r="G162" s="4" t="s">
        <v>25</v>
      </c>
      <c r="H162" s="4" t="s">
        <v>25</v>
      </c>
      <c r="I162" s="5">
        <v>44501</v>
      </c>
      <c r="J162" s="6">
        <v>0</v>
      </c>
      <c r="K162" s="6">
        <v>0</v>
      </c>
      <c r="L162" s="6">
        <v>0.16200000000000001</v>
      </c>
      <c r="M162" s="6">
        <v>0.16200000000000001</v>
      </c>
      <c r="N162" s="6">
        <v>0.16200000000000001</v>
      </c>
      <c r="O162" s="6">
        <v>0.16200000000000001</v>
      </c>
      <c r="P162" s="6">
        <v>0</v>
      </c>
      <c r="Q162" s="4" t="s">
        <v>26</v>
      </c>
      <c r="R162" s="4">
        <v>0</v>
      </c>
      <c r="S162" s="4">
        <v>0</v>
      </c>
      <c r="T162" s="4">
        <v>62</v>
      </c>
      <c r="U162" s="4">
        <v>23</v>
      </c>
      <c r="V162" s="6">
        <f>IF(ISERROR(VLOOKUP($S$162,'TAR FIN'!$A$1:$O$92,15,0)),0,VLOOKUP($S$162,'TAR FIN'!$A$1:$O$92,15,0))</f>
        <v>0</v>
      </c>
      <c r="W162" s="6">
        <f>IF(ISERROR(VLOOKUP($T$162,'TAR FIN'!$A$1:$O$92,15,0)),0,VLOOKUP($T$162,'TAR FIN'!$A$1:$O$92,15,0))</f>
        <v>301.99</v>
      </c>
      <c r="X162" s="6">
        <f>IF(ISERROR(VLOOKUP($U$162,'TAR FIN'!$A$1:$O$92,15,0)),0,VLOOKUP($U$162,'TAR FIN'!$A$1:$O$92,15,0))</f>
        <v>267.11</v>
      </c>
      <c r="Y162" s="6"/>
      <c r="Z162" s="6">
        <f ca="1">('TUSD BE'!$AM$37+'TUSD BF'!$AM$37+'TUSD CVA'!$AM$37)*(1-CUSTOS!$M$38)</f>
        <v>443.47423500349447</v>
      </c>
      <c r="AA162" s="6">
        <f>('TE BE'!$AB$25+'TE BF'!$AB$25+'TE CVA'!$AB$25)*(1-CUSTOS!$M$38)</f>
        <v>269.93409109504938</v>
      </c>
      <c r="AB162" s="6">
        <f t="shared" si="15"/>
        <v>0</v>
      </c>
      <c r="AC162" s="6">
        <f>(L162-M162)*(W162+X162)+($W$110+$X$110-$W$162-$X$162)*(L162)</f>
        <v>12.572820000000002</v>
      </c>
      <c r="AD162" s="6">
        <f t="shared" si="16"/>
        <v>0</v>
      </c>
      <c r="AE162" s="6">
        <f ca="1">(L162-M162)*(Z162+AA162)+($Z$110+$AA$110-$Z$162-$AA$162)*(L162)</f>
        <v>7.3769456698700653</v>
      </c>
      <c r="AF162" s="4" t="s">
        <v>689</v>
      </c>
    </row>
    <row r="163" spans="1:32" ht="11.25" customHeight="1" x14ac:dyDescent="0.3">
      <c r="A163" s="4" t="s">
        <v>21</v>
      </c>
      <c r="B163" s="4" t="s">
        <v>41</v>
      </c>
      <c r="C163" s="4" t="s">
        <v>23</v>
      </c>
      <c r="D163" s="4" t="s">
        <v>42</v>
      </c>
      <c r="E163" s="4" t="s">
        <v>50</v>
      </c>
      <c r="F163" s="4" t="s">
        <v>51</v>
      </c>
      <c r="G163" s="4" t="s">
        <v>25</v>
      </c>
      <c r="H163" s="4" t="s">
        <v>25</v>
      </c>
      <c r="I163" s="5">
        <v>44531</v>
      </c>
      <c r="J163" s="6">
        <v>0</v>
      </c>
      <c r="K163" s="6">
        <v>0</v>
      </c>
      <c r="L163" s="6">
        <v>0.20599999999999999</v>
      </c>
      <c r="M163" s="6">
        <v>0.20599999999999999</v>
      </c>
      <c r="N163" s="6">
        <v>0.20599999999999999</v>
      </c>
      <c r="O163" s="6">
        <v>0.20599999999999999</v>
      </c>
      <c r="P163" s="6">
        <v>0</v>
      </c>
      <c r="Q163" s="4" t="s">
        <v>26</v>
      </c>
      <c r="R163" s="4">
        <v>0</v>
      </c>
      <c r="S163" s="4">
        <v>0</v>
      </c>
      <c r="T163" s="4">
        <v>62</v>
      </c>
      <c r="U163" s="4">
        <v>23</v>
      </c>
      <c r="V163" s="6">
        <f>IF(ISERROR(VLOOKUP($S$163,'TAR FIN'!$A$1:$O$92,15,0)),0,VLOOKUP($S$163,'TAR FIN'!$A$1:$O$92,15,0))</f>
        <v>0</v>
      </c>
      <c r="W163" s="6">
        <f>IF(ISERROR(VLOOKUP($T$163,'TAR FIN'!$A$1:$O$92,15,0)),0,VLOOKUP($T$163,'TAR FIN'!$A$1:$O$92,15,0))</f>
        <v>301.99</v>
      </c>
      <c r="X163" s="6">
        <f>IF(ISERROR(VLOOKUP($U$163,'TAR FIN'!$A$1:$O$92,15,0)),0,VLOOKUP($U$163,'TAR FIN'!$A$1:$O$92,15,0))</f>
        <v>267.11</v>
      </c>
      <c r="Y163" s="6"/>
      <c r="Z163" s="6">
        <f ca="1">('TUSD BE'!$AM$37+'TUSD BF'!$AM$37+'TUSD CVA'!$AM$37)*(1-CUSTOS!$M$38)</f>
        <v>443.47423500349447</v>
      </c>
      <c r="AA163" s="6">
        <f>('TE BE'!$AB$25+'TE BF'!$AB$25+'TE CVA'!$AB$25)*(1-CUSTOS!$M$38)</f>
        <v>269.93409109504938</v>
      </c>
      <c r="AB163" s="6">
        <f t="shared" si="15"/>
        <v>0</v>
      </c>
      <c r="AC163" s="6">
        <f>(L163-M163)*(W163+X163)+($W$110+$X$110-$W$163-$X$163)*(L163)</f>
        <v>15.987660000000002</v>
      </c>
      <c r="AD163" s="6">
        <f t="shared" si="16"/>
        <v>0</v>
      </c>
      <c r="AE163" s="6">
        <f ca="1">(L163-M163)*(Z163+AA163)+($Z$110+$AA$110-$Z$163-$AA$163)*(L163)</f>
        <v>9.3805605431681069</v>
      </c>
      <c r="AF163" s="4" t="s">
        <v>689</v>
      </c>
    </row>
    <row r="164" spans="1:32" ht="11.25" customHeight="1" x14ac:dyDescent="0.3">
      <c r="A164" s="4" t="s">
        <v>21</v>
      </c>
      <c r="B164" s="4" t="s">
        <v>41</v>
      </c>
      <c r="C164" s="4" t="s">
        <v>23</v>
      </c>
      <c r="D164" s="4" t="s">
        <v>42</v>
      </c>
      <c r="E164" s="4" t="s">
        <v>50</v>
      </c>
      <c r="F164" s="4" t="s">
        <v>51</v>
      </c>
      <c r="G164" s="4" t="s">
        <v>25</v>
      </c>
      <c r="H164" s="4" t="s">
        <v>25</v>
      </c>
      <c r="I164" s="5">
        <v>44562</v>
      </c>
      <c r="J164" s="6">
        <v>0</v>
      </c>
      <c r="K164" s="6">
        <v>0</v>
      </c>
      <c r="L164" s="6">
        <v>0.1</v>
      </c>
      <c r="M164" s="6">
        <v>0.1</v>
      </c>
      <c r="N164" s="6">
        <v>0.1</v>
      </c>
      <c r="O164" s="6">
        <v>0.1</v>
      </c>
      <c r="P164" s="6">
        <v>0</v>
      </c>
      <c r="Q164" s="4" t="s">
        <v>26</v>
      </c>
      <c r="R164" s="4">
        <v>0</v>
      </c>
      <c r="S164" s="4">
        <v>0</v>
      </c>
      <c r="T164" s="4">
        <v>62</v>
      </c>
      <c r="U164" s="4">
        <v>23</v>
      </c>
      <c r="V164" s="6">
        <f>IF(ISERROR(VLOOKUP($S$164,'TAR FIN'!$A$1:$O$92,15,0)),0,VLOOKUP($S$164,'TAR FIN'!$A$1:$O$92,15,0))</f>
        <v>0</v>
      </c>
      <c r="W164" s="6">
        <f>IF(ISERROR(VLOOKUP($T$164,'TAR FIN'!$A$1:$O$92,15,0)),0,VLOOKUP($T$164,'TAR FIN'!$A$1:$O$92,15,0))</f>
        <v>301.99</v>
      </c>
      <c r="X164" s="6">
        <f>IF(ISERROR(VLOOKUP($U$164,'TAR FIN'!$A$1:$O$92,15,0)),0,VLOOKUP($U$164,'TAR FIN'!$A$1:$O$92,15,0))</f>
        <v>267.11</v>
      </c>
      <c r="Y164" s="6"/>
      <c r="Z164" s="6">
        <f ca="1">('TUSD BE'!$AM$37+'TUSD BF'!$AM$37+'TUSD CVA'!$AM$37)*(1-CUSTOS!$M$38)</f>
        <v>443.47423500349447</v>
      </c>
      <c r="AA164" s="6">
        <f>('TE BE'!$AB$25+'TE BF'!$AB$25+'TE CVA'!$AB$25)*(1-CUSTOS!$M$38)</f>
        <v>269.93409109504938</v>
      </c>
      <c r="AB164" s="6">
        <f t="shared" si="15"/>
        <v>0</v>
      </c>
      <c r="AC164" s="6">
        <f>(L164-M164)*(W164+X164)+($W$110+$X$110-$W$164-$X$164)*(L164)</f>
        <v>7.7610000000000019</v>
      </c>
      <c r="AD164" s="6">
        <f t="shared" si="16"/>
        <v>0</v>
      </c>
      <c r="AE164" s="6">
        <f ca="1">(L164-M164)*(Z164+AA164)+($Z$110+$AA$110-$Z$164-$AA$164)*(L164)</f>
        <v>4.5536701665864596</v>
      </c>
      <c r="AF164" s="4" t="s">
        <v>689</v>
      </c>
    </row>
    <row r="165" spans="1:32" ht="11.25" customHeight="1" x14ac:dyDescent="0.3">
      <c r="A165" s="4" t="s">
        <v>21</v>
      </c>
      <c r="B165" s="4" t="s">
        <v>41</v>
      </c>
      <c r="C165" s="4" t="s">
        <v>23</v>
      </c>
      <c r="D165" s="4" t="s">
        <v>42</v>
      </c>
      <c r="E165" s="4" t="s">
        <v>50</v>
      </c>
      <c r="F165" s="4" t="s">
        <v>51</v>
      </c>
      <c r="G165" s="4" t="s">
        <v>25</v>
      </c>
      <c r="H165" s="4" t="s">
        <v>25</v>
      </c>
      <c r="I165" s="5">
        <v>44593</v>
      </c>
      <c r="J165" s="6">
        <v>0</v>
      </c>
      <c r="K165" s="6">
        <v>0</v>
      </c>
      <c r="L165" s="6">
        <v>0.5</v>
      </c>
      <c r="M165" s="6">
        <v>0.5</v>
      </c>
      <c r="N165" s="6">
        <v>0.5</v>
      </c>
      <c r="O165" s="6">
        <v>0.5</v>
      </c>
      <c r="P165" s="6">
        <v>0</v>
      </c>
      <c r="Q165" s="4" t="s">
        <v>26</v>
      </c>
      <c r="R165" s="4">
        <v>0</v>
      </c>
      <c r="S165" s="4">
        <v>0</v>
      </c>
      <c r="T165" s="4">
        <v>62</v>
      </c>
      <c r="U165" s="4">
        <v>23</v>
      </c>
      <c r="V165" s="6">
        <f>IF(ISERROR(VLOOKUP($S$165,'TAR FIN'!$A$1:$O$92,15,0)),0,VLOOKUP($S$165,'TAR FIN'!$A$1:$O$92,15,0))</f>
        <v>0</v>
      </c>
      <c r="W165" s="6">
        <f>IF(ISERROR(VLOOKUP($T$165,'TAR FIN'!$A$1:$O$92,15,0)),0,VLOOKUP($T$165,'TAR FIN'!$A$1:$O$92,15,0))</f>
        <v>301.99</v>
      </c>
      <c r="X165" s="6">
        <f>IF(ISERROR(VLOOKUP($U$165,'TAR FIN'!$A$1:$O$92,15,0)),0,VLOOKUP($U$165,'TAR FIN'!$A$1:$O$92,15,0))</f>
        <v>267.11</v>
      </c>
      <c r="Y165" s="6"/>
      <c r="Z165" s="6">
        <f ca="1">('TUSD BE'!$AM$37+'TUSD BF'!$AM$37+'TUSD CVA'!$AM$37)*(1-CUSTOS!$M$38)</f>
        <v>443.47423500349447</v>
      </c>
      <c r="AA165" s="6">
        <f>('TE BE'!$AB$25+'TE BF'!$AB$25+'TE CVA'!$AB$25)*(1-CUSTOS!$M$38)</f>
        <v>269.93409109504938</v>
      </c>
      <c r="AB165" s="6">
        <f t="shared" si="15"/>
        <v>0</v>
      </c>
      <c r="AC165" s="6">
        <f>(L165-M165)*(W165+X165)+($W$110+$X$110-$W$165-$X$165)*(L165)</f>
        <v>38.805000000000007</v>
      </c>
      <c r="AD165" s="6">
        <f t="shared" si="16"/>
        <v>0</v>
      </c>
      <c r="AE165" s="6">
        <f ca="1">(L165-M165)*(Z165+AA165)+($Z$110+$AA$110-$Z$165-$AA$165)*(L165)</f>
        <v>22.768350832932299</v>
      </c>
      <c r="AF165" s="4" t="s">
        <v>689</v>
      </c>
    </row>
    <row r="166" spans="1:32" ht="11.25" customHeight="1" x14ac:dyDescent="0.3">
      <c r="A166" s="4" t="s">
        <v>21</v>
      </c>
      <c r="B166" s="4" t="s">
        <v>41</v>
      </c>
      <c r="C166" s="4" t="s">
        <v>23</v>
      </c>
      <c r="D166" s="4" t="s">
        <v>42</v>
      </c>
      <c r="E166" s="4" t="s">
        <v>50</v>
      </c>
      <c r="F166" s="4" t="s">
        <v>51</v>
      </c>
      <c r="G166" s="4" t="s">
        <v>25</v>
      </c>
      <c r="H166" s="4" t="s">
        <v>25</v>
      </c>
      <c r="I166" s="5">
        <v>44621</v>
      </c>
      <c r="J166" s="6">
        <v>0</v>
      </c>
      <c r="K166" s="6">
        <v>0</v>
      </c>
      <c r="L166" s="6">
        <v>0.313</v>
      </c>
      <c r="M166" s="6">
        <v>0.313</v>
      </c>
      <c r="N166" s="6">
        <v>0.313</v>
      </c>
      <c r="O166" s="6">
        <v>0.313</v>
      </c>
      <c r="P166" s="6">
        <v>0</v>
      </c>
      <c r="Q166" s="4" t="s">
        <v>26</v>
      </c>
      <c r="R166" s="4">
        <v>0</v>
      </c>
      <c r="S166" s="4">
        <v>0</v>
      </c>
      <c r="T166" s="4">
        <v>62</v>
      </c>
      <c r="U166" s="4">
        <v>23</v>
      </c>
      <c r="V166" s="6">
        <f>IF(ISERROR(VLOOKUP($S$166,'TAR FIN'!$A$1:$O$92,15,0)),0,VLOOKUP($S$166,'TAR FIN'!$A$1:$O$92,15,0))</f>
        <v>0</v>
      </c>
      <c r="W166" s="6">
        <f>IF(ISERROR(VLOOKUP($T$166,'TAR FIN'!$A$1:$O$92,15,0)),0,VLOOKUP($T$166,'TAR FIN'!$A$1:$O$92,15,0))</f>
        <v>301.99</v>
      </c>
      <c r="X166" s="6">
        <f>IF(ISERROR(VLOOKUP($U$166,'TAR FIN'!$A$1:$O$92,15,0)),0,VLOOKUP($U$166,'TAR FIN'!$A$1:$O$92,15,0))</f>
        <v>267.11</v>
      </c>
      <c r="Y166" s="6"/>
      <c r="Z166" s="6">
        <f ca="1">('TUSD BE'!$AM$37+'TUSD BF'!$AM$37+'TUSD CVA'!$AM$37)*(1-CUSTOS!$M$38)</f>
        <v>443.47423500349447</v>
      </c>
      <c r="AA166" s="6">
        <f>('TE BE'!$AB$25+'TE BF'!$AB$25+'TE CVA'!$AB$25)*(1-CUSTOS!$M$38)</f>
        <v>269.93409109504938</v>
      </c>
      <c r="AB166" s="6">
        <f t="shared" si="15"/>
        <v>0</v>
      </c>
      <c r="AC166" s="6">
        <f>(L166-M166)*(W166+X166)+($W$110+$X$110-$W$166-$X$166)*(L166)</f>
        <v>24.291930000000004</v>
      </c>
      <c r="AD166" s="6">
        <f t="shared" si="16"/>
        <v>0</v>
      </c>
      <c r="AE166" s="6">
        <f ca="1">(L166-M166)*(Z166+AA166)+($Z$110+$AA$110-$Z$166-$AA$166)*(L166)</f>
        <v>14.252987621415619</v>
      </c>
      <c r="AF166" s="4" t="s">
        <v>689</v>
      </c>
    </row>
    <row r="167" spans="1:32" ht="11.25" customHeight="1" x14ac:dyDescent="0.3">
      <c r="A167" s="4" t="s">
        <v>21</v>
      </c>
      <c r="B167" s="4" t="s">
        <v>41</v>
      </c>
      <c r="C167" s="4" t="s">
        <v>23</v>
      </c>
      <c r="D167" s="4" t="s">
        <v>42</v>
      </c>
      <c r="E167" s="4" t="s">
        <v>50</v>
      </c>
      <c r="F167" s="4" t="s">
        <v>51</v>
      </c>
      <c r="G167" s="4" t="s">
        <v>25</v>
      </c>
      <c r="H167" s="4" t="s">
        <v>25</v>
      </c>
      <c r="I167" s="5">
        <v>44652</v>
      </c>
      <c r="J167" s="6">
        <v>0</v>
      </c>
      <c r="K167" s="6">
        <v>0</v>
      </c>
      <c r="L167" s="6">
        <v>0.24299999999999999</v>
      </c>
      <c r="M167" s="6">
        <v>0.24299999999999999</v>
      </c>
      <c r="N167" s="6">
        <v>0.24299999999999999</v>
      </c>
      <c r="O167" s="6">
        <v>0.24299999999999999</v>
      </c>
      <c r="P167" s="6">
        <v>0</v>
      </c>
      <c r="Q167" s="4" t="s">
        <v>26</v>
      </c>
      <c r="R167" s="4">
        <v>0</v>
      </c>
      <c r="S167" s="4">
        <v>0</v>
      </c>
      <c r="T167" s="4">
        <v>62</v>
      </c>
      <c r="U167" s="4">
        <v>23</v>
      </c>
      <c r="V167" s="6">
        <f>IF(ISERROR(VLOOKUP($S$167,'TAR FIN'!$A$1:$O$92,15,0)),0,VLOOKUP($S$167,'TAR FIN'!$A$1:$O$92,15,0))</f>
        <v>0</v>
      </c>
      <c r="W167" s="6">
        <f>IF(ISERROR(VLOOKUP($T$167,'TAR FIN'!$A$1:$O$92,15,0)),0,VLOOKUP($T$167,'TAR FIN'!$A$1:$O$92,15,0))</f>
        <v>301.99</v>
      </c>
      <c r="X167" s="6">
        <f>IF(ISERROR(VLOOKUP($U$167,'TAR FIN'!$A$1:$O$92,15,0)),0,VLOOKUP($U$167,'TAR FIN'!$A$1:$O$92,15,0))</f>
        <v>267.11</v>
      </c>
      <c r="Y167" s="6"/>
      <c r="Z167" s="6">
        <f ca="1">('TUSD BE'!$AM$37+'TUSD BF'!$AM$37+'TUSD CVA'!$AM$37)*(1-CUSTOS!$M$38)</f>
        <v>443.47423500349447</v>
      </c>
      <c r="AA167" s="6">
        <f>('TE BE'!$AB$25+'TE BF'!$AB$25+'TE CVA'!$AB$25)*(1-CUSTOS!$M$38)</f>
        <v>269.93409109504938</v>
      </c>
      <c r="AB167" s="6">
        <f t="shared" si="15"/>
        <v>0</v>
      </c>
      <c r="AC167" s="6">
        <f>(L167-M167)*(W167+X167)+($W$110+$X$110-$W$167-$X$167)*(L167)</f>
        <v>18.859230000000004</v>
      </c>
      <c r="AD167" s="6">
        <f t="shared" si="16"/>
        <v>0</v>
      </c>
      <c r="AE167" s="6">
        <f ca="1">(L167-M167)*(Z167+AA167)+($Z$110+$AA$110-$Z$167-$AA$167)*(L167)</f>
        <v>11.065418504805097</v>
      </c>
      <c r="AF167" s="4" t="s">
        <v>689</v>
      </c>
    </row>
    <row r="168" spans="1:32" ht="11.25" customHeight="1" x14ac:dyDescent="0.3">
      <c r="A168" s="4" t="s">
        <v>21</v>
      </c>
      <c r="B168" s="4" t="s">
        <v>41</v>
      </c>
      <c r="C168" s="4" t="s">
        <v>23</v>
      </c>
      <c r="D168" s="4" t="s">
        <v>42</v>
      </c>
      <c r="E168" s="4" t="s">
        <v>50</v>
      </c>
      <c r="F168" s="4" t="s">
        <v>51</v>
      </c>
      <c r="G168" s="4" t="s">
        <v>25</v>
      </c>
      <c r="H168" s="4" t="s">
        <v>25</v>
      </c>
      <c r="I168" s="5">
        <v>44682</v>
      </c>
      <c r="J168" s="6">
        <v>0</v>
      </c>
      <c r="K168" s="6">
        <v>0</v>
      </c>
      <c r="L168" s="6">
        <v>0.309</v>
      </c>
      <c r="M168" s="6">
        <v>0.309</v>
      </c>
      <c r="N168" s="6">
        <v>0.309</v>
      </c>
      <c r="O168" s="6">
        <v>0.309</v>
      </c>
      <c r="P168" s="6">
        <v>0</v>
      </c>
      <c r="Q168" s="4" t="s">
        <v>26</v>
      </c>
      <c r="R168" s="4">
        <v>0</v>
      </c>
      <c r="S168" s="4">
        <v>0</v>
      </c>
      <c r="T168" s="4">
        <v>62</v>
      </c>
      <c r="U168" s="4">
        <v>23</v>
      </c>
      <c r="V168" s="6">
        <f>IF(ISERROR(VLOOKUP($S$168,'TAR FIN'!$A$1:$O$92,15,0)),0,VLOOKUP($S$168,'TAR FIN'!$A$1:$O$92,15,0))</f>
        <v>0</v>
      </c>
      <c r="W168" s="6">
        <f>IF(ISERROR(VLOOKUP($T$168,'TAR FIN'!$A$1:$O$92,15,0)),0,VLOOKUP($T$168,'TAR FIN'!$A$1:$O$92,15,0))</f>
        <v>301.99</v>
      </c>
      <c r="X168" s="6">
        <f>IF(ISERROR(VLOOKUP($U$168,'TAR FIN'!$A$1:$O$92,15,0)),0,VLOOKUP($U$168,'TAR FIN'!$A$1:$O$92,15,0))</f>
        <v>267.11</v>
      </c>
      <c r="Y168" s="6"/>
      <c r="Z168" s="6">
        <f ca="1">('TUSD BE'!$AM$37+'TUSD BF'!$AM$37+'TUSD CVA'!$AM$37)*(1-CUSTOS!$M$38)</f>
        <v>443.47423500349447</v>
      </c>
      <c r="AA168" s="6">
        <f>('TE BE'!$AB$25+'TE BF'!$AB$25+'TE CVA'!$AB$25)*(1-CUSTOS!$M$38)</f>
        <v>269.93409109504938</v>
      </c>
      <c r="AB168" s="6">
        <f t="shared" si="15"/>
        <v>0</v>
      </c>
      <c r="AC168" s="6">
        <f>(L168-M168)*(W168+X168)+($W$110+$X$110-$W$168-$X$168)*(L168)</f>
        <v>23.981490000000004</v>
      </c>
      <c r="AD168" s="6">
        <f t="shared" si="16"/>
        <v>0</v>
      </c>
      <c r="AE168" s="6">
        <f ca="1">(L168-M168)*(Z168+AA168)+($Z$110+$AA$110-$Z$168-$AA$168)*(L168)</f>
        <v>14.070840814752161</v>
      </c>
      <c r="AF168" s="4" t="s">
        <v>689</v>
      </c>
    </row>
    <row r="169" spans="1:32" ht="11.25" customHeight="1" x14ac:dyDescent="0.3">
      <c r="A169" s="4" t="s">
        <v>21</v>
      </c>
      <c r="B169" s="4" t="s">
        <v>41</v>
      </c>
      <c r="C169" s="4" t="s">
        <v>23</v>
      </c>
      <c r="D169" s="4" t="s">
        <v>42</v>
      </c>
      <c r="E169" s="4" t="s">
        <v>50</v>
      </c>
      <c r="F169" s="4" t="s">
        <v>51</v>
      </c>
      <c r="G169" s="4" t="s">
        <v>25</v>
      </c>
      <c r="H169" s="4" t="s">
        <v>25</v>
      </c>
      <c r="I169" s="5">
        <v>44713</v>
      </c>
      <c r="J169" s="6">
        <v>0</v>
      </c>
      <c r="K169" s="6">
        <v>0</v>
      </c>
      <c r="L169" s="6">
        <v>0.2</v>
      </c>
      <c r="M169" s="6">
        <v>0.2</v>
      </c>
      <c r="N169" s="6">
        <v>0.2</v>
      </c>
      <c r="O169" s="6">
        <v>0.2</v>
      </c>
      <c r="P169" s="6">
        <v>0</v>
      </c>
      <c r="Q169" s="4" t="s">
        <v>26</v>
      </c>
      <c r="R169" s="4">
        <v>0</v>
      </c>
      <c r="S169" s="4">
        <v>0</v>
      </c>
      <c r="T169" s="4">
        <v>62</v>
      </c>
      <c r="U169" s="4">
        <v>23</v>
      </c>
      <c r="V169" s="6">
        <f>IF(ISERROR(VLOOKUP($S$169,'TAR FIN'!$A$1:$O$92,15,0)),0,VLOOKUP($S$169,'TAR FIN'!$A$1:$O$92,15,0))</f>
        <v>0</v>
      </c>
      <c r="W169" s="6">
        <f>IF(ISERROR(VLOOKUP($T$169,'TAR FIN'!$A$1:$O$92,15,0)),0,VLOOKUP($T$169,'TAR FIN'!$A$1:$O$92,15,0))</f>
        <v>301.99</v>
      </c>
      <c r="X169" s="6">
        <f>IF(ISERROR(VLOOKUP($U$169,'TAR FIN'!$A$1:$O$92,15,0)),0,VLOOKUP($U$169,'TAR FIN'!$A$1:$O$92,15,0))</f>
        <v>267.11</v>
      </c>
      <c r="Y169" s="6"/>
      <c r="Z169" s="6">
        <f ca="1">('TUSD BE'!$AM$37+'TUSD BF'!$AM$37+'TUSD CVA'!$AM$37)*(1-CUSTOS!$M$38)</f>
        <v>443.47423500349447</v>
      </c>
      <c r="AA169" s="6">
        <f>('TE BE'!$AB$25+'TE BF'!$AB$25+'TE CVA'!$AB$25)*(1-CUSTOS!$M$38)</f>
        <v>269.93409109504938</v>
      </c>
      <c r="AB169" s="6">
        <f t="shared" si="15"/>
        <v>0</v>
      </c>
      <c r="AC169" s="6">
        <f>(L169-M169)*(W169+X169)+($W$110+$X$110-$W$169-$X$169)*(L169)</f>
        <v>15.522000000000004</v>
      </c>
      <c r="AD169" s="6">
        <f t="shared" si="16"/>
        <v>0</v>
      </c>
      <c r="AE169" s="6">
        <f ca="1">(L169-M169)*(Z169+AA169)+($Z$110+$AA$110-$Z$169-$AA$169)*(L169)</f>
        <v>9.1073403331729192</v>
      </c>
      <c r="AF169" s="4" t="s">
        <v>689</v>
      </c>
    </row>
    <row r="170" spans="1:32" ht="11.25" customHeight="1" x14ac:dyDescent="0.3">
      <c r="A170" s="4" t="s">
        <v>21</v>
      </c>
      <c r="B170" s="4" t="s">
        <v>41</v>
      </c>
      <c r="C170" s="4" t="s">
        <v>23</v>
      </c>
      <c r="D170" s="4" t="s">
        <v>42</v>
      </c>
      <c r="E170" s="4" t="s">
        <v>50</v>
      </c>
      <c r="F170" s="4" t="s">
        <v>51</v>
      </c>
      <c r="G170" s="4" t="s">
        <v>25</v>
      </c>
      <c r="H170" s="4" t="s">
        <v>25</v>
      </c>
      <c r="I170" s="5">
        <v>44743</v>
      </c>
      <c r="J170" s="6">
        <v>0</v>
      </c>
      <c r="K170" s="6">
        <v>0</v>
      </c>
      <c r="L170" s="6">
        <v>0.22500000000000001</v>
      </c>
      <c r="M170" s="6">
        <v>0.22500000000000001</v>
      </c>
      <c r="N170" s="6">
        <v>0.22500000000000001</v>
      </c>
      <c r="O170" s="6">
        <v>0.22500000000000001</v>
      </c>
      <c r="P170" s="6">
        <v>0</v>
      </c>
      <c r="Q170" s="4" t="s">
        <v>26</v>
      </c>
      <c r="R170" s="4">
        <v>0</v>
      </c>
      <c r="S170" s="4">
        <v>0</v>
      </c>
      <c r="T170" s="4">
        <v>62</v>
      </c>
      <c r="U170" s="4">
        <v>23</v>
      </c>
      <c r="V170" s="6">
        <f>IF(ISERROR(VLOOKUP($S$170,'TAR FIN'!$A$1:$O$92,15,0)),0,VLOOKUP($S$170,'TAR FIN'!$A$1:$O$92,15,0))</f>
        <v>0</v>
      </c>
      <c r="W170" s="6">
        <f>IF(ISERROR(VLOOKUP($T$170,'TAR FIN'!$A$1:$O$92,15,0)),0,VLOOKUP($T$170,'TAR FIN'!$A$1:$O$92,15,0))</f>
        <v>301.99</v>
      </c>
      <c r="X170" s="6">
        <f>IF(ISERROR(VLOOKUP($U$170,'TAR FIN'!$A$1:$O$92,15,0)),0,VLOOKUP($U$170,'TAR FIN'!$A$1:$O$92,15,0))</f>
        <v>267.11</v>
      </c>
      <c r="Y170" s="6"/>
      <c r="Z170" s="6">
        <f ca="1">('TUSD BE'!$AM$37+'TUSD BF'!$AM$37+'TUSD CVA'!$AM$37)*(1-CUSTOS!$M$38)</f>
        <v>443.47423500349447</v>
      </c>
      <c r="AA170" s="6">
        <f>('TE BE'!$AB$25+'TE BF'!$AB$25+'TE CVA'!$AB$25)*(1-CUSTOS!$M$38)</f>
        <v>269.93409109504938</v>
      </c>
      <c r="AB170" s="6">
        <f t="shared" si="15"/>
        <v>0</v>
      </c>
      <c r="AC170" s="6">
        <f>(L170-M170)*(W170+X170)+($W$110+$X$110-$W$170-$X$170)*(L170)</f>
        <v>17.462250000000004</v>
      </c>
      <c r="AD170" s="6">
        <f t="shared" si="16"/>
        <v>0</v>
      </c>
      <c r="AE170" s="6">
        <f ca="1">(L170-M170)*(Z170+AA170)+($Z$110+$AA$110-$Z$170-$AA$170)*(L170)</f>
        <v>10.245757874819535</v>
      </c>
      <c r="AF170" s="4" t="s">
        <v>689</v>
      </c>
    </row>
    <row r="171" spans="1:32" ht="11.25" customHeight="1" x14ac:dyDescent="0.3">
      <c r="A171" s="4" t="s">
        <v>21</v>
      </c>
      <c r="B171" s="4" t="s">
        <v>41</v>
      </c>
      <c r="C171" s="4" t="s">
        <v>23</v>
      </c>
      <c r="D171" s="4" t="s">
        <v>42</v>
      </c>
      <c r="E171" s="4" t="s">
        <v>50</v>
      </c>
      <c r="F171" s="4" t="s">
        <v>53</v>
      </c>
      <c r="G171" s="4" t="s">
        <v>25</v>
      </c>
      <c r="H171" s="4" t="s">
        <v>25</v>
      </c>
      <c r="I171" s="5">
        <v>44501</v>
      </c>
      <c r="J171" s="6">
        <v>0</v>
      </c>
      <c r="K171" s="6">
        <v>0</v>
      </c>
      <c r="L171" s="6">
        <v>1.9E-2</v>
      </c>
      <c r="M171" s="6">
        <v>7.6E-3</v>
      </c>
      <c r="N171" s="6">
        <v>1.9E-2</v>
      </c>
      <c r="O171" s="6">
        <v>7.6E-3</v>
      </c>
      <c r="P171" s="6">
        <v>0</v>
      </c>
      <c r="Q171" s="4" t="s">
        <v>26</v>
      </c>
      <c r="R171" s="4">
        <v>0</v>
      </c>
      <c r="S171" s="4">
        <v>0</v>
      </c>
      <c r="T171" s="4">
        <v>62</v>
      </c>
      <c r="U171" s="4">
        <v>23</v>
      </c>
      <c r="V171" s="6">
        <f>IF(ISERROR(VLOOKUP($S$171,'TAR FIN'!$A$1:$O$92,15,0)),0,VLOOKUP($S$171,'TAR FIN'!$A$1:$O$92,15,0))</f>
        <v>0</v>
      </c>
      <c r="W171" s="6">
        <f>IF(ISERROR(VLOOKUP($T$171,'TAR FIN'!$A$1:$O$92,15,0)),0,VLOOKUP($T$171,'TAR FIN'!$A$1:$O$92,15,0))</f>
        <v>301.99</v>
      </c>
      <c r="X171" s="6">
        <f>IF(ISERROR(VLOOKUP($U$171,'TAR FIN'!$A$1:$O$92,15,0)),0,VLOOKUP($U$171,'TAR FIN'!$A$1:$O$92,15,0))</f>
        <v>267.11</v>
      </c>
      <c r="Y171" s="6"/>
      <c r="Z171" s="6">
        <f ca="1">('TUSD BE'!$AM$37+'TUSD BF'!$AM$37+'TUSD CVA'!$AM$37)*(1-CUSTOS!$M$38)</f>
        <v>443.47423500349447</v>
      </c>
      <c r="AA171" s="6">
        <f>('TE BE'!$AB$25+'TE BF'!$AB$25+'TE CVA'!$AB$25)*(1-CUSTOS!$M$38)</f>
        <v>269.93409109504938</v>
      </c>
      <c r="AB171" s="6">
        <f t="shared" si="15"/>
        <v>0</v>
      </c>
      <c r="AC171" s="6">
        <f>(L171-M171)*(W171+X171)+($W$110+$X$110-$W$171-$X$171)*(L171)</f>
        <v>7.9623300000000006</v>
      </c>
      <c r="AD171" s="6">
        <f t="shared" si="16"/>
        <v>0</v>
      </c>
      <c r="AE171" s="6">
        <f ca="1">(L171-M171)*(Z171+AA171)+($Z$110+$AA$110-$Z$171-$AA$171)*(L171)</f>
        <v>8.998052249174826</v>
      </c>
      <c r="AF171" s="4" t="s">
        <v>690</v>
      </c>
    </row>
    <row r="172" spans="1:32" ht="11.25" customHeight="1" x14ac:dyDescent="0.3">
      <c r="A172" s="4" t="s">
        <v>21</v>
      </c>
      <c r="B172" s="4" t="s">
        <v>41</v>
      </c>
      <c r="C172" s="4" t="s">
        <v>23</v>
      </c>
      <c r="D172" s="4" t="s">
        <v>42</v>
      </c>
      <c r="E172" s="4" t="s">
        <v>50</v>
      </c>
      <c r="F172" s="4" t="s">
        <v>53</v>
      </c>
      <c r="G172" s="4" t="s">
        <v>25</v>
      </c>
      <c r="H172" s="4" t="s">
        <v>25</v>
      </c>
      <c r="I172" s="5">
        <v>44621</v>
      </c>
      <c r="J172" s="6">
        <v>0</v>
      </c>
      <c r="K172" s="6">
        <v>0</v>
      </c>
      <c r="L172" s="6">
        <v>0.93799999999999994</v>
      </c>
      <c r="M172" s="6">
        <v>0.37519999999999998</v>
      </c>
      <c r="N172" s="6">
        <v>0.93799999999999994</v>
      </c>
      <c r="O172" s="6">
        <v>0.37519999999999998</v>
      </c>
      <c r="P172" s="6">
        <v>0</v>
      </c>
      <c r="Q172" s="4" t="s">
        <v>26</v>
      </c>
      <c r="R172" s="4">
        <v>0</v>
      </c>
      <c r="S172" s="4">
        <v>0</v>
      </c>
      <c r="T172" s="4">
        <v>62</v>
      </c>
      <c r="U172" s="4">
        <v>23</v>
      </c>
      <c r="V172" s="6">
        <f>IF(ISERROR(VLOOKUP($S$172,'TAR FIN'!$A$1:$O$92,15,0)),0,VLOOKUP($S$172,'TAR FIN'!$A$1:$O$92,15,0))</f>
        <v>0</v>
      </c>
      <c r="W172" s="6">
        <f>IF(ISERROR(VLOOKUP($T$172,'TAR FIN'!$A$1:$O$92,15,0)),0,VLOOKUP($T$172,'TAR FIN'!$A$1:$O$92,15,0))</f>
        <v>301.99</v>
      </c>
      <c r="X172" s="6">
        <f>IF(ISERROR(VLOOKUP($U$172,'TAR FIN'!$A$1:$O$92,15,0)),0,VLOOKUP($U$172,'TAR FIN'!$A$1:$O$92,15,0))</f>
        <v>267.11</v>
      </c>
      <c r="Y172" s="6"/>
      <c r="Z172" s="6">
        <f ca="1">('TUSD BE'!$AM$37+'TUSD BF'!$AM$37+'TUSD CVA'!$AM$37)*(1-CUSTOS!$M$38)</f>
        <v>443.47423500349447</v>
      </c>
      <c r="AA172" s="6">
        <f>('TE BE'!$AB$25+'TE BF'!$AB$25+'TE CVA'!$AB$25)*(1-CUSTOS!$M$38)</f>
        <v>269.93409109504938</v>
      </c>
      <c r="AB172" s="6">
        <f t="shared" si="15"/>
        <v>0</v>
      </c>
      <c r="AC172" s="6">
        <f>(L172-M172)*(W172+X172)+($W$110+$X$110-$W$172-$X$172)*(L172)</f>
        <v>393.08765999999997</v>
      </c>
      <c r="AD172" s="6">
        <f t="shared" si="16"/>
        <v>0</v>
      </c>
      <c r="AE172" s="6">
        <f ca="1">(L172-M172)*(Z172+AA172)+($Z$110+$AA$110-$Z$172-$AA$172)*(L172)</f>
        <v>444.2196320908414</v>
      </c>
      <c r="AF172" s="4" t="s">
        <v>690</v>
      </c>
    </row>
    <row r="173" spans="1:32" ht="11.25" customHeight="1" x14ac:dyDescent="0.3">
      <c r="A173" s="4" t="s">
        <v>21</v>
      </c>
      <c r="B173" s="4" t="s">
        <v>41</v>
      </c>
      <c r="C173" s="4" t="s">
        <v>23</v>
      </c>
      <c r="D173" s="4" t="s">
        <v>42</v>
      </c>
      <c r="E173" s="4" t="s">
        <v>50</v>
      </c>
      <c r="F173" s="4" t="s">
        <v>53</v>
      </c>
      <c r="G173" s="4" t="s">
        <v>25</v>
      </c>
      <c r="H173" s="4" t="s">
        <v>25</v>
      </c>
      <c r="I173" s="5">
        <v>44652</v>
      </c>
      <c r="J173" s="6">
        <v>0</v>
      </c>
      <c r="K173" s="6">
        <v>0</v>
      </c>
      <c r="L173" s="6">
        <v>0.309</v>
      </c>
      <c r="M173" s="6">
        <v>0.1236</v>
      </c>
      <c r="N173" s="6">
        <v>0.309</v>
      </c>
      <c r="O173" s="6">
        <v>0.1236</v>
      </c>
      <c r="P173" s="6">
        <v>0</v>
      </c>
      <c r="Q173" s="4" t="s">
        <v>26</v>
      </c>
      <c r="R173" s="4">
        <v>0</v>
      </c>
      <c r="S173" s="4">
        <v>0</v>
      </c>
      <c r="T173" s="4">
        <v>62</v>
      </c>
      <c r="U173" s="4">
        <v>23</v>
      </c>
      <c r="V173" s="6">
        <f>IF(ISERROR(VLOOKUP($S$173,'TAR FIN'!$A$1:$O$92,15,0)),0,VLOOKUP($S$173,'TAR FIN'!$A$1:$O$92,15,0))</f>
        <v>0</v>
      </c>
      <c r="W173" s="6">
        <f>IF(ISERROR(VLOOKUP($T$173,'TAR FIN'!$A$1:$O$92,15,0)),0,VLOOKUP($T$173,'TAR FIN'!$A$1:$O$92,15,0))</f>
        <v>301.99</v>
      </c>
      <c r="X173" s="6">
        <f>IF(ISERROR(VLOOKUP($U$173,'TAR FIN'!$A$1:$O$92,15,0)),0,VLOOKUP($U$173,'TAR FIN'!$A$1:$O$92,15,0))</f>
        <v>267.11</v>
      </c>
      <c r="Y173" s="6"/>
      <c r="Z173" s="6">
        <f ca="1">('TUSD BE'!$AM$37+'TUSD BF'!$AM$37+'TUSD CVA'!$AM$37)*(1-CUSTOS!$M$38)</f>
        <v>443.47423500349447</v>
      </c>
      <c r="AA173" s="6">
        <f>('TE BE'!$AB$25+'TE BF'!$AB$25+'TE CVA'!$AB$25)*(1-CUSTOS!$M$38)</f>
        <v>269.93409109504938</v>
      </c>
      <c r="AB173" s="6">
        <f t="shared" si="15"/>
        <v>0</v>
      </c>
      <c r="AC173" s="6">
        <f>(L173-M173)*(W173+X173)+($W$110+$X$110-$W$173-$X$173)*(L173)</f>
        <v>129.49263000000002</v>
      </c>
      <c r="AD173" s="6">
        <f t="shared" si="16"/>
        <v>0</v>
      </c>
      <c r="AE173" s="6">
        <f ca="1">(L173-M173)*(Z173+AA173)+($Z$110+$AA$110-$Z$173-$AA$173)*(L173)</f>
        <v>146.33674447342219</v>
      </c>
      <c r="AF173" s="4" t="s">
        <v>690</v>
      </c>
    </row>
    <row r="174" spans="1:32" ht="11.25" customHeight="1" x14ac:dyDescent="0.3">
      <c r="A174" s="4" t="s">
        <v>21</v>
      </c>
      <c r="B174" s="4" t="s">
        <v>41</v>
      </c>
      <c r="C174" s="4" t="s">
        <v>23</v>
      </c>
      <c r="D174" s="4" t="s">
        <v>42</v>
      </c>
      <c r="E174" s="4" t="s">
        <v>52</v>
      </c>
      <c r="F174" s="4" t="s">
        <v>51</v>
      </c>
      <c r="G174" s="4" t="s">
        <v>25</v>
      </c>
      <c r="H174" s="4" t="s">
        <v>25</v>
      </c>
      <c r="I174" s="5">
        <v>44409</v>
      </c>
      <c r="J174" s="6">
        <v>0</v>
      </c>
      <c r="K174" s="6">
        <v>0</v>
      </c>
      <c r="L174" s="6">
        <v>0.96799999999999997</v>
      </c>
      <c r="M174" s="6">
        <v>0.96799999999999997</v>
      </c>
      <c r="N174" s="6">
        <v>0.96799999999999997</v>
      </c>
      <c r="O174" s="6">
        <v>0.96799999999999997</v>
      </c>
      <c r="P174" s="6">
        <v>0</v>
      </c>
      <c r="Q174" s="4" t="s">
        <v>26</v>
      </c>
      <c r="R174" s="4">
        <v>0</v>
      </c>
      <c r="S174" s="4">
        <v>0</v>
      </c>
      <c r="T174" s="4">
        <v>62</v>
      </c>
      <c r="U174" s="4">
        <v>23</v>
      </c>
      <c r="V174" s="6">
        <f>IF(ISERROR(VLOOKUP($S$174,'TAR FIN'!$A$1:$O$92,15,0)),0,VLOOKUP($S$174,'TAR FIN'!$A$1:$O$92,15,0))</f>
        <v>0</v>
      </c>
      <c r="W174" s="6">
        <f>IF(ISERROR(VLOOKUP($T$174,'TAR FIN'!$A$1:$O$92,15,0)),0,VLOOKUP($T$174,'TAR FIN'!$A$1:$O$92,15,0))</f>
        <v>301.99</v>
      </c>
      <c r="X174" s="6">
        <f>IF(ISERROR(VLOOKUP($U$174,'TAR FIN'!$A$1:$O$92,15,0)),0,VLOOKUP($U$174,'TAR FIN'!$A$1:$O$92,15,0))</f>
        <v>267.11</v>
      </c>
      <c r="Y174" s="6"/>
      <c r="Z174" s="6">
        <f ca="1">('TUSD BE'!$AM$37+'TUSD BF'!$AM$37+'TUSD CVA'!$AM$37)*(1-CUSTOS!$M$38)</f>
        <v>443.47423500349447</v>
      </c>
      <c r="AA174" s="6">
        <f>('TE BE'!$AB$25+'TE BF'!$AB$25+'TE CVA'!$AB$25)*(1-CUSTOS!$M$38)</f>
        <v>269.93409109504938</v>
      </c>
      <c r="AB174" s="6">
        <f t="shared" si="15"/>
        <v>0</v>
      </c>
      <c r="AC174" s="6">
        <f>(L174-M174)*(W174+X174)+($W$110+$X$110-$W$174-$X$174)*(L174)</f>
        <v>75.126480000000015</v>
      </c>
      <c r="AD174" s="6">
        <f t="shared" si="16"/>
        <v>0</v>
      </c>
      <c r="AE174" s="6">
        <f ca="1">(L174-M174)*(Z174+AA174)+($Z$110+$AA$110-$Z$174-$AA$174)*(L174)</f>
        <v>44.079527212556933</v>
      </c>
      <c r="AF174" s="4" t="s">
        <v>689</v>
      </c>
    </row>
    <row r="175" spans="1:32" ht="11.25" customHeight="1" x14ac:dyDescent="0.3">
      <c r="A175" s="4" t="s">
        <v>21</v>
      </c>
      <c r="B175" s="4" t="s">
        <v>41</v>
      </c>
      <c r="C175" s="4" t="s">
        <v>23</v>
      </c>
      <c r="D175" s="4" t="s">
        <v>42</v>
      </c>
      <c r="E175" s="4" t="s">
        <v>52</v>
      </c>
      <c r="F175" s="4" t="s">
        <v>51</v>
      </c>
      <c r="G175" s="4" t="s">
        <v>25</v>
      </c>
      <c r="H175" s="4" t="s">
        <v>25</v>
      </c>
      <c r="I175" s="5">
        <v>44440</v>
      </c>
      <c r="J175" s="6">
        <v>0</v>
      </c>
      <c r="K175" s="6">
        <v>0</v>
      </c>
      <c r="L175" s="6">
        <v>0.85199999999999998</v>
      </c>
      <c r="M175" s="6">
        <v>0.85199999999999998</v>
      </c>
      <c r="N175" s="6">
        <v>0.85199999999999998</v>
      </c>
      <c r="O175" s="6">
        <v>0.85199999999999998</v>
      </c>
      <c r="P175" s="6">
        <v>0</v>
      </c>
      <c r="Q175" s="4" t="s">
        <v>26</v>
      </c>
      <c r="R175" s="4">
        <v>0</v>
      </c>
      <c r="S175" s="4">
        <v>0</v>
      </c>
      <c r="T175" s="4">
        <v>62</v>
      </c>
      <c r="U175" s="4">
        <v>23</v>
      </c>
      <c r="V175" s="6">
        <f>IF(ISERROR(VLOOKUP($S$175,'TAR FIN'!$A$1:$O$92,15,0)),0,VLOOKUP($S$175,'TAR FIN'!$A$1:$O$92,15,0))</f>
        <v>0</v>
      </c>
      <c r="W175" s="6">
        <f>IF(ISERROR(VLOOKUP($T$175,'TAR FIN'!$A$1:$O$92,15,0)),0,VLOOKUP($T$175,'TAR FIN'!$A$1:$O$92,15,0))</f>
        <v>301.99</v>
      </c>
      <c r="X175" s="6">
        <f>IF(ISERROR(VLOOKUP($U$175,'TAR FIN'!$A$1:$O$92,15,0)),0,VLOOKUP($U$175,'TAR FIN'!$A$1:$O$92,15,0))</f>
        <v>267.11</v>
      </c>
      <c r="Y175" s="6"/>
      <c r="Z175" s="6">
        <f ca="1">('TUSD BE'!$AM$37+'TUSD BF'!$AM$37+'TUSD CVA'!$AM$37)*(1-CUSTOS!$M$38)</f>
        <v>443.47423500349447</v>
      </c>
      <c r="AA175" s="6">
        <f>('TE BE'!$AB$25+'TE BF'!$AB$25+'TE CVA'!$AB$25)*(1-CUSTOS!$M$38)</f>
        <v>269.93409109504938</v>
      </c>
      <c r="AB175" s="6">
        <f t="shared" si="15"/>
        <v>0</v>
      </c>
      <c r="AC175" s="6">
        <f>(L175-M175)*(W175+X175)+($W$110+$X$110-$W$175-$X$175)*(L175)</f>
        <v>66.123720000000006</v>
      </c>
      <c r="AD175" s="6">
        <f t="shared" si="16"/>
        <v>0</v>
      </c>
      <c r="AE175" s="6">
        <f ca="1">(L175-M175)*(Z175+AA175)+($Z$110+$AA$110-$Z$175-$AA$175)*(L175)</f>
        <v>38.797269819316639</v>
      </c>
      <c r="AF175" s="4" t="s">
        <v>689</v>
      </c>
    </row>
    <row r="176" spans="1:32" ht="11.25" customHeight="1" x14ac:dyDescent="0.3">
      <c r="A176" s="4" t="s">
        <v>21</v>
      </c>
      <c r="B176" s="4" t="s">
        <v>41</v>
      </c>
      <c r="C176" s="4" t="s">
        <v>23</v>
      </c>
      <c r="D176" s="4" t="s">
        <v>42</v>
      </c>
      <c r="E176" s="4" t="s">
        <v>52</v>
      </c>
      <c r="F176" s="4" t="s">
        <v>51</v>
      </c>
      <c r="G176" s="4" t="s">
        <v>25</v>
      </c>
      <c r="H176" s="4" t="s">
        <v>25</v>
      </c>
      <c r="I176" s="5">
        <v>44470</v>
      </c>
      <c r="J176" s="6">
        <v>0</v>
      </c>
      <c r="K176" s="6">
        <v>0</v>
      </c>
      <c r="L176" s="6">
        <v>1.4</v>
      </c>
      <c r="M176" s="6">
        <v>1.4</v>
      </c>
      <c r="N176" s="6">
        <v>1.4</v>
      </c>
      <c r="O176" s="6">
        <v>1.4</v>
      </c>
      <c r="P176" s="6">
        <v>0</v>
      </c>
      <c r="Q176" s="4" t="s">
        <v>26</v>
      </c>
      <c r="R176" s="4">
        <v>0</v>
      </c>
      <c r="S176" s="4">
        <v>0</v>
      </c>
      <c r="T176" s="4">
        <v>62</v>
      </c>
      <c r="U176" s="4">
        <v>23</v>
      </c>
      <c r="V176" s="6">
        <f>IF(ISERROR(VLOOKUP($S$176,'TAR FIN'!$A$1:$O$92,15,0)),0,VLOOKUP($S$176,'TAR FIN'!$A$1:$O$92,15,0))</f>
        <v>0</v>
      </c>
      <c r="W176" s="6">
        <f>IF(ISERROR(VLOOKUP($T$176,'TAR FIN'!$A$1:$O$92,15,0)),0,VLOOKUP($T$176,'TAR FIN'!$A$1:$O$92,15,0))</f>
        <v>301.99</v>
      </c>
      <c r="X176" s="6">
        <f>IF(ISERROR(VLOOKUP($U$176,'TAR FIN'!$A$1:$O$92,15,0)),0,VLOOKUP($U$176,'TAR FIN'!$A$1:$O$92,15,0))</f>
        <v>267.11</v>
      </c>
      <c r="Y176" s="6"/>
      <c r="Z176" s="6">
        <f ca="1">('TUSD BE'!$AM$37+'TUSD BF'!$AM$37+'TUSD CVA'!$AM$37)*(1-CUSTOS!$M$38)</f>
        <v>443.47423500349447</v>
      </c>
      <c r="AA176" s="6">
        <f>('TE BE'!$AB$25+'TE BF'!$AB$25+'TE CVA'!$AB$25)*(1-CUSTOS!$M$38)</f>
        <v>269.93409109504938</v>
      </c>
      <c r="AB176" s="6">
        <f t="shared" si="15"/>
        <v>0</v>
      </c>
      <c r="AC176" s="6">
        <f>(L176-M176)*(W176+X176)+($W$110+$X$110-$W$176-$X$176)*(L176)</f>
        <v>108.65400000000001</v>
      </c>
      <c r="AD176" s="6">
        <f t="shared" si="16"/>
        <v>0</v>
      </c>
      <c r="AE176" s="6">
        <f ca="1">(L176-M176)*(Z176+AA176)+($Z$110+$AA$110-$Z$176-$AA$176)*(L176)</f>
        <v>63.751382332210433</v>
      </c>
      <c r="AF176" s="4" t="s">
        <v>689</v>
      </c>
    </row>
    <row r="177" spans="1:32" ht="11.25" customHeight="1" x14ac:dyDescent="0.3">
      <c r="A177" s="4" t="s">
        <v>21</v>
      </c>
      <c r="B177" s="4" t="s">
        <v>41</v>
      </c>
      <c r="C177" s="4" t="s">
        <v>23</v>
      </c>
      <c r="D177" s="4" t="s">
        <v>42</v>
      </c>
      <c r="E177" s="4" t="s">
        <v>52</v>
      </c>
      <c r="F177" s="4" t="s">
        <v>51</v>
      </c>
      <c r="G177" s="4" t="s">
        <v>25</v>
      </c>
      <c r="H177" s="4" t="s">
        <v>25</v>
      </c>
      <c r="I177" s="5">
        <v>44501</v>
      </c>
      <c r="J177" s="6">
        <v>0</v>
      </c>
      <c r="K177" s="6">
        <v>0</v>
      </c>
      <c r="L177" s="6">
        <v>0.52100000000000002</v>
      </c>
      <c r="M177" s="6">
        <v>0.52100000000000002</v>
      </c>
      <c r="N177" s="6">
        <v>0.52100000000000002</v>
      </c>
      <c r="O177" s="6">
        <v>0.52100000000000002</v>
      </c>
      <c r="P177" s="6">
        <v>0</v>
      </c>
      <c r="Q177" s="4" t="s">
        <v>26</v>
      </c>
      <c r="R177" s="4">
        <v>0</v>
      </c>
      <c r="S177" s="4">
        <v>0</v>
      </c>
      <c r="T177" s="4">
        <v>62</v>
      </c>
      <c r="U177" s="4">
        <v>23</v>
      </c>
      <c r="V177" s="6">
        <f>IF(ISERROR(VLOOKUP($S$177,'TAR FIN'!$A$1:$O$92,15,0)),0,VLOOKUP($S$177,'TAR FIN'!$A$1:$O$92,15,0))</f>
        <v>0</v>
      </c>
      <c r="W177" s="6">
        <f>IF(ISERROR(VLOOKUP($T$177,'TAR FIN'!$A$1:$O$92,15,0)),0,VLOOKUP($T$177,'TAR FIN'!$A$1:$O$92,15,0))</f>
        <v>301.99</v>
      </c>
      <c r="X177" s="6">
        <f>IF(ISERROR(VLOOKUP($U$177,'TAR FIN'!$A$1:$O$92,15,0)),0,VLOOKUP($U$177,'TAR FIN'!$A$1:$O$92,15,0))</f>
        <v>267.11</v>
      </c>
      <c r="Y177" s="6"/>
      <c r="Z177" s="6">
        <f ca="1">('TUSD BE'!$AM$37+'TUSD BF'!$AM$37+'TUSD CVA'!$AM$37)*(1-CUSTOS!$M$38)</f>
        <v>443.47423500349447</v>
      </c>
      <c r="AA177" s="6">
        <f>('TE BE'!$AB$25+'TE BF'!$AB$25+'TE CVA'!$AB$25)*(1-CUSTOS!$M$38)</f>
        <v>269.93409109504938</v>
      </c>
      <c r="AB177" s="6">
        <f t="shared" si="15"/>
        <v>0</v>
      </c>
      <c r="AC177" s="6">
        <f>(L177-M177)*(W177+X177)+($W$110+$X$110-$W$177-$X$177)*(L177)</f>
        <v>40.434810000000006</v>
      </c>
      <c r="AD177" s="6">
        <f t="shared" si="16"/>
        <v>0</v>
      </c>
      <c r="AE177" s="6">
        <f ca="1">(L177-M177)*(Z177+AA177)+($Z$110+$AA$110-$Z$177-$AA$177)*(L177)</f>
        <v>23.724621567915456</v>
      </c>
      <c r="AF177" s="4" t="s">
        <v>689</v>
      </c>
    </row>
    <row r="178" spans="1:32" ht="11.25" customHeight="1" x14ac:dyDescent="0.3">
      <c r="A178" s="4" t="s">
        <v>21</v>
      </c>
      <c r="B178" s="4" t="s">
        <v>41</v>
      </c>
      <c r="C178" s="4" t="s">
        <v>23</v>
      </c>
      <c r="D178" s="4" t="s">
        <v>42</v>
      </c>
      <c r="E178" s="4" t="s">
        <v>52</v>
      </c>
      <c r="F178" s="4" t="s">
        <v>51</v>
      </c>
      <c r="G178" s="4" t="s">
        <v>25</v>
      </c>
      <c r="H178" s="4" t="s">
        <v>25</v>
      </c>
      <c r="I178" s="5">
        <v>44531</v>
      </c>
      <c r="J178" s="6">
        <v>0</v>
      </c>
      <c r="K178" s="6">
        <v>0</v>
      </c>
      <c r="L178" s="6">
        <v>1.2849999999999999</v>
      </c>
      <c r="M178" s="6">
        <v>1.2849999999999999</v>
      </c>
      <c r="N178" s="6">
        <v>1.2849999999999999</v>
      </c>
      <c r="O178" s="6">
        <v>1.2849999999999999</v>
      </c>
      <c r="P178" s="6">
        <v>0</v>
      </c>
      <c r="Q178" s="4" t="s">
        <v>26</v>
      </c>
      <c r="R178" s="4">
        <v>0</v>
      </c>
      <c r="S178" s="4">
        <v>0</v>
      </c>
      <c r="T178" s="4">
        <v>62</v>
      </c>
      <c r="U178" s="4">
        <v>23</v>
      </c>
      <c r="V178" s="6">
        <f>IF(ISERROR(VLOOKUP($S$178,'TAR FIN'!$A$1:$O$92,15,0)),0,VLOOKUP($S$178,'TAR FIN'!$A$1:$O$92,15,0))</f>
        <v>0</v>
      </c>
      <c r="W178" s="6">
        <f>IF(ISERROR(VLOOKUP($T$178,'TAR FIN'!$A$1:$O$92,15,0)),0,VLOOKUP($T$178,'TAR FIN'!$A$1:$O$92,15,0))</f>
        <v>301.99</v>
      </c>
      <c r="X178" s="6">
        <f>IF(ISERROR(VLOOKUP($U$178,'TAR FIN'!$A$1:$O$92,15,0)),0,VLOOKUP($U$178,'TAR FIN'!$A$1:$O$92,15,0))</f>
        <v>267.11</v>
      </c>
      <c r="Y178" s="6"/>
      <c r="Z178" s="6">
        <f ca="1">('TUSD BE'!$AM$37+'TUSD BF'!$AM$37+'TUSD CVA'!$AM$37)*(1-CUSTOS!$M$38)</f>
        <v>443.47423500349447</v>
      </c>
      <c r="AA178" s="6">
        <f>('TE BE'!$AB$25+'TE BF'!$AB$25+'TE CVA'!$AB$25)*(1-CUSTOS!$M$38)</f>
        <v>269.93409109504938</v>
      </c>
      <c r="AB178" s="6">
        <f t="shared" si="15"/>
        <v>0</v>
      </c>
      <c r="AC178" s="6">
        <f>(L178-M178)*(W178+X178)+($W$110+$X$110-$W$178-$X$178)*(L178)</f>
        <v>99.728850000000008</v>
      </c>
      <c r="AD178" s="6">
        <f t="shared" si="16"/>
        <v>0</v>
      </c>
      <c r="AE178" s="6">
        <f ca="1">(L178-M178)*(Z178+AA178)+($Z$110+$AA$110-$Z$178-$AA$178)*(L178)</f>
        <v>58.514661640636007</v>
      </c>
      <c r="AF178" s="4" t="s">
        <v>689</v>
      </c>
    </row>
    <row r="179" spans="1:32" ht="11.25" customHeight="1" x14ac:dyDescent="0.3">
      <c r="A179" s="4" t="s">
        <v>21</v>
      </c>
      <c r="B179" s="4" t="s">
        <v>41</v>
      </c>
      <c r="C179" s="4" t="s">
        <v>23</v>
      </c>
      <c r="D179" s="4" t="s">
        <v>42</v>
      </c>
      <c r="E179" s="4" t="s">
        <v>52</v>
      </c>
      <c r="F179" s="4" t="s">
        <v>51</v>
      </c>
      <c r="G179" s="4" t="s">
        <v>25</v>
      </c>
      <c r="H179" s="4" t="s">
        <v>25</v>
      </c>
      <c r="I179" s="5">
        <v>44562</v>
      </c>
      <c r="J179" s="6">
        <v>0</v>
      </c>
      <c r="K179" s="6">
        <v>0</v>
      </c>
      <c r="L179" s="6">
        <v>1.57</v>
      </c>
      <c r="M179" s="6">
        <v>1.57</v>
      </c>
      <c r="N179" s="6">
        <v>1.57</v>
      </c>
      <c r="O179" s="6">
        <v>1.57</v>
      </c>
      <c r="P179" s="6">
        <v>0</v>
      </c>
      <c r="Q179" s="4" t="s">
        <v>26</v>
      </c>
      <c r="R179" s="4">
        <v>0</v>
      </c>
      <c r="S179" s="4">
        <v>0</v>
      </c>
      <c r="T179" s="4">
        <v>62</v>
      </c>
      <c r="U179" s="4">
        <v>23</v>
      </c>
      <c r="V179" s="6">
        <f>IF(ISERROR(VLOOKUP($S$179,'TAR FIN'!$A$1:$O$92,15,0)),0,VLOOKUP($S$179,'TAR FIN'!$A$1:$O$92,15,0))</f>
        <v>0</v>
      </c>
      <c r="W179" s="6">
        <f>IF(ISERROR(VLOOKUP($T$179,'TAR FIN'!$A$1:$O$92,15,0)),0,VLOOKUP($T$179,'TAR FIN'!$A$1:$O$92,15,0))</f>
        <v>301.99</v>
      </c>
      <c r="X179" s="6">
        <f>IF(ISERROR(VLOOKUP($U$179,'TAR FIN'!$A$1:$O$92,15,0)),0,VLOOKUP($U$179,'TAR FIN'!$A$1:$O$92,15,0))</f>
        <v>267.11</v>
      </c>
      <c r="Y179" s="6"/>
      <c r="Z179" s="6">
        <f ca="1">('TUSD BE'!$AM$37+'TUSD BF'!$AM$37+'TUSD CVA'!$AM$37)*(1-CUSTOS!$M$38)</f>
        <v>443.47423500349447</v>
      </c>
      <c r="AA179" s="6">
        <f>('TE BE'!$AB$25+'TE BF'!$AB$25+'TE CVA'!$AB$25)*(1-CUSTOS!$M$38)</f>
        <v>269.93409109504938</v>
      </c>
      <c r="AB179" s="6">
        <f t="shared" si="15"/>
        <v>0</v>
      </c>
      <c r="AC179" s="6">
        <f>(L179-M179)*(W179+X179)+($W$110+$X$110-$W$179-$X$179)*(L179)</f>
        <v>121.84770000000003</v>
      </c>
      <c r="AD179" s="6">
        <f t="shared" si="16"/>
        <v>0</v>
      </c>
      <c r="AE179" s="6">
        <f ca="1">(L179-M179)*(Z179+AA179)+($Z$110+$AA$110-$Z$179-$AA$179)*(L179)</f>
        <v>71.492621615407415</v>
      </c>
      <c r="AF179" s="4" t="s">
        <v>689</v>
      </c>
    </row>
    <row r="180" spans="1:32" ht="11.25" customHeight="1" x14ac:dyDescent="0.3">
      <c r="A180" s="4" t="s">
        <v>21</v>
      </c>
      <c r="B180" s="4" t="s">
        <v>41</v>
      </c>
      <c r="C180" s="4" t="s">
        <v>23</v>
      </c>
      <c r="D180" s="4" t="s">
        <v>42</v>
      </c>
      <c r="E180" s="4" t="s">
        <v>52</v>
      </c>
      <c r="F180" s="4" t="s">
        <v>51</v>
      </c>
      <c r="G180" s="4" t="s">
        <v>25</v>
      </c>
      <c r="H180" s="4" t="s">
        <v>25</v>
      </c>
      <c r="I180" s="5">
        <v>44593</v>
      </c>
      <c r="J180" s="6">
        <v>0</v>
      </c>
      <c r="K180" s="6">
        <v>0</v>
      </c>
      <c r="L180" s="6">
        <v>1.621</v>
      </c>
      <c r="M180" s="6">
        <v>1.621</v>
      </c>
      <c r="N180" s="6">
        <v>1.621</v>
      </c>
      <c r="O180" s="6">
        <v>1.621</v>
      </c>
      <c r="P180" s="6">
        <v>0</v>
      </c>
      <c r="Q180" s="4" t="s">
        <v>26</v>
      </c>
      <c r="R180" s="4">
        <v>0</v>
      </c>
      <c r="S180" s="4">
        <v>0</v>
      </c>
      <c r="T180" s="4">
        <v>62</v>
      </c>
      <c r="U180" s="4">
        <v>23</v>
      </c>
      <c r="V180" s="6">
        <f>IF(ISERROR(VLOOKUP($S$180,'TAR FIN'!$A$1:$O$92,15,0)),0,VLOOKUP($S$180,'TAR FIN'!$A$1:$O$92,15,0))</f>
        <v>0</v>
      </c>
      <c r="W180" s="6">
        <f>IF(ISERROR(VLOOKUP($T$180,'TAR FIN'!$A$1:$O$92,15,0)),0,VLOOKUP($T$180,'TAR FIN'!$A$1:$O$92,15,0))</f>
        <v>301.99</v>
      </c>
      <c r="X180" s="6">
        <f>IF(ISERROR(VLOOKUP($U$180,'TAR FIN'!$A$1:$O$92,15,0)),0,VLOOKUP($U$180,'TAR FIN'!$A$1:$O$92,15,0))</f>
        <v>267.11</v>
      </c>
      <c r="Y180" s="6"/>
      <c r="Z180" s="6">
        <f ca="1">('TUSD BE'!$AM$37+'TUSD BF'!$AM$37+'TUSD CVA'!$AM$37)*(1-CUSTOS!$M$38)</f>
        <v>443.47423500349447</v>
      </c>
      <c r="AA180" s="6">
        <f>('TE BE'!$AB$25+'TE BF'!$AB$25+'TE CVA'!$AB$25)*(1-CUSTOS!$M$38)</f>
        <v>269.93409109504938</v>
      </c>
      <c r="AB180" s="6">
        <f t="shared" si="15"/>
        <v>0</v>
      </c>
      <c r="AC180" s="6">
        <f>(L180-M180)*(W180+X180)+($W$110+$X$110-$W$180-$X$180)*(L180)</f>
        <v>125.80581000000002</v>
      </c>
      <c r="AD180" s="6">
        <f t="shared" si="16"/>
        <v>0</v>
      </c>
      <c r="AE180" s="6">
        <f ca="1">(L180-M180)*(Z180+AA180)+($Z$110+$AA$110-$Z$180-$AA$180)*(L180)</f>
        <v>73.814993400366518</v>
      </c>
      <c r="AF180" s="4" t="s">
        <v>689</v>
      </c>
    </row>
    <row r="181" spans="1:32" ht="11.25" customHeight="1" x14ac:dyDescent="0.3">
      <c r="A181" s="4" t="s">
        <v>21</v>
      </c>
      <c r="B181" s="4" t="s">
        <v>41</v>
      </c>
      <c r="C181" s="4" t="s">
        <v>23</v>
      </c>
      <c r="D181" s="4" t="s">
        <v>42</v>
      </c>
      <c r="E181" s="4" t="s">
        <v>52</v>
      </c>
      <c r="F181" s="4" t="s">
        <v>51</v>
      </c>
      <c r="G181" s="4" t="s">
        <v>25</v>
      </c>
      <c r="H181" s="4" t="s">
        <v>25</v>
      </c>
      <c r="I181" s="5">
        <v>44621</v>
      </c>
      <c r="J181" s="6">
        <v>0</v>
      </c>
      <c r="K181" s="6">
        <v>0</v>
      </c>
      <c r="L181" s="6">
        <v>0.90700000000000003</v>
      </c>
      <c r="M181" s="6">
        <v>0.90700000000000003</v>
      </c>
      <c r="N181" s="6">
        <v>0.90700000000000003</v>
      </c>
      <c r="O181" s="6">
        <v>0.90700000000000003</v>
      </c>
      <c r="P181" s="6">
        <v>0</v>
      </c>
      <c r="Q181" s="4" t="s">
        <v>26</v>
      </c>
      <c r="R181" s="4">
        <v>0</v>
      </c>
      <c r="S181" s="4">
        <v>0</v>
      </c>
      <c r="T181" s="4">
        <v>62</v>
      </c>
      <c r="U181" s="4">
        <v>23</v>
      </c>
      <c r="V181" s="6">
        <f>IF(ISERROR(VLOOKUP($S$181,'TAR FIN'!$A$1:$O$92,15,0)),0,VLOOKUP($S$181,'TAR FIN'!$A$1:$O$92,15,0))</f>
        <v>0</v>
      </c>
      <c r="W181" s="6">
        <f>IF(ISERROR(VLOOKUP($T$181,'TAR FIN'!$A$1:$O$92,15,0)),0,VLOOKUP($T$181,'TAR FIN'!$A$1:$O$92,15,0))</f>
        <v>301.99</v>
      </c>
      <c r="X181" s="6">
        <f>IF(ISERROR(VLOOKUP($U$181,'TAR FIN'!$A$1:$O$92,15,0)),0,VLOOKUP($U$181,'TAR FIN'!$A$1:$O$92,15,0))</f>
        <v>267.11</v>
      </c>
      <c r="Y181" s="6"/>
      <c r="Z181" s="6">
        <f ca="1">('TUSD BE'!$AM$37+'TUSD BF'!$AM$37+'TUSD CVA'!$AM$37)*(1-CUSTOS!$M$38)</f>
        <v>443.47423500349447</v>
      </c>
      <c r="AA181" s="6">
        <f>('TE BE'!$AB$25+'TE BF'!$AB$25+'TE CVA'!$AB$25)*(1-CUSTOS!$M$38)</f>
        <v>269.93409109504938</v>
      </c>
      <c r="AB181" s="6">
        <f t="shared" si="15"/>
        <v>0</v>
      </c>
      <c r="AC181" s="6">
        <f>(L181-M181)*(W181+X181)+($W$110+$X$110-$W$181-$X$181)*(L181)</f>
        <v>70.392270000000011</v>
      </c>
      <c r="AD181" s="6">
        <f t="shared" si="16"/>
        <v>0</v>
      </c>
      <c r="AE181" s="6">
        <f ca="1">(L181-M181)*(Z181+AA181)+($Z$110+$AA$110-$Z$181-$AA$181)*(L181)</f>
        <v>41.301788410939189</v>
      </c>
      <c r="AF181" s="4" t="s">
        <v>689</v>
      </c>
    </row>
    <row r="182" spans="1:32" ht="11.25" customHeight="1" x14ac:dyDescent="0.3">
      <c r="A182" s="4" t="s">
        <v>21</v>
      </c>
      <c r="B182" s="4" t="s">
        <v>41</v>
      </c>
      <c r="C182" s="4" t="s">
        <v>23</v>
      </c>
      <c r="D182" s="4" t="s">
        <v>42</v>
      </c>
      <c r="E182" s="4" t="s">
        <v>52</v>
      </c>
      <c r="F182" s="4" t="s">
        <v>51</v>
      </c>
      <c r="G182" s="4" t="s">
        <v>25</v>
      </c>
      <c r="H182" s="4" t="s">
        <v>25</v>
      </c>
      <c r="I182" s="5">
        <v>44652</v>
      </c>
      <c r="J182" s="6">
        <v>0</v>
      </c>
      <c r="K182" s="6">
        <v>0</v>
      </c>
      <c r="L182" s="6">
        <v>1.081</v>
      </c>
      <c r="M182" s="6">
        <v>1.081</v>
      </c>
      <c r="N182" s="6">
        <v>1.081</v>
      </c>
      <c r="O182" s="6">
        <v>1.081</v>
      </c>
      <c r="P182" s="6">
        <v>0</v>
      </c>
      <c r="Q182" s="4" t="s">
        <v>26</v>
      </c>
      <c r="R182" s="4">
        <v>0</v>
      </c>
      <c r="S182" s="4">
        <v>0</v>
      </c>
      <c r="T182" s="4">
        <v>62</v>
      </c>
      <c r="U182" s="4">
        <v>23</v>
      </c>
      <c r="V182" s="6">
        <f>IF(ISERROR(VLOOKUP($S$182,'TAR FIN'!$A$1:$O$92,15,0)),0,VLOOKUP($S$182,'TAR FIN'!$A$1:$O$92,15,0))</f>
        <v>0</v>
      </c>
      <c r="W182" s="6">
        <f>IF(ISERROR(VLOOKUP($T$182,'TAR FIN'!$A$1:$O$92,15,0)),0,VLOOKUP($T$182,'TAR FIN'!$A$1:$O$92,15,0))</f>
        <v>301.99</v>
      </c>
      <c r="X182" s="6">
        <f>IF(ISERROR(VLOOKUP($U$182,'TAR FIN'!$A$1:$O$92,15,0)),0,VLOOKUP($U$182,'TAR FIN'!$A$1:$O$92,15,0))</f>
        <v>267.11</v>
      </c>
      <c r="Y182" s="6"/>
      <c r="Z182" s="6">
        <f ca="1">('TUSD BE'!$AM$37+'TUSD BF'!$AM$37+'TUSD CVA'!$AM$37)*(1-CUSTOS!$M$38)</f>
        <v>443.47423500349447</v>
      </c>
      <c r="AA182" s="6">
        <f>('TE BE'!$AB$25+'TE BF'!$AB$25+'TE CVA'!$AB$25)*(1-CUSTOS!$M$38)</f>
        <v>269.93409109504938</v>
      </c>
      <c r="AB182" s="6">
        <f t="shared" si="15"/>
        <v>0</v>
      </c>
      <c r="AC182" s="6">
        <f>(L182-M182)*(W182+X182)+($W$110+$X$110-$W$182-$X$182)*(L182)</f>
        <v>83.896410000000017</v>
      </c>
      <c r="AD182" s="6">
        <f t="shared" si="16"/>
        <v>0</v>
      </c>
      <c r="AE182" s="6">
        <f ca="1">(L182-M182)*(Z182+AA182)+($Z$110+$AA$110-$Z$182-$AA$182)*(L182)</f>
        <v>49.225174500799632</v>
      </c>
      <c r="AF182" s="4" t="s">
        <v>689</v>
      </c>
    </row>
    <row r="183" spans="1:32" ht="11.25" customHeight="1" x14ac:dyDescent="0.3">
      <c r="A183" s="4" t="s">
        <v>21</v>
      </c>
      <c r="B183" s="4" t="s">
        <v>41</v>
      </c>
      <c r="C183" s="4" t="s">
        <v>23</v>
      </c>
      <c r="D183" s="4" t="s">
        <v>42</v>
      </c>
      <c r="E183" s="4" t="s">
        <v>52</v>
      </c>
      <c r="F183" s="4" t="s">
        <v>51</v>
      </c>
      <c r="G183" s="4" t="s">
        <v>25</v>
      </c>
      <c r="H183" s="4" t="s">
        <v>25</v>
      </c>
      <c r="I183" s="5">
        <v>44682</v>
      </c>
      <c r="J183" s="6">
        <v>0</v>
      </c>
      <c r="K183" s="6">
        <v>0</v>
      </c>
      <c r="L183" s="6">
        <v>1.173</v>
      </c>
      <c r="M183" s="6">
        <v>1.173</v>
      </c>
      <c r="N183" s="6">
        <v>1.173</v>
      </c>
      <c r="O183" s="6">
        <v>1.173</v>
      </c>
      <c r="P183" s="6">
        <v>0</v>
      </c>
      <c r="Q183" s="4" t="s">
        <v>26</v>
      </c>
      <c r="R183" s="4">
        <v>0</v>
      </c>
      <c r="S183" s="4">
        <v>0</v>
      </c>
      <c r="T183" s="4">
        <v>62</v>
      </c>
      <c r="U183" s="4">
        <v>23</v>
      </c>
      <c r="V183" s="6">
        <f>IF(ISERROR(VLOOKUP($S$183,'TAR FIN'!$A$1:$O$92,15,0)),0,VLOOKUP($S$183,'TAR FIN'!$A$1:$O$92,15,0))</f>
        <v>0</v>
      </c>
      <c r="W183" s="6">
        <f>IF(ISERROR(VLOOKUP($T$183,'TAR FIN'!$A$1:$O$92,15,0)),0,VLOOKUP($T$183,'TAR FIN'!$A$1:$O$92,15,0))</f>
        <v>301.99</v>
      </c>
      <c r="X183" s="6">
        <f>IF(ISERROR(VLOOKUP($U$183,'TAR FIN'!$A$1:$O$92,15,0)),0,VLOOKUP($U$183,'TAR FIN'!$A$1:$O$92,15,0))</f>
        <v>267.11</v>
      </c>
      <c r="Y183" s="6"/>
      <c r="Z183" s="6">
        <f ca="1">('TUSD BE'!$AM$37+'TUSD BF'!$AM$37+'TUSD CVA'!$AM$37)*(1-CUSTOS!$M$38)</f>
        <v>443.47423500349447</v>
      </c>
      <c r="AA183" s="6">
        <f>('TE BE'!$AB$25+'TE BF'!$AB$25+'TE CVA'!$AB$25)*(1-CUSTOS!$M$38)</f>
        <v>269.93409109504938</v>
      </c>
      <c r="AB183" s="6">
        <f t="shared" si="15"/>
        <v>0</v>
      </c>
      <c r="AC183" s="6">
        <f>(L183-M183)*(W183+X183)+($W$110+$X$110-$W$183-$X$183)*(L183)</f>
        <v>91.036530000000013</v>
      </c>
      <c r="AD183" s="6">
        <f t="shared" si="16"/>
        <v>0</v>
      </c>
      <c r="AE183" s="6">
        <f ca="1">(L183-M183)*(Z183+AA183)+($Z$110+$AA$110-$Z$183-$AA$183)*(L183)</f>
        <v>53.414551054059174</v>
      </c>
      <c r="AF183" s="4" t="s">
        <v>689</v>
      </c>
    </row>
    <row r="184" spans="1:32" ht="11.25" customHeight="1" x14ac:dyDescent="0.3">
      <c r="A184" s="4" t="s">
        <v>21</v>
      </c>
      <c r="B184" s="4" t="s">
        <v>41</v>
      </c>
      <c r="C184" s="4" t="s">
        <v>23</v>
      </c>
      <c r="D184" s="4" t="s">
        <v>42</v>
      </c>
      <c r="E184" s="4" t="s">
        <v>52</v>
      </c>
      <c r="F184" s="4" t="s">
        <v>51</v>
      </c>
      <c r="G184" s="4" t="s">
        <v>25</v>
      </c>
      <c r="H184" s="4" t="s">
        <v>25</v>
      </c>
      <c r="I184" s="5">
        <v>44713</v>
      </c>
      <c r="J184" s="6">
        <v>0</v>
      </c>
      <c r="K184" s="6">
        <v>0</v>
      </c>
      <c r="L184" s="6">
        <v>0.95299999999999996</v>
      </c>
      <c r="M184" s="6">
        <v>0.95299999999999996</v>
      </c>
      <c r="N184" s="6">
        <v>0.95299999999999996</v>
      </c>
      <c r="O184" s="6">
        <v>0.95299999999999996</v>
      </c>
      <c r="P184" s="6">
        <v>0</v>
      </c>
      <c r="Q184" s="4" t="s">
        <v>26</v>
      </c>
      <c r="R184" s="4">
        <v>0</v>
      </c>
      <c r="S184" s="4">
        <v>0</v>
      </c>
      <c r="T184" s="4">
        <v>62</v>
      </c>
      <c r="U184" s="4">
        <v>23</v>
      </c>
      <c r="V184" s="6">
        <f>IF(ISERROR(VLOOKUP($S$184,'TAR FIN'!$A$1:$O$92,15,0)),0,VLOOKUP($S$184,'TAR FIN'!$A$1:$O$92,15,0))</f>
        <v>0</v>
      </c>
      <c r="W184" s="6">
        <f>IF(ISERROR(VLOOKUP($T$184,'TAR FIN'!$A$1:$O$92,15,0)),0,VLOOKUP($T$184,'TAR FIN'!$A$1:$O$92,15,0))</f>
        <v>301.99</v>
      </c>
      <c r="X184" s="6">
        <f>IF(ISERROR(VLOOKUP($U$184,'TAR FIN'!$A$1:$O$92,15,0)),0,VLOOKUP($U$184,'TAR FIN'!$A$1:$O$92,15,0))</f>
        <v>267.11</v>
      </c>
      <c r="Y184" s="6"/>
      <c r="Z184" s="6">
        <f ca="1">('TUSD BE'!$AM$37+'TUSD BF'!$AM$37+'TUSD CVA'!$AM$37)*(1-CUSTOS!$M$38)</f>
        <v>443.47423500349447</v>
      </c>
      <c r="AA184" s="6">
        <f>('TE BE'!$AB$25+'TE BF'!$AB$25+'TE CVA'!$AB$25)*(1-CUSTOS!$M$38)</f>
        <v>269.93409109504938</v>
      </c>
      <c r="AB184" s="6">
        <f t="shared" si="15"/>
        <v>0</v>
      </c>
      <c r="AC184" s="6">
        <f>(L184-M184)*(W184+X184)+($W$110+$X$110-$W$184-$X$184)*(L184)</f>
        <v>73.962330000000009</v>
      </c>
      <c r="AD184" s="6">
        <f t="shared" si="16"/>
        <v>0</v>
      </c>
      <c r="AE184" s="6">
        <f ca="1">(L184-M184)*(Z184+AA184)+($Z$110+$AA$110-$Z$184-$AA$184)*(L184)</f>
        <v>43.396476687568963</v>
      </c>
      <c r="AF184" s="4" t="s">
        <v>689</v>
      </c>
    </row>
    <row r="185" spans="1:32" ht="11.25" customHeight="1" x14ac:dyDescent="0.3">
      <c r="A185" s="4" t="s">
        <v>21</v>
      </c>
      <c r="B185" s="4" t="s">
        <v>41</v>
      </c>
      <c r="C185" s="4" t="s">
        <v>23</v>
      </c>
      <c r="D185" s="4" t="s">
        <v>42</v>
      </c>
      <c r="E185" s="4" t="s">
        <v>52</v>
      </c>
      <c r="F185" s="4" t="s">
        <v>51</v>
      </c>
      <c r="G185" s="4" t="s">
        <v>25</v>
      </c>
      <c r="H185" s="4" t="s">
        <v>25</v>
      </c>
      <c r="I185" s="5">
        <v>44743</v>
      </c>
      <c r="J185" s="6">
        <v>0</v>
      </c>
      <c r="K185" s="6">
        <v>0</v>
      </c>
      <c r="L185" s="6">
        <v>0.73699999999999999</v>
      </c>
      <c r="M185" s="6">
        <v>0.73699999999999999</v>
      </c>
      <c r="N185" s="6">
        <v>0.73699999999999999</v>
      </c>
      <c r="O185" s="6">
        <v>0.73699999999999999</v>
      </c>
      <c r="P185" s="6">
        <v>0</v>
      </c>
      <c r="Q185" s="4" t="s">
        <v>26</v>
      </c>
      <c r="R185" s="4">
        <v>0</v>
      </c>
      <c r="S185" s="4">
        <v>0</v>
      </c>
      <c r="T185" s="4">
        <v>62</v>
      </c>
      <c r="U185" s="4">
        <v>23</v>
      </c>
      <c r="V185" s="6">
        <f>IF(ISERROR(VLOOKUP($S$185,'TAR FIN'!$A$1:$O$92,15,0)),0,VLOOKUP($S$185,'TAR FIN'!$A$1:$O$92,15,0))</f>
        <v>0</v>
      </c>
      <c r="W185" s="6">
        <f>IF(ISERROR(VLOOKUP($T$185,'TAR FIN'!$A$1:$O$92,15,0)),0,VLOOKUP($T$185,'TAR FIN'!$A$1:$O$92,15,0))</f>
        <v>301.99</v>
      </c>
      <c r="X185" s="6">
        <f>IF(ISERROR(VLOOKUP($U$185,'TAR FIN'!$A$1:$O$92,15,0)),0,VLOOKUP($U$185,'TAR FIN'!$A$1:$O$92,15,0))</f>
        <v>267.11</v>
      </c>
      <c r="Y185" s="6"/>
      <c r="Z185" s="6">
        <f ca="1">('TUSD BE'!$AM$37+'TUSD BF'!$AM$37+'TUSD CVA'!$AM$37)*(1-CUSTOS!$M$38)</f>
        <v>443.47423500349447</v>
      </c>
      <c r="AA185" s="6">
        <f>('TE BE'!$AB$25+'TE BF'!$AB$25+'TE CVA'!$AB$25)*(1-CUSTOS!$M$38)</f>
        <v>269.93409109504938</v>
      </c>
      <c r="AB185" s="6">
        <f t="shared" si="15"/>
        <v>0</v>
      </c>
      <c r="AC185" s="6">
        <f>(L185-M185)*(W185+X185)+($W$110+$X$110-$W$185-$X$185)*(L185)</f>
        <v>57.198570000000011</v>
      </c>
      <c r="AD185" s="6">
        <f t="shared" si="16"/>
        <v>0</v>
      </c>
      <c r="AE185" s="6">
        <f ca="1">(L185-M185)*(Z185+AA185)+($Z$110+$AA$110-$Z$185-$AA$185)*(L185)</f>
        <v>33.560549127742206</v>
      </c>
      <c r="AF185" s="4" t="s">
        <v>689</v>
      </c>
    </row>
    <row r="186" spans="1:32" ht="11.25" customHeight="1" x14ac:dyDescent="0.3">
      <c r="A186" s="4" t="s">
        <v>21</v>
      </c>
      <c r="B186" s="4" t="s">
        <v>41</v>
      </c>
      <c r="C186" s="4" t="s">
        <v>23</v>
      </c>
      <c r="D186" s="4" t="s">
        <v>42</v>
      </c>
      <c r="E186" s="4" t="s">
        <v>52</v>
      </c>
      <c r="F186" s="4" t="s">
        <v>53</v>
      </c>
      <c r="G186" s="4" t="s">
        <v>25</v>
      </c>
      <c r="H186" s="4" t="s">
        <v>25</v>
      </c>
      <c r="I186" s="5">
        <v>44409</v>
      </c>
      <c r="J186" s="6">
        <v>0</v>
      </c>
      <c r="K186" s="6">
        <v>0</v>
      </c>
      <c r="L186" s="6">
        <v>1.992</v>
      </c>
      <c r="M186" s="6">
        <v>0.79679999999999995</v>
      </c>
      <c r="N186" s="6">
        <v>1.992</v>
      </c>
      <c r="O186" s="6">
        <v>0.79679999999999995</v>
      </c>
      <c r="P186" s="6">
        <v>0</v>
      </c>
      <c r="Q186" s="4" t="s">
        <v>26</v>
      </c>
      <c r="R186" s="4">
        <v>0</v>
      </c>
      <c r="S186" s="4">
        <v>0</v>
      </c>
      <c r="T186" s="4">
        <v>62</v>
      </c>
      <c r="U186" s="4">
        <v>23</v>
      </c>
      <c r="V186" s="6">
        <f>IF(ISERROR(VLOOKUP($S$186,'TAR FIN'!$A$1:$O$92,15,0)),0,VLOOKUP($S$186,'TAR FIN'!$A$1:$O$92,15,0))</f>
        <v>0</v>
      </c>
      <c r="W186" s="6">
        <f>IF(ISERROR(VLOOKUP($T$186,'TAR FIN'!$A$1:$O$92,15,0)),0,VLOOKUP($T$186,'TAR FIN'!$A$1:$O$92,15,0))</f>
        <v>301.99</v>
      </c>
      <c r="X186" s="6">
        <f>IF(ISERROR(VLOOKUP($U$186,'TAR FIN'!$A$1:$O$92,15,0)),0,VLOOKUP($U$186,'TAR FIN'!$A$1:$O$92,15,0))</f>
        <v>267.11</v>
      </c>
      <c r="Y186" s="6"/>
      <c r="Z186" s="6">
        <f ca="1">('TUSD BE'!$AM$37+'TUSD BF'!$AM$37+'TUSD CVA'!$AM$37)*(1-CUSTOS!$M$38)</f>
        <v>443.47423500349447</v>
      </c>
      <c r="AA186" s="6">
        <f>('TE BE'!$AB$25+'TE BF'!$AB$25+'TE CVA'!$AB$25)*(1-CUSTOS!$M$38)</f>
        <v>269.93409109504938</v>
      </c>
      <c r="AB186" s="6">
        <f t="shared" si="15"/>
        <v>0</v>
      </c>
      <c r="AC186" s="6">
        <f>(L186-M186)*(W186+X186)+($W$110+$X$110-$W$186-$X$186)*(L186)</f>
        <v>834.78744000000006</v>
      </c>
      <c r="AD186" s="6">
        <f t="shared" si="16"/>
        <v>0</v>
      </c>
      <c r="AE186" s="6">
        <f ca="1">(L186-M186)*(Z186+AA186)+($Z$110+$AA$110-$Z$186-$AA$186)*(L186)</f>
        <v>943.37474107138189</v>
      </c>
      <c r="AF186" s="4" t="s">
        <v>690</v>
      </c>
    </row>
    <row r="187" spans="1:32" ht="11.25" customHeight="1" x14ac:dyDescent="0.3">
      <c r="A187" s="4" t="s">
        <v>21</v>
      </c>
      <c r="B187" s="4" t="s">
        <v>41</v>
      </c>
      <c r="C187" s="4" t="s">
        <v>23</v>
      </c>
      <c r="D187" s="4" t="s">
        <v>42</v>
      </c>
      <c r="E187" s="4" t="s">
        <v>52</v>
      </c>
      <c r="F187" s="4" t="s">
        <v>53</v>
      </c>
      <c r="G187" s="4" t="s">
        <v>25</v>
      </c>
      <c r="H187" s="4" t="s">
        <v>25</v>
      </c>
      <c r="I187" s="5">
        <v>44440</v>
      </c>
      <c r="J187" s="6">
        <v>0</v>
      </c>
      <c r="K187" s="6">
        <v>0</v>
      </c>
      <c r="L187" s="6">
        <v>2.012</v>
      </c>
      <c r="M187" s="6">
        <v>0.80479999999999996</v>
      </c>
      <c r="N187" s="6">
        <v>2.012</v>
      </c>
      <c r="O187" s="6">
        <v>0.80479999999999996</v>
      </c>
      <c r="P187" s="6">
        <v>0</v>
      </c>
      <c r="Q187" s="4" t="s">
        <v>26</v>
      </c>
      <c r="R187" s="4">
        <v>0</v>
      </c>
      <c r="S187" s="4">
        <v>0</v>
      </c>
      <c r="T187" s="4">
        <v>62</v>
      </c>
      <c r="U187" s="4">
        <v>23</v>
      </c>
      <c r="V187" s="6">
        <f>IF(ISERROR(VLOOKUP($S$187,'TAR FIN'!$A$1:$O$92,15,0)),0,VLOOKUP($S$187,'TAR FIN'!$A$1:$O$92,15,0))</f>
        <v>0</v>
      </c>
      <c r="W187" s="6">
        <f>IF(ISERROR(VLOOKUP($T$187,'TAR FIN'!$A$1:$O$92,15,0)),0,VLOOKUP($T$187,'TAR FIN'!$A$1:$O$92,15,0))</f>
        <v>301.99</v>
      </c>
      <c r="X187" s="6">
        <f>IF(ISERROR(VLOOKUP($U$187,'TAR FIN'!$A$1:$O$92,15,0)),0,VLOOKUP($U$187,'TAR FIN'!$A$1:$O$92,15,0))</f>
        <v>267.11</v>
      </c>
      <c r="Y187" s="6"/>
      <c r="Z187" s="6">
        <f ca="1">('TUSD BE'!$AM$37+'TUSD BF'!$AM$37+'TUSD CVA'!$AM$37)*(1-CUSTOS!$M$38)</f>
        <v>443.47423500349447</v>
      </c>
      <c r="AA187" s="6">
        <f>('TE BE'!$AB$25+'TE BF'!$AB$25+'TE CVA'!$AB$25)*(1-CUSTOS!$M$38)</f>
        <v>269.93409109504938</v>
      </c>
      <c r="AB187" s="6">
        <f t="shared" si="15"/>
        <v>0</v>
      </c>
      <c r="AC187" s="6">
        <f>(L187-M187)*(W187+X187)+($W$110+$X$110-$W$187-$X$187)*(L187)</f>
        <v>843.16884000000016</v>
      </c>
      <c r="AD187" s="6">
        <f t="shared" si="16"/>
        <v>0</v>
      </c>
      <c r="AE187" s="6">
        <f ca="1">(L187-M187)*(Z187+AA187)+($Z$110+$AA$110-$Z$187-$AA$187)*(L187)</f>
        <v>952.84637501788177</v>
      </c>
      <c r="AF187" s="4" t="s">
        <v>690</v>
      </c>
    </row>
    <row r="188" spans="1:32" ht="11.25" customHeight="1" x14ac:dyDescent="0.3">
      <c r="A188" s="4" t="s">
        <v>21</v>
      </c>
      <c r="B188" s="4" t="s">
        <v>41</v>
      </c>
      <c r="C188" s="4" t="s">
        <v>23</v>
      </c>
      <c r="D188" s="4" t="s">
        <v>42</v>
      </c>
      <c r="E188" s="4" t="s">
        <v>52</v>
      </c>
      <c r="F188" s="4" t="s">
        <v>53</v>
      </c>
      <c r="G188" s="4" t="s">
        <v>25</v>
      </c>
      <c r="H188" s="4" t="s">
        <v>25</v>
      </c>
      <c r="I188" s="5">
        <v>44470</v>
      </c>
      <c r="J188" s="6">
        <v>0</v>
      </c>
      <c r="K188" s="6">
        <v>0</v>
      </c>
      <c r="L188" s="6">
        <v>1.7290000000000001</v>
      </c>
      <c r="M188" s="6">
        <v>0.69159999999999999</v>
      </c>
      <c r="N188" s="6">
        <v>1.7290000000000001</v>
      </c>
      <c r="O188" s="6">
        <v>0.69159999999999999</v>
      </c>
      <c r="P188" s="6">
        <v>0</v>
      </c>
      <c r="Q188" s="4" t="s">
        <v>26</v>
      </c>
      <c r="R188" s="4">
        <v>0</v>
      </c>
      <c r="S188" s="4">
        <v>0</v>
      </c>
      <c r="T188" s="4">
        <v>62</v>
      </c>
      <c r="U188" s="4">
        <v>23</v>
      </c>
      <c r="V188" s="6">
        <f>IF(ISERROR(VLOOKUP($S$188,'TAR FIN'!$A$1:$O$92,15,0)),0,VLOOKUP($S$188,'TAR FIN'!$A$1:$O$92,15,0))</f>
        <v>0</v>
      </c>
      <c r="W188" s="6">
        <f>IF(ISERROR(VLOOKUP($T$188,'TAR FIN'!$A$1:$O$92,15,0)),0,VLOOKUP($T$188,'TAR FIN'!$A$1:$O$92,15,0))</f>
        <v>301.99</v>
      </c>
      <c r="X188" s="6">
        <f>IF(ISERROR(VLOOKUP($U$188,'TAR FIN'!$A$1:$O$92,15,0)),0,VLOOKUP($U$188,'TAR FIN'!$A$1:$O$92,15,0))</f>
        <v>267.11</v>
      </c>
      <c r="Y188" s="6"/>
      <c r="Z188" s="6">
        <f ca="1">('TUSD BE'!$AM$37+'TUSD BF'!$AM$37+'TUSD CVA'!$AM$37)*(1-CUSTOS!$M$38)</f>
        <v>443.47423500349447</v>
      </c>
      <c r="AA188" s="6">
        <f>('TE BE'!$AB$25+'TE BF'!$AB$25+'TE CVA'!$AB$25)*(1-CUSTOS!$M$38)</f>
        <v>269.93409109504938</v>
      </c>
      <c r="AB188" s="6">
        <f t="shared" si="15"/>
        <v>0</v>
      </c>
      <c r="AC188" s="6">
        <f>(L188-M188)*(W188+X188)+($W$110+$X$110-$W$188-$X$188)*(L188)</f>
        <v>724.57203000000004</v>
      </c>
      <c r="AD188" s="6">
        <f t="shared" si="16"/>
        <v>0</v>
      </c>
      <c r="AE188" s="6">
        <f ca="1">(L188-M188)*(Z188+AA188)+($Z$110+$AA$110-$Z$188-$AA$188)*(L188)</f>
        <v>818.82275467490933</v>
      </c>
      <c r="AF188" s="4" t="s">
        <v>690</v>
      </c>
    </row>
    <row r="189" spans="1:32" ht="11.25" customHeight="1" x14ac:dyDescent="0.3">
      <c r="A189" s="4" t="s">
        <v>21</v>
      </c>
      <c r="B189" s="4" t="s">
        <v>41</v>
      </c>
      <c r="C189" s="4" t="s">
        <v>23</v>
      </c>
      <c r="D189" s="4" t="s">
        <v>42</v>
      </c>
      <c r="E189" s="4" t="s">
        <v>52</v>
      </c>
      <c r="F189" s="4" t="s">
        <v>53</v>
      </c>
      <c r="G189" s="4" t="s">
        <v>25</v>
      </c>
      <c r="H189" s="4" t="s">
        <v>25</v>
      </c>
      <c r="I189" s="5">
        <v>44501</v>
      </c>
      <c r="J189" s="6">
        <v>0</v>
      </c>
      <c r="K189" s="6">
        <v>0</v>
      </c>
      <c r="L189" s="6">
        <v>0.91200000000000003</v>
      </c>
      <c r="M189" s="6">
        <v>0.36480000000000001</v>
      </c>
      <c r="N189" s="6">
        <v>0.91200000000000003</v>
      </c>
      <c r="O189" s="6">
        <v>0.36480000000000001</v>
      </c>
      <c r="P189" s="6">
        <v>0</v>
      </c>
      <c r="Q189" s="4" t="s">
        <v>26</v>
      </c>
      <c r="R189" s="4">
        <v>0</v>
      </c>
      <c r="S189" s="4">
        <v>0</v>
      </c>
      <c r="T189" s="4">
        <v>62</v>
      </c>
      <c r="U189" s="4">
        <v>23</v>
      </c>
      <c r="V189" s="6">
        <f>IF(ISERROR(VLOOKUP($S$189,'TAR FIN'!$A$1:$O$92,15,0)),0,VLOOKUP($S$189,'TAR FIN'!$A$1:$O$92,15,0))</f>
        <v>0</v>
      </c>
      <c r="W189" s="6">
        <f>IF(ISERROR(VLOOKUP($T$189,'TAR FIN'!$A$1:$O$92,15,0)),0,VLOOKUP($T$189,'TAR FIN'!$A$1:$O$92,15,0))</f>
        <v>301.99</v>
      </c>
      <c r="X189" s="6">
        <f>IF(ISERROR(VLOOKUP($U$189,'TAR FIN'!$A$1:$O$92,15,0)),0,VLOOKUP($U$189,'TAR FIN'!$A$1:$O$92,15,0))</f>
        <v>267.11</v>
      </c>
      <c r="Y189" s="6"/>
      <c r="Z189" s="6">
        <f ca="1">('TUSD BE'!$AM$37+'TUSD BF'!$AM$37+'TUSD CVA'!$AM$37)*(1-CUSTOS!$M$38)</f>
        <v>443.47423500349447</v>
      </c>
      <c r="AA189" s="6">
        <f>('TE BE'!$AB$25+'TE BF'!$AB$25+'TE CVA'!$AB$25)*(1-CUSTOS!$M$38)</f>
        <v>269.93409109504938</v>
      </c>
      <c r="AB189" s="6">
        <f t="shared" si="15"/>
        <v>0</v>
      </c>
      <c r="AC189" s="6">
        <f>(L189-M189)*(W189+X189)+($W$110+$X$110-$W$189-$X$189)*(L189)</f>
        <v>382.19184000000001</v>
      </c>
      <c r="AD189" s="6">
        <f t="shared" si="16"/>
        <v>0</v>
      </c>
      <c r="AE189" s="6">
        <f ca="1">(L189-M189)*(Z189+AA189)+($Z$110+$AA$110-$Z$189-$AA$189)*(L189)</f>
        <v>431.90650796039176</v>
      </c>
      <c r="AF189" s="4" t="s">
        <v>690</v>
      </c>
    </row>
    <row r="190" spans="1:32" ht="11.25" customHeight="1" x14ac:dyDescent="0.3">
      <c r="A190" s="4" t="s">
        <v>21</v>
      </c>
      <c r="B190" s="4" t="s">
        <v>41</v>
      </c>
      <c r="C190" s="4" t="s">
        <v>23</v>
      </c>
      <c r="D190" s="4" t="s">
        <v>42</v>
      </c>
      <c r="E190" s="4" t="s">
        <v>52</v>
      </c>
      <c r="F190" s="4" t="s">
        <v>53</v>
      </c>
      <c r="G190" s="4" t="s">
        <v>25</v>
      </c>
      <c r="H190" s="4" t="s">
        <v>25</v>
      </c>
      <c r="I190" s="5">
        <v>44531</v>
      </c>
      <c r="J190" s="6">
        <v>0</v>
      </c>
      <c r="K190" s="6">
        <v>0</v>
      </c>
      <c r="L190" s="6">
        <v>1.5309999999999999</v>
      </c>
      <c r="M190" s="6">
        <v>0.61240000000000006</v>
      </c>
      <c r="N190" s="6">
        <v>1.5309999999999999</v>
      </c>
      <c r="O190" s="6">
        <v>0.61240000000000006</v>
      </c>
      <c r="P190" s="6">
        <v>0</v>
      </c>
      <c r="Q190" s="4" t="s">
        <v>26</v>
      </c>
      <c r="R190" s="4">
        <v>0</v>
      </c>
      <c r="S190" s="4">
        <v>0</v>
      </c>
      <c r="T190" s="4">
        <v>62</v>
      </c>
      <c r="U190" s="4">
        <v>23</v>
      </c>
      <c r="V190" s="6">
        <f>IF(ISERROR(VLOOKUP($S$190,'TAR FIN'!$A$1:$O$92,15,0)),0,VLOOKUP($S$190,'TAR FIN'!$A$1:$O$92,15,0))</f>
        <v>0</v>
      </c>
      <c r="W190" s="6">
        <f>IF(ISERROR(VLOOKUP($T$190,'TAR FIN'!$A$1:$O$92,15,0)),0,VLOOKUP($T$190,'TAR FIN'!$A$1:$O$92,15,0))</f>
        <v>301.99</v>
      </c>
      <c r="X190" s="6">
        <f>IF(ISERROR(VLOOKUP($U$190,'TAR FIN'!$A$1:$O$92,15,0)),0,VLOOKUP($U$190,'TAR FIN'!$A$1:$O$92,15,0))</f>
        <v>267.11</v>
      </c>
      <c r="Y190" s="6"/>
      <c r="Z190" s="6">
        <f ca="1">('TUSD BE'!$AM$37+'TUSD BF'!$AM$37+'TUSD CVA'!$AM$37)*(1-CUSTOS!$M$38)</f>
        <v>443.47423500349447</v>
      </c>
      <c r="AA190" s="6">
        <f>('TE BE'!$AB$25+'TE BF'!$AB$25+'TE CVA'!$AB$25)*(1-CUSTOS!$M$38)</f>
        <v>269.93409109504938</v>
      </c>
      <c r="AB190" s="6">
        <f t="shared" si="15"/>
        <v>0</v>
      </c>
      <c r="AC190" s="6">
        <f>(L190-M190)*(W190+X190)+($W$110+$X$110-$W$190-$X$190)*(L190)</f>
        <v>641.59616999999992</v>
      </c>
      <c r="AD190" s="6">
        <f t="shared" si="16"/>
        <v>0</v>
      </c>
      <c r="AE190" s="6">
        <f ca="1">(L190-M190)*(Z190+AA190)+($Z$110+$AA$110-$Z$190-$AA$190)*(L190)</f>
        <v>725.05357860456093</v>
      </c>
      <c r="AF190" s="4" t="s">
        <v>690</v>
      </c>
    </row>
    <row r="191" spans="1:32" ht="11.25" customHeight="1" x14ac:dyDescent="0.3">
      <c r="A191" s="4" t="s">
        <v>21</v>
      </c>
      <c r="B191" s="4" t="s">
        <v>41</v>
      </c>
      <c r="C191" s="4" t="s">
        <v>23</v>
      </c>
      <c r="D191" s="4" t="s">
        <v>42</v>
      </c>
      <c r="E191" s="4" t="s">
        <v>52</v>
      </c>
      <c r="F191" s="4" t="s">
        <v>53</v>
      </c>
      <c r="G191" s="4" t="s">
        <v>25</v>
      </c>
      <c r="H191" s="4" t="s">
        <v>25</v>
      </c>
      <c r="I191" s="5">
        <v>44562</v>
      </c>
      <c r="J191" s="6">
        <v>0</v>
      </c>
      <c r="K191" s="6">
        <v>0</v>
      </c>
      <c r="L191" s="6">
        <v>1.302</v>
      </c>
      <c r="M191" s="6">
        <v>0.52080000000000004</v>
      </c>
      <c r="N191" s="6">
        <v>1.302</v>
      </c>
      <c r="O191" s="6">
        <v>0.52080000000000004</v>
      </c>
      <c r="P191" s="6">
        <v>0</v>
      </c>
      <c r="Q191" s="4" t="s">
        <v>26</v>
      </c>
      <c r="R191" s="4">
        <v>0</v>
      </c>
      <c r="S191" s="4">
        <v>0</v>
      </c>
      <c r="T191" s="4">
        <v>62</v>
      </c>
      <c r="U191" s="4">
        <v>23</v>
      </c>
      <c r="V191" s="6">
        <f>IF(ISERROR(VLOOKUP($S$191,'TAR FIN'!$A$1:$O$92,15,0)),0,VLOOKUP($S$191,'TAR FIN'!$A$1:$O$92,15,0))</f>
        <v>0</v>
      </c>
      <c r="W191" s="6">
        <f>IF(ISERROR(VLOOKUP($T$191,'TAR FIN'!$A$1:$O$92,15,0)),0,VLOOKUP($T$191,'TAR FIN'!$A$1:$O$92,15,0))</f>
        <v>301.99</v>
      </c>
      <c r="X191" s="6">
        <f>IF(ISERROR(VLOOKUP($U$191,'TAR FIN'!$A$1:$O$92,15,0)),0,VLOOKUP($U$191,'TAR FIN'!$A$1:$O$92,15,0))</f>
        <v>267.11</v>
      </c>
      <c r="Y191" s="6"/>
      <c r="Z191" s="6">
        <f ca="1">('TUSD BE'!$AM$37+'TUSD BF'!$AM$37+'TUSD CVA'!$AM$37)*(1-CUSTOS!$M$38)</f>
        <v>443.47423500349447</v>
      </c>
      <c r="AA191" s="6">
        <f>('TE BE'!$AB$25+'TE BF'!$AB$25+'TE CVA'!$AB$25)*(1-CUSTOS!$M$38)</f>
        <v>269.93409109504938</v>
      </c>
      <c r="AB191" s="6">
        <f t="shared" si="15"/>
        <v>0</v>
      </c>
      <c r="AC191" s="6">
        <f>(L191-M191)*(W191+X191)+($W$110+$X$110-$W$191-$X$191)*(L191)</f>
        <v>545.62914000000001</v>
      </c>
      <c r="AD191" s="6">
        <f t="shared" si="16"/>
        <v>0</v>
      </c>
      <c r="AE191" s="6">
        <f ca="1">(L191-M191)*(Z191+AA191)+($Z$110+$AA$110-$Z$191-$AA$191)*(L191)</f>
        <v>616.60336991713825</v>
      </c>
      <c r="AF191" s="4" t="s">
        <v>690</v>
      </c>
    </row>
    <row r="192" spans="1:32" ht="11.25" customHeight="1" x14ac:dyDescent="0.3">
      <c r="A192" s="4" t="s">
        <v>21</v>
      </c>
      <c r="B192" s="4" t="s">
        <v>41</v>
      </c>
      <c r="C192" s="4" t="s">
        <v>23</v>
      </c>
      <c r="D192" s="4" t="s">
        <v>42</v>
      </c>
      <c r="E192" s="4" t="s">
        <v>52</v>
      </c>
      <c r="F192" s="4" t="s">
        <v>53</v>
      </c>
      <c r="G192" s="4" t="s">
        <v>25</v>
      </c>
      <c r="H192" s="4" t="s">
        <v>25</v>
      </c>
      <c r="I192" s="5">
        <v>44593</v>
      </c>
      <c r="J192" s="6">
        <v>0</v>
      </c>
      <c r="K192" s="6">
        <v>0</v>
      </c>
      <c r="L192" s="6">
        <v>1.1479999999999999</v>
      </c>
      <c r="M192" s="6">
        <v>0.4592</v>
      </c>
      <c r="N192" s="6">
        <v>1.1479999999999999</v>
      </c>
      <c r="O192" s="6">
        <v>0.4592</v>
      </c>
      <c r="P192" s="6">
        <v>0</v>
      </c>
      <c r="Q192" s="4" t="s">
        <v>26</v>
      </c>
      <c r="R192" s="4">
        <v>0</v>
      </c>
      <c r="S192" s="4">
        <v>0</v>
      </c>
      <c r="T192" s="4">
        <v>62</v>
      </c>
      <c r="U192" s="4">
        <v>23</v>
      </c>
      <c r="V192" s="6">
        <f>IF(ISERROR(VLOOKUP($S$192,'TAR FIN'!$A$1:$O$92,15,0)),0,VLOOKUP($S$192,'TAR FIN'!$A$1:$O$92,15,0))</f>
        <v>0</v>
      </c>
      <c r="W192" s="6">
        <f>IF(ISERROR(VLOOKUP($T$192,'TAR FIN'!$A$1:$O$92,15,0)),0,VLOOKUP($T$192,'TAR FIN'!$A$1:$O$92,15,0))</f>
        <v>301.99</v>
      </c>
      <c r="X192" s="6">
        <f>IF(ISERROR(VLOOKUP($U$192,'TAR FIN'!$A$1:$O$92,15,0)),0,VLOOKUP($U$192,'TAR FIN'!$A$1:$O$92,15,0))</f>
        <v>267.11</v>
      </c>
      <c r="Y192" s="6"/>
      <c r="Z192" s="6">
        <f ca="1">('TUSD BE'!$AM$37+'TUSD BF'!$AM$37+'TUSD CVA'!$AM$37)*(1-CUSTOS!$M$38)</f>
        <v>443.47423500349447</v>
      </c>
      <c r="AA192" s="6">
        <f>('TE BE'!$AB$25+'TE BF'!$AB$25+'TE CVA'!$AB$25)*(1-CUSTOS!$M$38)</f>
        <v>269.93409109504938</v>
      </c>
      <c r="AB192" s="6">
        <f t="shared" si="15"/>
        <v>0</v>
      </c>
      <c r="AC192" s="6">
        <f>(L192-M192)*(W192+X192)+($W$110+$X$110-$W$192-$X$192)*(L192)</f>
        <v>481.09235999999999</v>
      </c>
      <c r="AD192" s="6">
        <f t="shared" si="16"/>
        <v>0</v>
      </c>
      <c r="AE192" s="6">
        <f ca="1">(L192-M192)*(Z192+AA192)+($Z$110+$AA$110-$Z$192-$AA$192)*(L192)</f>
        <v>543.67178852908944</v>
      </c>
      <c r="AF192" s="4" t="s">
        <v>690</v>
      </c>
    </row>
    <row r="193" spans="1:32" ht="11.25" customHeight="1" x14ac:dyDescent="0.3">
      <c r="A193" s="4" t="s">
        <v>21</v>
      </c>
      <c r="B193" s="4" t="s">
        <v>41</v>
      </c>
      <c r="C193" s="4" t="s">
        <v>23</v>
      </c>
      <c r="D193" s="4" t="s">
        <v>42</v>
      </c>
      <c r="E193" s="4" t="s">
        <v>52</v>
      </c>
      <c r="F193" s="4" t="s">
        <v>53</v>
      </c>
      <c r="G193" s="4" t="s">
        <v>25</v>
      </c>
      <c r="H193" s="4" t="s">
        <v>25</v>
      </c>
      <c r="I193" s="5">
        <v>44621</v>
      </c>
      <c r="J193" s="6">
        <v>0</v>
      </c>
      <c r="K193" s="6">
        <v>0</v>
      </c>
      <c r="L193" s="6">
        <v>0.73399999999999999</v>
      </c>
      <c r="M193" s="6">
        <v>0.29360000000000003</v>
      </c>
      <c r="N193" s="6">
        <v>0.73399999999999999</v>
      </c>
      <c r="O193" s="6">
        <v>0.29360000000000003</v>
      </c>
      <c r="P193" s="6">
        <v>0</v>
      </c>
      <c r="Q193" s="4" t="s">
        <v>26</v>
      </c>
      <c r="R193" s="4">
        <v>0</v>
      </c>
      <c r="S193" s="4">
        <v>0</v>
      </c>
      <c r="T193" s="4">
        <v>62</v>
      </c>
      <c r="U193" s="4">
        <v>23</v>
      </c>
      <c r="V193" s="6">
        <f>IF(ISERROR(VLOOKUP($S$193,'TAR FIN'!$A$1:$O$92,15,0)),0,VLOOKUP($S$193,'TAR FIN'!$A$1:$O$92,15,0))</f>
        <v>0</v>
      </c>
      <c r="W193" s="6">
        <f>IF(ISERROR(VLOOKUP($T$193,'TAR FIN'!$A$1:$O$92,15,0)),0,VLOOKUP($T$193,'TAR FIN'!$A$1:$O$92,15,0))</f>
        <v>301.99</v>
      </c>
      <c r="X193" s="6">
        <f>IF(ISERROR(VLOOKUP($U$193,'TAR FIN'!$A$1:$O$92,15,0)),0,VLOOKUP($U$193,'TAR FIN'!$A$1:$O$92,15,0))</f>
        <v>267.11</v>
      </c>
      <c r="Y193" s="6"/>
      <c r="Z193" s="6">
        <f ca="1">('TUSD BE'!$AM$37+'TUSD BF'!$AM$37+'TUSD CVA'!$AM$37)*(1-CUSTOS!$M$38)</f>
        <v>443.47423500349447</v>
      </c>
      <c r="AA193" s="6">
        <f>('TE BE'!$AB$25+'TE BF'!$AB$25+'TE CVA'!$AB$25)*(1-CUSTOS!$M$38)</f>
        <v>269.93409109504938</v>
      </c>
      <c r="AB193" s="6">
        <f t="shared" si="15"/>
        <v>0</v>
      </c>
      <c r="AC193" s="6">
        <f>(L193-M193)*(W193+X193)+($W$110+$X$110-$W$193-$X$193)*(L193)</f>
        <v>307.59737999999999</v>
      </c>
      <c r="AD193" s="6">
        <f t="shared" si="16"/>
        <v>0</v>
      </c>
      <c r="AE193" s="6">
        <f ca="1">(L193-M193)*(Z193+AA193)+($Z$110+$AA$110-$Z$193-$AA$193)*(L193)</f>
        <v>347.60896583654329</v>
      </c>
      <c r="AF193" s="4" t="s">
        <v>690</v>
      </c>
    </row>
    <row r="194" spans="1:32" ht="11.25" customHeight="1" x14ac:dyDescent="0.3">
      <c r="A194" s="4" t="s">
        <v>21</v>
      </c>
      <c r="B194" s="4" t="s">
        <v>41</v>
      </c>
      <c r="C194" s="4" t="s">
        <v>23</v>
      </c>
      <c r="D194" s="4" t="s">
        <v>42</v>
      </c>
      <c r="E194" s="4" t="s">
        <v>52</v>
      </c>
      <c r="F194" s="4" t="s">
        <v>53</v>
      </c>
      <c r="G194" s="4" t="s">
        <v>25</v>
      </c>
      <c r="H194" s="4" t="s">
        <v>25</v>
      </c>
      <c r="I194" s="5">
        <v>44652</v>
      </c>
      <c r="J194" s="6">
        <v>0</v>
      </c>
      <c r="K194" s="6">
        <v>0</v>
      </c>
      <c r="L194" s="6">
        <v>0.89300000000000002</v>
      </c>
      <c r="M194" s="6">
        <v>0.35720000000000002</v>
      </c>
      <c r="N194" s="6">
        <v>0.89300000000000002</v>
      </c>
      <c r="O194" s="6">
        <v>0.35720000000000002</v>
      </c>
      <c r="P194" s="6">
        <v>0</v>
      </c>
      <c r="Q194" s="4" t="s">
        <v>26</v>
      </c>
      <c r="R194" s="4">
        <v>0</v>
      </c>
      <c r="S194" s="4">
        <v>0</v>
      </c>
      <c r="T194" s="4">
        <v>62</v>
      </c>
      <c r="U194" s="4">
        <v>23</v>
      </c>
      <c r="V194" s="6">
        <f>IF(ISERROR(VLOOKUP($S$194,'TAR FIN'!$A$1:$O$92,15,0)),0,VLOOKUP($S$194,'TAR FIN'!$A$1:$O$92,15,0))</f>
        <v>0</v>
      </c>
      <c r="W194" s="6">
        <f>IF(ISERROR(VLOOKUP($T$194,'TAR FIN'!$A$1:$O$92,15,0)),0,VLOOKUP($T$194,'TAR FIN'!$A$1:$O$92,15,0))</f>
        <v>301.99</v>
      </c>
      <c r="X194" s="6">
        <f>IF(ISERROR(VLOOKUP($U$194,'TAR FIN'!$A$1:$O$92,15,0)),0,VLOOKUP($U$194,'TAR FIN'!$A$1:$O$92,15,0))</f>
        <v>267.11</v>
      </c>
      <c r="Y194" s="6"/>
      <c r="Z194" s="6">
        <f ca="1">('TUSD BE'!$AM$37+'TUSD BF'!$AM$37+'TUSD CVA'!$AM$37)*(1-CUSTOS!$M$38)</f>
        <v>443.47423500349447</v>
      </c>
      <c r="AA194" s="6">
        <f>('TE BE'!$AB$25+'TE BF'!$AB$25+'TE CVA'!$AB$25)*(1-CUSTOS!$M$38)</f>
        <v>269.93409109504938</v>
      </c>
      <c r="AB194" s="6">
        <f t="shared" ref="AB194:AB221" si="17">(J194-K194)*V194</f>
        <v>0</v>
      </c>
      <c r="AC194" s="6">
        <f>(L194-M194)*(W194+X194)+($W$110+$X$110-$W$194-$X$194)*(L194)</f>
        <v>374.22951</v>
      </c>
      <c r="AD194" s="6">
        <f t="shared" ref="AD194:AD221" si="18">(J194-K194)*Y194</f>
        <v>0</v>
      </c>
      <c r="AE194" s="6">
        <f ca="1">(L194-M194)*(Z194+AA194)+($Z$110+$AA$110-$Z$194-$AA$194)*(L194)</f>
        <v>422.9084557112169</v>
      </c>
      <c r="AF194" s="4" t="s">
        <v>690</v>
      </c>
    </row>
    <row r="195" spans="1:32" ht="11.25" customHeight="1" x14ac:dyDescent="0.3">
      <c r="A195" s="4" t="s">
        <v>21</v>
      </c>
      <c r="B195" s="4" t="s">
        <v>41</v>
      </c>
      <c r="C195" s="4" t="s">
        <v>23</v>
      </c>
      <c r="D195" s="4" t="s">
        <v>42</v>
      </c>
      <c r="E195" s="4" t="s">
        <v>52</v>
      </c>
      <c r="F195" s="4" t="s">
        <v>53</v>
      </c>
      <c r="G195" s="4" t="s">
        <v>25</v>
      </c>
      <c r="H195" s="4" t="s">
        <v>25</v>
      </c>
      <c r="I195" s="5">
        <v>44682</v>
      </c>
      <c r="J195" s="6">
        <v>0</v>
      </c>
      <c r="K195" s="6">
        <v>0</v>
      </c>
      <c r="L195" s="6">
        <v>1.534</v>
      </c>
      <c r="M195" s="6">
        <v>0.61360000000000003</v>
      </c>
      <c r="N195" s="6">
        <v>1.534</v>
      </c>
      <c r="O195" s="6">
        <v>0.61360000000000003</v>
      </c>
      <c r="P195" s="6">
        <v>0</v>
      </c>
      <c r="Q195" s="4" t="s">
        <v>26</v>
      </c>
      <c r="R195" s="4">
        <v>0</v>
      </c>
      <c r="S195" s="4">
        <v>0</v>
      </c>
      <c r="T195" s="4">
        <v>62</v>
      </c>
      <c r="U195" s="4">
        <v>23</v>
      </c>
      <c r="V195" s="6">
        <f>IF(ISERROR(VLOOKUP($S$195,'TAR FIN'!$A$1:$O$92,15,0)),0,VLOOKUP($S$195,'TAR FIN'!$A$1:$O$92,15,0))</f>
        <v>0</v>
      </c>
      <c r="W195" s="6">
        <f>IF(ISERROR(VLOOKUP($T$195,'TAR FIN'!$A$1:$O$92,15,0)),0,VLOOKUP($T$195,'TAR FIN'!$A$1:$O$92,15,0))</f>
        <v>301.99</v>
      </c>
      <c r="X195" s="6">
        <f>IF(ISERROR(VLOOKUP($U$195,'TAR FIN'!$A$1:$O$92,15,0)),0,VLOOKUP($U$195,'TAR FIN'!$A$1:$O$92,15,0))</f>
        <v>267.11</v>
      </c>
      <c r="Y195" s="6"/>
      <c r="Z195" s="6">
        <f ca="1">('TUSD BE'!$AM$37+'TUSD BF'!$AM$37+'TUSD CVA'!$AM$37)*(1-CUSTOS!$M$38)</f>
        <v>443.47423500349447</v>
      </c>
      <c r="AA195" s="6">
        <f>('TE BE'!$AB$25+'TE BF'!$AB$25+'TE CVA'!$AB$25)*(1-CUSTOS!$M$38)</f>
        <v>269.93409109504938</v>
      </c>
      <c r="AB195" s="6">
        <f t="shared" si="17"/>
        <v>0</v>
      </c>
      <c r="AC195" s="6">
        <f>(L195-M195)*(W195+X195)+($W$110+$X$110-$W$195-$X$195)*(L195)</f>
        <v>642.85338000000013</v>
      </c>
      <c r="AD195" s="6">
        <f t="shared" si="18"/>
        <v>0</v>
      </c>
      <c r="AE195" s="6">
        <f ca="1">(L195-M195)*(Z195+AA195)+($Z$110+$AA$110-$Z$195-$AA$195)*(L195)</f>
        <v>726.47432369653609</v>
      </c>
      <c r="AF195" s="4" t="s">
        <v>690</v>
      </c>
    </row>
    <row r="196" spans="1:32" ht="11.25" customHeight="1" x14ac:dyDescent="0.3">
      <c r="A196" s="4" t="s">
        <v>21</v>
      </c>
      <c r="B196" s="4" t="s">
        <v>41</v>
      </c>
      <c r="C196" s="4" t="s">
        <v>23</v>
      </c>
      <c r="D196" s="4" t="s">
        <v>42</v>
      </c>
      <c r="E196" s="4" t="s">
        <v>52</v>
      </c>
      <c r="F196" s="4" t="s">
        <v>53</v>
      </c>
      <c r="G196" s="4" t="s">
        <v>25</v>
      </c>
      <c r="H196" s="4" t="s">
        <v>25</v>
      </c>
      <c r="I196" s="5">
        <v>44713</v>
      </c>
      <c r="J196" s="6">
        <v>0</v>
      </c>
      <c r="K196" s="6">
        <v>0</v>
      </c>
      <c r="L196" s="6">
        <v>1.4730000000000001</v>
      </c>
      <c r="M196" s="6">
        <v>0.58919999999999995</v>
      </c>
      <c r="N196" s="6">
        <v>1.4730000000000001</v>
      </c>
      <c r="O196" s="6">
        <v>0.58919999999999995</v>
      </c>
      <c r="P196" s="6">
        <v>0</v>
      </c>
      <c r="Q196" s="4" t="s">
        <v>26</v>
      </c>
      <c r="R196" s="4">
        <v>0</v>
      </c>
      <c r="S196" s="4">
        <v>0</v>
      </c>
      <c r="T196" s="4">
        <v>62</v>
      </c>
      <c r="U196" s="4">
        <v>23</v>
      </c>
      <c r="V196" s="6">
        <f>IF(ISERROR(VLOOKUP($S$196,'TAR FIN'!$A$1:$O$92,15,0)),0,VLOOKUP($S$196,'TAR FIN'!$A$1:$O$92,15,0))</f>
        <v>0</v>
      </c>
      <c r="W196" s="6">
        <f>IF(ISERROR(VLOOKUP($T$196,'TAR FIN'!$A$1:$O$92,15,0)),0,VLOOKUP($T$196,'TAR FIN'!$A$1:$O$92,15,0))</f>
        <v>301.99</v>
      </c>
      <c r="X196" s="6">
        <f>IF(ISERROR(VLOOKUP($U$196,'TAR FIN'!$A$1:$O$92,15,0)),0,VLOOKUP($U$196,'TAR FIN'!$A$1:$O$92,15,0))</f>
        <v>267.11</v>
      </c>
      <c r="Y196" s="6"/>
      <c r="Z196" s="6">
        <f ca="1">('TUSD BE'!$AM$37+'TUSD BF'!$AM$37+'TUSD CVA'!$AM$37)*(1-CUSTOS!$M$38)</f>
        <v>443.47423500349447</v>
      </c>
      <c r="AA196" s="6">
        <f>('TE BE'!$AB$25+'TE BF'!$AB$25+'TE CVA'!$AB$25)*(1-CUSTOS!$M$38)</f>
        <v>269.93409109504938</v>
      </c>
      <c r="AB196" s="6">
        <f t="shared" si="17"/>
        <v>0</v>
      </c>
      <c r="AC196" s="6">
        <f>(L196-M196)*(W196+X196)+($W$110+$X$110-$W$196-$X$196)*(L196)</f>
        <v>617.29011000000014</v>
      </c>
      <c r="AD196" s="6">
        <f t="shared" si="18"/>
        <v>0</v>
      </c>
      <c r="AE196" s="6">
        <f ca="1">(L196-M196)*(Z196+AA196)+($Z$110+$AA$110-$Z$196-$AA$196)*(L196)</f>
        <v>697.58584015971178</v>
      </c>
      <c r="AF196" s="4" t="s">
        <v>690</v>
      </c>
    </row>
    <row r="197" spans="1:32" ht="11.25" customHeight="1" x14ac:dyDescent="0.3">
      <c r="A197" s="4" t="s">
        <v>21</v>
      </c>
      <c r="B197" s="4" t="s">
        <v>41</v>
      </c>
      <c r="C197" s="4" t="s">
        <v>23</v>
      </c>
      <c r="D197" s="4" t="s">
        <v>42</v>
      </c>
      <c r="E197" s="4" t="s">
        <v>52</v>
      </c>
      <c r="F197" s="4" t="s">
        <v>53</v>
      </c>
      <c r="G197" s="4" t="s">
        <v>25</v>
      </c>
      <c r="H197" s="4" t="s">
        <v>25</v>
      </c>
      <c r="I197" s="5">
        <v>44743</v>
      </c>
      <c r="J197" s="6">
        <v>0</v>
      </c>
      <c r="K197" s="6">
        <v>0</v>
      </c>
      <c r="L197" s="6">
        <v>0.89500000000000002</v>
      </c>
      <c r="M197" s="6">
        <v>0.35799999999999998</v>
      </c>
      <c r="N197" s="6">
        <v>0.89500000000000002</v>
      </c>
      <c r="O197" s="6">
        <v>0.35799999999999998</v>
      </c>
      <c r="P197" s="6">
        <v>0</v>
      </c>
      <c r="Q197" s="4" t="s">
        <v>26</v>
      </c>
      <c r="R197" s="4">
        <v>0</v>
      </c>
      <c r="S197" s="4">
        <v>0</v>
      </c>
      <c r="T197" s="4">
        <v>62</v>
      </c>
      <c r="U197" s="4">
        <v>23</v>
      </c>
      <c r="V197" s="6">
        <f>IF(ISERROR(VLOOKUP($S$197,'TAR FIN'!$A$1:$O$92,15,0)),0,VLOOKUP($S$197,'TAR FIN'!$A$1:$O$92,15,0))</f>
        <v>0</v>
      </c>
      <c r="W197" s="6">
        <f>IF(ISERROR(VLOOKUP($T$197,'TAR FIN'!$A$1:$O$92,15,0)),0,VLOOKUP($T$197,'TAR FIN'!$A$1:$O$92,15,0))</f>
        <v>301.99</v>
      </c>
      <c r="X197" s="6">
        <f>IF(ISERROR(VLOOKUP($U$197,'TAR FIN'!$A$1:$O$92,15,0)),0,VLOOKUP($U$197,'TAR FIN'!$A$1:$O$92,15,0))</f>
        <v>267.11</v>
      </c>
      <c r="Y197" s="6"/>
      <c r="Z197" s="6">
        <f ca="1">('TUSD BE'!$AM$37+'TUSD BF'!$AM$37+'TUSD CVA'!$AM$37)*(1-CUSTOS!$M$38)</f>
        <v>443.47423500349447</v>
      </c>
      <c r="AA197" s="6">
        <f>('TE BE'!$AB$25+'TE BF'!$AB$25+'TE CVA'!$AB$25)*(1-CUSTOS!$M$38)</f>
        <v>269.93409109504938</v>
      </c>
      <c r="AB197" s="6">
        <f t="shared" si="17"/>
        <v>0</v>
      </c>
      <c r="AC197" s="6">
        <f>(L197-M197)*(W197+X197)+($W$110+$X$110-$W$197-$X$197)*(L197)</f>
        <v>375.06765000000007</v>
      </c>
      <c r="AD197" s="6">
        <f t="shared" si="18"/>
        <v>0</v>
      </c>
      <c r="AE197" s="6">
        <f ca="1">(L197-M197)*(Z197+AA197)+($Z$110+$AA$110-$Z$197-$AA$197)*(L197)</f>
        <v>423.85561910586688</v>
      </c>
      <c r="AF197" s="4" t="s">
        <v>690</v>
      </c>
    </row>
    <row r="198" spans="1:32" ht="11.25" customHeight="1" x14ac:dyDescent="0.3">
      <c r="A198" s="4" t="s">
        <v>21</v>
      </c>
      <c r="B198" s="4" t="s">
        <v>41</v>
      </c>
      <c r="C198" s="4" t="s">
        <v>23</v>
      </c>
      <c r="D198" s="4" t="s">
        <v>42</v>
      </c>
      <c r="E198" s="4" t="s">
        <v>25</v>
      </c>
      <c r="F198" s="4" t="s">
        <v>25</v>
      </c>
      <c r="G198" s="4" t="s">
        <v>25</v>
      </c>
      <c r="H198" s="4" t="s">
        <v>25</v>
      </c>
      <c r="I198" s="5">
        <v>44409</v>
      </c>
      <c r="J198" s="6">
        <v>0</v>
      </c>
      <c r="K198" s="6">
        <v>0</v>
      </c>
      <c r="L198" s="6">
        <v>201.24</v>
      </c>
      <c r="M198" s="6">
        <v>201.24</v>
      </c>
      <c r="N198" s="6">
        <v>201.24</v>
      </c>
      <c r="O198" s="6">
        <v>201.24</v>
      </c>
      <c r="P198" s="6">
        <v>794</v>
      </c>
      <c r="Q198" s="4" t="s">
        <v>26</v>
      </c>
      <c r="R198" s="4">
        <v>0</v>
      </c>
      <c r="S198" s="4">
        <v>0</v>
      </c>
      <c r="T198" s="4">
        <v>62</v>
      </c>
      <c r="U198" s="4">
        <v>23</v>
      </c>
      <c r="V198" s="6">
        <f>IF(ISERROR(VLOOKUP($S$198,'TAR FIN'!$A$1:$O$92,15,0)),0,VLOOKUP($S$198,'TAR FIN'!$A$1:$O$92,15,0))</f>
        <v>0</v>
      </c>
      <c r="W198" s="6">
        <f>IF(ISERROR(VLOOKUP($T$198,'TAR FIN'!$A$1:$O$92,15,0)),0,VLOOKUP($T$198,'TAR FIN'!$A$1:$O$92,15,0))</f>
        <v>301.99</v>
      </c>
      <c r="X198" s="6">
        <f>IF(ISERROR(VLOOKUP($U$198,'TAR FIN'!$A$1:$O$92,15,0)),0,VLOOKUP($U$198,'TAR FIN'!$A$1:$O$92,15,0))</f>
        <v>267.11</v>
      </c>
      <c r="Y198" s="6"/>
      <c r="Z198" s="6">
        <f ca="1">('TUSD BE'!$AM$37+'TUSD BF'!$AM$37+'TUSD CVA'!$AM$37)*(1-CUSTOS!$M$38)</f>
        <v>443.47423500349447</v>
      </c>
      <c r="AA198" s="6">
        <f>('TE BE'!$AB$25+'TE BF'!$AB$25+'TE CVA'!$AB$25)*(1-CUSTOS!$M$38)</f>
        <v>269.93409109504938</v>
      </c>
      <c r="AB198" s="6">
        <f t="shared" si="17"/>
        <v>0</v>
      </c>
      <c r="AC198" s="6">
        <f>(L198-M198)*(W198+X198)+($W$110+$X$110-$W$198-$X$198)*(L198)</f>
        <v>15618.236400000003</v>
      </c>
      <c r="AD198" s="6">
        <f t="shared" si="18"/>
        <v>0</v>
      </c>
      <c r="AE198" s="6">
        <f ca="1">(L198-M198)*(Z198+AA198)+($Z$110+$AA$110-$Z$198-$AA$198)*(L198)</f>
        <v>9163.8058432385915</v>
      </c>
      <c r="AF198" s="4" t="s">
        <v>689</v>
      </c>
    </row>
    <row r="199" spans="1:32" ht="11.25" customHeight="1" x14ac:dyDescent="0.3">
      <c r="A199" s="4" t="s">
        <v>27</v>
      </c>
      <c r="B199" s="4" t="s">
        <v>41</v>
      </c>
      <c r="C199" s="4" t="s">
        <v>23</v>
      </c>
      <c r="D199" s="4" t="s">
        <v>42</v>
      </c>
      <c r="E199" s="4" t="s">
        <v>25</v>
      </c>
      <c r="F199" s="4" t="s">
        <v>25</v>
      </c>
      <c r="G199" s="4" t="s">
        <v>25</v>
      </c>
      <c r="H199" s="4" t="s">
        <v>25</v>
      </c>
      <c r="I199" s="5">
        <v>44409</v>
      </c>
      <c r="J199" s="6">
        <v>0</v>
      </c>
      <c r="K199" s="6">
        <v>0</v>
      </c>
      <c r="L199" s="6">
        <v>4.51</v>
      </c>
      <c r="M199" s="6">
        <v>4.51</v>
      </c>
      <c r="N199" s="6">
        <v>4.51</v>
      </c>
      <c r="O199" s="6">
        <v>4.51</v>
      </c>
      <c r="P199" s="6">
        <v>32</v>
      </c>
      <c r="Q199" s="4" t="s">
        <v>26</v>
      </c>
      <c r="R199" s="4">
        <v>0</v>
      </c>
      <c r="S199" s="4">
        <v>0</v>
      </c>
      <c r="T199" s="4">
        <v>62</v>
      </c>
      <c r="U199" s="4">
        <v>23</v>
      </c>
      <c r="V199" s="6">
        <f>IF(ISERROR(VLOOKUP($S$199,'TAR FIN'!$A$1:$O$92,15,0)),0,VLOOKUP($S$199,'TAR FIN'!$A$1:$O$92,15,0))</f>
        <v>0</v>
      </c>
      <c r="W199" s="6">
        <f>IF(ISERROR(VLOOKUP($T$199,'TAR FIN'!$A$1:$O$92,15,0)),0,VLOOKUP($T$199,'TAR FIN'!$A$1:$O$92,15,0))</f>
        <v>301.99</v>
      </c>
      <c r="X199" s="6">
        <f>IF(ISERROR(VLOOKUP($U$199,'TAR FIN'!$A$1:$O$92,15,0)),0,VLOOKUP($U$199,'TAR FIN'!$A$1:$O$92,15,0))</f>
        <v>267.11</v>
      </c>
      <c r="Y199" s="6"/>
      <c r="Z199" s="6">
        <f ca="1">('TUSD BE'!$AM$37+'TUSD BF'!$AM$37+'TUSD CVA'!$AM$37)*(1-CUSTOS!$M$38)</f>
        <v>443.47423500349447</v>
      </c>
      <c r="AA199" s="6">
        <f>('TE BE'!$AB$25+'TE BF'!$AB$25+'TE CVA'!$AB$25)*(1-CUSTOS!$M$38)</f>
        <v>269.93409109504938</v>
      </c>
      <c r="AB199" s="6">
        <f t="shared" si="17"/>
        <v>0</v>
      </c>
      <c r="AC199" s="6">
        <f>(L199-M199)*(W199+X199)+($W$110+$X$110-$W$199-$X$199)*(L199)</f>
        <v>350.02110000000005</v>
      </c>
      <c r="AD199" s="6">
        <f t="shared" si="18"/>
        <v>0</v>
      </c>
      <c r="AE199" s="6">
        <f ca="1">(L199-M199)*(Z199+AA199)+($Z$110+$AA$110-$Z$199-$AA$199)*(L199)</f>
        <v>205.37052451304933</v>
      </c>
      <c r="AF199" s="4" t="s">
        <v>689</v>
      </c>
    </row>
    <row r="200" spans="1:32" ht="11.25" customHeight="1" x14ac:dyDescent="0.3">
      <c r="A200" s="4" t="s">
        <v>21</v>
      </c>
      <c r="B200" s="4" t="s">
        <v>41</v>
      </c>
      <c r="C200" s="4" t="s">
        <v>23</v>
      </c>
      <c r="D200" s="4" t="s">
        <v>42</v>
      </c>
      <c r="E200" s="4" t="s">
        <v>25</v>
      </c>
      <c r="F200" s="4" t="s">
        <v>25</v>
      </c>
      <c r="G200" s="4" t="s">
        <v>25</v>
      </c>
      <c r="H200" s="4" t="s">
        <v>25</v>
      </c>
      <c r="I200" s="5">
        <v>44440</v>
      </c>
      <c r="J200" s="6">
        <v>0</v>
      </c>
      <c r="K200" s="6">
        <v>0</v>
      </c>
      <c r="L200" s="6">
        <v>228.11099999999999</v>
      </c>
      <c r="M200" s="6">
        <v>228.11099999999999</v>
      </c>
      <c r="N200" s="6">
        <v>228.11099999999999</v>
      </c>
      <c r="O200" s="6">
        <v>228.11099999999999</v>
      </c>
      <c r="P200" s="6">
        <v>791</v>
      </c>
      <c r="Q200" s="4" t="s">
        <v>26</v>
      </c>
      <c r="R200" s="4">
        <v>0</v>
      </c>
      <c r="S200" s="4">
        <v>0</v>
      </c>
      <c r="T200" s="4">
        <v>62</v>
      </c>
      <c r="U200" s="4">
        <v>23</v>
      </c>
      <c r="V200" s="6">
        <f>IF(ISERROR(VLOOKUP($S$200,'TAR FIN'!$A$1:$O$92,15,0)),0,VLOOKUP($S$200,'TAR FIN'!$A$1:$O$92,15,0))</f>
        <v>0</v>
      </c>
      <c r="W200" s="6">
        <f>IF(ISERROR(VLOOKUP($T$200,'TAR FIN'!$A$1:$O$92,15,0)),0,VLOOKUP($T$200,'TAR FIN'!$A$1:$O$92,15,0))</f>
        <v>301.99</v>
      </c>
      <c r="X200" s="6">
        <f>IF(ISERROR(VLOOKUP($U$200,'TAR FIN'!$A$1:$O$92,15,0)),0,VLOOKUP($U$200,'TAR FIN'!$A$1:$O$92,15,0))</f>
        <v>267.11</v>
      </c>
      <c r="Y200" s="6"/>
      <c r="Z200" s="6">
        <f ca="1">('TUSD BE'!$AM$37+'TUSD BF'!$AM$37+'TUSD CVA'!$AM$37)*(1-CUSTOS!$M$38)</f>
        <v>443.47423500349447</v>
      </c>
      <c r="AA200" s="6">
        <f>('TE BE'!$AB$25+'TE BF'!$AB$25+'TE CVA'!$AB$25)*(1-CUSTOS!$M$38)</f>
        <v>269.93409109504938</v>
      </c>
      <c r="AB200" s="6">
        <f t="shared" si="17"/>
        <v>0</v>
      </c>
      <c r="AC200" s="6">
        <f>(L200-M200)*(W200+X200)+($W$110+$X$110-$W$200-$X$200)*(L200)</f>
        <v>17703.694710000003</v>
      </c>
      <c r="AD200" s="6">
        <f t="shared" si="18"/>
        <v>0</v>
      </c>
      <c r="AE200" s="6">
        <f ca="1">(L200-M200)*(Z200+AA200)+($Z$110+$AA$110-$Z$200-$AA$200)*(L200)</f>
        <v>10387.422553702039</v>
      </c>
      <c r="AF200" s="4" t="s">
        <v>689</v>
      </c>
    </row>
    <row r="201" spans="1:32" ht="11.25" customHeight="1" x14ac:dyDescent="0.3">
      <c r="A201" s="4" t="s">
        <v>27</v>
      </c>
      <c r="B201" s="4" t="s">
        <v>41</v>
      </c>
      <c r="C201" s="4" t="s">
        <v>23</v>
      </c>
      <c r="D201" s="4" t="s">
        <v>42</v>
      </c>
      <c r="E201" s="4" t="s">
        <v>25</v>
      </c>
      <c r="F201" s="4" t="s">
        <v>25</v>
      </c>
      <c r="G201" s="4" t="s">
        <v>25</v>
      </c>
      <c r="H201" s="4" t="s">
        <v>25</v>
      </c>
      <c r="I201" s="5">
        <v>44440</v>
      </c>
      <c r="J201" s="6">
        <v>0</v>
      </c>
      <c r="K201" s="6">
        <v>0</v>
      </c>
      <c r="L201" s="6">
        <v>7.26</v>
      </c>
      <c r="M201" s="6">
        <v>7.26</v>
      </c>
      <c r="N201" s="6">
        <v>7.26</v>
      </c>
      <c r="O201" s="6">
        <v>7.26</v>
      </c>
      <c r="P201" s="6">
        <v>33</v>
      </c>
      <c r="Q201" s="4" t="s">
        <v>26</v>
      </c>
      <c r="R201" s="4">
        <v>0</v>
      </c>
      <c r="S201" s="4">
        <v>0</v>
      </c>
      <c r="T201" s="4">
        <v>62</v>
      </c>
      <c r="U201" s="4">
        <v>23</v>
      </c>
      <c r="V201" s="6">
        <f>IF(ISERROR(VLOOKUP($S$201,'TAR FIN'!$A$1:$O$92,15,0)),0,VLOOKUP($S$201,'TAR FIN'!$A$1:$O$92,15,0))</f>
        <v>0</v>
      </c>
      <c r="W201" s="6">
        <f>IF(ISERROR(VLOOKUP($T$201,'TAR FIN'!$A$1:$O$92,15,0)),0,VLOOKUP($T$201,'TAR FIN'!$A$1:$O$92,15,0))</f>
        <v>301.99</v>
      </c>
      <c r="X201" s="6">
        <f>IF(ISERROR(VLOOKUP($U$201,'TAR FIN'!$A$1:$O$92,15,0)),0,VLOOKUP($U$201,'TAR FIN'!$A$1:$O$92,15,0))</f>
        <v>267.11</v>
      </c>
      <c r="Y201" s="6"/>
      <c r="Z201" s="6">
        <f ca="1">('TUSD BE'!$AM$37+'TUSD BF'!$AM$37+'TUSD CVA'!$AM$37)*(1-CUSTOS!$M$38)</f>
        <v>443.47423500349447</v>
      </c>
      <c r="AA201" s="6">
        <f>('TE BE'!$AB$25+'TE BF'!$AB$25+'TE CVA'!$AB$25)*(1-CUSTOS!$M$38)</f>
        <v>269.93409109504938</v>
      </c>
      <c r="AB201" s="6">
        <f t="shared" si="17"/>
        <v>0</v>
      </c>
      <c r="AC201" s="6">
        <f>(L201-M201)*(W201+X201)+($W$110+$X$110-$W$201-$X$201)*(L201)</f>
        <v>563.44860000000006</v>
      </c>
      <c r="AD201" s="6">
        <f t="shared" si="18"/>
        <v>0</v>
      </c>
      <c r="AE201" s="6">
        <f ca="1">(L201-M201)*(Z201+AA201)+($Z$110+$AA$110-$Z$201-$AA$201)*(L201)</f>
        <v>330.59645409417698</v>
      </c>
      <c r="AF201" s="4" t="s">
        <v>689</v>
      </c>
    </row>
    <row r="202" spans="1:32" ht="11.25" customHeight="1" x14ac:dyDescent="0.3">
      <c r="A202" s="4" t="s">
        <v>21</v>
      </c>
      <c r="B202" s="4" t="s">
        <v>41</v>
      </c>
      <c r="C202" s="4" t="s">
        <v>23</v>
      </c>
      <c r="D202" s="4" t="s">
        <v>42</v>
      </c>
      <c r="E202" s="4" t="s">
        <v>25</v>
      </c>
      <c r="F202" s="4" t="s">
        <v>25</v>
      </c>
      <c r="G202" s="4" t="s">
        <v>25</v>
      </c>
      <c r="H202" s="4" t="s">
        <v>25</v>
      </c>
      <c r="I202" s="5">
        <v>44470</v>
      </c>
      <c r="J202" s="6">
        <v>0</v>
      </c>
      <c r="K202" s="6">
        <v>0</v>
      </c>
      <c r="L202" s="6">
        <v>223.05</v>
      </c>
      <c r="M202" s="6">
        <v>223.05</v>
      </c>
      <c r="N202" s="6">
        <v>223.05</v>
      </c>
      <c r="O202" s="6">
        <v>223.05</v>
      </c>
      <c r="P202" s="6">
        <v>797</v>
      </c>
      <c r="Q202" s="4" t="s">
        <v>26</v>
      </c>
      <c r="R202" s="4">
        <v>0</v>
      </c>
      <c r="S202" s="4">
        <v>0</v>
      </c>
      <c r="T202" s="4">
        <v>62</v>
      </c>
      <c r="U202" s="4">
        <v>23</v>
      </c>
      <c r="V202" s="6">
        <f>IF(ISERROR(VLOOKUP($S$202,'TAR FIN'!$A$1:$O$92,15,0)),0,VLOOKUP($S$202,'TAR FIN'!$A$1:$O$92,15,0))</f>
        <v>0</v>
      </c>
      <c r="W202" s="6">
        <f>IF(ISERROR(VLOOKUP($T$202,'TAR FIN'!$A$1:$O$92,15,0)),0,VLOOKUP($T$202,'TAR FIN'!$A$1:$O$92,15,0))</f>
        <v>301.99</v>
      </c>
      <c r="X202" s="6">
        <f>IF(ISERROR(VLOOKUP($U$202,'TAR FIN'!$A$1:$O$92,15,0)),0,VLOOKUP($U$202,'TAR FIN'!$A$1:$O$92,15,0))</f>
        <v>267.11</v>
      </c>
      <c r="Y202" s="6"/>
      <c r="Z202" s="6">
        <f ca="1">('TUSD BE'!$AM$37+'TUSD BF'!$AM$37+'TUSD CVA'!$AM$37)*(1-CUSTOS!$M$38)</f>
        <v>443.47423500349447</v>
      </c>
      <c r="AA202" s="6">
        <f>('TE BE'!$AB$25+'TE BF'!$AB$25+'TE CVA'!$AB$25)*(1-CUSTOS!$M$38)</f>
        <v>269.93409109504938</v>
      </c>
      <c r="AB202" s="6">
        <f t="shared" si="17"/>
        <v>0</v>
      </c>
      <c r="AC202" s="6">
        <f>(L202-M202)*(W202+X202)+($W$110+$X$110-$W$202-$X$202)*(L202)</f>
        <v>17310.910500000005</v>
      </c>
      <c r="AD202" s="6">
        <f t="shared" si="18"/>
        <v>0</v>
      </c>
      <c r="AE202" s="6">
        <f ca="1">(L202-M202)*(Z202+AA202)+($Z$110+$AA$110-$Z$202-$AA$202)*(L202)</f>
        <v>10156.961306571098</v>
      </c>
      <c r="AF202" s="4" t="s">
        <v>689</v>
      </c>
    </row>
    <row r="203" spans="1:32" ht="11.25" customHeight="1" x14ac:dyDescent="0.3">
      <c r="A203" s="4" t="s">
        <v>27</v>
      </c>
      <c r="B203" s="4" t="s">
        <v>41</v>
      </c>
      <c r="C203" s="4" t="s">
        <v>23</v>
      </c>
      <c r="D203" s="4" t="s">
        <v>42</v>
      </c>
      <c r="E203" s="4" t="s">
        <v>25</v>
      </c>
      <c r="F203" s="4" t="s">
        <v>25</v>
      </c>
      <c r="G203" s="4" t="s">
        <v>25</v>
      </c>
      <c r="H203" s="4" t="s">
        <v>25</v>
      </c>
      <c r="I203" s="5">
        <v>44470</v>
      </c>
      <c r="J203" s="6">
        <v>0</v>
      </c>
      <c r="K203" s="6">
        <v>0</v>
      </c>
      <c r="L203" s="6">
        <v>10.824</v>
      </c>
      <c r="M203" s="6">
        <v>10.824</v>
      </c>
      <c r="N203" s="6">
        <v>10.824</v>
      </c>
      <c r="O203" s="6">
        <v>10.824</v>
      </c>
      <c r="P203" s="6">
        <v>33</v>
      </c>
      <c r="Q203" s="4" t="s">
        <v>26</v>
      </c>
      <c r="R203" s="4">
        <v>0</v>
      </c>
      <c r="S203" s="4">
        <v>0</v>
      </c>
      <c r="T203" s="4">
        <v>62</v>
      </c>
      <c r="U203" s="4">
        <v>23</v>
      </c>
      <c r="V203" s="6">
        <f>IF(ISERROR(VLOOKUP($S$203,'TAR FIN'!$A$1:$O$92,15,0)),0,VLOOKUP($S$203,'TAR FIN'!$A$1:$O$92,15,0))</f>
        <v>0</v>
      </c>
      <c r="W203" s="6">
        <f>IF(ISERROR(VLOOKUP($T$203,'TAR FIN'!$A$1:$O$92,15,0)),0,VLOOKUP($T$203,'TAR FIN'!$A$1:$O$92,15,0))</f>
        <v>301.99</v>
      </c>
      <c r="X203" s="6">
        <f>IF(ISERROR(VLOOKUP($U$203,'TAR FIN'!$A$1:$O$92,15,0)),0,VLOOKUP($U$203,'TAR FIN'!$A$1:$O$92,15,0))</f>
        <v>267.11</v>
      </c>
      <c r="Y203" s="6"/>
      <c r="Z203" s="6">
        <f ca="1">('TUSD BE'!$AM$37+'TUSD BF'!$AM$37+'TUSD CVA'!$AM$37)*(1-CUSTOS!$M$38)</f>
        <v>443.47423500349447</v>
      </c>
      <c r="AA203" s="6">
        <f>('TE BE'!$AB$25+'TE BF'!$AB$25+'TE CVA'!$AB$25)*(1-CUSTOS!$M$38)</f>
        <v>269.93409109504938</v>
      </c>
      <c r="AB203" s="6">
        <f t="shared" si="17"/>
        <v>0</v>
      </c>
      <c r="AC203" s="6">
        <f>(L203-M203)*(W203+X203)+($W$110+$X$110-$W$203-$X$203)*(L203)</f>
        <v>840.05064000000016</v>
      </c>
      <c r="AD203" s="6">
        <f t="shared" si="18"/>
        <v>0</v>
      </c>
      <c r="AE203" s="6">
        <f ca="1">(L203-M203)*(Z203+AA203)+($Z$110+$AA$110-$Z$203-$AA$203)*(L203)</f>
        <v>492.88925883131839</v>
      </c>
      <c r="AF203" s="4" t="s">
        <v>689</v>
      </c>
    </row>
    <row r="204" spans="1:32" ht="11.25" customHeight="1" x14ac:dyDescent="0.3">
      <c r="A204" s="4" t="s">
        <v>21</v>
      </c>
      <c r="B204" s="4" t="s">
        <v>41</v>
      </c>
      <c r="C204" s="4" t="s">
        <v>23</v>
      </c>
      <c r="D204" s="4" t="s">
        <v>42</v>
      </c>
      <c r="E204" s="4" t="s">
        <v>25</v>
      </c>
      <c r="F204" s="4" t="s">
        <v>25</v>
      </c>
      <c r="G204" s="4" t="s">
        <v>25</v>
      </c>
      <c r="H204" s="4" t="s">
        <v>25</v>
      </c>
      <c r="I204" s="5">
        <v>44501</v>
      </c>
      <c r="J204" s="6">
        <v>0</v>
      </c>
      <c r="K204" s="6">
        <v>0</v>
      </c>
      <c r="L204" s="6">
        <v>284.45699999999999</v>
      </c>
      <c r="M204" s="6">
        <v>284.45699999999999</v>
      </c>
      <c r="N204" s="6">
        <v>284.45699999999999</v>
      </c>
      <c r="O204" s="6">
        <v>284.45699999999999</v>
      </c>
      <c r="P204" s="6">
        <v>797</v>
      </c>
      <c r="Q204" s="4" t="s">
        <v>26</v>
      </c>
      <c r="R204" s="4">
        <v>0</v>
      </c>
      <c r="S204" s="4">
        <v>0</v>
      </c>
      <c r="T204" s="4">
        <v>62</v>
      </c>
      <c r="U204" s="4">
        <v>23</v>
      </c>
      <c r="V204" s="6">
        <f>IF(ISERROR(VLOOKUP($S$204,'TAR FIN'!$A$1:$O$92,15,0)),0,VLOOKUP($S$204,'TAR FIN'!$A$1:$O$92,15,0))</f>
        <v>0</v>
      </c>
      <c r="W204" s="6">
        <f>IF(ISERROR(VLOOKUP($T$204,'TAR FIN'!$A$1:$O$92,15,0)),0,VLOOKUP($T$204,'TAR FIN'!$A$1:$O$92,15,0))</f>
        <v>301.99</v>
      </c>
      <c r="X204" s="6">
        <f>IF(ISERROR(VLOOKUP($U$204,'TAR FIN'!$A$1:$O$92,15,0)),0,VLOOKUP($U$204,'TAR FIN'!$A$1:$O$92,15,0))</f>
        <v>267.11</v>
      </c>
      <c r="Y204" s="6"/>
      <c r="Z204" s="6">
        <f ca="1">('TUSD BE'!$AM$37+'TUSD BF'!$AM$37+'TUSD CVA'!$AM$37)*(1-CUSTOS!$M$38)</f>
        <v>443.47423500349447</v>
      </c>
      <c r="AA204" s="6">
        <f>('TE BE'!$AB$25+'TE BF'!$AB$25+'TE CVA'!$AB$25)*(1-CUSTOS!$M$38)</f>
        <v>269.93409109504938</v>
      </c>
      <c r="AB204" s="6">
        <f t="shared" si="17"/>
        <v>0</v>
      </c>
      <c r="AC204" s="6">
        <f>(L204-M204)*(W204+X204)+($W$110+$X$110-$W$204-$X$204)*(L204)</f>
        <v>22076.707770000005</v>
      </c>
      <c r="AD204" s="6">
        <f t="shared" si="18"/>
        <v>0</v>
      </c>
      <c r="AE204" s="6">
        <f ca="1">(L204-M204)*(Z204+AA204)+($Z$110+$AA$110-$Z$204-$AA$204)*(L204)</f>
        <v>12953.233545766845</v>
      </c>
      <c r="AF204" s="4" t="s">
        <v>689</v>
      </c>
    </row>
    <row r="205" spans="1:32" ht="11.25" customHeight="1" x14ac:dyDescent="0.3">
      <c r="A205" s="4" t="s">
        <v>27</v>
      </c>
      <c r="B205" s="4" t="s">
        <v>41</v>
      </c>
      <c r="C205" s="4" t="s">
        <v>23</v>
      </c>
      <c r="D205" s="4" t="s">
        <v>42</v>
      </c>
      <c r="E205" s="4" t="s">
        <v>25</v>
      </c>
      <c r="F205" s="4" t="s">
        <v>25</v>
      </c>
      <c r="G205" s="4" t="s">
        <v>25</v>
      </c>
      <c r="H205" s="4" t="s">
        <v>25</v>
      </c>
      <c r="I205" s="5">
        <v>44501</v>
      </c>
      <c r="J205" s="6">
        <v>0</v>
      </c>
      <c r="K205" s="6">
        <v>0</v>
      </c>
      <c r="L205" s="6">
        <v>16.957999999999998</v>
      </c>
      <c r="M205" s="6">
        <v>16.957999999999998</v>
      </c>
      <c r="N205" s="6">
        <v>16.957999999999998</v>
      </c>
      <c r="O205" s="6">
        <v>16.957999999999998</v>
      </c>
      <c r="P205" s="6">
        <v>33</v>
      </c>
      <c r="Q205" s="4" t="s">
        <v>26</v>
      </c>
      <c r="R205" s="4">
        <v>0</v>
      </c>
      <c r="S205" s="4">
        <v>0</v>
      </c>
      <c r="T205" s="4">
        <v>62</v>
      </c>
      <c r="U205" s="4">
        <v>23</v>
      </c>
      <c r="V205" s="6">
        <f>IF(ISERROR(VLOOKUP($S$205,'TAR FIN'!$A$1:$O$92,15,0)),0,VLOOKUP($S$205,'TAR FIN'!$A$1:$O$92,15,0))</f>
        <v>0</v>
      </c>
      <c r="W205" s="6">
        <f>IF(ISERROR(VLOOKUP($T$205,'TAR FIN'!$A$1:$O$92,15,0)),0,VLOOKUP($T$205,'TAR FIN'!$A$1:$O$92,15,0))</f>
        <v>301.99</v>
      </c>
      <c r="X205" s="6">
        <f>IF(ISERROR(VLOOKUP($U$205,'TAR FIN'!$A$1:$O$92,15,0)),0,VLOOKUP($U$205,'TAR FIN'!$A$1:$O$92,15,0))</f>
        <v>267.11</v>
      </c>
      <c r="Y205" s="6"/>
      <c r="Z205" s="6">
        <f ca="1">('TUSD BE'!$AM$37+'TUSD BF'!$AM$37+'TUSD CVA'!$AM$37)*(1-CUSTOS!$M$38)</f>
        <v>443.47423500349447</v>
      </c>
      <c r="AA205" s="6">
        <f>('TE BE'!$AB$25+'TE BF'!$AB$25+'TE CVA'!$AB$25)*(1-CUSTOS!$M$38)</f>
        <v>269.93409109504938</v>
      </c>
      <c r="AB205" s="6">
        <f t="shared" si="17"/>
        <v>0</v>
      </c>
      <c r="AC205" s="6">
        <f>(L205-M205)*(W205+X205)+($W$110+$X$110-$W$205-$X$205)*(L205)</f>
        <v>1316.1103800000001</v>
      </c>
      <c r="AD205" s="6">
        <f t="shared" si="18"/>
        <v>0</v>
      </c>
      <c r="AE205" s="6">
        <f ca="1">(L205-M205)*(Z205+AA205)+($Z$110+$AA$110-$Z$205-$AA$205)*(L205)</f>
        <v>772.21138684973175</v>
      </c>
      <c r="AF205" s="4" t="s">
        <v>689</v>
      </c>
    </row>
    <row r="206" spans="1:32" ht="11.25" customHeight="1" x14ac:dyDescent="0.3">
      <c r="A206" s="4" t="s">
        <v>21</v>
      </c>
      <c r="B206" s="4" t="s">
        <v>41</v>
      </c>
      <c r="C206" s="4" t="s">
        <v>23</v>
      </c>
      <c r="D206" s="4" t="s">
        <v>42</v>
      </c>
      <c r="E206" s="4" t="s">
        <v>25</v>
      </c>
      <c r="F206" s="4" t="s">
        <v>25</v>
      </c>
      <c r="G206" s="4" t="s">
        <v>25</v>
      </c>
      <c r="H206" s="4" t="s">
        <v>25</v>
      </c>
      <c r="I206" s="5">
        <v>44531</v>
      </c>
      <c r="J206" s="6">
        <v>0</v>
      </c>
      <c r="K206" s="6">
        <v>0</v>
      </c>
      <c r="L206" s="6">
        <v>345.952</v>
      </c>
      <c r="M206" s="6">
        <v>345.952</v>
      </c>
      <c r="N206" s="6">
        <v>345.952</v>
      </c>
      <c r="O206" s="6">
        <v>345.952</v>
      </c>
      <c r="P206" s="6">
        <v>797</v>
      </c>
      <c r="Q206" s="4" t="s">
        <v>26</v>
      </c>
      <c r="R206" s="4">
        <v>0</v>
      </c>
      <c r="S206" s="4">
        <v>0</v>
      </c>
      <c r="T206" s="4">
        <v>62</v>
      </c>
      <c r="U206" s="4">
        <v>23</v>
      </c>
      <c r="V206" s="6">
        <f>IF(ISERROR(VLOOKUP($S$206,'TAR FIN'!$A$1:$O$92,15,0)),0,VLOOKUP($S$206,'TAR FIN'!$A$1:$O$92,15,0))</f>
        <v>0</v>
      </c>
      <c r="W206" s="6">
        <f>IF(ISERROR(VLOOKUP($T$206,'TAR FIN'!$A$1:$O$92,15,0)),0,VLOOKUP($T$206,'TAR FIN'!$A$1:$O$92,15,0))</f>
        <v>301.99</v>
      </c>
      <c r="X206" s="6">
        <f>IF(ISERROR(VLOOKUP($U$206,'TAR FIN'!$A$1:$O$92,15,0)),0,VLOOKUP($U$206,'TAR FIN'!$A$1:$O$92,15,0))</f>
        <v>267.11</v>
      </c>
      <c r="Y206" s="6"/>
      <c r="Z206" s="6">
        <f ca="1">('TUSD BE'!$AM$37+'TUSD BF'!$AM$37+'TUSD CVA'!$AM$37)*(1-CUSTOS!$M$38)</f>
        <v>443.47423500349447</v>
      </c>
      <c r="AA206" s="6">
        <f>('TE BE'!$AB$25+'TE BF'!$AB$25+'TE CVA'!$AB$25)*(1-CUSTOS!$M$38)</f>
        <v>269.93409109504938</v>
      </c>
      <c r="AB206" s="6">
        <f t="shared" si="17"/>
        <v>0</v>
      </c>
      <c r="AC206" s="6">
        <f>(L206-M206)*(W206+X206)+($W$110+$X$110-$W$206-$X$206)*(L206)</f>
        <v>26849.334720000006</v>
      </c>
      <c r="AD206" s="6">
        <f t="shared" si="18"/>
        <v>0</v>
      </c>
      <c r="AE206" s="6">
        <f ca="1">(L206-M206)*(Z206+AA206)+($Z$110+$AA$110-$Z$206-$AA$206)*(L206)</f>
        <v>15753.51301470919</v>
      </c>
      <c r="AF206" s="4" t="s">
        <v>689</v>
      </c>
    </row>
    <row r="207" spans="1:32" ht="11.25" customHeight="1" x14ac:dyDescent="0.3">
      <c r="A207" s="4" t="s">
        <v>27</v>
      </c>
      <c r="B207" s="4" t="s">
        <v>41</v>
      </c>
      <c r="C207" s="4" t="s">
        <v>23</v>
      </c>
      <c r="D207" s="4" t="s">
        <v>42</v>
      </c>
      <c r="E207" s="4" t="s">
        <v>25</v>
      </c>
      <c r="F207" s="4" t="s">
        <v>25</v>
      </c>
      <c r="G207" s="4" t="s">
        <v>25</v>
      </c>
      <c r="H207" s="4" t="s">
        <v>25</v>
      </c>
      <c r="I207" s="5">
        <v>44531</v>
      </c>
      <c r="J207" s="6">
        <v>0</v>
      </c>
      <c r="K207" s="6">
        <v>0</v>
      </c>
      <c r="L207" s="6">
        <v>36.584000000000003</v>
      </c>
      <c r="M207" s="6">
        <v>36.584000000000003</v>
      </c>
      <c r="N207" s="6">
        <v>36.584000000000003</v>
      </c>
      <c r="O207" s="6">
        <v>36.584000000000003</v>
      </c>
      <c r="P207" s="6">
        <v>34</v>
      </c>
      <c r="Q207" s="4" t="s">
        <v>26</v>
      </c>
      <c r="R207" s="4">
        <v>0</v>
      </c>
      <c r="S207" s="4">
        <v>0</v>
      </c>
      <c r="T207" s="4">
        <v>62</v>
      </c>
      <c r="U207" s="4">
        <v>23</v>
      </c>
      <c r="V207" s="6">
        <f>IF(ISERROR(VLOOKUP($S$207,'TAR FIN'!$A$1:$O$92,15,0)),0,VLOOKUP($S$207,'TAR FIN'!$A$1:$O$92,15,0))</f>
        <v>0</v>
      </c>
      <c r="W207" s="6">
        <f>IF(ISERROR(VLOOKUP($T$207,'TAR FIN'!$A$1:$O$92,15,0)),0,VLOOKUP($T$207,'TAR FIN'!$A$1:$O$92,15,0))</f>
        <v>301.99</v>
      </c>
      <c r="X207" s="6">
        <f>IF(ISERROR(VLOOKUP($U$207,'TAR FIN'!$A$1:$O$92,15,0)),0,VLOOKUP($U$207,'TAR FIN'!$A$1:$O$92,15,0))</f>
        <v>267.11</v>
      </c>
      <c r="Y207" s="6"/>
      <c r="Z207" s="6">
        <f ca="1">('TUSD BE'!$AM$37+'TUSD BF'!$AM$37+'TUSD CVA'!$AM$37)*(1-CUSTOS!$M$38)</f>
        <v>443.47423500349447</v>
      </c>
      <c r="AA207" s="6">
        <f>('TE BE'!$AB$25+'TE BF'!$AB$25+'TE CVA'!$AB$25)*(1-CUSTOS!$M$38)</f>
        <v>269.93409109504938</v>
      </c>
      <c r="AB207" s="6">
        <f t="shared" si="17"/>
        <v>0</v>
      </c>
      <c r="AC207" s="6">
        <f>(L207-M207)*(W207+X207)+($W$110+$X$110-$W$207-$X$207)*(L207)</f>
        <v>2839.2842400000009</v>
      </c>
      <c r="AD207" s="6">
        <f t="shared" si="18"/>
        <v>0</v>
      </c>
      <c r="AE207" s="6">
        <f ca="1">(L207-M207)*(Z207+AA207)+($Z$110+$AA$110-$Z$207-$AA$207)*(L207)</f>
        <v>1665.9146937439907</v>
      </c>
      <c r="AF207" s="4" t="s">
        <v>689</v>
      </c>
    </row>
    <row r="208" spans="1:32" ht="11.25" customHeight="1" x14ac:dyDescent="0.3">
      <c r="A208" s="4" t="s">
        <v>21</v>
      </c>
      <c r="B208" s="4" t="s">
        <v>41</v>
      </c>
      <c r="C208" s="4" t="s">
        <v>23</v>
      </c>
      <c r="D208" s="4" t="s">
        <v>42</v>
      </c>
      <c r="E208" s="4" t="s">
        <v>25</v>
      </c>
      <c r="F208" s="4" t="s">
        <v>25</v>
      </c>
      <c r="G208" s="4" t="s">
        <v>25</v>
      </c>
      <c r="H208" s="4" t="s">
        <v>25</v>
      </c>
      <c r="I208" s="5">
        <v>44562</v>
      </c>
      <c r="J208" s="6">
        <v>0</v>
      </c>
      <c r="K208" s="6">
        <v>0</v>
      </c>
      <c r="L208" s="6">
        <v>302.08199999999999</v>
      </c>
      <c r="M208" s="6">
        <v>302.08199999999999</v>
      </c>
      <c r="N208" s="6">
        <v>302.08199999999999</v>
      </c>
      <c r="O208" s="6">
        <v>302.08199999999999</v>
      </c>
      <c r="P208" s="6">
        <v>792</v>
      </c>
      <c r="Q208" s="4" t="s">
        <v>26</v>
      </c>
      <c r="R208" s="4">
        <v>0</v>
      </c>
      <c r="S208" s="4">
        <v>0</v>
      </c>
      <c r="T208" s="4">
        <v>62</v>
      </c>
      <c r="U208" s="4">
        <v>23</v>
      </c>
      <c r="V208" s="6">
        <f>IF(ISERROR(VLOOKUP($S$208,'TAR FIN'!$A$1:$O$92,15,0)),0,VLOOKUP($S$208,'TAR FIN'!$A$1:$O$92,15,0))</f>
        <v>0</v>
      </c>
      <c r="W208" s="6">
        <f>IF(ISERROR(VLOOKUP($T$208,'TAR FIN'!$A$1:$O$92,15,0)),0,VLOOKUP($T$208,'TAR FIN'!$A$1:$O$92,15,0))</f>
        <v>301.99</v>
      </c>
      <c r="X208" s="6">
        <f>IF(ISERROR(VLOOKUP($U$208,'TAR FIN'!$A$1:$O$92,15,0)),0,VLOOKUP($U$208,'TAR FIN'!$A$1:$O$92,15,0))</f>
        <v>267.11</v>
      </c>
      <c r="Y208" s="6"/>
      <c r="Z208" s="6">
        <f ca="1">('TUSD BE'!$AM$37+'TUSD BF'!$AM$37+'TUSD CVA'!$AM$37)*(1-CUSTOS!$M$38)</f>
        <v>443.47423500349447</v>
      </c>
      <c r="AA208" s="6">
        <f>('TE BE'!$AB$25+'TE BF'!$AB$25+'TE CVA'!$AB$25)*(1-CUSTOS!$M$38)</f>
        <v>269.93409109504938</v>
      </c>
      <c r="AB208" s="6">
        <f t="shared" si="17"/>
        <v>0</v>
      </c>
      <c r="AC208" s="6">
        <f>(L208-M208)*(W208+X208)+($W$110+$X$110-$W$208-$X$208)*(L208)</f>
        <v>23444.584020000002</v>
      </c>
      <c r="AD208" s="6">
        <f t="shared" si="18"/>
        <v>0</v>
      </c>
      <c r="AE208" s="6">
        <f ca="1">(L208-M208)*(Z208+AA208)+($Z$110+$AA$110-$Z$208-$AA$208)*(L208)</f>
        <v>13755.81791262771</v>
      </c>
      <c r="AF208" s="4" t="s">
        <v>689</v>
      </c>
    </row>
    <row r="209" spans="1:32" ht="11.25" customHeight="1" x14ac:dyDescent="0.3">
      <c r="A209" s="4" t="s">
        <v>27</v>
      </c>
      <c r="B209" s="4" t="s">
        <v>41</v>
      </c>
      <c r="C209" s="4" t="s">
        <v>23</v>
      </c>
      <c r="D209" s="4" t="s">
        <v>42</v>
      </c>
      <c r="E209" s="4" t="s">
        <v>25</v>
      </c>
      <c r="F209" s="4" t="s">
        <v>25</v>
      </c>
      <c r="G209" s="4" t="s">
        <v>25</v>
      </c>
      <c r="H209" s="4" t="s">
        <v>25</v>
      </c>
      <c r="I209" s="5">
        <v>44562</v>
      </c>
      <c r="J209" s="6">
        <v>0</v>
      </c>
      <c r="K209" s="6">
        <v>0</v>
      </c>
      <c r="L209" s="6">
        <v>26.65</v>
      </c>
      <c r="M209" s="6">
        <v>26.65</v>
      </c>
      <c r="N209" s="6">
        <v>26.65</v>
      </c>
      <c r="O209" s="6">
        <v>26.65</v>
      </c>
      <c r="P209" s="6">
        <v>38</v>
      </c>
      <c r="Q209" s="4" t="s">
        <v>26</v>
      </c>
      <c r="R209" s="4">
        <v>0</v>
      </c>
      <c r="S209" s="4">
        <v>0</v>
      </c>
      <c r="T209" s="4">
        <v>62</v>
      </c>
      <c r="U209" s="4">
        <v>23</v>
      </c>
      <c r="V209" s="6">
        <f>IF(ISERROR(VLOOKUP($S$209,'TAR FIN'!$A$1:$O$92,15,0)),0,VLOOKUP($S$209,'TAR FIN'!$A$1:$O$92,15,0))</f>
        <v>0</v>
      </c>
      <c r="W209" s="6">
        <f>IF(ISERROR(VLOOKUP($T$209,'TAR FIN'!$A$1:$O$92,15,0)),0,VLOOKUP($T$209,'TAR FIN'!$A$1:$O$92,15,0))</f>
        <v>301.99</v>
      </c>
      <c r="X209" s="6">
        <f>IF(ISERROR(VLOOKUP($U$209,'TAR FIN'!$A$1:$O$92,15,0)),0,VLOOKUP($U$209,'TAR FIN'!$A$1:$O$92,15,0))</f>
        <v>267.11</v>
      </c>
      <c r="Y209" s="6"/>
      <c r="Z209" s="6">
        <f ca="1">('TUSD BE'!$AM$37+'TUSD BF'!$AM$37+'TUSD CVA'!$AM$37)*(1-CUSTOS!$M$38)</f>
        <v>443.47423500349447</v>
      </c>
      <c r="AA209" s="6">
        <f>('TE BE'!$AB$25+'TE BF'!$AB$25+'TE CVA'!$AB$25)*(1-CUSTOS!$M$38)</f>
        <v>269.93409109504938</v>
      </c>
      <c r="AB209" s="6">
        <f t="shared" si="17"/>
        <v>0</v>
      </c>
      <c r="AC209" s="6">
        <f>(L209-M209)*(W209+X209)+($W$110+$X$110-$W$209-$X$209)*(L209)</f>
        <v>2068.3065000000001</v>
      </c>
      <c r="AD209" s="6">
        <f t="shared" si="18"/>
        <v>0</v>
      </c>
      <c r="AE209" s="6">
        <f ca="1">(L209-M209)*(Z209+AA209)+($Z$110+$AA$110-$Z$209-$AA$209)*(L209)</f>
        <v>1213.5530993952914</v>
      </c>
      <c r="AF209" s="4" t="s">
        <v>689</v>
      </c>
    </row>
    <row r="210" spans="1:32" ht="11.25" customHeight="1" x14ac:dyDescent="0.3">
      <c r="A210" s="4" t="s">
        <v>21</v>
      </c>
      <c r="B210" s="4" t="s">
        <v>41</v>
      </c>
      <c r="C210" s="4" t="s">
        <v>23</v>
      </c>
      <c r="D210" s="4" t="s">
        <v>42</v>
      </c>
      <c r="E210" s="4" t="s">
        <v>25</v>
      </c>
      <c r="F210" s="4" t="s">
        <v>25</v>
      </c>
      <c r="G210" s="4" t="s">
        <v>25</v>
      </c>
      <c r="H210" s="4" t="s">
        <v>25</v>
      </c>
      <c r="I210" s="5">
        <v>44593</v>
      </c>
      <c r="J210" s="6">
        <v>0</v>
      </c>
      <c r="K210" s="6">
        <v>0</v>
      </c>
      <c r="L210" s="6">
        <v>276.39600000000002</v>
      </c>
      <c r="M210" s="6">
        <v>276.39600000000002</v>
      </c>
      <c r="N210" s="6">
        <v>276.39600000000002</v>
      </c>
      <c r="O210" s="6">
        <v>276.39600000000002</v>
      </c>
      <c r="P210" s="6">
        <v>790</v>
      </c>
      <c r="Q210" s="4" t="s">
        <v>26</v>
      </c>
      <c r="R210" s="4">
        <v>0</v>
      </c>
      <c r="S210" s="4">
        <v>0</v>
      </c>
      <c r="T210" s="4">
        <v>62</v>
      </c>
      <c r="U210" s="4">
        <v>23</v>
      </c>
      <c r="V210" s="6">
        <f>IF(ISERROR(VLOOKUP($S$210,'TAR FIN'!$A$1:$O$92,15,0)),0,VLOOKUP($S$210,'TAR FIN'!$A$1:$O$92,15,0))</f>
        <v>0</v>
      </c>
      <c r="W210" s="6">
        <f>IF(ISERROR(VLOOKUP($T$210,'TAR FIN'!$A$1:$O$92,15,0)),0,VLOOKUP($T$210,'TAR FIN'!$A$1:$O$92,15,0))</f>
        <v>301.99</v>
      </c>
      <c r="X210" s="6">
        <f>IF(ISERROR(VLOOKUP($U$210,'TAR FIN'!$A$1:$O$92,15,0)),0,VLOOKUP($U$210,'TAR FIN'!$A$1:$O$92,15,0))</f>
        <v>267.11</v>
      </c>
      <c r="Y210" s="6"/>
      <c r="Z210" s="6">
        <f ca="1">('TUSD BE'!$AM$37+'TUSD BF'!$AM$37+'TUSD CVA'!$AM$37)*(1-CUSTOS!$M$38)</f>
        <v>443.47423500349447</v>
      </c>
      <c r="AA210" s="6">
        <f>('TE BE'!$AB$25+'TE BF'!$AB$25+'TE CVA'!$AB$25)*(1-CUSTOS!$M$38)</f>
        <v>269.93409109504938</v>
      </c>
      <c r="AB210" s="6">
        <f t="shared" si="17"/>
        <v>0</v>
      </c>
      <c r="AC210" s="6">
        <f>(L210-M210)*(W210+X210)+($W$110+$X$110-$W$210-$X$210)*(L210)</f>
        <v>21451.093560000005</v>
      </c>
      <c r="AD210" s="6">
        <f t="shared" si="18"/>
        <v>0</v>
      </c>
      <c r="AE210" s="6">
        <f ca="1">(L210-M210)*(Z210+AA210)+($Z$110+$AA$110-$Z$210-$AA$210)*(L210)</f>
        <v>12586.162193638313</v>
      </c>
      <c r="AF210" s="4" t="s">
        <v>689</v>
      </c>
    </row>
    <row r="211" spans="1:32" ht="11.25" customHeight="1" x14ac:dyDescent="0.3">
      <c r="A211" s="4" t="s">
        <v>27</v>
      </c>
      <c r="B211" s="4" t="s">
        <v>41</v>
      </c>
      <c r="C211" s="4" t="s">
        <v>23</v>
      </c>
      <c r="D211" s="4" t="s">
        <v>42</v>
      </c>
      <c r="E211" s="4" t="s">
        <v>25</v>
      </c>
      <c r="F211" s="4" t="s">
        <v>25</v>
      </c>
      <c r="G211" s="4" t="s">
        <v>25</v>
      </c>
      <c r="H211" s="4" t="s">
        <v>25</v>
      </c>
      <c r="I211" s="5">
        <v>44593</v>
      </c>
      <c r="J211" s="6">
        <v>0</v>
      </c>
      <c r="K211" s="6">
        <v>0</v>
      </c>
      <c r="L211" s="6">
        <v>38.256999999999998</v>
      </c>
      <c r="M211" s="6">
        <v>38.256999999999998</v>
      </c>
      <c r="N211" s="6">
        <v>38.256999999999998</v>
      </c>
      <c r="O211" s="6">
        <v>38.256999999999998</v>
      </c>
      <c r="P211" s="6">
        <v>38</v>
      </c>
      <c r="Q211" s="4" t="s">
        <v>26</v>
      </c>
      <c r="R211" s="4">
        <v>0</v>
      </c>
      <c r="S211" s="4">
        <v>0</v>
      </c>
      <c r="T211" s="4">
        <v>62</v>
      </c>
      <c r="U211" s="4">
        <v>23</v>
      </c>
      <c r="V211" s="6">
        <f>IF(ISERROR(VLOOKUP($S$211,'TAR FIN'!$A$1:$O$92,15,0)),0,VLOOKUP($S$211,'TAR FIN'!$A$1:$O$92,15,0))</f>
        <v>0</v>
      </c>
      <c r="W211" s="6">
        <f>IF(ISERROR(VLOOKUP($T$211,'TAR FIN'!$A$1:$O$92,15,0)),0,VLOOKUP($T$211,'TAR FIN'!$A$1:$O$92,15,0))</f>
        <v>301.99</v>
      </c>
      <c r="X211" s="6">
        <f>IF(ISERROR(VLOOKUP($U$211,'TAR FIN'!$A$1:$O$92,15,0)),0,VLOOKUP($U$211,'TAR FIN'!$A$1:$O$92,15,0))</f>
        <v>267.11</v>
      </c>
      <c r="Y211" s="6"/>
      <c r="Z211" s="6">
        <f ca="1">('TUSD BE'!$AM$37+'TUSD BF'!$AM$37+'TUSD CVA'!$AM$37)*(1-CUSTOS!$M$38)</f>
        <v>443.47423500349447</v>
      </c>
      <c r="AA211" s="6">
        <f>('TE BE'!$AB$25+'TE BF'!$AB$25+'TE CVA'!$AB$25)*(1-CUSTOS!$M$38)</f>
        <v>269.93409109504938</v>
      </c>
      <c r="AB211" s="6">
        <f t="shared" si="17"/>
        <v>0</v>
      </c>
      <c r="AC211" s="6">
        <f>(L211-M211)*(W211+X211)+($W$110+$X$110-$W$211-$X$211)*(L211)</f>
        <v>2969.1257700000006</v>
      </c>
      <c r="AD211" s="6">
        <f t="shared" si="18"/>
        <v>0</v>
      </c>
      <c r="AE211" s="6">
        <f ca="1">(L211-M211)*(Z211+AA211)+($Z$110+$AA$110-$Z$211-$AA$211)*(L211)</f>
        <v>1742.0975956309819</v>
      </c>
      <c r="AF211" s="4" t="s">
        <v>689</v>
      </c>
    </row>
    <row r="212" spans="1:32" ht="11.25" customHeight="1" x14ac:dyDescent="0.3">
      <c r="A212" s="4" t="s">
        <v>21</v>
      </c>
      <c r="B212" s="4" t="s">
        <v>41</v>
      </c>
      <c r="C212" s="4" t="s">
        <v>23</v>
      </c>
      <c r="D212" s="4" t="s">
        <v>42</v>
      </c>
      <c r="E212" s="4" t="s">
        <v>25</v>
      </c>
      <c r="F212" s="4" t="s">
        <v>25</v>
      </c>
      <c r="G212" s="4" t="s">
        <v>25</v>
      </c>
      <c r="H212" s="4" t="s">
        <v>25</v>
      </c>
      <c r="I212" s="5">
        <v>44621</v>
      </c>
      <c r="J212" s="6">
        <v>0</v>
      </c>
      <c r="K212" s="6">
        <v>0</v>
      </c>
      <c r="L212" s="6">
        <v>228.57900000000001</v>
      </c>
      <c r="M212" s="6">
        <v>228.57900000000001</v>
      </c>
      <c r="N212" s="6">
        <v>228.57900000000001</v>
      </c>
      <c r="O212" s="6">
        <v>228.57900000000001</v>
      </c>
      <c r="P212" s="6">
        <v>788</v>
      </c>
      <c r="Q212" s="4" t="s">
        <v>26</v>
      </c>
      <c r="R212" s="4">
        <v>0</v>
      </c>
      <c r="S212" s="4">
        <v>0</v>
      </c>
      <c r="T212" s="4">
        <v>62</v>
      </c>
      <c r="U212" s="4">
        <v>23</v>
      </c>
      <c r="V212" s="6">
        <f>IF(ISERROR(VLOOKUP($S$212,'TAR FIN'!$A$1:$O$92,15,0)),0,VLOOKUP($S$212,'TAR FIN'!$A$1:$O$92,15,0))</f>
        <v>0</v>
      </c>
      <c r="W212" s="6">
        <f>IF(ISERROR(VLOOKUP($T$212,'TAR FIN'!$A$1:$O$92,15,0)),0,VLOOKUP($T$212,'TAR FIN'!$A$1:$O$92,15,0))</f>
        <v>301.99</v>
      </c>
      <c r="X212" s="6">
        <f>IF(ISERROR(VLOOKUP($U$212,'TAR FIN'!$A$1:$O$92,15,0)),0,VLOOKUP($U$212,'TAR FIN'!$A$1:$O$92,15,0))</f>
        <v>267.11</v>
      </c>
      <c r="Y212" s="6"/>
      <c r="Z212" s="6">
        <f ca="1">('TUSD BE'!$AM$37+'TUSD BF'!$AM$37+'TUSD CVA'!$AM$37)*(1-CUSTOS!$M$38)</f>
        <v>443.47423500349447</v>
      </c>
      <c r="AA212" s="6">
        <f>('TE BE'!$AB$25+'TE BF'!$AB$25+'TE CVA'!$AB$25)*(1-CUSTOS!$M$38)</f>
        <v>269.93409109504938</v>
      </c>
      <c r="AB212" s="6">
        <f t="shared" si="17"/>
        <v>0</v>
      </c>
      <c r="AC212" s="6">
        <f>(L212-M212)*(W212+X212)+($W$110+$X$110-$W$212-$X$212)*(L212)</f>
        <v>17740.016190000002</v>
      </c>
      <c r="AD212" s="6">
        <f t="shared" si="18"/>
        <v>0</v>
      </c>
      <c r="AE212" s="6">
        <f ca="1">(L212-M212)*(Z212+AA212)+($Z$110+$AA$110-$Z$212-$AA$212)*(L212)</f>
        <v>10408.733730081663</v>
      </c>
      <c r="AF212" s="4" t="s">
        <v>689</v>
      </c>
    </row>
    <row r="213" spans="1:32" ht="11.25" customHeight="1" x14ac:dyDescent="0.3">
      <c r="A213" s="4" t="s">
        <v>27</v>
      </c>
      <c r="B213" s="4" t="s">
        <v>41</v>
      </c>
      <c r="C213" s="4" t="s">
        <v>23</v>
      </c>
      <c r="D213" s="4" t="s">
        <v>42</v>
      </c>
      <c r="E213" s="4" t="s">
        <v>25</v>
      </c>
      <c r="F213" s="4" t="s">
        <v>25</v>
      </c>
      <c r="G213" s="4" t="s">
        <v>25</v>
      </c>
      <c r="H213" s="4" t="s">
        <v>25</v>
      </c>
      <c r="I213" s="5">
        <v>44621</v>
      </c>
      <c r="J213" s="6">
        <v>0</v>
      </c>
      <c r="K213" s="6">
        <v>0</v>
      </c>
      <c r="L213" s="6">
        <v>8.7840000000000007</v>
      </c>
      <c r="M213" s="6">
        <v>8.7840000000000007</v>
      </c>
      <c r="N213" s="6">
        <v>8.7840000000000007</v>
      </c>
      <c r="O213" s="6">
        <v>8.7840000000000007</v>
      </c>
      <c r="P213" s="6">
        <v>38</v>
      </c>
      <c r="Q213" s="4" t="s">
        <v>26</v>
      </c>
      <c r="R213" s="4">
        <v>0</v>
      </c>
      <c r="S213" s="4">
        <v>0</v>
      </c>
      <c r="T213" s="4">
        <v>62</v>
      </c>
      <c r="U213" s="4">
        <v>23</v>
      </c>
      <c r="V213" s="6">
        <f>IF(ISERROR(VLOOKUP($S$213,'TAR FIN'!$A$1:$O$92,15,0)),0,VLOOKUP($S$213,'TAR FIN'!$A$1:$O$92,15,0))</f>
        <v>0</v>
      </c>
      <c r="W213" s="6">
        <f>IF(ISERROR(VLOOKUP($T$213,'TAR FIN'!$A$1:$O$92,15,0)),0,VLOOKUP($T$213,'TAR FIN'!$A$1:$O$92,15,0))</f>
        <v>301.99</v>
      </c>
      <c r="X213" s="6">
        <f>IF(ISERROR(VLOOKUP($U$213,'TAR FIN'!$A$1:$O$92,15,0)),0,VLOOKUP($U$213,'TAR FIN'!$A$1:$O$92,15,0))</f>
        <v>267.11</v>
      </c>
      <c r="Y213" s="6"/>
      <c r="Z213" s="6">
        <f ca="1">('TUSD BE'!$AM$37+'TUSD BF'!$AM$37+'TUSD CVA'!$AM$37)*(1-CUSTOS!$M$38)</f>
        <v>443.47423500349447</v>
      </c>
      <c r="AA213" s="6">
        <f>('TE BE'!$AB$25+'TE BF'!$AB$25+'TE CVA'!$AB$25)*(1-CUSTOS!$M$38)</f>
        <v>269.93409109504938</v>
      </c>
      <c r="AB213" s="6">
        <f t="shared" si="17"/>
        <v>0</v>
      </c>
      <c r="AC213" s="6">
        <f>(L213-M213)*(W213+X213)+($W$110+$X$110-$W$213-$X$213)*(L213)</f>
        <v>681.72624000000019</v>
      </c>
      <c r="AD213" s="6">
        <f t="shared" si="18"/>
        <v>0</v>
      </c>
      <c r="AE213" s="6">
        <f ca="1">(L213-M213)*(Z213+AA213)+($Z$110+$AA$110-$Z$213-$AA$213)*(L213)</f>
        <v>399.99438743295468</v>
      </c>
      <c r="AF213" s="4" t="s">
        <v>689</v>
      </c>
    </row>
    <row r="214" spans="1:32" ht="11.25" customHeight="1" x14ac:dyDescent="0.3">
      <c r="A214" s="4" t="s">
        <v>21</v>
      </c>
      <c r="B214" s="4" t="s">
        <v>41</v>
      </c>
      <c r="C214" s="4" t="s">
        <v>23</v>
      </c>
      <c r="D214" s="4" t="s">
        <v>42</v>
      </c>
      <c r="E214" s="4" t="s">
        <v>25</v>
      </c>
      <c r="F214" s="4" t="s">
        <v>25</v>
      </c>
      <c r="G214" s="4" t="s">
        <v>25</v>
      </c>
      <c r="H214" s="4" t="s">
        <v>25</v>
      </c>
      <c r="I214" s="5">
        <v>44652</v>
      </c>
      <c r="J214" s="6">
        <v>0</v>
      </c>
      <c r="K214" s="6">
        <v>0</v>
      </c>
      <c r="L214" s="6">
        <v>197.05199999999999</v>
      </c>
      <c r="M214" s="6">
        <v>197.05199999999999</v>
      </c>
      <c r="N214" s="6">
        <v>197.05199999999999</v>
      </c>
      <c r="O214" s="6">
        <v>197.05199999999999</v>
      </c>
      <c r="P214" s="6">
        <v>790</v>
      </c>
      <c r="Q214" s="4" t="s">
        <v>26</v>
      </c>
      <c r="R214" s="4">
        <v>0</v>
      </c>
      <c r="S214" s="4">
        <v>0</v>
      </c>
      <c r="T214" s="4">
        <v>62</v>
      </c>
      <c r="U214" s="4">
        <v>23</v>
      </c>
      <c r="V214" s="6">
        <f>IF(ISERROR(VLOOKUP($S$214,'TAR FIN'!$A$1:$O$92,15,0)),0,VLOOKUP($S$214,'TAR FIN'!$A$1:$O$92,15,0))</f>
        <v>0</v>
      </c>
      <c r="W214" s="6">
        <f>IF(ISERROR(VLOOKUP($T$214,'TAR FIN'!$A$1:$O$92,15,0)),0,VLOOKUP($T$214,'TAR FIN'!$A$1:$O$92,15,0))</f>
        <v>301.99</v>
      </c>
      <c r="X214" s="6">
        <f>IF(ISERROR(VLOOKUP($U$214,'TAR FIN'!$A$1:$O$92,15,0)),0,VLOOKUP($U$214,'TAR FIN'!$A$1:$O$92,15,0))</f>
        <v>267.11</v>
      </c>
      <c r="Y214" s="6"/>
      <c r="Z214" s="6">
        <f ca="1">('TUSD BE'!$AM$37+'TUSD BF'!$AM$37+'TUSD CVA'!$AM$37)*(1-CUSTOS!$M$38)</f>
        <v>443.47423500349447</v>
      </c>
      <c r="AA214" s="6">
        <f>('TE BE'!$AB$25+'TE BF'!$AB$25+'TE CVA'!$AB$25)*(1-CUSTOS!$M$38)</f>
        <v>269.93409109504938</v>
      </c>
      <c r="AB214" s="6">
        <f t="shared" si="17"/>
        <v>0</v>
      </c>
      <c r="AC214" s="6">
        <f>(L214-M214)*(W214+X214)+($W$110+$X$110-$W$214-$X$214)*(L214)</f>
        <v>15293.205720000002</v>
      </c>
      <c r="AD214" s="6">
        <f t="shared" si="18"/>
        <v>0</v>
      </c>
      <c r="AE214" s="6">
        <f ca="1">(L214-M214)*(Z214+AA214)+($Z$110+$AA$110-$Z$214-$AA$214)*(L214)</f>
        <v>8973.0981366619508</v>
      </c>
      <c r="AF214" s="4" t="s">
        <v>689</v>
      </c>
    </row>
    <row r="215" spans="1:32" ht="11.25" customHeight="1" x14ac:dyDescent="0.3">
      <c r="A215" s="4" t="s">
        <v>27</v>
      </c>
      <c r="B215" s="4" t="s">
        <v>41</v>
      </c>
      <c r="C215" s="4" t="s">
        <v>23</v>
      </c>
      <c r="D215" s="4" t="s">
        <v>42</v>
      </c>
      <c r="E215" s="4" t="s">
        <v>25</v>
      </c>
      <c r="F215" s="4" t="s">
        <v>25</v>
      </c>
      <c r="G215" s="4" t="s">
        <v>25</v>
      </c>
      <c r="H215" s="4" t="s">
        <v>25</v>
      </c>
      <c r="I215" s="5">
        <v>44652</v>
      </c>
      <c r="J215" s="6">
        <v>0</v>
      </c>
      <c r="K215" s="6">
        <v>0</v>
      </c>
      <c r="L215" s="6">
        <v>13.965999999999999</v>
      </c>
      <c r="M215" s="6">
        <v>13.965999999999999</v>
      </c>
      <c r="N215" s="6">
        <v>13.965999999999999</v>
      </c>
      <c r="O215" s="6">
        <v>13.965999999999999</v>
      </c>
      <c r="P215" s="6">
        <v>39</v>
      </c>
      <c r="Q215" s="4" t="s">
        <v>26</v>
      </c>
      <c r="R215" s="4">
        <v>0</v>
      </c>
      <c r="S215" s="4">
        <v>0</v>
      </c>
      <c r="T215" s="4">
        <v>62</v>
      </c>
      <c r="U215" s="4">
        <v>23</v>
      </c>
      <c r="V215" s="6">
        <f>IF(ISERROR(VLOOKUP($S$215,'TAR FIN'!$A$1:$O$92,15,0)),0,VLOOKUP($S$215,'TAR FIN'!$A$1:$O$92,15,0))</f>
        <v>0</v>
      </c>
      <c r="W215" s="6">
        <f>IF(ISERROR(VLOOKUP($T$215,'TAR FIN'!$A$1:$O$92,15,0)),0,VLOOKUP($T$215,'TAR FIN'!$A$1:$O$92,15,0))</f>
        <v>301.99</v>
      </c>
      <c r="X215" s="6">
        <f>IF(ISERROR(VLOOKUP($U$215,'TAR FIN'!$A$1:$O$92,15,0)),0,VLOOKUP($U$215,'TAR FIN'!$A$1:$O$92,15,0))</f>
        <v>267.11</v>
      </c>
      <c r="Y215" s="6"/>
      <c r="Z215" s="6">
        <f ca="1">('TUSD BE'!$AM$37+'TUSD BF'!$AM$37+'TUSD CVA'!$AM$37)*(1-CUSTOS!$M$38)</f>
        <v>443.47423500349447</v>
      </c>
      <c r="AA215" s="6">
        <f>('TE BE'!$AB$25+'TE BF'!$AB$25+'TE CVA'!$AB$25)*(1-CUSTOS!$M$38)</f>
        <v>269.93409109504938</v>
      </c>
      <c r="AB215" s="6">
        <f t="shared" si="17"/>
        <v>0</v>
      </c>
      <c r="AC215" s="6">
        <f>(L215-M215)*(W215+X215)+($W$110+$X$110-$W$215-$X$215)*(L215)</f>
        <v>1083.9012600000001</v>
      </c>
      <c r="AD215" s="6">
        <f t="shared" si="18"/>
        <v>0</v>
      </c>
      <c r="AE215" s="6">
        <f ca="1">(L215-M215)*(Z215+AA215)+($Z$110+$AA$110-$Z$215-$AA$215)*(L215)</f>
        <v>635.96557546546489</v>
      </c>
      <c r="AF215" s="4" t="s">
        <v>689</v>
      </c>
    </row>
    <row r="216" spans="1:32" ht="11.25" customHeight="1" x14ac:dyDescent="0.3">
      <c r="A216" s="4" t="s">
        <v>21</v>
      </c>
      <c r="B216" s="4" t="s">
        <v>41</v>
      </c>
      <c r="C216" s="4" t="s">
        <v>23</v>
      </c>
      <c r="D216" s="4" t="s">
        <v>42</v>
      </c>
      <c r="E216" s="4" t="s">
        <v>25</v>
      </c>
      <c r="F216" s="4" t="s">
        <v>25</v>
      </c>
      <c r="G216" s="4" t="s">
        <v>25</v>
      </c>
      <c r="H216" s="4" t="s">
        <v>25</v>
      </c>
      <c r="I216" s="5">
        <v>44682</v>
      </c>
      <c r="J216" s="6">
        <v>0</v>
      </c>
      <c r="K216" s="6">
        <v>0</v>
      </c>
      <c r="L216" s="6">
        <v>186.18</v>
      </c>
      <c r="M216" s="6">
        <v>186.18</v>
      </c>
      <c r="N216" s="6">
        <v>186.18</v>
      </c>
      <c r="O216" s="6">
        <v>186.18</v>
      </c>
      <c r="P216" s="6">
        <v>789</v>
      </c>
      <c r="Q216" s="4" t="s">
        <v>26</v>
      </c>
      <c r="R216" s="4">
        <v>0</v>
      </c>
      <c r="S216" s="4">
        <v>0</v>
      </c>
      <c r="T216" s="4">
        <v>62</v>
      </c>
      <c r="U216" s="4">
        <v>23</v>
      </c>
      <c r="V216" s="6">
        <f>IF(ISERROR(VLOOKUP($S$216,'TAR FIN'!$A$1:$O$92,15,0)),0,VLOOKUP($S$216,'TAR FIN'!$A$1:$O$92,15,0))</f>
        <v>0</v>
      </c>
      <c r="W216" s="6">
        <f>IF(ISERROR(VLOOKUP($T$216,'TAR FIN'!$A$1:$O$92,15,0)),0,VLOOKUP($T$216,'TAR FIN'!$A$1:$O$92,15,0))</f>
        <v>301.99</v>
      </c>
      <c r="X216" s="6">
        <f>IF(ISERROR(VLOOKUP($U$216,'TAR FIN'!$A$1:$O$92,15,0)),0,VLOOKUP($U$216,'TAR FIN'!$A$1:$O$92,15,0))</f>
        <v>267.11</v>
      </c>
      <c r="Y216" s="6"/>
      <c r="Z216" s="6">
        <f ca="1">('TUSD BE'!$AM$37+'TUSD BF'!$AM$37+'TUSD CVA'!$AM$37)*(1-CUSTOS!$M$38)</f>
        <v>443.47423500349447</v>
      </c>
      <c r="AA216" s="6">
        <f>('TE BE'!$AB$25+'TE BF'!$AB$25+'TE CVA'!$AB$25)*(1-CUSTOS!$M$38)</f>
        <v>269.93409109504938</v>
      </c>
      <c r="AB216" s="6">
        <f t="shared" si="17"/>
        <v>0</v>
      </c>
      <c r="AC216" s="6">
        <f>(L216-M216)*(W216+X216)+($W$110+$X$110-$W$216-$X$216)*(L216)</f>
        <v>14449.429800000004</v>
      </c>
      <c r="AD216" s="6">
        <f t="shared" si="18"/>
        <v>0</v>
      </c>
      <c r="AE216" s="6">
        <f ca="1">(L216-M216)*(Z216+AA216)+($Z$110+$AA$110-$Z$216-$AA$216)*(L216)</f>
        <v>8478.0231161506708</v>
      </c>
      <c r="AF216" s="4" t="s">
        <v>689</v>
      </c>
    </row>
    <row r="217" spans="1:32" ht="11.25" customHeight="1" x14ac:dyDescent="0.3">
      <c r="A217" s="4" t="s">
        <v>27</v>
      </c>
      <c r="B217" s="4" t="s">
        <v>41</v>
      </c>
      <c r="C217" s="4" t="s">
        <v>23</v>
      </c>
      <c r="D217" s="4" t="s">
        <v>42</v>
      </c>
      <c r="E217" s="4" t="s">
        <v>25</v>
      </c>
      <c r="F217" s="4" t="s">
        <v>25</v>
      </c>
      <c r="G217" s="4" t="s">
        <v>25</v>
      </c>
      <c r="H217" s="4" t="s">
        <v>25</v>
      </c>
      <c r="I217" s="5">
        <v>44682</v>
      </c>
      <c r="J217" s="6">
        <v>0</v>
      </c>
      <c r="K217" s="6">
        <v>0</v>
      </c>
      <c r="L217" s="6">
        <v>8.7940000000000005</v>
      </c>
      <c r="M217" s="6">
        <v>8.7940000000000005</v>
      </c>
      <c r="N217" s="6">
        <v>8.7940000000000005</v>
      </c>
      <c r="O217" s="6">
        <v>8.7940000000000005</v>
      </c>
      <c r="P217" s="6">
        <v>40</v>
      </c>
      <c r="Q217" s="4" t="s">
        <v>26</v>
      </c>
      <c r="R217" s="4">
        <v>0</v>
      </c>
      <c r="S217" s="4">
        <v>0</v>
      </c>
      <c r="T217" s="4">
        <v>62</v>
      </c>
      <c r="U217" s="4">
        <v>23</v>
      </c>
      <c r="V217" s="6">
        <f>IF(ISERROR(VLOOKUP($S$217,'TAR FIN'!$A$1:$O$92,15,0)),0,VLOOKUP($S$217,'TAR FIN'!$A$1:$O$92,15,0))</f>
        <v>0</v>
      </c>
      <c r="W217" s="6">
        <f>IF(ISERROR(VLOOKUP($T$217,'TAR FIN'!$A$1:$O$92,15,0)),0,VLOOKUP($T$217,'TAR FIN'!$A$1:$O$92,15,0))</f>
        <v>301.99</v>
      </c>
      <c r="X217" s="6">
        <f>IF(ISERROR(VLOOKUP($U$217,'TAR FIN'!$A$1:$O$92,15,0)),0,VLOOKUP($U$217,'TAR FIN'!$A$1:$O$92,15,0))</f>
        <v>267.11</v>
      </c>
      <c r="Y217" s="6"/>
      <c r="Z217" s="6">
        <f ca="1">('TUSD BE'!$AM$37+'TUSD BF'!$AM$37+'TUSD CVA'!$AM$37)*(1-CUSTOS!$M$38)</f>
        <v>443.47423500349447</v>
      </c>
      <c r="AA217" s="6">
        <f>('TE BE'!$AB$25+'TE BF'!$AB$25+'TE CVA'!$AB$25)*(1-CUSTOS!$M$38)</f>
        <v>269.93409109504938</v>
      </c>
      <c r="AB217" s="6">
        <f t="shared" si="17"/>
        <v>0</v>
      </c>
      <c r="AC217" s="6">
        <f>(L217-M217)*(W217+X217)+($W$110+$X$110-$W$217-$X$217)*(L217)</f>
        <v>682.50234000000012</v>
      </c>
      <c r="AD217" s="6">
        <f t="shared" si="18"/>
        <v>0</v>
      </c>
      <c r="AE217" s="6">
        <f ca="1">(L217-M217)*(Z217+AA217)+($Z$110+$AA$110-$Z$217-$AA$217)*(L217)</f>
        <v>400.44975444961329</v>
      </c>
      <c r="AF217" s="4" t="s">
        <v>689</v>
      </c>
    </row>
    <row r="218" spans="1:32" ht="11.25" customHeight="1" x14ac:dyDescent="0.3">
      <c r="A218" s="4" t="s">
        <v>21</v>
      </c>
      <c r="B218" s="4" t="s">
        <v>41</v>
      </c>
      <c r="C218" s="4" t="s">
        <v>23</v>
      </c>
      <c r="D218" s="4" t="s">
        <v>42</v>
      </c>
      <c r="E218" s="4" t="s">
        <v>25</v>
      </c>
      <c r="F218" s="4" t="s">
        <v>25</v>
      </c>
      <c r="G218" s="4" t="s">
        <v>25</v>
      </c>
      <c r="H218" s="4" t="s">
        <v>25</v>
      </c>
      <c r="I218" s="5">
        <v>44713</v>
      </c>
      <c r="J218" s="6">
        <v>0</v>
      </c>
      <c r="K218" s="6">
        <v>0</v>
      </c>
      <c r="L218" s="6">
        <v>202.459</v>
      </c>
      <c r="M218" s="6">
        <v>202.459</v>
      </c>
      <c r="N218" s="6">
        <v>202.459</v>
      </c>
      <c r="O218" s="6">
        <v>202.459</v>
      </c>
      <c r="P218" s="6">
        <v>792</v>
      </c>
      <c r="Q218" s="4" t="s">
        <v>26</v>
      </c>
      <c r="R218" s="4">
        <v>0</v>
      </c>
      <c r="S218" s="4">
        <v>0</v>
      </c>
      <c r="T218" s="4">
        <v>62</v>
      </c>
      <c r="U218" s="4">
        <v>23</v>
      </c>
      <c r="V218" s="6">
        <f>IF(ISERROR(VLOOKUP($S$218,'TAR FIN'!$A$1:$O$92,15,0)),0,VLOOKUP($S$218,'TAR FIN'!$A$1:$O$92,15,0))</f>
        <v>0</v>
      </c>
      <c r="W218" s="6">
        <f>IF(ISERROR(VLOOKUP($T$218,'TAR FIN'!$A$1:$O$92,15,0)),0,VLOOKUP($T$218,'TAR FIN'!$A$1:$O$92,15,0))</f>
        <v>301.99</v>
      </c>
      <c r="X218" s="6">
        <f>IF(ISERROR(VLOOKUP($U$218,'TAR FIN'!$A$1:$O$92,15,0)),0,VLOOKUP($U$218,'TAR FIN'!$A$1:$O$92,15,0))</f>
        <v>267.11</v>
      </c>
      <c r="Y218" s="6"/>
      <c r="Z218" s="6">
        <f ca="1">('TUSD BE'!$AM$37+'TUSD BF'!$AM$37+'TUSD CVA'!$AM$37)*(1-CUSTOS!$M$38)</f>
        <v>443.47423500349447</v>
      </c>
      <c r="AA218" s="6">
        <f>('TE BE'!$AB$25+'TE BF'!$AB$25+'TE CVA'!$AB$25)*(1-CUSTOS!$M$38)</f>
        <v>269.93409109504938</v>
      </c>
      <c r="AB218" s="6">
        <f t="shared" si="17"/>
        <v>0</v>
      </c>
      <c r="AC218" s="6">
        <f>(L218-M218)*(W218+X218)+($W$110+$X$110-$W$218-$X$218)*(L218)</f>
        <v>15712.842990000003</v>
      </c>
      <c r="AD218" s="6">
        <f t="shared" si="18"/>
        <v>0</v>
      </c>
      <c r="AE218" s="6">
        <f ca="1">(L218-M218)*(Z218+AA218)+($Z$110+$AA$110-$Z$218-$AA$218)*(L218)</f>
        <v>9219.315082569281</v>
      </c>
      <c r="AF218" s="4" t="s">
        <v>689</v>
      </c>
    </row>
    <row r="219" spans="1:32" ht="11.25" customHeight="1" x14ac:dyDescent="0.3">
      <c r="A219" s="4" t="s">
        <v>27</v>
      </c>
      <c r="B219" s="4" t="s">
        <v>41</v>
      </c>
      <c r="C219" s="4" t="s">
        <v>23</v>
      </c>
      <c r="D219" s="4" t="s">
        <v>42</v>
      </c>
      <c r="E219" s="4" t="s">
        <v>25</v>
      </c>
      <c r="F219" s="4" t="s">
        <v>25</v>
      </c>
      <c r="G219" s="4" t="s">
        <v>25</v>
      </c>
      <c r="H219" s="4" t="s">
        <v>25</v>
      </c>
      <c r="I219" s="5">
        <v>44713</v>
      </c>
      <c r="J219" s="6">
        <v>0</v>
      </c>
      <c r="K219" s="6">
        <v>0</v>
      </c>
      <c r="L219" s="6">
        <v>12.084</v>
      </c>
      <c r="M219" s="6">
        <v>12.084</v>
      </c>
      <c r="N219" s="6">
        <v>12.084</v>
      </c>
      <c r="O219" s="6">
        <v>12.084</v>
      </c>
      <c r="P219" s="6">
        <v>41</v>
      </c>
      <c r="Q219" s="4" t="s">
        <v>26</v>
      </c>
      <c r="R219" s="4">
        <v>0</v>
      </c>
      <c r="S219" s="4">
        <v>0</v>
      </c>
      <c r="T219" s="4">
        <v>62</v>
      </c>
      <c r="U219" s="4">
        <v>23</v>
      </c>
      <c r="V219" s="6">
        <f>IF(ISERROR(VLOOKUP($S$219,'TAR FIN'!$A$1:$O$92,15,0)),0,VLOOKUP($S$219,'TAR FIN'!$A$1:$O$92,15,0))</f>
        <v>0</v>
      </c>
      <c r="W219" s="6">
        <f>IF(ISERROR(VLOOKUP($T$219,'TAR FIN'!$A$1:$O$92,15,0)),0,VLOOKUP($T$219,'TAR FIN'!$A$1:$O$92,15,0))</f>
        <v>301.99</v>
      </c>
      <c r="X219" s="6">
        <f>IF(ISERROR(VLOOKUP($U$219,'TAR FIN'!$A$1:$O$92,15,0)),0,VLOOKUP($U$219,'TAR FIN'!$A$1:$O$92,15,0))</f>
        <v>267.11</v>
      </c>
      <c r="Y219" s="6"/>
      <c r="Z219" s="6">
        <f ca="1">('TUSD BE'!$AM$37+'TUSD BF'!$AM$37+'TUSD CVA'!$AM$37)*(1-CUSTOS!$M$38)</f>
        <v>443.47423500349447</v>
      </c>
      <c r="AA219" s="6">
        <f>('TE BE'!$AB$25+'TE BF'!$AB$25+'TE CVA'!$AB$25)*(1-CUSTOS!$M$38)</f>
        <v>269.93409109504938</v>
      </c>
      <c r="AB219" s="6">
        <f t="shared" si="17"/>
        <v>0</v>
      </c>
      <c r="AC219" s="6">
        <f>(L219-M219)*(W219+X219)+($W$110+$X$110-$W$219-$X$219)*(L219)</f>
        <v>937.83924000000013</v>
      </c>
      <c r="AD219" s="6">
        <f t="shared" si="18"/>
        <v>0</v>
      </c>
      <c r="AE219" s="6">
        <f ca="1">(L219-M219)*(Z219+AA219)+($Z$110+$AA$110-$Z$219-$AA$219)*(L219)</f>
        <v>550.26550293030778</v>
      </c>
      <c r="AF219" s="4" t="s">
        <v>689</v>
      </c>
    </row>
    <row r="220" spans="1:32" ht="11.25" customHeight="1" x14ac:dyDescent="0.3">
      <c r="A220" s="4" t="s">
        <v>21</v>
      </c>
      <c r="B220" s="4" t="s">
        <v>41</v>
      </c>
      <c r="C220" s="4" t="s">
        <v>23</v>
      </c>
      <c r="D220" s="4" t="s">
        <v>42</v>
      </c>
      <c r="E220" s="4" t="s">
        <v>25</v>
      </c>
      <c r="F220" s="4" t="s">
        <v>25</v>
      </c>
      <c r="G220" s="4" t="s">
        <v>25</v>
      </c>
      <c r="H220" s="4" t="s">
        <v>25</v>
      </c>
      <c r="I220" s="5">
        <v>44743</v>
      </c>
      <c r="J220" s="6">
        <v>0</v>
      </c>
      <c r="K220" s="6">
        <v>0</v>
      </c>
      <c r="L220" s="6">
        <v>207.00899999999999</v>
      </c>
      <c r="M220" s="6">
        <v>207.00899999999999</v>
      </c>
      <c r="N220" s="6">
        <v>207.00899999999999</v>
      </c>
      <c r="O220" s="6">
        <v>207.00899999999999</v>
      </c>
      <c r="P220" s="6">
        <v>791</v>
      </c>
      <c r="Q220" s="4" t="s">
        <v>26</v>
      </c>
      <c r="R220" s="4">
        <v>0</v>
      </c>
      <c r="S220" s="4">
        <v>0</v>
      </c>
      <c r="T220" s="4">
        <v>62</v>
      </c>
      <c r="U220" s="4">
        <v>23</v>
      </c>
      <c r="V220" s="6">
        <f>IF(ISERROR(VLOOKUP($S$220,'TAR FIN'!$A$1:$O$92,15,0)),0,VLOOKUP($S$220,'TAR FIN'!$A$1:$O$92,15,0))</f>
        <v>0</v>
      </c>
      <c r="W220" s="6">
        <f>IF(ISERROR(VLOOKUP($T$220,'TAR FIN'!$A$1:$O$92,15,0)),0,VLOOKUP($T$220,'TAR FIN'!$A$1:$O$92,15,0))</f>
        <v>301.99</v>
      </c>
      <c r="X220" s="6">
        <f>IF(ISERROR(VLOOKUP($U$220,'TAR FIN'!$A$1:$O$92,15,0)),0,VLOOKUP($U$220,'TAR FIN'!$A$1:$O$92,15,0))</f>
        <v>267.11</v>
      </c>
      <c r="Y220" s="6"/>
      <c r="Z220" s="6">
        <f ca="1">('TUSD BE'!$AM$37+'TUSD BF'!$AM$37+'TUSD CVA'!$AM$37)*(1-CUSTOS!$M$38)</f>
        <v>443.47423500349447</v>
      </c>
      <c r="AA220" s="6">
        <f>('TE BE'!$AB$25+'TE BF'!$AB$25+'TE CVA'!$AB$25)*(1-CUSTOS!$M$38)</f>
        <v>269.93409109504938</v>
      </c>
      <c r="AB220" s="6">
        <f t="shared" si="17"/>
        <v>0</v>
      </c>
      <c r="AC220" s="6">
        <f>(L220-M220)*(W220+X220)+($W$110+$X$110-$W$220-$X$220)*(L220)</f>
        <v>16065.968490000001</v>
      </c>
      <c r="AD220" s="6">
        <f t="shared" si="18"/>
        <v>0</v>
      </c>
      <c r="AE220" s="6">
        <f ca="1">(L220-M220)*(Z220+AA220)+($Z$110+$AA$110-$Z$220-$AA$220)*(L220)</f>
        <v>9426.5070751489638</v>
      </c>
      <c r="AF220" s="4" t="s">
        <v>689</v>
      </c>
    </row>
    <row r="221" spans="1:32" ht="11.25" customHeight="1" x14ac:dyDescent="0.3">
      <c r="A221" s="4" t="s">
        <v>27</v>
      </c>
      <c r="B221" s="4" t="s">
        <v>41</v>
      </c>
      <c r="C221" s="4" t="s">
        <v>23</v>
      </c>
      <c r="D221" s="4" t="s">
        <v>42</v>
      </c>
      <c r="E221" s="4" t="s">
        <v>25</v>
      </c>
      <c r="F221" s="4" t="s">
        <v>25</v>
      </c>
      <c r="G221" s="4" t="s">
        <v>25</v>
      </c>
      <c r="H221" s="4" t="s">
        <v>25</v>
      </c>
      <c r="I221" s="5">
        <v>44743</v>
      </c>
      <c r="J221" s="6">
        <v>0</v>
      </c>
      <c r="K221" s="6">
        <v>0</v>
      </c>
      <c r="L221" s="6">
        <v>12.455</v>
      </c>
      <c r="M221" s="6">
        <v>12.455</v>
      </c>
      <c r="N221" s="6">
        <v>12.455</v>
      </c>
      <c r="O221" s="6">
        <v>12.455</v>
      </c>
      <c r="P221" s="6">
        <v>41</v>
      </c>
      <c r="Q221" s="4" t="s">
        <v>26</v>
      </c>
      <c r="R221" s="4">
        <v>0</v>
      </c>
      <c r="S221" s="4">
        <v>0</v>
      </c>
      <c r="T221" s="4">
        <v>62</v>
      </c>
      <c r="U221" s="4">
        <v>23</v>
      </c>
      <c r="V221" s="6">
        <f>IF(ISERROR(VLOOKUP($S$221,'TAR FIN'!$A$1:$O$92,15,0)),0,VLOOKUP($S$221,'TAR FIN'!$A$1:$O$92,15,0))</f>
        <v>0</v>
      </c>
      <c r="W221" s="6">
        <f>IF(ISERROR(VLOOKUP($T$221,'TAR FIN'!$A$1:$O$92,15,0)),0,VLOOKUP($T$221,'TAR FIN'!$A$1:$O$92,15,0))</f>
        <v>301.99</v>
      </c>
      <c r="X221" s="6">
        <f>IF(ISERROR(VLOOKUP($U$221,'TAR FIN'!$A$1:$O$92,15,0)),0,VLOOKUP($U$221,'TAR FIN'!$A$1:$O$92,15,0))</f>
        <v>267.11</v>
      </c>
      <c r="Y221" s="6"/>
      <c r="Z221" s="6">
        <f ca="1">('TUSD BE'!$AM$37+'TUSD BF'!$AM$37+'TUSD CVA'!$AM$37)*(1-CUSTOS!$M$38)</f>
        <v>443.47423500349447</v>
      </c>
      <c r="AA221" s="6">
        <f>('TE BE'!$AB$25+'TE BF'!$AB$25+'TE CVA'!$AB$25)*(1-CUSTOS!$M$38)</f>
        <v>269.93409109504938</v>
      </c>
      <c r="AB221" s="6">
        <f t="shared" si="17"/>
        <v>0</v>
      </c>
      <c r="AC221" s="6">
        <f>(L221-M221)*(W221+X221)+($W$110+$X$110-$W$221-$X$221)*(L221)</f>
        <v>966.63255000000015</v>
      </c>
      <c r="AD221" s="6">
        <f t="shared" si="18"/>
        <v>0</v>
      </c>
      <c r="AE221" s="6">
        <f ca="1">(L221-M221)*(Z221+AA221)+($Z$110+$AA$110-$Z$221-$AA$221)*(L221)</f>
        <v>567.15961924834357</v>
      </c>
      <c r="AF221" s="4" t="s">
        <v>689</v>
      </c>
    </row>
    <row r="222" spans="1:32" ht="11.25" customHeight="1" x14ac:dyDescent="0.3">
      <c r="A222" s="4" t="s">
        <v>21</v>
      </c>
      <c r="B222" s="4" t="s">
        <v>32</v>
      </c>
      <c r="C222" s="4" t="s">
        <v>23</v>
      </c>
      <c r="D222" s="4" t="s">
        <v>47</v>
      </c>
      <c r="E222" s="4" t="s">
        <v>48</v>
      </c>
      <c r="F222" s="4" t="s">
        <v>25</v>
      </c>
      <c r="G222" s="4" t="s">
        <v>25</v>
      </c>
      <c r="H222" s="4" t="s">
        <v>25</v>
      </c>
      <c r="I222" s="5">
        <v>44409</v>
      </c>
      <c r="J222" s="6">
        <v>0</v>
      </c>
      <c r="K222" s="58">
        <v>0</v>
      </c>
      <c r="L222" s="6">
        <v>35.756999999999998</v>
      </c>
      <c r="M222" s="58">
        <v>35.756999999999998</v>
      </c>
      <c r="N222" s="6">
        <v>35.756999999999998</v>
      </c>
      <c r="O222" s="58">
        <v>35.756999999999998</v>
      </c>
      <c r="P222" s="6">
        <v>32</v>
      </c>
      <c r="Q222" s="4" t="s">
        <v>26</v>
      </c>
      <c r="R222" s="4">
        <v>0</v>
      </c>
      <c r="S222" s="4">
        <v>0</v>
      </c>
      <c r="T222" s="4">
        <v>77</v>
      </c>
      <c r="U222" s="4">
        <v>52</v>
      </c>
      <c r="V222" s="58">
        <f>IF(ISERROR(VLOOKUP($S$222,'TAR FIN'!$A$1:$O$92,15,0)),0,VLOOKUP($S$222,'TAR FIN'!$A$1:$O$92,15,0))</f>
        <v>0</v>
      </c>
      <c r="W222" s="58">
        <f>IF(ISERROR(VLOOKUP($T$222,'TAR FIN'!$A$1:$O$92,15,0)),0,VLOOKUP($T$222,'TAR FIN'!$A$1:$O$92,15,0))*(1-0.06)</f>
        <v>322.57979999999998</v>
      </c>
      <c r="X222" s="58">
        <f>IF(ISERROR(VLOOKUP($U$222,'TAR FIN'!$A$1:$O$92,15,0)),0,VLOOKUP($U$222,'TAR FIN'!$A$1:$O$92,15,0))*(1-0.06)</f>
        <v>285.32760000000002</v>
      </c>
      <c r="Y222" s="58"/>
      <c r="Z222" s="58">
        <f ca="1">('TUSD BE'!$AM$52+'TUSD BF'!$AM$52+'TUSD CVA'!$AM$52)*1*(1-0.03)</f>
        <v>457.62766803552091</v>
      </c>
      <c r="AA222" s="58">
        <f>('TE BE'!$AB$40+'TE BF'!$AB$40+'TE CVA'!$AB$40)*1*(1-0.03)</f>
        <v>278.54900889595518</v>
      </c>
      <c r="AB222" s="58">
        <f>(SUBSIDIO!$J$222*SUBSIDIO!$V$222)*(0.06)/(1-0.06)</f>
        <v>0</v>
      </c>
      <c r="AC222" s="58">
        <f>((SUBSIDIO!$L$222*SUBSIDIO!$W$222)+(SUBSIDIO!$N$222*SUBSIDIO!$X$222))*(0.06)/(1-0.06)</f>
        <v>1387.4645681999998</v>
      </c>
      <c r="AD222" s="58">
        <f>(SUBSIDIO!$J$222*SUBSIDIO!$Y$222)*(0.03)/(1-0.03)</f>
        <v>0</v>
      </c>
      <c r="AE222" s="58">
        <f ca="1">((SUBSIDIO!$L$222*SUBSIDIO!$Z$222)+(SUBSIDIO!$N$222*SUBSIDIO!$AA$222))*(0.03)/(1-0.03)</f>
        <v>814.12792073315836</v>
      </c>
      <c r="AF222" s="4" t="s">
        <v>691</v>
      </c>
    </row>
    <row r="223" spans="1:32" ht="11.25" customHeight="1" x14ac:dyDescent="0.3">
      <c r="A223" s="4" t="s">
        <v>21</v>
      </c>
      <c r="B223" s="4" t="s">
        <v>32</v>
      </c>
      <c r="C223" s="4" t="s">
        <v>23</v>
      </c>
      <c r="D223" s="4" t="s">
        <v>47</v>
      </c>
      <c r="E223" s="4" t="s">
        <v>48</v>
      </c>
      <c r="F223" s="4" t="s">
        <v>25</v>
      </c>
      <c r="G223" s="4" t="s">
        <v>25</v>
      </c>
      <c r="H223" s="4" t="s">
        <v>25</v>
      </c>
      <c r="I223" s="5">
        <v>44440</v>
      </c>
      <c r="J223" s="6">
        <v>0</v>
      </c>
      <c r="K223" s="58">
        <v>0</v>
      </c>
      <c r="L223" s="6">
        <v>42.151000000000003</v>
      </c>
      <c r="M223" s="58">
        <v>42.151000000000003</v>
      </c>
      <c r="N223" s="6">
        <v>42.151000000000003</v>
      </c>
      <c r="O223" s="58">
        <v>42.151000000000003</v>
      </c>
      <c r="P223" s="6">
        <v>32</v>
      </c>
      <c r="Q223" s="4" t="s">
        <v>26</v>
      </c>
      <c r="R223" s="4">
        <v>0</v>
      </c>
      <c r="S223" s="4">
        <v>0</v>
      </c>
      <c r="T223" s="4">
        <v>77</v>
      </c>
      <c r="U223" s="4">
        <v>52</v>
      </c>
      <c r="V223" s="58">
        <f>IF(ISERROR(VLOOKUP($S$223,'TAR FIN'!$A$1:$O$92,15,0)),0,VLOOKUP($S$223,'TAR FIN'!$A$1:$O$92,15,0))</f>
        <v>0</v>
      </c>
      <c r="W223" s="58">
        <f>IF(ISERROR(VLOOKUP($T$223,'TAR FIN'!$A$1:$O$92,15,0)),0,VLOOKUP($T$223,'TAR FIN'!$A$1:$O$92,15,0))*(1-0.06)</f>
        <v>322.57979999999998</v>
      </c>
      <c r="X223" s="58">
        <f>IF(ISERROR(VLOOKUP($U$223,'TAR FIN'!$A$1:$O$92,15,0)),0,VLOOKUP($U$223,'TAR FIN'!$A$1:$O$92,15,0))*(1-0.06)</f>
        <v>285.32760000000002</v>
      </c>
      <c r="Y223" s="58"/>
      <c r="Z223" s="58">
        <f ca="1">('TUSD BE'!$AM$52+'TUSD BF'!$AM$52+'TUSD CVA'!$AM$52)*1*(1-0.03)</f>
        <v>457.62766803552091</v>
      </c>
      <c r="AA223" s="58">
        <f>('TE BE'!$AB$40+'TE BF'!$AB$40+'TE CVA'!$AB$40)*1*(1-0.03)</f>
        <v>278.54900889595518</v>
      </c>
      <c r="AB223" s="58">
        <f>(SUBSIDIO!$J$223*SUBSIDIO!$V$223)*(0.06)/(1-0.06)</f>
        <v>0</v>
      </c>
      <c r="AC223" s="58">
        <f>((SUBSIDIO!$L$223*SUBSIDIO!$W$223)+(SUBSIDIO!$N$223*SUBSIDIO!$X$223))*(0.06)/(1-0.06)</f>
        <v>1635.5683926000002</v>
      </c>
      <c r="AD223" s="58">
        <f>(SUBSIDIO!$J$223*SUBSIDIO!$Y$223)*(0.03)/(1-0.03)</f>
        <v>0</v>
      </c>
      <c r="AE223" s="58">
        <f ca="1">((SUBSIDIO!$L$223*SUBSIDIO!$Z$223)+(SUBSIDIO!$N$223*SUBSIDIO!$AA$223))*(0.03)/(1-0.03)</f>
        <v>959.70875595892733</v>
      </c>
      <c r="AF223" s="4" t="s">
        <v>691</v>
      </c>
    </row>
    <row r="224" spans="1:32" ht="11.25" customHeight="1" x14ac:dyDescent="0.3">
      <c r="A224" s="4" t="s">
        <v>21</v>
      </c>
      <c r="B224" s="4" t="s">
        <v>32</v>
      </c>
      <c r="C224" s="4" t="s">
        <v>23</v>
      </c>
      <c r="D224" s="4" t="s">
        <v>47</v>
      </c>
      <c r="E224" s="4" t="s">
        <v>48</v>
      </c>
      <c r="F224" s="4" t="s">
        <v>25</v>
      </c>
      <c r="G224" s="4" t="s">
        <v>25</v>
      </c>
      <c r="H224" s="4" t="s">
        <v>25</v>
      </c>
      <c r="I224" s="5">
        <v>44470</v>
      </c>
      <c r="J224" s="6">
        <v>0</v>
      </c>
      <c r="K224" s="58">
        <v>0</v>
      </c>
      <c r="L224" s="6">
        <v>39.543999999999997</v>
      </c>
      <c r="M224" s="58">
        <v>39.543999999999997</v>
      </c>
      <c r="N224" s="6">
        <v>39.543999999999997</v>
      </c>
      <c r="O224" s="58">
        <v>39.543999999999997</v>
      </c>
      <c r="P224" s="6">
        <v>32</v>
      </c>
      <c r="Q224" s="4" t="s">
        <v>26</v>
      </c>
      <c r="R224" s="4">
        <v>0</v>
      </c>
      <c r="S224" s="4">
        <v>0</v>
      </c>
      <c r="T224" s="4">
        <v>77</v>
      </c>
      <c r="U224" s="4">
        <v>52</v>
      </c>
      <c r="V224" s="58">
        <f>IF(ISERROR(VLOOKUP($S$224,'TAR FIN'!$A$1:$O$92,15,0)),0,VLOOKUP($S$224,'TAR FIN'!$A$1:$O$92,15,0))</f>
        <v>0</v>
      </c>
      <c r="W224" s="58">
        <f>IF(ISERROR(VLOOKUP($T$224,'TAR FIN'!$A$1:$O$92,15,0)),0,VLOOKUP($T$224,'TAR FIN'!$A$1:$O$92,15,0))*(1-0.06)</f>
        <v>322.57979999999998</v>
      </c>
      <c r="X224" s="58">
        <f>IF(ISERROR(VLOOKUP($U$224,'TAR FIN'!$A$1:$O$92,15,0)),0,VLOOKUP($U$224,'TAR FIN'!$A$1:$O$92,15,0))*(1-0.06)</f>
        <v>285.32760000000002</v>
      </c>
      <c r="Y224" s="58"/>
      <c r="Z224" s="58">
        <f ca="1">('TUSD BE'!$AM$52+'TUSD BF'!$AM$52+'TUSD CVA'!$AM$52)*1*(1-0.03)</f>
        <v>457.62766803552091</v>
      </c>
      <c r="AA224" s="58">
        <f>('TE BE'!$AB$40+'TE BF'!$AB$40+'TE CVA'!$AB$40)*1*(1-0.03)</f>
        <v>278.54900889595518</v>
      </c>
      <c r="AB224" s="58">
        <f>(SUBSIDIO!$J$224*SUBSIDIO!$V$224)*(0.06)/(1-0.06)</f>
        <v>0</v>
      </c>
      <c r="AC224" s="58">
        <f>((SUBSIDIO!$L$224*SUBSIDIO!$W$224)+(SUBSIDIO!$N$224*SUBSIDIO!$X$224))*(0.06)/(1-0.06)</f>
        <v>1534.4100143999999</v>
      </c>
      <c r="AD224" s="58">
        <f>(SUBSIDIO!$J$224*SUBSIDIO!$Y$224)*(0.03)/(1-0.03)</f>
        <v>0</v>
      </c>
      <c r="AE224" s="58">
        <f ca="1">((SUBSIDIO!$L$224*SUBSIDIO!$Z$224)+(SUBSIDIO!$N$224*SUBSIDIO!$AA$224))*(0.03)/(1-0.03)</f>
        <v>900.35166533747281</v>
      </c>
      <c r="AF224" s="4" t="s">
        <v>691</v>
      </c>
    </row>
    <row r="225" spans="1:32" ht="11.25" customHeight="1" x14ac:dyDescent="0.3">
      <c r="A225" s="4" t="s">
        <v>21</v>
      </c>
      <c r="B225" s="4" t="s">
        <v>32</v>
      </c>
      <c r="C225" s="4" t="s">
        <v>23</v>
      </c>
      <c r="D225" s="4" t="s">
        <v>47</v>
      </c>
      <c r="E225" s="4" t="s">
        <v>48</v>
      </c>
      <c r="F225" s="4" t="s">
        <v>25</v>
      </c>
      <c r="G225" s="4" t="s">
        <v>25</v>
      </c>
      <c r="H225" s="4" t="s">
        <v>25</v>
      </c>
      <c r="I225" s="5">
        <v>44501</v>
      </c>
      <c r="J225" s="6">
        <v>0</v>
      </c>
      <c r="K225" s="58">
        <v>0</v>
      </c>
      <c r="L225" s="6">
        <v>37.927</v>
      </c>
      <c r="M225" s="58">
        <v>37.927</v>
      </c>
      <c r="N225" s="6">
        <v>37.927</v>
      </c>
      <c r="O225" s="58">
        <v>37.927</v>
      </c>
      <c r="P225" s="6">
        <v>32</v>
      </c>
      <c r="Q225" s="4" t="s">
        <v>26</v>
      </c>
      <c r="R225" s="4">
        <v>0</v>
      </c>
      <c r="S225" s="4">
        <v>0</v>
      </c>
      <c r="T225" s="4">
        <v>77</v>
      </c>
      <c r="U225" s="4">
        <v>52</v>
      </c>
      <c r="V225" s="58">
        <f>IF(ISERROR(VLOOKUP($S$225,'TAR FIN'!$A$1:$O$92,15,0)),0,VLOOKUP($S$225,'TAR FIN'!$A$1:$O$92,15,0))</f>
        <v>0</v>
      </c>
      <c r="W225" s="58">
        <f>IF(ISERROR(VLOOKUP($T$225,'TAR FIN'!$A$1:$O$92,15,0)),0,VLOOKUP($T$225,'TAR FIN'!$A$1:$O$92,15,0))*(1-0.06)</f>
        <v>322.57979999999998</v>
      </c>
      <c r="X225" s="58">
        <f>IF(ISERROR(VLOOKUP($U$225,'TAR FIN'!$A$1:$O$92,15,0)),0,VLOOKUP($U$225,'TAR FIN'!$A$1:$O$92,15,0))*(1-0.06)</f>
        <v>285.32760000000002</v>
      </c>
      <c r="Y225" s="58"/>
      <c r="Z225" s="58">
        <f ca="1">('TUSD BE'!$AM$52+'TUSD BF'!$AM$52+'TUSD CVA'!$AM$52)*1*(1-0.03)</f>
        <v>457.62766803552091</v>
      </c>
      <c r="AA225" s="58">
        <f>('TE BE'!$AB$40+'TE BF'!$AB$40+'TE CVA'!$AB$40)*1*(1-0.03)</f>
        <v>278.54900889595518</v>
      </c>
      <c r="AB225" s="58">
        <f>(SUBSIDIO!$J$225*SUBSIDIO!$V$225)*(0.06)/(1-0.06)</f>
        <v>0</v>
      </c>
      <c r="AC225" s="58">
        <f>((SUBSIDIO!$L$225*SUBSIDIO!$W$225)+(SUBSIDIO!$N$225*SUBSIDIO!$X$225))*(0.06)/(1-0.06)</f>
        <v>1471.6662102</v>
      </c>
      <c r="AD225" s="58">
        <f>(SUBSIDIO!$J$225*SUBSIDIO!$Y$225)*(0.03)/(1-0.03)</f>
        <v>0</v>
      </c>
      <c r="AE225" s="58">
        <f ca="1">((SUBSIDIO!$L$225*SUBSIDIO!$Z$225)+(SUBSIDIO!$N$225*SUBSIDIO!$AA$225))*(0.03)/(1-0.03)</f>
        <v>863.53524204062137</v>
      </c>
      <c r="AF225" s="4" t="s">
        <v>691</v>
      </c>
    </row>
    <row r="226" spans="1:32" ht="11.25" customHeight="1" x14ac:dyDescent="0.3">
      <c r="A226" s="4" t="s">
        <v>21</v>
      </c>
      <c r="B226" s="4" t="s">
        <v>32</v>
      </c>
      <c r="C226" s="4" t="s">
        <v>23</v>
      </c>
      <c r="D226" s="4" t="s">
        <v>47</v>
      </c>
      <c r="E226" s="4" t="s">
        <v>48</v>
      </c>
      <c r="F226" s="4" t="s">
        <v>25</v>
      </c>
      <c r="G226" s="4" t="s">
        <v>25</v>
      </c>
      <c r="H226" s="4" t="s">
        <v>25</v>
      </c>
      <c r="I226" s="5">
        <v>44531</v>
      </c>
      <c r="J226" s="6">
        <v>0</v>
      </c>
      <c r="K226" s="58">
        <v>0</v>
      </c>
      <c r="L226" s="6">
        <v>42.985999999999997</v>
      </c>
      <c r="M226" s="58">
        <v>42.985999999999997</v>
      </c>
      <c r="N226" s="6">
        <v>42.985999999999997</v>
      </c>
      <c r="O226" s="58">
        <v>42.985999999999997</v>
      </c>
      <c r="P226" s="6">
        <v>32</v>
      </c>
      <c r="Q226" s="4" t="s">
        <v>26</v>
      </c>
      <c r="R226" s="4">
        <v>0</v>
      </c>
      <c r="S226" s="4">
        <v>0</v>
      </c>
      <c r="T226" s="4">
        <v>77</v>
      </c>
      <c r="U226" s="4">
        <v>52</v>
      </c>
      <c r="V226" s="58">
        <f>IF(ISERROR(VLOOKUP($S$226,'TAR FIN'!$A$1:$O$92,15,0)),0,VLOOKUP($S$226,'TAR FIN'!$A$1:$O$92,15,0))</f>
        <v>0</v>
      </c>
      <c r="W226" s="58">
        <f>IF(ISERROR(VLOOKUP($T$226,'TAR FIN'!$A$1:$O$92,15,0)),0,VLOOKUP($T$226,'TAR FIN'!$A$1:$O$92,15,0))*(1-0.06)</f>
        <v>322.57979999999998</v>
      </c>
      <c r="X226" s="58">
        <f>IF(ISERROR(VLOOKUP($U$226,'TAR FIN'!$A$1:$O$92,15,0)),0,VLOOKUP($U$226,'TAR FIN'!$A$1:$O$92,15,0))*(1-0.06)</f>
        <v>285.32760000000002</v>
      </c>
      <c r="Y226" s="58"/>
      <c r="Z226" s="58">
        <f ca="1">('TUSD BE'!$AM$52+'TUSD BF'!$AM$52+'TUSD CVA'!$AM$52)*1*(1-0.03)</f>
        <v>457.62766803552091</v>
      </c>
      <c r="AA226" s="58">
        <f>('TE BE'!$AB$40+'TE BF'!$AB$40+'TE CVA'!$AB$40)*1*(1-0.03)</f>
        <v>278.54900889595518</v>
      </c>
      <c r="AB226" s="58">
        <f>(SUBSIDIO!$J$226*SUBSIDIO!$V$226)*(0.06)/(1-0.06)</f>
        <v>0</v>
      </c>
      <c r="AC226" s="58">
        <f>((SUBSIDIO!$L$226*SUBSIDIO!$W$226)+(SUBSIDIO!$N$226*SUBSIDIO!$X$226))*(0.06)/(1-0.06)</f>
        <v>1667.9685636000002</v>
      </c>
      <c r="AD226" s="58">
        <f>(SUBSIDIO!$J$226*SUBSIDIO!$Y$226)*(0.03)/(1-0.03)</f>
        <v>0</v>
      </c>
      <c r="AE226" s="58">
        <f ca="1">((SUBSIDIO!$L$226*SUBSIDIO!$Z$226)+(SUBSIDIO!$N$226*SUBSIDIO!$AA$226))*(0.03)/(1-0.03)</f>
        <v>978.72032890442551</v>
      </c>
      <c r="AF226" s="4" t="s">
        <v>691</v>
      </c>
    </row>
    <row r="227" spans="1:32" ht="11.25" customHeight="1" x14ac:dyDescent="0.3">
      <c r="A227" s="4" t="s">
        <v>21</v>
      </c>
      <c r="B227" s="4" t="s">
        <v>32</v>
      </c>
      <c r="C227" s="4" t="s">
        <v>23</v>
      </c>
      <c r="D227" s="4" t="s">
        <v>47</v>
      </c>
      <c r="E227" s="4" t="s">
        <v>48</v>
      </c>
      <c r="F227" s="4" t="s">
        <v>25</v>
      </c>
      <c r="G227" s="4" t="s">
        <v>25</v>
      </c>
      <c r="H227" s="4" t="s">
        <v>25</v>
      </c>
      <c r="I227" s="5">
        <v>44562</v>
      </c>
      <c r="J227" s="6">
        <v>0</v>
      </c>
      <c r="K227" s="58">
        <v>0</v>
      </c>
      <c r="L227" s="6">
        <v>47.173999999999999</v>
      </c>
      <c r="M227" s="58">
        <v>47.173999999999999</v>
      </c>
      <c r="N227" s="6">
        <v>47.173999999999999</v>
      </c>
      <c r="O227" s="58">
        <v>47.173999999999999</v>
      </c>
      <c r="P227" s="6">
        <v>32</v>
      </c>
      <c r="Q227" s="4" t="s">
        <v>26</v>
      </c>
      <c r="R227" s="4">
        <v>0</v>
      </c>
      <c r="S227" s="4">
        <v>0</v>
      </c>
      <c r="T227" s="4">
        <v>77</v>
      </c>
      <c r="U227" s="4">
        <v>52</v>
      </c>
      <c r="V227" s="58">
        <f>IF(ISERROR(VLOOKUP($S$227,'TAR FIN'!$A$1:$O$92,15,0)),0,VLOOKUP($S$227,'TAR FIN'!$A$1:$O$92,15,0))</f>
        <v>0</v>
      </c>
      <c r="W227" s="58">
        <f>IF(ISERROR(VLOOKUP($T$227,'TAR FIN'!$A$1:$O$92,15,0)),0,VLOOKUP($T$227,'TAR FIN'!$A$1:$O$92,15,0))*(1-0.06)</f>
        <v>322.57979999999998</v>
      </c>
      <c r="X227" s="58">
        <f>IF(ISERROR(VLOOKUP($U$227,'TAR FIN'!$A$1:$O$92,15,0)),0,VLOOKUP($U$227,'TAR FIN'!$A$1:$O$92,15,0))*(1-0.06)</f>
        <v>285.32760000000002</v>
      </c>
      <c r="Y227" s="58"/>
      <c r="Z227" s="58">
        <f ca="1">('TUSD BE'!$AM$52+'TUSD BF'!$AM$52+'TUSD CVA'!$AM$52)*1*(1-0.03)</f>
        <v>457.62766803552091</v>
      </c>
      <c r="AA227" s="58">
        <f>('TE BE'!$AB$40+'TE BF'!$AB$40+'TE CVA'!$AB$40)*1*(1-0.03)</f>
        <v>278.54900889595518</v>
      </c>
      <c r="AB227" s="58">
        <f>(SUBSIDIO!$J$227*SUBSIDIO!$V$227)*(0.06)/(1-0.06)</f>
        <v>0</v>
      </c>
      <c r="AC227" s="58">
        <f>((SUBSIDIO!$L$227*SUBSIDIO!$W$227)+(SUBSIDIO!$N$227*SUBSIDIO!$X$227))*(0.06)/(1-0.06)</f>
        <v>1830.4738524000002</v>
      </c>
      <c r="AD227" s="58">
        <f>(SUBSIDIO!$J$227*SUBSIDIO!$Y$227)*(0.03)/(1-0.03)</f>
        <v>0</v>
      </c>
      <c r="AE227" s="58">
        <f ca="1">((SUBSIDIO!$L$227*SUBSIDIO!$Z$227)+(SUBSIDIO!$N$227*SUBSIDIO!$AA$227))*(0.03)/(1-0.03)</f>
        <v>1074.0741821927459</v>
      </c>
      <c r="AF227" s="4" t="s">
        <v>691</v>
      </c>
    </row>
    <row r="228" spans="1:32" ht="11.25" customHeight="1" x14ac:dyDescent="0.3">
      <c r="A228" s="4" t="s">
        <v>21</v>
      </c>
      <c r="B228" s="4" t="s">
        <v>32</v>
      </c>
      <c r="C228" s="4" t="s">
        <v>23</v>
      </c>
      <c r="D228" s="4" t="s">
        <v>47</v>
      </c>
      <c r="E228" s="4" t="s">
        <v>48</v>
      </c>
      <c r="F228" s="4" t="s">
        <v>25</v>
      </c>
      <c r="G228" s="4" t="s">
        <v>25</v>
      </c>
      <c r="H228" s="4" t="s">
        <v>25</v>
      </c>
      <c r="I228" s="5">
        <v>44593</v>
      </c>
      <c r="J228" s="6">
        <v>0</v>
      </c>
      <c r="K228" s="58">
        <v>0</v>
      </c>
      <c r="L228" s="6">
        <v>51.765999999999998</v>
      </c>
      <c r="M228" s="58">
        <v>51.765999999999998</v>
      </c>
      <c r="N228" s="6">
        <v>51.765999999999998</v>
      </c>
      <c r="O228" s="58">
        <v>51.765999999999998</v>
      </c>
      <c r="P228" s="6">
        <v>32</v>
      </c>
      <c r="Q228" s="4" t="s">
        <v>26</v>
      </c>
      <c r="R228" s="4">
        <v>0</v>
      </c>
      <c r="S228" s="4">
        <v>0</v>
      </c>
      <c r="T228" s="4">
        <v>77</v>
      </c>
      <c r="U228" s="4">
        <v>52</v>
      </c>
      <c r="V228" s="58">
        <f>IF(ISERROR(VLOOKUP($S$228,'TAR FIN'!$A$1:$O$92,15,0)),0,VLOOKUP($S$228,'TAR FIN'!$A$1:$O$92,15,0))</f>
        <v>0</v>
      </c>
      <c r="W228" s="58">
        <f>IF(ISERROR(VLOOKUP($T$228,'TAR FIN'!$A$1:$O$92,15,0)),0,VLOOKUP($T$228,'TAR FIN'!$A$1:$O$92,15,0))*(1-0.06)</f>
        <v>322.57979999999998</v>
      </c>
      <c r="X228" s="58">
        <f>IF(ISERROR(VLOOKUP($U$228,'TAR FIN'!$A$1:$O$92,15,0)),0,VLOOKUP($U$228,'TAR FIN'!$A$1:$O$92,15,0))*(1-0.06)</f>
        <v>285.32760000000002</v>
      </c>
      <c r="Y228" s="58"/>
      <c r="Z228" s="58">
        <f ca="1">('TUSD BE'!$AM$52+'TUSD BF'!$AM$52+'TUSD CVA'!$AM$52)*1*(1-0.03)</f>
        <v>457.62766803552091</v>
      </c>
      <c r="AA228" s="58">
        <f>('TE BE'!$AB$40+'TE BF'!$AB$40+'TE CVA'!$AB$40)*1*(1-0.03)</f>
        <v>278.54900889595518</v>
      </c>
      <c r="AB228" s="58">
        <f>(SUBSIDIO!$J$228*SUBSIDIO!$V$228)*(0.06)/(1-0.06)</f>
        <v>0</v>
      </c>
      <c r="AC228" s="58">
        <f>((SUBSIDIO!$L$228*SUBSIDIO!$W$228)+(SUBSIDIO!$N$228*SUBSIDIO!$X$228))*(0.06)/(1-0.06)</f>
        <v>2008.6553915999998</v>
      </c>
      <c r="AD228" s="58">
        <f>(SUBSIDIO!$J$228*SUBSIDIO!$Y$228)*(0.03)/(1-0.03)</f>
        <v>0</v>
      </c>
      <c r="AE228" s="58">
        <f ca="1">((SUBSIDIO!$L$228*SUBSIDIO!$Z$228)+(SUBSIDIO!$N$228*SUBSIDIO!$AA$228))*(0.03)/(1-0.03)</f>
        <v>1178.6264492175708</v>
      </c>
      <c r="AF228" s="4" t="s">
        <v>691</v>
      </c>
    </row>
    <row r="229" spans="1:32" ht="11.25" customHeight="1" x14ac:dyDescent="0.3">
      <c r="A229" s="4" t="s">
        <v>21</v>
      </c>
      <c r="B229" s="4" t="s">
        <v>32</v>
      </c>
      <c r="C229" s="4" t="s">
        <v>23</v>
      </c>
      <c r="D229" s="4" t="s">
        <v>47</v>
      </c>
      <c r="E229" s="4" t="s">
        <v>48</v>
      </c>
      <c r="F229" s="4" t="s">
        <v>25</v>
      </c>
      <c r="G229" s="4" t="s">
        <v>25</v>
      </c>
      <c r="H229" s="4" t="s">
        <v>25</v>
      </c>
      <c r="I229" s="5">
        <v>44621</v>
      </c>
      <c r="J229" s="6">
        <v>0</v>
      </c>
      <c r="K229" s="58">
        <v>0</v>
      </c>
      <c r="L229" s="6">
        <v>43.442</v>
      </c>
      <c r="M229" s="58">
        <v>43.442</v>
      </c>
      <c r="N229" s="6">
        <v>43.442</v>
      </c>
      <c r="O229" s="58">
        <v>43.442</v>
      </c>
      <c r="P229" s="6">
        <v>32</v>
      </c>
      <c r="Q229" s="4" t="s">
        <v>26</v>
      </c>
      <c r="R229" s="4">
        <v>0</v>
      </c>
      <c r="S229" s="4">
        <v>0</v>
      </c>
      <c r="T229" s="4">
        <v>77</v>
      </c>
      <c r="U229" s="4">
        <v>52</v>
      </c>
      <c r="V229" s="58">
        <f>IF(ISERROR(VLOOKUP($S$229,'TAR FIN'!$A$1:$O$92,15,0)),0,VLOOKUP($S$229,'TAR FIN'!$A$1:$O$92,15,0))</f>
        <v>0</v>
      </c>
      <c r="W229" s="58">
        <f>IF(ISERROR(VLOOKUP($T$229,'TAR FIN'!$A$1:$O$92,15,0)),0,VLOOKUP($T$229,'TAR FIN'!$A$1:$O$92,15,0))*(1-0.06)</f>
        <v>322.57979999999998</v>
      </c>
      <c r="X229" s="58">
        <f>IF(ISERROR(VLOOKUP($U$229,'TAR FIN'!$A$1:$O$92,15,0)),0,VLOOKUP($U$229,'TAR FIN'!$A$1:$O$92,15,0))*(1-0.06)</f>
        <v>285.32760000000002</v>
      </c>
      <c r="Y229" s="58"/>
      <c r="Z229" s="58">
        <f ca="1">('TUSD BE'!$AM$52+'TUSD BF'!$AM$52+'TUSD CVA'!$AM$52)*1*(1-0.03)</f>
        <v>457.62766803552091</v>
      </c>
      <c r="AA229" s="58">
        <f>('TE BE'!$AB$40+'TE BF'!$AB$40+'TE CVA'!$AB$40)*1*(1-0.03)</f>
        <v>278.54900889595518</v>
      </c>
      <c r="AB229" s="58">
        <f>(SUBSIDIO!$J$229*SUBSIDIO!$V$229)*(0.06)/(1-0.06)</f>
        <v>0</v>
      </c>
      <c r="AC229" s="58">
        <f>((SUBSIDIO!$L$229*SUBSIDIO!$W$229)+(SUBSIDIO!$N$229*SUBSIDIO!$X$229))*(0.06)/(1-0.06)</f>
        <v>1685.6625491999998</v>
      </c>
      <c r="AD229" s="58">
        <f>(SUBSIDIO!$J$229*SUBSIDIO!$Y$229)*(0.03)/(1-0.03)</f>
        <v>0</v>
      </c>
      <c r="AE229" s="58">
        <f ca="1">((SUBSIDIO!$L$229*SUBSIDIO!$Z$229)+(SUBSIDIO!$N$229*SUBSIDIO!$AA$229))*(0.03)/(1-0.03)</f>
        <v>989.10269688424285</v>
      </c>
      <c r="AF229" s="4" t="s">
        <v>691</v>
      </c>
    </row>
    <row r="230" spans="1:32" ht="11.25" customHeight="1" x14ac:dyDescent="0.3">
      <c r="A230" s="4" t="s">
        <v>21</v>
      </c>
      <c r="B230" s="4" t="s">
        <v>32</v>
      </c>
      <c r="C230" s="4" t="s">
        <v>23</v>
      </c>
      <c r="D230" s="4" t="s">
        <v>47</v>
      </c>
      <c r="E230" s="4" t="s">
        <v>48</v>
      </c>
      <c r="F230" s="4" t="s">
        <v>25</v>
      </c>
      <c r="G230" s="4" t="s">
        <v>25</v>
      </c>
      <c r="H230" s="4" t="s">
        <v>25</v>
      </c>
      <c r="I230" s="5">
        <v>44652</v>
      </c>
      <c r="J230" s="6">
        <v>0</v>
      </c>
      <c r="K230" s="58">
        <v>0</v>
      </c>
      <c r="L230" s="6">
        <v>43.895000000000003</v>
      </c>
      <c r="M230" s="58">
        <v>43.895000000000003</v>
      </c>
      <c r="N230" s="6">
        <v>43.895000000000003</v>
      </c>
      <c r="O230" s="58">
        <v>43.895000000000003</v>
      </c>
      <c r="P230" s="6">
        <v>32</v>
      </c>
      <c r="Q230" s="4" t="s">
        <v>26</v>
      </c>
      <c r="R230" s="4">
        <v>0</v>
      </c>
      <c r="S230" s="4">
        <v>0</v>
      </c>
      <c r="T230" s="4">
        <v>77</v>
      </c>
      <c r="U230" s="4">
        <v>52</v>
      </c>
      <c r="V230" s="58">
        <f>IF(ISERROR(VLOOKUP($S$230,'TAR FIN'!$A$1:$O$92,15,0)),0,VLOOKUP($S$230,'TAR FIN'!$A$1:$O$92,15,0))</f>
        <v>0</v>
      </c>
      <c r="W230" s="58">
        <f>IF(ISERROR(VLOOKUP($T$230,'TAR FIN'!$A$1:$O$92,15,0)),0,VLOOKUP($T$230,'TAR FIN'!$A$1:$O$92,15,0))*(1-0.06)</f>
        <v>322.57979999999998</v>
      </c>
      <c r="X230" s="58">
        <f>IF(ISERROR(VLOOKUP($U$230,'TAR FIN'!$A$1:$O$92,15,0)),0,VLOOKUP($U$230,'TAR FIN'!$A$1:$O$92,15,0))*(1-0.06)</f>
        <v>285.32760000000002</v>
      </c>
      <c r="Y230" s="58"/>
      <c r="Z230" s="58">
        <f ca="1">('TUSD BE'!$AM$52+'TUSD BF'!$AM$52+'TUSD CVA'!$AM$52)*1*(1-0.03)</f>
        <v>457.62766803552091</v>
      </c>
      <c r="AA230" s="58">
        <f>('TE BE'!$AB$40+'TE BF'!$AB$40+'TE CVA'!$AB$40)*1*(1-0.03)</f>
        <v>278.54900889595518</v>
      </c>
      <c r="AB230" s="58">
        <f>(SUBSIDIO!$J$230*SUBSIDIO!$V$230)*(0.06)/(1-0.06)</f>
        <v>0</v>
      </c>
      <c r="AC230" s="58">
        <f>((SUBSIDIO!$L$230*SUBSIDIO!$W$230)+(SUBSIDIO!$N$230*SUBSIDIO!$X$230))*(0.06)/(1-0.06)</f>
        <v>1703.240127</v>
      </c>
      <c r="AD230" s="58">
        <f>(SUBSIDIO!$J$230*SUBSIDIO!$Y$230)*(0.03)/(1-0.03)</f>
        <v>0</v>
      </c>
      <c r="AE230" s="58">
        <f ca="1">((SUBSIDIO!$L$230*SUBSIDIO!$Z$230)+(SUBSIDIO!$N$230*SUBSIDIO!$AA$230))*(0.03)/(1-0.03)</f>
        <v>999.41675981156106</v>
      </c>
      <c r="AF230" s="4" t="s">
        <v>691</v>
      </c>
    </row>
    <row r="231" spans="1:32" ht="11.25" customHeight="1" x14ac:dyDescent="0.3">
      <c r="A231" s="4" t="s">
        <v>21</v>
      </c>
      <c r="B231" s="4" t="s">
        <v>32</v>
      </c>
      <c r="C231" s="4" t="s">
        <v>23</v>
      </c>
      <c r="D231" s="4" t="s">
        <v>47</v>
      </c>
      <c r="E231" s="4" t="s">
        <v>48</v>
      </c>
      <c r="F231" s="4" t="s">
        <v>25</v>
      </c>
      <c r="G231" s="4" t="s">
        <v>25</v>
      </c>
      <c r="H231" s="4" t="s">
        <v>25</v>
      </c>
      <c r="I231" s="5">
        <v>44682</v>
      </c>
      <c r="J231" s="6">
        <v>0</v>
      </c>
      <c r="K231" s="58">
        <v>0</v>
      </c>
      <c r="L231" s="6">
        <v>40.804000000000002</v>
      </c>
      <c r="M231" s="58">
        <v>40.804000000000002</v>
      </c>
      <c r="N231" s="6">
        <v>40.804000000000002</v>
      </c>
      <c r="O231" s="58">
        <v>40.804000000000002</v>
      </c>
      <c r="P231" s="6">
        <v>32</v>
      </c>
      <c r="Q231" s="4" t="s">
        <v>26</v>
      </c>
      <c r="R231" s="4">
        <v>0</v>
      </c>
      <c r="S231" s="4">
        <v>0</v>
      </c>
      <c r="T231" s="4">
        <v>77</v>
      </c>
      <c r="U231" s="4">
        <v>52</v>
      </c>
      <c r="V231" s="58">
        <f>IF(ISERROR(VLOOKUP($S$231,'TAR FIN'!$A$1:$O$92,15,0)),0,VLOOKUP($S$231,'TAR FIN'!$A$1:$O$92,15,0))</f>
        <v>0</v>
      </c>
      <c r="W231" s="58">
        <f>IF(ISERROR(VLOOKUP($T$231,'TAR FIN'!$A$1:$O$92,15,0)),0,VLOOKUP($T$231,'TAR FIN'!$A$1:$O$92,15,0))*(1-0.06)</f>
        <v>322.57979999999998</v>
      </c>
      <c r="X231" s="58">
        <f>IF(ISERROR(VLOOKUP($U$231,'TAR FIN'!$A$1:$O$92,15,0)),0,VLOOKUP($U$231,'TAR FIN'!$A$1:$O$92,15,0))*(1-0.06)</f>
        <v>285.32760000000002</v>
      </c>
      <c r="Y231" s="58"/>
      <c r="Z231" s="58">
        <f ca="1">('TUSD BE'!$AM$52+'TUSD BF'!$AM$52+'TUSD CVA'!$AM$52)*1*(1-0.03)</f>
        <v>457.62766803552091</v>
      </c>
      <c r="AA231" s="58">
        <f>('TE BE'!$AB$40+'TE BF'!$AB$40+'TE CVA'!$AB$40)*1*(1-0.03)</f>
        <v>278.54900889595518</v>
      </c>
      <c r="AB231" s="58">
        <f>(SUBSIDIO!$J$231*SUBSIDIO!$V$231)*(0.06)/(1-0.06)</f>
        <v>0</v>
      </c>
      <c r="AC231" s="58">
        <f>((SUBSIDIO!$L$231*SUBSIDIO!$W$231)+(SUBSIDIO!$N$231*SUBSIDIO!$X$231))*(0.06)/(1-0.06)</f>
        <v>1583.3012904</v>
      </c>
      <c r="AD231" s="58">
        <f>(SUBSIDIO!$J$231*SUBSIDIO!$Y$231)*(0.03)/(1-0.03)</f>
        <v>0</v>
      </c>
      <c r="AE231" s="58">
        <f ca="1">((SUBSIDIO!$L$231*SUBSIDIO!$Z$231)+(SUBSIDIO!$N$231*SUBSIDIO!$AA$231))*(0.03)/(1-0.03)</f>
        <v>929.03978738696765</v>
      </c>
      <c r="AF231" s="4" t="s">
        <v>691</v>
      </c>
    </row>
    <row r="232" spans="1:32" ht="11.25" customHeight="1" x14ac:dyDescent="0.3">
      <c r="A232" s="4" t="s">
        <v>21</v>
      </c>
      <c r="B232" s="4" t="s">
        <v>32</v>
      </c>
      <c r="C232" s="4" t="s">
        <v>23</v>
      </c>
      <c r="D232" s="4" t="s">
        <v>47</v>
      </c>
      <c r="E232" s="4" t="s">
        <v>48</v>
      </c>
      <c r="F232" s="4" t="s">
        <v>25</v>
      </c>
      <c r="G232" s="4" t="s">
        <v>25</v>
      </c>
      <c r="H232" s="4" t="s">
        <v>25</v>
      </c>
      <c r="I232" s="5">
        <v>44713</v>
      </c>
      <c r="J232" s="6">
        <v>0</v>
      </c>
      <c r="K232" s="58">
        <v>0</v>
      </c>
      <c r="L232" s="6">
        <v>38.534999999999997</v>
      </c>
      <c r="M232" s="58">
        <v>38.534999999999997</v>
      </c>
      <c r="N232" s="6">
        <v>38.534999999999997</v>
      </c>
      <c r="O232" s="58">
        <v>38.534999999999997</v>
      </c>
      <c r="P232" s="6">
        <v>32</v>
      </c>
      <c r="Q232" s="4" t="s">
        <v>26</v>
      </c>
      <c r="R232" s="4">
        <v>0</v>
      </c>
      <c r="S232" s="4">
        <v>0</v>
      </c>
      <c r="T232" s="4">
        <v>77</v>
      </c>
      <c r="U232" s="4">
        <v>52</v>
      </c>
      <c r="V232" s="58">
        <f>IF(ISERROR(VLOOKUP($S$232,'TAR FIN'!$A$1:$O$92,15,0)),0,VLOOKUP($S$232,'TAR FIN'!$A$1:$O$92,15,0))</f>
        <v>0</v>
      </c>
      <c r="W232" s="58">
        <f>IF(ISERROR(VLOOKUP($T$232,'TAR FIN'!$A$1:$O$92,15,0)),0,VLOOKUP($T$232,'TAR FIN'!$A$1:$O$92,15,0))*(1-0.06)</f>
        <v>322.57979999999998</v>
      </c>
      <c r="X232" s="58">
        <f>IF(ISERROR(VLOOKUP($U$232,'TAR FIN'!$A$1:$O$92,15,0)),0,VLOOKUP($U$232,'TAR FIN'!$A$1:$O$92,15,0))*(1-0.06)</f>
        <v>285.32760000000002</v>
      </c>
      <c r="Y232" s="58"/>
      <c r="Z232" s="58">
        <f ca="1">('TUSD BE'!$AM$52+'TUSD BF'!$AM$52+'TUSD CVA'!$AM$52)*1*(1-0.03)</f>
        <v>457.62766803552091</v>
      </c>
      <c r="AA232" s="58">
        <f>('TE BE'!$AB$40+'TE BF'!$AB$40+'TE CVA'!$AB$40)*1*(1-0.03)</f>
        <v>278.54900889595518</v>
      </c>
      <c r="AB232" s="58">
        <f>(SUBSIDIO!$J$232*SUBSIDIO!$V$232)*(0.06)/(1-0.06)</f>
        <v>0</v>
      </c>
      <c r="AC232" s="58">
        <f>((SUBSIDIO!$L$232*SUBSIDIO!$W$232)+(SUBSIDIO!$N$232*SUBSIDIO!$X$232))*(0.06)/(1-0.06)</f>
        <v>1495.2581909999999</v>
      </c>
      <c r="AD232" s="58">
        <f>(SUBSIDIO!$J$232*SUBSIDIO!$Y$232)*(0.03)/(1-0.03)</f>
        <v>0</v>
      </c>
      <c r="AE232" s="58">
        <f ca="1">((SUBSIDIO!$L$232*SUBSIDIO!$Z$232)+(SUBSIDIO!$N$232*SUBSIDIO!$AA$232))*(0.03)/(1-0.03)</f>
        <v>877.37839934704425</v>
      </c>
      <c r="AF232" s="4" t="s">
        <v>691</v>
      </c>
    </row>
    <row r="233" spans="1:32" ht="11.25" customHeight="1" x14ac:dyDescent="0.3">
      <c r="A233" s="4" t="s">
        <v>21</v>
      </c>
      <c r="B233" s="4" t="s">
        <v>32</v>
      </c>
      <c r="C233" s="4" t="s">
        <v>23</v>
      </c>
      <c r="D233" s="4" t="s">
        <v>47</v>
      </c>
      <c r="E233" s="4" t="s">
        <v>48</v>
      </c>
      <c r="F233" s="4" t="s">
        <v>25</v>
      </c>
      <c r="G233" s="4" t="s">
        <v>25</v>
      </c>
      <c r="H233" s="4" t="s">
        <v>25</v>
      </c>
      <c r="I233" s="5">
        <v>44743</v>
      </c>
      <c r="J233" s="6">
        <v>0</v>
      </c>
      <c r="K233" s="58">
        <v>0</v>
      </c>
      <c r="L233" s="6">
        <v>35.773000000000003</v>
      </c>
      <c r="M233" s="58">
        <v>35.773000000000003</v>
      </c>
      <c r="N233" s="6">
        <v>35.773000000000003</v>
      </c>
      <c r="O233" s="58">
        <v>35.773000000000003</v>
      </c>
      <c r="P233" s="6">
        <v>32</v>
      </c>
      <c r="Q233" s="4" t="s">
        <v>26</v>
      </c>
      <c r="R233" s="4">
        <v>0</v>
      </c>
      <c r="S233" s="4">
        <v>0</v>
      </c>
      <c r="T233" s="4">
        <v>77</v>
      </c>
      <c r="U233" s="4">
        <v>52</v>
      </c>
      <c r="V233" s="58">
        <f>IF(ISERROR(VLOOKUP($S$233,'TAR FIN'!$A$1:$O$92,15,0)),0,VLOOKUP($S$233,'TAR FIN'!$A$1:$O$92,15,0))</f>
        <v>0</v>
      </c>
      <c r="W233" s="58">
        <f>IF(ISERROR(VLOOKUP($T$233,'TAR FIN'!$A$1:$O$92,15,0)),0,VLOOKUP($T$233,'TAR FIN'!$A$1:$O$92,15,0))*(1-0.06)</f>
        <v>322.57979999999998</v>
      </c>
      <c r="X233" s="58">
        <f>IF(ISERROR(VLOOKUP($U$233,'TAR FIN'!$A$1:$O$92,15,0)),0,VLOOKUP($U$233,'TAR FIN'!$A$1:$O$92,15,0))*(1-0.06)</f>
        <v>285.32760000000002</v>
      </c>
      <c r="Y233" s="58"/>
      <c r="Z233" s="58">
        <f ca="1">('TUSD BE'!$AM$52+'TUSD BF'!$AM$52+'TUSD CVA'!$AM$52)*1*(1-0.03)</f>
        <v>457.62766803552091</v>
      </c>
      <c r="AA233" s="58">
        <f>('TE BE'!$AB$40+'TE BF'!$AB$40+'TE CVA'!$AB$40)*1*(1-0.03)</f>
        <v>278.54900889595518</v>
      </c>
      <c r="AB233" s="58">
        <f>(SUBSIDIO!$J$233*SUBSIDIO!$V$233)*(0.06)/(1-0.06)</f>
        <v>0</v>
      </c>
      <c r="AC233" s="58">
        <f>((SUBSIDIO!$L$233*SUBSIDIO!$W$233)+(SUBSIDIO!$N$233*SUBSIDIO!$X$233))*(0.06)/(1-0.06)</f>
        <v>1388.0854098000002</v>
      </c>
      <c r="AD233" s="58">
        <f>(SUBSIDIO!$J$233*SUBSIDIO!$Y$233)*(0.03)/(1-0.03)</f>
        <v>0</v>
      </c>
      <c r="AE233" s="58">
        <f ca="1">((SUBSIDIO!$L$233*SUBSIDIO!$Z$233)+(SUBSIDIO!$N$233*SUBSIDIO!$AA$233))*(0.03)/(1-0.03)</f>
        <v>814.49221434648541</v>
      </c>
      <c r="AF233" s="4" t="s">
        <v>691</v>
      </c>
    </row>
    <row r="234" spans="1:32" ht="11.25" customHeight="1" x14ac:dyDescent="0.3">
      <c r="V234" s="6"/>
      <c r="W234" s="6"/>
      <c r="X234" s="6"/>
      <c r="Y234" s="6"/>
      <c r="Z234" s="6"/>
      <c r="AA234" s="6"/>
      <c r="AB234" s="6"/>
      <c r="AC234" s="6"/>
      <c r="AD234" s="6"/>
      <c r="AE234" s="6"/>
    </row>
    <row r="235" spans="1:32" ht="11.25" customHeight="1" x14ac:dyDescent="0.3">
      <c r="V235" s="6"/>
      <c r="W235" s="6"/>
      <c r="X235" s="6"/>
      <c r="Y235" s="6"/>
      <c r="Z235" s="6"/>
      <c r="AA235" s="6"/>
      <c r="AB235" s="6"/>
      <c r="AC235" s="6"/>
      <c r="AD235" s="6"/>
      <c r="AE235" s="6"/>
    </row>
    <row r="236" spans="1:32" ht="11.25" customHeight="1" x14ac:dyDescent="0.3">
      <c r="V236" s="6"/>
      <c r="W236" s="6"/>
      <c r="X236" s="6"/>
      <c r="Y236" s="6"/>
      <c r="Z236" s="6"/>
      <c r="AA236" s="6"/>
      <c r="AB236" s="6"/>
      <c r="AC236" s="6"/>
      <c r="AD236" s="6"/>
      <c r="AE236" s="6"/>
    </row>
    <row r="237" spans="1:32" ht="11.25" customHeight="1" x14ac:dyDescent="0.3">
      <c r="V237" s="6"/>
      <c r="W237" s="6"/>
      <c r="X237" s="6"/>
      <c r="Y237" s="6"/>
      <c r="Z237" s="6"/>
      <c r="AA237" s="6"/>
      <c r="AB237" s="6"/>
      <c r="AC237" s="6"/>
      <c r="AD237" s="6"/>
      <c r="AE237" s="6"/>
    </row>
    <row r="238" spans="1:32" ht="11.25" customHeight="1" x14ac:dyDescent="0.3">
      <c r="V238" s="6"/>
      <c r="W238" s="6"/>
      <c r="X238" s="6"/>
      <c r="Y238" s="6"/>
      <c r="Z238" s="6"/>
      <c r="AA238" s="6"/>
      <c r="AB238" s="6"/>
      <c r="AC238" s="6"/>
      <c r="AD238" s="6"/>
      <c r="AE238" s="6"/>
    </row>
    <row r="239" spans="1:32" ht="11.25" customHeight="1" x14ac:dyDescent="0.3">
      <c r="V239" s="6"/>
      <c r="W239" s="6"/>
      <c r="X239" s="6"/>
      <c r="Y239" s="6"/>
      <c r="Z239" s="6"/>
      <c r="AA239" s="6"/>
      <c r="AB239" s="6"/>
      <c r="AC239" s="6"/>
      <c r="AD239" s="6"/>
      <c r="AE239" s="6"/>
    </row>
    <row r="240" spans="1:32" ht="11.25" customHeight="1" x14ac:dyDescent="0.3">
      <c r="V240" s="6"/>
      <c r="W240" s="6"/>
      <c r="X240" s="6"/>
      <c r="Y240" s="6"/>
      <c r="Z240" s="6"/>
      <c r="AA240" s="6"/>
      <c r="AB240" s="6"/>
      <c r="AC240" s="6"/>
      <c r="AD240" s="6"/>
      <c r="AE240" s="6"/>
    </row>
    <row r="241" spans="22:31" ht="11.25" customHeight="1" x14ac:dyDescent="0.3">
      <c r="V241" s="6"/>
      <c r="W241" s="6"/>
      <c r="X241" s="6"/>
      <c r="Y241" s="6"/>
      <c r="Z241" s="6"/>
      <c r="AA241" s="6"/>
      <c r="AB241" s="6"/>
      <c r="AC241" s="6"/>
      <c r="AD241" s="6"/>
      <c r="AE241" s="6"/>
    </row>
    <row r="242" spans="22:31" ht="11.25" customHeight="1" x14ac:dyDescent="0.3">
      <c r="V242" s="6"/>
      <c r="W242" s="6"/>
      <c r="X242" s="6"/>
      <c r="Y242" s="6"/>
      <c r="Z242" s="6"/>
      <c r="AA242" s="6"/>
      <c r="AB242" s="6"/>
      <c r="AC242" s="6"/>
      <c r="AD242" s="6"/>
      <c r="AE242" s="6"/>
    </row>
    <row r="243" spans="22:31" ht="11.25" customHeight="1" x14ac:dyDescent="0.3">
      <c r="V243" s="6"/>
      <c r="W243" s="6"/>
      <c r="X243" s="6"/>
      <c r="Y243" s="6"/>
      <c r="Z243" s="6"/>
      <c r="AA243" s="6"/>
      <c r="AB243" s="6"/>
      <c r="AC243" s="6"/>
      <c r="AD243" s="6"/>
      <c r="AE243" s="6"/>
    </row>
    <row r="244" spans="22:31" ht="11.25" customHeight="1" x14ac:dyDescent="0.3">
      <c r="V244" s="6"/>
      <c r="W244" s="6"/>
      <c r="X244" s="6"/>
      <c r="Y244" s="6"/>
      <c r="Z244" s="6"/>
      <c r="AA244" s="6"/>
      <c r="AB244" s="6"/>
      <c r="AC244" s="6"/>
      <c r="AD244" s="6"/>
      <c r="AE244" s="6"/>
    </row>
    <row r="245" spans="22:31" ht="11.25" customHeight="1" x14ac:dyDescent="0.3">
      <c r="V245" s="6"/>
      <c r="W245" s="6"/>
      <c r="X245" s="6"/>
      <c r="Y245" s="6"/>
      <c r="Z245" s="6"/>
      <c r="AA245" s="6"/>
      <c r="AB245" s="6"/>
      <c r="AC245" s="6"/>
      <c r="AD245" s="6"/>
      <c r="AE245" s="6"/>
    </row>
    <row r="246" spans="22:31" ht="11.25" customHeight="1" x14ac:dyDescent="0.3">
      <c r="V246" s="6"/>
      <c r="W246" s="6"/>
      <c r="X246" s="6"/>
      <c r="Y246" s="6"/>
      <c r="Z246" s="6"/>
      <c r="AA246" s="6"/>
      <c r="AB246" s="6"/>
      <c r="AC246" s="6"/>
      <c r="AD246" s="6"/>
      <c r="AE246" s="6"/>
    </row>
    <row r="247" spans="22:31" ht="11.25" customHeight="1" x14ac:dyDescent="0.3">
      <c r="V247" s="6"/>
      <c r="W247" s="6"/>
      <c r="X247" s="6"/>
      <c r="Y247" s="6"/>
      <c r="Z247" s="6"/>
      <c r="AA247" s="6"/>
      <c r="AB247" s="6"/>
      <c r="AC247" s="6"/>
      <c r="AD247" s="6"/>
      <c r="AE247" s="6"/>
    </row>
    <row r="248" spans="22:31" ht="11.25" customHeight="1" x14ac:dyDescent="0.3">
      <c r="V248" s="6"/>
      <c r="W248" s="6"/>
      <c r="X248" s="6"/>
      <c r="Y248" s="6"/>
      <c r="Z248" s="6"/>
      <c r="AA248" s="6"/>
      <c r="AB248" s="6"/>
      <c r="AC248" s="6"/>
      <c r="AD248" s="6"/>
      <c r="AE248" s="6"/>
    </row>
    <row r="249" spans="22:31" ht="11.25" customHeight="1" x14ac:dyDescent="0.3">
      <c r="V249" s="6"/>
      <c r="W249" s="6"/>
      <c r="X249" s="6"/>
      <c r="Y249" s="6"/>
      <c r="Z249" s="6"/>
      <c r="AA249" s="6"/>
      <c r="AB249" s="6"/>
      <c r="AC249" s="6"/>
      <c r="AD249" s="6"/>
      <c r="AE249" s="6"/>
    </row>
    <row r="250" spans="22:31" ht="11.25" customHeight="1" x14ac:dyDescent="0.3">
      <c r="V250" s="6"/>
      <c r="W250" s="6"/>
      <c r="X250" s="6"/>
      <c r="Y250" s="6"/>
      <c r="Z250" s="6"/>
      <c r="AA250" s="6"/>
      <c r="AB250" s="6"/>
      <c r="AC250" s="6"/>
      <c r="AD250" s="6"/>
      <c r="AE250" s="6"/>
    </row>
    <row r="251" spans="22:31" ht="11.25" customHeight="1" x14ac:dyDescent="0.3">
      <c r="V251" s="6"/>
      <c r="W251" s="6"/>
      <c r="X251" s="6"/>
      <c r="Y251" s="6"/>
      <c r="Z251" s="6"/>
      <c r="AA251" s="6"/>
      <c r="AB251" s="6"/>
      <c r="AC251" s="6"/>
      <c r="AD251" s="6"/>
      <c r="AE251" s="6"/>
    </row>
    <row r="252" spans="22:31" ht="11.25" customHeight="1" x14ac:dyDescent="0.3">
      <c r="V252" s="6"/>
      <c r="W252" s="6"/>
      <c r="X252" s="6"/>
      <c r="Y252" s="6"/>
      <c r="Z252" s="6"/>
      <c r="AA252" s="6"/>
      <c r="AB252" s="6"/>
      <c r="AC252" s="6"/>
      <c r="AD252" s="6"/>
      <c r="AE252" s="6"/>
    </row>
    <row r="253" spans="22:31" ht="11.25" customHeight="1" x14ac:dyDescent="0.3">
      <c r="V253" s="6"/>
      <c r="W253" s="6"/>
      <c r="X253" s="6"/>
      <c r="Y253" s="6"/>
      <c r="Z253" s="6"/>
      <c r="AA253" s="6"/>
      <c r="AB253" s="6"/>
      <c r="AC253" s="6"/>
      <c r="AD253" s="6"/>
      <c r="AE253" s="6"/>
    </row>
    <row r="254" spans="22:31" ht="11.25" customHeight="1" x14ac:dyDescent="0.3">
      <c r="V254" s="6"/>
      <c r="W254" s="6"/>
      <c r="X254" s="6"/>
      <c r="Y254" s="6"/>
      <c r="Z254" s="6"/>
      <c r="AA254" s="6"/>
      <c r="AB254" s="6"/>
      <c r="AC254" s="6"/>
      <c r="AD254" s="6"/>
      <c r="AE254" s="6"/>
    </row>
    <row r="255" spans="22:31" ht="11.25" customHeight="1" x14ac:dyDescent="0.3">
      <c r="V255" s="6"/>
      <c r="W255" s="6"/>
      <c r="X255" s="6"/>
      <c r="Y255" s="6"/>
      <c r="Z255" s="6"/>
      <c r="AA255" s="6"/>
      <c r="AB255" s="6"/>
      <c r="AC255" s="6"/>
      <c r="AD255" s="6"/>
      <c r="AE255" s="6"/>
    </row>
    <row r="256" spans="22:31" ht="11.25" customHeight="1" x14ac:dyDescent="0.3">
      <c r="V256" s="6"/>
      <c r="W256" s="6"/>
      <c r="X256" s="6"/>
      <c r="Y256" s="6"/>
      <c r="Z256" s="6"/>
      <c r="AA256" s="6"/>
      <c r="AB256" s="6"/>
      <c r="AC256" s="6"/>
      <c r="AD256" s="6"/>
      <c r="AE256" s="6"/>
    </row>
    <row r="257" spans="22:31" ht="11.25" customHeight="1" x14ac:dyDescent="0.3">
      <c r="V257" s="6"/>
      <c r="W257" s="6"/>
      <c r="X257" s="6"/>
      <c r="Y257" s="6"/>
      <c r="Z257" s="6"/>
      <c r="AA257" s="6"/>
      <c r="AB257" s="6"/>
      <c r="AC257" s="6"/>
      <c r="AD257" s="6"/>
      <c r="AE257" s="6"/>
    </row>
    <row r="258" spans="22:31" ht="11.25" customHeight="1" x14ac:dyDescent="0.3">
      <c r="V258" s="6"/>
      <c r="W258" s="6"/>
      <c r="X258" s="6"/>
      <c r="Y258" s="6"/>
      <c r="Z258" s="6"/>
      <c r="AA258" s="6"/>
      <c r="AB258" s="6"/>
      <c r="AC258" s="6"/>
      <c r="AD258" s="6"/>
      <c r="AE258" s="6"/>
    </row>
    <row r="259" spans="22:31" ht="11.25" customHeight="1" x14ac:dyDescent="0.3">
      <c r="V259" s="6"/>
      <c r="W259" s="6"/>
      <c r="X259" s="6"/>
      <c r="Y259" s="6"/>
      <c r="Z259" s="6"/>
      <c r="AA259" s="6"/>
      <c r="AB259" s="6"/>
      <c r="AC259" s="6"/>
      <c r="AD259" s="6"/>
      <c r="AE259" s="6"/>
    </row>
    <row r="260" spans="22:31" ht="11.25" customHeight="1" x14ac:dyDescent="0.3">
      <c r="V260" s="6"/>
      <c r="W260" s="6"/>
      <c r="X260" s="6"/>
      <c r="Y260" s="6"/>
      <c r="Z260" s="6"/>
      <c r="AA260" s="6"/>
      <c r="AB260" s="6"/>
      <c r="AC260" s="6"/>
      <c r="AD260" s="6"/>
      <c r="AE260" s="6"/>
    </row>
    <row r="261" spans="22:31" ht="11.25" customHeight="1" x14ac:dyDescent="0.3">
      <c r="V261" s="6"/>
      <c r="W261" s="6"/>
      <c r="X261" s="6"/>
      <c r="Y261" s="6"/>
      <c r="Z261" s="6"/>
      <c r="AA261" s="6"/>
      <c r="AB261" s="6"/>
      <c r="AC261" s="6"/>
      <c r="AD261" s="6"/>
      <c r="AE261" s="6"/>
    </row>
    <row r="262" spans="22:31" ht="11.25" customHeight="1" x14ac:dyDescent="0.3">
      <c r="V262" s="6"/>
      <c r="W262" s="6"/>
      <c r="X262" s="6"/>
      <c r="Y262" s="6"/>
      <c r="Z262" s="6"/>
      <c r="AA262" s="6"/>
      <c r="AB262" s="6"/>
      <c r="AC262" s="6"/>
      <c r="AD262" s="6"/>
      <c r="AE262" s="6"/>
    </row>
    <row r="263" spans="22:31" ht="11.25" customHeight="1" x14ac:dyDescent="0.3">
      <c r="V263" s="6"/>
      <c r="W263" s="6"/>
      <c r="X263" s="6"/>
      <c r="Y263" s="6"/>
      <c r="Z263" s="6"/>
      <c r="AA263" s="6"/>
      <c r="AB263" s="6"/>
      <c r="AC263" s="6"/>
      <c r="AD263" s="6"/>
      <c r="AE263" s="6"/>
    </row>
    <row r="264" spans="22:31" ht="11.25" customHeight="1" x14ac:dyDescent="0.3">
      <c r="V264" s="6"/>
      <c r="W264" s="6"/>
      <c r="X264" s="6"/>
      <c r="Y264" s="6"/>
      <c r="Z264" s="6"/>
      <c r="AA264" s="6"/>
      <c r="AB264" s="6"/>
      <c r="AC264" s="6"/>
      <c r="AD264" s="6"/>
      <c r="AE264" s="6"/>
    </row>
    <row r="265" spans="22:31" ht="11.25" customHeight="1" x14ac:dyDescent="0.3">
      <c r="V265" s="6"/>
      <c r="W265" s="6"/>
      <c r="X265" s="6"/>
      <c r="Y265" s="6"/>
      <c r="Z265" s="6"/>
      <c r="AA265" s="6"/>
      <c r="AB265" s="6"/>
      <c r="AC265" s="6"/>
      <c r="AD265" s="6"/>
      <c r="AE265" s="6"/>
    </row>
    <row r="266" spans="22:31" ht="11.25" customHeight="1" x14ac:dyDescent="0.3">
      <c r="V266" s="6"/>
      <c r="W266" s="6"/>
      <c r="X266" s="6"/>
      <c r="Y266" s="6"/>
      <c r="Z266" s="6"/>
      <c r="AA266" s="6"/>
      <c r="AB266" s="6"/>
      <c r="AC266" s="6"/>
      <c r="AD266" s="6"/>
      <c r="AE266" s="6"/>
    </row>
    <row r="267" spans="22:31" ht="11.25" customHeight="1" x14ac:dyDescent="0.3">
      <c r="V267" s="6"/>
      <c r="W267" s="6"/>
      <c r="X267" s="6"/>
      <c r="Y267" s="6"/>
      <c r="Z267" s="6"/>
      <c r="AA267" s="6"/>
      <c r="AB267" s="6"/>
      <c r="AC267" s="6"/>
      <c r="AD267" s="6"/>
      <c r="AE267" s="6"/>
    </row>
    <row r="268" spans="22:31" ht="11.25" customHeight="1" x14ac:dyDescent="0.3">
      <c r="V268" s="6"/>
      <c r="W268" s="6"/>
      <c r="X268" s="6"/>
      <c r="Y268" s="6"/>
      <c r="Z268" s="6"/>
      <c r="AA268" s="6"/>
      <c r="AB268" s="6"/>
      <c r="AC268" s="6"/>
      <c r="AD268" s="6"/>
      <c r="AE268" s="6"/>
    </row>
    <row r="269" spans="22:31" ht="11.25" customHeight="1" x14ac:dyDescent="0.3">
      <c r="V269" s="6"/>
      <c r="W269" s="6"/>
      <c r="X269" s="6"/>
      <c r="Y269" s="6"/>
      <c r="Z269" s="6"/>
      <c r="AA269" s="6"/>
      <c r="AB269" s="6"/>
      <c r="AC269" s="6"/>
      <c r="AD269" s="6"/>
      <c r="AE269" s="6"/>
    </row>
    <row r="270" spans="22:31" ht="11.25" customHeight="1" x14ac:dyDescent="0.3">
      <c r="V270" s="6"/>
      <c r="W270" s="6"/>
      <c r="X270" s="6"/>
      <c r="Y270" s="6"/>
      <c r="Z270" s="6"/>
      <c r="AA270" s="6"/>
      <c r="AB270" s="6"/>
      <c r="AC270" s="6"/>
      <c r="AD270" s="6"/>
      <c r="AE270" s="6"/>
    </row>
    <row r="271" spans="22:31" ht="11.25" customHeight="1" x14ac:dyDescent="0.3">
      <c r="V271" s="6"/>
      <c r="W271" s="6"/>
      <c r="X271" s="6"/>
      <c r="Y271" s="6"/>
      <c r="Z271" s="6"/>
      <c r="AA271" s="6"/>
      <c r="AB271" s="6"/>
      <c r="AC271" s="6"/>
      <c r="AD271" s="6"/>
      <c r="AE271" s="6"/>
    </row>
    <row r="272" spans="22:31" ht="11.25" customHeight="1" x14ac:dyDescent="0.3">
      <c r="V272" s="6"/>
      <c r="W272" s="6"/>
      <c r="X272" s="6"/>
      <c r="Y272" s="6"/>
      <c r="Z272" s="6"/>
      <c r="AA272" s="6"/>
      <c r="AB272" s="6"/>
      <c r="AC272" s="6"/>
      <c r="AD272" s="6"/>
      <c r="AE272" s="6"/>
    </row>
    <row r="273" spans="22:31" ht="11.25" customHeight="1" x14ac:dyDescent="0.3">
      <c r="V273" s="6"/>
      <c r="W273" s="6"/>
      <c r="X273" s="6"/>
      <c r="Y273" s="6"/>
      <c r="Z273" s="6"/>
      <c r="AA273" s="6"/>
      <c r="AB273" s="6"/>
      <c r="AC273" s="6"/>
      <c r="AD273" s="6"/>
      <c r="AE273" s="6"/>
    </row>
    <row r="274" spans="22:31" ht="11.25" customHeight="1" x14ac:dyDescent="0.3">
      <c r="V274" s="6"/>
      <c r="W274" s="6"/>
      <c r="X274" s="6"/>
      <c r="Y274" s="6"/>
      <c r="Z274" s="6"/>
      <c r="AA274" s="6"/>
      <c r="AB274" s="6"/>
      <c r="AC274" s="6"/>
      <c r="AD274" s="6"/>
      <c r="AE274" s="6"/>
    </row>
    <row r="275" spans="22:31" ht="11.25" customHeight="1" x14ac:dyDescent="0.3">
      <c r="V275" s="6"/>
      <c r="W275" s="6"/>
      <c r="X275" s="6"/>
      <c r="Y275" s="6"/>
      <c r="Z275" s="6"/>
      <c r="AA275" s="6"/>
      <c r="AB275" s="6"/>
      <c r="AC275" s="6"/>
      <c r="AD275" s="6"/>
      <c r="AE275" s="6"/>
    </row>
    <row r="276" spans="22:31" ht="11.25" customHeight="1" x14ac:dyDescent="0.3">
      <c r="V276" s="6"/>
      <c r="W276" s="6"/>
      <c r="X276" s="6"/>
      <c r="Y276" s="6"/>
      <c r="Z276" s="6"/>
      <c r="AA276" s="6"/>
      <c r="AB276" s="6"/>
      <c r="AC276" s="6"/>
      <c r="AD276" s="6"/>
      <c r="AE276" s="6"/>
    </row>
    <row r="277" spans="22:31" ht="11.25" customHeight="1" x14ac:dyDescent="0.3">
      <c r="V277" s="6"/>
      <c r="W277" s="6"/>
      <c r="X277" s="6"/>
      <c r="Y277" s="6"/>
      <c r="Z277" s="6"/>
      <c r="AA277" s="6"/>
      <c r="AB277" s="6"/>
      <c r="AC277" s="6"/>
      <c r="AD277" s="6"/>
      <c r="AE277" s="6"/>
    </row>
    <row r="278" spans="22:31" ht="11.25" customHeight="1" x14ac:dyDescent="0.3">
      <c r="V278" s="6"/>
      <c r="W278" s="6"/>
      <c r="X278" s="6"/>
      <c r="Y278" s="6"/>
      <c r="Z278" s="6"/>
      <c r="AA278" s="6"/>
      <c r="AB278" s="6"/>
      <c r="AC278" s="6"/>
      <c r="AD278" s="6"/>
      <c r="AE278" s="6"/>
    </row>
    <row r="279" spans="22:31" ht="11.25" customHeight="1" x14ac:dyDescent="0.3">
      <c r="V279" s="6"/>
      <c r="W279" s="6"/>
      <c r="X279" s="6"/>
      <c r="Y279" s="6"/>
      <c r="Z279" s="6"/>
      <c r="AA279" s="6"/>
      <c r="AB279" s="6"/>
      <c r="AC279" s="6"/>
      <c r="AD279" s="6"/>
      <c r="AE279" s="6"/>
    </row>
    <row r="280" spans="22:31" ht="11.25" customHeight="1" x14ac:dyDescent="0.3">
      <c r="V280" s="6"/>
      <c r="W280" s="6"/>
      <c r="X280" s="6"/>
      <c r="Y280" s="6"/>
      <c r="Z280" s="6"/>
      <c r="AA280" s="6"/>
      <c r="AB280" s="6"/>
      <c r="AC280" s="6"/>
      <c r="AD280" s="6"/>
      <c r="AE280" s="6"/>
    </row>
    <row r="281" spans="22:31" ht="11.25" customHeight="1" x14ac:dyDescent="0.3">
      <c r="V281" s="6"/>
      <c r="W281" s="6"/>
      <c r="X281" s="6"/>
      <c r="Y281" s="6"/>
      <c r="Z281" s="6"/>
      <c r="AA281" s="6"/>
      <c r="AB281" s="6"/>
      <c r="AC281" s="6"/>
      <c r="AD281" s="6"/>
      <c r="AE281" s="6"/>
    </row>
    <row r="282" spans="22:31" ht="11.25" customHeight="1" x14ac:dyDescent="0.3">
      <c r="V282" s="6"/>
      <c r="W282" s="6"/>
      <c r="X282" s="6"/>
      <c r="Y282" s="6"/>
      <c r="Z282" s="6"/>
      <c r="AA282" s="6"/>
      <c r="AB282" s="6"/>
      <c r="AC282" s="6"/>
      <c r="AD282" s="6"/>
      <c r="AE282" s="6"/>
    </row>
    <row r="283" spans="22:31" ht="11.25" customHeight="1" x14ac:dyDescent="0.3">
      <c r="V283" s="6"/>
      <c r="W283" s="6"/>
      <c r="X283" s="6"/>
      <c r="Y283" s="6"/>
      <c r="Z283" s="6"/>
      <c r="AA283" s="6"/>
      <c r="AB283" s="6"/>
      <c r="AC283" s="6"/>
      <c r="AD283" s="6"/>
      <c r="AE283" s="6"/>
    </row>
    <row r="284" spans="22:31" ht="11.25" customHeight="1" x14ac:dyDescent="0.3">
      <c r="V284" s="6"/>
      <c r="W284" s="6"/>
      <c r="X284" s="6"/>
      <c r="Y284" s="6"/>
      <c r="Z284" s="6"/>
      <c r="AA284" s="6"/>
      <c r="AB284" s="6"/>
      <c r="AC284" s="6"/>
      <c r="AD284" s="6"/>
      <c r="AE284" s="6"/>
    </row>
    <row r="285" spans="22:31" ht="11.25" customHeight="1" x14ac:dyDescent="0.3">
      <c r="V285" s="6"/>
      <c r="W285" s="6"/>
      <c r="X285" s="6"/>
      <c r="Y285" s="6"/>
      <c r="Z285" s="6"/>
      <c r="AA285" s="6"/>
      <c r="AB285" s="6"/>
      <c r="AC285" s="6"/>
      <c r="AD285" s="6"/>
      <c r="AE285" s="6"/>
    </row>
    <row r="286" spans="22:31" ht="11.25" customHeight="1" x14ac:dyDescent="0.3">
      <c r="V286" s="6"/>
      <c r="W286" s="6"/>
      <c r="X286" s="6"/>
      <c r="Y286" s="6"/>
      <c r="Z286" s="6"/>
      <c r="AA286" s="6"/>
      <c r="AB286" s="6"/>
      <c r="AC286" s="6"/>
      <c r="AD286" s="6"/>
      <c r="AE286" s="6"/>
    </row>
    <row r="287" spans="22:31" ht="11.25" customHeight="1" x14ac:dyDescent="0.3">
      <c r="V287" s="6"/>
      <c r="W287" s="6"/>
      <c r="X287" s="6"/>
      <c r="Y287" s="6"/>
      <c r="Z287" s="6"/>
      <c r="AA287" s="6"/>
      <c r="AB287" s="6"/>
      <c r="AC287" s="6"/>
      <c r="AD287" s="6"/>
      <c r="AE287" s="6"/>
    </row>
    <row r="288" spans="22:31" ht="11.25" customHeight="1" x14ac:dyDescent="0.3">
      <c r="V288" s="6"/>
      <c r="W288" s="6"/>
      <c r="X288" s="6"/>
      <c r="Y288" s="6"/>
      <c r="Z288" s="6"/>
      <c r="AA288" s="6"/>
      <c r="AB288" s="6"/>
      <c r="AC288" s="6"/>
      <c r="AD288" s="6"/>
      <c r="AE288" s="6"/>
    </row>
    <row r="289" spans="22:31" ht="11.25" customHeight="1" x14ac:dyDescent="0.3">
      <c r="V289" s="6"/>
      <c r="W289" s="6"/>
      <c r="X289" s="6"/>
      <c r="Y289" s="6"/>
      <c r="Z289" s="6"/>
      <c r="AA289" s="6"/>
      <c r="AB289" s="6"/>
      <c r="AC289" s="6"/>
      <c r="AD289" s="6"/>
      <c r="AE289" s="6"/>
    </row>
    <row r="290" spans="22:31" ht="11.25" customHeight="1" x14ac:dyDescent="0.3">
      <c r="V290" s="6"/>
      <c r="W290" s="6"/>
      <c r="X290" s="6"/>
      <c r="Y290" s="6"/>
      <c r="Z290" s="6"/>
      <c r="AA290" s="6"/>
      <c r="AB290" s="6"/>
      <c r="AC290" s="6"/>
      <c r="AD290" s="6"/>
      <c r="AE290" s="6"/>
    </row>
    <row r="291" spans="22:31" ht="11.25" customHeight="1" x14ac:dyDescent="0.3">
      <c r="V291" s="6"/>
      <c r="W291" s="6"/>
      <c r="X291" s="6"/>
      <c r="Y291" s="6"/>
      <c r="Z291" s="6"/>
      <c r="AA291" s="6"/>
      <c r="AB291" s="6"/>
      <c r="AC291" s="6"/>
      <c r="AD291" s="6"/>
      <c r="AE291" s="6"/>
    </row>
    <row r="292" spans="22:31" ht="11.25" customHeight="1" x14ac:dyDescent="0.3">
      <c r="V292" s="6"/>
      <c r="W292" s="6"/>
      <c r="X292" s="6"/>
      <c r="Y292" s="6"/>
      <c r="Z292" s="6"/>
      <c r="AA292" s="6"/>
      <c r="AB292" s="6"/>
      <c r="AC292" s="6"/>
      <c r="AD292" s="6"/>
      <c r="AE292" s="6"/>
    </row>
    <row r="293" spans="22:31" ht="11.25" customHeight="1" x14ac:dyDescent="0.3">
      <c r="V293" s="6"/>
      <c r="W293" s="6"/>
      <c r="X293" s="6"/>
      <c r="Y293" s="6"/>
      <c r="Z293" s="6"/>
      <c r="AA293" s="6"/>
      <c r="AB293" s="6"/>
      <c r="AC293" s="6"/>
      <c r="AD293" s="6"/>
      <c r="AE293" s="6"/>
    </row>
    <row r="294" spans="22:31" ht="11.25" customHeight="1" x14ac:dyDescent="0.3">
      <c r="V294" s="6"/>
      <c r="W294" s="6"/>
      <c r="X294" s="6"/>
      <c r="Y294" s="6"/>
      <c r="Z294" s="6"/>
      <c r="AA294" s="6"/>
      <c r="AB294" s="6"/>
      <c r="AC294" s="6"/>
      <c r="AD294" s="6"/>
      <c r="AE294" s="6"/>
    </row>
    <row r="295" spans="22:31" ht="11.25" customHeight="1" x14ac:dyDescent="0.3">
      <c r="V295" s="6"/>
      <c r="W295" s="6"/>
      <c r="X295" s="6"/>
      <c r="Y295" s="6"/>
      <c r="Z295" s="6"/>
      <c r="AA295" s="6"/>
      <c r="AB295" s="6"/>
      <c r="AC295" s="6"/>
      <c r="AD295" s="6"/>
      <c r="AE295" s="6"/>
    </row>
    <row r="296" spans="22:31" ht="11.25" customHeight="1" x14ac:dyDescent="0.3">
      <c r="V296" s="6"/>
      <c r="W296" s="6"/>
      <c r="X296" s="6"/>
      <c r="Y296" s="6"/>
      <c r="Z296" s="6"/>
      <c r="AA296" s="6"/>
      <c r="AB296" s="6"/>
      <c r="AC296" s="6"/>
      <c r="AD296" s="6"/>
      <c r="AE296" s="6"/>
    </row>
    <row r="297" spans="22:31" ht="11.25" customHeight="1" x14ac:dyDescent="0.3">
      <c r="V297" s="6"/>
      <c r="W297" s="6"/>
      <c r="X297" s="6"/>
      <c r="Y297" s="6"/>
      <c r="Z297" s="6"/>
      <c r="AA297" s="6"/>
      <c r="AB297" s="6"/>
      <c r="AC297" s="6"/>
      <c r="AD297" s="6"/>
      <c r="AE297" s="6"/>
    </row>
    <row r="298" spans="22:31" ht="11.25" customHeight="1" x14ac:dyDescent="0.3">
      <c r="V298" s="6"/>
      <c r="W298" s="6"/>
      <c r="X298" s="6"/>
      <c r="Y298" s="6"/>
      <c r="Z298" s="6"/>
      <c r="AA298" s="6"/>
      <c r="AB298" s="6"/>
      <c r="AC298" s="6"/>
      <c r="AD298" s="6"/>
      <c r="AE298" s="6"/>
    </row>
    <row r="299" spans="22:31" ht="11.25" customHeight="1" x14ac:dyDescent="0.3">
      <c r="V299" s="6"/>
      <c r="W299" s="6"/>
      <c r="X299" s="6"/>
      <c r="Y299" s="6"/>
      <c r="Z299" s="6"/>
      <c r="AA299" s="6"/>
      <c r="AB299" s="6"/>
      <c r="AC299" s="6"/>
      <c r="AD299" s="6"/>
      <c r="AE299" s="6"/>
    </row>
    <row r="300" spans="22:31" ht="11.25" customHeight="1" x14ac:dyDescent="0.3">
      <c r="V300" s="6"/>
      <c r="W300" s="6"/>
      <c r="X300" s="6"/>
      <c r="Y300" s="6"/>
      <c r="Z300" s="6"/>
      <c r="AA300" s="6"/>
      <c r="AB300" s="6"/>
      <c r="AC300" s="6"/>
      <c r="AD300" s="6"/>
      <c r="AE300" s="6"/>
    </row>
    <row r="301" spans="22:31" ht="11.25" customHeight="1" x14ac:dyDescent="0.3">
      <c r="V301" s="6"/>
      <c r="W301" s="6"/>
      <c r="X301" s="6"/>
      <c r="Y301" s="6"/>
      <c r="Z301" s="6"/>
      <c r="AA301" s="6"/>
      <c r="AB301" s="6"/>
      <c r="AC301" s="6"/>
      <c r="AD301" s="6"/>
      <c r="AE301" s="6"/>
    </row>
    <row r="302" spans="22:31" ht="11.25" customHeight="1" x14ac:dyDescent="0.3">
      <c r="V302" s="6"/>
      <c r="W302" s="6"/>
      <c r="X302" s="6"/>
      <c r="Y302" s="6"/>
      <c r="Z302" s="6"/>
      <c r="AA302" s="6"/>
      <c r="AB302" s="6"/>
      <c r="AC302" s="6"/>
      <c r="AD302" s="6"/>
      <c r="AE302" s="6"/>
    </row>
    <row r="303" spans="22:31" ht="11.25" customHeight="1" x14ac:dyDescent="0.3">
      <c r="V303" s="6"/>
      <c r="W303" s="6"/>
      <c r="X303" s="6"/>
      <c r="Y303" s="6"/>
      <c r="Z303" s="6"/>
      <c r="AA303" s="6"/>
      <c r="AB303" s="6"/>
      <c r="AC303" s="6"/>
      <c r="AD303" s="6"/>
      <c r="AE303" s="6"/>
    </row>
    <row r="304" spans="22:31" ht="11.25" customHeight="1" x14ac:dyDescent="0.3">
      <c r="V304" s="6"/>
      <c r="W304" s="6"/>
      <c r="X304" s="6"/>
      <c r="Y304" s="6"/>
      <c r="Z304" s="6"/>
      <c r="AA304" s="6"/>
      <c r="AB304" s="6"/>
      <c r="AC304" s="6"/>
      <c r="AD304" s="6"/>
      <c r="AE304" s="6"/>
    </row>
    <row r="305" spans="22:31" ht="11.25" customHeight="1" x14ac:dyDescent="0.3">
      <c r="V305" s="6"/>
      <c r="W305" s="6"/>
      <c r="X305" s="6"/>
      <c r="Y305" s="6"/>
      <c r="Z305" s="6"/>
      <c r="AA305" s="6"/>
      <c r="AB305" s="6"/>
      <c r="AC305" s="6"/>
      <c r="AD305" s="6"/>
      <c r="AE305" s="6"/>
    </row>
    <row r="306" spans="22:31" ht="11.25" customHeight="1" x14ac:dyDescent="0.3">
      <c r="V306" s="6"/>
      <c r="W306" s="6"/>
      <c r="X306" s="6"/>
      <c r="Y306" s="6"/>
      <c r="Z306" s="6"/>
      <c r="AA306" s="6"/>
      <c r="AB306" s="6"/>
      <c r="AC306" s="6"/>
      <c r="AD306" s="6"/>
      <c r="AE306" s="6"/>
    </row>
    <row r="307" spans="22:31" ht="11.25" customHeight="1" x14ac:dyDescent="0.3">
      <c r="V307" s="6"/>
      <c r="W307" s="6"/>
      <c r="X307" s="6"/>
      <c r="Y307" s="6"/>
      <c r="Z307" s="6"/>
      <c r="AA307" s="6"/>
      <c r="AB307" s="6"/>
      <c r="AC307" s="6"/>
      <c r="AD307" s="6"/>
      <c r="AE307" s="6"/>
    </row>
    <row r="308" spans="22:31" ht="11.25" customHeight="1" x14ac:dyDescent="0.3">
      <c r="V308" s="6"/>
      <c r="W308" s="6"/>
      <c r="X308" s="6"/>
      <c r="Y308" s="6"/>
      <c r="Z308" s="6"/>
      <c r="AA308" s="6"/>
      <c r="AB308" s="6"/>
      <c r="AC308" s="6"/>
      <c r="AD308" s="6"/>
      <c r="AE308" s="6"/>
    </row>
    <row r="309" spans="22:31" ht="11.25" customHeight="1" x14ac:dyDescent="0.3">
      <c r="V309" s="6"/>
      <c r="W309" s="6"/>
      <c r="X309" s="6"/>
      <c r="Y309" s="6"/>
      <c r="Z309" s="6"/>
      <c r="AA309" s="6"/>
      <c r="AB309" s="6"/>
      <c r="AC309" s="6"/>
      <c r="AD309" s="6"/>
      <c r="AE309" s="6"/>
    </row>
    <row r="310" spans="22:31" ht="11.25" customHeight="1" x14ac:dyDescent="0.3">
      <c r="V310" s="6"/>
      <c r="W310" s="6"/>
      <c r="X310" s="6"/>
      <c r="Y310" s="6"/>
      <c r="Z310" s="6"/>
      <c r="AA310" s="6"/>
      <c r="AB310" s="6"/>
      <c r="AC310" s="6"/>
      <c r="AD310" s="6"/>
      <c r="AE310" s="6"/>
    </row>
    <row r="311" spans="22:31" ht="11.25" customHeight="1" x14ac:dyDescent="0.3">
      <c r="V311" s="6"/>
      <c r="W311" s="6"/>
      <c r="X311" s="6"/>
      <c r="Y311" s="6"/>
      <c r="Z311" s="6"/>
      <c r="AA311" s="6"/>
      <c r="AB311" s="6"/>
      <c r="AC311" s="6"/>
      <c r="AD311" s="6"/>
      <c r="AE311" s="6"/>
    </row>
    <row r="312" spans="22:31" ht="11.25" customHeight="1" x14ac:dyDescent="0.3">
      <c r="V312" s="6"/>
      <c r="W312" s="6"/>
      <c r="X312" s="6"/>
      <c r="Y312" s="6"/>
      <c r="Z312" s="6"/>
      <c r="AA312" s="6"/>
      <c r="AB312" s="6"/>
      <c r="AC312" s="6"/>
      <c r="AD312" s="6"/>
      <c r="AE312" s="6"/>
    </row>
    <row r="313" spans="22:31" ht="11.25" customHeight="1" x14ac:dyDescent="0.3">
      <c r="V313" s="6"/>
      <c r="W313" s="6"/>
      <c r="X313" s="6"/>
      <c r="Y313" s="6"/>
      <c r="Z313" s="6"/>
      <c r="AA313" s="6"/>
      <c r="AB313" s="6"/>
      <c r="AC313" s="6"/>
      <c r="AD313" s="6"/>
      <c r="AE313" s="6"/>
    </row>
    <row r="314" spans="22:31" ht="11.25" customHeight="1" x14ac:dyDescent="0.3">
      <c r="V314" s="6"/>
      <c r="W314" s="6"/>
      <c r="X314" s="6"/>
      <c r="Y314" s="6"/>
      <c r="Z314" s="6"/>
      <c r="AA314" s="6"/>
      <c r="AB314" s="6"/>
      <c r="AC314" s="6"/>
      <c r="AD314" s="6"/>
      <c r="AE314" s="6"/>
    </row>
    <row r="315" spans="22:31" ht="11.25" customHeight="1" x14ac:dyDescent="0.3">
      <c r="V315" s="6"/>
      <c r="W315" s="6"/>
      <c r="X315" s="6"/>
      <c r="Y315" s="6"/>
      <c r="Z315" s="6"/>
      <c r="AA315" s="6"/>
      <c r="AB315" s="6"/>
      <c r="AC315" s="6"/>
      <c r="AD315" s="6"/>
      <c r="AE315" s="6"/>
    </row>
    <row r="316" spans="22:31" ht="11.25" customHeight="1" x14ac:dyDescent="0.3">
      <c r="V316" s="6"/>
      <c r="W316" s="6"/>
      <c r="X316" s="6"/>
      <c r="Y316" s="6"/>
      <c r="Z316" s="6"/>
      <c r="AA316" s="6"/>
      <c r="AB316" s="6"/>
      <c r="AC316" s="6"/>
      <c r="AD316" s="6"/>
      <c r="AE316" s="6"/>
    </row>
    <row r="317" spans="22:31" ht="11.25" customHeight="1" x14ac:dyDescent="0.3">
      <c r="V317" s="6"/>
      <c r="W317" s="6"/>
      <c r="X317" s="6"/>
      <c r="Y317" s="6"/>
      <c r="Z317" s="6"/>
      <c r="AA317" s="6"/>
      <c r="AB317" s="6"/>
      <c r="AC317" s="6"/>
      <c r="AD317" s="6"/>
      <c r="AE317" s="6"/>
    </row>
    <row r="318" spans="22:31" ht="11.25" customHeight="1" x14ac:dyDescent="0.3">
      <c r="V318" s="6"/>
      <c r="W318" s="6"/>
      <c r="X318" s="6"/>
      <c r="Y318" s="6"/>
      <c r="Z318" s="6"/>
      <c r="AA318" s="6"/>
      <c r="AB318" s="6"/>
      <c r="AC318" s="6"/>
      <c r="AD318" s="6"/>
      <c r="AE318" s="6"/>
    </row>
    <row r="319" spans="22:31" ht="11.25" customHeight="1" x14ac:dyDescent="0.3">
      <c r="V319" s="6"/>
      <c r="W319" s="6"/>
      <c r="X319" s="6"/>
      <c r="Y319" s="6"/>
      <c r="Z319" s="6"/>
      <c r="AA319" s="6"/>
      <c r="AB319" s="6"/>
      <c r="AC319" s="6"/>
      <c r="AD319" s="6"/>
      <c r="AE319" s="6"/>
    </row>
    <row r="320" spans="22:31" ht="11.25" customHeight="1" x14ac:dyDescent="0.3">
      <c r="V320" s="6"/>
      <c r="W320" s="6"/>
      <c r="X320" s="6"/>
      <c r="Y320" s="6"/>
      <c r="Z320" s="6"/>
      <c r="AA320" s="6"/>
      <c r="AB320" s="6"/>
      <c r="AC320" s="6"/>
      <c r="AD320" s="6"/>
      <c r="AE320" s="6"/>
    </row>
    <row r="321" spans="22:31" ht="11.25" customHeight="1" x14ac:dyDescent="0.3">
      <c r="V321" s="6"/>
      <c r="W321" s="6"/>
      <c r="X321" s="6"/>
      <c r="Y321" s="6"/>
      <c r="Z321" s="6"/>
      <c r="AA321" s="6"/>
      <c r="AB321" s="6"/>
      <c r="AC321" s="6"/>
      <c r="AD321" s="6"/>
      <c r="AE321" s="6"/>
    </row>
    <row r="322" spans="22:31" ht="11.25" customHeight="1" x14ac:dyDescent="0.3">
      <c r="V322" s="6"/>
      <c r="W322" s="6"/>
      <c r="X322" s="6"/>
      <c r="Y322" s="6"/>
      <c r="Z322" s="6"/>
      <c r="AA322" s="6"/>
      <c r="AB322" s="6"/>
      <c r="AC322" s="6"/>
      <c r="AD322" s="6"/>
      <c r="AE322" s="6"/>
    </row>
    <row r="323" spans="22:31" ht="11.25" customHeight="1" x14ac:dyDescent="0.3">
      <c r="V323" s="6"/>
      <c r="W323" s="6"/>
      <c r="X323" s="6"/>
      <c r="Y323" s="6"/>
      <c r="Z323" s="6"/>
      <c r="AA323" s="6"/>
      <c r="AB323" s="6"/>
      <c r="AC323" s="6"/>
      <c r="AD323" s="6"/>
      <c r="AE323" s="6"/>
    </row>
    <row r="324" spans="22:31" ht="11.25" customHeight="1" x14ac:dyDescent="0.3">
      <c r="V324" s="6"/>
      <c r="W324" s="6"/>
      <c r="X324" s="6"/>
      <c r="Y324" s="6"/>
      <c r="Z324" s="6"/>
      <c r="AA324" s="6"/>
      <c r="AB324" s="6"/>
      <c r="AC324" s="6"/>
      <c r="AD324" s="6"/>
      <c r="AE324" s="6"/>
    </row>
    <row r="325" spans="22:31" ht="11.25" customHeight="1" x14ac:dyDescent="0.3">
      <c r="V325" s="6"/>
      <c r="W325" s="6"/>
      <c r="X325" s="6"/>
      <c r="Y325" s="6"/>
      <c r="Z325" s="6"/>
      <c r="AA325" s="6"/>
      <c r="AB325" s="6"/>
      <c r="AC325" s="6"/>
      <c r="AD325" s="6"/>
      <c r="AE325" s="6"/>
    </row>
    <row r="326" spans="22:31" ht="11.25" customHeight="1" x14ac:dyDescent="0.3">
      <c r="V326" s="6"/>
      <c r="W326" s="6"/>
      <c r="X326" s="6"/>
      <c r="Y326" s="6"/>
      <c r="Z326" s="6"/>
      <c r="AA326" s="6"/>
      <c r="AB326" s="6"/>
      <c r="AC326" s="6"/>
      <c r="AD326" s="6"/>
      <c r="AE326" s="6"/>
    </row>
    <row r="327" spans="22:31" ht="11.25" customHeight="1" x14ac:dyDescent="0.3">
      <c r="V327" s="6"/>
      <c r="W327" s="6"/>
      <c r="X327" s="6"/>
      <c r="Y327" s="6"/>
      <c r="Z327" s="6"/>
      <c r="AA327" s="6"/>
      <c r="AB327" s="6"/>
      <c r="AC327" s="6"/>
      <c r="AD327" s="6"/>
      <c r="AE327" s="6"/>
    </row>
    <row r="328" spans="22:31" ht="11.25" customHeight="1" x14ac:dyDescent="0.3">
      <c r="V328" s="6"/>
      <c r="W328" s="6"/>
      <c r="X328" s="6"/>
      <c r="Y328" s="6"/>
      <c r="Z328" s="6"/>
      <c r="AA328" s="6"/>
      <c r="AB328" s="6"/>
      <c r="AC328" s="6"/>
      <c r="AD328" s="6"/>
      <c r="AE328" s="6"/>
    </row>
    <row r="329" spans="22:31" ht="11.25" customHeight="1" x14ac:dyDescent="0.3">
      <c r="V329" s="6"/>
      <c r="W329" s="6"/>
      <c r="X329" s="6"/>
      <c r="Y329" s="6"/>
      <c r="Z329" s="6"/>
      <c r="AA329" s="6"/>
      <c r="AB329" s="6"/>
      <c r="AC329" s="6"/>
      <c r="AD329" s="6"/>
      <c r="AE329" s="6"/>
    </row>
    <row r="330" spans="22:31" ht="11.25" customHeight="1" x14ac:dyDescent="0.3">
      <c r="V330" s="6"/>
      <c r="W330" s="6"/>
      <c r="X330" s="6"/>
      <c r="Y330" s="6"/>
      <c r="Z330" s="6"/>
      <c r="AA330" s="6"/>
      <c r="AB330" s="6"/>
      <c r="AC330" s="6"/>
      <c r="AD330" s="6"/>
      <c r="AE330" s="6"/>
    </row>
    <row r="331" spans="22:31" ht="11.25" customHeight="1" x14ac:dyDescent="0.3">
      <c r="V331" s="6"/>
      <c r="W331" s="6"/>
      <c r="X331" s="6"/>
      <c r="Y331" s="6"/>
      <c r="Z331" s="6"/>
      <c r="AA331" s="6"/>
      <c r="AB331" s="6"/>
      <c r="AC331" s="6"/>
      <c r="AD331" s="6"/>
      <c r="AE331" s="6"/>
    </row>
    <row r="332" spans="22:31" ht="11.25" customHeight="1" x14ac:dyDescent="0.3">
      <c r="V332" s="6"/>
      <c r="W332" s="6"/>
      <c r="X332" s="6"/>
      <c r="Y332" s="6"/>
      <c r="Z332" s="6"/>
      <c r="AA332" s="6"/>
      <c r="AB332" s="6"/>
      <c r="AC332" s="6"/>
      <c r="AD332" s="6"/>
      <c r="AE332" s="6"/>
    </row>
    <row r="333" spans="22:31" ht="11.25" customHeight="1" x14ac:dyDescent="0.3">
      <c r="V333" s="6"/>
      <c r="W333" s="6"/>
      <c r="X333" s="6"/>
      <c r="Y333" s="6"/>
      <c r="Z333" s="6"/>
      <c r="AA333" s="6"/>
      <c r="AB333" s="6"/>
      <c r="AC333" s="6"/>
      <c r="AD333" s="6"/>
      <c r="AE333" s="6"/>
    </row>
    <row r="334" spans="22:31" ht="11.25" customHeight="1" x14ac:dyDescent="0.3">
      <c r="V334" s="6"/>
      <c r="W334" s="6"/>
      <c r="X334" s="6"/>
      <c r="Y334" s="6"/>
      <c r="Z334" s="6"/>
      <c r="AA334" s="6"/>
      <c r="AB334" s="6"/>
      <c r="AC334" s="6"/>
      <c r="AD334" s="6"/>
      <c r="AE334" s="6"/>
    </row>
    <row r="335" spans="22:31" ht="11.25" customHeight="1" x14ac:dyDescent="0.3">
      <c r="V335" s="6"/>
      <c r="W335" s="6"/>
      <c r="X335" s="6"/>
      <c r="Y335" s="6"/>
      <c r="Z335" s="6"/>
      <c r="AA335" s="6"/>
      <c r="AB335" s="6"/>
      <c r="AC335" s="6"/>
      <c r="AD335" s="6"/>
      <c r="AE335" s="6"/>
    </row>
    <row r="336" spans="22:31" ht="11.25" customHeight="1" x14ac:dyDescent="0.3">
      <c r="V336" s="6"/>
      <c r="W336" s="6"/>
      <c r="X336" s="6"/>
      <c r="Y336" s="6"/>
      <c r="Z336" s="6"/>
      <c r="AA336" s="6"/>
      <c r="AB336" s="6"/>
      <c r="AC336" s="6"/>
      <c r="AD336" s="6"/>
      <c r="AE336" s="6"/>
    </row>
    <row r="337" spans="22:31" ht="11.25" customHeight="1" x14ac:dyDescent="0.3">
      <c r="V337" s="6"/>
      <c r="W337" s="6"/>
      <c r="X337" s="6"/>
      <c r="Y337" s="6"/>
      <c r="Z337" s="6"/>
      <c r="AA337" s="6"/>
      <c r="AB337" s="6"/>
      <c r="AC337" s="6"/>
      <c r="AD337" s="6"/>
      <c r="AE337" s="6"/>
    </row>
    <row r="338" spans="22:31" ht="11.25" customHeight="1" x14ac:dyDescent="0.3">
      <c r="V338" s="6"/>
      <c r="W338" s="6"/>
      <c r="X338" s="6"/>
      <c r="Y338" s="6"/>
      <c r="Z338" s="6"/>
      <c r="AA338" s="6"/>
      <c r="AB338" s="6"/>
      <c r="AC338" s="6"/>
      <c r="AD338" s="6"/>
      <c r="AE338" s="6"/>
    </row>
    <row r="339" spans="22:31" ht="11.25" customHeight="1" x14ac:dyDescent="0.3">
      <c r="V339" s="6"/>
      <c r="W339" s="6"/>
      <c r="X339" s="6"/>
      <c r="Y339" s="6"/>
      <c r="Z339" s="6"/>
      <c r="AA339" s="6"/>
      <c r="AB339" s="6"/>
      <c r="AC339" s="6"/>
      <c r="AD339" s="6"/>
      <c r="AE339" s="6"/>
    </row>
    <row r="340" spans="22:31" ht="11.25" customHeight="1" x14ac:dyDescent="0.3">
      <c r="V340" s="6"/>
      <c r="W340" s="6"/>
      <c r="X340" s="6"/>
      <c r="Y340" s="6"/>
      <c r="Z340" s="6"/>
      <c r="AA340" s="6"/>
      <c r="AB340" s="6"/>
      <c r="AC340" s="6"/>
      <c r="AD340" s="6"/>
      <c r="AE340" s="6"/>
    </row>
    <row r="341" spans="22:31" ht="11.25" customHeight="1" x14ac:dyDescent="0.3">
      <c r="V341" s="6"/>
      <c r="W341" s="6"/>
      <c r="X341" s="6"/>
      <c r="Y341" s="6"/>
      <c r="Z341" s="6"/>
      <c r="AA341" s="6"/>
      <c r="AB341" s="6"/>
      <c r="AC341" s="6"/>
      <c r="AD341" s="6"/>
      <c r="AE341" s="6"/>
    </row>
    <row r="342" spans="22:31" ht="11.25" customHeight="1" x14ac:dyDescent="0.3">
      <c r="V342" s="6"/>
      <c r="W342" s="6"/>
      <c r="X342" s="6"/>
      <c r="Y342" s="6"/>
      <c r="Z342" s="6"/>
      <c r="AA342" s="6"/>
      <c r="AB342" s="6"/>
      <c r="AC342" s="6"/>
      <c r="AD342" s="6"/>
      <c r="AE342" s="6"/>
    </row>
    <row r="343" spans="22:31" ht="11.25" customHeight="1" x14ac:dyDescent="0.3">
      <c r="V343" s="6"/>
      <c r="W343" s="6"/>
      <c r="X343" s="6"/>
      <c r="Y343" s="6"/>
      <c r="Z343" s="6"/>
      <c r="AA343" s="6"/>
      <c r="AB343" s="6"/>
      <c r="AC343" s="6"/>
      <c r="AD343" s="6"/>
      <c r="AE343" s="6"/>
    </row>
    <row r="344" spans="22:31" ht="11.25" customHeight="1" x14ac:dyDescent="0.3">
      <c r="V344" s="6"/>
      <c r="W344" s="6"/>
      <c r="X344" s="6"/>
      <c r="Y344" s="6"/>
      <c r="Z344" s="6"/>
      <c r="AA344" s="6"/>
      <c r="AB344" s="6"/>
      <c r="AC344" s="6"/>
      <c r="AD344" s="6"/>
      <c r="AE344" s="6"/>
    </row>
    <row r="345" spans="22:31" ht="11.25" customHeight="1" x14ac:dyDescent="0.3">
      <c r="V345" s="6"/>
      <c r="W345" s="6"/>
      <c r="X345" s="6"/>
      <c r="Y345" s="6"/>
      <c r="Z345" s="6"/>
      <c r="AA345" s="6"/>
      <c r="AB345" s="6"/>
      <c r="AC345" s="6"/>
      <c r="AD345" s="6"/>
      <c r="AE345" s="6"/>
    </row>
    <row r="346" spans="22:31" ht="11.25" customHeight="1" x14ac:dyDescent="0.3">
      <c r="V346" s="6"/>
      <c r="W346" s="6"/>
      <c r="X346" s="6"/>
      <c r="Y346" s="6"/>
      <c r="Z346" s="6"/>
      <c r="AA346" s="6"/>
      <c r="AB346" s="6"/>
      <c r="AC346" s="6"/>
      <c r="AD346" s="6"/>
      <c r="AE346" s="6"/>
    </row>
    <row r="347" spans="22:31" ht="11.25" customHeight="1" x14ac:dyDescent="0.3">
      <c r="V347" s="6"/>
      <c r="W347" s="6"/>
      <c r="X347" s="6"/>
      <c r="Y347" s="6"/>
      <c r="Z347" s="6"/>
      <c r="AA347" s="6"/>
      <c r="AB347" s="6"/>
      <c r="AC347" s="6"/>
      <c r="AD347" s="6"/>
      <c r="AE347" s="6"/>
    </row>
    <row r="348" spans="22:31" ht="11.25" customHeight="1" x14ac:dyDescent="0.3">
      <c r="V348" s="6"/>
      <c r="W348" s="6"/>
      <c r="X348" s="6"/>
      <c r="Y348" s="6"/>
      <c r="Z348" s="6"/>
      <c r="AA348" s="6"/>
      <c r="AB348" s="6"/>
      <c r="AC348" s="6"/>
      <c r="AD348" s="6"/>
      <c r="AE348" s="6"/>
    </row>
    <row r="349" spans="22:31" ht="11.25" customHeight="1" x14ac:dyDescent="0.3">
      <c r="V349" s="6"/>
      <c r="W349" s="6"/>
      <c r="X349" s="6"/>
      <c r="Y349" s="6"/>
      <c r="Z349" s="6"/>
      <c r="AA349" s="6"/>
      <c r="AB349" s="6"/>
      <c r="AC349" s="6"/>
      <c r="AD349" s="6"/>
      <c r="AE349" s="6"/>
    </row>
    <row r="350" spans="22:31" ht="11.25" customHeight="1" x14ac:dyDescent="0.3">
      <c r="V350" s="6"/>
      <c r="W350" s="6"/>
      <c r="X350" s="6"/>
      <c r="Y350" s="6"/>
      <c r="Z350" s="6"/>
      <c r="AA350" s="6"/>
      <c r="AB350" s="6"/>
      <c r="AC350" s="6"/>
      <c r="AD350" s="6"/>
      <c r="AE350" s="6"/>
    </row>
    <row r="351" spans="22:31" ht="11.25" customHeight="1" x14ac:dyDescent="0.3">
      <c r="V351" s="6"/>
      <c r="W351" s="6"/>
      <c r="X351" s="6"/>
      <c r="Y351" s="6"/>
      <c r="Z351" s="6"/>
      <c r="AA351" s="6"/>
      <c r="AB351" s="6"/>
      <c r="AC351" s="6"/>
      <c r="AD351" s="6"/>
      <c r="AE351" s="6"/>
    </row>
    <row r="352" spans="22:31" ht="11.25" customHeight="1" x14ac:dyDescent="0.3">
      <c r="V352" s="6"/>
      <c r="W352" s="6"/>
      <c r="X352" s="6"/>
      <c r="Y352" s="6"/>
      <c r="Z352" s="6"/>
      <c r="AA352" s="6"/>
      <c r="AB352" s="6"/>
      <c r="AC352" s="6"/>
      <c r="AD352" s="6"/>
      <c r="AE352" s="6"/>
    </row>
    <row r="353" spans="22:31" ht="11.25" customHeight="1" x14ac:dyDescent="0.3">
      <c r="V353" s="6"/>
      <c r="W353" s="6"/>
      <c r="X353" s="6"/>
      <c r="Y353" s="6"/>
      <c r="Z353" s="6"/>
      <c r="AA353" s="6"/>
      <c r="AB353" s="6"/>
      <c r="AC353" s="6"/>
      <c r="AD353" s="6"/>
      <c r="AE353" s="6"/>
    </row>
    <row r="354" spans="22:31" ht="11.25" customHeight="1" x14ac:dyDescent="0.3">
      <c r="V354" s="6"/>
      <c r="W354" s="6"/>
      <c r="X354" s="6"/>
      <c r="Y354" s="6"/>
      <c r="Z354" s="6"/>
      <c r="AA354" s="6"/>
      <c r="AB354" s="6"/>
      <c r="AC354" s="6"/>
      <c r="AD354" s="6"/>
      <c r="AE354" s="6"/>
    </row>
    <row r="355" spans="22:31" ht="11.25" customHeight="1" x14ac:dyDescent="0.3">
      <c r="V355" s="6"/>
      <c r="W355" s="6"/>
      <c r="X355" s="6"/>
      <c r="Y355" s="6"/>
      <c r="Z355" s="6"/>
      <c r="AA355" s="6"/>
      <c r="AB355" s="6"/>
      <c r="AC355" s="6"/>
      <c r="AD355" s="6"/>
      <c r="AE355" s="6"/>
    </row>
    <row r="356" spans="22:31" ht="11.25" customHeight="1" x14ac:dyDescent="0.3">
      <c r="V356" s="6"/>
      <c r="W356" s="6"/>
      <c r="X356" s="6"/>
      <c r="Y356" s="6"/>
      <c r="Z356" s="6"/>
      <c r="AA356" s="6"/>
      <c r="AB356" s="6"/>
      <c r="AC356" s="6"/>
      <c r="AD356" s="6"/>
      <c r="AE356" s="6"/>
    </row>
    <row r="357" spans="22:31" ht="11.25" customHeight="1" x14ac:dyDescent="0.3">
      <c r="V357" s="6"/>
      <c r="W357" s="6"/>
      <c r="X357" s="6"/>
      <c r="Y357" s="6"/>
      <c r="Z357" s="6"/>
      <c r="AA357" s="6"/>
      <c r="AB357" s="6"/>
      <c r="AC357" s="6"/>
      <c r="AD357" s="6"/>
      <c r="AE357" s="6"/>
    </row>
    <row r="358" spans="22:31" ht="11.25" customHeight="1" x14ac:dyDescent="0.3">
      <c r="V358" s="6"/>
      <c r="W358" s="6"/>
      <c r="X358" s="6"/>
      <c r="Y358" s="6"/>
      <c r="Z358" s="6"/>
      <c r="AA358" s="6"/>
      <c r="AB358" s="6"/>
      <c r="AC358" s="6"/>
      <c r="AD358" s="6"/>
      <c r="AE358" s="6"/>
    </row>
    <row r="359" spans="22:31" ht="11.25" customHeight="1" x14ac:dyDescent="0.3">
      <c r="V359" s="6"/>
      <c r="W359" s="6"/>
      <c r="X359" s="6"/>
      <c r="Y359" s="6"/>
      <c r="Z359" s="6"/>
      <c r="AA359" s="6"/>
      <c r="AB359" s="6"/>
      <c r="AC359" s="6"/>
      <c r="AD359" s="6"/>
      <c r="AE359" s="6"/>
    </row>
    <row r="360" spans="22:31" ht="11.25" customHeight="1" x14ac:dyDescent="0.3">
      <c r="V360" s="6"/>
      <c r="W360" s="6"/>
      <c r="X360" s="6"/>
      <c r="Y360" s="6"/>
      <c r="Z360" s="6"/>
      <c r="AA360" s="6"/>
      <c r="AB360" s="6"/>
      <c r="AC360" s="6"/>
      <c r="AD360" s="6"/>
      <c r="AE360" s="6"/>
    </row>
    <row r="361" spans="22:31" ht="11.25" customHeight="1" x14ac:dyDescent="0.3">
      <c r="V361" s="6"/>
      <c r="W361" s="6"/>
      <c r="X361" s="6"/>
      <c r="Y361" s="6"/>
      <c r="Z361" s="6"/>
      <c r="AA361" s="6"/>
      <c r="AB361" s="6"/>
      <c r="AC361" s="6"/>
      <c r="AD361" s="6"/>
      <c r="AE361" s="6"/>
    </row>
    <row r="362" spans="22:31" ht="11.25" customHeight="1" x14ac:dyDescent="0.3">
      <c r="V362" s="6"/>
      <c r="W362" s="6"/>
      <c r="X362" s="6"/>
      <c r="Y362" s="6"/>
      <c r="Z362" s="6"/>
      <c r="AA362" s="6"/>
      <c r="AB362" s="6"/>
      <c r="AC362" s="6"/>
      <c r="AD362" s="6"/>
      <c r="AE362" s="6"/>
    </row>
    <row r="363" spans="22:31" ht="11.25" customHeight="1" x14ac:dyDescent="0.3">
      <c r="V363" s="6"/>
      <c r="W363" s="6"/>
      <c r="X363" s="6"/>
      <c r="Y363" s="6"/>
      <c r="Z363" s="6"/>
      <c r="AA363" s="6"/>
      <c r="AB363" s="6"/>
      <c r="AC363" s="6"/>
      <c r="AD363" s="6"/>
      <c r="AE363" s="6"/>
    </row>
    <row r="364" spans="22:31" ht="11.25" customHeight="1" x14ac:dyDescent="0.3">
      <c r="V364" s="6"/>
      <c r="W364" s="6"/>
      <c r="X364" s="6"/>
      <c r="Y364" s="6"/>
      <c r="Z364" s="6"/>
      <c r="AA364" s="6"/>
      <c r="AB364" s="6"/>
      <c r="AC364" s="6"/>
      <c r="AD364" s="6"/>
      <c r="AE364" s="6"/>
    </row>
    <row r="365" spans="22:31" ht="11.25" customHeight="1" x14ac:dyDescent="0.3">
      <c r="V365" s="6"/>
      <c r="W365" s="6"/>
      <c r="X365" s="6"/>
      <c r="Y365" s="6"/>
      <c r="Z365" s="6"/>
      <c r="AA365" s="6"/>
      <c r="AB365" s="6"/>
      <c r="AC365" s="6"/>
      <c r="AD365" s="6"/>
      <c r="AE365" s="6"/>
    </row>
    <row r="366" spans="22:31" ht="11.25" customHeight="1" x14ac:dyDescent="0.3">
      <c r="V366" s="6"/>
      <c r="W366" s="6"/>
      <c r="X366" s="6"/>
      <c r="Y366" s="6"/>
      <c r="Z366" s="6"/>
      <c r="AA366" s="6"/>
      <c r="AB366" s="6"/>
      <c r="AC366" s="6"/>
      <c r="AD366" s="6"/>
      <c r="AE366" s="6"/>
    </row>
    <row r="367" spans="22:31" ht="11.25" customHeight="1" x14ac:dyDescent="0.3">
      <c r="V367" s="6"/>
      <c r="W367" s="6"/>
      <c r="X367" s="6"/>
      <c r="Y367" s="6"/>
      <c r="Z367" s="6"/>
      <c r="AA367" s="6"/>
      <c r="AB367" s="6"/>
      <c r="AC367" s="6"/>
      <c r="AD367" s="6"/>
      <c r="AE367" s="6"/>
    </row>
    <row r="368" spans="22:31" ht="11.25" customHeight="1" x14ac:dyDescent="0.3">
      <c r="V368" s="6"/>
      <c r="W368" s="6"/>
      <c r="X368" s="6"/>
      <c r="Y368" s="6"/>
      <c r="Z368" s="6"/>
      <c r="AA368" s="6"/>
      <c r="AB368" s="6"/>
      <c r="AC368" s="6"/>
      <c r="AD368" s="6"/>
      <c r="AE368" s="6"/>
    </row>
    <row r="369" spans="22:31" ht="11.25" customHeight="1" x14ac:dyDescent="0.3">
      <c r="V369" s="6"/>
      <c r="W369" s="6"/>
      <c r="X369" s="6"/>
      <c r="Y369" s="6"/>
      <c r="Z369" s="6"/>
      <c r="AA369" s="6"/>
      <c r="AB369" s="6"/>
      <c r="AC369" s="6"/>
      <c r="AD369" s="6"/>
      <c r="AE369" s="6"/>
    </row>
    <row r="370" spans="22:31" ht="11.25" customHeight="1" x14ac:dyDescent="0.3">
      <c r="V370" s="6"/>
      <c r="W370" s="6"/>
      <c r="X370" s="6"/>
      <c r="Y370" s="6"/>
      <c r="Z370" s="6"/>
      <c r="AA370" s="6"/>
      <c r="AB370" s="6"/>
      <c r="AC370" s="6"/>
      <c r="AD370" s="6"/>
      <c r="AE370" s="6"/>
    </row>
    <row r="371" spans="22:31" ht="11.25" customHeight="1" x14ac:dyDescent="0.3">
      <c r="V371" s="6"/>
      <c r="W371" s="6"/>
      <c r="X371" s="6"/>
      <c r="Y371" s="6"/>
      <c r="Z371" s="6"/>
      <c r="AA371" s="6"/>
      <c r="AB371" s="6"/>
      <c r="AC371" s="6"/>
      <c r="AD371" s="6"/>
      <c r="AE371" s="6"/>
    </row>
    <row r="372" spans="22:31" ht="11.25" customHeight="1" x14ac:dyDescent="0.3">
      <c r="V372" s="6"/>
      <c r="W372" s="6"/>
      <c r="X372" s="6"/>
      <c r="Y372" s="6"/>
      <c r="Z372" s="6"/>
      <c r="AA372" s="6"/>
      <c r="AB372" s="6"/>
      <c r="AC372" s="6"/>
      <c r="AD372" s="6"/>
      <c r="AE372" s="6"/>
    </row>
    <row r="373" spans="22:31" ht="11.25" customHeight="1" x14ac:dyDescent="0.3">
      <c r="V373" s="6"/>
      <c r="W373" s="6"/>
      <c r="X373" s="6"/>
      <c r="Y373" s="6"/>
      <c r="Z373" s="6"/>
      <c r="AA373" s="6"/>
      <c r="AB373" s="6"/>
      <c r="AC373" s="6"/>
      <c r="AD373" s="6"/>
      <c r="AE373" s="6"/>
    </row>
    <row r="374" spans="22:31" ht="11.25" customHeight="1" x14ac:dyDescent="0.3">
      <c r="V374" s="6"/>
      <c r="W374" s="6"/>
      <c r="X374" s="6"/>
      <c r="Y374" s="6"/>
      <c r="Z374" s="6"/>
      <c r="AA374" s="6"/>
      <c r="AB374" s="6"/>
      <c r="AC374" s="6"/>
      <c r="AD374" s="6"/>
      <c r="AE374" s="6"/>
    </row>
    <row r="375" spans="22:31" ht="11.25" customHeight="1" x14ac:dyDescent="0.3">
      <c r="V375" s="6"/>
      <c r="W375" s="6"/>
      <c r="X375" s="6"/>
      <c r="Y375" s="6"/>
      <c r="Z375" s="6"/>
      <c r="AA375" s="6"/>
      <c r="AB375" s="6"/>
      <c r="AC375" s="6"/>
      <c r="AD375" s="6"/>
      <c r="AE375" s="6"/>
    </row>
    <row r="376" spans="22:31" ht="11.25" customHeight="1" x14ac:dyDescent="0.3">
      <c r="V376" s="6"/>
      <c r="W376" s="6"/>
      <c r="X376" s="6"/>
      <c r="Y376" s="6"/>
      <c r="Z376" s="6"/>
      <c r="AA376" s="6"/>
      <c r="AB376" s="6"/>
      <c r="AC376" s="6"/>
      <c r="AD376" s="6"/>
      <c r="AE376" s="6"/>
    </row>
    <row r="377" spans="22:31" ht="11.25" customHeight="1" x14ac:dyDescent="0.3">
      <c r="V377" s="6"/>
      <c r="W377" s="6"/>
      <c r="X377" s="6"/>
      <c r="Y377" s="6"/>
      <c r="Z377" s="6"/>
      <c r="AA377" s="6"/>
      <c r="AB377" s="6"/>
      <c r="AC377" s="6"/>
      <c r="AD377" s="6"/>
      <c r="AE377" s="6"/>
    </row>
    <row r="378" spans="22:31" ht="11.25" customHeight="1" x14ac:dyDescent="0.3">
      <c r="V378" s="6"/>
      <c r="W378" s="6"/>
      <c r="X378" s="6"/>
      <c r="Y378" s="6"/>
      <c r="Z378" s="6"/>
      <c r="AA378" s="6"/>
      <c r="AB378" s="6"/>
      <c r="AC378" s="6"/>
      <c r="AD378" s="6"/>
      <c r="AE378" s="6"/>
    </row>
    <row r="379" spans="22:31" ht="11.25" customHeight="1" x14ac:dyDescent="0.3">
      <c r="V379" s="6"/>
      <c r="W379" s="6"/>
      <c r="X379" s="6"/>
      <c r="Y379" s="6"/>
      <c r="Z379" s="6"/>
      <c r="AA379" s="6"/>
      <c r="AB379" s="6"/>
      <c r="AC379" s="6"/>
      <c r="AD379" s="6"/>
      <c r="AE379" s="6"/>
    </row>
    <row r="380" spans="22:31" ht="11.25" customHeight="1" x14ac:dyDescent="0.3">
      <c r="V380" s="6"/>
      <c r="W380" s="6"/>
      <c r="X380" s="6"/>
      <c r="Y380" s="6"/>
      <c r="Z380" s="6"/>
      <c r="AA380" s="6"/>
      <c r="AB380" s="6"/>
      <c r="AC380" s="6"/>
      <c r="AD380" s="6"/>
      <c r="AE380" s="6"/>
    </row>
    <row r="381" spans="22:31" ht="11.25" customHeight="1" x14ac:dyDescent="0.3">
      <c r="V381" s="6"/>
      <c r="W381" s="6"/>
      <c r="X381" s="6"/>
      <c r="Y381" s="6"/>
      <c r="Z381" s="6"/>
      <c r="AA381" s="6"/>
      <c r="AB381" s="6"/>
      <c r="AC381" s="6"/>
      <c r="AD381" s="6"/>
      <c r="AE381" s="6"/>
    </row>
    <row r="382" spans="22:31" ht="11.25" customHeight="1" x14ac:dyDescent="0.3">
      <c r="V382" s="6"/>
      <c r="W382" s="6"/>
      <c r="X382" s="6"/>
      <c r="Y382" s="6"/>
      <c r="Z382" s="6"/>
      <c r="AA382" s="6"/>
      <c r="AB382" s="6"/>
      <c r="AC382" s="6"/>
      <c r="AD382" s="6"/>
      <c r="AE382" s="6"/>
    </row>
    <row r="383" spans="22:31" ht="11.25" customHeight="1" x14ac:dyDescent="0.3">
      <c r="V383" s="6"/>
      <c r="W383" s="6"/>
      <c r="X383" s="6"/>
      <c r="Y383" s="6"/>
      <c r="Z383" s="6"/>
      <c r="AA383" s="6"/>
      <c r="AB383" s="6"/>
      <c r="AC383" s="6"/>
      <c r="AD383" s="6"/>
      <c r="AE383" s="6"/>
    </row>
    <row r="384" spans="22:31" ht="11.25" customHeight="1" x14ac:dyDescent="0.3">
      <c r="V384" s="6"/>
      <c r="W384" s="6"/>
      <c r="X384" s="6"/>
      <c r="Y384" s="6"/>
      <c r="Z384" s="6"/>
      <c r="AA384" s="6"/>
      <c r="AB384" s="6"/>
      <c r="AC384" s="6"/>
      <c r="AD384" s="6"/>
      <c r="AE384" s="6"/>
    </row>
    <row r="385" spans="22:31" ht="11.25" customHeight="1" x14ac:dyDescent="0.3">
      <c r="V385" s="6"/>
      <c r="W385" s="6"/>
      <c r="X385" s="6"/>
      <c r="Y385" s="6"/>
      <c r="Z385" s="6"/>
      <c r="AA385" s="6"/>
      <c r="AB385" s="6"/>
      <c r="AC385" s="6"/>
      <c r="AD385" s="6"/>
      <c r="AE385" s="6"/>
    </row>
    <row r="386" spans="22:31" ht="11.25" customHeight="1" x14ac:dyDescent="0.3">
      <c r="V386" s="6"/>
      <c r="W386" s="6"/>
      <c r="X386" s="6"/>
      <c r="Y386" s="6"/>
      <c r="Z386" s="6"/>
      <c r="AA386" s="6"/>
      <c r="AB386" s="6"/>
      <c r="AC386" s="6"/>
      <c r="AD386" s="6"/>
      <c r="AE386" s="6"/>
    </row>
    <row r="387" spans="22:31" ht="11.25" customHeight="1" x14ac:dyDescent="0.3">
      <c r="V387" s="6"/>
      <c r="W387" s="6"/>
      <c r="X387" s="6"/>
      <c r="Y387" s="6"/>
      <c r="Z387" s="6"/>
      <c r="AA387" s="6"/>
      <c r="AB387" s="6"/>
      <c r="AC387" s="6"/>
      <c r="AD387" s="6"/>
      <c r="AE387" s="6"/>
    </row>
    <row r="388" spans="22:31" ht="11.25" customHeight="1" x14ac:dyDescent="0.3">
      <c r="V388" s="6"/>
      <c r="W388" s="6"/>
      <c r="X388" s="6"/>
      <c r="Y388" s="6"/>
      <c r="Z388" s="6"/>
      <c r="AA388" s="6"/>
      <c r="AB388" s="6"/>
      <c r="AC388" s="6"/>
      <c r="AD388" s="6"/>
      <c r="AE388" s="6"/>
    </row>
    <row r="389" spans="22:31" ht="11.25" customHeight="1" x14ac:dyDescent="0.3">
      <c r="V389" s="6"/>
      <c r="W389" s="6"/>
      <c r="X389" s="6"/>
      <c r="Y389" s="6"/>
      <c r="Z389" s="6"/>
      <c r="AA389" s="6"/>
      <c r="AB389" s="6"/>
      <c r="AC389" s="6"/>
      <c r="AD389" s="6"/>
      <c r="AE389" s="6"/>
    </row>
    <row r="390" spans="22:31" ht="11.25" customHeight="1" x14ac:dyDescent="0.3">
      <c r="V390" s="6"/>
      <c r="W390" s="6"/>
      <c r="X390" s="6"/>
      <c r="Y390" s="6"/>
      <c r="Z390" s="6"/>
      <c r="AA390" s="6"/>
      <c r="AB390" s="6"/>
      <c r="AC390" s="6"/>
      <c r="AD390" s="6"/>
      <c r="AE390" s="6"/>
    </row>
    <row r="391" spans="22:31" ht="11.25" customHeight="1" x14ac:dyDescent="0.3">
      <c r="V391" s="6"/>
      <c r="W391" s="6"/>
      <c r="X391" s="6"/>
      <c r="Y391" s="6"/>
      <c r="Z391" s="6"/>
      <c r="AA391" s="6"/>
      <c r="AB391" s="6"/>
      <c r="AC391" s="6"/>
      <c r="AD391" s="6"/>
      <c r="AE391" s="6"/>
    </row>
    <row r="392" spans="22:31" ht="11.25" customHeight="1" x14ac:dyDescent="0.3">
      <c r="V392" s="6"/>
      <c r="W392" s="6"/>
      <c r="X392" s="6"/>
      <c r="Y392" s="6"/>
      <c r="Z392" s="6"/>
      <c r="AA392" s="6"/>
      <c r="AB392" s="6"/>
      <c r="AC392" s="6"/>
      <c r="AD392" s="6"/>
      <c r="AE392" s="6"/>
    </row>
    <row r="393" spans="22:31" ht="11.25" customHeight="1" x14ac:dyDescent="0.3">
      <c r="V393" s="6"/>
      <c r="W393" s="6"/>
      <c r="X393" s="6"/>
      <c r="Y393" s="6"/>
      <c r="Z393" s="6"/>
      <c r="AA393" s="6"/>
      <c r="AB393" s="6"/>
      <c r="AC393" s="6"/>
      <c r="AD393" s="6"/>
      <c r="AE393" s="6"/>
    </row>
    <row r="394" spans="22:31" ht="11.25" customHeight="1" x14ac:dyDescent="0.3">
      <c r="V394" s="6"/>
      <c r="W394" s="6"/>
      <c r="X394" s="6"/>
      <c r="Y394" s="6"/>
      <c r="Z394" s="6"/>
      <c r="AA394" s="6"/>
      <c r="AB394" s="6"/>
      <c r="AC394" s="6"/>
      <c r="AD394" s="6"/>
      <c r="AE394" s="6"/>
    </row>
    <row r="395" spans="22:31" ht="11.25" customHeight="1" x14ac:dyDescent="0.3">
      <c r="V395" s="6"/>
      <c r="W395" s="6"/>
      <c r="X395" s="6"/>
      <c r="Y395" s="6"/>
      <c r="Z395" s="6"/>
      <c r="AA395" s="6"/>
      <c r="AB395" s="6"/>
      <c r="AC395" s="6"/>
      <c r="AD395" s="6"/>
      <c r="AE395" s="6"/>
    </row>
    <row r="396" spans="22:31" ht="11.25" customHeight="1" x14ac:dyDescent="0.3">
      <c r="V396" s="6"/>
      <c r="W396" s="6"/>
      <c r="X396" s="6"/>
      <c r="Y396" s="6"/>
      <c r="Z396" s="6"/>
      <c r="AA396" s="6"/>
      <c r="AB396" s="6"/>
      <c r="AC396" s="6"/>
      <c r="AD396" s="6"/>
      <c r="AE396" s="6"/>
    </row>
    <row r="397" spans="22:31" ht="11.25" customHeight="1" x14ac:dyDescent="0.3">
      <c r="V397" s="6"/>
      <c r="W397" s="6"/>
      <c r="X397" s="6"/>
      <c r="Y397" s="6"/>
      <c r="Z397" s="6"/>
      <c r="AA397" s="6"/>
      <c r="AB397" s="6"/>
      <c r="AC397" s="6"/>
      <c r="AD397" s="6"/>
      <c r="AE397" s="6"/>
    </row>
    <row r="398" spans="22:31" ht="11.25" customHeight="1" x14ac:dyDescent="0.3">
      <c r="V398" s="6"/>
      <c r="W398" s="6"/>
      <c r="X398" s="6"/>
      <c r="Y398" s="6"/>
      <c r="Z398" s="6"/>
      <c r="AA398" s="6"/>
      <c r="AB398" s="6"/>
      <c r="AC398" s="6"/>
      <c r="AD398" s="6"/>
      <c r="AE398" s="6"/>
    </row>
    <row r="399" spans="22:31" ht="11.25" customHeight="1" x14ac:dyDescent="0.3">
      <c r="V399" s="6"/>
      <c r="W399" s="6"/>
      <c r="X399" s="6"/>
      <c r="Y399" s="6"/>
      <c r="Z399" s="6"/>
      <c r="AA399" s="6"/>
      <c r="AB399" s="6"/>
      <c r="AC399" s="6"/>
      <c r="AD399" s="6"/>
      <c r="AE399" s="6"/>
    </row>
    <row r="400" spans="22:31" ht="11.25" customHeight="1" x14ac:dyDescent="0.3">
      <c r="V400" s="6"/>
      <c r="W400" s="6"/>
      <c r="X400" s="6"/>
      <c r="Y400" s="6"/>
      <c r="Z400" s="6"/>
      <c r="AA400" s="6"/>
      <c r="AB400" s="6"/>
      <c r="AC400" s="6"/>
      <c r="AD400" s="6"/>
      <c r="AE400" s="6"/>
    </row>
    <row r="401" spans="22:31" ht="11.25" customHeight="1" x14ac:dyDescent="0.3">
      <c r="V401" s="6"/>
      <c r="W401" s="6"/>
      <c r="X401" s="6"/>
      <c r="Y401" s="6"/>
      <c r="Z401" s="6"/>
      <c r="AA401" s="6"/>
      <c r="AB401" s="6"/>
      <c r="AC401" s="6"/>
      <c r="AD401" s="6"/>
      <c r="AE401" s="6"/>
    </row>
    <row r="402" spans="22:31" ht="11.25" customHeight="1" x14ac:dyDescent="0.3">
      <c r="V402" s="6"/>
      <c r="W402" s="6"/>
      <c r="X402" s="6"/>
      <c r="Y402" s="6"/>
      <c r="Z402" s="6"/>
      <c r="AA402" s="6"/>
      <c r="AB402" s="6"/>
      <c r="AC402" s="6"/>
      <c r="AD402" s="6"/>
      <c r="AE402" s="6"/>
    </row>
    <row r="403" spans="22:31" ht="11.25" customHeight="1" x14ac:dyDescent="0.3">
      <c r="V403" s="6"/>
      <c r="W403" s="6"/>
      <c r="X403" s="6"/>
      <c r="Y403" s="6"/>
      <c r="Z403" s="6"/>
      <c r="AA403" s="6"/>
      <c r="AB403" s="6"/>
      <c r="AC403" s="6"/>
      <c r="AD403" s="6"/>
      <c r="AE403" s="6"/>
    </row>
    <row r="404" spans="22:31" ht="11.25" customHeight="1" x14ac:dyDescent="0.3">
      <c r="V404" s="6"/>
      <c r="W404" s="6"/>
      <c r="X404" s="6"/>
      <c r="Y404" s="6"/>
      <c r="Z404" s="6"/>
      <c r="AA404" s="6"/>
      <c r="AB404" s="6"/>
      <c r="AC404" s="6"/>
      <c r="AD404" s="6"/>
      <c r="AE404" s="6"/>
    </row>
    <row r="405" spans="22:31" ht="11.25" customHeight="1" x14ac:dyDescent="0.3">
      <c r="V405" s="6"/>
      <c r="W405" s="6"/>
      <c r="X405" s="6"/>
      <c r="Y405" s="6"/>
      <c r="Z405" s="6"/>
      <c r="AA405" s="6"/>
      <c r="AB405" s="6"/>
      <c r="AC405" s="6"/>
      <c r="AD405" s="6"/>
      <c r="AE405" s="6"/>
    </row>
    <row r="406" spans="22:31" ht="11.25" customHeight="1" x14ac:dyDescent="0.3">
      <c r="V406" s="6"/>
      <c r="W406" s="6"/>
      <c r="X406" s="6"/>
      <c r="Y406" s="6"/>
      <c r="Z406" s="6"/>
      <c r="AA406" s="6"/>
      <c r="AB406" s="6"/>
      <c r="AC406" s="6"/>
      <c r="AD406" s="6"/>
      <c r="AE406" s="6"/>
    </row>
    <row r="407" spans="22:31" ht="11.25" customHeight="1" x14ac:dyDescent="0.3">
      <c r="V407" s="6"/>
      <c r="W407" s="6"/>
      <c r="X407" s="6"/>
      <c r="Y407" s="6"/>
      <c r="Z407" s="6"/>
      <c r="AA407" s="6"/>
      <c r="AB407" s="6"/>
      <c r="AC407" s="6"/>
      <c r="AD407" s="6"/>
      <c r="AE407" s="6"/>
    </row>
    <row r="408" spans="22:31" ht="11.25" customHeight="1" x14ac:dyDescent="0.3">
      <c r="V408" s="6"/>
      <c r="W408" s="6"/>
      <c r="X408" s="6"/>
      <c r="Y408" s="6"/>
      <c r="Z408" s="6"/>
      <c r="AA408" s="6"/>
      <c r="AB408" s="6"/>
      <c r="AC408" s="6"/>
      <c r="AD408" s="6"/>
      <c r="AE408" s="6"/>
    </row>
    <row r="409" spans="22:31" ht="11.25" customHeight="1" x14ac:dyDescent="0.3">
      <c r="V409" s="6"/>
      <c r="W409" s="6"/>
      <c r="X409" s="6"/>
      <c r="Y409" s="6"/>
      <c r="Z409" s="6"/>
      <c r="AA409" s="6"/>
      <c r="AB409" s="6"/>
      <c r="AC409" s="6"/>
      <c r="AD409" s="6"/>
      <c r="AE409" s="6"/>
    </row>
    <row r="410" spans="22:31" ht="11.25" customHeight="1" x14ac:dyDescent="0.3">
      <c r="V410" s="6"/>
      <c r="W410" s="6"/>
      <c r="X410" s="6"/>
      <c r="Y410" s="6"/>
      <c r="Z410" s="6"/>
      <c r="AA410" s="6"/>
      <c r="AB410" s="6"/>
      <c r="AC410" s="6"/>
      <c r="AD410" s="6"/>
      <c r="AE410" s="6"/>
    </row>
    <row r="411" spans="22:31" ht="11.25" customHeight="1" x14ac:dyDescent="0.3">
      <c r="V411" s="6"/>
      <c r="W411" s="6"/>
      <c r="X411" s="6"/>
      <c r="Y411" s="6"/>
      <c r="Z411" s="6"/>
      <c r="AA411" s="6"/>
      <c r="AB411" s="6"/>
      <c r="AC411" s="6"/>
      <c r="AD411" s="6"/>
      <c r="AE411" s="6"/>
    </row>
    <row r="412" spans="22:31" ht="11.25" customHeight="1" x14ac:dyDescent="0.3">
      <c r="V412" s="6"/>
      <c r="W412" s="6"/>
      <c r="X412" s="6"/>
      <c r="Y412" s="6"/>
      <c r="Z412" s="6"/>
      <c r="AA412" s="6"/>
      <c r="AB412" s="6"/>
      <c r="AC412" s="6"/>
      <c r="AD412" s="6"/>
      <c r="AE412" s="6"/>
    </row>
    <row r="413" spans="22:31" ht="11.25" customHeight="1" x14ac:dyDescent="0.3">
      <c r="V413" s="6"/>
      <c r="W413" s="6"/>
      <c r="X413" s="6"/>
      <c r="Y413" s="6"/>
      <c r="Z413" s="6"/>
      <c r="AA413" s="6"/>
      <c r="AB413" s="6"/>
      <c r="AC413" s="6"/>
      <c r="AD413" s="6"/>
      <c r="AE413" s="6"/>
    </row>
    <row r="414" spans="22:31" ht="11.25" customHeight="1" x14ac:dyDescent="0.3">
      <c r="V414" s="6"/>
      <c r="W414" s="6"/>
      <c r="X414" s="6"/>
      <c r="Y414" s="6"/>
      <c r="Z414" s="6"/>
      <c r="AA414" s="6"/>
      <c r="AB414" s="6"/>
      <c r="AC414" s="6"/>
      <c r="AD414" s="6"/>
      <c r="AE414" s="6"/>
    </row>
    <row r="415" spans="22:31" ht="11.25" customHeight="1" x14ac:dyDescent="0.3">
      <c r="V415" s="6"/>
      <c r="W415" s="6"/>
      <c r="X415" s="6"/>
      <c r="Y415" s="6"/>
      <c r="Z415" s="6"/>
      <c r="AA415" s="6"/>
      <c r="AB415" s="6"/>
      <c r="AC415" s="6"/>
      <c r="AD415" s="6"/>
      <c r="AE415" s="6"/>
    </row>
    <row r="416" spans="22:31" ht="11.25" customHeight="1" x14ac:dyDescent="0.3">
      <c r="V416" s="6"/>
      <c r="W416" s="6"/>
      <c r="X416" s="6"/>
      <c r="Y416" s="6"/>
      <c r="Z416" s="6"/>
      <c r="AA416" s="6"/>
      <c r="AB416" s="6"/>
      <c r="AC416" s="6"/>
      <c r="AD416" s="6"/>
      <c r="AE416" s="6"/>
    </row>
    <row r="417" spans="22:31" ht="11.25" customHeight="1" x14ac:dyDescent="0.3">
      <c r="V417" s="6"/>
      <c r="W417" s="6"/>
      <c r="X417" s="6"/>
      <c r="Y417" s="6"/>
      <c r="Z417" s="6"/>
      <c r="AA417" s="6"/>
      <c r="AB417" s="6"/>
      <c r="AC417" s="6"/>
      <c r="AD417" s="6"/>
      <c r="AE417" s="6"/>
    </row>
    <row r="418" spans="22:31" ht="11.25" customHeight="1" x14ac:dyDescent="0.3">
      <c r="V418" s="6"/>
      <c r="W418" s="6"/>
      <c r="X418" s="6"/>
      <c r="Y418" s="6"/>
      <c r="Z418" s="6"/>
      <c r="AA418" s="6"/>
      <c r="AB418" s="6"/>
      <c r="AC418" s="6"/>
      <c r="AD418" s="6"/>
      <c r="AE418" s="6"/>
    </row>
    <row r="419" spans="22:31" ht="11.25" customHeight="1" x14ac:dyDescent="0.3">
      <c r="V419" s="6"/>
      <c r="W419" s="6"/>
      <c r="X419" s="6"/>
      <c r="Y419" s="6"/>
      <c r="Z419" s="6"/>
      <c r="AA419" s="6"/>
      <c r="AB419" s="6"/>
      <c r="AC419" s="6"/>
      <c r="AD419" s="6"/>
      <c r="AE419" s="6"/>
    </row>
    <row r="420" spans="22:31" ht="11.25" customHeight="1" x14ac:dyDescent="0.3">
      <c r="V420" s="6"/>
      <c r="W420" s="6"/>
      <c r="X420" s="6"/>
      <c r="Y420" s="6"/>
      <c r="Z420" s="6"/>
      <c r="AA420" s="6"/>
      <c r="AB420" s="6"/>
      <c r="AC420" s="6"/>
      <c r="AD420" s="6"/>
      <c r="AE420" s="6"/>
    </row>
    <row r="421" spans="22:31" ht="11.25" customHeight="1" x14ac:dyDescent="0.3">
      <c r="V421" s="6"/>
      <c r="W421" s="6"/>
      <c r="X421" s="6"/>
      <c r="Y421" s="6"/>
      <c r="Z421" s="6"/>
      <c r="AA421" s="6"/>
      <c r="AB421" s="6"/>
      <c r="AC421" s="6"/>
      <c r="AD421" s="6"/>
      <c r="AE421" s="6"/>
    </row>
    <row r="422" spans="22:31" ht="11.25" customHeight="1" x14ac:dyDescent="0.3">
      <c r="V422" s="6"/>
      <c r="W422" s="6"/>
      <c r="X422" s="6"/>
      <c r="Y422" s="6"/>
      <c r="Z422" s="6"/>
      <c r="AA422" s="6"/>
      <c r="AB422" s="6"/>
      <c r="AC422" s="6"/>
      <c r="AD422" s="6"/>
      <c r="AE422" s="6"/>
    </row>
    <row r="423" spans="22:31" ht="11.25" customHeight="1" x14ac:dyDescent="0.3">
      <c r="V423" s="6"/>
      <c r="W423" s="6"/>
      <c r="X423" s="6"/>
      <c r="Y423" s="6"/>
      <c r="Z423" s="6"/>
      <c r="AA423" s="6"/>
      <c r="AB423" s="6"/>
      <c r="AC423" s="6"/>
      <c r="AD423" s="6"/>
      <c r="AE423" s="6"/>
    </row>
    <row r="424" spans="22:31" ht="11.25" customHeight="1" x14ac:dyDescent="0.3">
      <c r="V424" s="6"/>
      <c r="W424" s="6"/>
      <c r="X424" s="6"/>
      <c r="Y424" s="6"/>
      <c r="Z424" s="6"/>
      <c r="AA424" s="6"/>
      <c r="AB424" s="6"/>
      <c r="AC424" s="6"/>
      <c r="AD424" s="6"/>
      <c r="AE424" s="6"/>
    </row>
    <row r="425" spans="22:31" ht="11.25" customHeight="1" x14ac:dyDescent="0.3">
      <c r="V425" s="6"/>
      <c r="W425" s="6"/>
      <c r="X425" s="6"/>
      <c r="Y425" s="6"/>
      <c r="Z425" s="6"/>
      <c r="AA425" s="6"/>
      <c r="AB425" s="6"/>
      <c r="AC425" s="6"/>
      <c r="AD425" s="6"/>
      <c r="AE425" s="6"/>
    </row>
    <row r="426" spans="22:31" ht="11.25" customHeight="1" x14ac:dyDescent="0.3"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  <row r="427" spans="22:31" ht="11.25" customHeight="1" x14ac:dyDescent="0.3">
      <c r="V427" s="6"/>
      <c r="W427" s="6"/>
      <c r="X427" s="6"/>
      <c r="Y427" s="6"/>
      <c r="Z427" s="6"/>
      <c r="AA427" s="6"/>
      <c r="AB427" s="6"/>
      <c r="AC427" s="6"/>
      <c r="AD427" s="6"/>
      <c r="AE427" s="6"/>
    </row>
    <row r="428" spans="22:31" ht="11.25" customHeight="1" x14ac:dyDescent="0.3">
      <c r="V428" s="6"/>
      <c r="W428" s="6"/>
      <c r="X428" s="6"/>
      <c r="Y428" s="6"/>
      <c r="Z428" s="6"/>
      <c r="AA428" s="6"/>
      <c r="AB428" s="6"/>
      <c r="AC428" s="6"/>
      <c r="AD428" s="6"/>
      <c r="AE428" s="6"/>
    </row>
    <row r="429" spans="22:31" ht="11.25" customHeight="1" x14ac:dyDescent="0.3">
      <c r="V429" s="6"/>
      <c r="W429" s="6"/>
      <c r="X429" s="6"/>
      <c r="Y429" s="6"/>
      <c r="Z429" s="6"/>
      <c r="AA429" s="6"/>
      <c r="AB429" s="6"/>
      <c r="AC429" s="6"/>
      <c r="AD429" s="6"/>
      <c r="AE429" s="6"/>
    </row>
    <row r="430" spans="22:31" ht="11.25" customHeight="1" x14ac:dyDescent="0.3">
      <c r="V430" s="6"/>
      <c r="W430" s="6"/>
      <c r="X430" s="6"/>
      <c r="Y430" s="6"/>
      <c r="Z430" s="6"/>
      <c r="AA430" s="6"/>
      <c r="AB430" s="6"/>
      <c r="AC430" s="6"/>
      <c r="AD430" s="6"/>
      <c r="AE430" s="6"/>
    </row>
    <row r="431" spans="22:31" ht="11.25" customHeight="1" x14ac:dyDescent="0.3">
      <c r="V431" s="6"/>
      <c r="W431" s="6"/>
      <c r="X431" s="6"/>
      <c r="Y431" s="6"/>
      <c r="Z431" s="6"/>
      <c r="AA431" s="6"/>
      <c r="AB431" s="6"/>
      <c r="AC431" s="6"/>
      <c r="AD431" s="6"/>
      <c r="AE431" s="6"/>
    </row>
    <row r="432" spans="22:31" ht="11.25" customHeight="1" x14ac:dyDescent="0.3">
      <c r="V432" s="6"/>
      <c r="W432" s="6"/>
      <c r="X432" s="6"/>
      <c r="Y432" s="6"/>
      <c r="Z432" s="6"/>
      <c r="AA432" s="6"/>
      <c r="AB432" s="6"/>
      <c r="AC432" s="6"/>
      <c r="AD432" s="6"/>
      <c r="AE432" s="6"/>
    </row>
    <row r="433" spans="22:31" ht="11.25" customHeight="1" x14ac:dyDescent="0.3">
      <c r="V433" s="6"/>
      <c r="W433" s="6"/>
      <c r="X433" s="6"/>
      <c r="Y433" s="6"/>
      <c r="Z433" s="6"/>
      <c r="AA433" s="6"/>
      <c r="AB433" s="6"/>
      <c r="AC433" s="6"/>
      <c r="AD433" s="6"/>
      <c r="AE433" s="6"/>
    </row>
    <row r="434" spans="22:31" ht="11.25" customHeight="1" x14ac:dyDescent="0.3">
      <c r="V434" s="6"/>
      <c r="W434" s="6"/>
      <c r="X434" s="6"/>
      <c r="Y434" s="6"/>
      <c r="Z434" s="6"/>
      <c r="AA434" s="6"/>
      <c r="AB434" s="6"/>
      <c r="AC434" s="6"/>
      <c r="AD434" s="6"/>
      <c r="AE434" s="6"/>
    </row>
    <row r="435" spans="22:31" ht="11.25" customHeight="1" x14ac:dyDescent="0.3">
      <c r="V435" s="6"/>
      <c r="W435" s="6"/>
      <c r="X435" s="6"/>
      <c r="Y435" s="6"/>
      <c r="Z435" s="6"/>
      <c r="AA435" s="6"/>
      <c r="AB435" s="6"/>
      <c r="AC435" s="6"/>
      <c r="AD435" s="6"/>
      <c r="AE435" s="6"/>
    </row>
    <row r="436" spans="22:31" ht="11.25" customHeight="1" x14ac:dyDescent="0.3">
      <c r="V436" s="6"/>
      <c r="W436" s="6"/>
      <c r="X436" s="6"/>
      <c r="Y436" s="6"/>
      <c r="Z436" s="6"/>
      <c r="AA436" s="6"/>
      <c r="AB436" s="6"/>
      <c r="AC436" s="6"/>
      <c r="AD436" s="6"/>
      <c r="AE436" s="6"/>
    </row>
    <row r="437" spans="22:31" ht="11.25" customHeight="1" x14ac:dyDescent="0.3">
      <c r="V437" s="6"/>
      <c r="W437" s="6"/>
      <c r="X437" s="6"/>
      <c r="Y437" s="6"/>
      <c r="Z437" s="6"/>
      <c r="AA437" s="6"/>
      <c r="AB437" s="6"/>
      <c r="AC437" s="6"/>
      <c r="AD437" s="6"/>
      <c r="AE437" s="6"/>
    </row>
    <row r="438" spans="22:31" ht="11.25" customHeight="1" x14ac:dyDescent="0.3">
      <c r="V438" s="6"/>
      <c r="W438" s="6"/>
      <c r="X438" s="6"/>
      <c r="Y438" s="6"/>
      <c r="Z438" s="6"/>
      <c r="AA438" s="6"/>
      <c r="AB438" s="6"/>
      <c r="AC438" s="6"/>
      <c r="AD438" s="6"/>
      <c r="AE438" s="6"/>
    </row>
    <row r="439" spans="22:31" ht="11.25" customHeight="1" x14ac:dyDescent="0.3">
      <c r="V439" s="6"/>
      <c r="W439" s="6"/>
      <c r="X439" s="6"/>
      <c r="Y439" s="6"/>
      <c r="Z439" s="6"/>
      <c r="AA439" s="6"/>
      <c r="AB439" s="6"/>
      <c r="AC439" s="6"/>
      <c r="AD439" s="6"/>
      <c r="AE439" s="6"/>
    </row>
    <row r="440" spans="22:31" ht="11.25" customHeight="1" x14ac:dyDescent="0.3">
      <c r="V440" s="6"/>
      <c r="W440" s="6"/>
      <c r="X440" s="6"/>
      <c r="Y440" s="6"/>
      <c r="Z440" s="6"/>
      <c r="AA440" s="6"/>
      <c r="AB440" s="6"/>
      <c r="AC440" s="6"/>
      <c r="AD440" s="6"/>
      <c r="AE440" s="6"/>
    </row>
    <row r="441" spans="22:31" ht="11.25" customHeight="1" x14ac:dyDescent="0.3">
      <c r="V441" s="6"/>
      <c r="W441" s="6"/>
      <c r="X441" s="6"/>
      <c r="Y441" s="6"/>
      <c r="Z441" s="6"/>
      <c r="AA441" s="6"/>
      <c r="AB441" s="6"/>
      <c r="AC441" s="6"/>
      <c r="AD441" s="6"/>
      <c r="AE441" s="6"/>
    </row>
    <row r="442" spans="22:31" ht="11.25" customHeight="1" x14ac:dyDescent="0.3">
      <c r="V442" s="6"/>
      <c r="W442" s="6"/>
      <c r="X442" s="6"/>
      <c r="Y442" s="6"/>
      <c r="Z442" s="6"/>
      <c r="AA442" s="6"/>
      <c r="AB442" s="6"/>
      <c r="AC442" s="6"/>
      <c r="AD442" s="6"/>
      <c r="AE442" s="6"/>
    </row>
    <row r="443" spans="22:31" ht="11.25" customHeight="1" x14ac:dyDescent="0.3">
      <c r="V443" s="6"/>
      <c r="W443" s="6"/>
      <c r="X443" s="6"/>
      <c r="Y443" s="6"/>
      <c r="Z443" s="6"/>
      <c r="AA443" s="6"/>
      <c r="AB443" s="6"/>
      <c r="AC443" s="6"/>
      <c r="AD443" s="6"/>
      <c r="AE443" s="6"/>
    </row>
    <row r="444" spans="22:31" ht="11.25" customHeight="1" x14ac:dyDescent="0.3">
      <c r="V444" s="6"/>
      <c r="W444" s="6"/>
      <c r="X444" s="6"/>
      <c r="Y444" s="6"/>
      <c r="Z444" s="6"/>
      <c r="AA444" s="6"/>
      <c r="AB444" s="6"/>
      <c r="AC444" s="6"/>
      <c r="AD444" s="6"/>
      <c r="AE444" s="6"/>
    </row>
    <row r="445" spans="22:31" ht="11.25" customHeight="1" x14ac:dyDescent="0.3">
      <c r="V445" s="6"/>
      <c r="W445" s="6"/>
      <c r="X445" s="6"/>
      <c r="Y445" s="6"/>
      <c r="Z445" s="6"/>
      <c r="AA445" s="6"/>
      <c r="AB445" s="6"/>
      <c r="AC445" s="6"/>
      <c r="AD445" s="6"/>
      <c r="AE445" s="6"/>
    </row>
    <row r="446" spans="22:31" ht="11.25" customHeight="1" x14ac:dyDescent="0.3">
      <c r="V446" s="6"/>
      <c r="W446" s="6"/>
      <c r="X446" s="6"/>
      <c r="Y446" s="6"/>
      <c r="Z446" s="6"/>
      <c r="AA446" s="6"/>
      <c r="AB446" s="6"/>
      <c r="AC446" s="6"/>
      <c r="AD446" s="6"/>
      <c r="AE446" s="6"/>
    </row>
    <row r="447" spans="22:31" ht="11.25" customHeight="1" x14ac:dyDescent="0.3">
      <c r="V447" s="6"/>
      <c r="W447" s="6"/>
      <c r="X447" s="6"/>
      <c r="Y447" s="6"/>
      <c r="Z447" s="6"/>
      <c r="AA447" s="6"/>
      <c r="AB447" s="6"/>
      <c r="AC447" s="6"/>
      <c r="AD447" s="6"/>
      <c r="AE447" s="6"/>
    </row>
    <row r="448" spans="22:31" ht="11.25" customHeight="1" x14ac:dyDescent="0.3">
      <c r="V448" s="6"/>
      <c r="W448" s="6"/>
      <c r="X448" s="6"/>
      <c r="Y448" s="6"/>
      <c r="Z448" s="6"/>
      <c r="AA448" s="6"/>
      <c r="AB448" s="6"/>
      <c r="AC448" s="6"/>
      <c r="AD448" s="6"/>
      <c r="AE448" s="6"/>
    </row>
    <row r="449" spans="22:31" ht="11.25" customHeight="1" x14ac:dyDescent="0.3">
      <c r="V449" s="6"/>
      <c r="W449" s="6"/>
      <c r="X449" s="6"/>
      <c r="Y449" s="6"/>
      <c r="Z449" s="6"/>
      <c r="AA449" s="6"/>
      <c r="AB449" s="6"/>
      <c r="AC449" s="6"/>
      <c r="AD449" s="6"/>
      <c r="AE449" s="6"/>
    </row>
    <row r="450" spans="22:31" ht="11.25" customHeight="1" x14ac:dyDescent="0.3">
      <c r="V450" s="6"/>
      <c r="W450" s="6"/>
      <c r="X450" s="6"/>
      <c r="Y450" s="6"/>
      <c r="Z450" s="6"/>
      <c r="AA450" s="6"/>
      <c r="AB450" s="6"/>
      <c r="AC450" s="6"/>
      <c r="AD450" s="6"/>
      <c r="AE450" s="6"/>
    </row>
    <row r="451" spans="22:31" ht="11.25" customHeight="1" x14ac:dyDescent="0.3">
      <c r="V451" s="6"/>
      <c r="W451" s="6"/>
      <c r="X451" s="6"/>
      <c r="Y451" s="6"/>
      <c r="Z451" s="6"/>
      <c r="AA451" s="6"/>
      <c r="AB451" s="6"/>
      <c r="AC451" s="6"/>
      <c r="AD451" s="6"/>
      <c r="AE451" s="6"/>
    </row>
    <row r="452" spans="22:31" ht="11.25" customHeight="1" x14ac:dyDescent="0.3">
      <c r="V452" s="6"/>
      <c r="W452" s="6"/>
      <c r="X452" s="6"/>
      <c r="Y452" s="6"/>
      <c r="Z452" s="6"/>
      <c r="AA452" s="6"/>
      <c r="AB452" s="6"/>
      <c r="AC452" s="6"/>
      <c r="AD452" s="6"/>
      <c r="AE452" s="6"/>
    </row>
    <row r="453" spans="22:31" ht="11.25" customHeight="1" x14ac:dyDescent="0.3">
      <c r="V453" s="6"/>
      <c r="W453" s="6"/>
      <c r="X453" s="6"/>
      <c r="Y453" s="6"/>
      <c r="Z453" s="6"/>
      <c r="AA453" s="6"/>
      <c r="AB453" s="6"/>
      <c r="AC453" s="6"/>
      <c r="AD453" s="6"/>
      <c r="AE453" s="6"/>
    </row>
    <row r="454" spans="22:31" ht="11.25" customHeight="1" x14ac:dyDescent="0.3">
      <c r="V454" s="6"/>
      <c r="W454" s="6"/>
      <c r="X454" s="6"/>
      <c r="Y454" s="6"/>
      <c r="Z454" s="6"/>
      <c r="AA454" s="6"/>
      <c r="AB454" s="6"/>
      <c r="AC454" s="6"/>
      <c r="AD454" s="6"/>
      <c r="AE454" s="6"/>
    </row>
    <row r="455" spans="22:31" ht="11.25" customHeight="1" x14ac:dyDescent="0.3">
      <c r="V455" s="6"/>
      <c r="W455" s="6"/>
      <c r="X455" s="6"/>
      <c r="Y455" s="6"/>
      <c r="Z455" s="6"/>
      <c r="AA455" s="6"/>
      <c r="AB455" s="6"/>
      <c r="AC455" s="6"/>
      <c r="AD455" s="6"/>
      <c r="AE455" s="6"/>
    </row>
    <row r="456" spans="22:31" ht="11.25" customHeight="1" x14ac:dyDescent="0.3">
      <c r="V456" s="6"/>
      <c r="W456" s="6"/>
      <c r="X456" s="6"/>
      <c r="Y456" s="6"/>
      <c r="Z456" s="6"/>
      <c r="AA456" s="6"/>
      <c r="AB456" s="6"/>
      <c r="AC456" s="6"/>
      <c r="AD456" s="6"/>
      <c r="AE456" s="6"/>
    </row>
    <row r="457" spans="22:31" ht="11.25" customHeight="1" x14ac:dyDescent="0.3">
      <c r="V457" s="6"/>
      <c r="W457" s="6"/>
      <c r="X457" s="6"/>
      <c r="Y457" s="6"/>
      <c r="Z457" s="6"/>
      <c r="AA457" s="6"/>
      <c r="AB457" s="6"/>
      <c r="AC457" s="6"/>
      <c r="AD457" s="6"/>
      <c r="AE457" s="6"/>
    </row>
    <row r="458" spans="22:31" ht="11.25" customHeight="1" x14ac:dyDescent="0.3"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spans="22:31" ht="11.25" customHeight="1" x14ac:dyDescent="0.3"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spans="22:31" ht="11.25" customHeight="1" x14ac:dyDescent="0.3"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spans="22:31" ht="11.25" customHeight="1" x14ac:dyDescent="0.3"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spans="22:31" ht="11.25" customHeight="1" x14ac:dyDescent="0.3"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spans="22:31" ht="11.25" customHeight="1" x14ac:dyDescent="0.3"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spans="22:31" ht="11.25" customHeight="1" x14ac:dyDescent="0.3"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spans="22:31" ht="11.25" customHeight="1" x14ac:dyDescent="0.3"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spans="22:31" ht="11.25" customHeight="1" x14ac:dyDescent="0.3"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spans="22:31" ht="11.25" customHeight="1" x14ac:dyDescent="0.3"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spans="22:31" ht="11.25" customHeight="1" x14ac:dyDescent="0.3"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spans="22:31" ht="11.25" customHeight="1" x14ac:dyDescent="0.3"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spans="22:31" ht="11.25" customHeight="1" x14ac:dyDescent="0.3"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spans="22:31" ht="11.25" customHeight="1" x14ac:dyDescent="0.3"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spans="22:31" ht="11.25" customHeight="1" x14ac:dyDescent="0.3"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spans="22:31" ht="11.25" customHeight="1" x14ac:dyDescent="0.3"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spans="22:31" ht="11.25" customHeight="1" x14ac:dyDescent="0.3"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spans="22:31" ht="11.25" customHeight="1" x14ac:dyDescent="0.3"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spans="22:31" ht="11.25" customHeight="1" x14ac:dyDescent="0.3"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  <row r="477" spans="22:31" ht="11.25" customHeight="1" x14ac:dyDescent="0.3">
      <c r="V477" s="6"/>
      <c r="W477" s="6"/>
      <c r="X477" s="6"/>
      <c r="Y477" s="6"/>
      <c r="Z477" s="6"/>
      <c r="AA477" s="6"/>
      <c r="AB477" s="6"/>
      <c r="AC477" s="6"/>
      <c r="AD477" s="6"/>
      <c r="AE477" s="6"/>
    </row>
    <row r="478" spans="22:31" ht="11.25" customHeight="1" x14ac:dyDescent="0.3">
      <c r="V478" s="6"/>
      <c r="W478" s="6"/>
      <c r="X478" s="6"/>
      <c r="Y478" s="6"/>
      <c r="Z478" s="6"/>
      <c r="AA478" s="6"/>
      <c r="AB478" s="6"/>
      <c r="AC478" s="6"/>
      <c r="AD478" s="6"/>
      <c r="AE478" s="6"/>
    </row>
    <row r="479" spans="22:31" ht="11.25" customHeight="1" x14ac:dyDescent="0.3">
      <c r="V479" s="6"/>
      <c r="W479" s="6"/>
      <c r="X479" s="6"/>
      <c r="Y479" s="6"/>
      <c r="Z479" s="6"/>
      <c r="AA479" s="6"/>
      <c r="AB479" s="6"/>
      <c r="AC479" s="6"/>
      <c r="AD479" s="6"/>
      <c r="AE479" s="6"/>
    </row>
    <row r="480" spans="22:31" ht="11.25" customHeight="1" x14ac:dyDescent="0.3">
      <c r="V480" s="6"/>
      <c r="W480" s="6"/>
      <c r="X480" s="6"/>
      <c r="Y480" s="6"/>
      <c r="Z480" s="6"/>
      <c r="AA480" s="6"/>
      <c r="AB480" s="6"/>
      <c r="AC480" s="6"/>
      <c r="AD480" s="6"/>
      <c r="AE480" s="6"/>
    </row>
    <row r="481" spans="22:31" ht="11.25" customHeight="1" x14ac:dyDescent="0.3">
      <c r="V481" s="6"/>
      <c r="W481" s="6"/>
      <c r="X481" s="6"/>
      <c r="Y481" s="6"/>
      <c r="Z481" s="6"/>
      <c r="AA481" s="6"/>
      <c r="AB481" s="6"/>
      <c r="AC481" s="6"/>
      <c r="AD481" s="6"/>
      <c r="AE481" s="6"/>
    </row>
    <row r="482" spans="22:31" ht="11.25" customHeight="1" x14ac:dyDescent="0.3">
      <c r="V482" s="6"/>
      <c r="W482" s="6"/>
      <c r="X482" s="6"/>
      <c r="Y482" s="6"/>
      <c r="Z482" s="6"/>
      <c r="AA482" s="6"/>
      <c r="AB482" s="6"/>
      <c r="AC482" s="6"/>
      <c r="AD482" s="6"/>
      <c r="AE482" s="6"/>
    </row>
    <row r="483" spans="22:31" ht="11.25" customHeight="1" x14ac:dyDescent="0.3"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spans="22:31" ht="11.25" customHeight="1" x14ac:dyDescent="0.3"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spans="22:31" ht="11.25" customHeight="1" x14ac:dyDescent="0.3"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spans="22:31" ht="11.25" customHeight="1" x14ac:dyDescent="0.3"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spans="22:31" ht="11.25" customHeight="1" x14ac:dyDescent="0.3"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spans="22:31" ht="11.25" customHeight="1" x14ac:dyDescent="0.3"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spans="22:31" ht="11.25" customHeight="1" x14ac:dyDescent="0.3"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spans="22:31" ht="11.25" customHeight="1" x14ac:dyDescent="0.3"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spans="22:31" ht="11.25" customHeight="1" x14ac:dyDescent="0.3"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spans="22:31" ht="11.25" customHeight="1" x14ac:dyDescent="0.3"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spans="22:31" ht="11.25" customHeight="1" x14ac:dyDescent="0.3"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spans="22:31" ht="11.25" customHeight="1" x14ac:dyDescent="0.3"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spans="22:31" ht="11.25" customHeight="1" x14ac:dyDescent="0.3"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spans="22:31" ht="11.25" customHeight="1" x14ac:dyDescent="0.3"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spans="22:31" ht="11.25" customHeight="1" x14ac:dyDescent="0.3"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spans="22:31" ht="11.25" customHeight="1" x14ac:dyDescent="0.3"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spans="22:31" ht="11.25" customHeight="1" x14ac:dyDescent="0.3"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spans="22:31" ht="11.25" customHeight="1" x14ac:dyDescent="0.3"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spans="22:31" ht="11.25" customHeight="1" x14ac:dyDescent="0.3"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spans="22:31" ht="11.25" customHeight="1" x14ac:dyDescent="0.3"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spans="22:31" ht="11.25" customHeight="1" x14ac:dyDescent="0.3"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spans="22:31" ht="11.25" customHeight="1" x14ac:dyDescent="0.3"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spans="22:31" ht="11.25" customHeight="1" x14ac:dyDescent="0.3"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spans="22:31" ht="11.25" customHeight="1" x14ac:dyDescent="0.3"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spans="22:31" ht="11.25" customHeight="1" x14ac:dyDescent="0.3"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spans="22:31" ht="11.25" customHeight="1" x14ac:dyDescent="0.3"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spans="22:31" ht="11.25" customHeight="1" x14ac:dyDescent="0.3"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spans="22:31" ht="11.25" customHeight="1" x14ac:dyDescent="0.3"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spans="22:31" ht="11.25" customHeight="1" x14ac:dyDescent="0.3"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spans="22:31" ht="11.25" customHeight="1" x14ac:dyDescent="0.3"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spans="22:31" ht="11.25" customHeight="1" x14ac:dyDescent="0.3"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spans="22:31" ht="11.25" customHeight="1" x14ac:dyDescent="0.3"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spans="22:31" ht="11.25" customHeight="1" x14ac:dyDescent="0.3"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spans="22:31" ht="11.25" customHeight="1" x14ac:dyDescent="0.3"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spans="22:31" ht="11.25" customHeight="1" x14ac:dyDescent="0.3"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spans="22:31" ht="11.25" customHeight="1" x14ac:dyDescent="0.3"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spans="22:31" ht="11.25" customHeight="1" x14ac:dyDescent="0.3"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spans="22:31" ht="11.25" customHeight="1" x14ac:dyDescent="0.3"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spans="22:31" ht="11.25" customHeight="1" x14ac:dyDescent="0.3"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spans="22:31" ht="11.25" customHeight="1" x14ac:dyDescent="0.3"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spans="22:31" ht="11.25" customHeight="1" x14ac:dyDescent="0.3"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spans="22:31" ht="11.25" customHeight="1" x14ac:dyDescent="0.3"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spans="22:31" ht="11.25" customHeight="1" x14ac:dyDescent="0.3"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spans="22:31" ht="11.25" customHeight="1" x14ac:dyDescent="0.3"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spans="22:31" ht="11.25" customHeight="1" x14ac:dyDescent="0.3"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spans="22:31" ht="11.25" customHeight="1" x14ac:dyDescent="0.3"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spans="22:31" ht="11.25" customHeight="1" x14ac:dyDescent="0.3"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spans="22:31" ht="11.25" customHeight="1" x14ac:dyDescent="0.3"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spans="22:31" ht="11.25" customHeight="1" x14ac:dyDescent="0.3"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spans="22:31" ht="11.25" customHeight="1" x14ac:dyDescent="0.3"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spans="22:31" ht="11.25" customHeight="1" x14ac:dyDescent="0.3"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spans="22:31" ht="11.25" customHeight="1" x14ac:dyDescent="0.3"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spans="22:31" ht="11.25" customHeight="1" x14ac:dyDescent="0.3"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spans="22:31" ht="11.25" customHeight="1" x14ac:dyDescent="0.3"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spans="22:31" ht="11.25" customHeight="1" x14ac:dyDescent="0.3"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spans="22:31" ht="11.25" customHeight="1" x14ac:dyDescent="0.3"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spans="22:31" ht="11.25" customHeight="1" x14ac:dyDescent="0.3"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spans="22:31" ht="11.25" customHeight="1" x14ac:dyDescent="0.3"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spans="22:31" ht="11.25" customHeight="1" x14ac:dyDescent="0.3"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spans="22:31" ht="11.25" customHeight="1" x14ac:dyDescent="0.3"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spans="22:31" ht="11.25" customHeight="1" x14ac:dyDescent="0.3"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spans="22:31" ht="11.25" customHeight="1" x14ac:dyDescent="0.3"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spans="22:31" ht="11.25" customHeight="1" x14ac:dyDescent="0.3"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spans="22:31" ht="11.25" customHeight="1" x14ac:dyDescent="0.3"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spans="22:31" ht="11.25" customHeight="1" x14ac:dyDescent="0.3"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spans="22:31" ht="11.25" customHeight="1" x14ac:dyDescent="0.3"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spans="22:31" ht="11.25" customHeight="1" x14ac:dyDescent="0.3"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spans="22:31" ht="11.25" customHeight="1" x14ac:dyDescent="0.3"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spans="22:31" ht="11.25" customHeight="1" x14ac:dyDescent="0.3"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spans="22:31" ht="11.25" customHeight="1" x14ac:dyDescent="0.3"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spans="22:31" ht="11.25" customHeight="1" x14ac:dyDescent="0.3"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spans="22:31" ht="11.25" customHeight="1" x14ac:dyDescent="0.3"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spans="22:31" ht="11.25" customHeight="1" x14ac:dyDescent="0.3"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spans="22:31" ht="11.25" customHeight="1" x14ac:dyDescent="0.3"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spans="22:31" ht="11.25" customHeight="1" x14ac:dyDescent="0.3"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spans="22:31" ht="11.25" customHeight="1" x14ac:dyDescent="0.3"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spans="22:31" ht="11.25" customHeight="1" x14ac:dyDescent="0.3"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spans="22:31" ht="11.25" customHeight="1" x14ac:dyDescent="0.3"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spans="22:31" ht="11.25" customHeight="1" x14ac:dyDescent="0.3"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spans="22:31" ht="11.25" customHeight="1" x14ac:dyDescent="0.3"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spans="22:31" ht="11.25" customHeight="1" x14ac:dyDescent="0.3"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spans="22:31" ht="11.25" customHeight="1" x14ac:dyDescent="0.3"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spans="22:31" ht="11.25" customHeight="1" x14ac:dyDescent="0.3"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spans="22:31" ht="11.25" customHeight="1" x14ac:dyDescent="0.3"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spans="22:31" ht="11.25" customHeight="1" x14ac:dyDescent="0.3"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spans="22:31" ht="11.25" customHeight="1" x14ac:dyDescent="0.3"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spans="22:31" ht="11.25" customHeight="1" x14ac:dyDescent="0.3"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spans="22:31" ht="11.25" customHeight="1" x14ac:dyDescent="0.3"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spans="22:31" ht="11.25" customHeight="1" x14ac:dyDescent="0.3"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spans="22:31" ht="11.25" customHeight="1" x14ac:dyDescent="0.3"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spans="22:31" ht="11.25" customHeight="1" x14ac:dyDescent="0.3"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spans="22:31" ht="11.25" customHeight="1" x14ac:dyDescent="0.3"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spans="22:31" ht="11.25" customHeight="1" x14ac:dyDescent="0.3"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spans="22:31" ht="11.25" customHeight="1" x14ac:dyDescent="0.3"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spans="22:31" ht="11.25" customHeight="1" x14ac:dyDescent="0.3"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spans="22:31" ht="11.25" customHeight="1" x14ac:dyDescent="0.3"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spans="22:31" ht="11.25" customHeight="1" x14ac:dyDescent="0.3"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spans="22:31" ht="11.25" customHeight="1" x14ac:dyDescent="0.3"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spans="22:31" ht="11.25" customHeight="1" x14ac:dyDescent="0.3"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spans="22:31" ht="11.25" customHeight="1" x14ac:dyDescent="0.3"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spans="22:31" ht="11.25" customHeight="1" x14ac:dyDescent="0.3"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spans="22:31" ht="11.25" customHeight="1" x14ac:dyDescent="0.3"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spans="22:31" ht="11.25" customHeight="1" x14ac:dyDescent="0.3"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spans="22:31" ht="11.25" customHeight="1" x14ac:dyDescent="0.3"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22:31" ht="11.25" customHeight="1" x14ac:dyDescent="0.3"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spans="22:31" ht="11.25" customHeight="1" x14ac:dyDescent="0.3"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spans="22:31" ht="11.25" customHeight="1" x14ac:dyDescent="0.3"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spans="22:31" ht="11.25" customHeight="1" x14ac:dyDescent="0.3"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spans="22:31" ht="11.25" customHeight="1" x14ac:dyDescent="0.3"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spans="22:31" ht="11.25" customHeight="1" x14ac:dyDescent="0.3"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spans="22:31" ht="11.25" customHeight="1" x14ac:dyDescent="0.3"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spans="22:31" ht="11.25" customHeight="1" x14ac:dyDescent="0.3"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spans="22:31" ht="11.25" customHeight="1" x14ac:dyDescent="0.3"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spans="22:31" ht="11.25" customHeight="1" x14ac:dyDescent="0.3"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spans="22:31" ht="11.25" customHeight="1" x14ac:dyDescent="0.3"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spans="22:31" ht="11.25" customHeight="1" x14ac:dyDescent="0.3"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spans="22:31" ht="11.25" customHeight="1" x14ac:dyDescent="0.3"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spans="22:31" ht="11.25" customHeight="1" x14ac:dyDescent="0.3"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spans="22:31" ht="11.25" customHeight="1" x14ac:dyDescent="0.3"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spans="22:31" ht="11.25" customHeight="1" x14ac:dyDescent="0.3"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spans="22:31" ht="11.25" customHeight="1" x14ac:dyDescent="0.3"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spans="22:31" ht="11.25" customHeight="1" x14ac:dyDescent="0.3"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spans="22:31" ht="11.25" customHeight="1" x14ac:dyDescent="0.3"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F9249-084E-4FC2-B883-60419FEA8F36}">
  <dimension ref="A1:J626"/>
  <sheetViews>
    <sheetView showGridLines="0" workbookViewId="0"/>
  </sheetViews>
  <sheetFormatPr defaultRowHeight="11.25" customHeight="1" x14ac:dyDescent="0.2"/>
  <cols>
    <col min="1" max="1" width="32.33203125" style="14" bestFit="1" customWidth="1"/>
    <col min="2" max="2" width="23.21875" style="45" bestFit="1" customWidth="1"/>
    <col min="3" max="3" width="24.21875" style="45" bestFit="1" customWidth="1"/>
    <col min="4" max="4" width="24.44140625" style="45" bestFit="1" customWidth="1"/>
    <col min="5" max="5" width="25.5546875" style="45" bestFit="1" customWidth="1"/>
    <col min="6" max="6" width="22.44140625" style="45" bestFit="1" customWidth="1"/>
    <col min="7" max="7" width="23.44140625" style="45" bestFit="1" customWidth="1"/>
    <col min="8" max="8" width="17.109375" style="46" bestFit="1" customWidth="1"/>
    <col min="9" max="9" width="15" style="46" bestFit="1" customWidth="1"/>
    <col min="10" max="10" width="12.6640625" style="46" bestFit="1" customWidth="1"/>
    <col min="11" max="16384" width="8.88671875" style="14"/>
  </cols>
  <sheetData>
    <row r="1" spans="1:10" ht="11.25" customHeight="1" x14ac:dyDescent="0.2">
      <c r="A1" s="44" t="s">
        <v>671</v>
      </c>
      <c r="B1" s="45" t="s">
        <v>672</v>
      </c>
      <c r="C1" s="45" t="s">
        <v>673</v>
      </c>
      <c r="D1" s="45" t="s">
        <v>674</v>
      </c>
      <c r="E1" s="45" t="s">
        <v>675</v>
      </c>
      <c r="F1" s="45" t="s">
        <v>676</v>
      </c>
      <c r="G1" s="45" t="s">
        <v>677</v>
      </c>
      <c r="H1" s="46" t="s">
        <v>678</v>
      </c>
      <c r="I1" s="46" t="s">
        <v>679</v>
      </c>
      <c r="J1" s="46" t="s">
        <v>680</v>
      </c>
    </row>
    <row r="2" spans="1:10" ht="11.25" customHeight="1" x14ac:dyDescent="0.2">
      <c r="A2" s="47" t="s">
        <v>26</v>
      </c>
      <c r="B2" s="45">
        <v>507789.02099999978</v>
      </c>
      <c r="C2" s="45">
        <v>674614.40294076875</v>
      </c>
      <c r="D2" s="45">
        <v>8160215.2531960029</v>
      </c>
      <c r="E2" s="45">
        <v>11785673.287221208</v>
      </c>
      <c r="F2" s="45">
        <v>7886621.0687063951</v>
      </c>
      <c r="G2" s="45">
        <v>7514614.3805904193</v>
      </c>
      <c r="H2" s="46">
        <v>0.43750363936198311</v>
      </c>
      <c r="I2" s="46">
        <v>-4.7169337143897705E-2</v>
      </c>
      <c r="J2" s="46">
        <v>0.20660550492714091</v>
      </c>
    </row>
    <row r="3" spans="1:10" ht="11.25" customHeight="1" x14ac:dyDescent="0.2">
      <c r="A3" s="48" t="s">
        <v>34</v>
      </c>
      <c r="B3" s="45">
        <v>507789.02099999978</v>
      </c>
      <c r="C3" s="45">
        <v>674614.40294076875</v>
      </c>
      <c r="D3" s="45">
        <v>428243.45228079997</v>
      </c>
      <c r="E3" s="45">
        <v>729112.44965761714</v>
      </c>
      <c r="F3" s="45">
        <v>1007933.9611119999</v>
      </c>
      <c r="G3" s="45">
        <v>953565.10878121713</v>
      </c>
      <c r="H3" s="46">
        <v>0.49965614726838981</v>
      </c>
      <c r="I3" s="46">
        <v>-5.3940887427585182E-2</v>
      </c>
      <c r="J3" s="46">
        <v>0.21261968297097011</v>
      </c>
    </row>
    <row r="4" spans="1:10" ht="11.25" customHeight="1" x14ac:dyDescent="0.2">
      <c r="A4" s="49" t="s">
        <v>35</v>
      </c>
      <c r="B4" s="45">
        <v>507789.02099999978</v>
      </c>
      <c r="C4" s="45">
        <v>674614.40294076875</v>
      </c>
      <c r="D4" s="45">
        <v>428243.45228079997</v>
      </c>
      <c r="E4" s="45">
        <v>729112.44965761714</v>
      </c>
      <c r="F4" s="45">
        <v>1007933.9611119999</v>
      </c>
      <c r="G4" s="45">
        <v>953565.10878121713</v>
      </c>
      <c r="H4" s="46">
        <v>0.49965614726838981</v>
      </c>
      <c r="I4" s="46">
        <v>-5.3940887427585182E-2</v>
      </c>
      <c r="J4" s="46">
        <v>0.21261968297097011</v>
      </c>
    </row>
    <row r="5" spans="1:10" ht="11.25" customHeight="1" x14ac:dyDescent="0.2">
      <c r="A5" s="50" t="s">
        <v>40</v>
      </c>
      <c r="B5" s="45">
        <v>108807.36339999997</v>
      </c>
      <c r="C5" s="45">
        <v>144554.15824291768</v>
      </c>
      <c r="D5" s="45">
        <v>94915.638456800007</v>
      </c>
      <c r="E5" s="45">
        <v>159285.79824790207</v>
      </c>
      <c r="F5" s="45">
        <v>209248.33501399998</v>
      </c>
      <c r="G5" s="45">
        <v>197953.46246395813</v>
      </c>
      <c r="H5" s="46">
        <v>0.49143667490425846</v>
      </c>
      <c r="I5" s="46">
        <v>-5.3978315045068781E-2</v>
      </c>
      <c r="J5" s="46">
        <v>0.21508050112389854</v>
      </c>
    </row>
    <row r="6" spans="1:10" ht="11.25" customHeight="1" x14ac:dyDescent="0.2">
      <c r="A6" s="51" t="s">
        <v>25</v>
      </c>
      <c r="B6" s="45">
        <v>108807.36339999997</v>
      </c>
      <c r="C6" s="45">
        <v>144554.15824291768</v>
      </c>
      <c r="D6" s="45">
        <v>94915.638456800007</v>
      </c>
      <c r="E6" s="45">
        <v>159285.79824790207</v>
      </c>
      <c r="F6" s="45">
        <v>209248.33501399998</v>
      </c>
      <c r="G6" s="45">
        <v>197953.46246395813</v>
      </c>
      <c r="H6" s="46">
        <v>0.49143667490425846</v>
      </c>
      <c r="I6" s="46">
        <v>-5.3978315045068781E-2</v>
      </c>
      <c r="J6" s="46">
        <v>0.21508050112389854</v>
      </c>
    </row>
    <row r="7" spans="1:10" ht="11.25" customHeight="1" x14ac:dyDescent="0.2">
      <c r="A7" s="52" t="s">
        <v>25</v>
      </c>
      <c r="B7" s="45">
        <v>108807.36339999997</v>
      </c>
      <c r="C7" s="45">
        <v>144554.15824291768</v>
      </c>
      <c r="D7" s="45">
        <v>94915.638456800007</v>
      </c>
      <c r="E7" s="45">
        <v>159285.79824790207</v>
      </c>
      <c r="F7" s="45">
        <v>209248.33501399998</v>
      </c>
      <c r="G7" s="45">
        <v>197953.46246395813</v>
      </c>
      <c r="H7" s="46">
        <v>0.49143667490425846</v>
      </c>
      <c r="I7" s="46">
        <v>-5.3978315045068781E-2</v>
      </c>
      <c r="J7" s="46">
        <v>0.21508050112389854</v>
      </c>
    </row>
    <row r="8" spans="1:10" ht="11.25" customHeight="1" x14ac:dyDescent="0.2">
      <c r="A8" s="53" t="s">
        <v>25</v>
      </c>
      <c r="B8" s="45">
        <v>108807.36339999997</v>
      </c>
      <c r="C8" s="45">
        <v>144554.15824291768</v>
      </c>
      <c r="D8" s="45">
        <v>94915.638456800007</v>
      </c>
      <c r="E8" s="45">
        <v>159285.79824790207</v>
      </c>
      <c r="F8" s="45">
        <v>209248.33501399998</v>
      </c>
      <c r="G8" s="45">
        <v>197953.46246395813</v>
      </c>
      <c r="H8" s="46">
        <v>0.49143667490425846</v>
      </c>
      <c r="I8" s="46">
        <v>-5.3978315045068781E-2</v>
      </c>
      <c r="J8" s="46">
        <v>0.21508050112389854</v>
      </c>
    </row>
    <row r="9" spans="1:10" ht="11.25" customHeight="1" x14ac:dyDescent="0.2">
      <c r="A9" s="54" t="s">
        <v>37</v>
      </c>
      <c r="B9" s="45">
        <v>0</v>
      </c>
      <c r="C9" s="45">
        <v>0</v>
      </c>
      <c r="D9" s="45">
        <v>45696.697184000004</v>
      </c>
      <c r="E9" s="45">
        <v>89457.868763562743</v>
      </c>
      <c r="F9" s="45">
        <v>178820.75442799999</v>
      </c>
      <c r="G9" s="45">
        <v>169214.44980706845</v>
      </c>
      <c r="H9" s="46">
        <v>0.95764408100122012</v>
      </c>
      <c r="I9" s="46">
        <v>-5.3720300261899445E-2</v>
      </c>
      <c r="J9" s="46">
        <v>0.15212566646113523</v>
      </c>
    </row>
    <row r="10" spans="1:10" ht="11.25" customHeight="1" x14ac:dyDescent="0.2">
      <c r="A10" s="55">
        <v>44409</v>
      </c>
      <c r="B10" s="45">
        <v>0</v>
      </c>
      <c r="C10" s="45">
        <v>0</v>
      </c>
      <c r="D10" s="45">
        <v>3506.1402240000002</v>
      </c>
      <c r="E10" s="45">
        <v>6863.7746566738933</v>
      </c>
      <c r="F10" s="45">
        <v>13720.261608000001</v>
      </c>
      <c r="G10" s="45">
        <v>12983.205034746432</v>
      </c>
      <c r="H10" s="46">
        <v>0.95764408100122034</v>
      </c>
      <c r="I10" s="46">
        <v>-5.3720300261899223E-2</v>
      </c>
      <c r="J10" s="46">
        <v>0.15212566646113546</v>
      </c>
    </row>
    <row r="11" spans="1:10" ht="11.25" customHeight="1" x14ac:dyDescent="0.2">
      <c r="A11" s="55">
        <v>44440</v>
      </c>
      <c r="B11" s="45">
        <v>0</v>
      </c>
      <c r="C11" s="45">
        <v>0</v>
      </c>
      <c r="D11" s="45">
        <v>3535.1290591999996</v>
      </c>
      <c r="E11" s="45">
        <v>6920.5244783182925</v>
      </c>
      <c r="F11" s="45">
        <v>13833.700996399999</v>
      </c>
      <c r="G11" s="45">
        <v>13090.550425140056</v>
      </c>
      <c r="H11" s="46">
        <v>0.95764408100122056</v>
      </c>
      <c r="I11" s="46">
        <v>-5.3720300261899223E-2</v>
      </c>
      <c r="J11" s="46">
        <v>0.15212566646113546</v>
      </c>
    </row>
    <row r="12" spans="1:10" ht="11.25" customHeight="1" x14ac:dyDescent="0.2">
      <c r="A12" s="55">
        <v>44470</v>
      </c>
      <c r="B12" s="45">
        <v>0</v>
      </c>
      <c r="C12" s="45">
        <v>0</v>
      </c>
      <c r="D12" s="45">
        <v>3550.9568063999996</v>
      </c>
      <c r="E12" s="45">
        <v>6951.5095739399558</v>
      </c>
      <c r="F12" s="45">
        <v>13895.638288799999</v>
      </c>
      <c r="G12" s="45">
        <v>13149.160427594919</v>
      </c>
      <c r="H12" s="46">
        <v>0.95764408100122034</v>
      </c>
      <c r="I12" s="46">
        <v>-5.3720300261899223E-2</v>
      </c>
      <c r="J12" s="46">
        <v>0.15212566646113546</v>
      </c>
    </row>
    <row r="13" spans="1:10" ht="11.25" customHeight="1" x14ac:dyDescent="0.2">
      <c r="A13" s="55">
        <v>44501</v>
      </c>
      <c r="B13" s="45">
        <v>0</v>
      </c>
      <c r="C13" s="45">
        <v>0</v>
      </c>
      <c r="D13" s="45">
        <v>3907.0697599999999</v>
      </c>
      <c r="E13" s="45">
        <v>7648.6519897228582</v>
      </c>
      <c r="F13" s="45">
        <v>15289.182919999999</v>
      </c>
      <c r="G13" s="45">
        <v>14467.843422778496</v>
      </c>
      <c r="H13" s="46">
        <v>0.95764408100122034</v>
      </c>
      <c r="I13" s="46">
        <v>-5.3720300261899334E-2</v>
      </c>
      <c r="J13" s="46">
        <v>0.15212566646113546</v>
      </c>
    </row>
    <row r="14" spans="1:10" ht="11.25" customHeight="1" x14ac:dyDescent="0.2">
      <c r="A14" s="55">
        <v>44531</v>
      </c>
      <c r="B14" s="45">
        <v>0</v>
      </c>
      <c r="C14" s="45">
        <v>0</v>
      </c>
      <c r="D14" s="45">
        <v>4605.8575808000005</v>
      </c>
      <c r="E14" s="45">
        <v>9016.6298309877202</v>
      </c>
      <c r="F14" s="45">
        <v>18023.6861336</v>
      </c>
      <c r="G14" s="45">
        <v>17055.448302676778</v>
      </c>
      <c r="H14" s="46">
        <v>0.95764408100122012</v>
      </c>
      <c r="I14" s="46">
        <v>-5.3720300261899334E-2</v>
      </c>
      <c r="J14" s="46">
        <v>0.15212566646113523</v>
      </c>
    </row>
    <row r="15" spans="1:10" ht="11.25" customHeight="1" x14ac:dyDescent="0.2">
      <c r="A15" s="55">
        <v>44562</v>
      </c>
      <c r="B15" s="45">
        <v>0</v>
      </c>
      <c r="C15" s="45">
        <v>0</v>
      </c>
      <c r="D15" s="45">
        <v>5305.9116800000002</v>
      </c>
      <c r="E15" s="45">
        <v>10387.08659466724</v>
      </c>
      <c r="F15" s="45">
        <v>20763.144559999997</v>
      </c>
      <c r="G15" s="45">
        <v>19647.74219985558</v>
      </c>
      <c r="H15" s="46">
        <v>0.95764408100122012</v>
      </c>
      <c r="I15" s="46">
        <v>-5.3720300261899112E-2</v>
      </c>
      <c r="J15" s="46">
        <v>0.15212566646113546</v>
      </c>
    </row>
    <row r="16" spans="1:10" ht="11.25" customHeight="1" x14ac:dyDescent="0.2">
      <c r="A16" s="55">
        <v>44593</v>
      </c>
      <c r="B16" s="45">
        <v>0</v>
      </c>
      <c r="C16" s="45">
        <v>0</v>
      </c>
      <c r="D16" s="45">
        <v>4573.2890176000001</v>
      </c>
      <c r="E16" s="45">
        <v>8952.8721760125245</v>
      </c>
      <c r="F16" s="45">
        <v>17896.238519199997</v>
      </c>
      <c r="G16" s="45">
        <v>16934.847212390006</v>
      </c>
      <c r="H16" s="46">
        <v>0.95764408100122012</v>
      </c>
      <c r="I16" s="46">
        <v>-5.3720300261899223E-2</v>
      </c>
      <c r="J16" s="46">
        <v>0.15212566646113546</v>
      </c>
    </row>
    <row r="17" spans="1:10" ht="11.25" customHeight="1" x14ac:dyDescent="0.2">
      <c r="A17" s="55">
        <v>44621</v>
      </c>
      <c r="B17" s="45">
        <v>0</v>
      </c>
      <c r="C17" s="45">
        <v>0</v>
      </c>
      <c r="D17" s="45">
        <v>4482.3595296000003</v>
      </c>
      <c r="E17" s="45">
        <v>8774.8646020408542</v>
      </c>
      <c r="F17" s="45">
        <v>17540.412373200001</v>
      </c>
      <c r="G17" s="45">
        <v>16598.136153794163</v>
      </c>
      <c r="H17" s="46">
        <v>0.95764408100122012</v>
      </c>
      <c r="I17" s="46">
        <v>-5.3720300261899334E-2</v>
      </c>
      <c r="J17" s="46">
        <v>0.15212566646113546</v>
      </c>
    </row>
    <row r="18" spans="1:10" ht="11.25" customHeight="1" x14ac:dyDescent="0.2">
      <c r="A18" s="55">
        <v>44652</v>
      </c>
      <c r="B18" s="45">
        <v>0</v>
      </c>
      <c r="C18" s="45">
        <v>0</v>
      </c>
      <c r="D18" s="45">
        <v>3429.9268256000005</v>
      </c>
      <c r="E18" s="45">
        <v>6714.575948403145</v>
      </c>
      <c r="F18" s="45">
        <v>13422.0226052</v>
      </c>
      <c r="G18" s="45">
        <v>12700.987520726656</v>
      </c>
      <c r="H18" s="46">
        <v>0.95764408100122012</v>
      </c>
      <c r="I18" s="46">
        <v>-5.3720300261899334E-2</v>
      </c>
      <c r="J18" s="46">
        <v>0.15212566646113546</v>
      </c>
    </row>
    <row r="19" spans="1:10" ht="11.25" customHeight="1" x14ac:dyDescent="0.2">
      <c r="A19" s="55">
        <v>44682</v>
      </c>
      <c r="B19" s="45">
        <v>0</v>
      </c>
      <c r="C19" s="45">
        <v>0</v>
      </c>
      <c r="D19" s="45">
        <v>3127.6490240000003</v>
      </c>
      <c r="E19" s="45">
        <v>6122.823599282844</v>
      </c>
      <c r="F19" s="45">
        <v>12239.146208</v>
      </c>
      <c r="G19" s="45">
        <v>11581.655598756955</v>
      </c>
      <c r="H19" s="46">
        <v>0.95764408100122034</v>
      </c>
      <c r="I19" s="46">
        <v>-5.3720300261899223E-2</v>
      </c>
      <c r="J19" s="46">
        <v>0.15212566646113546</v>
      </c>
    </row>
    <row r="20" spans="1:10" ht="11.25" customHeight="1" x14ac:dyDescent="0.2">
      <c r="A20" s="55">
        <v>44713</v>
      </c>
      <c r="B20" s="45">
        <v>0</v>
      </c>
      <c r="C20" s="45">
        <v>0</v>
      </c>
      <c r="D20" s="45">
        <v>2958.8228960000001</v>
      </c>
      <c r="E20" s="45">
        <v>5792.3221290852889</v>
      </c>
      <c r="F20" s="45">
        <v>11578.494181999999</v>
      </c>
      <c r="G20" s="45">
        <v>10956.493997962305</v>
      </c>
      <c r="H20" s="46">
        <v>0.95764408100122012</v>
      </c>
      <c r="I20" s="46">
        <v>-5.3720300261899223E-2</v>
      </c>
      <c r="J20" s="46">
        <v>0.15212566646113546</v>
      </c>
    </row>
    <row r="21" spans="1:10" ht="11.25" customHeight="1" x14ac:dyDescent="0.2">
      <c r="A21" s="55">
        <v>44743</v>
      </c>
      <c r="B21" s="45">
        <v>0</v>
      </c>
      <c r="C21" s="45">
        <v>0</v>
      </c>
      <c r="D21" s="45">
        <v>2713.5847807999999</v>
      </c>
      <c r="E21" s="45">
        <v>5312.2331844281143</v>
      </c>
      <c r="F21" s="45">
        <v>10618.8260336</v>
      </c>
      <c r="G21" s="45">
        <v>10048.379510646135</v>
      </c>
      <c r="H21" s="46">
        <v>0.95764408100122056</v>
      </c>
      <c r="I21" s="46">
        <v>-5.3720300261899334E-2</v>
      </c>
      <c r="J21" s="46">
        <v>0.15212566646113546</v>
      </c>
    </row>
    <row r="22" spans="1:10" ht="11.25" customHeight="1" x14ac:dyDescent="0.2">
      <c r="A22" s="54" t="s">
        <v>25</v>
      </c>
      <c r="B22" s="45">
        <v>108807.36339999997</v>
      </c>
      <c r="C22" s="45">
        <v>144554.15824291768</v>
      </c>
      <c r="D22" s="45">
        <v>0</v>
      </c>
      <c r="E22" s="45">
        <v>0</v>
      </c>
      <c r="F22" s="45">
        <v>0</v>
      </c>
      <c r="G22" s="45">
        <v>0</v>
      </c>
      <c r="H22" s="46">
        <v>0.32853286511046664</v>
      </c>
      <c r="I22" s="46">
        <v>0</v>
      </c>
      <c r="J22" s="46">
        <v>0.32853286511046664</v>
      </c>
    </row>
    <row r="23" spans="1:10" ht="11.25" customHeight="1" x14ac:dyDescent="0.2">
      <c r="A23" s="55">
        <v>44409</v>
      </c>
      <c r="B23" s="45">
        <v>8357.48</v>
      </c>
      <c r="C23" s="45">
        <v>11103.186849503418</v>
      </c>
      <c r="D23" s="45">
        <v>0</v>
      </c>
      <c r="E23" s="45">
        <v>0</v>
      </c>
      <c r="F23" s="45">
        <v>0</v>
      </c>
      <c r="G23" s="45">
        <v>0</v>
      </c>
      <c r="H23" s="46">
        <v>0.3285328651104662</v>
      </c>
      <c r="I23" s="46">
        <v>0</v>
      </c>
      <c r="J23" s="46">
        <v>0.3285328651104662</v>
      </c>
    </row>
    <row r="24" spans="1:10" ht="11.25" customHeight="1" x14ac:dyDescent="0.2">
      <c r="A24" s="55">
        <v>44440</v>
      </c>
      <c r="B24" s="45">
        <v>8303.1193999999996</v>
      </c>
      <c r="C24" s="45">
        <v>11030.967005836294</v>
      </c>
      <c r="D24" s="45">
        <v>0</v>
      </c>
      <c r="E24" s="45">
        <v>0</v>
      </c>
      <c r="F24" s="45">
        <v>0</v>
      </c>
      <c r="G24" s="45">
        <v>0</v>
      </c>
      <c r="H24" s="46">
        <v>0.32853286511046598</v>
      </c>
      <c r="I24" s="46">
        <v>0</v>
      </c>
      <c r="J24" s="46">
        <v>0.32853286511046598</v>
      </c>
    </row>
    <row r="25" spans="1:10" ht="11.25" customHeight="1" x14ac:dyDescent="0.2">
      <c r="A25" s="55">
        <v>44470</v>
      </c>
      <c r="B25" s="45">
        <v>8346.5708999999988</v>
      </c>
      <c r="C25" s="45">
        <v>11088.693751624642</v>
      </c>
      <c r="D25" s="45">
        <v>0</v>
      </c>
      <c r="E25" s="45">
        <v>0</v>
      </c>
      <c r="F25" s="45">
        <v>0</v>
      </c>
      <c r="G25" s="45">
        <v>0</v>
      </c>
      <c r="H25" s="46">
        <v>0.3285328651104662</v>
      </c>
      <c r="I25" s="46">
        <v>0</v>
      </c>
      <c r="J25" s="46">
        <v>0.3285328651104662</v>
      </c>
    </row>
    <row r="26" spans="1:10" ht="11.25" customHeight="1" x14ac:dyDescent="0.2">
      <c r="A26" s="55">
        <v>44501</v>
      </c>
      <c r="B26" s="45">
        <v>8616.3399999999983</v>
      </c>
      <c r="C26" s="45">
        <v>11447.090866965913</v>
      </c>
      <c r="D26" s="45">
        <v>0</v>
      </c>
      <c r="E26" s="45">
        <v>0</v>
      </c>
      <c r="F26" s="45">
        <v>0</v>
      </c>
      <c r="G26" s="45">
        <v>0</v>
      </c>
      <c r="H26" s="46">
        <v>0.3285328651104662</v>
      </c>
      <c r="I26" s="46">
        <v>0</v>
      </c>
      <c r="J26" s="46">
        <v>0.3285328651104662</v>
      </c>
    </row>
    <row r="27" spans="1:10" ht="11.25" customHeight="1" x14ac:dyDescent="0.2">
      <c r="A27" s="55">
        <v>44531</v>
      </c>
      <c r="B27" s="45">
        <v>9043.6438999999991</v>
      </c>
      <c r="C27" s="45">
        <v>12014.778141505791</v>
      </c>
      <c r="D27" s="45">
        <v>0</v>
      </c>
      <c r="E27" s="45">
        <v>0</v>
      </c>
      <c r="F27" s="45">
        <v>0</v>
      </c>
      <c r="G27" s="45">
        <v>0</v>
      </c>
      <c r="H27" s="46">
        <v>0.32853286511046642</v>
      </c>
      <c r="I27" s="46">
        <v>0</v>
      </c>
      <c r="J27" s="46">
        <v>0.32853286511046642</v>
      </c>
    </row>
    <row r="28" spans="1:10" ht="11.25" customHeight="1" x14ac:dyDescent="0.2">
      <c r="A28" s="55">
        <v>44562</v>
      </c>
      <c r="B28" s="45">
        <v>9134.06</v>
      </c>
      <c r="C28" s="45">
        <v>12134.898901890903</v>
      </c>
      <c r="D28" s="45">
        <v>0</v>
      </c>
      <c r="E28" s="45">
        <v>0</v>
      </c>
      <c r="F28" s="45">
        <v>0</v>
      </c>
      <c r="G28" s="45">
        <v>0</v>
      </c>
      <c r="H28" s="46">
        <v>0.3285328651104662</v>
      </c>
      <c r="I28" s="46">
        <v>0</v>
      </c>
      <c r="J28" s="46">
        <v>0.3285328651104662</v>
      </c>
    </row>
    <row r="29" spans="1:10" ht="11.25" customHeight="1" x14ac:dyDescent="0.2">
      <c r="A29" s="55">
        <v>44593</v>
      </c>
      <c r="B29" s="45">
        <v>9762.7199999999993</v>
      </c>
      <c r="C29" s="45">
        <v>12970.09437287125</v>
      </c>
      <c r="D29" s="45">
        <v>0</v>
      </c>
      <c r="E29" s="45">
        <v>0</v>
      </c>
      <c r="F29" s="45">
        <v>0</v>
      </c>
      <c r="G29" s="45">
        <v>0</v>
      </c>
      <c r="H29" s="46">
        <v>0.3285328651104662</v>
      </c>
      <c r="I29" s="46">
        <v>0</v>
      </c>
      <c r="J29" s="46">
        <v>0.3285328651104662</v>
      </c>
    </row>
    <row r="30" spans="1:10" ht="11.25" customHeight="1" x14ac:dyDescent="0.2">
      <c r="A30" s="55">
        <v>44621</v>
      </c>
      <c r="B30" s="45">
        <v>9713.5365999999976</v>
      </c>
      <c r="C30" s="45">
        <v>12904.752609553376</v>
      </c>
      <c r="D30" s="45">
        <v>0</v>
      </c>
      <c r="E30" s="45">
        <v>0</v>
      </c>
      <c r="F30" s="45">
        <v>0</v>
      </c>
      <c r="G30" s="45">
        <v>0</v>
      </c>
      <c r="H30" s="46">
        <v>0.32853286511046642</v>
      </c>
      <c r="I30" s="46">
        <v>0</v>
      </c>
      <c r="J30" s="46">
        <v>0.32853286511046642</v>
      </c>
    </row>
    <row r="31" spans="1:10" ht="11.25" customHeight="1" x14ac:dyDescent="0.2">
      <c r="A31" s="55">
        <v>44652</v>
      </c>
      <c r="B31" s="45">
        <v>9571.7182999999986</v>
      </c>
      <c r="C31" s="45">
        <v>12716.342337129281</v>
      </c>
      <c r="D31" s="45">
        <v>0</v>
      </c>
      <c r="E31" s="45">
        <v>0</v>
      </c>
      <c r="F31" s="45">
        <v>0</v>
      </c>
      <c r="G31" s="45">
        <v>0</v>
      </c>
      <c r="H31" s="46">
        <v>0.32853286511046642</v>
      </c>
      <c r="I31" s="46">
        <v>0</v>
      </c>
      <c r="J31" s="46">
        <v>0.32853286511046642</v>
      </c>
    </row>
    <row r="32" spans="1:10" ht="11.25" customHeight="1" x14ac:dyDescent="0.2">
      <c r="A32" s="55">
        <v>44682</v>
      </c>
      <c r="B32" s="45">
        <v>9300.4699999999993</v>
      </c>
      <c r="C32" s="45">
        <v>12355.980055973936</v>
      </c>
      <c r="D32" s="45">
        <v>0</v>
      </c>
      <c r="E32" s="45">
        <v>0</v>
      </c>
      <c r="F32" s="45">
        <v>0</v>
      </c>
      <c r="G32" s="45">
        <v>0</v>
      </c>
      <c r="H32" s="46">
        <v>0.3285328651104662</v>
      </c>
      <c r="I32" s="46">
        <v>0</v>
      </c>
      <c r="J32" s="46">
        <v>0.3285328651104662</v>
      </c>
    </row>
    <row r="33" spans="1:10" ht="11.25" customHeight="1" x14ac:dyDescent="0.2">
      <c r="A33" s="55">
        <v>44713</v>
      </c>
      <c r="B33" s="45">
        <v>9301.7642999999989</v>
      </c>
      <c r="C33" s="45">
        <v>12357.69957606125</v>
      </c>
      <c r="D33" s="45">
        <v>0</v>
      </c>
      <c r="E33" s="45">
        <v>0</v>
      </c>
      <c r="F33" s="45">
        <v>0</v>
      </c>
      <c r="G33" s="45">
        <v>0</v>
      </c>
      <c r="H33" s="46">
        <v>0.32853286511046642</v>
      </c>
      <c r="I33" s="46">
        <v>0</v>
      </c>
      <c r="J33" s="46">
        <v>0.32853286511046642</v>
      </c>
    </row>
    <row r="34" spans="1:10" ht="11.25" customHeight="1" x14ac:dyDescent="0.2">
      <c r="A34" s="55">
        <v>44743</v>
      </c>
      <c r="B34" s="45">
        <v>9355.9399999999987</v>
      </c>
      <c r="C34" s="45">
        <v>12429.673774001614</v>
      </c>
      <c r="D34" s="45">
        <v>0</v>
      </c>
      <c r="E34" s="45">
        <v>0</v>
      </c>
      <c r="F34" s="45">
        <v>0</v>
      </c>
      <c r="G34" s="45">
        <v>0</v>
      </c>
      <c r="H34" s="46">
        <v>0.3285328651104662</v>
      </c>
      <c r="I34" s="46">
        <v>0</v>
      </c>
      <c r="J34" s="46">
        <v>0.3285328651104662</v>
      </c>
    </row>
    <row r="35" spans="1:10" ht="11.25" customHeight="1" x14ac:dyDescent="0.2">
      <c r="A35" s="54" t="s">
        <v>36</v>
      </c>
      <c r="B35" s="45">
        <v>0</v>
      </c>
      <c r="C35" s="45">
        <v>0</v>
      </c>
      <c r="D35" s="45">
        <v>49218.941272799995</v>
      </c>
      <c r="E35" s="45">
        <v>69827.929484339344</v>
      </c>
      <c r="F35" s="45">
        <v>30427.580586</v>
      </c>
      <c r="G35" s="45">
        <v>28739.012656889689</v>
      </c>
      <c r="H35" s="46">
        <v>0.41872067294809012</v>
      </c>
      <c r="I35" s="46">
        <v>-5.5494649807524721E-2</v>
      </c>
      <c r="J35" s="46">
        <v>0.23755488426690841</v>
      </c>
    </row>
    <row r="36" spans="1:10" ht="11.25" customHeight="1" x14ac:dyDescent="0.2">
      <c r="A36" s="55">
        <v>44409</v>
      </c>
      <c r="B36" s="45">
        <v>0</v>
      </c>
      <c r="C36" s="45">
        <v>0</v>
      </c>
      <c r="D36" s="45">
        <v>3614.5724082000002</v>
      </c>
      <c r="E36" s="45">
        <v>5128.068599381103</v>
      </c>
      <c r="F36" s="45">
        <v>2234.5603215000001</v>
      </c>
      <c r="G36" s="45">
        <v>2110.5541789845674</v>
      </c>
      <c r="H36" s="46">
        <v>0.41872067294809012</v>
      </c>
      <c r="I36" s="46">
        <v>-5.5494649807524832E-2</v>
      </c>
      <c r="J36" s="46">
        <v>0.23755488426690841</v>
      </c>
    </row>
    <row r="37" spans="1:10" ht="11.25" customHeight="1" x14ac:dyDescent="0.2">
      <c r="A37" s="55">
        <v>44440</v>
      </c>
      <c r="B37" s="45">
        <v>0</v>
      </c>
      <c r="C37" s="45">
        <v>0</v>
      </c>
      <c r="D37" s="45">
        <v>3726.0430635999996</v>
      </c>
      <c r="E37" s="45">
        <v>5286.2143226241551</v>
      </c>
      <c r="F37" s="45">
        <v>2303.4724569999998</v>
      </c>
      <c r="G37" s="45">
        <v>2175.6420596575063</v>
      </c>
      <c r="H37" s="46">
        <v>0.41872067294809012</v>
      </c>
      <c r="I37" s="46">
        <v>-5.5494649807524721E-2</v>
      </c>
      <c r="J37" s="46">
        <v>0.23755488426690841</v>
      </c>
    </row>
    <row r="38" spans="1:10" ht="11.25" customHeight="1" x14ac:dyDescent="0.2">
      <c r="A38" s="55">
        <v>44470</v>
      </c>
      <c r="B38" s="45">
        <v>0</v>
      </c>
      <c r="C38" s="45">
        <v>0</v>
      </c>
      <c r="D38" s="45">
        <v>3543.7198055999997</v>
      </c>
      <c r="E38" s="45">
        <v>5027.548547340306</v>
      </c>
      <c r="F38" s="45">
        <v>2190.7586219999998</v>
      </c>
      <c r="G38" s="45">
        <v>2069.1832394592943</v>
      </c>
      <c r="H38" s="46">
        <v>0.4187206729480899</v>
      </c>
      <c r="I38" s="46">
        <v>-5.5494649807524721E-2</v>
      </c>
      <c r="J38" s="46">
        <v>0.23755488426690863</v>
      </c>
    </row>
    <row r="39" spans="1:10" ht="11.25" customHeight="1" x14ac:dyDescent="0.2">
      <c r="A39" s="55">
        <v>44501</v>
      </c>
      <c r="B39" s="45">
        <v>0</v>
      </c>
      <c r="C39" s="45">
        <v>0</v>
      </c>
      <c r="D39" s="45">
        <v>4042.8543999999997</v>
      </c>
      <c r="E39" s="45">
        <v>5735.6811149991463</v>
      </c>
      <c r="F39" s="45">
        <v>2499.328</v>
      </c>
      <c r="G39" s="45">
        <v>2360.6286678858582</v>
      </c>
      <c r="H39" s="46">
        <v>0.41872067294809012</v>
      </c>
      <c r="I39" s="46">
        <v>-5.5494649807524943E-2</v>
      </c>
      <c r="J39" s="46">
        <v>0.23755488426690841</v>
      </c>
    </row>
    <row r="40" spans="1:10" ht="11.25" customHeight="1" x14ac:dyDescent="0.2">
      <c r="A40" s="55">
        <v>44531</v>
      </c>
      <c r="B40" s="45">
        <v>0</v>
      </c>
      <c r="C40" s="45">
        <v>0</v>
      </c>
      <c r="D40" s="45">
        <v>5441.1213921999997</v>
      </c>
      <c r="E40" s="45">
        <v>7719.4314031342319</v>
      </c>
      <c r="F40" s="45">
        <v>3363.7489014999996</v>
      </c>
      <c r="G40" s="45">
        <v>3177.0788341708108</v>
      </c>
      <c r="H40" s="46">
        <v>0.4187206729480899</v>
      </c>
      <c r="I40" s="46">
        <v>-5.5494649807524832E-2</v>
      </c>
      <c r="J40" s="46">
        <v>0.23755488426690841</v>
      </c>
    </row>
    <row r="41" spans="1:10" ht="11.25" customHeight="1" x14ac:dyDescent="0.2">
      <c r="A41" s="55">
        <v>44562</v>
      </c>
      <c r="B41" s="45">
        <v>0</v>
      </c>
      <c r="C41" s="45">
        <v>0</v>
      </c>
      <c r="D41" s="45">
        <v>5914.2538000000004</v>
      </c>
      <c r="E41" s="45">
        <v>8390.6741311217993</v>
      </c>
      <c r="F41" s="45">
        <v>3656.2434999999996</v>
      </c>
      <c r="G41" s="45">
        <v>3453.341547356461</v>
      </c>
      <c r="H41" s="46">
        <v>0.41872067294809012</v>
      </c>
      <c r="I41" s="46">
        <v>-5.5494649807524721E-2</v>
      </c>
      <c r="J41" s="46">
        <v>0.23755488426690863</v>
      </c>
    </row>
    <row r="42" spans="1:10" ht="11.25" customHeight="1" x14ac:dyDescent="0.2">
      <c r="A42" s="55">
        <v>44593</v>
      </c>
      <c r="B42" s="45">
        <v>0</v>
      </c>
      <c r="C42" s="45">
        <v>0</v>
      </c>
      <c r="D42" s="45">
        <v>5134.5672196000005</v>
      </c>
      <c r="E42" s="45">
        <v>7284.5166610881151</v>
      </c>
      <c r="F42" s="45">
        <v>3174.2344270000003</v>
      </c>
      <c r="G42" s="45">
        <v>2998.0813990666456</v>
      </c>
      <c r="H42" s="46">
        <v>0.4187206729480899</v>
      </c>
      <c r="I42" s="46">
        <v>-5.5494649807524943E-2</v>
      </c>
      <c r="J42" s="46">
        <v>0.23755488426690818</v>
      </c>
    </row>
    <row r="43" spans="1:10" ht="11.25" customHeight="1" x14ac:dyDescent="0.2">
      <c r="A43" s="55">
        <v>44621</v>
      </c>
      <c r="B43" s="45">
        <v>0</v>
      </c>
      <c r="C43" s="45">
        <v>0</v>
      </c>
      <c r="D43" s="45">
        <v>4770.0312503999994</v>
      </c>
      <c r="E43" s="45">
        <v>6767.3419455509065</v>
      </c>
      <c r="F43" s="45">
        <v>2948.875098</v>
      </c>
      <c r="G43" s="45">
        <v>2785.2283071103593</v>
      </c>
      <c r="H43" s="46">
        <v>0.41872067294809012</v>
      </c>
      <c r="I43" s="46">
        <v>-5.5494649807524943E-2</v>
      </c>
      <c r="J43" s="46">
        <v>0.23755488426690841</v>
      </c>
    </row>
    <row r="44" spans="1:10" ht="11.25" customHeight="1" x14ac:dyDescent="0.2">
      <c r="A44" s="55">
        <v>44652</v>
      </c>
      <c r="B44" s="45">
        <v>0</v>
      </c>
      <c r="C44" s="45">
        <v>0</v>
      </c>
      <c r="D44" s="45">
        <v>3302.4829993999997</v>
      </c>
      <c r="E44" s="45">
        <v>4685.3009033083945</v>
      </c>
      <c r="F44" s="45">
        <v>2041.6239154999998</v>
      </c>
      <c r="G44" s="45">
        <v>1928.3247112706595</v>
      </c>
      <c r="H44" s="46">
        <v>0.41872067294809012</v>
      </c>
      <c r="I44" s="46">
        <v>-5.5494649807524943E-2</v>
      </c>
      <c r="J44" s="46">
        <v>0.23755488426690841</v>
      </c>
    </row>
    <row r="45" spans="1:10" ht="11.25" customHeight="1" x14ac:dyDescent="0.2">
      <c r="A45" s="55">
        <v>44682</v>
      </c>
      <c r="B45" s="45">
        <v>0</v>
      </c>
      <c r="C45" s="45">
        <v>0</v>
      </c>
      <c r="D45" s="45">
        <v>3444.2671665999997</v>
      </c>
      <c r="E45" s="45">
        <v>4886.4530324117632</v>
      </c>
      <c r="F45" s="45">
        <v>2129.2761295</v>
      </c>
      <c r="G45" s="45">
        <v>2011.1126963498755</v>
      </c>
      <c r="H45" s="46">
        <v>0.41872067294809012</v>
      </c>
      <c r="I45" s="46">
        <v>-5.5494649807524943E-2</v>
      </c>
      <c r="J45" s="46">
        <v>0.23755488426690841</v>
      </c>
    </row>
    <row r="46" spans="1:10" ht="11.25" customHeight="1" x14ac:dyDescent="0.2">
      <c r="A46" s="55">
        <v>44713</v>
      </c>
      <c r="B46" s="45">
        <v>0</v>
      </c>
      <c r="C46" s="45">
        <v>0</v>
      </c>
      <c r="D46" s="45">
        <v>3073.4221335999996</v>
      </c>
      <c r="E46" s="45">
        <v>4360.327517634546</v>
      </c>
      <c r="F46" s="45">
        <v>1900.016482</v>
      </c>
      <c r="G46" s="45">
        <v>1794.5757327028846</v>
      </c>
      <c r="H46" s="46">
        <v>0.4187206729480899</v>
      </c>
      <c r="I46" s="46">
        <v>-5.5494649807524943E-2</v>
      </c>
      <c r="J46" s="46">
        <v>0.23755488426690841</v>
      </c>
    </row>
    <row r="47" spans="1:10" ht="11.25" customHeight="1" x14ac:dyDescent="0.2">
      <c r="A47" s="55">
        <v>44743</v>
      </c>
      <c r="B47" s="45">
        <v>0</v>
      </c>
      <c r="C47" s="45">
        <v>0</v>
      </c>
      <c r="D47" s="45">
        <v>3211.6056335999997</v>
      </c>
      <c r="E47" s="45">
        <v>4556.3713057448686</v>
      </c>
      <c r="F47" s="45">
        <v>1985.4427319999998</v>
      </c>
      <c r="G47" s="45">
        <v>1875.2612828747644</v>
      </c>
      <c r="H47" s="46">
        <v>0.4187206729480899</v>
      </c>
      <c r="I47" s="46">
        <v>-5.5494649807524832E-2</v>
      </c>
      <c r="J47" s="46">
        <v>0.23755488426690841</v>
      </c>
    </row>
    <row r="48" spans="1:10" ht="11.25" customHeight="1" x14ac:dyDescent="0.2">
      <c r="A48" s="50" t="s">
        <v>33</v>
      </c>
      <c r="B48" s="45">
        <v>373465.27269999991</v>
      </c>
      <c r="C48" s="45">
        <v>496160.8887593926</v>
      </c>
      <c r="D48" s="45">
        <v>313404.81693180004</v>
      </c>
      <c r="E48" s="45">
        <v>535249.1112459494</v>
      </c>
      <c r="F48" s="45">
        <v>747774.93787170004</v>
      </c>
      <c r="G48" s="45">
        <v>707444.9013217818</v>
      </c>
      <c r="H48" s="46">
        <v>0.50160855098266777</v>
      </c>
      <c r="I48" s="46">
        <v>-5.3933388921410752E-2</v>
      </c>
      <c r="J48" s="46">
        <v>0.21204539659053889</v>
      </c>
    </row>
    <row r="49" spans="1:10" ht="11.25" customHeight="1" x14ac:dyDescent="0.2">
      <c r="A49" s="51" t="s">
        <v>25</v>
      </c>
      <c r="B49" s="45">
        <v>373465.27269999991</v>
      </c>
      <c r="C49" s="45">
        <v>496160.8887593926</v>
      </c>
      <c r="D49" s="45">
        <v>313404.81693180004</v>
      </c>
      <c r="E49" s="45">
        <v>535249.1112459494</v>
      </c>
      <c r="F49" s="45">
        <v>747774.93787170004</v>
      </c>
      <c r="G49" s="45">
        <v>707444.9013217818</v>
      </c>
      <c r="H49" s="46">
        <v>0.50160855098266777</v>
      </c>
      <c r="I49" s="46">
        <v>-5.3933388921410752E-2</v>
      </c>
      <c r="J49" s="46">
        <v>0.21204539659053889</v>
      </c>
    </row>
    <row r="50" spans="1:10" ht="11.25" customHeight="1" x14ac:dyDescent="0.2">
      <c r="A50" s="52" t="s">
        <v>25</v>
      </c>
      <c r="B50" s="45">
        <v>373465.27269999991</v>
      </c>
      <c r="C50" s="45">
        <v>496160.8887593926</v>
      </c>
      <c r="D50" s="45">
        <v>313404.81693180004</v>
      </c>
      <c r="E50" s="45">
        <v>535249.1112459494</v>
      </c>
      <c r="F50" s="45">
        <v>747774.93787170004</v>
      </c>
      <c r="G50" s="45">
        <v>707444.9013217818</v>
      </c>
      <c r="H50" s="46">
        <v>0.50160855098266777</v>
      </c>
      <c r="I50" s="46">
        <v>-5.3933388921410752E-2</v>
      </c>
      <c r="J50" s="46">
        <v>0.21204539659053889</v>
      </c>
    </row>
    <row r="51" spans="1:10" ht="11.25" customHeight="1" x14ac:dyDescent="0.2">
      <c r="A51" s="53" t="s">
        <v>25</v>
      </c>
      <c r="B51" s="45">
        <v>373465.27269999991</v>
      </c>
      <c r="C51" s="45">
        <v>496160.8887593926</v>
      </c>
      <c r="D51" s="45">
        <v>313404.81693180004</v>
      </c>
      <c r="E51" s="45">
        <v>535249.1112459494</v>
      </c>
      <c r="F51" s="45">
        <v>747774.93787170004</v>
      </c>
      <c r="G51" s="45">
        <v>707444.9013217818</v>
      </c>
      <c r="H51" s="46">
        <v>0.50160855098266777</v>
      </c>
      <c r="I51" s="46">
        <v>-5.3933388921410752E-2</v>
      </c>
      <c r="J51" s="46">
        <v>0.21204539659053889</v>
      </c>
    </row>
    <row r="52" spans="1:10" ht="11.25" customHeight="1" x14ac:dyDescent="0.2">
      <c r="A52" s="54" t="s">
        <v>37</v>
      </c>
      <c r="B52" s="45">
        <v>0</v>
      </c>
      <c r="C52" s="45">
        <v>0</v>
      </c>
      <c r="D52" s="45">
        <v>168141.18130559998</v>
      </c>
      <c r="E52" s="45">
        <v>329160.58835546084</v>
      </c>
      <c r="F52" s="45">
        <v>657971.68601519999</v>
      </c>
      <c r="G52" s="45">
        <v>622625.24947863538</v>
      </c>
      <c r="H52" s="46">
        <v>0.95764408100122078</v>
      </c>
      <c r="I52" s="46">
        <v>-5.3720300261899334E-2</v>
      </c>
      <c r="J52" s="46">
        <v>0.15212566646113546</v>
      </c>
    </row>
    <row r="53" spans="1:10" ht="11.25" customHeight="1" x14ac:dyDescent="0.2">
      <c r="A53" s="55">
        <v>44409</v>
      </c>
      <c r="B53" s="45">
        <v>0</v>
      </c>
      <c r="C53" s="45">
        <v>0</v>
      </c>
      <c r="D53" s="45">
        <v>16142.407123199999</v>
      </c>
      <c r="E53" s="45">
        <v>31601.087757844416</v>
      </c>
      <c r="F53" s="45">
        <v>63168.622634399995</v>
      </c>
      <c r="G53" s="45">
        <v>59775.185259349426</v>
      </c>
      <c r="H53" s="46">
        <v>0.95764408100122034</v>
      </c>
      <c r="I53" s="46">
        <v>-5.3720300261899223E-2</v>
      </c>
      <c r="J53" s="46">
        <v>0.15212566646113568</v>
      </c>
    </row>
    <row r="54" spans="1:10" ht="11.25" customHeight="1" x14ac:dyDescent="0.2">
      <c r="A54" s="55">
        <v>44440</v>
      </c>
      <c r="B54" s="45">
        <v>0</v>
      </c>
      <c r="C54" s="45">
        <v>0</v>
      </c>
      <c r="D54" s="45">
        <v>15328.49056</v>
      </c>
      <c r="E54" s="45">
        <v>30007.728815467079</v>
      </c>
      <c r="F54" s="45">
        <v>59983.596519999992</v>
      </c>
      <c r="G54" s="45">
        <v>56761.259704156982</v>
      </c>
      <c r="H54" s="46">
        <v>0.95764408100122012</v>
      </c>
      <c r="I54" s="46">
        <v>-5.3720300261899112E-2</v>
      </c>
      <c r="J54" s="46">
        <v>0.15212566646113546</v>
      </c>
    </row>
    <row r="55" spans="1:10" ht="11.25" customHeight="1" x14ac:dyDescent="0.2">
      <c r="A55" s="55">
        <v>44470</v>
      </c>
      <c r="B55" s="45">
        <v>0</v>
      </c>
      <c r="C55" s="45">
        <v>0</v>
      </c>
      <c r="D55" s="45">
        <v>14260.096739199998</v>
      </c>
      <c r="E55" s="45">
        <v>27916.193975999682</v>
      </c>
      <c r="F55" s="45">
        <v>55802.747556399998</v>
      </c>
      <c r="G55" s="45">
        <v>52805.007202231223</v>
      </c>
      <c r="H55" s="46">
        <v>0.95764408100122056</v>
      </c>
      <c r="I55" s="46">
        <v>-5.3720300261899334E-2</v>
      </c>
      <c r="J55" s="46">
        <v>0.15212566646113546</v>
      </c>
    </row>
    <row r="56" spans="1:10" ht="11.25" customHeight="1" x14ac:dyDescent="0.2">
      <c r="A56" s="55">
        <v>44501</v>
      </c>
      <c r="B56" s="45">
        <v>0</v>
      </c>
      <c r="C56" s="45">
        <v>0</v>
      </c>
      <c r="D56" s="45">
        <v>13742.6593312</v>
      </c>
      <c r="E56" s="45">
        <v>26903.235696939868</v>
      </c>
      <c r="F56" s="45">
        <v>53777.906520400007</v>
      </c>
      <c r="G56" s="45">
        <v>50888.941234667756</v>
      </c>
      <c r="H56" s="46">
        <v>0.95764408100122012</v>
      </c>
      <c r="I56" s="46">
        <v>-5.3720300261899445E-2</v>
      </c>
      <c r="J56" s="46">
        <v>0.15212566646113501</v>
      </c>
    </row>
    <row r="57" spans="1:10" ht="11.25" customHeight="1" x14ac:dyDescent="0.2">
      <c r="A57" s="55">
        <v>44531</v>
      </c>
      <c r="B57" s="45">
        <v>0</v>
      </c>
      <c r="C57" s="45">
        <v>0</v>
      </c>
      <c r="D57" s="45">
        <v>12482.148800000001</v>
      </c>
      <c r="E57" s="45">
        <v>24435.604716496484</v>
      </c>
      <c r="F57" s="45">
        <v>48845.264599999995</v>
      </c>
      <c r="G57" s="45">
        <v>46221.282319316073</v>
      </c>
      <c r="H57" s="46">
        <v>0.95764408100122012</v>
      </c>
      <c r="I57" s="46">
        <v>-5.3720300261899334E-2</v>
      </c>
      <c r="J57" s="46">
        <v>0.15212566646113523</v>
      </c>
    </row>
    <row r="58" spans="1:10" ht="11.25" customHeight="1" x14ac:dyDescent="0.2">
      <c r="A58" s="55">
        <v>44562</v>
      </c>
      <c r="B58" s="45">
        <v>0</v>
      </c>
      <c r="C58" s="45">
        <v>0</v>
      </c>
      <c r="D58" s="45">
        <v>12870.38624</v>
      </c>
      <c r="E58" s="45">
        <v>25195.635442935549</v>
      </c>
      <c r="F58" s="45">
        <v>50364.519079999998</v>
      </c>
      <c r="G58" s="45">
        <v>47658.921992476236</v>
      </c>
      <c r="H58" s="46">
        <v>0.95764408100122012</v>
      </c>
      <c r="I58" s="46">
        <v>-5.3720300261899445E-2</v>
      </c>
      <c r="J58" s="46">
        <v>0.15212566646113523</v>
      </c>
    </row>
    <row r="59" spans="1:10" ht="11.25" customHeight="1" x14ac:dyDescent="0.2">
      <c r="A59" s="55">
        <v>44593</v>
      </c>
      <c r="B59" s="45">
        <v>0</v>
      </c>
      <c r="C59" s="45">
        <v>0</v>
      </c>
      <c r="D59" s="45">
        <v>12763.6846976</v>
      </c>
      <c r="E59" s="45">
        <v>24986.751800022492</v>
      </c>
      <c r="F59" s="45">
        <v>49946.973579200006</v>
      </c>
      <c r="G59" s="45">
        <v>47263.807161352226</v>
      </c>
      <c r="H59" s="46">
        <v>0.95764408100122056</v>
      </c>
      <c r="I59" s="46">
        <v>-5.3720300261899445E-2</v>
      </c>
      <c r="J59" s="46">
        <v>0.15212566646113523</v>
      </c>
    </row>
    <row r="60" spans="1:10" ht="11.25" customHeight="1" x14ac:dyDescent="0.2">
      <c r="A60" s="55">
        <v>44621</v>
      </c>
      <c r="B60" s="45">
        <v>0</v>
      </c>
      <c r="C60" s="45">
        <v>0</v>
      </c>
      <c r="D60" s="45">
        <v>15261.823347199999</v>
      </c>
      <c r="E60" s="45">
        <v>29877.218140932309</v>
      </c>
      <c r="F60" s="45">
        <v>59722.713742399996</v>
      </c>
      <c r="G60" s="45">
        <v>56514.391627702811</v>
      </c>
      <c r="H60" s="46">
        <v>0.95764408100122012</v>
      </c>
      <c r="I60" s="46">
        <v>-5.3720300261899223E-2</v>
      </c>
      <c r="J60" s="46">
        <v>0.15212566646113546</v>
      </c>
    </row>
    <row r="61" spans="1:10" ht="11.25" customHeight="1" x14ac:dyDescent="0.2">
      <c r="A61" s="55">
        <v>44652</v>
      </c>
      <c r="B61" s="45">
        <v>0</v>
      </c>
      <c r="C61" s="45">
        <v>0</v>
      </c>
      <c r="D61" s="45">
        <v>12815.817555200001</v>
      </c>
      <c r="E61" s="45">
        <v>25088.809380128812</v>
      </c>
      <c r="F61" s="45">
        <v>50150.980378400003</v>
      </c>
      <c r="G61" s="45">
        <v>47456.854654043738</v>
      </c>
      <c r="H61" s="46">
        <v>0.95764408100122034</v>
      </c>
      <c r="I61" s="46">
        <v>-5.3720300261899223E-2</v>
      </c>
      <c r="J61" s="46">
        <v>0.15212566646113523</v>
      </c>
    </row>
    <row r="62" spans="1:10" ht="11.25" customHeight="1" x14ac:dyDescent="0.2">
      <c r="A62" s="55">
        <v>44682</v>
      </c>
      <c r="B62" s="45">
        <v>0</v>
      </c>
      <c r="C62" s="45">
        <v>0</v>
      </c>
      <c r="D62" s="45">
        <v>14664.053472</v>
      </c>
      <c r="E62" s="45">
        <v>28706.997482946193</v>
      </c>
      <c r="F62" s="45">
        <v>57383.514924000003</v>
      </c>
      <c r="G62" s="45">
        <v>54300.855272199544</v>
      </c>
      <c r="H62" s="46">
        <v>0.95764408100122034</v>
      </c>
      <c r="I62" s="46">
        <v>-5.3720300261899334E-2</v>
      </c>
      <c r="J62" s="46">
        <v>0.15212566646113546</v>
      </c>
    </row>
    <row r="63" spans="1:10" ht="11.25" customHeight="1" x14ac:dyDescent="0.2">
      <c r="A63" s="55">
        <v>44713</v>
      </c>
      <c r="B63" s="45">
        <v>0</v>
      </c>
      <c r="C63" s="45">
        <v>0</v>
      </c>
      <c r="D63" s="45">
        <v>13536.8246048</v>
      </c>
      <c r="E63" s="45">
        <v>26500.284563138404</v>
      </c>
      <c r="F63" s="45">
        <v>52972.432091599992</v>
      </c>
      <c r="G63" s="45">
        <v>50126.737134036179</v>
      </c>
      <c r="H63" s="46">
        <v>0.95764408100122034</v>
      </c>
      <c r="I63" s="46">
        <v>-5.3720300261899112E-2</v>
      </c>
      <c r="J63" s="46">
        <v>0.15212566646113546</v>
      </c>
    </row>
    <row r="64" spans="1:10" ht="11.25" customHeight="1" x14ac:dyDescent="0.2">
      <c r="A64" s="55">
        <v>44743</v>
      </c>
      <c r="B64" s="45">
        <v>0</v>
      </c>
      <c r="C64" s="45">
        <v>0</v>
      </c>
      <c r="D64" s="45">
        <v>14272.788835200001</v>
      </c>
      <c r="E64" s="45">
        <v>27941.040582609581</v>
      </c>
      <c r="F64" s="45">
        <v>55852.4143884</v>
      </c>
      <c r="G64" s="45">
        <v>52852.005917103132</v>
      </c>
      <c r="H64" s="46">
        <v>0.95764408100122012</v>
      </c>
      <c r="I64" s="46">
        <v>-5.3720300261899223E-2</v>
      </c>
      <c r="J64" s="46">
        <v>0.15212566646113546</v>
      </c>
    </row>
    <row r="65" spans="1:10" ht="11.25" customHeight="1" x14ac:dyDescent="0.2">
      <c r="A65" s="54" t="s">
        <v>25</v>
      </c>
      <c r="B65" s="45">
        <v>373465.27269999991</v>
      </c>
      <c r="C65" s="45">
        <v>496160.8887593926</v>
      </c>
      <c r="D65" s="45">
        <v>0</v>
      </c>
      <c r="E65" s="45">
        <v>0</v>
      </c>
      <c r="F65" s="45">
        <v>0</v>
      </c>
      <c r="G65" s="45">
        <v>0</v>
      </c>
      <c r="H65" s="46">
        <v>0.32853286511046664</v>
      </c>
      <c r="I65" s="46">
        <v>0</v>
      </c>
      <c r="J65" s="46">
        <v>0.32853286511046664</v>
      </c>
    </row>
    <row r="66" spans="1:10" ht="11.25" customHeight="1" x14ac:dyDescent="0.2">
      <c r="A66" s="55">
        <v>44409</v>
      </c>
      <c r="B66" s="45">
        <v>31961.259299999998</v>
      </c>
      <c r="C66" s="45">
        <v>42461.58339036753</v>
      </c>
      <c r="D66" s="45">
        <v>0</v>
      </c>
      <c r="E66" s="45">
        <v>0</v>
      </c>
      <c r="F66" s="45">
        <v>0</v>
      </c>
      <c r="G66" s="45">
        <v>0</v>
      </c>
      <c r="H66" s="46">
        <v>0.3285328651104662</v>
      </c>
      <c r="I66" s="46">
        <v>0</v>
      </c>
      <c r="J66" s="46">
        <v>0.3285328651104662</v>
      </c>
    </row>
    <row r="67" spans="1:10" ht="11.25" customHeight="1" x14ac:dyDescent="0.2">
      <c r="A67" s="55">
        <v>44440</v>
      </c>
      <c r="B67" s="45">
        <v>31784.309999999998</v>
      </c>
      <c r="C67" s="45">
        <v>42226.500429859239</v>
      </c>
      <c r="D67" s="45">
        <v>0</v>
      </c>
      <c r="E67" s="45">
        <v>0</v>
      </c>
      <c r="F67" s="45">
        <v>0</v>
      </c>
      <c r="G67" s="45">
        <v>0</v>
      </c>
      <c r="H67" s="46">
        <v>0.3285328651104662</v>
      </c>
      <c r="I67" s="46">
        <v>0</v>
      </c>
      <c r="J67" s="46">
        <v>0.3285328651104662</v>
      </c>
    </row>
    <row r="68" spans="1:10" ht="11.25" customHeight="1" x14ac:dyDescent="0.2">
      <c r="A68" s="55">
        <v>44470</v>
      </c>
      <c r="B68" s="45">
        <v>32339.01</v>
      </c>
      <c r="C68" s="45">
        <v>42963.43761013601</v>
      </c>
      <c r="D68" s="45">
        <v>0</v>
      </c>
      <c r="E68" s="45">
        <v>0</v>
      </c>
      <c r="F68" s="45">
        <v>0</v>
      </c>
      <c r="G68" s="45">
        <v>0</v>
      </c>
      <c r="H68" s="46">
        <v>0.32853286511046598</v>
      </c>
      <c r="I68" s="46">
        <v>0</v>
      </c>
      <c r="J68" s="46">
        <v>0.32853286511046598</v>
      </c>
    </row>
    <row r="69" spans="1:10" ht="11.25" customHeight="1" x14ac:dyDescent="0.2">
      <c r="A69" s="55">
        <v>44501</v>
      </c>
      <c r="B69" s="45">
        <v>32302.03</v>
      </c>
      <c r="C69" s="45">
        <v>42914.308464784226</v>
      </c>
      <c r="D69" s="45">
        <v>0</v>
      </c>
      <c r="E69" s="45">
        <v>0</v>
      </c>
      <c r="F69" s="45">
        <v>0</v>
      </c>
      <c r="G69" s="45">
        <v>0</v>
      </c>
      <c r="H69" s="46">
        <v>0.32853286511046598</v>
      </c>
      <c r="I69" s="46">
        <v>0</v>
      </c>
      <c r="J69" s="46">
        <v>0.32853286511046598</v>
      </c>
    </row>
    <row r="70" spans="1:10" ht="11.25" customHeight="1" x14ac:dyDescent="0.2">
      <c r="A70" s="55">
        <v>44531</v>
      </c>
      <c r="B70" s="45">
        <v>32560.89</v>
      </c>
      <c r="C70" s="45">
        <v>43258.212482246723</v>
      </c>
      <c r="D70" s="45">
        <v>0</v>
      </c>
      <c r="E70" s="45">
        <v>0</v>
      </c>
      <c r="F70" s="45">
        <v>0</v>
      </c>
      <c r="G70" s="45">
        <v>0</v>
      </c>
      <c r="H70" s="46">
        <v>0.32853286511046598</v>
      </c>
      <c r="I70" s="46">
        <v>0</v>
      </c>
      <c r="J70" s="46">
        <v>0.32853286511046598</v>
      </c>
    </row>
    <row r="71" spans="1:10" ht="11.25" customHeight="1" x14ac:dyDescent="0.2">
      <c r="A71" s="55">
        <v>44562</v>
      </c>
      <c r="B71" s="45">
        <v>30693.399999999998</v>
      </c>
      <c r="C71" s="45">
        <v>40777.190641981579</v>
      </c>
      <c r="D71" s="45">
        <v>0</v>
      </c>
      <c r="E71" s="45">
        <v>0</v>
      </c>
      <c r="F71" s="45">
        <v>0</v>
      </c>
      <c r="G71" s="45">
        <v>0</v>
      </c>
      <c r="H71" s="46">
        <v>0.3285328651104662</v>
      </c>
      <c r="I71" s="46">
        <v>0</v>
      </c>
      <c r="J71" s="46">
        <v>0.3285328651104662</v>
      </c>
    </row>
    <row r="72" spans="1:10" ht="11.25" customHeight="1" x14ac:dyDescent="0.2">
      <c r="A72" s="55">
        <v>44593</v>
      </c>
      <c r="B72" s="45">
        <v>31174.14</v>
      </c>
      <c r="C72" s="45">
        <v>41415.869531554781</v>
      </c>
      <c r="D72" s="45">
        <v>0</v>
      </c>
      <c r="E72" s="45">
        <v>0</v>
      </c>
      <c r="F72" s="45">
        <v>0</v>
      </c>
      <c r="G72" s="45">
        <v>0</v>
      </c>
      <c r="H72" s="46">
        <v>0.32853286511046598</v>
      </c>
      <c r="I72" s="46">
        <v>0</v>
      </c>
      <c r="J72" s="46">
        <v>0.32853286511046598</v>
      </c>
    </row>
    <row r="73" spans="1:10" ht="11.25" customHeight="1" x14ac:dyDescent="0.2">
      <c r="A73" s="55">
        <v>44621</v>
      </c>
      <c r="B73" s="45">
        <v>28271.21</v>
      </c>
      <c r="C73" s="45">
        <v>37559.231621439656</v>
      </c>
      <c r="D73" s="45">
        <v>0</v>
      </c>
      <c r="E73" s="45">
        <v>0</v>
      </c>
      <c r="F73" s="45">
        <v>0</v>
      </c>
      <c r="G73" s="45">
        <v>0</v>
      </c>
      <c r="H73" s="46">
        <v>0.32853286511046598</v>
      </c>
      <c r="I73" s="46">
        <v>0</v>
      </c>
      <c r="J73" s="46">
        <v>0.32853286511046598</v>
      </c>
    </row>
    <row r="74" spans="1:10" ht="11.25" customHeight="1" x14ac:dyDescent="0.2">
      <c r="A74" s="55">
        <v>44652</v>
      </c>
      <c r="B74" s="45">
        <v>32246.559999999998</v>
      </c>
      <c r="C74" s="45">
        <v>42840.614746756553</v>
      </c>
      <c r="D74" s="45">
        <v>0</v>
      </c>
      <c r="E74" s="45">
        <v>0</v>
      </c>
      <c r="F74" s="45">
        <v>0</v>
      </c>
      <c r="G74" s="45">
        <v>0</v>
      </c>
      <c r="H74" s="46">
        <v>0.3285328651104662</v>
      </c>
      <c r="I74" s="46">
        <v>0</v>
      </c>
      <c r="J74" s="46">
        <v>0.3285328651104662</v>
      </c>
    </row>
    <row r="75" spans="1:10" ht="11.25" customHeight="1" x14ac:dyDescent="0.2">
      <c r="A75" s="55">
        <v>44682</v>
      </c>
      <c r="B75" s="45">
        <v>30175.679999999997</v>
      </c>
      <c r="C75" s="45">
        <v>40089.382607056585</v>
      </c>
      <c r="D75" s="45">
        <v>0</v>
      </c>
      <c r="E75" s="45">
        <v>0</v>
      </c>
      <c r="F75" s="45">
        <v>0</v>
      </c>
      <c r="G75" s="45">
        <v>0</v>
      </c>
      <c r="H75" s="46">
        <v>0.32853286511046598</v>
      </c>
      <c r="I75" s="46">
        <v>0</v>
      </c>
      <c r="J75" s="46">
        <v>0.32853286511046598</v>
      </c>
    </row>
    <row r="76" spans="1:10" ht="11.25" customHeight="1" x14ac:dyDescent="0.2">
      <c r="A76" s="55">
        <v>44713</v>
      </c>
      <c r="B76" s="45">
        <v>29972.289999999997</v>
      </c>
      <c r="C76" s="45">
        <v>39819.172307621775</v>
      </c>
      <c r="D76" s="45">
        <v>0</v>
      </c>
      <c r="E76" s="45">
        <v>0</v>
      </c>
      <c r="F76" s="45">
        <v>0</v>
      </c>
      <c r="G76" s="45">
        <v>0</v>
      </c>
      <c r="H76" s="46">
        <v>0.32853286511046642</v>
      </c>
      <c r="I76" s="46">
        <v>0</v>
      </c>
      <c r="J76" s="46">
        <v>0.32853286511046642</v>
      </c>
    </row>
    <row r="77" spans="1:10" ht="11.25" customHeight="1" x14ac:dyDescent="0.2">
      <c r="A77" s="55">
        <v>44743</v>
      </c>
      <c r="B77" s="45">
        <v>29984.493399999999</v>
      </c>
      <c r="C77" s="45">
        <v>39835.384925587859</v>
      </c>
      <c r="D77" s="45">
        <v>0</v>
      </c>
      <c r="E77" s="45">
        <v>0</v>
      </c>
      <c r="F77" s="45">
        <v>0</v>
      </c>
      <c r="G77" s="45">
        <v>0</v>
      </c>
      <c r="H77" s="46">
        <v>0.32853286511046598</v>
      </c>
      <c r="I77" s="46">
        <v>0</v>
      </c>
      <c r="J77" s="46">
        <v>0.32853286511046598</v>
      </c>
    </row>
    <row r="78" spans="1:10" ht="11.25" customHeight="1" x14ac:dyDescent="0.2">
      <c r="A78" s="54" t="s">
        <v>36</v>
      </c>
      <c r="B78" s="45">
        <v>0</v>
      </c>
      <c r="C78" s="45">
        <v>0</v>
      </c>
      <c r="D78" s="45">
        <v>145263.63562619998</v>
      </c>
      <c r="E78" s="45">
        <v>206088.52289048862</v>
      </c>
      <c r="F78" s="45">
        <v>89803.251856499992</v>
      </c>
      <c r="G78" s="45">
        <v>84819.651843146567</v>
      </c>
      <c r="H78" s="46">
        <v>0.4187206729480899</v>
      </c>
      <c r="I78" s="46">
        <v>-5.5494649807524832E-2</v>
      </c>
      <c r="J78" s="46">
        <v>0.23755488426690841</v>
      </c>
    </row>
    <row r="79" spans="1:10" ht="11.25" customHeight="1" x14ac:dyDescent="0.2">
      <c r="A79" s="55">
        <v>44409</v>
      </c>
      <c r="B79" s="45">
        <v>0</v>
      </c>
      <c r="C79" s="45">
        <v>0</v>
      </c>
      <c r="D79" s="45">
        <v>14520.8907064</v>
      </c>
      <c r="E79" s="45">
        <v>20601.087834789472</v>
      </c>
      <c r="F79" s="45">
        <v>8976.9418179999993</v>
      </c>
      <c r="G79" s="45">
        <v>8478.7695754675642</v>
      </c>
      <c r="H79" s="46">
        <v>0.4187206729480899</v>
      </c>
      <c r="I79" s="46">
        <v>-5.5494649807524832E-2</v>
      </c>
      <c r="J79" s="46">
        <v>0.23755488426690818</v>
      </c>
    </row>
    <row r="80" spans="1:10" ht="11.25" customHeight="1" x14ac:dyDescent="0.2">
      <c r="A80" s="55">
        <v>44440</v>
      </c>
      <c r="B80" s="45">
        <v>0</v>
      </c>
      <c r="C80" s="45">
        <v>0</v>
      </c>
      <c r="D80" s="45">
        <v>13789.13406</v>
      </c>
      <c r="E80" s="45">
        <v>19562.92955297463</v>
      </c>
      <c r="F80" s="45">
        <v>8524.5634499999996</v>
      </c>
      <c r="G80" s="45">
        <v>8051.4957865802235</v>
      </c>
      <c r="H80" s="46">
        <v>0.41872067294809012</v>
      </c>
      <c r="I80" s="46">
        <v>-5.5494649807524943E-2</v>
      </c>
      <c r="J80" s="46">
        <v>0.23755488426690863</v>
      </c>
    </row>
    <row r="81" spans="1:10" ht="11.25" customHeight="1" x14ac:dyDescent="0.2">
      <c r="A81" s="55">
        <v>44470</v>
      </c>
      <c r="B81" s="45">
        <v>0</v>
      </c>
      <c r="C81" s="45">
        <v>0</v>
      </c>
      <c r="D81" s="45">
        <v>12708.4522318</v>
      </c>
      <c r="E81" s="45">
        <v>18029.743902427952</v>
      </c>
      <c r="F81" s="45">
        <v>7856.4764784999998</v>
      </c>
      <c r="G81" s="45">
        <v>7420.4840676045869</v>
      </c>
      <c r="H81" s="46">
        <v>0.4187206729480899</v>
      </c>
      <c r="I81" s="46">
        <v>-5.5494649807524721E-2</v>
      </c>
      <c r="J81" s="46">
        <v>0.23755488426690841</v>
      </c>
    </row>
    <row r="82" spans="1:10" ht="11.25" customHeight="1" x14ac:dyDescent="0.2">
      <c r="A82" s="55">
        <v>44501</v>
      </c>
      <c r="B82" s="45">
        <v>0</v>
      </c>
      <c r="C82" s="45">
        <v>0</v>
      </c>
      <c r="D82" s="45">
        <v>12336.1621942</v>
      </c>
      <c r="E82" s="45">
        <v>17501.568329752212</v>
      </c>
      <c r="F82" s="45">
        <v>7626.3235165000006</v>
      </c>
      <c r="G82" s="45">
        <v>7203.1033636329412</v>
      </c>
      <c r="H82" s="46">
        <v>0.41872067294809012</v>
      </c>
      <c r="I82" s="46">
        <v>-5.5494649807524943E-2</v>
      </c>
      <c r="J82" s="46">
        <v>0.23755488426690863</v>
      </c>
    </row>
    <row r="83" spans="1:10" ht="11.25" customHeight="1" x14ac:dyDescent="0.2">
      <c r="A83" s="55">
        <v>44531</v>
      </c>
      <c r="B83" s="45">
        <v>0</v>
      </c>
      <c r="C83" s="45">
        <v>0</v>
      </c>
      <c r="D83" s="45">
        <v>11561.616040000001</v>
      </c>
      <c r="E83" s="45">
        <v>16402.703688636233</v>
      </c>
      <c r="F83" s="45">
        <v>7147.492299999999</v>
      </c>
      <c r="G83" s="45">
        <v>6750.8447178095194</v>
      </c>
      <c r="H83" s="46">
        <v>0.41872067294809012</v>
      </c>
      <c r="I83" s="46">
        <v>-5.5494649807524721E-2</v>
      </c>
      <c r="J83" s="46">
        <v>0.23755488426690863</v>
      </c>
    </row>
    <row r="84" spans="1:10" ht="11.25" customHeight="1" x14ac:dyDescent="0.2">
      <c r="A84" s="55">
        <v>44562</v>
      </c>
      <c r="B84" s="45">
        <v>0</v>
      </c>
      <c r="C84" s="45">
        <v>0</v>
      </c>
      <c r="D84" s="45">
        <v>11516.6077</v>
      </c>
      <c r="E84" s="45">
        <v>16338.849426223154</v>
      </c>
      <c r="F84" s="45">
        <v>7119.6677499999987</v>
      </c>
      <c r="G84" s="45">
        <v>6724.5642814678213</v>
      </c>
      <c r="H84" s="46">
        <v>0.4187206729480899</v>
      </c>
      <c r="I84" s="46">
        <v>-5.5494649807524721E-2</v>
      </c>
      <c r="J84" s="46">
        <v>0.23755488426690841</v>
      </c>
    </row>
    <row r="85" spans="1:10" ht="11.25" customHeight="1" x14ac:dyDescent="0.2">
      <c r="A85" s="55">
        <v>44593</v>
      </c>
      <c r="B85" s="45">
        <v>0</v>
      </c>
      <c r="C85" s="45">
        <v>0</v>
      </c>
      <c r="D85" s="45">
        <v>11405.208110399999</v>
      </c>
      <c r="E85" s="45">
        <v>16180.804525499701</v>
      </c>
      <c r="F85" s="45">
        <v>7050.799548</v>
      </c>
      <c r="G85" s="45">
        <v>6659.5178962206846</v>
      </c>
      <c r="H85" s="46">
        <v>0.41872067294809012</v>
      </c>
      <c r="I85" s="46">
        <v>-5.5494649807524943E-2</v>
      </c>
      <c r="J85" s="46">
        <v>0.23755488426690841</v>
      </c>
    </row>
    <row r="86" spans="1:10" ht="11.25" customHeight="1" x14ac:dyDescent="0.2">
      <c r="A86" s="55">
        <v>44621</v>
      </c>
      <c r="B86" s="45">
        <v>0</v>
      </c>
      <c r="C86" s="45">
        <v>0</v>
      </c>
      <c r="D86" s="45">
        <v>11823.7540876</v>
      </c>
      <c r="E86" s="45">
        <v>16774.604355932603</v>
      </c>
      <c r="F86" s="45">
        <v>7309.5483370000002</v>
      </c>
      <c r="G86" s="45">
        <v>6903.9075117870088</v>
      </c>
      <c r="H86" s="46">
        <v>0.41872067294809012</v>
      </c>
      <c r="I86" s="46">
        <v>-5.5494649807524943E-2</v>
      </c>
      <c r="J86" s="46">
        <v>0.23755488426690863</v>
      </c>
    </row>
    <row r="87" spans="1:10" ht="11.25" customHeight="1" x14ac:dyDescent="0.2">
      <c r="A87" s="55">
        <v>44652</v>
      </c>
      <c r="B87" s="45">
        <v>0</v>
      </c>
      <c r="C87" s="45">
        <v>0</v>
      </c>
      <c r="D87" s="45">
        <v>9075.7580446000011</v>
      </c>
      <c r="E87" s="45">
        <v>12875.965560548955</v>
      </c>
      <c r="F87" s="45">
        <v>5610.7131145000003</v>
      </c>
      <c r="G87" s="45">
        <v>5299.3485550403357</v>
      </c>
      <c r="H87" s="46">
        <v>0.41872067294809012</v>
      </c>
      <c r="I87" s="46">
        <v>-5.5494649807524832E-2</v>
      </c>
      <c r="J87" s="46">
        <v>0.23755488426690841</v>
      </c>
    </row>
    <row r="88" spans="1:10" ht="11.25" customHeight="1" x14ac:dyDescent="0.2">
      <c r="A88" s="55">
        <v>44682</v>
      </c>
      <c r="B88" s="45">
        <v>0</v>
      </c>
      <c r="C88" s="45">
        <v>0</v>
      </c>
      <c r="D88" s="45">
        <v>12709.9761984</v>
      </c>
      <c r="E88" s="45">
        <v>18031.905985348254</v>
      </c>
      <c r="F88" s="45">
        <v>7857.418607999999</v>
      </c>
      <c r="G88" s="45">
        <v>7421.3739139579093</v>
      </c>
      <c r="H88" s="46">
        <v>0.4187206729480899</v>
      </c>
      <c r="I88" s="46">
        <v>-5.5494649807524943E-2</v>
      </c>
      <c r="J88" s="46">
        <v>0.23755488426690841</v>
      </c>
    </row>
    <row r="89" spans="1:10" ht="11.25" customHeight="1" x14ac:dyDescent="0.2">
      <c r="A89" s="55">
        <v>44713</v>
      </c>
      <c r="B89" s="45">
        <v>0</v>
      </c>
      <c r="C89" s="45">
        <v>0</v>
      </c>
      <c r="D89" s="45">
        <v>11894.4566624</v>
      </c>
      <c r="E89" s="45">
        <v>16874.911560432021</v>
      </c>
      <c r="F89" s="45">
        <v>7353.2572879999998</v>
      </c>
      <c r="G89" s="45">
        <v>6945.1908498578096</v>
      </c>
      <c r="H89" s="46">
        <v>0.41872067294809012</v>
      </c>
      <c r="I89" s="46">
        <v>-5.5494649807524943E-2</v>
      </c>
      <c r="J89" s="46">
        <v>0.23755488426690841</v>
      </c>
    </row>
    <row r="90" spans="1:10" ht="11.25" customHeight="1" x14ac:dyDescent="0.2">
      <c r="A90" s="55">
        <v>44743</v>
      </c>
      <c r="B90" s="45">
        <v>0</v>
      </c>
      <c r="C90" s="45">
        <v>0</v>
      </c>
      <c r="D90" s="45">
        <v>11921.619590400001</v>
      </c>
      <c r="E90" s="45">
        <v>16913.44816792342</v>
      </c>
      <c r="F90" s="45">
        <v>7370.0496479999993</v>
      </c>
      <c r="G90" s="45">
        <v>6961.0513237201676</v>
      </c>
      <c r="H90" s="46">
        <v>0.41872067294808968</v>
      </c>
      <c r="I90" s="46">
        <v>-5.5494649807524832E-2</v>
      </c>
      <c r="J90" s="46">
        <v>0.23755488426690818</v>
      </c>
    </row>
    <row r="91" spans="1:10" ht="11.25" customHeight="1" x14ac:dyDescent="0.2">
      <c r="A91" s="50" t="s">
        <v>43</v>
      </c>
      <c r="B91" s="45">
        <v>25516.384899999994</v>
      </c>
      <c r="C91" s="45">
        <v>33899.355938458444</v>
      </c>
      <c r="D91" s="45">
        <v>19922.996892200001</v>
      </c>
      <c r="E91" s="45">
        <v>34577.540163765821</v>
      </c>
      <c r="F91" s="45">
        <v>50910.688226300001</v>
      </c>
      <c r="G91" s="45">
        <v>48166.744995477289</v>
      </c>
      <c r="H91" s="46">
        <v>0.50699444845833797</v>
      </c>
      <c r="I91" s="46">
        <v>-5.3897193819611666E-2</v>
      </c>
      <c r="J91" s="46">
        <v>0.21062331428825143</v>
      </c>
    </row>
    <row r="92" spans="1:10" ht="11.25" customHeight="1" x14ac:dyDescent="0.2">
      <c r="A92" s="51" t="s">
        <v>25</v>
      </c>
      <c r="B92" s="45">
        <v>25516.384899999994</v>
      </c>
      <c r="C92" s="45">
        <v>33899.355938458444</v>
      </c>
      <c r="D92" s="45">
        <v>19922.996892200001</v>
      </c>
      <c r="E92" s="45">
        <v>34577.540163765821</v>
      </c>
      <c r="F92" s="45">
        <v>50910.688226300001</v>
      </c>
      <c r="G92" s="45">
        <v>48166.744995477289</v>
      </c>
      <c r="H92" s="46">
        <v>0.50699444845833797</v>
      </c>
      <c r="I92" s="46">
        <v>-5.3897193819611666E-2</v>
      </c>
      <c r="J92" s="46">
        <v>0.21062331428825143</v>
      </c>
    </row>
    <row r="93" spans="1:10" ht="11.25" customHeight="1" x14ac:dyDescent="0.2">
      <c r="A93" s="52" t="s">
        <v>25</v>
      </c>
      <c r="B93" s="45">
        <v>25516.384899999994</v>
      </c>
      <c r="C93" s="45">
        <v>33899.355938458444</v>
      </c>
      <c r="D93" s="45">
        <v>19922.996892200001</v>
      </c>
      <c r="E93" s="45">
        <v>34577.540163765821</v>
      </c>
      <c r="F93" s="45">
        <v>50910.688226300001</v>
      </c>
      <c r="G93" s="45">
        <v>48166.744995477289</v>
      </c>
      <c r="H93" s="46">
        <v>0.50699444845833797</v>
      </c>
      <c r="I93" s="46">
        <v>-5.3897193819611666E-2</v>
      </c>
      <c r="J93" s="46">
        <v>0.21062331428825143</v>
      </c>
    </row>
    <row r="94" spans="1:10" ht="11.25" customHeight="1" x14ac:dyDescent="0.2">
      <c r="A94" s="53" t="s">
        <v>25</v>
      </c>
      <c r="B94" s="45">
        <v>25516.384899999994</v>
      </c>
      <c r="C94" s="45">
        <v>33899.355938458444</v>
      </c>
      <c r="D94" s="45">
        <v>19922.996892200001</v>
      </c>
      <c r="E94" s="45">
        <v>34577.540163765821</v>
      </c>
      <c r="F94" s="45">
        <v>50910.688226300001</v>
      </c>
      <c r="G94" s="45">
        <v>48166.744995477289</v>
      </c>
      <c r="H94" s="46">
        <v>0.50699444845833797</v>
      </c>
      <c r="I94" s="46">
        <v>-5.3897193819611666E-2</v>
      </c>
      <c r="J94" s="46">
        <v>0.21062331428825143</v>
      </c>
    </row>
    <row r="95" spans="1:10" ht="11.25" customHeight="1" x14ac:dyDescent="0.2">
      <c r="A95" s="54" t="s">
        <v>37</v>
      </c>
      <c r="B95" s="45">
        <v>0</v>
      </c>
      <c r="C95" s="45">
        <v>0</v>
      </c>
      <c r="D95" s="45">
        <v>11712.9308384</v>
      </c>
      <c r="E95" s="45">
        <v>22929.749726970422</v>
      </c>
      <c r="F95" s="45">
        <v>45835.153482799993</v>
      </c>
      <c r="G95" s="45">
        <v>43372.875275153747</v>
      </c>
      <c r="H95" s="46">
        <v>0.95764408100122034</v>
      </c>
      <c r="I95" s="46">
        <v>-5.3720300261899112E-2</v>
      </c>
      <c r="J95" s="46">
        <v>0.15212566646113568</v>
      </c>
    </row>
    <row r="96" spans="1:10" ht="11.25" customHeight="1" x14ac:dyDescent="0.2">
      <c r="A96" s="55">
        <v>44409</v>
      </c>
      <c r="B96" s="45">
        <v>0</v>
      </c>
      <c r="C96" s="45">
        <v>0</v>
      </c>
      <c r="D96" s="45">
        <v>724.22623999999996</v>
      </c>
      <c r="E96" s="45">
        <v>1417.7772120417692</v>
      </c>
      <c r="F96" s="45">
        <v>2834.0490799999998</v>
      </c>
      <c r="G96" s="45">
        <v>2681.8031124654403</v>
      </c>
      <c r="H96" s="46">
        <v>0.95764408100122034</v>
      </c>
      <c r="I96" s="46">
        <v>-5.3720300261899334E-2</v>
      </c>
      <c r="J96" s="46">
        <v>0.15212566646113523</v>
      </c>
    </row>
    <row r="97" spans="1:10" ht="11.25" customHeight="1" x14ac:dyDescent="0.2">
      <c r="A97" s="55">
        <v>44440</v>
      </c>
      <c r="B97" s="45">
        <v>0</v>
      </c>
      <c r="C97" s="45">
        <v>0</v>
      </c>
      <c r="D97" s="45">
        <v>811.04838400000006</v>
      </c>
      <c r="E97" s="45">
        <v>1587.7440683432048</v>
      </c>
      <c r="F97" s="45">
        <v>3173.8023279999998</v>
      </c>
      <c r="G97" s="45">
        <v>3003.3047139679252</v>
      </c>
      <c r="H97" s="46">
        <v>0.95764408100122012</v>
      </c>
      <c r="I97" s="46">
        <v>-5.3720300261899223E-2</v>
      </c>
      <c r="J97" s="46">
        <v>0.15212566646113546</v>
      </c>
    </row>
    <row r="98" spans="1:10" ht="11.25" customHeight="1" x14ac:dyDescent="0.2">
      <c r="A98" s="55">
        <v>44470</v>
      </c>
      <c r="B98" s="45">
        <v>0</v>
      </c>
      <c r="C98" s="45">
        <v>0</v>
      </c>
      <c r="D98" s="45">
        <v>849.53503999999998</v>
      </c>
      <c r="E98" s="45">
        <v>1663.087242659135</v>
      </c>
      <c r="F98" s="45">
        <v>3324.40868</v>
      </c>
      <c r="G98" s="45">
        <v>3145.8204475171356</v>
      </c>
      <c r="H98" s="46">
        <v>0.95764408100122034</v>
      </c>
      <c r="I98" s="46">
        <v>-5.3720300261899334E-2</v>
      </c>
      <c r="J98" s="46">
        <v>0.15212566646113546</v>
      </c>
    </row>
    <row r="99" spans="1:10" ht="11.25" customHeight="1" x14ac:dyDescent="0.2">
      <c r="A99" s="55">
        <v>44501</v>
      </c>
      <c r="B99" s="45">
        <v>0</v>
      </c>
      <c r="C99" s="45">
        <v>0</v>
      </c>
      <c r="D99" s="45">
        <v>1025.0362431999999</v>
      </c>
      <c r="E99" s="45">
        <v>2006.6561343122073</v>
      </c>
      <c r="F99" s="45">
        <v>4011.1816743999998</v>
      </c>
      <c r="G99" s="45">
        <v>3795.6997904462041</v>
      </c>
      <c r="H99" s="46">
        <v>0.95764408100122034</v>
      </c>
      <c r="I99" s="46">
        <v>-5.3720300261899223E-2</v>
      </c>
      <c r="J99" s="46">
        <v>0.15212566646113546</v>
      </c>
    </row>
    <row r="100" spans="1:10" ht="11.25" customHeight="1" x14ac:dyDescent="0.2">
      <c r="A100" s="55">
        <v>44531</v>
      </c>
      <c r="B100" s="45">
        <v>0</v>
      </c>
      <c r="C100" s="45">
        <v>0</v>
      </c>
      <c r="D100" s="45">
        <v>1208.4399616000001</v>
      </c>
      <c r="E100" s="45">
        <v>2365.6953380715818</v>
      </c>
      <c r="F100" s="45">
        <v>4728.8788672000001</v>
      </c>
      <c r="G100" s="45">
        <v>4474.8420745518661</v>
      </c>
      <c r="H100" s="46">
        <v>0.95764408100122012</v>
      </c>
      <c r="I100" s="46">
        <v>-5.3720300261899223E-2</v>
      </c>
      <c r="J100" s="46">
        <v>0.15212566646113523</v>
      </c>
    </row>
    <row r="101" spans="1:10" ht="11.25" customHeight="1" x14ac:dyDescent="0.2">
      <c r="A101" s="55">
        <v>44562</v>
      </c>
      <c r="B101" s="45">
        <v>0</v>
      </c>
      <c r="C101" s="45">
        <v>0</v>
      </c>
      <c r="D101" s="45">
        <v>1483.5316160000002</v>
      </c>
      <c r="E101" s="45">
        <v>2904.2268870405755</v>
      </c>
      <c r="F101" s="45">
        <v>5805.3701719999999</v>
      </c>
      <c r="G101" s="45">
        <v>5493.5039432286867</v>
      </c>
      <c r="H101" s="46">
        <v>0.95764408100122012</v>
      </c>
      <c r="I101" s="46">
        <v>-5.3720300261899223E-2</v>
      </c>
      <c r="J101" s="46">
        <v>0.15212566646113546</v>
      </c>
    </row>
    <row r="102" spans="1:10" ht="11.25" customHeight="1" x14ac:dyDescent="0.2">
      <c r="A102" s="55">
        <v>44593</v>
      </c>
      <c r="B102" s="45">
        <v>0</v>
      </c>
      <c r="C102" s="45">
        <v>0</v>
      </c>
      <c r="D102" s="45">
        <v>1298.8880000000001</v>
      </c>
      <c r="E102" s="45">
        <v>2542.7604050835134</v>
      </c>
      <c r="F102" s="45">
        <v>5082.8209999999999</v>
      </c>
      <c r="G102" s="45">
        <v>4809.7703297025128</v>
      </c>
      <c r="H102" s="46">
        <v>0.95764408100122034</v>
      </c>
      <c r="I102" s="46">
        <v>-5.3720300261899334E-2</v>
      </c>
      <c r="J102" s="46">
        <v>0.15212566646113546</v>
      </c>
    </row>
    <row r="103" spans="1:10" ht="11.25" customHeight="1" x14ac:dyDescent="0.2">
      <c r="A103" s="55">
        <v>44621</v>
      </c>
      <c r="B103" s="45">
        <v>0</v>
      </c>
      <c r="C103" s="45">
        <v>0</v>
      </c>
      <c r="D103" s="45">
        <v>1292.5624704000002</v>
      </c>
      <c r="E103" s="45">
        <v>2530.3772695028752</v>
      </c>
      <c r="F103" s="45">
        <v>5058.0678767999998</v>
      </c>
      <c r="G103" s="45">
        <v>4786.3469517132371</v>
      </c>
      <c r="H103" s="46">
        <v>0.95764408100122012</v>
      </c>
      <c r="I103" s="46">
        <v>-5.3720300261899112E-2</v>
      </c>
      <c r="J103" s="46">
        <v>0.15212566646113546</v>
      </c>
    </row>
    <row r="104" spans="1:10" ht="11.25" customHeight="1" x14ac:dyDescent="0.2">
      <c r="A104" s="55">
        <v>44652</v>
      </c>
      <c r="B104" s="45">
        <v>0</v>
      </c>
      <c r="C104" s="45">
        <v>0</v>
      </c>
      <c r="D104" s="45">
        <v>922.25078400000007</v>
      </c>
      <c r="E104" s="45">
        <v>1805.4387884963348</v>
      </c>
      <c r="F104" s="45">
        <v>3608.9606279999998</v>
      </c>
      <c r="G104" s="45">
        <v>3415.0861794304674</v>
      </c>
      <c r="H104" s="46">
        <v>0.95764408100122012</v>
      </c>
      <c r="I104" s="46">
        <v>-5.3720300261899223E-2</v>
      </c>
      <c r="J104" s="46">
        <v>0.15212566646113546</v>
      </c>
    </row>
    <row r="105" spans="1:10" ht="11.25" customHeight="1" x14ac:dyDescent="0.2">
      <c r="A105" s="55">
        <v>44682</v>
      </c>
      <c r="B105" s="45">
        <v>0</v>
      </c>
      <c r="C105" s="45">
        <v>0</v>
      </c>
      <c r="D105" s="45">
        <v>717.17523840000001</v>
      </c>
      <c r="E105" s="45">
        <v>1403.9738604943991</v>
      </c>
      <c r="F105" s="45">
        <v>2806.4570328</v>
      </c>
      <c r="G105" s="45">
        <v>2655.6933183258652</v>
      </c>
      <c r="H105" s="46">
        <v>0.95764408100122034</v>
      </c>
      <c r="I105" s="46">
        <v>-5.3720300261899223E-2</v>
      </c>
      <c r="J105" s="46">
        <v>0.15212566646113546</v>
      </c>
    </row>
    <row r="106" spans="1:10" ht="11.25" customHeight="1" x14ac:dyDescent="0.2">
      <c r="A106" s="55">
        <v>44713</v>
      </c>
      <c r="B106" s="45">
        <v>0</v>
      </c>
      <c r="C106" s="45">
        <v>0</v>
      </c>
      <c r="D106" s="45">
        <v>627.30537920000006</v>
      </c>
      <c r="E106" s="45">
        <v>1228.0406625711059</v>
      </c>
      <c r="F106" s="45">
        <v>2454.7774363999997</v>
      </c>
      <c r="G106" s="45">
        <v>2322.9060554404564</v>
      </c>
      <c r="H106" s="46">
        <v>0.95764408100121989</v>
      </c>
      <c r="I106" s="46">
        <v>-5.3720300261899223E-2</v>
      </c>
      <c r="J106" s="46">
        <v>0.15212566646113546</v>
      </c>
    </row>
    <row r="107" spans="1:10" ht="11.25" customHeight="1" x14ac:dyDescent="0.2">
      <c r="A107" s="55">
        <v>44743</v>
      </c>
      <c r="B107" s="45">
        <v>0</v>
      </c>
      <c r="C107" s="45">
        <v>0</v>
      </c>
      <c r="D107" s="45">
        <v>752.93148159999998</v>
      </c>
      <c r="E107" s="45">
        <v>1473.9718583537192</v>
      </c>
      <c r="F107" s="45">
        <v>2946.3787072</v>
      </c>
      <c r="G107" s="45">
        <v>2788.0983583639495</v>
      </c>
      <c r="H107" s="46">
        <v>0.95764408100122034</v>
      </c>
      <c r="I107" s="46">
        <v>-5.3720300261899223E-2</v>
      </c>
      <c r="J107" s="46">
        <v>0.15212566646113546</v>
      </c>
    </row>
    <row r="108" spans="1:10" ht="11.25" customHeight="1" x14ac:dyDescent="0.2">
      <c r="A108" s="54" t="s">
        <v>25</v>
      </c>
      <c r="B108" s="45">
        <v>25516.384899999994</v>
      </c>
      <c r="C108" s="45">
        <v>33899.355938458444</v>
      </c>
      <c r="D108" s="45">
        <v>0</v>
      </c>
      <c r="E108" s="45">
        <v>0</v>
      </c>
      <c r="F108" s="45">
        <v>0</v>
      </c>
      <c r="G108" s="45">
        <v>0</v>
      </c>
      <c r="H108" s="46">
        <v>0.32853286511046687</v>
      </c>
      <c r="I108" s="46">
        <v>0</v>
      </c>
      <c r="J108" s="46">
        <v>0.32853286511046687</v>
      </c>
    </row>
    <row r="109" spans="1:10" ht="11.25" customHeight="1" x14ac:dyDescent="0.2">
      <c r="A109" s="55">
        <v>44409</v>
      </c>
      <c r="B109" s="45">
        <v>2126.35</v>
      </c>
      <c r="C109" s="45">
        <v>2824.9258577276396</v>
      </c>
      <c r="D109" s="45">
        <v>0</v>
      </c>
      <c r="E109" s="45">
        <v>0</v>
      </c>
      <c r="F109" s="45">
        <v>0</v>
      </c>
      <c r="G109" s="45">
        <v>0</v>
      </c>
      <c r="H109" s="46">
        <v>0.3285328651104662</v>
      </c>
      <c r="I109" s="46">
        <v>0</v>
      </c>
      <c r="J109" s="46">
        <v>0.3285328651104662</v>
      </c>
    </row>
    <row r="110" spans="1:10" ht="11.25" customHeight="1" x14ac:dyDescent="0.2">
      <c r="A110" s="55">
        <v>44440</v>
      </c>
      <c r="B110" s="45">
        <v>2126.35</v>
      </c>
      <c r="C110" s="45">
        <v>2824.9258577276396</v>
      </c>
      <c r="D110" s="45">
        <v>0</v>
      </c>
      <c r="E110" s="45">
        <v>0</v>
      </c>
      <c r="F110" s="45">
        <v>0</v>
      </c>
      <c r="G110" s="45">
        <v>0</v>
      </c>
      <c r="H110" s="46">
        <v>0.3285328651104662</v>
      </c>
      <c r="I110" s="46">
        <v>0</v>
      </c>
      <c r="J110" s="46">
        <v>0.3285328651104662</v>
      </c>
    </row>
    <row r="111" spans="1:10" ht="11.25" customHeight="1" x14ac:dyDescent="0.2">
      <c r="A111" s="55">
        <v>44470</v>
      </c>
      <c r="B111" s="45">
        <v>2126.35</v>
      </c>
      <c r="C111" s="45">
        <v>2824.9258577276396</v>
      </c>
      <c r="D111" s="45">
        <v>0</v>
      </c>
      <c r="E111" s="45">
        <v>0</v>
      </c>
      <c r="F111" s="45">
        <v>0</v>
      </c>
      <c r="G111" s="45">
        <v>0</v>
      </c>
      <c r="H111" s="46">
        <v>0.3285328651104662</v>
      </c>
      <c r="I111" s="46">
        <v>0</v>
      </c>
      <c r="J111" s="46">
        <v>0.3285328651104662</v>
      </c>
    </row>
    <row r="112" spans="1:10" ht="11.25" customHeight="1" x14ac:dyDescent="0.2">
      <c r="A112" s="55">
        <v>44501</v>
      </c>
      <c r="B112" s="45">
        <v>2126.5349000000001</v>
      </c>
      <c r="C112" s="45">
        <v>2825.1715034543986</v>
      </c>
      <c r="D112" s="45">
        <v>0</v>
      </c>
      <c r="E112" s="45">
        <v>0</v>
      </c>
      <c r="F112" s="45">
        <v>0</v>
      </c>
      <c r="G112" s="45">
        <v>0</v>
      </c>
      <c r="H112" s="46">
        <v>0.32853286511046598</v>
      </c>
      <c r="I112" s="46">
        <v>0</v>
      </c>
      <c r="J112" s="46">
        <v>0.32853286511046598</v>
      </c>
    </row>
    <row r="113" spans="1:10" ht="11.25" customHeight="1" x14ac:dyDescent="0.2">
      <c r="A113" s="55">
        <v>44531</v>
      </c>
      <c r="B113" s="45">
        <v>2126.35</v>
      </c>
      <c r="C113" s="45">
        <v>2824.9258577276396</v>
      </c>
      <c r="D113" s="45">
        <v>0</v>
      </c>
      <c r="E113" s="45">
        <v>0</v>
      </c>
      <c r="F113" s="45">
        <v>0</v>
      </c>
      <c r="G113" s="45">
        <v>0</v>
      </c>
      <c r="H113" s="46">
        <v>0.3285328651104662</v>
      </c>
      <c r="I113" s="46">
        <v>0</v>
      </c>
      <c r="J113" s="46">
        <v>0.3285328651104662</v>
      </c>
    </row>
    <row r="114" spans="1:10" ht="11.25" customHeight="1" x14ac:dyDescent="0.2">
      <c r="A114" s="55">
        <v>44562</v>
      </c>
      <c r="B114" s="45">
        <v>2126.35</v>
      </c>
      <c r="C114" s="45">
        <v>2824.9258577276396</v>
      </c>
      <c r="D114" s="45">
        <v>0</v>
      </c>
      <c r="E114" s="45">
        <v>0</v>
      </c>
      <c r="F114" s="45">
        <v>0</v>
      </c>
      <c r="G114" s="45">
        <v>0</v>
      </c>
      <c r="H114" s="46">
        <v>0.3285328651104662</v>
      </c>
      <c r="I114" s="46">
        <v>0</v>
      </c>
      <c r="J114" s="46">
        <v>0.3285328651104662</v>
      </c>
    </row>
    <row r="115" spans="1:10" ht="11.25" customHeight="1" x14ac:dyDescent="0.2">
      <c r="A115" s="55">
        <v>44593</v>
      </c>
      <c r="B115" s="45">
        <v>2126.35</v>
      </c>
      <c r="C115" s="45">
        <v>2824.9258577276396</v>
      </c>
      <c r="D115" s="45">
        <v>0</v>
      </c>
      <c r="E115" s="45">
        <v>0</v>
      </c>
      <c r="F115" s="45">
        <v>0</v>
      </c>
      <c r="G115" s="45">
        <v>0</v>
      </c>
      <c r="H115" s="46">
        <v>0.3285328651104662</v>
      </c>
      <c r="I115" s="46">
        <v>0</v>
      </c>
      <c r="J115" s="46">
        <v>0.3285328651104662</v>
      </c>
    </row>
    <row r="116" spans="1:10" ht="11.25" customHeight="1" x14ac:dyDescent="0.2">
      <c r="A116" s="55">
        <v>44621</v>
      </c>
      <c r="B116" s="45">
        <v>2126.35</v>
      </c>
      <c r="C116" s="45">
        <v>2824.9258577276396</v>
      </c>
      <c r="D116" s="45">
        <v>0</v>
      </c>
      <c r="E116" s="45">
        <v>0</v>
      </c>
      <c r="F116" s="45">
        <v>0</v>
      </c>
      <c r="G116" s="45">
        <v>0</v>
      </c>
      <c r="H116" s="46">
        <v>0.3285328651104662</v>
      </c>
      <c r="I116" s="46">
        <v>0</v>
      </c>
      <c r="J116" s="46">
        <v>0.3285328651104662</v>
      </c>
    </row>
    <row r="117" spans="1:10" ht="11.25" customHeight="1" x14ac:dyDescent="0.2">
      <c r="A117" s="55">
        <v>44652</v>
      </c>
      <c r="B117" s="45">
        <v>2126.35</v>
      </c>
      <c r="C117" s="45">
        <v>2824.9258577276396</v>
      </c>
      <c r="D117" s="45">
        <v>0</v>
      </c>
      <c r="E117" s="45">
        <v>0</v>
      </c>
      <c r="F117" s="45">
        <v>0</v>
      </c>
      <c r="G117" s="45">
        <v>0</v>
      </c>
      <c r="H117" s="46">
        <v>0.3285328651104662</v>
      </c>
      <c r="I117" s="46">
        <v>0</v>
      </c>
      <c r="J117" s="46">
        <v>0.3285328651104662</v>
      </c>
    </row>
    <row r="118" spans="1:10" ht="11.25" customHeight="1" x14ac:dyDescent="0.2">
      <c r="A118" s="55">
        <v>44682</v>
      </c>
      <c r="B118" s="45">
        <v>2126.35</v>
      </c>
      <c r="C118" s="45">
        <v>2824.9258577276396</v>
      </c>
      <c r="D118" s="45">
        <v>0</v>
      </c>
      <c r="E118" s="45">
        <v>0</v>
      </c>
      <c r="F118" s="45">
        <v>0</v>
      </c>
      <c r="G118" s="45">
        <v>0</v>
      </c>
      <c r="H118" s="46">
        <v>0.3285328651104662</v>
      </c>
      <c r="I118" s="46">
        <v>0</v>
      </c>
      <c r="J118" s="46">
        <v>0.3285328651104662</v>
      </c>
    </row>
    <row r="119" spans="1:10" ht="11.25" customHeight="1" x14ac:dyDescent="0.2">
      <c r="A119" s="55">
        <v>44713</v>
      </c>
      <c r="B119" s="45">
        <v>2126.35</v>
      </c>
      <c r="C119" s="45">
        <v>2824.9258577276396</v>
      </c>
      <c r="D119" s="45">
        <v>0</v>
      </c>
      <c r="E119" s="45">
        <v>0</v>
      </c>
      <c r="F119" s="45">
        <v>0</v>
      </c>
      <c r="G119" s="45">
        <v>0</v>
      </c>
      <c r="H119" s="46">
        <v>0.3285328651104662</v>
      </c>
      <c r="I119" s="46">
        <v>0</v>
      </c>
      <c r="J119" s="46">
        <v>0.3285328651104662</v>
      </c>
    </row>
    <row r="120" spans="1:10" ht="11.25" customHeight="1" x14ac:dyDescent="0.2">
      <c r="A120" s="55">
        <v>44743</v>
      </c>
      <c r="B120" s="45">
        <v>2126.35</v>
      </c>
      <c r="C120" s="45">
        <v>2824.9258577276396</v>
      </c>
      <c r="D120" s="45">
        <v>0</v>
      </c>
      <c r="E120" s="45">
        <v>0</v>
      </c>
      <c r="F120" s="45">
        <v>0</v>
      </c>
      <c r="G120" s="45">
        <v>0</v>
      </c>
      <c r="H120" s="46">
        <v>0.3285328651104662</v>
      </c>
      <c r="I120" s="46">
        <v>0</v>
      </c>
      <c r="J120" s="46">
        <v>0.3285328651104662</v>
      </c>
    </row>
    <row r="121" spans="1:10" ht="11.25" customHeight="1" x14ac:dyDescent="0.2">
      <c r="A121" s="54" t="s">
        <v>36</v>
      </c>
      <c r="B121" s="45">
        <v>0</v>
      </c>
      <c r="C121" s="45">
        <v>0</v>
      </c>
      <c r="D121" s="45">
        <v>8210.0660537999993</v>
      </c>
      <c r="E121" s="45">
        <v>11647.790436795405</v>
      </c>
      <c r="F121" s="45">
        <v>5075.5347434999994</v>
      </c>
      <c r="G121" s="45">
        <v>4793.8697203235424</v>
      </c>
      <c r="H121" s="46">
        <v>0.41872067294809012</v>
      </c>
      <c r="I121" s="46">
        <v>-5.5494649807524721E-2</v>
      </c>
      <c r="J121" s="46">
        <v>0.23755488426690841</v>
      </c>
    </row>
    <row r="122" spans="1:10" ht="11.25" customHeight="1" x14ac:dyDescent="0.2">
      <c r="A122" s="55">
        <v>44409</v>
      </c>
      <c r="B122" s="45">
        <v>0</v>
      </c>
      <c r="C122" s="45">
        <v>0</v>
      </c>
      <c r="D122" s="45">
        <v>645.11953999999992</v>
      </c>
      <c r="E122" s="45">
        <v>915.24442792076218</v>
      </c>
      <c r="F122" s="45">
        <v>398.81854999999996</v>
      </c>
      <c r="G122" s="45">
        <v>376.68625423100514</v>
      </c>
      <c r="H122" s="46">
        <v>0.41872067294809012</v>
      </c>
      <c r="I122" s="46">
        <v>-5.5494649807524832E-2</v>
      </c>
      <c r="J122" s="46">
        <v>0.23755488426690841</v>
      </c>
    </row>
    <row r="123" spans="1:10" ht="11.25" customHeight="1" x14ac:dyDescent="0.2">
      <c r="A123" s="55">
        <v>44440</v>
      </c>
      <c r="B123" s="45">
        <v>0</v>
      </c>
      <c r="C123" s="45">
        <v>0</v>
      </c>
      <c r="D123" s="45">
        <v>649.90463720000002</v>
      </c>
      <c r="E123" s="45">
        <v>922.03314424046835</v>
      </c>
      <c r="F123" s="45">
        <v>401.77673899999996</v>
      </c>
      <c r="G123" s="45">
        <v>379.4802795683857</v>
      </c>
      <c r="H123" s="46">
        <v>0.41872067294809012</v>
      </c>
      <c r="I123" s="46">
        <v>-5.5494649807524721E-2</v>
      </c>
      <c r="J123" s="46">
        <v>0.23755488426690841</v>
      </c>
    </row>
    <row r="124" spans="1:10" ht="11.25" customHeight="1" x14ac:dyDescent="0.2">
      <c r="A124" s="55">
        <v>44470</v>
      </c>
      <c r="B124" s="45">
        <v>0</v>
      </c>
      <c r="C124" s="45">
        <v>0</v>
      </c>
      <c r="D124" s="45">
        <v>604.84892000000002</v>
      </c>
      <c r="E124" s="45">
        <v>858.11166681432542</v>
      </c>
      <c r="F124" s="45">
        <v>373.92289999999997</v>
      </c>
      <c r="G124" s="45">
        <v>353.17217960948585</v>
      </c>
      <c r="H124" s="46">
        <v>0.4187206729480899</v>
      </c>
      <c r="I124" s="46">
        <v>-5.5494649807524832E-2</v>
      </c>
      <c r="J124" s="46">
        <v>0.23755488426690841</v>
      </c>
    </row>
    <row r="125" spans="1:10" ht="11.25" customHeight="1" x14ac:dyDescent="0.2">
      <c r="A125" s="55">
        <v>44501</v>
      </c>
      <c r="B125" s="45">
        <v>0</v>
      </c>
      <c r="C125" s="45">
        <v>0</v>
      </c>
      <c r="D125" s="45">
        <v>637.49970700000006</v>
      </c>
      <c r="E125" s="45">
        <v>904.4340133192502</v>
      </c>
      <c r="F125" s="45">
        <v>394.10790249999997</v>
      </c>
      <c r="G125" s="45">
        <v>372.23702246438432</v>
      </c>
      <c r="H125" s="46">
        <v>0.4187206729480899</v>
      </c>
      <c r="I125" s="46">
        <v>-5.5494649807524832E-2</v>
      </c>
      <c r="J125" s="46">
        <v>0.23755488426690841</v>
      </c>
    </row>
    <row r="126" spans="1:10" ht="11.25" customHeight="1" x14ac:dyDescent="0.2">
      <c r="A126" s="55">
        <v>44531</v>
      </c>
      <c r="B126" s="45">
        <v>0</v>
      </c>
      <c r="C126" s="45">
        <v>0</v>
      </c>
      <c r="D126" s="45">
        <v>771.34819319999997</v>
      </c>
      <c r="E126" s="45">
        <v>1094.3276277339974</v>
      </c>
      <c r="F126" s="45">
        <v>476.85420899999997</v>
      </c>
      <c r="G126" s="45">
        <v>450.39135166230068</v>
      </c>
      <c r="H126" s="46">
        <v>0.41872067294809012</v>
      </c>
      <c r="I126" s="46">
        <v>-5.5494649807524943E-2</v>
      </c>
      <c r="J126" s="46">
        <v>0.23755488426690818</v>
      </c>
    </row>
    <row r="127" spans="1:10" ht="11.25" customHeight="1" x14ac:dyDescent="0.2">
      <c r="A127" s="55">
        <v>44562</v>
      </c>
      <c r="B127" s="45">
        <v>0</v>
      </c>
      <c r="C127" s="45">
        <v>0</v>
      </c>
      <c r="D127" s="45">
        <v>843.44049919999998</v>
      </c>
      <c r="E127" s="45">
        <v>1196.6064726166969</v>
      </c>
      <c r="F127" s="45">
        <v>521.42230399999994</v>
      </c>
      <c r="G127" s="45">
        <v>492.48615583768719</v>
      </c>
      <c r="H127" s="46">
        <v>0.4187206729480899</v>
      </c>
      <c r="I127" s="46">
        <v>-5.5494649807524832E-2</v>
      </c>
      <c r="J127" s="46">
        <v>0.23755488426690841</v>
      </c>
    </row>
    <row r="128" spans="1:10" ht="11.25" customHeight="1" x14ac:dyDescent="0.2">
      <c r="A128" s="55">
        <v>44593</v>
      </c>
      <c r="B128" s="45">
        <v>0</v>
      </c>
      <c r="C128" s="45">
        <v>0</v>
      </c>
      <c r="D128" s="45">
        <v>788.04075999999998</v>
      </c>
      <c r="E128" s="45">
        <v>1118.0097173377244</v>
      </c>
      <c r="F128" s="45">
        <v>487.1737</v>
      </c>
      <c r="G128" s="45">
        <v>460.1381661230638</v>
      </c>
      <c r="H128" s="46">
        <v>0.41872067294809012</v>
      </c>
      <c r="I128" s="46">
        <v>-5.5494649807524943E-2</v>
      </c>
      <c r="J128" s="46">
        <v>0.23755488426690863</v>
      </c>
    </row>
    <row r="129" spans="1:10" ht="11.25" customHeight="1" x14ac:dyDescent="0.2">
      <c r="A129" s="55">
        <v>44621</v>
      </c>
      <c r="B129" s="45">
        <v>0</v>
      </c>
      <c r="C129" s="45">
        <v>0</v>
      </c>
      <c r="D129" s="45">
        <v>826.50315020000005</v>
      </c>
      <c r="E129" s="45">
        <v>1172.5771054454603</v>
      </c>
      <c r="F129" s="45">
        <v>510.95148649999999</v>
      </c>
      <c r="G129" s="45">
        <v>482.59641268804825</v>
      </c>
      <c r="H129" s="46">
        <v>0.4187206729480899</v>
      </c>
      <c r="I129" s="46">
        <v>-5.5494649807524832E-2</v>
      </c>
      <c r="J129" s="46">
        <v>0.23755488426690841</v>
      </c>
    </row>
    <row r="130" spans="1:10" ht="11.25" customHeight="1" x14ac:dyDescent="0.2">
      <c r="A130" s="55">
        <v>44652</v>
      </c>
      <c r="B130" s="45">
        <v>0</v>
      </c>
      <c r="C130" s="45">
        <v>0</v>
      </c>
      <c r="D130" s="45">
        <v>609.73666780000008</v>
      </c>
      <c r="E130" s="45">
        <v>865.04601566234203</v>
      </c>
      <c r="F130" s="45">
        <v>376.9445485</v>
      </c>
      <c r="G130" s="45">
        <v>356.02614278413694</v>
      </c>
      <c r="H130" s="46">
        <v>0.4187206729480899</v>
      </c>
      <c r="I130" s="46">
        <v>-5.5494649807524832E-2</v>
      </c>
      <c r="J130" s="46">
        <v>0.23755488426690841</v>
      </c>
    </row>
    <row r="131" spans="1:10" ht="11.25" customHeight="1" x14ac:dyDescent="0.2">
      <c r="A131" s="55">
        <v>44682</v>
      </c>
      <c r="B131" s="45">
        <v>0</v>
      </c>
      <c r="C131" s="45">
        <v>0</v>
      </c>
      <c r="D131" s="45">
        <v>629.24817800000005</v>
      </c>
      <c r="E131" s="45">
        <v>892.7273985435196</v>
      </c>
      <c r="F131" s="45">
        <v>389.00673499999999</v>
      </c>
      <c r="G131" s="45">
        <v>367.41894246840639</v>
      </c>
      <c r="H131" s="46">
        <v>0.4187206729480899</v>
      </c>
      <c r="I131" s="46">
        <v>-5.5494649807524832E-2</v>
      </c>
      <c r="J131" s="46">
        <v>0.23755488426690841</v>
      </c>
    </row>
    <row r="132" spans="1:10" ht="11.25" customHeight="1" x14ac:dyDescent="0.2">
      <c r="A132" s="55">
        <v>44713</v>
      </c>
      <c r="B132" s="45">
        <v>0</v>
      </c>
      <c r="C132" s="45">
        <v>0</v>
      </c>
      <c r="D132" s="45">
        <v>575.19079279999994</v>
      </c>
      <c r="E132" s="45">
        <v>816.03506863476139</v>
      </c>
      <c r="F132" s="45">
        <v>355.58798599999994</v>
      </c>
      <c r="G132" s="45">
        <v>335.85475524116691</v>
      </c>
      <c r="H132" s="46">
        <v>0.41872067294809012</v>
      </c>
      <c r="I132" s="46">
        <v>-5.5494649807524832E-2</v>
      </c>
      <c r="J132" s="46">
        <v>0.23755488426690863</v>
      </c>
    </row>
    <row r="133" spans="1:10" ht="11.25" customHeight="1" x14ac:dyDescent="0.2">
      <c r="A133" s="55">
        <v>44743</v>
      </c>
      <c r="B133" s="45">
        <v>0</v>
      </c>
      <c r="C133" s="45">
        <v>0</v>
      </c>
      <c r="D133" s="45">
        <v>629.18500840000002</v>
      </c>
      <c r="E133" s="45">
        <v>892.63777852609769</v>
      </c>
      <c r="F133" s="45">
        <v>388.96768299999997</v>
      </c>
      <c r="G133" s="45">
        <v>367.38205764547064</v>
      </c>
      <c r="H133" s="46">
        <v>0.41872067294809012</v>
      </c>
      <c r="I133" s="46">
        <v>-5.5494649807524832E-2</v>
      </c>
      <c r="J133" s="46">
        <v>0.23755488426690841</v>
      </c>
    </row>
    <row r="134" spans="1:10" ht="11.25" customHeight="1" x14ac:dyDescent="0.2">
      <c r="A134" s="48" t="s">
        <v>22</v>
      </c>
      <c r="B134" s="45">
        <v>0</v>
      </c>
      <c r="C134" s="45">
        <v>0</v>
      </c>
      <c r="D134" s="45">
        <v>4095445.406750001</v>
      </c>
      <c r="E134" s="45">
        <v>5794292.8675733702</v>
      </c>
      <c r="F134" s="45">
        <v>3654968.6139300005</v>
      </c>
      <c r="G134" s="45">
        <v>3457781.8770820289</v>
      </c>
      <c r="H134" s="46">
        <v>0.41481384613829264</v>
      </c>
      <c r="I134" s="46">
        <v>-5.3950322882785673E-2</v>
      </c>
      <c r="J134" s="46">
        <v>0.19375232342022031</v>
      </c>
    </row>
    <row r="135" spans="1:10" ht="11.25" customHeight="1" x14ac:dyDescent="0.2">
      <c r="A135" s="49" t="s">
        <v>23</v>
      </c>
      <c r="B135" s="45">
        <v>0</v>
      </c>
      <c r="C135" s="45">
        <v>0</v>
      </c>
      <c r="D135" s="45">
        <v>4095445.406750001</v>
      </c>
      <c r="E135" s="45">
        <v>5794292.8675733702</v>
      </c>
      <c r="F135" s="45">
        <v>3654968.6139300005</v>
      </c>
      <c r="G135" s="45">
        <v>3457781.8770820289</v>
      </c>
      <c r="H135" s="46">
        <v>0.41481384613829264</v>
      </c>
      <c r="I135" s="46">
        <v>-5.3950322882785673E-2</v>
      </c>
      <c r="J135" s="46">
        <v>0.19375232342022031</v>
      </c>
    </row>
    <row r="136" spans="1:10" ht="11.25" customHeight="1" x14ac:dyDescent="0.2">
      <c r="A136" s="50" t="s">
        <v>24</v>
      </c>
      <c r="B136" s="45">
        <v>0</v>
      </c>
      <c r="C136" s="45">
        <v>0</v>
      </c>
      <c r="D136" s="45">
        <v>4095445.406750001</v>
      </c>
      <c r="E136" s="45">
        <v>5794292.8675733702</v>
      </c>
      <c r="F136" s="45">
        <v>3654968.6139300005</v>
      </c>
      <c r="G136" s="45">
        <v>3457781.8770820289</v>
      </c>
      <c r="H136" s="46">
        <v>0.41481384613829264</v>
      </c>
      <c r="I136" s="46">
        <v>-5.3950322882785673E-2</v>
      </c>
      <c r="J136" s="46">
        <v>0.19375232342022031</v>
      </c>
    </row>
    <row r="137" spans="1:10" ht="11.25" customHeight="1" x14ac:dyDescent="0.2">
      <c r="A137" s="51" t="s">
        <v>24</v>
      </c>
      <c r="B137" s="45">
        <v>0</v>
      </c>
      <c r="C137" s="45">
        <v>0</v>
      </c>
      <c r="D137" s="45">
        <v>3956903.8401600011</v>
      </c>
      <c r="E137" s="45">
        <v>5625167.0381673556</v>
      </c>
      <c r="F137" s="45">
        <v>3499952.1859200005</v>
      </c>
      <c r="G137" s="45">
        <v>3311128.7242539679</v>
      </c>
      <c r="H137" s="46">
        <v>0.42160822334765147</v>
      </c>
      <c r="I137" s="46">
        <v>-5.3950297499963717E-2</v>
      </c>
      <c r="J137" s="46">
        <v>0.19839993305047798</v>
      </c>
    </row>
    <row r="138" spans="1:10" ht="11.25" customHeight="1" x14ac:dyDescent="0.2">
      <c r="A138" s="52" t="s">
        <v>25</v>
      </c>
      <c r="B138" s="45">
        <v>0</v>
      </c>
      <c r="C138" s="45">
        <v>0</v>
      </c>
      <c r="D138" s="45">
        <v>3956903.8401600011</v>
      </c>
      <c r="E138" s="45">
        <v>5625167.0381673556</v>
      </c>
      <c r="F138" s="45">
        <v>3499952.1859200005</v>
      </c>
      <c r="G138" s="45">
        <v>3311128.7242539679</v>
      </c>
      <c r="H138" s="46">
        <v>0.42160822334765147</v>
      </c>
      <c r="I138" s="46">
        <v>-5.3950297499963717E-2</v>
      </c>
      <c r="J138" s="46">
        <v>0.19839993305047798</v>
      </c>
    </row>
    <row r="139" spans="1:10" ht="11.25" customHeight="1" x14ac:dyDescent="0.2">
      <c r="A139" s="53" t="s">
        <v>25</v>
      </c>
      <c r="B139" s="45">
        <v>0</v>
      </c>
      <c r="C139" s="45">
        <v>0</v>
      </c>
      <c r="D139" s="45">
        <v>3956903.8401600011</v>
      </c>
      <c r="E139" s="45">
        <v>5625167.0381673556</v>
      </c>
      <c r="F139" s="45">
        <v>3499952.1859200005</v>
      </c>
      <c r="G139" s="45">
        <v>3311128.7242539679</v>
      </c>
      <c r="H139" s="46">
        <v>0.42160822334765147</v>
      </c>
      <c r="I139" s="46">
        <v>-5.3950297499963717E-2</v>
      </c>
      <c r="J139" s="46">
        <v>0.19839993305047798</v>
      </c>
    </row>
    <row r="140" spans="1:10" ht="11.25" customHeight="1" x14ac:dyDescent="0.2">
      <c r="A140" s="54" t="s">
        <v>25</v>
      </c>
      <c r="B140" s="45">
        <v>0</v>
      </c>
      <c r="C140" s="45">
        <v>0</v>
      </c>
      <c r="D140" s="45">
        <v>3956903.8401600011</v>
      </c>
      <c r="E140" s="45">
        <v>5625167.0381673556</v>
      </c>
      <c r="F140" s="45">
        <v>3499952.1859200005</v>
      </c>
      <c r="G140" s="45">
        <v>3311128.7242539679</v>
      </c>
      <c r="H140" s="46">
        <v>0.42160822334765147</v>
      </c>
      <c r="I140" s="46">
        <v>-5.3950297499963717E-2</v>
      </c>
      <c r="J140" s="46">
        <v>0.19839993305047798</v>
      </c>
    </row>
    <row r="141" spans="1:10" ht="11.25" customHeight="1" x14ac:dyDescent="0.2">
      <c r="A141" s="55">
        <v>44409</v>
      </c>
      <c r="B141" s="45">
        <v>0</v>
      </c>
      <c r="C141" s="45">
        <v>0</v>
      </c>
      <c r="D141" s="45">
        <v>313734.59324999998</v>
      </c>
      <c r="E141" s="45">
        <v>446007.67771283048</v>
      </c>
      <c r="F141" s="45">
        <v>277503.85649999999</v>
      </c>
      <c r="G141" s="45">
        <v>262532.44088443782</v>
      </c>
      <c r="H141" s="46">
        <v>0.42160822334765125</v>
      </c>
      <c r="I141" s="46">
        <v>-5.3950297499963495E-2</v>
      </c>
      <c r="J141" s="46">
        <v>0.19839993305047821</v>
      </c>
    </row>
    <row r="142" spans="1:10" ht="11.25" customHeight="1" x14ac:dyDescent="0.2">
      <c r="A142" s="55">
        <v>44440</v>
      </c>
      <c r="B142" s="45">
        <v>0</v>
      </c>
      <c r="C142" s="45">
        <v>0</v>
      </c>
      <c r="D142" s="45">
        <v>334338.86322</v>
      </c>
      <c r="E142" s="45">
        <v>475298.8773382575</v>
      </c>
      <c r="F142" s="45">
        <v>295728.70163999998</v>
      </c>
      <c r="G142" s="45">
        <v>279774.050207244</v>
      </c>
      <c r="H142" s="46">
        <v>0.42160822334765102</v>
      </c>
      <c r="I142" s="46">
        <v>-5.3950297499963606E-2</v>
      </c>
      <c r="J142" s="46">
        <v>0.19839993305047754</v>
      </c>
    </row>
    <row r="143" spans="1:10" ht="11.25" customHeight="1" x14ac:dyDescent="0.2">
      <c r="A143" s="55">
        <v>44470</v>
      </c>
      <c r="B143" s="45">
        <v>0</v>
      </c>
      <c r="C143" s="45">
        <v>0</v>
      </c>
      <c r="D143" s="45">
        <v>297030.79350000003</v>
      </c>
      <c r="E143" s="45">
        <v>422261.418627078</v>
      </c>
      <c r="F143" s="45">
        <v>262729.04700000002</v>
      </c>
      <c r="G143" s="45">
        <v>248554.73675246807</v>
      </c>
      <c r="H143" s="46">
        <v>0.4216082233476508</v>
      </c>
      <c r="I143" s="46">
        <v>-5.3950297499963717E-2</v>
      </c>
      <c r="J143" s="46">
        <v>0.19839993305047776</v>
      </c>
    </row>
    <row r="144" spans="1:10" ht="11.25" customHeight="1" x14ac:dyDescent="0.2">
      <c r="A144" s="55">
        <v>44501</v>
      </c>
      <c r="B144" s="45">
        <v>0</v>
      </c>
      <c r="C144" s="45">
        <v>0</v>
      </c>
      <c r="D144" s="45">
        <v>294040.06695000001</v>
      </c>
      <c r="E144" s="45">
        <v>418009.77716981393</v>
      </c>
      <c r="F144" s="45">
        <v>260083.69590000002</v>
      </c>
      <c r="G144" s="45">
        <v>246052.10313130493</v>
      </c>
      <c r="H144" s="46">
        <v>0.42160822334765125</v>
      </c>
      <c r="I144" s="46">
        <v>-5.3950297499963717E-2</v>
      </c>
      <c r="J144" s="46">
        <v>0.19839993305047776</v>
      </c>
    </row>
    <row r="145" spans="1:10" ht="11.25" customHeight="1" x14ac:dyDescent="0.2">
      <c r="A145" s="55">
        <v>44531</v>
      </c>
      <c r="B145" s="45">
        <v>0</v>
      </c>
      <c r="C145" s="45">
        <v>0</v>
      </c>
      <c r="D145" s="45">
        <v>332362.54719000001</v>
      </c>
      <c r="E145" s="45">
        <v>472489.33021807577</v>
      </c>
      <c r="F145" s="45">
        <v>293980.61478</v>
      </c>
      <c r="G145" s="45">
        <v>278120.27315339679</v>
      </c>
      <c r="H145" s="46">
        <v>0.42160822334765102</v>
      </c>
      <c r="I145" s="46">
        <v>-5.3950297499963606E-2</v>
      </c>
      <c r="J145" s="46">
        <v>0.19839993305047776</v>
      </c>
    </row>
    <row r="146" spans="1:10" ht="11.25" customHeight="1" x14ac:dyDescent="0.2">
      <c r="A146" s="55">
        <v>44562</v>
      </c>
      <c r="B146" s="45">
        <v>0</v>
      </c>
      <c r="C146" s="45">
        <v>0</v>
      </c>
      <c r="D146" s="45">
        <v>324064.69659000001</v>
      </c>
      <c r="E146" s="45">
        <v>460693.03756900551</v>
      </c>
      <c r="F146" s="45">
        <v>286641.01758000004</v>
      </c>
      <c r="G146" s="45">
        <v>271176.64940586669</v>
      </c>
      <c r="H146" s="46">
        <v>0.42160822334765102</v>
      </c>
      <c r="I146" s="46">
        <v>-5.3950297499963829E-2</v>
      </c>
      <c r="J146" s="46">
        <v>0.19839993305047754</v>
      </c>
    </row>
    <row r="147" spans="1:10" ht="11.25" customHeight="1" x14ac:dyDescent="0.2">
      <c r="A147" s="55">
        <v>44593</v>
      </c>
      <c r="B147" s="45">
        <v>0</v>
      </c>
      <c r="C147" s="45">
        <v>0</v>
      </c>
      <c r="D147" s="45">
        <v>419599.10655000003</v>
      </c>
      <c r="E147" s="45">
        <v>596505.54038080724</v>
      </c>
      <c r="F147" s="45">
        <v>371142.91110000008</v>
      </c>
      <c r="G147" s="45">
        <v>351119.64063115249</v>
      </c>
      <c r="H147" s="46">
        <v>0.42160822334765102</v>
      </c>
      <c r="I147" s="46">
        <v>-5.3950297499963717E-2</v>
      </c>
      <c r="J147" s="46">
        <v>0.19839993305047754</v>
      </c>
    </row>
    <row r="148" spans="1:10" ht="11.25" customHeight="1" x14ac:dyDescent="0.2">
      <c r="A148" s="55">
        <v>44621</v>
      </c>
      <c r="B148" s="45">
        <v>0</v>
      </c>
      <c r="C148" s="45">
        <v>0</v>
      </c>
      <c r="D148" s="45">
        <v>369131.84001000004</v>
      </c>
      <c r="E148" s="45">
        <v>524760.85925766558</v>
      </c>
      <c r="F148" s="45">
        <v>326503.71162000002</v>
      </c>
      <c r="G148" s="45">
        <v>308888.73924325872</v>
      </c>
      <c r="H148" s="46">
        <v>0.42160822334765125</v>
      </c>
      <c r="I148" s="46">
        <v>-5.3950297499963495E-2</v>
      </c>
      <c r="J148" s="46">
        <v>0.19839993305047776</v>
      </c>
    </row>
    <row r="149" spans="1:10" ht="11.25" customHeight="1" x14ac:dyDescent="0.2">
      <c r="A149" s="55">
        <v>44652</v>
      </c>
      <c r="B149" s="45">
        <v>0</v>
      </c>
      <c r="C149" s="45">
        <v>0</v>
      </c>
      <c r="D149" s="45">
        <v>325931.88456000003</v>
      </c>
      <c r="E149" s="45">
        <v>463347.44734169333</v>
      </c>
      <c r="F149" s="45">
        <v>288292.57871999999</v>
      </c>
      <c r="G149" s="45">
        <v>272739.1083310243</v>
      </c>
      <c r="H149" s="46">
        <v>0.42160822334765102</v>
      </c>
      <c r="I149" s="46">
        <v>-5.3950297499963717E-2</v>
      </c>
      <c r="J149" s="46">
        <v>0.19839993305047776</v>
      </c>
    </row>
    <row r="150" spans="1:10" ht="11.25" customHeight="1" x14ac:dyDescent="0.2">
      <c r="A150" s="55">
        <v>44682</v>
      </c>
      <c r="B150" s="45">
        <v>0</v>
      </c>
      <c r="C150" s="45">
        <v>0</v>
      </c>
      <c r="D150" s="45">
        <v>286114.55579999997</v>
      </c>
      <c r="E150" s="45">
        <v>406742.80534474039</v>
      </c>
      <c r="F150" s="45">
        <v>253073.43960000001</v>
      </c>
      <c r="G150" s="45">
        <v>239420.05224424091</v>
      </c>
      <c r="H150" s="46">
        <v>0.42160822334765125</v>
      </c>
      <c r="I150" s="46">
        <v>-5.3950297499963717E-2</v>
      </c>
      <c r="J150" s="46">
        <v>0.19839993305047776</v>
      </c>
    </row>
    <row r="151" spans="1:10" ht="11.25" customHeight="1" x14ac:dyDescent="0.2">
      <c r="A151" s="55">
        <v>44713</v>
      </c>
      <c r="B151" s="45">
        <v>0</v>
      </c>
      <c r="C151" s="45">
        <v>0</v>
      </c>
      <c r="D151" s="45">
        <v>326886.58350000001</v>
      </c>
      <c r="E151" s="45">
        <v>464704.65520561859</v>
      </c>
      <c r="F151" s="45">
        <v>289137.027</v>
      </c>
      <c r="G151" s="45">
        <v>273537.99837509502</v>
      </c>
      <c r="H151" s="46">
        <v>0.42160822334765102</v>
      </c>
      <c r="I151" s="46">
        <v>-5.3950297499963495E-2</v>
      </c>
      <c r="J151" s="46">
        <v>0.19839993305047776</v>
      </c>
    </row>
    <row r="152" spans="1:10" ht="11.25" customHeight="1" x14ac:dyDescent="0.2">
      <c r="A152" s="55">
        <v>44743</v>
      </c>
      <c r="B152" s="45">
        <v>0</v>
      </c>
      <c r="C152" s="45">
        <v>0</v>
      </c>
      <c r="D152" s="45">
        <v>333668.30904000002</v>
      </c>
      <c r="E152" s="45">
        <v>474345.61200176936</v>
      </c>
      <c r="F152" s="45">
        <v>295135.58448000002</v>
      </c>
      <c r="G152" s="45">
        <v>279212.93189447833</v>
      </c>
      <c r="H152" s="46">
        <v>0.42160822334765102</v>
      </c>
      <c r="I152" s="46">
        <v>-5.3950297499963717E-2</v>
      </c>
      <c r="J152" s="46">
        <v>0.19839993305047754</v>
      </c>
    </row>
    <row r="153" spans="1:10" ht="11.25" customHeight="1" x14ac:dyDescent="0.2">
      <c r="A153" s="51" t="s">
        <v>28</v>
      </c>
      <c r="B153" s="45">
        <v>0</v>
      </c>
      <c r="C153" s="45">
        <v>0</v>
      </c>
      <c r="D153" s="45">
        <v>11513.636999999999</v>
      </c>
      <c r="E153" s="45">
        <v>14055.102813481481</v>
      </c>
      <c r="F153" s="45">
        <v>12882.662399999999</v>
      </c>
      <c r="G153" s="45">
        <v>12187.52421294148</v>
      </c>
      <c r="H153" s="46">
        <v>0.22073527361349687</v>
      </c>
      <c r="I153" s="46">
        <v>-5.3959202335265632E-2</v>
      </c>
      <c r="J153" s="46">
        <v>7.5680643041418083E-2</v>
      </c>
    </row>
    <row r="154" spans="1:10" ht="11.25" customHeight="1" x14ac:dyDescent="0.2">
      <c r="A154" s="52" t="s">
        <v>25</v>
      </c>
      <c r="B154" s="45">
        <v>0</v>
      </c>
      <c r="C154" s="45">
        <v>0</v>
      </c>
      <c r="D154" s="45">
        <v>11513.636999999999</v>
      </c>
      <c r="E154" s="45">
        <v>14055.102813481481</v>
      </c>
      <c r="F154" s="45">
        <v>12882.662399999999</v>
      </c>
      <c r="G154" s="45">
        <v>12187.52421294148</v>
      </c>
      <c r="H154" s="46">
        <v>0.22073527361349687</v>
      </c>
      <c r="I154" s="46">
        <v>-5.3959202335265632E-2</v>
      </c>
      <c r="J154" s="46">
        <v>7.5680643041418083E-2</v>
      </c>
    </row>
    <row r="155" spans="1:10" ht="11.25" customHeight="1" x14ac:dyDescent="0.2">
      <c r="A155" s="53" t="s">
        <v>25</v>
      </c>
      <c r="B155" s="45">
        <v>0</v>
      </c>
      <c r="C155" s="45">
        <v>0</v>
      </c>
      <c r="D155" s="45">
        <v>11513.636999999999</v>
      </c>
      <c r="E155" s="45">
        <v>14055.102813481481</v>
      </c>
      <c r="F155" s="45">
        <v>12882.662399999999</v>
      </c>
      <c r="G155" s="45">
        <v>12187.52421294148</v>
      </c>
      <c r="H155" s="46">
        <v>0.22073527361349687</v>
      </c>
      <c r="I155" s="46">
        <v>-5.3959202335265632E-2</v>
      </c>
      <c r="J155" s="46">
        <v>7.5680643041418083E-2</v>
      </c>
    </row>
    <row r="156" spans="1:10" ht="11.25" customHeight="1" x14ac:dyDescent="0.2">
      <c r="A156" s="54" t="s">
        <v>25</v>
      </c>
      <c r="B156" s="45">
        <v>0</v>
      </c>
      <c r="C156" s="45">
        <v>0</v>
      </c>
      <c r="D156" s="45">
        <v>11513.636999999999</v>
      </c>
      <c r="E156" s="45">
        <v>14055.102813481481</v>
      </c>
      <c r="F156" s="45">
        <v>12882.662399999999</v>
      </c>
      <c r="G156" s="45">
        <v>12187.52421294148</v>
      </c>
      <c r="H156" s="46">
        <v>0.22073527361349687</v>
      </c>
      <c r="I156" s="46">
        <v>-5.3959202335265632E-2</v>
      </c>
      <c r="J156" s="46">
        <v>7.5680643041418083E-2</v>
      </c>
    </row>
    <row r="157" spans="1:10" ht="11.25" customHeight="1" x14ac:dyDescent="0.2">
      <c r="A157" s="55">
        <v>44409</v>
      </c>
      <c r="B157" s="45">
        <v>0</v>
      </c>
      <c r="C157" s="45">
        <v>0</v>
      </c>
      <c r="D157" s="45">
        <v>851.70150000000012</v>
      </c>
      <c r="E157" s="45">
        <v>1039.7020636395257</v>
      </c>
      <c r="F157" s="45">
        <v>952.97280000000001</v>
      </c>
      <c r="G157" s="45">
        <v>901.55114786479533</v>
      </c>
      <c r="H157" s="46">
        <v>0.22073527361349665</v>
      </c>
      <c r="I157" s="46">
        <v>-5.3959202335265632E-2</v>
      </c>
      <c r="J157" s="46">
        <v>7.5680643041417861E-2</v>
      </c>
    </row>
    <row r="158" spans="1:10" ht="11.25" customHeight="1" x14ac:dyDescent="0.2">
      <c r="A158" s="55">
        <v>44440</v>
      </c>
      <c r="B158" s="45">
        <v>0</v>
      </c>
      <c r="C158" s="45">
        <v>0</v>
      </c>
      <c r="D158" s="45">
        <v>874.48950000000013</v>
      </c>
      <c r="E158" s="45">
        <v>1067.5201790546303</v>
      </c>
      <c r="F158" s="45">
        <v>978.47040000000004</v>
      </c>
      <c r="G158" s="45">
        <v>925.67291770733164</v>
      </c>
      <c r="H158" s="46">
        <v>0.22073527361349687</v>
      </c>
      <c r="I158" s="46">
        <v>-5.3959202335265743E-2</v>
      </c>
      <c r="J158" s="46">
        <v>7.5680643041418083E-2</v>
      </c>
    </row>
    <row r="159" spans="1:10" ht="11.25" customHeight="1" x14ac:dyDescent="0.2">
      <c r="A159" s="55">
        <v>44470</v>
      </c>
      <c r="B159" s="45">
        <v>0</v>
      </c>
      <c r="C159" s="45">
        <v>0</v>
      </c>
      <c r="D159" s="45">
        <v>863.09550000000002</v>
      </c>
      <c r="E159" s="45">
        <v>1053.6111213470779</v>
      </c>
      <c r="F159" s="45">
        <v>965.72159999999997</v>
      </c>
      <c r="G159" s="45">
        <v>913.61203278606331</v>
      </c>
      <c r="H159" s="46">
        <v>0.22073527361349687</v>
      </c>
      <c r="I159" s="46">
        <v>-5.3959202335265855E-2</v>
      </c>
      <c r="J159" s="46">
        <v>7.5680643041418083E-2</v>
      </c>
    </row>
    <row r="160" spans="1:10" ht="11.25" customHeight="1" x14ac:dyDescent="0.2">
      <c r="A160" s="55">
        <v>44501</v>
      </c>
      <c r="B160" s="45">
        <v>0</v>
      </c>
      <c r="C160" s="45">
        <v>0</v>
      </c>
      <c r="D160" s="45">
        <v>880.18650000000002</v>
      </c>
      <c r="E160" s="45">
        <v>1074.4747079084061</v>
      </c>
      <c r="F160" s="45">
        <v>984.84479999999996</v>
      </c>
      <c r="G160" s="45">
        <v>931.70336016796557</v>
      </c>
      <c r="H160" s="46">
        <v>0.22073527361349687</v>
      </c>
      <c r="I160" s="46">
        <v>-5.3959202335265855E-2</v>
      </c>
      <c r="J160" s="46">
        <v>7.5680643041417861E-2</v>
      </c>
    </row>
    <row r="161" spans="1:10" ht="11.25" customHeight="1" x14ac:dyDescent="0.2">
      <c r="A161" s="55">
        <v>44531</v>
      </c>
      <c r="B161" s="45">
        <v>0</v>
      </c>
      <c r="C161" s="45">
        <v>0</v>
      </c>
      <c r="D161" s="45">
        <v>900.12600000000009</v>
      </c>
      <c r="E161" s="45">
        <v>1098.8155588966226</v>
      </c>
      <c r="F161" s="45">
        <v>1007.1552</v>
      </c>
      <c r="G161" s="45">
        <v>952.80990878018497</v>
      </c>
      <c r="H161" s="46">
        <v>0.22073527361349687</v>
      </c>
      <c r="I161" s="46">
        <v>-5.3959202335265743E-2</v>
      </c>
      <c r="J161" s="46">
        <v>7.5680643041418083E-2</v>
      </c>
    </row>
    <row r="162" spans="1:10" ht="11.25" customHeight="1" x14ac:dyDescent="0.2">
      <c r="A162" s="55">
        <v>44562</v>
      </c>
      <c r="B162" s="45">
        <v>0</v>
      </c>
      <c r="C162" s="45">
        <v>0</v>
      </c>
      <c r="D162" s="45">
        <v>920.06549999999993</v>
      </c>
      <c r="E162" s="45">
        <v>1123.1564098848387</v>
      </c>
      <c r="F162" s="45">
        <v>1029.4656</v>
      </c>
      <c r="G162" s="45">
        <v>973.91645739240414</v>
      </c>
      <c r="H162" s="46">
        <v>0.22073527361349687</v>
      </c>
      <c r="I162" s="46">
        <v>-5.3959202335265855E-2</v>
      </c>
      <c r="J162" s="46">
        <v>7.5680643041418083E-2</v>
      </c>
    </row>
    <row r="163" spans="1:10" ht="11.25" customHeight="1" x14ac:dyDescent="0.2">
      <c r="A163" s="55">
        <v>44593</v>
      </c>
      <c r="B163" s="45">
        <v>0</v>
      </c>
      <c r="C163" s="45">
        <v>0</v>
      </c>
      <c r="D163" s="45">
        <v>1002.672</v>
      </c>
      <c r="E163" s="45">
        <v>1223.9970782645923</v>
      </c>
      <c r="F163" s="45">
        <v>1121.8943999999999</v>
      </c>
      <c r="G163" s="45">
        <v>1061.3578730715985</v>
      </c>
      <c r="H163" s="46">
        <v>0.2207352736134971</v>
      </c>
      <c r="I163" s="46">
        <v>-5.3959202335265632E-2</v>
      </c>
      <c r="J163" s="46">
        <v>7.5680643041418305E-2</v>
      </c>
    </row>
    <row r="164" spans="1:10" ht="11.25" customHeight="1" x14ac:dyDescent="0.2">
      <c r="A164" s="55">
        <v>44621</v>
      </c>
      <c r="B164" s="45">
        <v>0</v>
      </c>
      <c r="C164" s="45">
        <v>0</v>
      </c>
      <c r="D164" s="45">
        <v>1065.3390000000002</v>
      </c>
      <c r="E164" s="45">
        <v>1300.4968956561293</v>
      </c>
      <c r="F164" s="45">
        <v>1192.0128</v>
      </c>
      <c r="G164" s="45">
        <v>1127.6927401385733</v>
      </c>
      <c r="H164" s="46">
        <v>0.22073527361349687</v>
      </c>
      <c r="I164" s="46">
        <v>-5.3959202335265743E-2</v>
      </c>
      <c r="J164" s="46">
        <v>7.5680643041417861E-2</v>
      </c>
    </row>
    <row r="165" spans="1:10" ht="11.25" customHeight="1" x14ac:dyDescent="0.2">
      <c r="A165" s="55">
        <v>44652</v>
      </c>
      <c r="B165" s="45">
        <v>0</v>
      </c>
      <c r="C165" s="45">
        <v>0</v>
      </c>
      <c r="D165" s="45">
        <v>1079.5815</v>
      </c>
      <c r="E165" s="45">
        <v>1317.8832177905692</v>
      </c>
      <c r="F165" s="45">
        <v>1207.9487999999999</v>
      </c>
      <c r="G165" s="45">
        <v>1142.7688462901583</v>
      </c>
      <c r="H165" s="46">
        <v>0.22073527361349665</v>
      </c>
      <c r="I165" s="46">
        <v>-5.3959202335265855E-2</v>
      </c>
      <c r="J165" s="46">
        <v>7.5680643041417861E-2</v>
      </c>
    </row>
    <row r="166" spans="1:10" ht="11.25" customHeight="1" x14ac:dyDescent="0.2">
      <c r="A166" s="55">
        <v>44682</v>
      </c>
      <c r="B166" s="45">
        <v>0</v>
      </c>
      <c r="C166" s="45">
        <v>0</v>
      </c>
      <c r="D166" s="45">
        <v>1122.309</v>
      </c>
      <c r="E166" s="45">
        <v>1370.0421841938901</v>
      </c>
      <c r="F166" s="45">
        <v>1255.7567999999999</v>
      </c>
      <c r="G166" s="45">
        <v>1187.997164744914</v>
      </c>
      <c r="H166" s="46">
        <v>0.22073527361349687</v>
      </c>
      <c r="I166" s="46">
        <v>-5.3959202335265743E-2</v>
      </c>
      <c r="J166" s="46">
        <v>7.5680643041418083E-2</v>
      </c>
    </row>
    <row r="167" spans="1:10" ht="11.25" customHeight="1" x14ac:dyDescent="0.2">
      <c r="A167" s="55">
        <v>44713</v>
      </c>
      <c r="B167" s="45">
        <v>0</v>
      </c>
      <c r="C167" s="45">
        <v>0</v>
      </c>
      <c r="D167" s="45">
        <v>914.36850000000015</v>
      </c>
      <c r="E167" s="45">
        <v>1116.2018810310628</v>
      </c>
      <c r="F167" s="45">
        <v>1023.0912000000001</v>
      </c>
      <c r="G167" s="45">
        <v>967.88601493177021</v>
      </c>
      <c r="H167" s="46">
        <v>0.22073527361349687</v>
      </c>
      <c r="I167" s="46">
        <v>-5.3959202335265743E-2</v>
      </c>
      <c r="J167" s="46">
        <v>7.5680643041417861E-2</v>
      </c>
    </row>
    <row r="168" spans="1:10" ht="11.25" customHeight="1" x14ac:dyDescent="0.2">
      <c r="A168" s="55">
        <v>44743</v>
      </c>
      <c r="B168" s="45">
        <v>0</v>
      </c>
      <c r="C168" s="45">
        <v>0</v>
      </c>
      <c r="D168" s="45">
        <v>1039.7024999999999</v>
      </c>
      <c r="E168" s="45">
        <v>1269.2015158141367</v>
      </c>
      <c r="F168" s="45">
        <v>1163.328</v>
      </c>
      <c r="G168" s="45">
        <v>1100.5557490657197</v>
      </c>
      <c r="H168" s="46">
        <v>0.22073527361349687</v>
      </c>
      <c r="I168" s="46">
        <v>-5.3959202335265966E-2</v>
      </c>
      <c r="J168" s="46">
        <v>7.5680643041418083E-2</v>
      </c>
    </row>
    <row r="169" spans="1:10" ht="11.25" customHeight="1" x14ac:dyDescent="0.2">
      <c r="A169" s="51" t="s">
        <v>29</v>
      </c>
      <c r="B169" s="45">
        <v>0</v>
      </c>
      <c r="C169" s="45">
        <v>0</v>
      </c>
      <c r="D169" s="45">
        <v>41395.666400000002</v>
      </c>
      <c r="E169" s="45">
        <v>50533.593659781021</v>
      </c>
      <c r="F169" s="45">
        <v>46316.758399999999</v>
      </c>
      <c r="G169" s="45">
        <v>43818.917902527413</v>
      </c>
      <c r="H169" s="46">
        <v>0.22074598755054753</v>
      </c>
      <c r="I169" s="46">
        <v>-5.3929518898986339E-2</v>
      </c>
      <c r="J169" s="46">
        <v>7.5702920965291076E-2</v>
      </c>
    </row>
    <row r="170" spans="1:10" ht="11.25" customHeight="1" x14ac:dyDescent="0.2">
      <c r="A170" s="52" t="s">
        <v>25</v>
      </c>
      <c r="B170" s="45">
        <v>0</v>
      </c>
      <c r="C170" s="45">
        <v>0</v>
      </c>
      <c r="D170" s="45">
        <v>41395.666400000002</v>
      </c>
      <c r="E170" s="45">
        <v>50533.593659781021</v>
      </c>
      <c r="F170" s="45">
        <v>46316.758399999999</v>
      </c>
      <c r="G170" s="45">
        <v>43818.917902527413</v>
      </c>
      <c r="H170" s="46">
        <v>0.22074598755054753</v>
      </c>
      <c r="I170" s="46">
        <v>-5.3929518898986339E-2</v>
      </c>
      <c r="J170" s="46">
        <v>7.5702920965291076E-2</v>
      </c>
    </row>
    <row r="171" spans="1:10" ht="11.25" customHeight="1" x14ac:dyDescent="0.2">
      <c r="A171" s="53" t="s">
        <v>25</v>
      </c>
      <c r="B171" s="45">
        <v>0</v>
      </c>
      <c r="C171" s="45">
        <v>0</v>
      </c>
      <c r="D171" s="45">
        <v>41395.666400000002</v>
      </c>
      <c r="E171" s="45">
        <v>50533.593659781021</v>
      </c>
      <c r="F171" s="45">
        <v>46316.758399999999</v>
      </c>
      <c r="G171" s="45">
        <v>43818.917902527413</v>
      </c>
      <c r="H171" s="46">
        <v>0.22074598755054753</v>
      </c>
      <c r="I171" s="46">
        <v>-5.3929518898986339E-2</v>
      </c>
      <c r="J171" s="46">
        <v>7.5702920965291076E-2</v>
      </c>
    </row>
    <row r="172" spans="1:10" ht="11.25" customHeight="1" x14ac:dyDescent="0.2">
      <c r="A172" s="54" t="s">
        <v>25</v>
      </c>
      <c r="B172" s="45">
        <v>0</v>
      </c>
      <c r="C172" s="45">
        <v>0</v>
      </c>
      <c r="D172" s="45">
        <v>41395.666400000002</v>
      </c>
      <c r="E172" s="45">
        <v>50533.593659781021</v>
      </c>
      <c r="F172" s="45">
        <v>46316.758399999999</v>
      </c>
      <c r="G172" s="45">
        <v>43818.917902527413</v>
      </c>
      <c r="H172" s="46">
        <v>0.22074598755054753</v>
      </c>
      <c r="I172" s="46">
        <v>-5.3929518898986339E-2</v>
      </c>
      <c r="J172" s="46">
        <v>7.5702920965291076E-2</v>
      </c>
    </row>
    <row r="173" spans="1:10" ht="11.25" customHeight="1" x14ac:dyDescent="0.2">
      <c r="A173" s="55">
        <v>44409</v>
      </c>
      <c r="B173" s="45">
        <v>0</v>
      </c>
      <c r="C173" s="45">
        <v>0</v>
      </c>
      <c r="D173" s="45">
        <v>2990.2476699999997</v>
      </c>
      <c r="E173" s="45">
        <v>3650.3328449348737</v>
      </c>
      <c r="F173" s="45">
        <v>3345.7265199999997</v>
      </c>
      <c r="G173" s="45">
        <v>3165.2930984088198</v>
      </c>
      <c r="H173" s="46">
        <v>0.22074598755054753</v>
      </c>
      <c r="I173" s="46">
        <v>-5.3929518898986339E-2</v>
      </c>
      <c r="J173" s="46">
        <v>7.5702920965291076E-2</v>
      </c>
    </row>
    <row r="174" spans="1:10" ht="11.25" customHeight="1" x14ac:dyDescent="0.2">
      <c r="A174" s="55">
        <v>44440</v>
      </c>
      <c r="B174" s="45">
        <v>0</v>
      </c>
      <c r="C174" s="45">
        <v>0</v>
      </c>
      <c r="D174" s="45">
        <v>3174.0150000000003</v>
      </c>
      <c r="E174" s="45">
        <v>3874.6660756752512</v>
      </c>
      <c r="F174" s="45">
        <v>3551.34</v>
      </c>
      <c r="G174" s="45">
        <v>3359.8179423532738</v>
      </c>
      <c r="H174" s="46">
        <v>0.22074598755054753</v>
      </c>
      <c r="I174" s="46">
        <v>-5.392951889898645E-2</v>
      </c>
      <c r="J174" s="46">
        <v>7.5702920965290854E-2</v>
      </c>
    </row>
    <row r="175" spans="1:10" ht="11.25" customHeight="1" x14ac:dyDescent="0.2">
      <c r="A175" s="55">
        <v>44470</v>
      </c>
      <c r="B175" s="45">
        <v>0</v>
      </c>
      <c r="C175" s="45">
        <v>0</v>
      </c>
      <c r="D175" s="45">
        <v>3106.3026800000002</v>
      </c>
      <c r="E175" s="45">
        <v>3792.0065327275124</v>
      </c>
      <c r="F175" s="45">
        <v>3475.5780800000002</v>
      </c>
      <c r="G175" s="45">
        <v>3288.1418262497373</v>
      </c>
      <c r="H175" s="46">
        <v>0.22074598755054753</v>
      </c>
      <c r="I175" s="46">
        <v>-5.392951889898645E-2</v>
      </c>
      <c r="J175" s="46">
        <v>7.5702920965291076E-2</v>
      </c>
    </row>
    <row r="176" spans="1:10" ht="11.25" customHeight="1" x14ac:dyDescent="0.2">
      <c r="A176" s="55">
        <v>44501</v>
      </c>
      <c r="B176" s="45">
        <v>0</v>
      </c>
      <c r="C176" s="45">
        <v>0</v>
      </c>
      <c r="D176" s="45">
        <v>3091.4906099999998</v>
      </c>
      <c r="E176" s="45">
        <v>3773.9247577076944</v>
      </c>
      <c r="F176" s="45">
        <v>3459.0051599999997</v>
      </c>
      <c r="G176" s="45">
        <v>3272.4626758520885</v>
      </c>
      <c r="H176" s="46">
        <v>0.22074598755054753</v>
      </c>
      <c r="I176" s="46">
        <v>-5.3929518898986339E-2</v>
      </c>
      <c r="J176" s="46">
        <v>7.5702920965291076E-2</v>
      </c>
    </row>
    <row r="177" spans="1:10" ht="11.25" customHeight="1" x14ac:dyDescent="0.2">
      <c r="A177" s="55">
        <v>44531</v>
      </c>
      <c r="B177" s="45">
        <v>0</v>
      </c>
      <c r="C177" s="45">
        <v>0</v>
      </c>
      <c r="D177" s="45">
        <v>3305.37039</v>
      </c>
      <c r="E177" s="45">
        <v>4035.0176409608885</v>
      </c>
      <c r="F177" s="45">
        <v>3698.3108399999996</v>
      </c>
      <c r="G177" s="45">
        <v>3498.8627156598936</v>
      </c>
      <c r="H177" s="46">
        <v>0.22074598755054753</v>
      </c>
      <c r="I177" s="46">
        <v>-5.3929518898986339E-2</v>
      </c>
      <c r="J177" s="46">
        <v>7.5702920965291076E-2</v>
      </c>
    </row>
    <row r="178" spans="1:10" ht="11.25" customHeight="1" x14ac:dyDescent="0.2">
      <c r="A178" s="55">
        <v>44562</v>
      </c>
      <c r="B178" s="45">
        <v>0</v>
      </c>
      <c r="C178" s="45">
        <v>0</v>
      </c>
      <c r="D178" s="45">
        <v>3346.5511999999999</v>
      </c>
      <c r="E178" s="45">
        <v>4085.2889495324698</v>
      </c>
      <c r="F178" s="45">
        <v>3744.3871999999997</v>
      </c>
      <c r="G178" s="45">
        <v>3542.4541997324773</v>
      </c>
      <c r="H178" s="46">
        <v>0.22074598755054753</v>
      </c>
      <c r="I178" s="46">
        <v>-5.3929518898986339E-2</v>
      </c>
      <c r="J178" s="46">
        <v>7.5702920965291076E-2</v>
      </c>
    </row>
    <row r="179" spans="1:10" ht="11.25" customHeight="1" x14ac:dyDescent="0.2">
      <c r="A179" s="55">
        <v>44593</v>
      </c>
      <c r="B179" s="45">
        <v>0</v>
      </c>
      <c r="C179" s="45">
        <v>0</v>
      </c>
      <c r="D179" s="45">
        <v>3746.31432</v>
      </c>
      <c r="E179" s="45">
        <v>4573.2981742431575</v>
      </c>
      <c r="F179" s="45">
        <v>4191.6739200000002</v>
      </c>
      <c r="G179" s="45">
        <v>3965.6189621129715</v>
      </c>
      <c r="H179" s="46">
        <v>0.22074598755054753</v>
      </c>
      <c r="I179" s="46">
        <v>-5.392951889898645E-2</v>
      </c>
      <c r="J179" s="46">
        <v>7.5702920965290854E-2</v>
      </c>
    </row>
    <row r="180" spans="1:10" ht="11.25" customHeight="1" x14ac:dyDescent="0.2">
      <c r="A180" s="55">
        <v>44621</v>
      </c>
      <c r="B180" s="45">
        <v>0</v>
      </c>
      <c r="C180" s="45">
        <v>0</v>
      </c>
      <c r="D180" s="45">
        <v>3906.4800000000005</v>
      </c>
      <c r="E180" s="45">
        <v>4768.8197854464634</v>
      </c>
      <c r="F180" s="45">
        <v>4370.88</v>
      </c>
      <c r="G180" s="45">
        <v>4135.1605444347988</v>
      </c>
      <c r="H180" s="46">
        <v>0.22074598755054753</v>
      </c>
      <c r="I180" s="46">
        <v>-5.3929518898986339E-2</v>
      </c>
      <c r="J180" s="46">
        <v>7.5702920965291076E-2</v>
      </c>
    </row>
    <row r="181" spans="1:10" ht="11.25" customHeight="1" x14ac:dyDescent="0.2">
      <c r="A181" s="55">
        <v>44652</v>
      </c>
      <c r="B181" s="45">
        <v>0</v>
      </c>
      <c r="C181" s="45">
        <v>0</v>
      </c>
      <c r="D181" s="45">
        <v>3901.4341300000006</v>
      </c>
      <c r="E181" s="45">
        <v>4762.6600598902614</v>
      </c>
      <c r="F181" s="45">
        <v>4365.2342800000006</v>
      </c>
      <c r="G181" s="45">
        <v>4129.819295398237</v>
      </c>
      <c r="H181" s="46">
        <v>0.22074598755054731</v>
      </c>
      <c r="I181" s="46">
        <v>-5.392951889898645E-2</v>
      </c>
      <c r="J181" s="46">
        <v>7.5702920965290854E-2</v>
      </c>
    </row>
    <row r="182" spans="1:10" ht="11.25" customHeight="1" x14ac:dyDescent="0.2">
      <c r="A182" s="55">
        <v>44682</v>
      </c>
      <c r="B182" s="45">
        <v>0</v>
      </c>
      <c r="C182" s="45">
        <v>0</v>
      </c>
      <c r="D182" s="45">
        <v>3977.4477200000001</v>
      </c>
      <c r="E182" s="45">
        <v>4855.4533448820739</v>
      </c>
      <c r="F182" s="45">
        <v>4450.2843199999998</v>
      </c>
      <c r="G182" s="45">
        <v>4210.2826276586975</v>
      </c>
      <c r="H182" s="46">
        <v>0.22074598755054753</v>
      </c>
      <c r="I182" s="46">
        <v>-5.3929518898986228E-2</v>
      </c>
      <c r="J182" s="46">
        <v>7.5702920965291298E-2</v>
      </c>
    </row>
    <row r="183" spans="1:10" ht="11.25" customHeight="1" x14ac:dyDescent="0.2">
      <c r="A183" s="55">
        <v>44713</v>
      </c>
      <c r="B183" s="45">
        <v>0</v>
      </c>
      <c r="C183" s="45">
        <v>0</v>
      </c>
      <c r="D183" s="45">
        <v>3254.2606099999998</v>
      </c>
      <c r="E183" s="45">
        <v>3972.6255821012969</v>
      </c>
      <c r="F183" s="45">
        <v>3641.1251600000001</v>
      </c>
      <c r="G183" s="45">
        <v>3444.761031870205</v>
      </c>
      <c r="H183" s="46">
        <v>0.22074598755054753</v>
      </c>
      <c r="I183" s="46">
        <v>-5.392951889898645E-2</v>
      </c>
      <c r="J183" s="46">
        <v>7.5702920965291076E-2</v>
      </c>
    </row>
    <row r="184" spans="1:10" ht="11.25" customHeight="1" x14ac:dyDescent="0.2">
      <c r="A184" s="55">
        <v>44743</v>
      </c>
      <c r="B184" s="45">
        <v>0</v>
      </c>
      <c r="C184" s="45">
        <v>0</v>
      </c>
      <c r="D184" s="45">
        <v>3595.7520700000005</v>
      </c>
      <c r="E184" s="45">
        <v>4389.4999116790759</v>
      </c>
      <c r="F184" s="45">
        <v>4023.2129200000004</v>
      </c>
      <c r="G184" s="45">
        <v>3806.2429827962142</v>
      </c>
      <c r="H184" s="46">
        <v>0.22074598755054753</v>
      </c>
      <c r="I184" s="46">
        <v>-5.3929518898986339E-2</v>
      </c>
      <c r="J184" s="46">
        <v>7.5702920965291076E-2</v>
      </c>
    </row>
    <row r="185" spans="1:10" ht="11.25" customHeight="1" x14ac:dyDescent="0.2">
      <c r="A185" s="51" t="s">
        <v>30</v>
      </c>
      <c r="B185" s="45">
        <v>0</v>
      </c>
      <c r="C185" s="45">
        <v>0</v>
      </c>
      <c r="D185" s="45">
        <v>60676.402150000002</v>
      </c>
      <c r="E185" s="45">
        <v>74071.991368683783</v>
      </c>
      <c r="F185" s="45">
        <v>67893.451990000001</v>
      </c>
      <c r="G185" s="45">
        <v>64229.639603967546</v>
      </c>
      <c r="H185" s="46">
        <v>0.22077098746837587</v>
      </c>
      <c r="I185" s="46">
        <v>-5.3964149393554095E-2</v>
      </c>
      <c r="J185" s="46">
        <v>7.5692524485983848E-2</v>
      </c>
    </row>
    <row r="186" spans="1:10" ht="11.25" customHeight="1" x14ac:dyDescent="0.2">
      <c r="A186" s="52" t="s">
        <v>25</v>
      </c>
      <c r="B186" s="45">
        <v>0</v>
      </c>
      <c r="C186" s="45">
        <v>0</v>
      </c>
      <c r="D186" s="45">
        <v>60676.402150000002</v>
      </c>
      <c r="E186" s="45">
        <v>74071.991368683783</v>
      </c>
      <c r="F186" s="45">
        <v>67893.451990000001</v>
      </c>
      <c r="G186" s="45">
        <v>64229.639603967546</v>
      </c>
      <c r="H186" s="46">
        <v>0.22077098746837587</v>
      </c>
      <c r="I186" s="46">
        <v>-5.3964149393554095E-2</v>
      </c>
      <c r="J186" s="46">
        <v>7.5692524485983848E-2</v>
      </c>
    </row>
    <row r="187" spans="1:10" ht="11.25" customHeight="1" x14ac:dyDescent="0.2">
      <c r="A187" s="53" t="s">
        <v>25</v>
      </c>
      <c r="B187" s="45">
        <v>0</v>
      </c>
      <c r="C187" s="45">
        <v>0</v>
      </c>
      <c r="D187" s="45">
        <v>60676.402150000002</v>
      </c>
      <c r="E187" s="45">
        <v>74071.991368683783</v>
      </c>
      <c r="F187" s="45">
        <v>67893.451990000001</v>
      </c>
      <c r="G187" s="45">
        <v>64229.639603967546</v>
      </c>
      <c r="H187" s="46">
        <v>0.22077098746837587</v>
      </c>
      <c r="I187" s="46">
        <v>-5.3964149393554095E-2</v>
      </c>
      <c r="J187" s="46">
        <v>7.5692524485983848E-2</v>
      </c>
    </row>
    <row r="188" spans="1:10" ht="11.25" customHeight="1" x14ac:dyDescent="0.2">
      <c r="A188" s="54" t="s">
        <v>25</v>
      </c>
      <c r="B188" s="45">
        <v>0</v>
      </c>
      <c r="C188" s="45">
        <v>0</v>
      </c>
      <c r="D188" s="45">
        <v>60676.402150000002</v>
      </c>
      <c r="E188" s="45">
        <v>74071.991368683783</v>
      </c>
      <c r="F188" s="45">
        <v>67893.451990000001</v>
      </c>
      <c r="G188" s="45">
        <v>64229.639603967546</v>
      </c>
      <c r="H188" s="46">
        <v>0.22077098746837587</v>
      </c>
      <c r="I188" s="46">
        <v>-5.3964149393554095E-2</v>
      </c>
      <c r="J188" s="46">
        <v>7.5692524485983848E-2</v>
      </c>
    </row>
    <row r="189" spans="1:10" ht="11.25" customHeight="1" x14ac:dyDescent="0.2">
      <c r="A189" s="55">
        <v>44409</v>
      </c>
      <c r="B189" s="45">
        <v>0</v>
      </c>
      <c r="C189" s="45">
        <v>0</v>
      </c>
      <c r="D189" s="45">
        <v>4369.5525499999994</v>
      </c>
      <c r="E189" s="45">
        <v>5334.2229812584592</v>
      </c>
      <c r="F189" s="45">
        <v>4889.2814299999991</v>
      </c>
      <c r="G189" s="45">
        <v>4625.4355164843491</v>
      </c>
      <c r="H189" s="46">
        <v>0.22077098746837587</v>
      </c>
      <c r="I189" s="46">
        <v>-5.3964149393554095E-2</v>
      </c>
      <c r="J189" s="46">
        <v>7.5692524485983848E-2</v>
      </c>
    </row>
    <row r="190" spans="1:10" ht="11.25" customHeight="1" x14ac:dyDescent="0.2">
      <c r="A190" s="55">
        <v>44440</v>
      </c>
      <c r="B190" s="45">
        <v>0</v>
      </c>
      <c r="C190" s="45">
        <v>0</v>
      </c>
      <c r="D190" s="45">
        <v>5075.8784999999998</v>
      </c>
      <c r="E190" s="45">
        <v>6196.4852087144982</v>
      </c>
      <c r="F190" s="45">
        <v>5679.6201000000001</v>
      </c>
      <c r="G190" s="45">
        <v>5373.1242324249661</v>
      </c>
      <c r="H190" s="46">
        <v>0.22077098746837587</v>
      </c>
      <c r="I190" s="46">
        <v>-5.3964149393554317E-2</v>
      </c>
      <c r="J190" s="46">
        <v>7.5692524485983848E-2</v>
      </c>
    </row>
    <row r="191" spans="1:10" ht="11.25" customHeight="1" x14ac:dyDescent="0.2">
      <c r="A191" s="55">
        <v>44470</v>
      </c>
      <c r="B191" s="45">
        <v>0</v>
      </c>
      <c r="C191" s="45">
        <v>0</v>
      </c>
      <c r="D191" s="45">
        <v>4276.5313999999998</v>
      </c>
      <c r="E191" s="45">
        <v>5220.6654601175151</v>
      </c>
      <c r="F191" s="45">
        <v>4785.1960399999998</v>
      </c>
      <c r="G191" s="45">
        <v>4526.9670060199951</v>
      </c>
      <c r="H191" s="46">
        <v>0.22077098746837565</v>
      </c>
      <c r="I191" s="46">
        <v>-5.3964149393554317E-2</v>
      </c>
      <c r="J191" s="46">
        <v>7.5692524485983848E-2</v>
      </c>
    </row>
    <row r="192" spans="1:10" ht="11.25" customHeight="1" x14ac:dyDescent="0.2">
      <c r="A192" s="55">
        <v>44501</v>
      </c>
      <c r="B192" s="45">
        <v>0</v>
      </c>
      <c r="C192" s="45">
        <v>0</v>
      </c>
      <c r="D192" s="45">
        <v>4048.7394499999996</v>
      </c>
      <c r="E192" s="45">
        <v>4942.5836563786688</v>
      </c>
      <c r="F192" s="45">
        <v>4530.3097699999998</v>
      </c>
      <c r="G192" s="45">
        <v>4285.835456772641</v>
      </c>
      <c r="H192" s="46">
        <v>0.22077098746837587</v>
      </c>
      <c r="I192" s="46">
        <v>-5.3964149393554317E-2</v>
      </c>
      <c r="J192" s="46">
        <v>7.569252448598407E-2</v>
      </c>
    </row>
    <row r="193" spans="1:10" ht="11.25" customHeight="1" x14ac:dyDescent="0.2">
      <c r="A193" s="55">
        <v>44531</v>
      </c>
      <c r="B193" s="45">
        <v>0</v>
      </c>
      <c r="C193" s="45">
        <v>0</v>
      </c>
      <c r="D193" s="45">
        <v>5039.0118499999999</v>
      </c>
      <c r="E193" s="45">
        <v>6151.4794719893471</v>
      </c>
      <c r="F193" s="45">
        <v>5638.36841</v>
      </c>
      <c r="G193" s="45">
        <v>5334.0986547868633</v>
      </c>
      <c r="H193" s="46">
        <v>0.22077098746837587</v>
      </c>
      <c r="I193" s="46">
        <v>-5.3964149393554206E-2</v>
      </c>
      <c r="J193" s="46">
        <v>7.5692524485983848E-2</v>
      </c>
    </row>
    <row r="194" spans="1:10" ht="11.25" customHeight="1" x14ac:dyDescent="0.2">
      <c r="A194" s="55">
        <v>44562</v>
      </c>
      <c r="B194" s="45">
        <v>0</v>
      </c>
      <c r="C194" s="45">
        <v>0</v>
      </c>
      <c r="D194" s="45">
        <v>4783.8751000000002</v>
      </c>
      <c r="E194" s="45">
        <v>5840.015929752376</v>
      </c>
      <c r="F194" s="45">
        <v>5352.8848600000001</v>
      </c>
      <c r="G194" s="45">
        <v>5064.0209817284658</v>
      </c>
      <c r="H194" s="46">
        <v>0.22077098746837587</v>
      </c>
      <c r="I194" s="46">
        <v>-5.3964149393554206E-2</v>
      </c>
      <c r="J194" s="46">
        <v>7.569252448598407E-2</v>
      </c>
    </row>
    <row r="195" spans="1:10" ht="11.25" customHeight="1" x14ac:dyDescent="0.2">
      <c r="A195" s="55">
        <v>44593</v>
      </c>
      <c r="B195" s="45">
        <v>0</v>
      </c>
      <c r="C195" s="45">
        <v>0</v>
      </c>
      <c r="D195" s="45">
        <v>6531.0124999999998</v>
      </c>
      <c r="E195" s="45">
        <v>7972.8705787933059</v>
      </c>
      <c r="F195" s="45">
        <v>7307.8324999999995</v>
      </c>
      <c r="G195" s="45">
        <v>6913.4715352269295</v>
      </c>
      <c r="H195" s="46">
        <v>0.22077098746837587</v>
      </c>
      <c r="I195" s="46">
        <v>-5.3964149393554095E-2</v>
      </c>
      <c r="J195" s="46">
        <v>7.5692524485983848E-2</v>
      </c>
    </row>
    <row r="196" spans="1:10" ht="11.25" customHeight="1" x14ac:dyDescent="0.2">
      <c r="A196" s="55">
        <v>44621</v>
      </c>
      <c r="B196" s="45">
        <v>0</v>
      </c>
      <c r="C196" s="45">
        <v>0</v>
      </c>
      <c r="D196" s="45">
        <v>6279.0497000000005</v>
      </c>
      <c r="E196" s="45">
        <v>7665.281702632009</v>
      </c>
      <c r="F196" s="45">
        <v>7025.9004199999999</v>
      </c>
      <c r="G196" s="45">
        <v>6646.7536801108845</v>
      </c>
      <c r="H196" s="46">
        <v>0.22077098746837565</v>
      </c>
      <c r="I196" s="46">
        <v>-5.3964149393554206E-2</v>
      </c>
      <c r="J196" s="46">
        <v>7.5692524485983625E-2</v>
      </c>
    </row>
    <row r="197" spans="1:10" ht="11.25" customHeight="1" x14ac:dyDescent="0.2">
      <c r="A197" s="55">
        <v>44652</v>
      </c>
      <c r="B197" s="45">
        <v>0</v>
      </c>
      <c r="C197" s="45">
        <v>0</v>
      </c>
      <c r="D197" s="45">
        <v>5550.0177999999996</v>
      </c>
      <c r="E197" s="45">
        <v>6775.3007101730627</v>
      </c>
      <c r="F197" s="45">
        <v>6210.1550799999995</v>
      </c>
      <c r="G197" s="45">
        <v>5875.0293435057401</v>
      </c>
      <c r="H197" s="46">
        <v>0.22077098746837587</v>
      </c>
      <c r="I197" s="46">
        <v>-5.3964149393554206E-2</v>
      </c>
      <c r="J197" s="46">
        <v>7.569252448598407E-2</v>
      </c>
    </row>
    <row r="198" spans="1:10" ht="11.25" customHeight="1" x14ac:dyDescent="0.2">
      <c r="A198" s="55">
        <v>44682</v>
      </c>
      <c r="B198" s="45">
        <v>0</v>
      </c>
      <c r="C198" s="45">
        <v>0</v>
      </c>
      <c r="D198" s="45">
        <v>5181.5954499999998</v>
      </c>
      <c r="E198" s="45">
        <v>6325.5413941581428</v>
      </c>
      <c r="F198" s="45">
        <v>5797.9113699999998</v>
      </c>
      <c r="G198" s="45">
        <v>5485.0320146587328</v>
      </c>
      <c r="H198" s="46">
        <v>0.22077098746837587</v>
      </c>
      <c r="I198" s="46">
        <v>-5.3964149393554317E-2</v>
      </c>
      <c r="J198" s="46">
        <v>7.5692524485983848E-2</v>
      </c>
    </row>
    <row r="199" spans="1:10" ht="11.25" customHeight="1" x14ac:dyDescent="0.2">
      <c r="A199" s="55">
        <v>44713</v>
      </c>
      <c r="B199" s="45">
        <v>0</v>
      </c>
      <c r="C199" s="45">
        <v>0</v>
      </c>
      <c r="D199" s="45">
        <v>4495.53395</v>
      </c>
      <c r="E199" s="45">
        <v>5488.0174193391085</v>
      </c>
      <c r="F199" s="45">
        <v>5030.2474700000002</v>
      </c>
      <c r="G199" s="45">
        <v>4758.7944440423717</v>
      </c>
      <c r="H199" s="46">
        <v>0.22077098746837587</v>
      </c>
      <c r="I199" s="46">
        <v>-5.3964149393554317E-2</v>
      </c>
      <c r="J199" s="46">
        <v>7.569252448598407E-2</v>
      </c>
    </row>
    <row r="200" spans="1:10" ht="11.25" customHeight="1" x14ac:dyDescent="0.2">
      <c r="A200" s="55">
        <v>44743</v>
      </c>
      <c r="B200" s="45">
        <v>0</v>
      </c>
      <c r="C200" s="45">
        <v>0</v>
      </c>
      <c r="D200" s="45">
        <v>5045.6039000000001</v>
      </c>
      <c r="E200" s="45">
        <v>6159.5268553772885</v>
      </c>
      <c r="F200" s="45">
        <v>5645.7445399999997</v>
      </c>
      <c r="G200" s="45">
        <v>5341.0767382055974</v>
      </c>
      <c r="H200" s="46">
        <v>0.22077098746837587</v>
      </c>
      <c r="I200" s="46">
        <v>-5.3964149393554095E-2</v>
      </c>
      <c r="J200" s="46">
        <v>7.5692524485983848E-2</v>
      </c>
    </row>
    <row r="201" spans="1:10" ht="11.25" customHeight="1" x14ac:dyDescent="0.2">
      <c r="A201" s="51" t="s">
        <v>31</v>
      </c>
      <c r="B201" s="45">
        <v>0</v>
      </c>
      <c r="C201" s="45">
        <v>0</v>
      </c>
      <c r="D201" s="45">
        <v>24955.86104</v>
      </c>
      <c r="E201" s="45">
        <v>30465.141564067817</v>
      </c>
      <c r="F201" s="45">
        <v>27923.555220000002</v>
      </c>
      <c r="G201" s="45">
        <v>26417.071108624339</v>
      </c>
      <c r="H201" s="46">
        <v>0.22076098737837091</v>
      </c>
      <c r="I201" s="46">
        <v>-5.3950297499963606E-2</v>
      </c>
      <c r="J201" s="46">
        <v>7.5696683053591673E-2</v>
      </c>
    </row>
    <row r="202" spans="1:10" ht="11.25" customHeight="1" x14ac:dyDescent="0.2">
      <c r="A202" s="52" t="s">
        <v>25</v>
      </c>
      <c r="B202" s="45">
        <v>0</v>
      </c>
      <c r="C202" s="45">
        <v>0</v>
      </c>
      <c r="D202" s="45">
        <v>24955.86104</v>
      </c>
      <c r="E202" s="45">
        <v>30465.141564067817</v>
      </c>
      <c r="F202" s="45">
        <v>27923.555220000002</v>
      </c>
      <c r="G202" s="45">
        <v>26417.071108624339</v>
      </c>
      <c r="H202" s="46">
        <v>0.22076098737837091</v>
      </c>
      <c r="I202" s="46">
        <v>-5.3950297499963606E-2</v>
      </c>
      <c r="J202" s="46">
        <v>7.5696683053591673E-2</v>
      </c>
    </row>
    <row r="203" spans="1:10" ht="11.25" customHeight="1" x14ac:dyDescent="0.2">
      <c r="A203" s="53" t="s">
        <v>25</v>
      </c>
      <c r="B203" s="45">
        <v>0</v>
      </c>
      <c r="C203" s="45">
        <v>0</v>
      </c>
      <c r="D203" s="45">
        <v>24955.86104</v>
      </c>
      <c r="E203" s="45">
        <v>30465.141564067817</v>
      </c>
      <c r="F203" s="45">
        <v>27923.555220000002</v>
      </c>
      <c r="G203" s="45">
        <v>26417.071108624339</v>
      </c>
      <c r="H203" s="46">
        <v>0.22076098737837091</v>
      </c>
      <c r="I203" s="46">
        <v>-5.3950297499963606E-2</v>
      </c>
      <c r="J203" s="46">
        <v>7.5696683053591673E-2</v>
      </c>
    </row>
    <row r="204" spans="1:10" ht="11.25" customHeight="1" x14ac:dyDescent="0.2">
      <c r="A204" s="54" t="s">
        <v>25</v>
      </c>
      <c r="B204" s="45">
        <v>0</v>
      </c>
      <c r="C204" s="45">
        <v>0</v>
      </c>
      <c r="D204" s="45">
        <v>24955.86104</v>
      </c>
      <c r="E204" s="45">
        <v>30465.141564067817</v>
      </c>
      <c r="F204" s="45">
        <v>27923.555220000002</v>
      </c>
      <c r="G204" s="45">
        <v>26417.071108624339</v>
      </c>
      <c r="H204" s="46">
        <v>0.22076098737837091</v>
      </c>
      <c r="I204" s="46">
        <v>-5.3950297499963606E-2</v>
      </c>
      <c r="J204" s="46">
        <v>7.5696683053591673E-2</v>
      </c>
    </row>
    <row r="205" spans="1:10" ht="11.25" customHeight="1" x14ac:dyDescent="0.2">
      <c r="A205" s="55">
        <v>44409</v>
      </c>
      <c r="B205" s="45">
        <v>0</v>
      </c>
      <c r="C205" s="45">
        <v>0</v>
      </c>
      <c r="D205" s="45">
        <v>1623.0682399999998</v>
      </c>
      <c r="E205" s="45">
        <v>1981.3783872448741</v>
      </c>
      <c r="F205" s="45">
        <v>1816.0798199999999</v>
      </c>
      <c r="G205" s="45">
        <v>1718.1017734273196</v>
      </c>
      <c r="H205" s="46">
        <v>0.22076098737837069</v>
      </c>
      <c r="I205" s="46">
        <v>-5.3950297499963606E-2</v>
      </c>
      <c r="J205" s="46">
        <v>7.5696683053591673E-2</v>
      </c>
    </row>
    <row r="206" spans="1:10" ht="11.25" customHeight="1" x14ac:dyDescent="0.2">
      <c r="A206" s="55">
        <v>44440</v>
      </c>
      <c r="B206" s="45">
        <v>0</v>
      </c>
      <c r="C206" s="45">
        <v>0</v>
      </c>
      <c r="D206" s="45">
        <v>2062.2705599999999</v>
      </c>
      <c r="E206" s="45">
        <v>2517.5394450669455</v>
      </c>
      <c r="F206" s="45">
        <v>2307.5110800000002</v>
      </c>
      <c r="G206" s="45">
        <v>2183.0201707495376</v>
      </c>
      <c r="H206" s="46">
        <v>0.22076098737837069</v>
      </c>
      <c r="I206" s="46">
        <v>-5.3950297499963717E-2</v>
      </c>
      <c r="J206" s="46">
        <v>7.5696683053591229E-2</v>
      </c>
    </row>
    <row r="207" spans="1:10" ht="11.25" customHeight="1" x14ac:dyDescent="0.2">
      <c r="A207" s="55">
        <v>44470</v>
      </c>
      <c r="B207" s="45">
        <v>0</v>
      </c>
      <c r="C207" s="45">
        <v>0</v>
      </c>
      <c r="D207" s="45">
        <v>1244.90392</v>
      </c>
      <c r="E207" s="45">
        <v>1519.7301385704043</v>
      </c>
      <c r="F207" s="45">
        <v>1392.9450600000002</v>
      </c>
      <c r="G207" s="45">
        <v>1317.7952596118955</v>
      </c>
      <c r="H207" s="46">
        <v>0.22076098737837069</v>
      </c>
      <c r="I207" s="46">
        <v>-5.3950297499963606E-2</v>
      </c>
      <c r="J207" s="46">
        <v>7.5696683053591451E-2</v>
      </c>
    </row>
    <row r="208" spans="1:10" ht="11.25" customHeight="1" x14ac:dyDescent="0.2">
      <c r="A208" s="55">
        <v>44501</v>
      </c>
      <c r="B208" s="45">
        <v>0</v>
      </c>
      <c r="C208" s="45">
        <v>0</v>
      </c>
      <c r="D208" s="45">
        <v>1017.5712799999999</v>
      </c>
      <c r="E208" s="45">
        <v>1242.2113205006724</v>
      </c>
      <c r="F208" s="45">
        <v>1138.57854</v>
      </c>
      <c r="G208" s="45">
        <v>1077.1518890399257</v>
      </c>
      <c r="H208" s="46">
        <v>0.22076098737837069</v>
      </c>
      <c r="I208" s="46">
        <v>-5.3950297499963717E-2</v>
      </c>
      <c r="J208" s="46">
        <v>7.5696683053591673E-2</v>
      </c>
    </row>
    <row r="209" spans="1:10" ht="11.25" customHeight="1" x14ac:dyDescent="0.2">
      <c r="A209" s="55">
        <v>44531</v>
      </c>
      <c r="B209" s="45">
        <v>0</v>
      </c>
      <c r="C209" s="45">
        <v>0</v>
      </c>
      <c r="D209" s="45">
        <v>2051.9619199999997</v>
      </c>
      <c r="E209" s="45">
        <v>2504.9550595220171</v>
      </c>
      <c r="F209" s="45">
        <v>2295.9765600000001</v>
      </c>
      <c r="G209" s="45">
        <v>2172.1079415350569</v>
      </c>
      <c r="H209" s="46">
        <v>0.22076098737837069</v>
      </c>
      <c r="I209" s="46">
        <v>-5.3950297499963717E-2</v>
      </c>
      <c r="J209" s="46">
        <v>7.5696683053591451E-2</v>
      </c>
    </row>
    <row r="210" spans="1:10" ht="11.25" customHeight="1" x14ac:dyDescent="0.2">
      <c r="A210" s="55">
        <v>44562</v>
      </c>
      <c r="B210" s="45">
        <v>0</v>
      </c>
      <c r="C210" s="45">
        <v>0</v>
      </c>
      <c r="D210" s="45">
        <v>1815.4057599999999</v>
      </c>
      <c r="E210" s="45">
        <v>2216.1765280699815</v>
      </c>
      <c r="F210" s="45">
        <v>2031.2896800000001</v>
      </c>
      <c r="G210" s="45">
        <v>1921.7009974553941</v>
      </c>
      <c r="H210" s="46">
        <v>0.22076098737837069</v>
      </c>
      <c r="I210" s="46">
        <v>-5.3950297499963606E-2</v>
      </c>
      <c r="J210" s="46">
        <v>7.5696683053591451E-2</v>
      </c>
    </row>
    <row r="211" spans="1:10" ht="11.25" customHeight="1" x14ac:dyDescent="0.2">
      <c r="A211" s="55">
        <v>44593</v>
      </c>
      <c r="B211" s="45">
        <v>0</v>
      </c>
      <c r="C211" s="45">
        <v>0</v>
      </c>
      <c r="D211" s="45">
        <v>4321.4903999999997</v>
      </c>
      <c r="E211" s="45">
        <v>5275.50688765015</v>
      </c>
      <c r="F211" s="45">
        <v>4835.3922000000002</v>
      </c>
      <c r="G211" s="45">
        <v>4574.5213522809963</v>
      </c>
      <c r="H211" s="46">
        <v>0.22076098737837069</v>
      </c>
      <c r="I211" s="46">
        <v>-5.3950297499963717E-2</v>
      </c>
      <c r="J211" s="46">
        <v>7.5696683053591451E-2</v>
      </c>
    </row>
    <row r="212" spans="1:10" ht="11.25" customHeight="1" x14ac:dyDescent="0.2">
      <c r="A212" s="55">
        <v>44621</v>
      </c>
      <c r="B212" s="45">
        <v>0</v>
      </c>
      <c r="C212" s="45">
        <v>0</v>
      </c>
      <c r="D212" s="45">
        <v>3374.7231999999995</v>
      </c>
      <c r="E212" s="45">
        <v>4119.7304257606947</v>
      </c>
      <c r="F212" s="45">
        <v>3776.0376000000001</v>
      </c>
      <c r="G212" s="45">
        <v>3572.3192481089513</v>
      </c>
      <c r="H212" s="46">
        <v>0.22076098737837091</v>
      </c>
      <c r="I212" s="46">
        <v>-5.3950297499963606E-2</v>
      </c>
      <c r="J212" s="46">
        <v>7.5696683053591451E-2</v>
      </c>
    </row>
    <row r="213" spans="1:10" ht="11.25" customHeight="1" x14ac:dyDescent="0.2">
      <c r="A213" s="55">
        <v>44652</v>
      </c>
      <c r="B213" s="45">
        <v>0</v>
      </c>
      <c r="C213" s="45">
        <v>0</v>
      </c>
      <c r="D213" s="45">
        <v>1937.2104799999997</v>
      </c>
      <c r="E213" s="45">
        <v>2364.8709783245272</v>
      </c>
      <c r="F213" s="45">
        <v>2167.5791400000003</v>
      </c>
      <c r="G213" s="45">
        <v>2050.6376005422849</v>
      </c>
      <c r="H213" s="46">
        <v>0.22076098737837069</v>
      </c>
      <c r="I213" s="46">
        <v>-5.3950297499963717E-2</v>
      </c>
      <c r="J213" s="46">
        <v>7.5696683053591451E-2</v>
      </c>
    </row>
    <row r="214" spans="1:10" ht="11.25" customHeight="1" x14ac:dyDescent="0.2">
      <c r="A214" s="55">
        <v>44682</v>
      </c>
      <c r="B214" s="45">
        <v>0</v>
      </c>
      <c r="C214" s="45">
        <v>0</v>
      </c>
      <c r="D214" s="45">
        <v>1468.4386399999999</v>
      </c>
      <c r="E214" s="45">
        <v>1792.6126040709519</v>
      </c>
      <c r="F214" s="45">
        <v>1643.0620200000001</v>
      </c>
      <c r="G214" s="45">
        <v>1554.4183352101088</v>
      </c>
      <c r="H214" s="46">
        <v>0.22076098737837091</v>
      </c>
      <c r="I214" s="46">
        <v>-5.3950297499963717E-2</v>
      </c>
      <c r="J214" s="46">
        <v>7.5696683053591451E-2</v>
      </c>
    </row>
    <row r="215" spans="1:10" ht="11.25" customHeight="1" x14ac:dyDescent="0.2">
      <c r="A215" s="55">
        <v>44713</v>
      </c>
      <c r="B215" s="45">
        <v>0</v>
      </c>
      <c r="C215" s="45">
        <v>0</v>
      </c>
      <c r="D215" s="45">
        <v>1659.6910399999999</v>
      </c>
      <c r="E215" s="45">
        <v>2026.086072733435</v>
      </c>
      <c r="F215" s="45">
        <v>1857.0577200000002</v>
      </c>
      <c r="G215" s="45">
        <v>1756.868903531396</v>
      </c>
      <c r="H215" s="46">
        <v>0.22076098737837069</v>
      </c>
      <c r="I215" s="46">
        <v>-5.3950297499963717E-2</v>
      </c>
      <c r="J215" s="46">
        <v>7.5696683053591451E-2</v>
      </c>
    </row>
    <row r="216" spans="1:10" ht="11.25" customHeight="1" x14ac:dyDescent="0.2">
      <c r="A216" s="55">
        <v>44743</v>
      </c>
      <c r="B216" s="45">
        <v>0</v>
      </c>
      <c r="C216" s="45">
        <v>0</v>
      </c>
      <c r="D216" s="45">
        <v>2379.1255999999998</v>
      </c>
      <c r="E216" s="45">
        <v>2904.3437165531582</v>
      </c>
      <c r="F216" s="45">
        <v>2662.0457999999999</v>
      </c>
      <c r="G216" s="45">
        <v>2518.4276371314713</v>
      </c>
      <c r="H216" s="46">
        <v>0.22076098737837069</v>
      </c>
      <c r="I216" s="46">
        <v>-5.3950297499963606E-2</v>
      </c>
      <c r="J216" s="46">
        <v>7.5696683053591451E-2</v>
      </c>
    </row>
    <row r="217" spans="1:10" ht="11.25" customHeight="1" x14ac:dyDescent="0.2">
      <c r="A217" s="48" t="s">
        <v>41</v>
      </c>
      <c r="B217" s="45">
        <v>0</v>
      </c>
      <c r="C217" s="45">
        <v>0</v>
      </c>
      <c r="D217" s="45">
        <v>936896.31271600013</v>
      </c>
      <c r="E217" s="45">
        <v>1422708.9478549934</v>
      </c>
      <c r="F217" s="45">
        <v>828684.30772400019</v>
      </c>
      <c r="G217" s="45">
        <v>837445.79165964632</v>
      </c>
      <c r="H217" s="46">
        <v>0.51853404538508108</v>
      </c>
      <c r="I217" s="46">
        <v>1.057276438564414E-2</v>
      </c>
      <c r="J217" s="46">
        <v>0.28011981630801275</v>
      </c>
    </row>
    <row r="218" spans="1:10" ht="11.25" customHeight="1" x14ac:dyDescent="0.2">
      <c r="A218" s="49" t="s">
        <v>23</v>
      </c>
      <c r="B218" s="45">
        <v>0</v>
      </c>
      <c r="C218" s="45">
        <v>0</v>
      </c>
      <c r="D218" s="45">
        <v>936896.31271600013</v>
      </c>
      <c r="E218" s="45">
        <v>1422708.9478549934</v>
      </c>
      <c r="F218" s="45">
        <v>828684.30772400019</v>
      </c>
      <c r="G218" s="45">
        <v>837445.79165964632</v>
      </c>
      <c r="H218" s="46">
        <v>0.51853404538508108</v>
      </c>
      <c r="I218" s="46">
        <v>1.057276438564414E-2</v>
      </c>
      <c r="J218" s="46">
        <v>0.28011981630801275</v>
      </c>
    </row>
    <row r="219" spans="1:10" ht="11.25" customHeight="1" x14ac:dyDescent="0.2">
      <c r="A219" s="50" t="s">
        <v>42</v>
      </c>
      <c r="B219" s="45">
        <v>0</v>
      </c>
      <c r="C219" s="45">
        <v>0</v>
      </c>
      <c r="D219" s="45">
        <v>936896.31271600013</v>
      </c>
      <c r="E219" s="45">
        <v>1422708.9478549934</v>
      </c>
      <c r="F219" s="45">
        <v>828684.30772400019</v>
      </c>
      <c r="G219" s="45">
        <v>837445.79165964632</v>
      </c>
      <c r="H219" s="46">
        <v>0.51853404538508108</v>
      </c>
      <c r="I219" s="46">
        <v>1.057276438564414E-2</v>
      </c>
      <c r="J219" s="46">
        <v>0.28011981630801275</v>
      </c>
    </row>
    <row r="220" spans="1:10" ht="11.25" customHeight="1" x14ac:dyDescent="0.2">
      <c r="A220" s="51" t="s">
        <v>50</v>
      </c>
      <c r="B220" s="45">
        <v>0</v>
      </c>
      <c r="C220" s="45">
        <v>0</v>
      </c>
      <c r="D220" s="45">
        <v>961.95894599999997</v>
      </c>
      <c r="E220" s="45">
        <v>1460.7674097637489</v>
      </c>
      <c r="F220" s="45">
        <v>850.85219399999994</v>
      </c>
      <c r="G220" s="45">
        <v>859.84805377417035</v>
      </c>
      <c r="H220" s="46">
        <v>0.5185340453850813</v>
      </c>
      <c r="I220" s="46">
        <v>1.057276438564414E-2</v>
      </c>
      <c r="J220" s="46">
        <v>0.28011981630801297</v>
      </c>
    </row>
    <row r="221" spans="1:10" ht="11.25" customHeight="1" x14ac:dyDescent="0.2">
      <c r="A221" s="52" t="s">
        <v>51</v>
      </c>
      <c r="B221" s="45">
        <v>0</v>
      </c>
      <c r="C221" s="45">
        <v>0</v>
      </c>
      <c r="D221" s="45">
        <v>809.03120999999999</v>
      </c>
      <c r="E221" s="45">
        <v>1228.5414361640871</v>
      </c>
      <c r="F221" s="45">
        <v>715.58768999999995</v>
      </c>
      <c r="G221" s="45">
        <v>723.15343004363729</v>
      </c>
      <c r="H221" s="46">
        <v>0.5185340453850813</v>
      </c>
      <c r="I221" s="46">
        <v>1.057276438564414E-2</v>
      </c>
      <c r="J221" s="46">
        <v>0.28011981630801275</v>
      </c>
    </row>
    <row r="222" spans="1:10" ht="11.25" customHeight="1" x14ac:dyDescent="0.2">
      <c r="A222" s="53" t="s">
        <v>25</v>
      </c>
      <c r="B222" s="45">
        <v>0</v>
      </c>
      <c r="C222" s="45">
        <v>0</v>
      </c>
      <c r="D222" s="45">
        <v>809.03120999999999</v>
      </c>
      <c r="E222" s="45">
        <v>1228.5414361640871</v>
      </c>
      <c r="F222" s="45">
        <v>715.58768999999995</v>
      </c>
      <c r="G222" s="45">
        <v>723.15343004363729</v>
      </c>
      <c r="H222" s="46">
        <v>0.5185340453850813</v>
      </c>
      <c r="I222" s="46">
        <v>1.057276438564414E-2</v>
      </c>
      <c r="J222" s="46">
        <v>0.28011981630801275</v>
      </c>
    </row>
    <row r="223" spans="1:10" ht="11.25" customHeight="1" x14ac:dyDescent="0.2">
      <c r="A223" s="54" t="s">
        <v>25</v>
      </c>
      <c r="B223" s="45">
        <v>0</v>
      </c>
      <c r="C223" s="45">
        <v>0</v>
      </c>
      <c r="D223" s="45">
        <v>809.03120999999999</v>
      </c>
      <c r="E223" s="45">
        <v>1228.5414361640871</v>
      </c>
      <c r="F223" s="45">
        <v>715.58768999999995</v>
      </c>
      <c r="G223" s="45">
        <v>723.15343004363729</v>
      </c>
      <c r="H223" s="46">
        <v>0.5185340453850813</v>
      </c>
      <c r="I223" s="46">
        <v>1.057276438564414E-2</v>
      </c>
      <c r="J223" s="46">
        <v>0.28011981630801275</v>
      </c>
    </row>
    <row r="224" spans="1:10" ht="11.25" customHeight="1" x14ac:dyDescent="0.2">
      <c r="A224" s="55">
        <v>44409</v>
      </c>
      <c r="B224" s="45">
        <v>0</v>
      </c>
      <c r="C224" s="45">
        <v>0</v>
      </c>
      <c r="D224" s="45">
        <v>30.199000000000002</v>
      </c>
      <c r="E224" s="45">
        <v>45.858209636584064</v>
      </c>
      <c r="F224" s="45">
        <v>26.711000000000002</v>
      </c>
      <c r="G224" s="45">
        <v>26.993409109504938</v>
      </c>
      <c r="H224" s="46">
        <v>0.51853404538508108</v>
      </c>
      <c r="I224" s="46">
        <v>1.0572764385643918E-2</v>
      </c>
      <c r="J224" s="46">
        <v>0.28011981630801253</v>
      </c>
    </row>
    <row r="225" spans="1:10" ht="11.25" customHeight="1" x14ac:dyDescent="0.2">
      <c r="A225" s="55">
        <v>44440</v>
      </c>
      <c r="B225" s="45">
        <v>0</v>
      </c>
      <c r="C225" s="45">
        <v>0</v>
      </c>
      <c r="D225" s="45">
        <v>30.199000000000002</v>
      </c>
      <c r="E225" s="45">
        <v>45.858209636584064</v>
      </c>
      <c r="F225" s="45">
        <v>26.711000000000002</v>
      </c>
      <c r="G225" s="45">
        <v>26.993409109504938</v>
      </c>
      <c r="H225" s="46">
        <v>0.51853404538508108</v>
      </c>
      <c r="I225" s="46">
        <v>1.0572764385643918E-2</v>
      </c>
      <c r="J225" s="46">
        <v>0.28011981630801253</v>
      </c>
    </row>
    <row r="226" spans="1:10" ht="11.25" customHeight="1" x14ac:dyDescent="0.2">
      <c r="A226" s="55">
        <v>44470</v>
      </c>
      <c r="B226" s="45">
        <v>0</v>
      </c>
      <c r="C226" s="45">
        <v>0</v>
      </c>
      <c r="D226" s="45">
        <v>66.739789999999999</v>
      </c>
      <c r="E226" s="45">
        <v>101.34664329685079</v>
      </c>
      <c r="F226" s="45">
        <v>59.031310000000005</v>
      </c>
      <c r="G226" s="45">
        <v>59.655434132005915</v>
      </c>
      <c r="H226" s="46">
        <v>0.51853404538508108</v>
      </c>
      <c r="I226" s="46">
        <v>1.0572764385643918E-2</v>
      </c>
      <c r="J226" s="46">
        <v>0.28011981630801275</v>
      </c>
    </row>
    <row r="227" spans="1:10" ht="11.25" customHeight="1" x14ac:dyDescent="0.2">
      <c r="A227" s="55">
        <v>44501</v>
      </c>
      <c r="B227" s="45">
        <v>0</v>
      </c>
      <c r="C227" s="45">
        <v>0</v>
      </c>
      <c r="D227" s="45">
        <v>48.922380000000004</v>
      </c>
      <c r="E227" s="45">
        <v>74.290299611266192</v>
      </c>
      <c r="F227" s="45">
        <v>43.271820000000005</v>
      </c>
      <c r="G227" s="45">
        <v>43.729322757398002</v>
      </c>
      <c r="H227" s="46">
        <v>0.51853404538508108</v>
      </c>
      <c r="I227" s="46">
        <v>1.0572764385643918E-2</v>
      </c>
      <c r="J227" s="46">
        <v>0.28011981630801253</v>
      </c>
    </row>
    <row r="228" spans="1:10" ht="11.25" customHeight="1" x14ac:dyDescent="0.2">
      <c r="A228" s="55">
        <v>44531</v>
      </c>
      <c r="B228" s="45">
        <v>0</v>
      </c>
      <c r="C228" s="45">
        <v>0</v>
      </c>
      <c r="D228" s="45">
        <v>62.209939999999996</v>
      </c>
      <c r="E228" s="45">
        <v>94.467911851363169</v>
      </c>
      <c r="F228" s="45">
        <v>55.024659999999997</v>
      </c>
      <c r="G228" s="45">
        <v>55.60642276558017</v>
      </c>
      <c r="H228" s="46">
        <v>0.51853404538508108</v>
      </c>
      <c r="I228" s="46">
        <v>1.057276438564414E-2</v>
      </c>
      <c r="J228" s="46">
        <v>0.28011981630801253</v>
      </c>
    </row>
    <row r="229" spans="1:10" ht="11.25" customHeight="1" x14ac:dyDescent="0.2">
      <c r="A229" s="55">
        <v>44562</v>
      </c>
      <c r="B229" s="45">
        <v>0</v>
      </c>
      <c r="C229" s="45">
        <v>0</v>
      </c>
      <c r="D229" s="45">
        <v>30.199000000000002</v>
      </c>
      <c r="E229" s="45">
        <v>45.858209636584064</v>
      </c>
      <c r="F229" s="45">
        <v>26.711000000000002</v>
      </c>
      <c r="G229" s="45">
        <v>26.993409109504938</v>
      </c>
      <c r="H229" s="46">
        <v>0.51853404538508108</v>
      </c>
      <c r="I229" s="46">
        <v>1.0572764385643918E-2</v>
      </c>
      <c r="J229" s="46">
        <v>0.28011981630801253</v>
      </c>
    </row>
    <row r="230" spans="1:10" ht="11.25" customHeight="1" x14ac:dyDescent="0.2">
      <c r="A230" s="55">
        <v>44593</v>
      </c>
      <c r="B230" s="45">
        <v>0</v>
      </c>
      <c r="C230" s="45">
        <v>0</v>
      </c>
      <c r="D230" s="45">
        <v>150.995</v>
      </c>
      <c r="E230" s="45">
        <v>229.29104818292032</v>
      </c>
      <c r="F230" s="45">
        <v>133.55500000000001</v>
      </c>
      <c r="G230" s="45">
        <v>134.96704554752469</v>
      </c>
      <c r="H230" s="46">
        <v>0.51853404538508108</v>
      </c>
      <c r="I230" s="46">
        <v>1.0572764385643918E-2</v>
      </c>
      <c r="J230" s="46">
        <v>0.28011981630801275</v>
      </c>
    </row>
    <row r="231" spans="1:10" ht="11.25" customHeight="1" x14ac:dyDescent="0.2">
      <c r="A231" s="55">
        <v>44621</v>
      </c>
      <c r="B231" s="45">
        <v>0</v>
      </c>
      <c r="C231" s="45">
        <v>0</v>
      </c>
      <c r="D231" s="45">
        <v>94.522869999999998</v>
      </c>
      <c r="E231" s="45">
        <v>143.53619616250813</v>
      </c>
      <c r="F231" s="45">
        <v>83.605429999999998</v>
      </c>
      <c r="G231" s="45">
        <v>84.489370512750455</v>
      </c>
      <c r="H231" s="46">
        <v>0.5185340453850813</v>
      </c>
      <c r="I231" s="46">
        <v>1.057276438564414E-2</v>
      </c>
      <c r="J231" s="46">
        <v>0.28011981630801275</v>
      </c>
    </row>
    <row r="232" spans="1:10" ht="11.25" customHeight="1" x14ac:dyDescent="0.2">
      <c r="A232" s="55">
        <v>44652</v>
      </c>
      <c r="B232" s="45">
        <v>0</v>
      </c>
      <c r="C232" s="45">
        <v>0</v>
      </c>
      <c r="D232" s="45">
        <v>73.383570000000006</v>
      </c>
      <c r="E232" s="45">
        <v>111.43544941689927</v>
      </c>
      <c r="F232" s="45">
        <v>64.907730000000001</v>
      </c>
      <c r="G232" s="45">
        <v>65.593984136096992</v>
      </c>
      <c r="H232" s="46">
        <v>0.51853404538508086</v>
      </c>
      <c r="I232" s="46">
        <v>1.0572764385643918E-2</v>
      </c>
      <c r="J232" s="46">
        <v>0.28011981630801253</v>
      </c>
    </row>
    <row r="233" spans="1:10" ht="11.25" customHeight="1" x14ac:dyDescent="0.2">
      <c r="A233" s="55">
        <v>44682</v>
      </c>
      <c r="B233" s="45">
        <v>0</v>
      </c>
      <c r="C233" s="45">
        <v>0</v>
      </c>
      <c r="D233" s="45">
        <v>93.314909999999998</v>
      </c>
      <c r="E233" s="45">
        <v>141.70186777704475</v>
      </c>
      <c r="F233" s="45">
        <v>82.536990000000003</v>
      </c>
      <c r="G233" s="45">
        <v>83.409634148370259</v>
      </c>
      <c r="H233" s="46">
        <v>0.51853404538508108</v>
      </c>
      <c r="I233" s="46">
        <v>1.0572764385643918E-2</v>
      </c>
      <c r="J233" s="46">
        <v>0.28011981630801275</v>
      </c>
    </row>
    <row r="234" spans="1:10" ht="11.25" customHeight="1" x14ac:dyDescent="0.2">
      <c r="A234" s="55">
        <v>44713</v>
      </c>
      <c r="B234" s="45">
        <v>0</v>
      </c>
      <c r="C234" s="45">
        <v>0</v>
      </c>
      <c r="D234" s="45">
        <v>60.398000000000003</v>
      </c>
      <c r="E234" s="45">
        <v>91.716419273168128</v>
      </c>
      <c r="F234" s="45">
        <v>53.422000000000004</v>
      </c>
      <c r="G234" s="45">
        <v>53.986818219009876</v>
      </c>
      <c r="H234" s="46">
        <v>0.51853404538508108</v>
      </c>
      <c r="I234" s="46">
        <v>1.0572764385643918E-2</v>
      </c>
      <c r="J234" s="46">
        <v>0.28011981630801253</v>
      </c>
    </row>
    <row r="235" spans="1:10" ht="11.25" customHeight="1" x14ac:dyDescent="0.2">
      <c r="A235" s="55">
        <v>44743</v>
      </c>
      <c r="B235" s="45">
        <v>0</v>
      </c>
      <c r="C235" s="45">
        <v>0</v>
      </c>
      <c r="D235" s="45">
        <v>67.947749999999999</v>
      </c>
      <c r="E235" s="45">
        <v>103.18097168231415</v>
      </c>
      <c r="F235" s="45">
        <v>60.099750000000007</v>
      </c>
      <c r="G235" s="45">
        <v>60.735170496386111</v>
      </c>
      <c r="H235" s="46">
        <v>0.5185340453850813</v>
      </c>
      <c r="I235" s="46">
        <v>1.0572764385643918E-2</v>
      </c>
      <c r="J235" s="46">
        <v>0.28011981630801253</v>
      </c>
    </row>
    <row r="236" spans="1:10" ht="11.25" customHeight="1" x14ac:dyDescent="0.2">
      <c r="A236" s="52" t="s">
        <v>53</v>
      </c>
      <c r="B236" s="45">
        <v>0</v>
      </c>
      <c r="C236" s="45">
        <v>0</v>
      </c>
      <c r="D236" s="45">
        <v>152.92773599999998</v>
      </c>
      <c r="E236" s="45">
        <v>232.2259735996617</v>
      </c>
      <c r="F236" s="45">
        <v>135.26450399999999</v>
      </c>
      <c r="G236" s="45">
        <v>136.69462373053301</v>
      </c>
      <c r="H236" s="46">
        <v>0.5185340453850813</v>
      </c>
      <c r="I236" s="46">
        <v>1.057276438564414E-2</v>
      </c>
      <c r="J236" s="46">
        <v>0.28011981630801275</v>
      </c>
    </row>
    <row r="237" spans="1:10" ht="11.25" customHeight="1" x14ac:dyDescent="0.2">
      <c r="A237" s="53" t="s">
        <v>25</v>
      </c>
      <c r="B237" s="45">
        <v>0</v>
      </c>
      <c r="C237" s="45">
        <v>0</v>
      </c>
      <c r="D237" s="45">
        <v>152.92773599999998</v>
      </c>
      <c r="E237" s="45">
        <v>232.2259735996617</v>
      </c>
      <c r="F237" s="45">
        <v>135.26450399999999</v>
      </c>
      <c r="G237" s="45">
        <v>136.69462373053301</v>
      </c>
      <c r="H237" s="46">
        <v>0.5185340453850813</v>
      </c>
      <c r="I237" s="46">
        <v>1.057276438564414E-2</v>
      </c>
      <c r="J237" s="46">
        <v>0.28011981630801275</v>
      </c>
    </row>
    <row r="238" spans="1:10" ht="11.25" customHeight="1" x14ac:dyDescent="0.2">
      <c r="A238" s="54" t="s">
        <v>25</v>
      </c>
      <c r="B238" s="45">
        <v>0</v>
      </c>
      <c r="C238" s="45">
        <v>0</v>
      </c>
      <c r="D238" s="45">
        <v>152.92773599999998</v>
      </c>
      <c r="E238" s="45">
        <v>232.2259735996617</v>
      </c>
      <c r="F238" s="45">
        <v>135.26450399999999</v>
      </c>
      <c r="G238" s="45">
        <v>136.69462373053301</v>
      </c>
      <c r="H238" s="46">
        <v>0.5185340453850813</v>
      </c>
      <c r="I238" s="46">
        <v>1.057276438564414E-2</v>
      </c>
      <c r="J238" s="46">
        <v>0.28011981630801275</v>
      </c>
    </row>
    <row r="239" spans="1:10" ht="11.25" customHeight="1" x14ac:dyDescent="0.2">
      <c r="A239" s="55">
        <v>44501</v>
      </c>
      <c r="B239" s="45">
        <v>0</v>
      </c>
      <c r="C239" s="45">
        <v>0</v>
      </c>
      <c r="D239" s="45">
        <v>2.2951239999999999</v>
      </c>
      <c r="E239" s="45">
        <v>3.4852239323803889</v>
      </c>
      <c r="F239" s="45">
        <v>2.030036</v>
      </c>
      <c r="G239" s="45">
        <v>2.0514990923223753</v>
      </c>
      <c r="H239" s="46">
        <v>0.51853404538508108</v>
      </c>
      <c r="I239" s="46">
        <v>1.057276438564414E-2</v>
      </c>
      <c r="J239" s="46">
        <v>0.28011981630801275</v>
      </c>
    </row>
    <row r="240" spans="1:10" ht="11.25" customHeight="1" x14ac:dyDescent="0.2">
      <c r="A240" s="55">
        <v>44621</v>
      </c>
      <c r="B240" s="45">
        <v>0</v>
      </c>
      <c r="C240" s="45">
        <v>0</v>
      </c>
      <c r="D240" s="45">
        <v>113.306648</v>
      </c>
      <c r="E240" s="45">
        <v>172.06000255646339</v>
      </c>
      <c r="F240" s="45">
        <v>100.219672</v>
      </c>
      <c r="G240" s="45">
        <v>101.27927097886253</v>
      </c>
      <c r="H240" s="46">
        <v>0.51853404538508108</v>
      </c>
      <c r="I240" s="46">
        <v>1.0572764385643918E-2</v>
      </c>
      <c r="J240" s="46">
        <v>0.28011981630801253</v>
      </c>
    </row>
    <row r="241" spans="1:10" ht="11.25" customHeight="1" x14ac:dyDescent="0.2">
      <c r="A241" s="55">
        <v>44652</v>
      </c>
      <c r="B241" s="45">
        <v>0</v>
      </c>
      <c r="C241" s="45">
        <v>0</v>
      </c>
      <c r="D241" s="45">
        <v>37.325963999999999</v>
      </c>
      <c r="E241" s="45">
        <v>56.680747110817904</v>
      </c>
      <c r="F241" s="45">
        <v>33.014796000000004</v>
      </c>
      <c r="G241" s="45">
        <v>33.363853659348102</v>
      </c>
      <c r="H241" s="46">
        <v>0.51853404538508108</v>
      </c>
      <c r="I241" s="46">
        <v>1.0572764385643918E-2</v>
      </c>
      <c r="J241" s="46">
        <v>0.28011981630801253</v>
      </c>
    </row>
    <row r="242" spans="1:10" ht="11.25" customHeight="1" x14ac:dyDescent="0.2">
      <c r="A242" s="51" t="s">
        <v>52</v>
      </c>
      <c r="B242" s="45">
        <v>0</v>
      </c>
      <c r="C242" s="45">
        <v>0</v>
      </c>
      <c r="D242" s="45">
        <v>5897.8647000000001</v>
      </c>
      <c r="E242" s="45">
        <v>8956.1083420248669</v>
      </c>
      <c r="F242" s="45">
        <v>5216.6583000000019</v>
      </c>
      <c r="G242" s="45">
        <v>5271.8127990863131</v>
      </c>
      <c r="H242" s="46">
        <v>0.51853404538508086</v>
      </c>
      <c r="I242" s="46">
        <v>1.0572764385643474E-2</v>
      </c>
      <c r="J242" s="46">
        <v>0.2801198163080123</v>
      </c>
    </row>
    <row r="243" spans="1:10" ht="11.25" customHeight="1" x14ac:dyDescent="0.2">
      <c r="A243" s="52" t="s">
        <v>51</v>
      </c>
      <c r="B243" s="45">
        <v>0</v>
      </c>
      <c r="C243" s="45">
        <v>0</v>
      </c>
      <c r="D243" s="45">
        <v>3946.4053200000003</v>
      </c>
      <c r="E243" s="45">
        <v>5992.7508353088051</v>
      </c>
      <c r="F243" s="45">
        <v>3490.59348</v>
      </c>
      <c r="G243" s="45">
        <v>3527.4987024301045</v>
      </c>
      <c r="H243" s="46">
        <v>0.51853404538508086</v>
      </c>
      <c r="I243" s="46">
        <v>1.0572764385643696E-2</v>
      </c>
      <c r="J243" s="46">
        <v>0.28011981630801253</v>
      </c>
    </row>
    <row r="244" spans="1:10" ht="11.25" customHeight="1" x14ac:dyDescent="0.2">
      <c r="A244" s="53" t="s">
        <v>25</v>
      </c>
      <c r="B244" s="45">
        <v>0</v>
      </c>
      <c r="C244" s="45">
        <v>0</v>
      </c>
      <c r="D244" s="45">
        <v>3946.4053200000003</v>
      </c>
      <c r="E244" s="45">
        <v>5992.7508353088051</v>
      </c>
      <c r="F244" s="45">
        <v>3490.59348</v>
      </c>
      <c r="G244" s="45">
        <v>3527.4987024301045</v>
      </c>
      <c r="H244" s="46">
        <v>0.51853404538508086</v>
      </c>
      <c r="I244" s="46">
        <v>1.0572764385643696E-2</v>
      </c>
      <c r="J244" s="46">
        <v>0.28011981630801253</v>
      </c>
    </row>
    <row r="245" spans="1:10" ht="11.25" customHeight="1" x14ac:dyDescent="0.2">
      <c r="A245" s="54" t="s">
        <v>25</v>
      </c>
      <c r="B245" s="45">
        <v>0</v>
      </c>
      <c r="C245" s="45">
        <v>0</v>
      </c>
      <c r="D245" s="45">
        <v>3946.4053200000003</v>
      </c>
      <c r="E245" s="45">
        <v>5992.7508353088051</v>
      </c>
      <c r="F245" s="45">
        <v>3490.59348</v>
      </c>
      <c r="G245" s="45">
        <v>3527.4987024301045</v>
      </c>
      <c r="H245" s="46">
        <v>0.51853404538508086</v>
      </c>
      <c r="I245" s="46">
        <v>1.0572764385643696E-2</v>
      </c>
      <c r="J245" s="46">
        <v>0.28011981630801253</v>
      </c>
    </row>
    <row r="246" spans="1:10" ht="11.25" customHeight="1" x14ac:dyDescent="0.2">
      <c r="A246" s="55">
        <v>44409</v>
      </c>
      <c r="B246" s="45">
        <v>0</v>
      </c>
      <c r="C246" s="45">
        <v>0</v>
      </c>
      <c r="D246" s="45">
        <v>292.32632000000001</v>
      </c>
      <c r="E246" s="45">
        <v>443.90746928213372</v>
      </c>
      <c r="F246" s="45">
        <v>258.56247999999999</v>
      </c>
      <c r="G246" s="45">
        <v>261.29620018000782</v>
      </c>
      <c r="H246" s="46">
        <v>0.51853404538508108</v>
      </c>
      <c r="I246" s="46">
        <v>1.057276438564414E-2</v>
      </c>
      <c r="J246" s="46">
        <v>0.28011981630801275</v>
      </c>
    </row>
    <row r="247" spans="1:10" ht="11.25" customHeight="1" x14ac:dyDescent="0.2">
      <c r="A247" s="55">
        <v>44440</v>
      </c>
      <c r="B247" s="45">
        <v>0</v>
      </c>
      <c r="C247" s="45">
        <v>0</v>
      </c>
      <c r="D247" s="45">
        <v>257.29548</v>
      </c>
      <c r="E247" s="45">
        <v>390.71194610369622</v>
      </c>
      <c r="F247" s="45">
        <v>227.57772</v>
      </c>
      <c r="G247" s="45">
        <v>229.98384561298207</v>
      </c>
      <c r="H247" s="46">
        <v>0.51853404538508108</v>
      </c>
      <c r="I247" s="46">
        <v>1.0572764385643918E-2</v>
      </c>
      <c r="J247" s="46">
        <v>0.28011981630801275</v>
      </c>
    </row>
    <row r="248" spans="1:10" ht="11.25" customHeight="1" x14ac:dyDescent="0.2">
      <c r="A248" s="55">
        <v>44470</v>
      </c>
      <c r="B248" s="45">
        <v>0</v>
      </c>
      <c r="C248" s="45">
        <v>0</v>
      </c>
      <c r="D248" s="45">
        <v>422.786</v>
      </c>
      <c r="E248" s="45">
        <v>642.01493491217684</v>
      </c>
      <c r="F248" s="45">
        <v>373.95400000000001</v>
      </c>
      <c r="G248" s="45">
        <v>377.90772753306914</v>
      </c>
      <c r="H248" s="46">
        <v>0.51853404538508086</v>
      </c>
      <c r="I248" s="46">
        <v>1.0572764385643918E-2</v>
      </c>
      <c r="J248" s="46">
        <v>0.28011981630801275</v>
      </c>
    </row>
    <row r="249" spans="1:10" ht="11.25" customHeight="1" x14ac:dyDescent="0.2">
      <c r="A249" s="55">
        <v>44501</v>
      </c>
      <c r="B249" s="45">
        <v>0</v>
      </c>
      <c r="C249" s="45">
        <v>0</v>
      </c>
      <c r="D249" s="45">
        <v>157.33679000000001</v>
      </c>
      <c r="E249" s="45">
        <v>238.92127220660299</v>
      </c>
      <c r="F249" s="45">
        <v>139.16431</v>
      </c>
      <c r="G249" s="45">
        <v>140.63566146052074</v>
      </c>
      <c r="H249" s="46">
        <v>0.51853404538508108</v>
      </c>
      <c r="I249" s="46">
        <v>1.057276438564414E-2</v>
      </c>
      <c r="J249" s="46">
        <v>0.28011981630801275</v>
      </c>
    </row>
    <row r="250" spans="1:10" ht="11.25" customHeight="1" x14ac:dyDescent="0.2">
      <c r="A250" s="55">
        <v>44531</v>
      </c>
      <c r="B250" s="45">
        <v>0</v>
      </c>
      <c r="C250" s="45">
        <v>0</v>
      </c>
      <c r="D250" s="45">
        <v>388.05714999999998</v>
      </c>
      <c r="E250" s="45">
        <v>589.27799383010517</v>
      </c>
      <c r="F250" s="45">
        <v>343.23635000000002</v>
      </c>
      <c r="G250" s="45">
        <v>346.86530705713841</v>
      </c>
      <c r="H250" s="46">
        <v>0.51853404538508108</v>
      </c>
      <c r="I250" s="46">
        <v>1.0572764385643918E-2</v>
      </c>
      <c r="J250" s="46">
        <v>0.28011981630801275</v>
      </c>
    </row>
    <row r="251" spans="1:10" ht="11.25" customHeight="1" x14ac:dyDescent="0.2">
      <c r="A251" s="55">
        <v>44562</v>
      </c>
      <c r="B251" s="45">
        <v>0</v>
      </c>
      <c r="C251" s="45">
        <v>0</v>
      </c>
      <c r="D251" s="45">
        <v>474.12430000000001</v>
      </c>
      <c r="E251" s="45">
        <v>719.97389129436988</v>
      </c>
      <c r="F251" s="45">
        <v>419.36270000000002</v>
      </c>
      <c r="G251" s="45">
        <v>423.79652301922755</v>
      </c>
      <c r="H251" s="46">
        <v>0.5185340453850813</v>
      </c>
      <c r="I251" s="46">
        <v>1.057276438564414E-2</v>
      </c>
      <c r="J251" s="46">
        <v>0.28011981630801275</v>
      </c>
    </row>
    <row r="252" spans="1:10" ht="11.25" customHeight="1" x14ac:dyDescent="0.2">
      <c r="A252" s="55">
        <v>44593</v>
      </c>
      <c r="B252" s="45">
        <v>0</v>
      </c>
      <c r="C252" s="45">
        <v>0</v>
      </c>
      <c r="D252" s="45">
        <v>489.52579000000003</v>
      </c>
      <c r="E252" s="45">
        <v>743.3615782090277</v>
      </c>
      <c r="F252" s="45">
        <v>432.98531000000003</v>
      </c>
      <c r="G252" s="45">
        <v>437.56316166507503</v>
      </c>
      <c r="H252" s="46">
        <v>0.51853404538508108</v>
      </c>
      <c r="I252" s="46">
        <v>1.0572764385643918E-2</v>
      </c>
      <c r="J252" s="46">
        <v>0.28011981630801253</v>
      </c>
    </row>
    <row r="253" spans="1:10" ht="11.25" customHeight="1" x14ac:dyDescent="0.2">
      <c r="A253" s="55">
        <v>44621</v>
      </c>
      <c r="B253" s="45">
        <v>0</v>
      </c>
      <c r="C253" s="45">
        <v>0</v>
      </c>
      <c r="D253" s="45">
        <v>273.90493000000004</v>
      </c>
      <c r="E253" s="45">
        <v>415.93396140381748</v>
      </c>
      <c r="F253" s="45">
        <v>242.26877000000002</v>
      </c>
      <c r="G253" s="45">
        <v>244.83022062320981</v>
      </c>
      <c r="H253" s="46">
        <v>0.51853404538508086</v>
      </c>
      <c r="I253" s="46">
        <v>1.057276438564414E-2</v>
      </c>
      <c r="J253" s="46">
        <v>0.28011981630801275</v>
      </c>
    </row>
    <row r="254" spans="1:10" ht="11.25" customHeight="1" x14ac:dyDescent="0.2">
      <c r="A254" s="55">
        <v>44652</v>
      </c>
      <c r="B254" s="45">
        <v>0</v>
      </c>
      <c r="C254" s="45">
        <v>0</v>
      </c>
      <c r="D254" s="45">
        <v>326.45119</v>
      </c>
      <c r="E254" s="45">
        <v>495.72724617147372</v>
      </c>
      <c r="F254" s="45">
        <v>288.74590999999998</v>
      </c>
      <c r="G254" s="45">
        <v>291.79875247374838</v>
      </c>
      <c r="H254" s="46">
        <v>0.51853404538508108</v>
      </c>
      <c r="I254" s="46">
        <v>1.057276438564414E-2</v>
      </c>
      <c r="J254" s="46">
        <v>0.28011981630801275</v>
      </c>
    </row>
    <row r="255" spans="1:10" ht="11.25" customHeight="1" x14ac:dyDescent="0.2">
      <c r="A255" s="55">
        <v>44682</v>
      </c>
      <c r="B255" s="45">
        <v>0</v>
      </c>
      <c r="C255" s="45">
        <v>0</v>
      </c>
      <c r="D255" s="45">
        <v>354.23427000000004</v>
      </c>
      <c r="E255" s="45">
        <v>537.91679903713111</v>
      </c>
      <c r="F255" s="45">
        <v>313.32003000000003</v>
      </c>
      <c r="G255" s="45">
        <v>316.63268885449293</v>
      </c>
      <c r="H255" s="46">
        <v>0.51853404538508108</v>
      </c>
      <c r="I255" s="46">
        <v>1.0572764385643918E-2</v>
      </c>
      <c r="J255" s="46">
        <v>0.28011981630801275</v>
      </c>
    </row>
    <row r="256" spans="1:10" ht="11.25" customHeight="1" x14ac:dyDescent="0.2">
      <c r="A256" s="55">
        <v>44713</v>
      </c>
      <c r="B256" s="45">
        <v>0</v>
      </c>
      <c r="C256" s="45">
        <v>0</v>
      </c>
      <c r="D256" s="45">
        <v>287.79647</v>
      </c>
      <c r="E256" s="45">
        <v>437.02873783664609</v>
      </c>
      <c r="F256" s="45">
        <v>254.55583000000001</v>
      </c>
      <c r="G256" s="45">
        <v>257.24718881358206</v>
      </c>
      <c r="H256" s="46">
        <v>0.51853404538508086</v>
      </c>
      <c r="I256" s="46">
        <v>1.0572764385643918E-2</v>
      </c>
      <c r="J256" s="46">
        <v>0.28011981630801253</v>
      </c>
    </row>
    <row r="257" spans="1:10" ht="11.25" customHeight="1" x14ac:dyDescent="0.2">
      <c r="A257" s="55">
        <v>44743</v>
      </c>
      <c r="B257" s="45">
        <v>0</v>
      </c>
      <c r="C257" s="45">
        <v>0</v>
      </c>
      <c r="D257" s="45">
        <v>222.56663</v>
      </c>
      <c r="E257" s="45">
        <v>337.97500502162455</v>
      </c>
      <c r="F257" s="45">
        <v>196.86007000000001</v>
      </c>
      <c r="G257" s="45">
        <v>198.9414251370514</v>
      </c>
      <c r="H257" s="46">
        <v>0.51853404538508108</v>
      </c>
      <c r="I257" s="46">
        <v>1.0572764385643918E-2</v>
      </c>
      <c r="J257" s="46">
        <v>0.28011981630801253</v>
      </c>
    </row>
    <row r="258" spans="1:10" ht="11.25" customHeight="1" x14ac:dyDescent="0.2">
      <c r="A258" s="52" t="s">
        <v>53</v>
      </c>
      <c r="B258" s="45">
        <v>0</v>
      </c>
      <c r="C258" s="45">
        <v>0</v>
      </c>
      <c r="D258" s="45">
        <v>1951.4593800000002</v>
      </c>
      <c r="E258" s="45">
        <v>2963.3575067160623</v>
      </c>
      <c r="F258" s="45">
        <v>1726.0648200000001</v>
      </c>
      <c r="G258" s="45">
        <v>1744.3140966562091</v>
      </c>
      <c r="H258" s="46">
        <v>0.51853404538508086</v>
      </c>
      <c r="I258" s="46">
        <v>1.057276438564414E-2</v>
      </c>
      <c r="J258" s="46">
        <v>0.28011981630801253</v>
      </c>
    </row>
    <row r="259" spans="1:10" ht="11.25" customHeight="1" x14ac:dyDescent="0.2">
      <c r="A259" s="53" t="s">
        <v>25</v>
      </c>
      <c r="B259" s="45">
        <v>0</v>
      </c>
      <c r="C259" s="45">
        <v>0</v>
      </c>
      <c r="D259" s="45">
        <v>1951.4593800000002</v>
      </c>
      <c r="E259" s="45">
        <v>2963.3575067160623</v>
      </c>
      <c r="F259" s="45">
        <v>1726.0648200000001</v>
      </c>
      <c r="G259" s="45">
        <v>1744.3140966562091</v>
      </c>
      <c r="H259" s="46">
        <v>0.51853404538508086</v>
      </c>
      <c r="I259" s="46">
        <v>1.057276438564414E-2</v>
      </c>
      <c r="J259" s="46">
        <v>0.28011981630801253</v>
      </c>
    </row>
    <row r="260" spans="1:10" ht="11.25" customHeight="1" x14ac:dyDescent="0.2">
      <c r="A260" s="54" t="s">
        <v>25</v>
      </c>
      <c r="B260" s="45">
        <v>0</v>
      </c>
      <c r="C260" s="45">
        <v>0</v>
      </c>
      <c r="D260" s="45">
        <v>1951.4593800000002</v>
      </c>
      <c r="E260" s="45">
        <v>2963.3575067160623</v>
      </c>
      <c r="F260" s="45">
        <v>1726.0648200000001</v>
      </c>
      <c r="G260" s="45">
        <v>1744.3140966562091</v>
      </c>
      <c r="H260" s="46">
        <v>0.51853404538508086</v>
      </c>
      <c r="I260" s="46">
        <v>1.057276438564414E-2</v>
      </c>
      <c r="J260" s="46">
        <v>0.28011981630801253</v>
      </c>
    </row>
    <row r="261" spans="1:10" ht="11.25" customHeight="1" x14ac:dyDescent="0.2">
      <c r="A261" s="55">
        <v>44409</v>
      </c>
      <c r="B261" s="45">
        <v>0</v>
      </c>
      <c r="C261" s="45">
        <v>0</v>
      </c>
      <c r="D261" s="45">
        <v>240.625632</v>
      </c>
      <c r="E261" s="45">
        <v>365.39821438430181</v>
      </c>
      <c r="F261" s="45">
        <v>212.833248</v>
      </c>
      <c r="G261" s="45">
        <v>215.08348378453533</v>
      </c>
      <c r="H261" s="46">
        <v>0.51853404538508108</v>
      </c>
      <c r="I261" s="46">
        <v>1.0572764385643918E-2</v>
      </c>
      <c r="J261" s="46">
        <v>0.28011981630801253</v>
      </c>
    </row>
    <row r="262" spans="1:10" ht="11.25" customHeight="1" x14ac:dyDescent="0.2">
      <c r="A262" s="55">
        <v>44440</v>
      </c>
      <c r="B262" s="45">
        <v>0</v>
      </c>
      <c r="C262" s="45">
        <v>0</v>
      </c>
      <c r="D262" s="45">
        <v>243.041552</v>
      </c>
      <c r="E262" s="45">
        <v>369.06687115522851</v>
      </c>
      <c r="F262" s="45">
        <v>214.97012799999999</v>
      </c>
      <c r="G262" s="45">
        <v>217.24295651329572</v>
      </c>
      <c r="H262" s="46">
        <v>0.51853404538508108</v>
      </c>
      <c r="I262" s="46">
        <v>1.0572764385643918E-2</v>
      </c>
      <c r="J262" s="46">
        <v>0.28011981630801275</v>
      </c>
    </row>
    <row r="263" spans="1:10" ht="11.25" customHeight="1" x14ac:dyDescent="0.2">
      <c r="A263" s="55">
        <v>44470</v>
      </c>
      <c r="B263" s="45">
        <v>0</v>
      </c>
      <c r="C263" s="45">
        <v>0</v>
      </c>
      <c r="D263" s="45">
        <v>208.85628400000002</v>
      </c>
      <c r="E263" s="45">
        <v>317.15537784661541</v>
      </c>
      <c r="F263" s="45">
        <v>184.73327600000002</v>
      </c>
      <c r="G263" s="45">
        <v>186.68641740133614</v>
      </c>
      <c r="H263" s="46">
        <v>0.51853404538508108</v>
      </c>
      <c r="I263" s="46">
        <v>1.0572764385643918E-2</v>
      </c>
      <c r="J263" s="46">
        <v>0.28011981630801275</v>
      </c>
    </row>
    <row r="264" spans="1:10" ht="11.25" customHeight="1" x14ac:dyDescent="0.2">
      <c r="A264" s="55">
        <v>44501</v>
      </c>
      <c r="B264" s="45">
        <v>0</v>
      </c>
      <c r="C264" s="45">
        <v>0</v>
      </c>
      <c r="D264" s="45">
        <v>110.165952</v>
      </c>
      <c r="E264" s="45">
        <v>167.29074875425866</v>
      </c>
      <c r="F264" s="45">
        <v>97.441728000000012</v>
      </c>
      <c r="G264" s="45">
        <v>98.471956431474013</v>
      </c>
      <c r="H264" s="46">
        <v>0.51853404538508108</v>
      </c>
      <c r="I264" s="46">
        <v>1.0572764385643918E-2</v>
      </c>
      <c r="J264" s="46">
        <v>0.28011981630801253</v>
      </c>
    </row>
    <row r="265" spans="1:10" ht="11.25" customHeight="1" x14ac:dyDescent="0.2">
      <c r="A265" s="55">
        <v>44531</v>
      </c>
      <c r="B265" s="45">
        <v>0</v>
      </c>
      <c r="C265" s="45">
        <v>0</v>
      </c>
      <c r="D265" s="45">
        <v>184.93867600000002</v>
      </c>
      <c r="E265" s="45">
        <v>280.83567581444083</v>
      </c>
      <c r="F265" s="45">
        <v>163.57816400000002</v>
      </c>
      <c r="G265" s="45">
        <v>165.30763738660826</v>
      </c>
      <c r="H265" s="46">
        <v>0.51853404538508108</v>
      </c>
      <c r="I265" s="46">
        <v>1.057276438564414E-2</v>
      </c>
      <c r="J265" s="46">
        <v>0.28011981630801275</v>
      </c>
    </row>
    <row r="266" spans="1:10" ht="11.25" customHeight="1" x14ac:dyDescent="0.2">
      <c r="A266" s="55">
        <v>44562</v>
      </c>
      <c r="B266" s="45">
        <v>0</v>
      </c>
      <c r="C266" s="45">
        <v>0</v>
      </c>
      <c r="D266" s="45">
        <v>157.27639200000002</v>
      </c>
      <c r="E266" s="45">
        <v>238.82955578732984</v>
      </c>
      <c r="F266" s="45">
        <v>139.11088800000002</v>
      </c>
      <c r="G266" s="45">
        <v>140.58167464230172</v>
      </c>
      <c r="H266" s="46">
        <v>0.51853404538508108</v>
      </c>
      <c r="I266" s="46">
        <v>1.0572764385643918E-2</v>
      </c>
      <c r="J266" s="46">
        <v>0.28011981630801275</v>
      </c>
    </row>
    <row r="267" spans="1:10" ht="11.25" customHeight="1" x14ac:dyDescent="0.2">
      <c r="A267" s="55">
        <v>44593</v>
      </c>
      <c r="B267" s="45">
        <v>0</v>
      </c>
      <c r="C267" s="45">
        <v>0</v>
      </c>
      <c r="D267" s="45">
        <v>138.67380800000001</v>
      </c>
      <c r="E267" s="45">
        <v>210.58089865119402</v>
      </c>
      <c r="F267" s="45">
        <v>122.65691200000001</v>
      </c>
      <c r="G267" s="45">
        <v>123.95373463084668</v>
      </c>
      <c r="H267" s="46">
        <v>0.51853404538508108</v>
      </c>
      <c r="I267" s="46">
        <v>1.057276438564414E-2</v>
      </c>
      <c r="J267" s="46">
        <v>0.28011981630801253</v>
      </c>
    </row>
    <row r="268" spans="1:10" ht="11.25" customHeight="1" x14ac:dyDescent="0.2">
      <c r="A268" s="55">
        <v>44621</v>
      </c>
      <c r="B268" s="45">
        <v>0</v>
      </c>
      <c r="C268" s="45">
        <v>0</v>
      </c>
      <c r="D268" s="45">
        <v>88.664264000000017</v>
      </c>
      <c r="E268" s="45">
        <v>134.63970349301081</v>
      </c>
      <c r="F268" s="45">
        <v>78.423496000000014</v>
      </c>
      <c r="G268" s="45">
        <v>79.25264914550651</v>
      </c>
      <c r="H268" s="46">
        <v>0.51853404538508086</v>
      </c>
      <c r="I268" s="46">
        <v>1.0572764385643918E-2</v>
      </c>
      <c r="J268" s="46">
        <v>0.28011981630801253</v>
      </c>
    </row>
    <row r="269" spans="1:10" ht="11.25" customHeight="1" x14ac:dyDescent="0.2">
      <c r="A269" s="55">
        <v>44652</v>
      </c>
      <c r="B269" s="45">
        <v>0</v>
      </c>
      <c r="C269" s="45">
        <v>0</v>
      </c>
      <c r="D269" s="45">
        <v>107.870828</v>
      </c>
      <c r="E269" s="45">
        <v>163.80552482187829</v>
      </c>
      <c r="F269" s="45">
        <v>95.411692000000016</v>
      </c>
      <c r="G269" s="45">
        <v>96.420457339151639</v>
      </c>
      <c r="H269" s="46">
        <v>0.5185340453850813</v>
      </c>
      <c r="I269" s="46">
        <v>1.0572764385643918E-2</v>
      </c>
      <c r="J269" s="46">
        <v>0.28011981630801253</v>
      </c>
    </row>
    <row r="270" spans="1:10" ht="11.25" customHeight="1" x14ac:dyDescent="0.2">
      <c r="A270" s="55">
        <v>44682</v>
      </c>
      <c r="B270" s="45">
        <v>0</v>
      </c>
      <c r="C270" s="45">
        <v>0</v>
      </c>
      <c r="D270" s="45">
        <v>185.30106400000003</v>
      </c>
      <c r="E270" s="45">
        <v>281.38597433007982</v>
      </c>
      <c r="F270" s="45">
        <v>163.89869600000003</v>
      </c>
      <c r="G270" s="45">
        <v>165.6315582959223</v>
      </c>
      <c r="H270" s="46">
        <v>0.51853404538508086</v>
      </c>
      <c r="I270" s="46">
        <v>1.0572764385643918E-2</v>
      </c>
      <c r="J270" s="46">
        <v>0.2801198163080123</v>
      </c>
    </row>
    <row r="271" spans="1:10" ht="11.25" customHeight="1" x14ac:dyDescent="0.2">
      <c r="A271" s="55">
        <v>44713</v>
      </c>
      <c r="B271" s="45">
        <v>0</v>
      </c>
      <c r="C271" s="45">
        <v>0</v>
      </c>
      <c r="D271" s="45">
        <v>177.93250799999998</v>
      </c>
      <c r="E271" s="45">
        <v>270.19657117875329</v>
      </c>
      <c r="F271" s="45">
        <v>157.381212</v>
      </c>
      <c r="G271" s="45">
        <v>159.04516647320307</v>
      </c>
      <c r="H271" s="46">
        <v>0.51853404538508108</v>
      </c>
      <c r="I271" s="46">
        <v>1.0572764385643918E-2</v>
      </c>
      <c r="J271" s="46">
        <v>0.28011981630801253</v>
      </c>
    </row>
    <row r="272" spans="1:10" ht="11.25" customHeight="1" x14ac:dyDescent="0.2">
      <c r="A272" s="55">
        <v>44743</v>
      </c>
      <c r="B272" s="45">
        <v>0</v>
      </c>
      <c r="C272" s="45">
        <v>0</v>
      </c>
      <c r="D272" s="45">
        <v>108.11242</v>
      </c>
      <c r="E272" s="45">
        <v>164.17239049897094</v>
      </c>
      <c r="F272" s="45">
        <v>95.625380000000007</v>
      </c>
      <c r="G272" s="45">
        <v>96.636404612027675</v>
      </c>
      <c r="H272" s="46">
        <v>0.51853404538508108</v>
      </c>
      <c r="I272" s="46">
        <v>1.0572764385643918E-2</v>
      </c>
      <c r="J272" s="46">
        <v>0.28011981630801275</v>
      </c>
    </row>
    <row r="273" spans="1:10" ht="11.25" customHeight="1" x14ac:dyDescent="0.2">
      <c r="A273" s="51" t="s">
        <v>25</v>
      </c>
      <c r="B273" s="45">
        <v>0</v>
      </c>
      <c r="C273" s="45">
        <v>0</v>
      </c>
      <c r="D273" s="45">
        <v>930036.48907000013</v>
      </c>
      <c r="E273" s="45">
        <v>1412292.0721032049</v>
      </c>
      <c r="F273" s="45">
        <v>822616.79723000014</v>
      </c>
      <c r="G273" s="45">
        <v>831314.13080678589</v>
      </c>
      <c r="H273" s="46">
        <v>0.51853404538508108</v>
      </c>
      <c r="I273" s="46">
        <v>1.057276438564414E-2</v>
      </c>
      <c r="J273" s="46">
        <v>0.28011981630801297</v>
      </c>
    </row>
    <row r="274" spans="1:10" ht="11.25" customHeight="1" x14ac:dyDescent="0.2">
      <c r="A274" s="52" t="s">
        <v>25</v>
      </c>
      <c r="B274" s="45">
        <v>0</v>
      </c>
      <c r="C274" s="45">
        <v>0</v>
      </c>
      <c r="D274" s="45">
        <v>930036.48907000013</v>
      </c>
      <c r="E274" s="45">
        <v>1412292.0721032049</v>
      </c>
      <c r="F274" s="45">
        <v>822616.79723000014</v>
      </c>
      <c r="G274" s="45">
        <v>831314.13080678589</v>
      </c>
      <c r="H274" s="46">
        <v>0.51853404538508108</v>
      </c>
      <c r="I274" s="46">
        <v>1.057276438564414E-2</v>
      </c>
      <c r="J274" s="46">
        <v>0.28011981630801297</v>
      </c>
    </row>
    <row r="275" spans="1:10" ht="11.25" customHeight="1" x14ac:dyDescent="0.2">
      <c r="A275" s="53" t="s">
        <v>25</v>
      </c>
      <c r="B275" s="45">
        <v>0</v>
      </c>
      <c r="C275" s="45">
        <v>0</v>
      </c>
      <c r="D275" s="45">
        <v>930036.48907000013</v>
      </c>
      <c r="E275" s="45">
        <v>1412292.0721032049</v>
      </c>
      <c r="F275" s="45">
        <v>822616.79723000014</v>
      </c>
      <c r="G275" s="45">
        <v>831314.13080678589</v>
      </c>
      <c r="H275" s="46">
        <v>0.51853404538508108</v>
      </c>
      <c r="I275" s="46">
        <v>1.057276438564414E-2</v>
      </c>
      <c r="J275" s="46">
        <v>0.28011981630801297</v>
      </c>
    </row>
    <row r="276" spans="1:10" ht="11.25" customHeight="1" x14ac:dyDescent="0.2">
      <c r="A276" s="54" t="s">
        <v>25</v>
      </c>
      <c r="B276" s="45">
        <v>0</v>
      </c>
      <c r="C276" s="45">
        <v>0</v>
      </c>
      <c r="D276" s="45">
        <v>930036.48907000013</v>
      </c>
      <c r="E276" s="45">
        <v>1412292.0721032049</v>
      </c>
      <c r="F276" s="45">
        <v>822616.79723000014</v>
      </c>
      <c r="G276" s="45">
        <v>831314.13080678589</v>
      </c>
      <c r="H276" s="46">
        <v>0.51853404538508108</v>
      </c>
      <c r="I276" s="46">
        <v>1.057276438564414E-2</v>
      </c>
      <c r="J276" s="46">
        <v>0.28011981630801297</v>
      </c>
    </row>
    <row r="277" spans="1:10" ht="11.25" customHeight="1" x14ac:dyDescent="0.2">
      <c r="A277" s="55">
        <v>44409</v>
      </c>
      <c r="B277" s="45">
        <v>0</v>
      </c>
      <c r="C277" s="45">
        <v>0</v>
      </c>
      <c r="D277" s="45">
        <v>62134.442500000005</v>
      </c>
      <c r="E277" s="45">
        <v>94353.266327271718</v>
      </c>
      <c r="F277" s="45">
        <v>54957.882500000007</v>
      </c>
      <c r="G277" s="45">
        <v>55538.939242806409</v>
      </c>
      <c r="H277" s="46">
        <v>0.51853404538508108</v>
      </c>
      <c r="I277" s="46">
        <v>1.0572764385643918E-2</v>
      </c>
      <c r="J277" s="46">
        <v>0.28011981630801275</v>
      </c>
    </row>
    <row r="278" spans="1:10" ht="11.25" customHeight="1" x14ac:dyDescent="0.2">
      <c r="A278" s="55">
        <v>44440</v>
      </c>
      <c r="B278" s="45">
        <v>0</v>
      </c>
      <c r="C278" s="45">
        <v>0</v>
      </c>
      <c r="D278" s="45">
        <v>71079.688290000006</v>
      </c>
      <c r="E278" s="45">
        <v>107936.92660372428</v>
      </c>
      <c r="F278" s="45">
        <v>62869.947809999998</v>
      </c>
      <c r="G278" s="45">
        <v>63534.656955132865</v>
      </c>
      <c r="H278" s="46">
        <v>0.51853404538508108</v>
      </c>
      <c r="I278" s="46">
        <v>1.057276438564414E-2</v>
      </c>
      <c r="J278" s="46">
        <v>0.28011981630801275</v>
      </c>
    </row>
    <row r="279" spans="1:10" ht="11.25" customHeight="1" x14ac:dyDescent="0.2">
      <c r="A279" s="55">
        <v>44470</v>
      </c>
      <c r="B279" s="45">
        <v>0</v>
      </c>
      <c r="C279" s="45">
        <v>0</v>
      </c>
      <c r="D279" s="45">
        <v>70627.609259999997</v>
      </c>
      <c r="E279" s="45">
        <v>107250.42920546462</v>
      </c>
      <c r="F279" s="45">
        <v>62470.084140000006</v>
      </c>
      <c r="G279" s="45">
        <v>63130.565620763584</v>
      </c>
      <c r="H279" s="46">
        <v>0.5185340453850813</v>
      </c>
      <c r="I279" s="46">
        <v>1.0572764385643918E-2</v>
      </c>
      <c r="J279" s="46">
        <v>0.28011981630801297</v>
      </c>
    </row>
    <row r="280" spans="1:10" ht="11.25" customHeight="1" x14ac:dyDescent="0.2">
      <c r="A280" s="55">
        <v>44501</v>
      </c>
      <c r="B280" s="45">
        <v>0</v>
      </c>
      <c r="C280" s="45">
        <v>0</v>
      </c>
      <c r="D280" s="45">
        <v>91024.315849999999</v>
      </c>
      <c r="E280" s="45">
        <v>138223.52257610986</v>
      </c>
      <c r="F280" s="45">
        <v>80510.960649999994</v>
      </c>
      <c r="G280" s="45">
        <v>81362.184067414302</v>
      </c>
      <c r="H280" s="46">
        <v>0.51853404538508108</v>
      </c>
      <c r="I280" s="46">
        <v>1.057276438564414E-2</v>
      </c>
      <c r="J280" s="46">
        <v>0.28011981630801297</v>
      </c>
    </row>
    <row r="281" spans="1:10" ht="11.25" customHeight="1" x14ac:dyDescent="0.2">
      <c r="A281" s="55">
        <v>44531</v>
      </c>
      <c r="B281" s="45">
        <v>0</v>
      </c>
      <c r="C281" s="45">
        <v>0</v>
      </c>
      <c r="D281" s="45">
        <v>115522.04664</v>
      </c>
      <c r="E281" s="45">
        <v>175424.16081540321</v>
      </c>
      <c r="F281" s="45">
        <v>102179.19096000001</v>
      </c>
      <c r="G281" s="45">
        <v>103259.50747113582</v>
      </c>
      <c r="H281" s="46">
        <v>0.51853404538508108</v>
      </c>
      <c r="I281" s="46">
        <v>1.057276438564414E-2</v>
      </c>
      <c r="J281" s="46">
        <v>0.28011981630801275</v>
      </c>
    </row>
    <row r="282" spans="1:10" ht="11.25" customHeight="1" x14ac:dyDescent="0.2">
      <c r="A282" s="55">
        <v>44562</v>
      </c>
      <c r="B282" s="45">
        <v>0</v>
      </c>
      <c r="C282" s="45">
        <v>0</v>
      </c>
      <c r="D282" s="45">
        <v>99273.77668000001</v>
      </c>
      <c r="E282" s="45">
        <v>150750.60970253553</v>
      </c>
      <c r="F282" s="45">
        <v>87807.604519999993</v>
      </c>
      <c r="G282" s="45">
        <v>88735.973633857779</v>
      </c>
      <c r="H282" s="46">
        <v>0.51853404538508086</v>
      </c>
      <c r="I282" s="46">
        <v>1.057276438564414E-2</v>
      </c>
      <c r="J282" s="46">
        <v>0.28011981630801253</v>
      </c>
    </row>
    <row r="283" spans="1:10" ht="11.25" customHeight="1" x14ac:dyDescent="0.2">
      <c r="A283" s="55">
        <v>44593</v>
      </c>
      <c r="B283" s="45">
        <v>0</v>
      </c>
      <c r="C283" s="45">
        <v>0</v>
      </c>
      <c r="D283" s="45">
        <v>95022.059470000007</v>
      </c>
      <c r="E283" s="45">
        <v>144294.23236780087</v>
      </c>
      <c r="F283" s="45">
        <v>84046.962830000004</v>
      </c>
      <c r="G283" s="45">
        <v>84935.571565330582</v>
      </c>
      <c r="H283" s="46">
        <v>0.51853404538508108</v>
      </c>
      <c r="I283" s="46">
        <v>1.057276438564414E-2</v>
      </c>
      <c r="J283" s="46">
        <v>0.28011981630801275</v>
      </c>
    </row>
    <row r="284" spans="1:10" ht="11.25" customHeight="1" x14ac:dyDescent="0.2">
      <c r="A284" s="55">
        <v>44621</v>
      </c>
      <c r="B284" s="45">
        <v>0</v>
      </c>
      <c r="C284" s="45">
        <v>0</v>
      </c>
      <c r="D284" s="45">
        <v>71681.252370000002</v>
      </c>
      <c r="E284" s="45">
        <v>108850.42213968505</v>
      </c>
      <c r="F284" s="45">
        <v>63402.030930000008</v>
      </c>
      <c r="G284" s="45">
        <v>64072.36566459421</v>
      </c>
      <c r="H284" s="46">
        <v>0.5185340453850813</v>
      </c>
      <c r="I284" s="46">
        <v>1.0572764385643918E-2</v>
      </c>
      <c r="J284" s="46">
        <v>0.28011981630801253</v>
      </c>
    </row>
    <row r="285" spans="1:10" ht="11.25" customHeight="1" x14ac:dyDescent="0.2">
      <c r="A285" s="55">
        <v>44652</v>
      </c>
      <c r="B285" s="45">
        <v>0</v>
      </c>
      <c r="C285" s="45">
        <v>0</v>
      </c>
      <c r="D285" s="45">
        <v>63725.325820000005</v>
      </c>
      <c r="E285" s="45">
        <v>96769.076810926956</v>
      </c>
      <c r="F285" s="45">
        <v>56365.017979999997</v>
      </c>
      <c r="G285" s="45">
        <v>56960.952034695132</v>
      </c>
      <c r="H285" s="46">
        <v>0.51853404538508086</v>
      </c>
      <c r="I285" s="46">
        <v>1.057276438564414E-2</v>
      </c>
      <c r="J285" s="46">
        <v>0.28011981630801275</v>
      </c>
    </row>
    <row r="286" spans="1:10" ht="11.25" customHeight="1" x14ac:dyDescent="0.2">
      <c r="A286" s="55">
        <v>44682</v>
      </c>
      <c r="B286" s="45">
        <v>0</v>
      </c>
      <c r="C286" s="45">
        <v>0</v>
      </c>
      <c r="D286" s="45">
        <v>58880.198260000005</v>
      </c>
      <c r="E286" s="45">
        <v>89411.585656833413</v>
      </c>
      <c r="F286" s="45">
        <v>52079.505140000008</v>
      </c>
      <c r="G286" s="45">
        <v>52630.129477166163</v>
      </c>
      <c r="H286" s="46">
        <v>0.51853404538508108</v>
      </c>
      <c r="I286" s="46">
        <v>1.0572764385643918E-2</v>
      </c>
      <c r="J286" s="46">
        <v>0.28011981630801275</v>
      </c>
    </row>
    <row r="287" spans="1:10" ht="11.25" customHeight="1" x14ac:dyDescent="0.2">
      <c r="A287" s="55">
        <v>44713</v>
      </c>
      <c r="B287" s="45">
        <v>0</v>
      </c>
      <c r="C287" s="45">
        <v>0</v>
      </c>
      <c r="D287" s="45">
        <v>64789.84057</v>
      </c>
      <c r="E287" s="45">
        <v>98385.578700616548</v>
      </c>
      <c r="F287" s="45">
        <v>57306.580730000001</v>
      </c>
      <c r="G287" s="45">
        <v>57912.469705805182</v>
      </c>
      <c r="H287" s="46">
        <v>0.51853404538508108</v>
      </c>
      <c r="I287" s="46">
        <v>1.057276438564414E-2</v>
      </c>
      <c r="J287" s="46">
        <v>0.28011981630801275</v>
      </c>
    </row>
    <row r="288" spans="1:10" ht="11.25" customHeight="1" x14ac:dyDescent="0.2">
      <c r="A288" s="55">
        <v>44743</v>
      </c>
      <c r="B288" s="45">
        <v>0</v>
      </c>
      <c r="C288" s="45">
        <v>0</v>
      </c>
      <c r="D288" s="45">
        <v>66275.933359999995</v>
      </c>
      <c r="E288" s="45">
        <v>100642.26119683284</v>
      </c>
      <c r="F288" s="45">
        <v>58621.029039999994</v>
      </c>
      <c r="G288" s="45">
        <v>59240.81536808391</v>
      </c>
      <c r="H288" s="46">
        <v>0.51853404538508108</v>
      </c>
      <c r="I288" s="46">
        <v>1.0572764385643918E-2</v>
      </c>
      <c r="J288" s="46">
        <v>0.28011981630801275</v>
      </c>
    </row>
    <row r="289" spans="1:10" ht="11.25" customHeight="1" x14ac:dyDescent="0.2">
      <c r="A289" s="48" t="s">
        <v>32</v>
      </c>
      <c r="B289" s="45">
        <v>0</v>
      </c>
      <c r="C289" s="45">
        <v>0</v>
      </c>
      <c r="D289" s="45">
        <v>2243689.5422691992</v>
      </c>
      <c r="E289" s="45">
        <v>3191378.1826181021</v>
      </c>
      <c r="F289" s="45">
        <v>1991731.9022903997</v>
      </c>
      <c r="G289" s="45">
        <v>1884284.453739523</v>
      </c>
      <c r="H289" s="46">
        <v>0.42237957725222541</v>
      </c>
      <c r="I289" s="46">
        <v>-5.3946742745505927E-2</v>
      </c>
      <c r="J289" s="46">
        <v>0.19838431730974881</v>
      </c>
    </row>
    <row r="290" spans="1:10" ht="11.25" customHeight="1" x14ac:dyDescent="0.2">
      <c r="A290" s="49" t="s">
        <v>38</v>
      </c>
      <c r="B290" s="45">
        <v>0</v>
      </c>
      <c r="C290" s="45">
        <v>0</v>
      </c>
      <c r="D290" s="45">
        <v>45743.770359999995</v>
      </c>
      <c r="E290" s="45">
        <v>66760.398799781586</v>
      </c>
      <c r="F290" s="45">
        <v>47609.573399999994</v>
      </c>
      <c r="G290" s="45">
        <v>45048.102869082308</v>
      </c>
      <c r="H290" s="46">
        <v>0.45944241750040105</v>
      </c>
      <c r="I290" s="46">
        <v>-5.3801585437387778E-2</v>
      </c>
      <c r="J290" s="46">
        <v>0.19769145019925438</v>
      </c>
    </row>
    <row r="291" spans="1:10" ht="11.25" customHeight="1" x14ac:dyDescent="0.2">
      <c r="A291" s="50" t="s">
        <v>40</v>
      </c>
      <c r="B291" s="45">
        <v>0</v>
      </c>
      <c r="C291" s="45">
        <v>0</v>
      </c>
      <c r="D291" s="45">
        <v>23743.173729999999</v>
      </c>
      <c r="E291" s="45">
        <v>33823.163459946896</v>
      </c>
      <c r="F291" s="45">
        <v>20983.212849999993</v>
      </c>
      <c r="G291" s="45">
        <v>19852.541949439208</v>
      </c>
      <c r="H291" s="46">
        <v>0.42454264305915501</v>
      </c>
      <c r="I291" s="46">
        <v>-5.3884546119961074E-2</v>
      </c>
      <c r="J291" s="46">
        <v>0.20009036082937048</v>
      </c>
    </row>
    <row r="292" spans="1:10" ht="11.25" customHeight="1" x14ac:dyDescent="0.2">
      <c r="A292" s="51" t="s">
        <v>25</v>
      </c>
      <c r="B292" s="45">
        <v>0</v>
      </c>
      <c r="C292" s="45">
        <v>0</v>
      </c>
      <c r="D292" s="45">
        <v>23743.173729999999</v>
      </c>
      <c r="E292" s="45">
        <v>33823.163459946896</v>
      </c>
      <c r="F292" s="45">
        <v>20983.212849999993</v>
      </c>
      <c r="G292" s="45">
        <v>19852.541949439208</v>
      </c>
      <c r="H292" s="46">
        <v>0.42454264305915501</v>
      </c>
      <c r="I292" s="46">
        <v>-5.3884546119961074E-2</v>
      </c>
      <c r="J292" s="46">
        <v>0.20009036082937048</v>
      </c>
    </row>
    <row r="293" spans="1:10" ht="11.25" customHeight="1" x14ac:dyDescent="0.2">
      <c r="A293" s="52" t="s">
        <v>25</v>
      </c>
      <c r="B293" s="45">
        <v>0</v>
      </c>
      <c r="C293" s="45">
        <v>0</v>
      </c>
      <c r="D293" s="45">
        <v>23743.173729999999</v>
      </c>
      <c r="E293" s="45">
        <v>33823.163459946896</v>
      </c>
      <c r="F293" s="45">
        <v>20983.212849999993</v>
      </c>
      <c r="G293" s="45">
        <v>19852.541949439208</v>
      </c>
      <c r="H293" s="46">
        <v>0.42454264305915501</v>
      </c>
      <c r="I293" s="46">
        <v>-5.3884546119961074E-2</v>
      </c>
      <c r="J293" s="46">
        <v>0.20009036082937048</v>
      </c>
    </row>
    <row r="294" spans="1:10" ht="11.25" customHeight="1" x14ac:dyDescent="0.2">
      <c r="A294" s="53" t="s">
        <v>25</v>
      </c>
      <c r="B294" s="45">
        <v>0</v>
      </c>
      <c r="C294" s="45">
        <v>0</v>
      </c>
      <c r="D294" s="45">
        <v>23743.173729999999</v>
      </c>
      <c r="E294" s="45">
        <v>33823.163459946896</v>
      </c>
      <c r="F294" s="45">
        <v>20983.212849999993</v>
      </c>
      <c r="G294" s="45">
        <v>19852.541949439208</v>
      </c>
      <c r="H294" s="46">
        <v>0.42454264305915501</v>
      </c>
      <c r="I294" s="46">
        <v>-5.3884546119961074E-2</v>
      </c>
      <c r="J294" s="46">
        <v>0.20009036082937048</v>
      </c>
    </row>
    <row r="295" spans="1:10" ht="11.25" customHeight="1" x14ac:dyDescent="0.2">
      <c r="A295" s="54" t="s">
        <v>37</v>
      </c>
      <c r="B295" s="45">
        <v>0</v>
      </c>
      <c r="C295" s="45">
        <v>0</v>
      </c>
      <c r="D295" s="45">
        <v>14120.13322</v>
      </c>
      <c r="E295" s="45">
        <v>21330.546398363469</v>
      </c>
      <c r="F295" s="45">
        <v>17963.219919999996</v>
      </c>
      <c r="G295" s="45">
        <v>16998.230352227067</v>
      </c>
      <c r="H295" s="46">
        <v>0.51064767350427798</v>
      </c>
      <c r="I295" s="46">
        <v>-5.3720300261899223E-2</v>
      </c>
      <c r="J295" s="46">
        <v>0.19466243392134852</v>
      </c>
    </row>
    <row r="296" spans="1:10" ht="11.25" customHeight="1" x14ac:dyDescent="0.2">
      <c r="A296" s="55">
        <v>44409</v>
      </c>
      <c r="B296" s="45">
        <v>0</v>
      </c>
      <c r="C296" s="45">
        <v>0</v>
      </c>
      <c r="D296" s="45">
        <v>1022.9105800000001</v>
      </c>
      <c r="E296" s="45">
        <v>1545.2574878799119</v>
      </c>
      <c r="F296" s="45">
        <v>1301.3168800000001</v>
      </c>
      <c r="G296" s="45">
        <v>1231.4097464705221</v>
      </c>
      <c r="H296" s="46">
        <v>0.5106476735042782</v>
      </c>
      <c r="I296" s="46">
        <v>-5.3720300261899334E-2</v>
      </c>
      <c r="J296" s="46">
        <v>0.19466243392134874</v>
      </c>
    </row>
    <row r="297" spans="1:10" ht="11.25" customHeight="1" x14ac:dyDescent="0.2">
      <c r="A297" s="55">
        <v>44440</v>
      </c>
      <c r="B297" s="45">
        <v>0</v>
      </c>
      <c r="C297" s="45">
        <v>0</v>
      </c>
      <c r="D297" s="45">
        <v>904.79574000000002</v>
      </c>
      <c r="E297" s="45">
        <v>1366.8275796275818</v>
      </c>
      <c r="F297" s="45">
        <v>1151.0546400000001</v>
      </c>
      <c r="G297" s="45">
        <v>1089.2196391213477</v>
      </c>
      <c r="H297" s="46">
        <v>0.5106476735042782</v>
      </c>
      <c r="I297" s="46">
        <v>-5.3720300261899334E-2</v>
      </c>
      <c r="J297" s="46">
        <v>0.19466243392134874</v>
      </c>
    </row>
    <row r="298" spans="1:10" ht="11.25" customHeight="1" x14ac:dyDescent="0.2">
      <c r="A298" s="55">
        <v>44470</v>
      </c>
      <c r="B298" s="45">
        <v>0</v>
      </c>
      <c r="C298" s="45">
        <v>0</v>
      </c>
      <c r="D298" s="45">
        <v>957.54168000000004</v>
      </c>
      <c r="E298" s="45">
        <v>1446.5081111753782</v>
      </c>
      <c r="F298" s="45">
        <v>1218.1564800000001</v>
      </c>
      <c r="G298" s="45">
        <v>1152.7167481284216</v>
      </c>
      <c r="H298" s="46">
        <v>0.5106476735042782</v>
      </c>
      <c r="I298" s="46">
        <v>-5.3720300261899445E-2</v>
      </c>
      <c r="J298" s="46">
        <v>0.19466243392134874</v>
      </c>
    </row>
    <row r="299" spans="1:10" ht="11.25" customHeight="1" x14ac:dyDescent="0.2">
      <c r="A299" s="55">
        <v>44501</v>
      </c>
      <c r="B299" s="45">
        <v>0</v>
      </c>
      <c r="C299" s="45">
        <v>0</v>
      </c>
      <c r="D299" s="45">
        <v>971.96792000000005</v>
      </c>
      <c r="E299" s="45">
        <v>1468.3010770687924</v>
      </c>
      <c r="F299" s="45">
        <v>1236.5091199999999</v>
      </c>
      <c r="G299" s="45">
        <v>1170.0834787970232</v>
      </c>
      <c r="H299" s="46">
        <v>0.5106476735042782</v>
      </c>
      <c r="I299" s="46">
        <v>-5.3720300261899223E-2</v>
      </c>
      <c r="J299" s="46">
        <v>0.19466243392134897</v>
      </c>
    </row>
    <row r="300" spans="1:10" ht="11.25" customHeight="1" x14ac:dyDescent="0.2">
      <c r="A300" s="55">
        <v>44531</v>
      </c>
      <c r="B300" s="45">
        <v>0</v>
      </c>
      <c r="C300" s="45">
        <v>0</v>
      </c>
      <c r="D300" s="45">
        <v>1110.3696600000001</v>
      </c>
      <c r="E300" s="45">
        <v>1677.3773436087365</v>
      </c>
      <c r="F300" s="45">
        <v>1412.5797600000001</v>
      </c>
      <c r="G300" s="45">
        <v>1336.6955511489184</v>
      </c>
      <c r="H300" s="46">
        <v>0.5106476735042782</v>
      </c>
      <c r="I300" s="46">
        <v>-5.3720300261899334E-2</v>
      </c>
      <c r="J300" s="46">
        <v>0.19466243392134874</v>
      </c>
    </row>
    <row r="301" spans="1:10" ht="11.25" customHeight="1" x14ac:dyDescent="0.2">
      <c r="A301" s="55">
        <v>44562</v>
      </c>
      <c r="B301" s="45">
        <v>0</v>
      </c>
      <c r="C301" s="45">
        <v>0</v>
      </c>
      <c r="D301" s="45">
        <v>1377.9313300000001</v>
      </c>
      <c r="E301" s="45">
        <v>2081.5687579131559</v>
      </c>
      <c r="F301" s="45">
        <v>1752.96388</v>
      </c>
      <c r="G301" s="45">
        <v>1658.794134018136</v>
      </c>
      <c r="H301" s="46">
        <v>0.5106476735042782</v>
      </c>
      <c r="I301" s="46">
        <v>-5.3720300261899334E-2</v>
      </c>
      <c r="J301" s="46">
        <v>0.19466243392134852</v>
      </c>
    </row>
    <row r="302" spans="1:10" ht="11.25" customHeight="1" x14ac:dyDescent="0.2">
      <c r="A302" s="55">
        <v>44593</v>
      </c>
      <c r="B302" s="45">
        <v>0</v>
      </c>
      <c r="C302" s="45">
        <v>0</v>
      </c>
      <c r="D302" s="45">
        <v>1674.7963</v>
      </c>
      <c r="E302" s="45">
        <v>2530.0271341885732</v>
      </c>
      <c r="F302" s="45">
        <v>2130.6268</v>
      </c>
      <c r="G302" s="45">
        <v>2016.1688885579501</v>
      </c>
      <c r="H302" s="46">
        <v>0.5106476735042782</v>
      </c>
      <c r="I302" s="46">
        <v>-5.3720300261899445E-2</v>
      </c>
      <c r="J302" s="46">
        <v>0.19466243392134852</v>
      </c>
    </row>
    <row r="303" spans="1:10" ht="11.25" customHeight="1" x14ac:dyDescent="0.2">
      <c r="A303" s="55">
        <v>44621</v>
      </c>
      <c r="B303" s="45">
        <v>0</v>
      </c>
      <c r="C303" s="45">
        <v>0</v>
      </c>
      <c r="D303" s="45">
        <v>1435.4108800000001</v>
      </c>
      <c r="E303" s="45">
        <v>2168.4001063947289</v>
      </c>
      <c r="F303" s="45">
        <v>1826.0876800000001</v>
      </c>
      <c r="G303" s="45">
        <v>1727.989701525845</v>
      </c>
      <c r="H303" s="46">
        <v>0.5106476735042782</v>
      </c>
      <c r="I303" s="46">
        <v>-5.3720300261899334E-2</v>
      </c>
      <c r="J303" s="46">
        <v>0.19466243392134874</v>
      </c>
    </row>
    <row r="304" spans="1:10" ht="11.25" customHeight="1" x14ac:dyDescent="0.2">
      <c r="A304" s="55">
        <v>44652</v>
      </c>
      <c r="B304" s="45">
        <v>0</v>
      </c>
      <c r="C304" s="45">
        <v>0</v>
      </c>
      <c r="D304" s="45">
        <v>1310.3083299999998</v>
      </c>
      <c r="E304" s="45">
        <v>1979.414230287776</v>
      </c>
      <c r="F304" s="45">
        <v>1666.9358799999998</v>
      </c>
      <c r="G304" s="45">
        <v>1577.3875840090666</v>
      </c>
      <c r="H304" s="46">
        <v>0.51064767350427842</v>
      </c>
      <c r="I304" s="46">
        <v>-5.3720300261899223E-2</v>
      </c>
      <c r="J304" s="46">
        <v>0.19466243392134874</v>
      </c>
    </row>
    <row r="305" spans="1:10" ht="11.25" customHeight="1" x14ac:dyDescent="0.2">
      <c r="A305" s="55">
        <v>44682</v>
      </c>
      <c r="B305" s="45">
        <v>0</v>
      </c>
      <c r="C305" s="45">
        <v>0</v>
      </c>
      <c r="D305" s="45">
        <v>1081.9679999999998</v>
      </c>
      <c r="E305" s="45">
        <v>1634.4724420060768</v>
      </c>
      <c r="F305" s="45">
        <v>1376.4479999999999</v>
      </c>
      <c r="G305" s="45">
        <v>1302.5048001451091</v>
      </c>
      <c r="H305" s="46">
        <v>0.51064767350427842</v>
      </c>
      <c r="I305" s="46">
        <v>-5.3720300261899334E-2</v>
      </c>
      <c r="J305" s="46">
        <v>0.19466243392134874</v>
      </c>
    </row>
    <row r="306" spans="1:10" ht="11.25" customHeight="1" x14ac:dyDescent="0.2">
      <c r="A306" s="55">
        <v>44713</v>
      </c>
      <c r="B306" s="45">
        <v>0</v>
      </c>
      <c r="C306" s="45">
        <v>0</v>
      </c>
      <c r="D306" s="45">
        <v>1141.47624</v>
      </c>
      <c r="E306" s="45">
        <v>1724.3684263164112</v>
      </c>
      <c r="F306" s="45">
        <v>1452.15264</v>
      </c>
      <c r="G306" s="45">
        <v>1374.1425641530902</v>
      </c>
      <c r="H306" s="46">
        <v>0.5106476735042782</v>
      </c>
      <c r="I306" s="46">
        <v>-5.3720300261899334E-2</v>
      </c>
      <c r="J306" s="46">
        <v>0.19466243392134852</v>
      </c>
    </row>
    <row r="307" spans="1:10" ht="11.25" customHeight="1" x14ac:dyDescent="0.2">
      <c r="A307" s="55">
        <v>44743</v>
      </c>
      <c r="B307" s="45">
        <v>0</v>
      </c>
      <c r="C307" s="45">
        <v>0</v>
      </c>
      <c r="D307" s="45">
        <v>1130.6565599999999</v>
      </c>
      <c r="E307" s="45">
        <v>1708.0237018963503</v>
      </c>
      <c r="F307" s="45">
        <v>1438.38816</v>
      </c>
      <c r="G307" s="45">
        <v>1361.1175161516392</v>
      </c>
      <c r="H307" s="46">
        <v>0.5106476735042782</v>
      </c>
      <c r="I307" s="46">
        <v>-5.3720300261899223E-2</v>
      </c>
      <c r="J307" s="46">
        <v>0.19466243392134852</v>
      </c>
    </row>
    <row r="308" spans="1:10" ht="11.25" customHeight="1" x14ac:dyDescent="0.2">
      <c r="A308" s="54" t="s">
        <v>39</v>
      </c>
      <c r="B308" s="45">
        <v>0</v>
      </c>
      <c r="C308" s="45">
        <v>0</v>
      </c>
      <c r="D308" s="45">
        <v>2040.85706</v>
      </c>
      <c r="E308" s="45">
        <v>2773.2543183782936</v>
      </c>
      <c r="F308" s="45">
        <v>1077.64408</v>
      </c>
      <c r="G308" s="45">
        <v>1019.7527164469419</v>
      </c>
      <c r="H308" s="46">
        <v>0.35886749382550764</v>
      </c>
      <c r="I308" s="46">
        <v>-5.3720300261899223E-2</v>
      </c>
      <c r="J308" s="46">
        <v>0.21629169416472793</v>
      </c>
    </row>
    <row r="309" spans="1:10" ht="11.25" customHeight="1" x14ac:dyDescent="0.2">
      <c r="A309" s="55">
        <v>44409</v>
      </c>
      <c r="B309" s="45">
        <v>0</v>
      </c>
      <c r="C309" s="45">
        <v>0</v>
      </c>
      <c r="D309" s="45">
        <v>172.15319000000002</v>
      </c>
      <c r="E309" s="45">
        <v>233.93337384936646</v>
      </c>
      <c r="F309" s="45">
        <v>90.902919999999995</v>
      </c>
      <c r="G309" s="45">
        <v>86.019587842916593</v>
      </c>
      <c r="H309" s="46">
        <v>0.35886749382550764</v>
      </c>
      <c r="I309" s="46">
        <v>-5.3720300261899223E-2</v>
      </c>
      <c r="J309" s="46">
        <v>0.21629169416472815</v>
      </c>
    </row>
    <row r="310" spans="1:10" ht="11.25" customHeight="1" x14ac:dyDescent="0.2">
      <c r="A310" s="55">
        <v>44440</v>
      </c>
      <c r="B310" s="45">
        <v>0</v>
      </c>
      <c r="C310" s="45">
        <v>0</v>
      </c>
      <c r="D310" s="45">
        <v>151.51653000000002</v>
      </c>
      <c r="E310" s="45">
        <v>205.89088739423738</v>
      </c>
      <c r="F310" s="45">
        <v>80.006039999999999</v>
      </c>
      <c r="G310" s="45">
        <v>75.708091508434478</v>
      </c>
      <c r="H310" s="46">
        <v>0.35886749382550764</v>
      </c>
      <c r="I310" s="46">
        <v>-5.3720300261899223E-2</v>
      </c>
      <c r="J310" s="46">
        <v>0.21629169416472815</v>
      </c>
    </row>
    <row r="311" spans="1:10" ht="11.25" customHeight="1" x14ac:dyDescent="0.2">
      <c r="A311" s="55">
        <v>44470</v>
      </c>
      <c r="B311" s="45">
        <v>0</v>
      </c>
      <c r="C311" s="45">
        <v>0</v>
      </c>
      <c r="D311" s="45">
        <v>149.88732000000002</v>
      </c>
      <c r="E311" s="45">
        <v>203.67700688462193</v>
      </c>
      <c r="F311" s="45">
        <v>79.14576000000001</v>
      </c>
      <c r="G311" s="45">
        <v>74.894026008343786</v>
      </c>
      <c r="H311" s="46">
        <v>0.35886749382550787</v>
      </c>
      <c r="I311" s="46">
        <v>-5.3720300261899334E-2</v>
      </c>
      <c r="J311" s="46">
        <v>0.21629169416472793</v>
      </c>
    </row>
    <row r="312" spans="1:10" ht="11.25" customHeight="1" x14ac:dyDescent="0.2">
      <c r="A312" s="55">
        <v>44501</v>
      </c>
      <c r="B312" s="45">
        <v>0</v>
      </c>
      <c r="C312" s="45">
        <v>0</v>
      </c>
      <c r="D312" s="45">
        <v>143.91355000000001</v>
      </c>
      <c r="E312" s="45">
        <v>195.5594450160319</v>
      </c>
      <c r="F312" s="45">
        <v>75.991399999999999</v>
      </c>
      <c r="G312" s="45">
        <v>71.909119174677912</v>
      </c>
      <c r="H312" s="46">
        <v>0.35886749382550764</v>
      </c>
      <c r="I312" s="46">
        <v>-5.3720300261899223E-2</v>
      </c>
      <c r="J312" s="46">
        <v>0.21629169416472793</v>
      </c>
    </row>
    <row r="313" spans="1:10" ht="11.25" customHeight="1" x14ac:dyDescent="0.2">
      <c r="A313" s="55">
        <v>44531</v>
      </c>
      <c r="B313" s="45">
        <v>0</v>
      </c>
      <c r="C313" s="45">
        <v>0</v>
      </c>
      <c r="D313" s="45">
        <v>150.97346000000002</v>
      </c>
      <c r="E313" s="45">
        <v>205.15292722436556</v>
      </c>
      <c r="F313" s="45">
        <v>79.719279999999998</v>
      </c>
      <c r="G313" s="45">
        <v>75.436736341737586</v>
      </c>
      <c r="H313" s="46">
        <v>0.35886749382550764</v>
      </c>
      <c r="I313" s="46">
        <v>-5.3720300261899112E-2</v>
      </c>
      <c r="J313" s="46">
        <v>0.21629169416472793</v>
      </c>
    </row>
    <row r="314" spans="1:10" ht="11.25" customHeight="1" x14ac:dyDescent="0.2">
      <c r="A314" s="55">
        <v>44562</v>
      </c>
      <c r="B314" s="45">
        <v>0</v>
      </c>
      <c r="C314" s="45">
        <v>0</v>
      </c>
      <c r="D314" s="45">
        <v>167.80863000000002</v>
      </c>
      <c r="E314" s="45">
        <v>228.02969249039191</v>
      </c>
      <c r="F314" s="45">
        <v>88.608840000000001</v>
      </c>
      <c r="G314" s="45">
        <v>83.84874650934141</v>
      </c>
      <c r="H314" s="46">
        <v>0.35886749382550764</v>
      </c>
      <c r="I314" s="46">
        <v>-5.3720300261899223E-2</v>
      </c>
      <c r="J314" s="46">
        <v>0.21629169416472771</v>
      </c>
    </row>
    <row r="315" spans="1:10" ht="11.25" customHeight="1" x14ac:dyDescent="0.2">
      <c r="A315" s="55">
        <v>44593</v>
      </c>
      <c r="B315" s="45">
        <v>0</v>
      </c>
      <c r="C315" s="45">
        <v>0</v>
      </c>
      <c r="D315" s="45">
        <v>208.53888000000003</v>
      </c>
      <c r="E315" s="45">
        <v>283.37670523077833</v>
      </c>
      <c r="F315" s="45">
        <v>110.11584000000001</v>
      </c>
      <c r="G315" s="45">
        <v>104.20038401160873</v>
      </c>
      <c r="H315" s="46">
        <v>0.35886749382550764</v>
      </c>
      <c r="I315" s="46">
        <v>-5.3720300261899445E-2</v>
      </c>
      <c r="J315" s="46">
        <v>0.21629169416472793</v>
      </c>
    </row>
    <row r="316" spans="1:10" ht="11.25" customHeight="1" x14ac:dyDescent="0.2">
      <c r="A316" s="55">
        <v>44621</v>
      </c>
      <c r="B316" s="45">
        <v>0</v>
      </c>
      <c r="C316" s="45">
        <v>0</v>
      </c>
      <c r="D316" s="45">
        <v>160.74872000000002</v>
      </c>
      <c r="E316" s="45">
        <v>218.43621028205825</v>
      </c>
      <c r="F316" s="45">
        <v>84.880959999999988</v>
      </c>
      <c r="G316" s="45">
        <v>80.321129342281736</v>
      </c>
      <c r="H316" s="46">
        <v>0.35886749382550742</v>
      </c>
      <c r="I316" s="46">
        <v>-5.3720300261899112E-2</v>
      </c>
      <c r="J316" s="46">
        <v>0.21629169416472793</v>
      </c>
    </row>
    <row r="317" spans="1:10" ht="11.25" customHeight="1" x14ac:dyDescent="0.2">
      <c r="A317" s="55">
        <v>44652</v>
      </c>
      <c r="B317" s="45">
        <v>0</v>
      </c>
      <c r="C317" s="45">
        <v>0</v>
      </c>
      <c r="D317" s="45">
        <v>172.15319000000002</v>
      </c>
      <c r="E317" s="45">
        <v>233.93337384936646</v>
      </c>
      <c r="F317" s="45">
        <v>90.902919999999995</v>
      </c>
      <c r="G317" s="45">
        <v>86.019587842916593</v>
      </c>
      <c r="H317" s="46">
        <v>0.35886749382550764</v>
      </c>
      <c r="I317" s="46">
        <v>-5.3720300261899223E-2</v>
      </c>
      <c r="J317" s="46">
        <v>0.21629169416472815</v>
      </c>
    </row>
    <row r="318" spans="1:10" ht="11.25" customHeight="1" x14ac:dyDescent="0.2">
      <c r="A318" s="55">
        <v>44682</v>
      </c>
      <c r="B318" s="45">
        <v>0</v>
      </c>
      <c r="C318" s="45">
        <v>0</v>
      </c>
      <c r="D318" s="45">
        <v>174.32547000000002</v>
      </c>
      <c r="E318" s="45">
        <v>236.88521452885374</v>
      </c>
      <c r="F318" s="45">
        <v>92.049959999999999</v>
      </c>
      <c r="G318" s="45">
        <v>87.105008509704177</v>
      </c>
      <c r="H318" s="46">
        <v>0.35886749382550764</v>
      </c>
      <c r="I318" s="46">
        <v>-5.3720300261899334E-2</v>
      </c>
      <c r="J318" s="46">
        <v>0.21629169416472793</v>
      </c>
    </row>
    <row r="319" spans="1:10" ht="11.25" customHeight="1" x14ac:dyDescent="0.2">
      <c r="A319" s="55">
        <v>44713</v>
      </c>
      <c r="B319" s="45">
        <v>0</v>
      </c>
      <c r="C319" s="45">
        <v>0</v>
      </c>
      <c r="D319" s="45">
        <v>190.0745</v>
      </c>
      <c r="E319" s="45">
        <v>258.28605945513647</v>
      </c>
      <c r="F319" s="45">
        <v>100.36599999999999</v>
      </c>
      <c r="G319" s="45">
        <v>94.974308343914203</v>
      </c>
      <c r="H319" s="46">
        <v>0.35886749382550764</v>
      </c>
      <c r="I319" s="46">
        <v>-5.3720300261899334E-2</v>
      </c>
      <c r="J319" s="46">
        <v>0.21629169416472793</v>
      </c>
    </row>
    <row r="320" spans="1:10" ht="11.25" customHeight="1" x14ac:dyDescent="0.2">
      <c r="A320" s="55">
        <v>44743</v>
      </c>
      <c r="B320" s="45">
        <v>0</v>
      </c>
      <c r="C320" s="45">
        <v>0</v>
      </c>
      <c r="D320" s="45">
        <v>198.76362</v>
      </c>
      <c r="E320" s="45">
        <v>270.09342217308557</v>
      </c>
      <c r="F320" s="45">
        <v>104.95415999999999</v>
      </c>
      <c r="G320" s="45">
        <v>99.315991011064582</v>
      </c>
      <c r="H320" s="46">
        <v>0.35886749382550764</v>
      </c>
      <c r="I320" s="46">
        <v>-5.3720300261899112E-2</v>
      </c>
      <c r="J320" s="46">
        <v>0.21629169416472793</v>
      </c>
    </row>
    <row r="321" spans="1:10" ht="11.25" customHeight="1" x14ac:dyDescent="0.2">
      <c r="A321" s="54" t="s">
        <v>36</v>
      </c>
      <c r="B321" s="45">
        <v>0</v>
      </c>
      <c r="C321" s="45">
        <v>0</v>
      </c>
      <c r="D321" s="45">
        <v>7582.1834499999995</v>
      </c>
      <c r="E321" s="45">
        <v>9719.362743205138</v>
      </c>
      <c r="F321" s="45">
        <v>1942.3488499999996</v>
      </c>
      <c r="G321" s="45">
        <v>1834.5588807652011</v>
      </c>
      <c r="H321" s="46">
        <v>0.28186858143153182</v>
      </c>
      <c r="I321" s="46">
        <v>-5.5494649807524832E-2</v>
      </c>
      <c r="J321" s="46">
        <v>0.21306970883707743</v>
      </c>
    </row>
    <row r="322" spans="1:10" ht="11.25" customHeight="1" x14ac:dyDescent="0.2">
      <c r="A322" s="55">
        <v>44409</v>
      </c>
      <c r="B322" s="45">
        <v>0</v>
      </c>
      <c r="C322" s="45">
        <v>0</v>
      </c>
      <c r="D322" s="45">
        <v>617.39819999999997</v>
      </c>
      <c r="E322" s="45">
        <v>791.42335481238115</v>
      </c>
      <c r="F322" s="45">
        <v>158.16059999999999</v>
      </c>
      <c r="G322" s="45">
        <v>149.38353288965197</v>
      </c>
      <c r="H322" s="46">
        <v>0.28186858143153182</v>
      </c>
      <c r="I322" s="46">
        <v>-5.5494649807524832E-2</v>
      </c>
      <c r="J322" s="46">
        <v>0.21306970883707743</v>
      </c>
    </row>
    <row r="323" spans="1:10" ht="11.25" customHeight="1" x14ac:dyDescent="0.2">
      <c r="A323" s="55">
        <v>44440</v>
      </c>
      <c r="B323" s="45">
        <v>0</v>
      </c>
      <c r="C323" s="45">
        <v>0</v>
      </c>
      <c r="D323" s="45">
        <v>600.24824999999998</v>
      </c>
      <c r="E323" s="45">
        <v>769.43937273425945</v>
      </c>
      <c r="F323" s="45">
        <v>153.76724999999999</v>
      </c>
      <c r="G323" s="45">
        <v>145.23399030938387</v>
      </c>
      <c r="H323" s="46">
        <v>0.28186858143153182</v>
      </c>
      <c r="I323" s="46">
        <v>-5.5494649807524832E-2</v>
      </c>
      <c r="J323" s="46">
        <v>0.21306970883707743</v>
      </c>
    </row>
    <row r="324" spans="1:10" ht="11.25" customHeight="1" x14ac:dyDescent="0.2">
      <c r="A324" s="55">
        <v>44470</v>
      </c>
      <c r="B324" s="45">
        <v>0</v>
      </c>
      <c r="C324" s="45">
        <v>0</v>
      </c>
      <c r="D324" s="45">
        <v>592.62604999999996</v>
      </c>
      <c r="E324" s="45">
        <v>759.668714032872</v>
      </c>
      <c r="F324" s="45">
        <v>151.81465</v>
      </c>
      <c r="G324" s="45">
        <v>143.38974916259804</v>
      </c>
      <c r="H324" s="46">
        <v>0.28186858143153182</v>
      </c>
      <c r="I324" s="46">
        <v>-5.5494649807524943E-2</v>
      </c>
      <c r="J324" s="46">
        <v>0.21306970883707743</v>
      </c>
    </row>
    <row r="325" spans="1:10" ht="11.25" customHeight="1" x14ac:dyDescent="0.2">
      <c r="A325" s="55">
        <v>44501</v>
      </c>
      <c r="B325" s="45">
        <v>0</v>
      </c>
      <c r="C325" s="45">
        <v>0</v>
      </c>
      <c r="D325" s="45">
        <v>560.23169999999993</v>
      </c>
      <c r="E325" s="45">
        <v>718.14341455197541</v>
      </c>
      <c r="F325" s="45">
        <v>143.51609999999999</v>
      </c>
      <c r="G325" s="45">
        <v>135.55172428875827</v>
      </c>
      <c r="H325" s="46">
        <v>0.28186858143153182</v>
      </c>
      <c r="I325" s="46">
        <v>-5.5494649807524943E-2</v>
      </c>
      <c r="J325" s="46">
        <v>0.21306970883707743</v>
      </c>
    </row>
    <row r="326" spans="1:10" ht="11.25" customHeight="1" x14ac:dyDescent="0.2">
      <c r="A326" s="55">
        <v>44531</v>
      </c>
      <c r="B326" s="45">
        <v>0</v>
      </c>
      <c r="C326" s="45">
        <v>0</v>
      </c>
      <c r="D326" s="45">
        <v>529.74290000000008</v>
      </c>
      <c r="E326" s="45">
        <v>679.06077974642585</v>
      </c>
      <c r="F326" s="45">
        <v>135.70570000000001</v>
      </c>
      <c r="G326" s="45">
        <v>128.17475970161499</v>
      </c>
      <c r="H326" s="46">
        <v>0.2818685814315316</v>
      </c>
      <c r="I326" s="46">
        <v>-5.5494649807524832E-2</v>
      </c>
      <c r="J326" s="46">
        <v>0.21306970883707743</v>
      </c>
    </row>
    <row r="327" spans="1:10" ht="11.25" customHeight="1" x14ac:dyDescent="0.2">
      <c r="A327" s="55">
        <v>44562</v>
      </c>
      <c r="B327" s="45">
        <v>0</v>
      </c>
      <c r="C327" s="45">
        <v>0</v>
      </c>
      <c r="D327" s="45">
        <v>771.74775</v>
      </c>
      <c r="E327" s="45">
        <v>989.27919351547644</v>
      </c>
      <c r="F327" s="45">
        <v>197.70075</v>
      </c>
      <c r="G327" s="45">
        <v>186.729416112065</v>
      </c>
      <c r="H327" s="46">
        <v>0.28186858143153182</v>
      </c>
      <c r="I327" s="46">
        <v>-5.5494649807524721E-2</v>
      </c>
      <c r="J327" s="46">
        <v>0.21306970883707743</v>
      </c>
    </row>
    <row r="328" spans="1:10" ht="11.25" customHeight="1" x14ac:dyDescent="0.2">
      <c r="A328" s="55">
        <v>44593</v>
      </c>
      <c r="B328" s="45">
        <v>0</v>
      </c>
      <c r="C328" s="45">
        <v>0</v>
      </c>
      <c r="D328" s="45">
        <v>703.14794999999992</v>
      </c>
      <c r="E328" s="45">
        <v>901.34326520298964</v>
      </c>
      <c r="F328" s="45">
        <v>180.12734999999998</v>
      </c>
      <c r="G328" s="45">
        <v>170.13124579099252</v>
      </c>
      <c r="H328" s="46">
        <v>0.28186858143153182</v>
      </c>
      <c r="I328" s="46">
        <v>-5.5494649807524832E-2</v>
      </c>
      <c r="J328" s="46">
        <v>0.21306970883707765</v>
      </c>
    </row>
    <row r="329" spans="1:10" ht="11.25" customHeight="1" x14ac:dyDescent="0.2">
      <c r="A329" s="55">
        <v>44621</v>
      </c>
      <c r="B329" s="45">
        <v>0</v>
      </c>
      <c r="C329" s="45">
        <v>0</v>
      </c>
      <c r="D329" s="45">
        <v>565.94835</v>
      </c>
      <c r="E329" s="45">
        <v>725.47140857801605</v>
      </c>
      <c r="F329" s="45">
        <v>144.98054999999999</v>
      </c>
      <c r="G329" s="45">
        <v>136.93490514884763</v>
      </c>
      <c r="H329" s="46">
        <v>0.28186858143153182</v>
      </c>
      <c r="I329" s="46">
        <v>-5.5494649807524943E-2</v>
      </c>
      <c r="J329" s="46">
        <v>0.21306970883707743</v>
      </c>
    </row>
    <row r="330" spans="1:10" ht="11.25" customHeight="1" x14ac:dyDescent="0.2">
      <c r="A330" s="55">
        <v>44652</v>
      </c>
      <c r="B330" s="45">
        <v>0</v>
      </c>
      <c r="C330" s="45">
        <v>0</v>
      </c>
      <c r="D330" s="45">
        <v>611.68155000000002</v>
      </c>
      <c r="E330" s="45">
        <v>784.09536078634062</v>
      </c>
      <c r="F330" s="45">
        <v>156.69614999999999</v>
      </c>
      <c r="G330" s="45">
        <v>148.00035202956261</v>
      </c>
      <c r="H330" s="46">
        <v>0.28186858143153182</v>
      </c>
      <c r="I330" s="46">
        <v>-5.5494649807524832E-2</v>
      </c>
      <c r="J330" s="46">
        <v>0.21306970883707743</v>
      </c>
    </row>
    <row r="331" spans="1:10" ht="11.25" customHeight="1" x14ac:dyDescent="0.2">
      <c r="A331" s="55">
        <v>44682</v>
      </c>
      <c r="B331" s="45">
        <v>0</v>
      </c>
      <c r="C331" s="45">
        <v>0</v>
      </c>
      <c r="D331" s="45">
        <v>672.65914999999995</v>
      </c>
      <c r="E331" s="45">
        <v>862.26063039743985</v>
      </c>
      <c r="F331" s="45">
        <v>172.31694999999999</v>
      </c>
      <c r="G331" s="45">
        <v>162.75428120384922</v>
      </c>
      <c r="H331" s="46">
        <v>0.28186858143153182</v>
      </c>
      <c r="I331" s="46">
        <v>-5.5494649807524832E-2</v>
      </c>
      <c r="J331" s="46">
        <v>0.21306970883707721</v>
      </c>
    </row>
    <row r="332" spans="1:10" ht="11.25" customHeight="1" x14ac:dyDescent="0.2">
      <c r="A332" s="55">
        <v>44713</v>
      </c>
      <c r="B332" s="45">
        <v>0</v>
      </c>
      <c r="C332" s="45">
        <v>0</v>
      </c>
      <c r="D332" s="45">
        <v>693.62019999999995</v>
      </c>
      <c r="E332" s="45">
        <v>889.12994182625528</v>
      </c>
      <c r="F332" s="45">
        <v>177.6866</v>
      </c>
      <c r="G332" s="45">
        <v>167.82594435751025</v>
      </c>
      <c r="H332" s="46">
        <v>0.28186858143153182</v>
      </c>
      <c r="I332" s="46">
        <v>-5.5494649807524832E-2</v>
      </c>
      <c r="J332" s="46">
        <v>0.21306970883707721</v>
      </c>
    </row>
    <row r="333" spans="1:10" ht="11.25" customHeight="1" x14ac:dyDescent="0.2">
      <c r="A333" s="55">
        <v>44743</v>
      </c>
      <c r="B333" s="45">
        <v>0</v>
      </c>
      <c r="C333" s="45">
        <v>0</v>
      </c>
      <c r="D333" s="45">
        <v>663.13139999999999</v>
      </c>
      <c r="E333" s="45">
        <v>850.0473070207056</v>
      </c>
      <c r="F333" s="45">
        <v>169.87619999999998</v>
      </c>
      <c r="G333" s="45">
        <v>160.44897977036692</v>
      </c>
      <c r="H333" s="46">
        <v>0.2818685814315316</v>
      </c>
      <c r="I333" s="46">
        <v>-5.5494649807524943E-2</v>
      </c>
      <c r="J333" s="46">
        <v>0.21306970883707743</v>
      </c>
    </row>
    <row r="334" spans="1:10" ht="11.25" customHeight="1" x14ac:dyDescent="0.2">
      <c r="A334" s="50" t="s">
        <v>33</v>
      </c>
      <c r="B334" s="45">
        <v>0</v>
      </c>
      <c r="C334" s="45">
        <v>0</v>
      </c>
      <c r="D334" s="45">
        <v>22000.59663</v>
      </c>
      <c r="E334" s="45">
        <v>32937.235339834711</v>
      </c>
      <c r="F334" s="45">
        <v>26626.360550000005</v>
      </c>
      <c r="G334" s="45">
        <v>25195.560919643096</v>
      </c>
      <c r="H334" s="46">
        <v>0.49710646005488401</v>
      </c>
      <c r="I334" s="46">
        <v>-5.3736207307420014E-2</v>
      </c>
      <c r="J334" s="46">
        <v>0.19548496617401967</v>
      </c>
    </row>
    <row r="335" spans="1:10" ht="11.25" customHeight="1" x14ac:dyDescent="0.2">
      <c r="A335" s="51" t="s">
        <v>25</v>
      </c>
      <c r="B335" s="45">
        <v>0</v>
      </c>
      <c r="C335" s="45">
        <v>0</v>
      </c>
      <c r="D335" s="45">
        <v>22000.59663</v>
      </c>
      <c r="E335" s="45">
        <v>32937.235339834711</v>
      </c>
      <c r="F335" s="45">
        <v>26626.360550000005</v>
      </c>
      <c r="G335" s="45">
        <v>25195.560919643096</v>
      </c>
      <c r="H335" s="46">
        <v>0.49710646005488401</v>
      </c>
      <c r="I335" s="46">
        <v>-5.3736207307420014E-2</v>
      </c>
      <c r="J335" s="46">
        <v>0.19548496617401967</v>
      </c>
    </row>
    <row r="336" spans="1:10" ht="11.25" customHeight="1" x14ac:dyDescent="0.2">
      <c r="A336" s="52" t="s">
        <v>25</v>
      </c>
      <c r="B336" s="45">
        <v>0</v>
      </c>
      <c r="C336" s="45">
        <v>0</v>
      </c>
      <c r="D336" s="45">
        <v>22000.59663</v>
      </c>
      <c r="E336" s="45">
        <v>32937.235339834711</v>
      </c>
      <c r="F336" s="45">
        <v>26626.360550000005</v>
      </c>
      <c r="G336" s="45">
        <v>25195.560919643096</v>
      </c>
      <c r="H336" s="46">
        <v>0.49710646005488401</v>
      </c>
      <c r="I336" s="46">
        <v>-5.3736207307420014E-2</v>
      </c>
      <c r="J336" s="46">
        <v>0.19548496617401967</v>
      </c>
    </row>
    <row r="337" spans="1:10" ht="11.25" customHeight="1" x14ac:dyDescent="0.2">
      <c r="A337" s="53" t="s">
        <v>25</v>
      </c>
      <c r="B337" s="45">
        <v>0</v>
      </c>
      <c r="C337" s="45">
        <v>0</v>
      </c>
      <c r="D337" s="45">
        <v>22000.59663</v>
      </c>
      <c r="E337" s="45">
        <v>32937.235339834711</v>
      </c>
      <c r="F337" s="45">
        <v>26626.360550000005</v>
      </c>
      <c r="G337" s="45">
        <v>25195.560919643096</v>
      </c>
      <c r="H337" s="46">
        <v>0.49710646005488401</v>
      </c>
      <c r="I337" s="46">
        <v>-5.3736207307420014E-2</v>
      </c>
      <c r="J337" s="46">
        <v>0.19548496617401967</v>
      </c>
    </row>
    <row r="338" spans="1:10" ht="11.25" customHeight="1" x14ac:dyDescent="0.2">
      <c r="A338" s="54" t="s">
        <v>37</v>
      </c>
      <c r="B338" s="45">
        <v>0</v>
      </c>
      <c r="C338" s="45">
        <v>0</v>
      </c>
      <c r="D338" s="45">
        <v>20510.506720000001</v>
      </c>
      <c r="E338" s="45">
        <v>30984.149258961865</v>
      </c>
      <c r="F338" s="45">
        <v>26092.86592</v>
      </c>
      <c r="G338" s="45">
        <v>24691.149328084117</v>
      </c>
      <c r="H338" s="46">
        <v>0.5106476735042782</v>
      </c>
      <c r="I338" s="46">
        <v>-5.3720300261899445E-2</v>
      </c>
      <c r="J338" s="46">
        <v>0.19466243392134852</v>
      </c>
    </row>
    <row r="339" spans="1:10" ht="11.25" customHeight="1" x14ac:dyDescent="0.2">
      <c r="A339" s="55">
        <v>44409</v>
      </c>
      <c r="B339" s="45">
        <v>0</v>
      </c>
      <c r="C339" s="45">
        <v>0</v>
      </c>
      <c r="D339" s="45">
        <v>1577.6445899999999</v>
      </c>
      <c r="E339" s="45">
        <v>2383.265129500111</v>
      </c>
      <c r="F339" s="45">
        <v>2007.0332399999998</v>
      </c>
      <c r="G339" s="45">
        <v>1899.2148117115873</v>
      </c>
      <c r="H339" s="46">
        <v>0.51064767350427842</v>
      </c>
      <c r="I339" s="46">
        <v>-5.3720300261899223E-2</v>
      </c>
      <c r="J339" s="46">
        <v>0.19466243392134874</v>
      </c>
    </row>
    <row r="340" spans="1:10" ht="11.25" customHeight="1" x14ac:dyDescent="0.2">
      <c r="A340" s="55">
        <v>44440</v>
      </c>
      <c r="B340" s="45">
        <v>0</v>
      </c>
      <c r="C340" s="45">
        <v>0</v>
      </c>
      <c r="D340" s="45">
        <v>1763.6078399999999</v>
      </c>
      <c r="E340" s="45">
        <v>2664.1900804699053</v>
      </c>
      <c r="F340" s="45">
        <v>2243.61024</v>
      </c>
      <c r="G340" s="45">
        <v>2123.0828242365278</v>
      </c>
      <c r="H340" s="46">
        <v>0.5106476735042782</v>
      </c>
      <c r="I340" s="46">
        <v>-5.3720300261899445E-2</v>
      </c>
      <c r="J340" s="46">
        <v>0.19466243392134852</v>
      </c>
    </row>
    <row r="341" spans="1:10" ht="11.25" customHeight="1" x14ac:dyDescent="0.2">
      <c r="A341" s="55">
        <v>44470</v>
      </c>
      <c r="B341" s="45">
        <v>0</v>
      </c>
      <c r="C341" s="45">
        <v>0</v>
      </c>
      <c r="D341" s="45">
        <v>1875.1857900000002</v>
      </c>
      <c r="E341" s="45">
        <v>2832.7450510517824</v>
      </c>
      <c r="F341" s="45">
        <v>2385.5564400000003</v>
      </c>
      <c r="G341" s="45">
        <v>2257.4036317514929</v>
      </c>
      <c r="H341" s="46">
        <v>0.5106476735042782</v>
      </c>
      <c r="I341" s="46">
        <v>-5.3720300261899223E-2</v>
      </c>
      <c r="J341" s="46">
        <v>0.19466243392134874</v>
      </c>
    </row>
    <row r="342" spans="1:10" ht="11.25" customHeight="1" x14ac:dyDescent="0.2">
      <c r="A342" s="55">
        <v>44501</v>
      </c>
      <c r="B342" s="45">
        <v>0</v>
      </c>
      <c r="C342" s="45">
        <v>0</v>
      </c>
      <c r="D342" s="45">
        <v>1583.95607</v>
      </c>
      <c r="E342" s="45">
        <v>2392.7995520784798</v>
      </c>
      <c r="F342" s="45">
        <v>2015.0625199999999</v>
      </c>
      <c r="G342" s="45">
        <v>1906.8127563791006</v>
      </c>
      <c r="H342" s="46">
        <v>0.51064767350427842</v>
      </c>
      <c r="I342" s="46">
        <v>-5.3720300261899223E-2</v>
      </c>
      <c r="J342" s="46">
        <v>0.19466243392134874</v>
      </c>
    </row>
    <row r="343" spans="1:10" ht="11.25" customHeight="1" x14ac:dyDescent="0.2">
      <c r="A343" s="55">
        <v>44531</v>
      </c>
      <c r="B343" s="45">
        <v>0</v>
      </c>
      <c r="C343" s="45">
        <v>0</v>
      </c>
      <c r="D343" s="45">
        <v>1501.0051899999999</v>
      </c>
      <c r="E343" s="45">
        <v>2267.4899981913472</v>
      </c>
      <c r="F343" s="45">
        <v>1909.5348399999998</v>
      </c>
      <c r="G343" s="45">
        <v>1806.9540550346421</v>
      </c>
      <c r="H343" s="46">
        <v>0.51064767350427842</v>
      </c>
      <c r="I343" s="46">
        <v>-5.3720300261899223E-2</v>
      </c>
      <c r="J343" s="46">
        <v>0.19466243392134874</v>
      </c>
    </row>
    <row r="344" spans="1:10" ht="11.25" customHeight="1" x14ac:dyDescent="0.2">
      <c r="A344" s="55">
        <v>44562</v>
      </c>
      <c r="B344" s="45">
        <v>0</v>
      </c>
      <c r="C344" s="45">
        <v>0</v>
      </c>
      <c r="D344" s="45">
        <v>1693.0545099999999</v>
      </c>
      <c r="E344" s="45">
        <v>2557.6088566474259</v>
      </c>
      <c r="F344" s="45">
        <v>2153.8543599999998</v>
      </c>
      <c r="G344" s="45">
        <v>2038.148657060399</v>
      </c>
      <c r="H344" s="46">
        <v>0.51064767350427842</v>
      </c>
      <c r="I344" s="46">
        <v>-5.3720300261899223E-2</v>
      </c>
      <c r="J344" s="46">
        <v>0.19466243392134874</v>
      </c>
    </row>
    <row r="345" spans="1:10" ht="11.25" customHeight="1" x14ac:dyDescent="0.2">
      <c r="A345" s="55">
        <v>44593</v>
      </c>
      <c r="B345" s="45">
        <v>0</v>
      </c>
      <c r="C345" s="45">
        <v>0</v>
      </c>
      <c r="D345" s="45">
        <v>1850.6161000000002</v>
      </c>
      <c r="E345" s="45">
        <v>2795.6289060145609</v>
      </c>
      <c r="F345" s="45">
        <v>2354.2996000000003</v>
      </c>
      <c r="G345" s="45">
        <v>2227.8259185815309</v>
      </c>
      <c r="H345" s="46">
        <v>0.5106476735042782</v>
      </c>
      <c r="I345" s="46">
        <v>-5.3720300261899223E-2</v>
      </c>
      <c r="J345" s="46">
        <v>0.19466243392134874</v>
      </c>
    </row>
    <row r="346" spans="1:10" ht="11.25" customHeight="1" x14ac:dyDescent="0.2">
      <c r="A346" s="55">
        <v>44621</v>
      </c>
      <c r="B346" s="45">
        <v>0</v>
      </c>
      <c r="C346" s="45">
        <v>0</v>
      </c>
      <c r="D346" s="45">
        <v>1492.6650199999999</v>
      </c>
      <c r="E346" s="45">
        <v>2254.8909397842167</v>
      </c>
      <c r="F346" s="45">
        <v>1898.92472</v>
      </c>
      <c r="G346" s="45">
        <v>1796.913913866857</v>
      </c>
      <c r="H346" s="46">
        <v>0.5106476735042782</v>
      </c>
      <c r="I346" s="46">
        <v>-5.3720300261899223E-2</v>
      </c>
      <c r="J346" s="46">
        <v>0.19466243392134852</v>
      </c>
    </row>
    <row r="347" spans="1:10" ht="11.25" customHeight="1" x14ac:dyDescent="0.2">
      <c r="A347" s="55">
        <v>44652</v>
      </c>
      <c r="B347" s="45">
        <v>0</v>
      </c>
      <c r="C347" s="45">
        <v>0</v>
      </c>
      <c r="D347" s="45">
        <v>1467.4190999999998</v>
      </c>
      <c r="E347" s="45">
        <v>2216.7532494707416</v>
      </c>
      <c r="F347" s="45">
        <v>1866.8075999999999</v>
      </c>
      <c r="G347" s="45">
        <v>1766.5221351968044</v>
      </c>
      <c r="H347" s="46">
        <v>0.5106476735042782</v>
      </c>
      <c r="I347" s="46">
        <v>-5.3720300261899223E-2</v>
      </c>
      <c r="J347" s="46">
        <v>0.19466243392134852</v>
      </c>
    </row>
    <row r="348" spans="1:10" ht="11.25" customHeight="1" x14ac:dyDescent="0.2">
      <c r="A348" s="55">
        <v>44682</v>
      </c>
      <c r="B348" s="45">
        <v>0</v>
      </c>
      <c r="C348" s="45">
        <v>0</v>
      </c>
      <c r="D348" s="45">
        <v>1736.1078199999999</v>
      </c>
      <c r="E348" s="45">
        <v>2622.647239235584</v>
      </c>
      <c r="F348" s="45">
        <v>2208.6255200000001</v>
      </c>
      <c r="G348" s="45">
        <v>2089.9774938995065</v>
      </c>
      <c r="H348" s="46">
        <v>0.5106476735042782</v>
      </c>
      <c r="I348" s="46">
        <v>-5.3720300261899334E-2</v>
      </c>
      <c r="J348" s="46">
        <v>0.19466243392134852</v>
      </c>
    </row>
    <row r="349" spans="1:10" ht="11.25" customHeight="1" x14ac:dyDescent="0.2">
      <c r="A349" s="55">
        <v>44713</v>
      </c>
      <c r="B349" s="45">
        <v>0</v>
      </c>
      <c r="C349" s="45">
        <v>0</v>
      </c>
      <c r="D349" s="45">
        <v>1980.6776700000003</v>
      </c>
      <c r="E349" s="45">
        <v>2992.1061141473747</v>
      </c>
      <c r="F349" s="45">
        <v>2519.7601200000004</v>
      </c>
      <c r="G349" s="45">
        <v>2384.3978497656408</v>
      </c>
      <c r="H349" s="46">
        <v>0.5106476735042782</v>
      </c>
      <c r="I349" s="46">
        <v>-5.3720300261899334E-2</v>
      </c>
      <c r="J349" s="46">
        <v>0.19466243392134852</v>
      </c>
    </row>
    <row r="350" spans="1:10" ht="11.25" customHeight="1" x14ac:dyDescent="0.2">
      <c r="A350" s="55">
        <v>44743</v>
      </c>
      <c r="B350" s="45">
        <v>0</v>
      </c>
      <c r="C350" s="45">
        <v>0</v>
      </c>
      <c r="D350" s="45">
        <v>1988.5670199999997</v>
      </c>
      <c r="E350" s="45">
        <v>3004.0241423703351</v>
      </c>
      <c r="F350" s="45">
        <v>2529.7967199999998</v>
      </c>
      <c r="G350" s="45">
        <v>2393.8952806000316</v>
      </c>
      <c r="H350" s="46">
        <v>0.5106476735042782</v>
      </c>
      <c r="I350" s="46">
        <v>-5.3720300261899445E-2</v>
      </c>
      <c r="J350" s="46">
        <v>0.1946624339213483</v>
      </c>
    </row>
    <row r="351" spans="1:10" ht="11.25" customHeight="1" x14ac:dyDescent="0.2">
      <c r="A351" s="54" t="s">
        <v>39</v>
      </c>
      <c r="B351" s="45">
        <v>0</v>
      </c>
      <c r="C351" s="45">
        <v>0</v>
      </c>
      <c r="D351" s="45">
        <v>558.27596000000005</v>
      </c>
      <c r="E351" s="45">
        <v>758.6230546282294</v>
      </c>
      <c r="F351" s="45">
        <v>294.78928000000002</v>
      </c>
      <c r="G351" s="45">
        <v>278.95311136441086</v>
      </c>
      <c r="H351" s="46">
        <v>0.35886749382550764</v>
      </c>
      <c r="I351" s="46">
        <v>-5.3720300261899445E-2</v>
      </c>
      <c r="J351" s="46">
        <v>0.21629169416472771</v>
      </c>
    </row>
    <row r="352" spans="1:10" ht="11.25" customHeight="1" x14ac:dyDescent="0.2">
      <c r="A352" s="55">
        <v>44409</v>
      </c>
      <c r="B352" s="45">
        <v>0</v>
      </c>
      <c r="C352" s="45">
        <v>0</v>
      </c>
      <c r="D352" s="45">
        <v>65.711470000000006</v>
      </c>
      <c r="E352" s="45">
        <v>89.293180554490036</v>
      </c>
      <c r="F352" s="45">
        <v>34.697959999999995</v>
      </c>
      <c r="G352" s="45">
        <v>32.833975170324628</v>
      </c>
      <c r="H352" s="46">
        <v>0.35886749382550764</v>
      </c>
      <c r="I352" s="46">
        <v>-5.3720300261899223E-2</v>
      </c>
      <c r="J352" s="46">
        <v>0.21629169416472793</v>
      </c>
    </row>
    <row r="353" spans="1:10" ht="11.25" customHeight="1" x14ac:dyDescent="0.2">
      <c r="A353" s="55">
        <v>44440</v>
      </c>
      <c r="B353" s="45">
        <v>0</v>
      </c>
      <c r="C353" s="45">
        <v>0</v>
      </c>
      <c r="D353" s="45">
        <v>53.763930000000009</v>
      </c>
      <c r="E353" s="45">
        <v>73.058056817310032</v>
      </c>
      <c r="F353" s="45">
        <v>28.389240000000001</v>
      </c>
      <c r="G353" s="45">
        <v>26.864161502992879</v>
      </c>
      <c r="H353" s="46">
        <v>0.35886749382550764</v>
      </c>
      <c r="I353" s="46">
        <v>-5.3720300261899334E-2</v>
      </c>
      <c r="J353" s="46">
        <v>0.21629169416472771</v>
      </c>
    </row>
    <row r="354" spans="1:10" ht="11.25" customHeight="1" x14ac:dyDescent="0.2">
      <c r="A354" s="55">
        <v>44470</v>
      </c>
      <c r="B354" s="45">
        <v>0</v>
      </c>
      <c r="C354" s="45">
        <v>0</v>
      </c>
      <c r="D354" s="45">
        <v>60.823840000000004</v>
      </c>
      <c r="E354" s="45">
        <v>82.651539025643672</v>
      </c>
      <c r="F354" s="45">
        <v>32.11712</v>
      </c>
      <c r="G354" s="45">
        <v>30.391778670052549</v>
      </c>
      <c r="H354" s="46">
        <v>0.35886749382550764</v>
      </c>
      <c r="I354" s="46">
        <v>-5.3720300261899334E-2</v>
      </c>
      <c r="J354" s="46">
        <v>0.21629169416472793</v>
      </c>
    </row>
    <row r="355" spans="1:10" ht="11.25" customHeight="1" x14ac:dyDescent="0.2">
      <c r="A355" s="55">
        <v>44501</v>
      </c>
      <c r="B355" s="45">
        <v>0</v>
      </c>
      <c r="C355" s="45">
        <v>0</v>
      </c>
      <c r="D355" s="45">
        <v>41.273320000000005</v>
      </c>
      <c r="E355" s="45">
        <v>56.084972910258202</v>
      </c>
      <c r="F355" s="45">
        <v>21.793759999999999</v>
      </c>
      <c r="G355" s="45">
        <v>20.62299266896423</v>
      </c>
      <c r="H355" s="46">
        <v>0.35886749382550742</v>
      </c>
      <c r="I355" s="46">
        <v>-5.3720300261899223E-2</v>
      </c>
      <c r="J355" s="46">
        <v>0.21629169416472793</v>
      </c>
    </row>
    <row r="356" spans="1:10" ht="11.25" customHeight="1" x14ac:dyDescent="0.2">
      <c r="A356" s="55">
        <v>44531</v>
      </c>
      <c r="B356" s="45">
        <v>0</v>
      </c>
      <c r="C356" s="45">
        <v>0</v>
      </c>
      <c r="D356" s="45">
        <v>46.160950000000007</v>
      </c>
      <c r="E356" s="45">
        <v>62.72661443910458</v>
      </c>
      <c r="F356" s="45">
        <v>24.374600000000001</v>
      </c>
      <c r="G356" s="45">
        <v>23.065189169236312</v>
      </c>
      <c r="H356" s="46">
        <v>0.35886749382550764</v>
      </c>
      <c r="I356" s="46">
        <v>-5.3720300261899223E-2</v>
      </c>
      <c r="J356" s="46">
        <v>0.21629169416472815</v>
      </c>
    </row>
    <row r="357" spans="1:10" ht="11.25" customHeight="1" x14ac:dyDescent="0.2">
      <c r="A357" s="55">
        <v>44562</v>
      </c>
      <c r="B357" s="45">
        <v>0</v>
      </c>
      <c r="C357" s="45">
        <v>0</v>
      </c>
      <c r="D357" s="45">
        <v>42.902530000000006</v>
      </c>
      <c r="E357" s="45">
        <v>58.298853419873659</v>
      </c>
      <c r="F357" s="45">
        <v>22.654039999999998</v>
      </c>
      <c r="G357" s="45">
        <v>21.437058169054922</v>
      </c>
      <c r="H357" s="46">
        <v>0.35886749382550742</v>
      </c>
      <c r="I357" s="46">
        <v>-5.3720300261899334E-2</v>
      </c>
      <c r="J357" s="46">
        <v>0.21629169416472793</v>
      </c>
    </row>
    <row r="358" spans="1:10" ht="11.25" customHeight="1" x14ac:dyDescent="0.2">
      <c r="A358" s="55">
        <v>44593</v>
      </c>
      <c r="B358" s="45">
        <v>0</v>
      </c>
      <c r="C358" s="45">
        <v>0</v>
      </c>
      <c r="D358" s="45">
        <v>49.419370000000001</v>
      </c>
      <c r="E358" s="45">
        <v>67.15437545833548</v>
      </c>
      <c r="F358" s="45">
        <v>26.09516</v>
      </c>
      <c r="G358" s="45">
        <v>24.693320169417696</v>
      </c>
      <c r="H358" s="46">
        <v>0.35886749382550764</v>
      </c>
      <c r="I358" s="46">
        <v>-5.3720300261899334E-2</v>
      </c>
      <c r="J358" s="46">
        <v>0.21629169416472793</v>
      </c>
    </row>
    <row r="359" spans="1:10" ht="11.25" customHeight="1" x14ac:dyDescent="0.2">
      <c r="A359" s="55">
        <v>44621</v>
      </c>
      <c r="B359" s="45">
        <v>0</v>
      </c>
      <c r="C359" s="45">
        <v>0</v>
      </c>
      <c r="D359" s="45">
        <v>30.411920000000002</v>
      </c>
      <c r="E359" s="45">
        <v>41.325769512821836</v>
      </c>
      <c r="F359" s="45">
        <v>16.05856</v>
      </c>
      <c r="G359" s="45">
        <v>15.195889335026274</v>
      </c>
      <c r="H359" s="46">
        <v>0.35886749382550764</v>
      </c>
      <c r="I359" s="46">
        <v>-5.3720300261899334E-2</v>
      </c>
      <c r="J359" s="46">
        <v>0.21629169416472793</v>
      </c>
    </row>
    <row r="360" spans="1:10" ht="11.25" customHeight="1" x14ac:dyDescent="0.2">
      <c r="A360" s="55">
        <v>44652</v>
      </c>
      <c r="B360" s="45">
        <v>0</v>
      </c>
      <c r="C360" s="45">
        <v>0</v>
      </c>
      <c r="D360" s="45">
        <v>49.419370000000001</v>
      </c>
      <c r="E360" s="45">
        <v>67.15437545833548</v>
      </c>
      <c r="F360" s="45">
        <v>26.09516</v>
      </c>
      <c r="G360" s="45">
        <v>24.693320169417696</v>
      </c>
      <c r="H360" s="46">
        <v>0.35886749382550764</v>
      </c>
      <c r="I360" s="46">
        <v>-5.3720300261899334E-2</v>
      </c>
      <c r="J360" s="46">
        <v>0.21629169416472793</v>
      </c>
    </row>
    <row r="361" spans="1:10" ht="11.25" customHeight="1" x14ac:dyDescent="0.2">
      <c r="A361" s="55">
        <v>44682</v>
      </c>
      <c r="B361" s="45">
        <v>0</v>
      </c>
      <c r="C361" s="45">
        <v>0</v>
      </c>
      <c r="D361" s="45">
        <v>29.325780000000002</v>
      </c>
      <c r="E361" s="45">
        <v>39.849849173078198</v>
      </c>
      <c r="F361" s="45">
        <v>15.48504</v>
      </c>
      <c r="G361" s="45">
        <v>14.653179001632479</v>
      </c>
      <c r="H361" s="46">
        <v>0.35886749382550764</v>
      </c>
      <c r="I361" s="46">
        <v>-5.3720300261899334E-2</v>
      </c>
      <c r="J361" s="46">
        <v>0.21629169416472815</v>
      </c>
    </row>
    <row r="362" spans="1:10" ht="11.25" customHeight="1" x14ac:dyDescent="0.2">
      <c r="A362" s="55">
        <v>44713</v>
      </c>
      <c r="B362" s="45">
        <v>0</v>
      </c>
      <c r="C362" s="45">
        <v>0</v>
      </c>
      <c r="D362" s="45">
        <v>47.79016</v>
      </c>
      <c r="E362" s="45">
        <v>64.94049494872003</v>
      </c>
      <c r="F362" s="45">
        <v>25.234879999999997</v>
      </c>
      <c r="G362" s="45">
        <v>23.879254669327</v>
      </c>
      <c r="H362" s="46">
        <v>0.35886749382550787</v>
      </c>
      <c r="I362" s="46">
        <v>-5.3720300261899223E-2</v>
      </c>
      <c r="J362" s="46">
        <v>0.21629169416472815</v>
      </c>
    </row>
    <row r="363" spans="1:10" ht="11.25" customHeight="1" x14ac:dyDescent="0.2">
      <c r="A363" s="55">
        <v>44743</v>
      </c>
      <c r="B363" s="45">
        <v>0</v>
      </c>
      <c r="C363" s="45">
        <v>0</v>
      </c>
      <c r="D363" s="45">
        <v>41.273320000000005</v>
      </c>
      <c r="E363" s="45">
        <v>56.084972910258202</v>
      </c>
      <c r="F363" s="45">
        <v>21.793759999999999</v>
      </c>
      <c r="G363" s="45">
        <v>20.62299266896423</v>
      </c>
      <c r="H363" s="46">
        <v>0.35886749382550742</v>
      </c>
      <c r="I363" s="46">
        <v>-5.3720300261899223E-2</v>
      </c>
      <c r="J363" s="46">
        <v>0.21629169416472793</v>
      </c>
    </row>
    <row r="364" spans="1:10" ht="11.25" customHeight="1" x14ac:dyDescent="0.2">
      <c r="A364" s="54" t="s">
        <v>36</v>
      </c>
      <c r="B364" s="45">
        <v>0</v>
      </c>
      <c r="C364" s="45">
        <v>0</v>
      </c>
      <c r="D364" s="45">
        <v>931.81394999999998</v>
      </c>
      <c r="E364" s="45">
        <v>1194.4630262446121</v>
      </c>
      <c r="F364" s="45">
        <v>238.70535000000001</v>
      </c>
      <c r="G364" s="45">
        <v>225.45848019456736</v>
      </c>
      <c r="H364" s="46">
        <v>0.2818685814315316</v>
      </c>
      <c r="I364" s="46">
        <v>-5.5494649807524832E-2</v>
      </c>
      <c r="J364" s="46">
        <v>0.21306970883707721</v>
      </c>
    </row>
    <row r="365" spans="1:10" ht="11.25" customHeight="1" x14ac:dyDescent="0.2">
      <c r="A365" s="55">
        <v>44409</v>
      </c>
      <c r="B365" s="45">
        <v>0</v>
      </c>
      <c r="C365" s="45">
        <v>0</v>
      </c>
      <c r="D365" s="45">
        <v>30.488800000000001</v>
      </c>
      <c r="E365" s="45">
        <v>39.082634805549688</v>
      </c>
      <c r="F365" s="45">
        <v>7.8103999999999996</v>
      </c>
      <c r="G365" s="45">
        <v>7.3769645871433074</v>
      </c>
      <c r="H365" s="46">
        <v>0.28186858143153182</v>
      </c>
      <c r="I365" s="46">
        <v>-5.5494649807524832E-2</v>
      </c>
      <c r="J365" s="46">
        <v>0.21306970883707743</v>
      </c>
    </row>
    <row r="366" spans="1:10" ht="11.25" customHeight="1" x14ac:dyDescent="0.2">
      <c r="A366" s="55">
        <v>44440</v>
      </c>
      <c r="B366" s="45">
        <v>0</v>
      </c>
      <c r="C366" s="45">
        <v>0</v>
      </c>
      <c r="D366" s="45">
        <v>40.016550000000002</v>
      </c>
      <c r="E366" s="45">
        <v>51.295958182283968</v>
      </c>
      <c r="F366" s="45">
        <v>10.251150000000001</v>
      </c>
      <c r="G366" s="45">
        <v>9.6822660206255922</v>
      </c>
      <c r="H366" s="46">
        <v>0.28186858143153182</v>
      </c>
      <c r="I366" s="46">
        <v>-5.5494649807524832E-2</v>
      </c>
      <c r="J366" s="46">
        <v>0.21306970883707743</v>
      </c>
    </row>
    <row r="367" spans="1:10" ht="11.25" customHeight="1" x14ac:dyDescent="0.2">
      <c r="A367" s="55">
        <v>44470</v>
      </c>
      <c r="B367" s="45">
        <v>0</v>
      </c>
      <c r="C367" s="45">
        <v>0</v>
      </c>
      <c r="D367" s="45">
        <v>57.166499999999999</v>
      </c>
      <c r="E367" s="45">
        <v>73.279940260405652</v>
      </c>
      <c r="F367" s="45">
        <v>14.644499999999999</v>
      </c>
      <c r="G367" s="45">
        <v>13.831808600893702</v>
      </c>
      <c r="H367" s="46">
        <v>0.2818685814315316</v>
      </c>
      <c r="I367" s="46">
        <v>-5.5494649807524832E-2</v>
      </c>
      <c r="J367" s="46">
        <v>0.21306970883707743</v>
      </c>
    </row>
    <row r="368" spans="1:10" ht="11.25" customHeight="1" x14ac:dyDescent="0.2">
      <c r="A368" s="55">
        <v>44501</v>
      </c>
      <c r="B368" s="45">
        <v>0</v>
      </c>
      <c r="C368" s="45">
        <v>0</v>
      </c>
      <c r="D368" s="45">
        <v>55.260950000000001</v>
      </c>
      <c r="E368" s="45">
        <v>70.837275585058805</v>
      </c>
      <c r="F368" s="45">
        <v>14.15635</v>
      </c>
      <c r="G368" s="45">
        <v>13.370748314197245</v>
      </c>
      <c r="H368" s="46">
        <v>0.28186858143153182</v>
      </c>
      <c r="I368" s="46">
        <v>-5.5494649807524832E-2</v>
      </c>
      <c r="J368" s="46">
        <v>0.21306970883707743</v>
      </c>
    </row>
    <row r="369" spans="1:10" ht="11.25" customHeight="1" x14ac:dyDescent="0.2">
      <c r="A369" s="55">
        <v>44531</v>
      </c>
      <c r="B369" s="45">
        <v>0</v>
      </c>
      <c r="C369" s="45">
        <v>0</v>
      </c>
      <c r="D369" s="45">
        <v>59.072049999999997</v>
      </c>
      <c r="E369" s="45">
        <v>75.722604935752514</v>
      </c>
      <c r="F369" s="45">
        <v>15.13265</v>
      </c>
      <c r="G369" s="45">
        <v>14.292868887590158</v>
      </c>
      <c r="H369" s="46">
        <v>0.28186858143153182</v>
      </c>
      <c r="I369" s="46">
        <v>-5.5494649807524943E-2</v>
      </c>
      <c r="J369" s="46">
        <v>0.21306970883707721</v>
      </c>
    </row>
    <row r="370" spans="1:10" ht="11.25" customHeight="1" x14ac:dyDescent="0.2">
      <c r="A370" s="55">
        <v>44562</v>
      </c>
      <c r="B370" s="45">
        <v>0</v>
      </c>
      <c r="C370" s="45">
        <v>0</v>
      </c>
      <c r="D370" s="45">
        <v>80.033100000000005</v>
      </c>
      <c r="E370" s="45">
        <v>102.59191636456794</v>
      </c>
      <c r="F370" s="45">
        <v>20.502300000000002</v>
      </c>
      <c r="G370" s="45">
        <v>19.364532041251184</v>
      </c>
      <c r="H370" s="46">
        <v>0.28186858143153182</v>
      </c>
      <c r="I370" s="46">
        <v>-5.5494649807524832E-2</v>
      </c>
      <c r="J370" s="46">
        <v>0.21306970883707743</v>
      </c>
    </row>
    <row r="371" spans="1:10" ht="11.25" customHeight="1" x14ac:dyDescent="0.2">
      <c r="A371" s="55">
        <v>44593</v>
      </c>
      <c r="B371" s="45">
        <v>0</v>
      </c>
      <c r="C371" s="45">
        <v>0</v>
      </c>
      <c r="D371" s="45">
        <v>68.599799999999988</v>
      </c>
      <c r="E371" s="45">
        <v>87.93592831248678</v>
      </c>
      <c r="F371" s="45">
        <v>17.573399999999999</v>
      </c>
      <c r="G371" s="45">
        <v>16.598170321072441</v>
      </c>
      <c r="H371" s="46">
        <v>0.28186858143153182</v>
      </c>
      <c r="I371" s="46">
        <v>-5.5494649807524943E-2</v>
      </c>
      <c r="J371" s="46">
        <v>0.21306970883707743</v>
      </c>
    </row>
    <row r="372" spans="1:10" ht="11.25" customHeight="1" x14ac:dyDescent="0.2">
      <c r="A372" s="55">
        <v>44621</v>
      </c>
      <c r="B372" s="45">
        <v>0</v>
      </c>
      <c r="C372" s="45">
        <v>0</v>
      </c>
      <c r="D372" s="45">
        <v>83.844199999999987</v>
      </c>
      <c r="E372" s="45">
        <v>107.47724571526163</v>
      </c>
      <c r="F372" s="45">
        <v>21.478599999999997</v>
      </c>
      <c r="G372" s="45">
        <v>20.286652614644094</v>
      </c>
      <c r="H372" s="46">
        <v>0.28186858143153182</v>
      </c>
      <c r="I372" s="46">
        <v>-5.5494649807524832E-2</v>
      </c>
      <c r="J372" s="46">
        <v>0.21306970883707743</v>
      </c>
    </row>
    <row r="373" spans="1:10" ht="11.25" customHeight="1" x14ac:dyDescent="0.2">
      <c r="A373" s="55">
        <v>44652</v>
      </c>
      <c r="B373" s="45">
        <v>0</v>
      </c>
      <c r="C373" s="45">
        <v>0</v>
      </c>
      <c r="D373" s="45">
        <v>100.99414999999999</v>
      </c>
      <c r="E373" s="45">
        <v>129.46122779338333</v>
      </c>
      <c r="F373" s="45">
        <v>25.871949999999998</v>
      </c>
      <c r="G373" s="45">
        <v>24.436195194912205</v>
      </c>
      <c r="H373" s="46">
        <v>0.28186858143153182</v>
      </c>
      <c r="I373" s="46">
        <v>-5.5494649807524832E-2</v>
      </c>
      <c r="J373" s="46">
        <v>0.21306970883707743</v>
      </c>
    </row>
    <row r="374" spans="1:10" ht="11.25" customHeight="1" x14ac:dyDescent="0.2">
      <c r="A374" s="55">
        <v>44682</v>
      </c>
      <c r="B374" s="45">
        <v>0</v>
      </c>
      <c r="C374" s="45">
        <v>0</v>
      </c>
      <c r="D374" s="45">
        <v>76.221999999999994</v>
      </c>
      <c r="E374" s="45">
        <v>97.706587013874213</v>
      </c>
      <c r="F374" s="45">
        <v>19.526</v>
      </c>
      <c r="G374" s="45">
        <v>18.442411467858271</v>
      </c>
      <c r="H374" s="46">
        <v>0.28186858143153182</v>
      </c>
      <c r="I374" s="46">
        <v>-5.5494649807524721E-2</v>
      </c>
      <c r="J374" s="46">
        <v>0.21306970883707765</v>
      </c>
    </row>
    <row r="375" spans="1:10" ht="11.25" customHeight="1" x14ac:dyDescent="0.2">
      <c r="A375" s="55">
        <v>44713</v>
      </c>
      <c r="B375" s="45">
        <v>0</v>
      </c>
      <c r="C375" s="45">
        <v>0</v>
      </c>
      <c r="D375" s="45">
        <v>175.31059999999999</v>
      </c>
      <c r="E375" s="45">
        <v>224.72515013191068</v>
      </c>
      <c r="F375" s="45">
        <v>44.909799999999997</v>
      </c>
      <c r="G375" s="45">
        <v>42.417546376074021</v>
      </c>
      <c r="H375" s="46">
        <v>0.28186858143153182</v>
      </c>
      <c r="I375" s="46">
        <v>-5.5494649807524721E-2</v>
      </c>
      <c r="J375" s="46">
        <v>0.21306970883707721</v>
      </c>
    </row>
    <row r="376" spans="1:10" ht="11.25" customHeight="1" x14ac:dyDescent="0.2">
      <c r="A376" s="55">
        <v>44743</v>
      </c>
      <c r="B376" s="45">
        <v>0</v>
      </c>
      <c r="C376" s="45">
        <v>0</v>
      </c>
      <c r="D376" s="45">
        <v>104.80525</v>
      </c>
      <c r="E376" s="45">
        <v>134.34655714407705</v>
      </c>
      <c r="F376" s="45">
        <v>26.84825</v>
      </c>
      <c r="G376" s="45">
        <v>25.358315768305122</v>
      </c>
      <c r="H376" s="46">
        <v>0.28186858143153182</v>
      </c>
      <c r="I376" s="46">
        <v>-5.5494649807524832E-2</v>
      </c>
      <c r="J376" s="46">
        <v>0.21306970883707743</v>
      </c>
    </row>
    <row r="377" spans="1:10" ht="11.25" customHeight="1" x14ac:dyDescent="0.2">
      <c r="A377" s="49" t="s">
        <v>23</v>
      </c>
      <c r="B377" s="45">
        <v>0</v>
      </c>
      <c r="C377" s="45">
        <v>0</v>
      </c>
      <c r="D377" s="45">
        <v>2197945.7719091987</v>
      </c>
      <c r="E377" s="45">
        <v>3124617.7838183204</v>
      </c>
      <c r="F377" s="45">
        <v>1944122.3288903995</v>
      </c>
      <c r="G377" s="45">
        <v>1839236.3508704407</v>
      </c>
      <c r="H377" s="46">
        <v>0.42160822334765236</v>
      </c>
      <c r="I377" s="46">
        <v>-5.3950297499964051E-2</v>
      </c>
      <c r="J377" s="46">
        <v>0.19839993305047798</v>
      </c>
    </row>
    <row r="378" spans="1:10" ht="11.25" customHeight="1" x14ac:dyDescent="0.2">
      <c r="A378" s="50" t="s">
        <v>40</v>
      </c>
      <c r="B378" s="45">
        <v>0</v>
      </c>
      <c r="C378" s="45">
        <v>0</v>
      </c>
      <c r="D378" s="45">
        <v>1264444.86834</v>
      </c>
      <c r="E378" s="45">
        <v>1797545.2228018818</v>
      </c>
      <c r="F378" s="45">
        <v>1118424.0910799999</v>
      </c>
      <c r="G378" s="45">
        <v>1058084.7786351077</v>
      </c>
      <c r="H378" s="46">
        <v>0.42160822334765102</v>
      </c>
      <c r="I378" s="46">
        <v>-5.395029749996394E-2</v>
      </c>
      <c r="J378" s="46">
        <v>0.19839993305047776</v>
      </c>
    </row>
    <row r="379" spans="1:10" ht="11.25" customHeight="1" x14ac:dyDescent="0.2">
      <c r="A379" s="51" t="s">
        <v>25</v>
      </c>
      <c r="B379" s="45">
        <v>0</v>
      </c>
      <c r="C379" s="45">
        <v>0</v>
      </c>
      <c r="D379" s="45">
        <v>1264444.86834</v>
      </c>
      <c r="E379" s="45">
        <v>1797545.2228018818</v>
      </c>
      <c r="F379" s="45">
        <v>1118424.0910799999</v>
      </c>
      <c r="G379" s="45">
        <v>1058084.7786351077</v>
      </c>
      <c r="H379" s="46">
        <v>0.42160822334765102</v>
      </c>
      <c r="I379" s="46">
        <v>-5.395029749996394E-2</v>
      </c>
      <c r="J379" s="46">
        <v>0.19839993305047776</v>
      </c>
    </row>
    <row r="380" spans="1:10" ht="11.25" customHeight="1" x14ac:dyDescent="0.2">
      <c r="A380" s="52" t="s">
        <v>25</v>
      </c>
      <c r="B380" s="45">
        <v>0</v>
      </c>
      <c r="C380" s="45">
        <v>0</v>
      </c>
      <c r="D380" s="45">
        <v>1264444.86834</v>
      </c>
      <c r="E380" s="45">
        <v>1797545.2228018818</v>
      </c>
      <c r="F380" s="45">
        <v>1118424.0910799999</v>
      </c>
      <c r="G380" s="45">
        <v>1058084.7786351077</v>
      </c>
      <c r="H380" s="46">
        <v>0.42160822334765102</v>
      </c>
      <c r="I380" s="46">
        <v>-5.395029749996394E-2</v>
      </c>
      <c r="J380" s="46">
        <v>0.19839993305047776</v>
      </c>
    </row>
    <row r="381" spans="1:10" ht="11.25" customHeight="1" x14ac:dyDescent="0.2">
      <c r="A381" s="53" t="s">
        <v>25</v>
      </c>
      <c r="B381" s="45">
        <v>0</v>
      </c>
      <c r="C381" s="45">
        <v>0</v>
      </c>
      <c r="D381" s="45">
        <v>1264444.86834</v>
      </c>
      <c r="E381" s="45">
        <v>1797545.2228018818</v>
      </c>
      <c r="F381" s="45">
        <v>1118424.0910799999</v>
      </c>
      <c r="G381" s="45">
        <v>1058084.7786351077</v>
      </c>
      <c r="H381" s="46">
        <v>0.42160822334765102</v>
      </c>
      <c r="I381" s="46">
        <v>-5.395029749996394E-2</v>
      </c>
      <c r="J381" s="46">
        <v>0.19839993305047776</v>
      </c>
    </row>
    <row r="382" spans="1:10" ht="11.25" customHeight="1" x14ac:dyDescent="0.2">
      <c r="A382" s="54" t="s">
        <v>25</v>
      </c>
      <c r="B382" s="45">
        <v>0</v>
      </c>
      <c r="C382" s="45">
        <v>0</v>
      </c>
      <c r="D382" s="45">
        <v>1264444.86834</v>
      </c>
      <c r="E382" s="45">
        <v>1797545.2228018818</v>
      </c>
      <c r="F382" s="45">
        <v>1118424.0910799999</v>
      </c>
      <c r="G382" s="45">
        <v>1058084.7786351077</v>
      </c>
      <c r="H382" s="46">
        <v>0.42160822334765102</v>
      </c>
      <c r="I382" s="46">
        <v>-5.395029749996394E-2</v>
      </c>
      <c r="J382" s="46">
        <v>0.19839993305047776</v>
      </c>
    </row>
    <row r="383" spans="1:10" ht="11.25" customHeight="1" x14ac:dyDescent="0.2">
      <c r="A383" s="55">
        <v>44409</v>
      </c>
      <c r="B383" s="45">
        <v>0</v>
      </c>
      <c r="C383" s="45">
        <v>0</v>
      </c>
      <c r="D383" s="45">
        <v>89721.796499999997</v>
      </c>
      <c r="E383" s="45">
        <v>127549.2437179245</v>
      </c>
      <c r="F383" s="45">
        <v>79360.532999999996</v>
      </c>
      <c r="G383" s="45">
        <v>75079.008634894315</v>
      </c>
      <c r="H383" s="46">
        <v>0.42160822334765125</v>
      </c>
      <c r="I383" s="46">
        <v>-5.3950297499963606E-2</v>
      </c>
      <c r="J383" s="46">
        <v>0.19839993305047776</v>
      </c>
    </row>
    <row r="384" spans="1:10" ht="11.25" customHeight="1" x14ac:dyDescent="0.2">
      <c r="A384" s="55">
        <v>44440</v>
      </c>
      <c r="B384" s="45">
        <v>0</v>
      </c>
      <c r="C384" s="45">
        <v>0</v>
      </c>
      <c r="D384" s="45">
        <v>97599.950190000003</v>
      </c>
      <c r="E384" s="45">
        <v>138748.89178842516</v>
      </c>
      <c r="F384" s="45">
        <v>86328.900780000011</v>
      </c>
      <c r="G384" s="45">
        <v>81671.430900074163</v>
      </c>
      <c r="H384" s="46">
        <v>0.42160822334765125</v>
      </c>
      <c r="I384" s="46">
        <v>-5.3950297499963717E-2</v>
      </c>
      <c r="J384" s="46">
        <v>0.19839993305047776</v>
      </c>
    </row>
    <row r="385" spans="1:10" ht="11.25" customHeight="1" x14ac:dyDescent="0.2">
      <c r="A385" s="55">
        <v>44470</v>
      </c>
      <c r="B385" s="45">
        <v>0</v>
      </c>
      <c r="C385" s="45">
        <v>0</v>
      </c>
      <c r="D385" s="45">
        <v>92304.493920000008</v>
      </c>
      <c r="E385" s="45">
        <v>131220.82760861528</v>
      </c>
      <c r="F385" s="45">
        <v>81644.975040000019</v>
      </c>
      <c r="G385" s="45">
        <v>77240.204347214894</v>
      </c>
      <c r="H385" s="46">
        <v>0.42160822334765102</v>
      </c>
      <c r="I385" s="46">
        <v>-5.3950297499963829E-2</v>
      </c>
      <c r="J385" s="46">
        <v>0.19839993305047754</v>
      </c>
    </row>
    <row r="386" spans="1:10" ht="11.25" customHeight="1" x14ac:dyDescent="0.2">
      <c r="A386" s="55">
        <v>44501</v>
      </c>
      <c r="B386" s="45">
        <v>0</v>
      </c>
      <c r="C386" s="45">
        <v>0</v>
      </c>
      <c r="D386" s="45">
        <v>92850.134219999993</v>
      </c>
      <c r="E386" s="45">
        <v>131996.51434608514</v>
      </c>
      <c r="F386" s="45">
        <v>82127.603640000001</v>
      </c>
      <c r="G386" s="45">
        <v>77696.794990662893</v>
      </c>
      <c r="H386" s="46">
        <v>0.42160822334765125</v>
      </c>
      <c r="I386" s="46">
        <v>-5.3950297499963829E-2</v>
      </c>
      <c r="J386" s="46">
        <v>0.19839993305047776</v>
      </c>
    </row>
    <row r="387" spans="1:10" ht="11.25" customHeight="1" x14ac:dyDescent="0.2">
      <c r="A387" s="55">
        <v>44531</v>
      </c>
      <c r="B387" s="45">
        <v>0</v>
      </c>
      <c r="C387" s="45">
        <v>0</v>
      </c>
      <c r="D387" s="45">
        <v>110492.84709</v>
      </c>
      <c r="E387" s="45">
        <v>157077.54004423859</v>
      </c>
      <c r="F387" s="45">
        <v>97732.898579999994</v>
      </c>
      <c r="G387" s="45">
        <v>92460.179626075216</v>
      </c>
      <c r="H387" s="46">
        <v>0.42160822334765125</v>
      </c>
      <c r="I387" s="46">
        <v>-5.3950297499963717E-2</v>
      </c>
      <c r="J387" s="46">
        <v>0.19839993305047798</v>
      </c>
    </row>
    <row r="388" spans="1:10" ht="11.25" customHeight="1" x14ac:dyDescent="0.2">
      <c r="A388" s="55">
        <v>44562</v>
      </c>
      <c r="B388" s="45">
        <v>0</v>
      </c>
      <c r="C388" s="45">
        <v>0</v>
      </c>
      <c r="D388" s="45">
        <v>118816.77860999999</v>
      </c>
      <c r="E388" s="45">
        <v>168910.90954365331</v>
      </c>
      <c r="F388" s="45">
        <v>105095.56482</v>
      </c>
      <c r="G388" s="45">
        <v>99425.627832034297</v>
      </c>
      <c r="H388" s="46">
        <v>0.42160822334765125</v>
      </c>
      <c r="I388" s="46">
        <v>-5.3950297499963495E-2</v>
      </c>
      <c r="J388" s="46">
        <v>0.19839993305047798</v>
      </c>
    </row>
    <row r="389" spans="1:10" ht="11.25" customHeight="1" x14ac:dyDescent="0.2">
      <c r="A389" s="55">
        <v>44593</v>
      </c>
      <c r="B389" s="45">
        <v>0</v>
      </c>
      <c r="C389" s="45">
        <v>0</v>
      </c>
      <c r="D389" s="45">
        <v>138638.62098000001</v>
      </c>
      <c r="E389" s="45">
        <v>197089.80365874618</v>
      </c>
      <c r="F389" s="45">
        <v>122628.33876</v>
      </c>
      <c r="G389" s="45">
        <v>116012.50340197167</v>
      </c>
      <c r="H389" s="46">
        <v>0.42160822334765102</v>
      </c>
      <c r="I389" s="46">
        <v>-5.3950297499963717E-2</v>
      </c>
      <c r="J389" s="46">
        <v>0.19839993305047754</v>
      </c>
    </row>
    <row r="390" spans="1:10" ht="11.25" customHeight="1" x14ac:dyDescent="0.2">
      <c r="A390" s="55">
        <v>44621</v>
      </c>
      <c r="B390" s="45">
        <v>0</v>
      </c>
      <c r="C390" s="45">
        <v>0</v>
      </c>
      <c r="D390" s="45">
        <v>130464.99791999999</v>
      </c>
      <c r="E390" s="45">
        <v>185470.11390210621</v>
      </c>
      <c r="F390" s="45">
        <v>115398.62303999999</v>
      </c>
      <c r="G390" s="45">
        <v>109172.83299590585</v>
      </c>
      <c r="H390" s="46">
        <v>0.42160822334765125</v>
      </c>
      <c r="I390" s="46">
        <v>-5.3950297499963495E-2</v>
      </c>
      <c r="J390" s="46">
        <v>0.19839993305047798</v>
      </c>
    </row>
    <row r="391" spans="1:10" ht="11.25" customHeight="1" x14ac:dyDescent="0.2">
      <c r="A391" s="55">
        <v>44652</v>
      </c>
      <c r="B391" s="45">
        <v>0</v>
      </c>
      <c r="C391" s="45">
        <v>0</v>
      </c>
      <c r="D391" s="45">
        <v>118019.93787000001</v>
      </c>
      <c r="E391" s="45">
        <v>167778.1141949709</v>
      </c>
      <c r="F391" s="45">
        <v>104390.74494</v>
      </c>
      <c r="G391" s="45">
        <v>98758.833194244187</v>
      </c>
      <c r="H391" s="46">
        <v>0.42160822334765125</v>
      </c>
      <c r="I391" s="46">
        <v>-5.3950297499963606E-2</v>
      </c>
      <c r="J391" s="46">
        <v>0.19839993305047798</v>
      </c>
    </row>
    <row r="392" spans="1:10" ht="11.25" customHeight="1" x14ac:dyDescent="0.2">
      <c r="A392" s="55">
        <v>44682</v>
      </c>
      <c r="B392" s="45">
        <v>0</v>
      </c>
      <c r="C392" s="45">
        <v>0</v>
      </c>
      <c r="D392" s="45">
        <v>91729.341000000015</v>
      </c>
      <c r="E392" s="45">
        <v>130403.18548786086</v>
      </c>
      <c r="F392" s="45">
        <v>81136.242000000013</v>
      </c>
      <c r="G392" s="45">
        <v>76758.917606070958</v>
      </c>
      <c r="H392" s="46">
        <v>0.42160822334765102</v>
      </c>
      <c r="I392" s="46">
        <v>-5.3950297499963717E-2</v>
      </c>
      <c r="J392" s="46">
        <v>0.19839993305047754</v>
      </c>
    </row>
    <row r="393" spans="1:10" ht="11.25" customHeight="1" x14ac:dyDescent="0.2">
      <c r="A393" s="55">
        <v>44713</v>
      </c>
      <c r="B393" s="45">
        <v>0</v>
      </c>
      <c r="C393" s="45">
        <v>0</v>
      </c>
      <c r="D393" s="45">
        <v>94195.017450000014</v>
      </c>
      <c r="E393" s="45">
        <v>133908.41140529551</v>
      </c>
      <c r="F393" s="45">
        <v>83317.176900000006</v>
      </c>
      <c r="G393" s="45">
        <v>78822.190419387902</v>
      </c>
      <c r="H393" s="46">
        <v>0.42160822334765102</v>
      </c>
      <c r="I393" s="46">
        <v>-5.3950297499963717E-2</v>
      </c>
      <c r="J393" s="46">
        <v>0.19839993305047798</v>
      </c>
    </row>
    <row r="394" spans="1:10" ht="11.25" customHeight="1" x14ac:dyDescent="0.2">
      <c r="A394" s="55">
        <v>44743</v>
      </c>
      <c r="B394" s="45">
        <v>0</v>
      </c>
      <c r="C394" s="45">
        <v>0</v>
      </c>
      <c r="D394" s="45">
        <v>89610.952590000001</v>
      </c>
      <c r="E394" s="45">
        <v>127391.6671039605</v>
      </c>
      <c r="F394" s="45">
        <v>79262.489580000009</v>
      </c>
      <c r="G394" s="45">
        <v>74986.254686571236</v>
      </c>
      <c r="H394" s="46">
        <v>0.42160822334765125</v>
      </c>
      <c r="I394" s="46">
        <v>-5.3950297499963717E-2</v>
      </c>
      <c r="J394" s="46">
        <v>0.19839993305047776</v>
      </c>
    </row>
    <row r="395" spans="1:10" ht="11.25" customHeight="1" x14ac:dyDescent="0.2">
      <c r="A395" s="50" t="s">
        <v>49</v>
      </c>
      <c r="B395" s="45">
        <v>0</v>
      </c>
      <c r="C395" s="45">
        <v>0</v>
      </c>
      <c r="D395" s="45">
        <v>15195.5676</v>
      </c>
      <c r="E395" s="45">
        <v>21602.143858595133</v>
      </c>
      <c r="F395" s="45">
        <v>13440.751199999999</v>
      </c>
      <c r="G395" s="45">
        <v>12715.618674137006</v>
      </c>
      <c r="H395" s="46">
        <v>0.42160822334765125</v>
      </c>
      <c r="I395" s="46">
        <v>-5.3950297499963606E-2</v>
      </c>
      <c r="J395" s="46">
        <v>0.19839993305047776</v>
      </c>
    </row>
    <row r="396" spans="1:10" ht="11.25" customHeight="1" x14ac:dyDescent="0.2">
      <c r="A396" s="51" t="s">
        <v>25</v>
      </c>
      <c r="B396" s="45">
        <v>0</v>
      </c>
      <c r="C396" s="45">
        <v>0</v>
      </c>
      <c r="D396" s="45">
        <v>15195.5676</v>
      </c>
      <c r="E396" s="45">
        <v>21602.143858595133</v>
      </c>
      <c r="F396" s="45">
        <v>13440.751199999999</v>
      </c>
      <c r="G396" s="45">
        <v>12715.618674137006</v>
      </c>
      <c r="H396" s="46">
        <v>0.42160822334765125</v>
      </c>
      <c r="I396" s="46">
        <v>-5.3950297499963606E-2</v>
      </c>
      <c r="J396" s="46">
        <v>0.19839993305047776</v>
      </c>
    </row>
    <row r="397" spans="1:10" ht="11.25" customHeight="1" x14ac:dyDescent="0.2">
      <c r="A397" s="52" t="s">
        <v>25</v>
      </c>
      <c r="B397" s="45">
        <v>0</v>
      </c>
      <c r="C397" s="45">
        <v>0</v>
      </c>
      <c r="D397" s="45">
        <v>15195.5676</v>
      </c>
      <c r="E397" s="45">
        <v>21602.143858595133</v>
      </c>
      <c r="F397" s="45">
        <v>13440.751199999999</v>
      </c>
      <c r="G397" s="45">
        <v>12715.618674137006</v>
      </c>
      <c r="H397" s="46">
        <v>0.42160822334765125</v>
      </c>
      <c r="I397" s="46">
        <v>-5.3950297499963606E-2</v>
      </c>
      <c r="J397" s="46">
        <v>0.19839993305047776</v>
      </c>
    </row>
    <row r="398" spans="1:10" ht="11.25" customHeight="1" x14ac:dyDescent="0.2">
      <c r="A398" s="53" t="s">
        <v>25</v>
      </c>
      <c r="B398" s="45">
        <v>0</v>
      </c>
      <c r="C398" s="45">
        <v>0</v>
      </c>
      <c r="D398" s="45">
        <v>15195.5676</v>
      </c>
      <c r="E398" s="45">
        <v>21602.143858595133</v>
      </c>
      <c r="F398" s="45">
        <v>13440.751199999999</v>
      </c>
      <c r="G398" s="45">
        <v>12715.618674137006</v>
      </c>
      <c r="H398" s="46">
        <v>0.42160822334765125</v>
      </c>
      <c r="I398" s="46">
        <v>-5.3950297499963606E-2</v>
      </c>
      <c r="J398" s="46">
        <v>0.19839993305047776</v>
      </c>
    </row>
    <row r="399" spans="1:10" ht="11.25" customHeight="1" x14ac:dyDescent="0.2">
      <c r="A399" s="54" t="s">
        <v>25</v>
      </c>
      <c r="B399" s="45">
        <v>0</v>
      </c>
      <c r="C399" s="45">
        <v>0</v>
      </c>
      <c r="D399" s="45">
        <v>15195.5676</v>
      </c>
      <c r="E399" s="45">
        <v>21602.143858595133</v>
      </c>
      <c r="F399" s="45">
        <v>13440.751199999999</v>
      </c>
      <c r="G399" s="45">
        <v>12715.618674137006</v>
      </c>
      <c r="H399" s="46">
        <v>0.42160822334765125</v>
      </c>
      <c r="I399" s="46">
        <v>-5.3950297499963606E-2</v>
      </c>
      <c r="J399" s="46">
        <v>0.19839993305047776</v>
      </c>
    </row>
    <row r="400" spans="1:10" ht="11.25" customHeight="1" x14ac:dyDescent="0.2">
      <c r="A400" s="55">
        <v>44409</v>
      </c>
      <c r="B400" s="45">
        <v>0</v>
      </c>
      <c r="C400" s="45">
        <v>0</v>
      </c>
      <c r="D400" s="45">
        <v>827.03970000000004</v>
      </c>
      <c r="E400" s="45">
        <v>1175.7264385549745</v>
      </c>
      <c r="F400" s="45">
        <v>731.53140000000008</v>
      </c>
      <c r="G400" s="45">
        <v>692.06506333943514</v>
      </c>
      <c r="H400" s="46">
        <v>0.42160822334765125</v>
      </c>
      <c r="I400" s="46">
        <v>-5.3950297499963717E-2</v>
      </c>
      <c r="J400" s="46">
        <v>0.19839993305047776</v>
      </c>
    </row>
    <row r="401" spans="1:10" ht="11.25" customHeight="1" x14ac:dyDescent="0.2">
      <c r="A401" s="55">
        <v>44440</v>
      </c>
      <c r="B401" s="45">
        <v>0</v>
      </c>
      <c r="C401" s="45">
        <v>0</v>
      </c>
      <c r="D401" s="45">
        <v>991.76130000000012</v>
      </c>
      <c r="E401" s="45">
        <v>1409.8960196779569</v>
      </c>
      <c r="F401" s="45">
        <v>877.23060000000009</v>
      </c>
      <c r="G401" s="45">
        <v>829.9037481539284</v>
      </c>
      <c r="H401" s="46">
        <v>0.42160822334765102</v>
      </c>
      <c r="I401" s="46">
        <v>-5.3950297499963717E-2</v>
      </c>
      <c r="J401" s="46">
        <v>0.19839993305047754</v>
      </c>
    </row>
    <row r="402" spans="1:10" ht="11.25" customHeight="1" x14ac:dyDescent="0.2">
      <c r="A402" s="55">
        <v>44470</v>
      </c>
      <c r="B402" s="45">
        <v>0</v>
      </c>
      <c r="C402" s="45">
        <v>0</v>
      </c>
      <c r="D402" s="45">
        <v>971.17110000000002</v>
      </c>
      <c r="E402" s="45">
        <v>1380.6248220375842</v>
      </c>
      <c r="F402" s="45">
        <v>859.01820000000009</v>
      </c>
      <c r="G402" s="45">
        <v>812.6739125521168</v>
      </c>
      <c r="H402" s="46">
        <v>0.42160822334765125</v>
      </c>
      <c r="I402" s="46">
        <v>-5.3950297499963606E-2</v>
      </c>
      <c r="J402" s="46">
        <v>0.19839993305047776</v>
      </c>
    </row>
    <row r="403" spans="1:10" ht="11.25" customHeight="1" x14ac:dyDescent="0.2">
      <c r="A403" s="55">
        <v>44501</v>
      </c>
      <c r="B403" s="45">
        <v>0</v>
      </c>
      <c r="C403" s="45">
        <v>0</v>
      </c>
      <c r="D403" s="45">
        <v>1187.3682000000001</v>
      </c>
      <c r="E403" s="45">
        <v>1687.9723972614986</v>
      </c>
      <c r="F403" s="45">
        <v>1050.2483999999999</v>
      </c>
      <c r="G403" s="45">
        <v>993.58718637113918</v>
      </c>
      <c r="H403" s="46">
        <v>0.42160822334765102</v>
      </c>
      <c r="I403" s="46">
        <v>-5.3950297499963606E-2</v>
      </c>
      <c r="J403" s="46">
        <v>0.19839993305047776</v>
      </c>
    </row>
    <row r="404" spans="1:10" ht="11.25" customHeight="1" x14ac:dyDescent="0.2">
      <c r="A404" s="55">
        <v>44531</v>
      </c>
      <c r="B404" s="45">
        <v>0</v>
      </c>
      <c r="C404" s="45">
        <v>0</v>
      </c>
      <c r="D404" s="45">
        <v>1413.8604</v>
      </c>
      <c r="E404" s="45">
        <v>2009.9555713055995</v>
      </c>
      <c r="F404" s="45">
        <v>1250.5848000000001</v>
      </c>
      <c r="G404" s="45">
        <v>1183.1153779910676</v>
      </c>
      <c r="H404" s="46">
        <v>0.42160822334765125</v>
      </c>
      <c r="I404" s="46">
        <v>-5.3950297499963606E-2</v>
      </c>
      <c r="J404" s="46">
        <v>0.19839993305047776</v>
      </c>
    </row>
    <row r="405" spans="1:10" ht="11.25" customHeight="1" x14ac:dyDescent="0.2">
      <c r="A405" s="55">
        <v>44562</v>
      </c>
      <c r="B405" s="45">
        <v>0</v>
      </c>
      <c r="C405" s="45">
        <v>0</v>
      </c>
      <c r="D405" s="45">
        <v>1588.8770999999999</v>
      </c>
      <c r="E405" s="45">
        <v>2258.7607512487684</v>
      </c>
      <c r="F405" s="45">
        <v>1405.3902</v>
      </c>
      <c r="G405" s="45">
        <v>1329.5689806064665</v>
      </c>
      <c r="H405" s="46">
        <v>0.42160822334765125</v>
      </c>
      <c r="I405" s="46">
        <v>-5.3950297499963717E-2</v>
      </c>
      <c r="J405" s="46">
        <v>0.19839993305047776</v>
      </c>
    </row>
    <row r="406" spans="1:10" ht="11.25" customHeight="1" x14ac:dyDescent="0.2">
      <c r="A406" s="55">
        <v>44593</v>
      </c>
      <c r="B406" s="45">
        <v>0</v>
      </c>
      <c r="C406" s="45">
        <v>0</v>
      </c>
      <c r="D406" s="45">
        <v>2227.1733000000004</v>
      </c>
      <c r="E406" s="45">
        <v>3166.1678781003252</v>
      </c>
      <c r="F406" s="45">
        <v>1969.9746000000002</v>
      </c>
      <c r="G406" s="45">
        <v>1863.6938842626282</v>
      </c>
      <c r="H406" s="46">
        <v>0.4216082233476508</v>
      </c>
      <c r="I406" s="46">
        <v>-5.3950297499963717E-2</v>
      </c>
      <c r="J406" s="46">
        <v>0.19839993305047754</v>
      </c>
    </row>
    <row r="407" spans="1:10" ht="11.25" customHeight="1" x14ac:dyDescent="0.2">
      <c r="A407" s="55">
        <v>44621</v>
      </c>
      <c r="B407" s="45">
        <v>0</v>
      </c>
      <c r="C407" s="45">
        <v>0</v>
      </c>
      <c r="D407" s="45">
        <v>1763.8938000000001</v>
      </c>
      <c r="E407" s="45">
        <v>2507.5659311919371</v>
      </c>
      <c r="F407" s="45">
        <v>1560.1956</v>
      </c>
      <c r="G407" s="45">
        <v>1476.0225832218657</v>
      </c>
      <c r="H407" s="46">
        <v>0.42160822334765102</v>
      </c>
      <c r="I407" s="46">
        <v>-5.3950297499963606E-2</v>
      </c>
      <c r="J407" s="46">
        <v>0.19839993305047776</v>
      </c>
    </row>
    <row r="408" spans="1:10" ht="11.25" customHeight="1" x14ac:dyDescent="0.2">
      <c r="A408" s="55">
        <v>44652</v>
      </c>
      <c r="B408" s="45">
        <v>0</v>
      </c>
      <c r="C408" s="45">
        <v>0</v>
      </c>
      <c r="D408" s="45">
        <v>1568.2869000000001</v>
      </c>
      <c r="E408" s="45">
        <v>2229.4895536083955</v>
      </c>
      <c r="F408" s="45">
        <v>1387.1778000000002</v>
      </c>
      <c r="G408" s="45">
        <v>1312.3391450046549</v>
      </c>
      <c r="H408" s="46">
        <v>0.42160822334765102</v>
      </c>
      <c r="I408" s="46">
        <v>-5.3950297499963717E-2</v>
      </c>
      <c r="J408" s="46">
        <v>0.19839993305047776</v>
      </c>
    </row>
    <row r="409" spans="1:10" ht="11.25" customHeight="1" x14ac:dyDescent="0.2">
      <c r="A409" s="55">
        <v>44682</v>
      </c>
      <c r="B409" s="45">
        <v>0</v>
      </c>
      <c r="C409" s="45">
        <v>0</v>
      </c>
      <c r="D409" s="45">
        <v>919.69560000000013</v>
      </c>
      <c r="E409" s="45">
        <v>1307.4468279366522</v>
      </c>
      <c r="F409" s="45">
        <v>813.48720000000014</v>
      </c>
      <c r="G409" s="45">
        <v>769.59932354758769</v>
      </c>
      <c r="H409" s="46">
        <v>0.42160822334765102</v>
      </c>
      <c r="I409" s="46">
        <v>-5.3950297499963717E-2</v>
      </c>
      <c r="J409" s="46">
        <v>0.19839993305047776</v>
      </c>
    </row>
    <row r="410" spans="1:10" ht="11.25" customHeight="1" x14ac:dyDescent="0.2">
      <c r="A410" s="55">
        <v>44713</v>
      </c>
      <c r="B410" s="45">
        <v>0</v>
      </c>
      <c r="C410" s="45">
        <v>0</v>
      </c>
      <c r="D410" s="45">
        <v>919.69560000000013</v>
      </c>
      <c r="E410" s="45">
        <v>1307.4468279366522</v>
      </c>
      <c r="F410" s="45">
        <v>813.48720000000014</v>
      </c>
      <c r="G410" s="45">
        <v>769.59932354758769</v>
      </c>
      <c r="H410" s="46">
        <v>0.42160822334765102</v>
      </c>
      <c r="I410" s="46">
        <v>-5.3950297499963717E-2</v>
      </c>
      <c r="J410" s="46">
        <v>0.19839993305047776</v>
      </c>
    </row>
    <row r="411" spans="1:10" ht="11.25" customHeight="1" x14ac:dyDescent="0.2">
      <c r="A411" s="55">
        <v>44743</v>
      </c>
      <c r="B411" s="45">
        <v>0</v>
      </c>
      <c r="C411" s="45">
        <v>0</v>
      </c>
      <c r="D411" s="45">
        <v>816.74459999999999</v>
      </c>
      <c r="E411" s="45">
        <v>1161.090839734788</v>
      </c>
      <c r="F411" s="45">
        <v>722.42520000000002</v>
      </c>
      <c r="G411" s="45">
        <v>683.45014553852923</v>
      </c>
      <c r="H411" s="46">
        <v>0.42160822334765125</v>
      </c>
      <c r="I411" s="46">
        <v>-5.3950297499963717E-2</v>
      </c>
      <c r="J411" s="46">
        <v>0.19839993305047776</v>
      </c>
    </row>
    <row r="412" spans="1:10" ht="11.25" customHeight="1" x14ac:dyDescent="0.2">
      <c r="A412" s="50" t="s">
        <v>33</v>
      </c>
      <c r="B412" s="45">
        <v>0</v>
      </c>
      <c r="C412" s="45">
        <v>0</v>
      </c>
      <c r="D412" s="45">
        <v>424658.11869000009</v>
      </c>
      <c r="E412" s="45">
        <v>603697.47364104679</v>
      </c>
      <c r="F412" s="45">
        <v>375617.69778000005</v>
      </c>
      <c r="G412" s="45">
        <v>355353.01123851759</v>
      </c>
      <c r="H412" s="46">
        <v>0.42160822334765147</v>
      </c>
      <c r="I412" s="46">
        <v>-5.3950297499963717E-2</v>
      </c>
      <c r="J412" s="46">
        <v>0.19839993305047776</v>
      </c>
    </row>
    <row r="413" spans="1:10" ht="11.25" customHeight="1" x14ac:dyDescent="0.2">
      <c r="A413" s="51" t="s">
        <v>25</v>
      </c>
      <c r="B413" s="45">
        <v>0</v>
      </c>
      <c r="C413" s="45">
        <v>0</v>
      </c>
      <c r="D413" s="45">
        <v>424658.11869000009</v>
      </c>
      <c r="E413" s="45">
        <v>603697.47364104679</v>
      </c>
      <c r="F413" s="45">
        <v>375617.69778000005</v>
      </c>
      <c r="G413" s="45">
        <v>355353.01123851759</v>
      </c>
      <c r="H413" s="46">
        <v>0.42160822334765147</v>
      </c>
      <c r="I413" s="46">
        <v>-5.3950297499963717E-2</v>
      </c>
      <c r="J413" s="46">
        <v>0.19839993305047776</v>
      </c>
    </row>
    <row r="414" spans="1:10" ht="11.25" customHeight="1" x14ac:dyDescent="0.2">
      <c r="A414" s="52" t="s">
        <v>25</v>
      </c>
      <c r="B414" s="45">
        <v>0</v>
      </c>
      <c r="C414" s="45">
        <v>0</v>
      </c>
      <c r="D414" s="45">
        <v>424658.11869000009</v>
      </c>
      <c r="E414" s="45">
        <v>603697.47364104679</v>
      </c>
      <c r="F414" s="45">
        <v>375617.69778000005</v>
      </c>
      <c r="G414" s="45">
        <v>355353.01123851759</v>
      </c>
      <c r="H414" s="46">
        <v>0.42160822334765147</v>
      </c>
      <c r="I414" s="46">
        <v>-5.3950297499963717E-2</v>
      </c>
      <c r="J414" s="46">
        <v>0.19839993305047776</v>
      </c>
    </row>
    <row r="415" spans="1:10" ht="11.25" customHeight="1" x14ac:dyDescent="0.2">
      <c r="A415" s="53" t="s">
        <v>25</v>
      </c>
      <c r="B415" s="45">
        <v>0</v>
      </c>
      <c r="C415" s="45">
        <v>0</v>
      </c>
      <c r="D415" s="45">
        <v>424658.11869000009</v>
      </c>
      <c r="E415" s="45">
        <v>603697.47364104679</v>
      </c>
      <c r="F415" s="45">
        <v>375617.69778000005</v>
      </c>
      <c r="G415" s="45">
        <v>355353.01123851759</v>
      </c>
      <c r="H415" s="46">
        <v>0.42160822334765147</v>
      </c>
      <c r="I415" s="46">
        <v>-5.3950297499963717E-2</v>
      </c>
      <c r="J415" s="46">
        <v>0.19839993305047776</v>
      </c>
    </row>
    <row r="416" spans="1:10" ht="11.25" customHeight="1" x14ac:dyDescent="0.2">
      <c r="A416" s="54" t="s">
        <v>25</v>
      </c>
      <c r="B416" s="45">
        <v>0</v>
      </c>
      <c r="C416" s="45">
        <v>0</v>
      </c>
      <c r="D416" s="45">
        <v>424658.11869000009</v>
      </c>
      <c r="E416" s="45">
        <v>603697.47364104679</v>
      </c>
      <c r="F416" s="45">
        <v>375617.69778000005</v>
      </c>
      <c r="G416" s="45">
        <v>355353.01123851759</v>
      </c>
      <c r="H416" s="46">
        <v>0.42160822334765147</v>
      </c>
      <c r="I416" s="46">
        <v>-5.3950297499963717E-2</v>
      </c>
      <c r="J416" s="46">
        <v>0.19839993305047776</v>
      </c>
    </row>
    <row r="417" spans="1:10" ht="11.25" customHeight="1" x14ac:dyDescent="0.2">
      <c r="A417" s="55">
        <v>44409</v>
      </c>
      <c r="B417" s="45">
        <v>0</v>
      </c>
      <c r="C417" s="45">
        <v>0</v>
      </c>
      <c r="D417" s="45">
        <v>33976.575360000003</v>
      </c>
      <c r="E417" s="45">
        <v>48301.378932967178</v>
      </c>
      <c r="F417" s="45">
        <v>30052.888320000002</v>
      </c>
      <c r="G417" s="45">
        <v>28431.526054402817</v>
      </c>
      <c r="H417" s="46">
        <v>0.42160822334765102</v>
      </c>
      <c r="I417" s="46">
        <v>-5.3950297499963717E-2</v>
      </c>
      <c r="J417" s="46">
        <v>0.19839993305047776</v>
      </c>
    </row>
    <row r="418" spans="1:10" ht="11.25" customHeight="1" x14ac:dyDescent="0.2">
      <c r="A418" s="55">
        <v>44440</v>
      </c>
      <c r="B418" s="45">
        <v>0</v>
      </c>
      <c r="C418" s="45">
        <v>0</v>
      </c>
      <c r="D418" s="45">
        <v>36644.722110000002</v>
      </c>
      <c r="E418" s="45">
        <v>52094.438293865489</v>
      </c>
      <c r="F418" s="45">
        <v>32412.911820000001</v>
      </c>
      <c r="G418" s="45">
        <v>30664.225584470914</v>
      </c>
      <c r="H418" s="46">
        <v>0.42160822334765102</v>
      </c>
      <c r="I418" s="46">
        <v>-5.3950297499963606E-2</v>
      </c>
      <c r="J418" s="46">
        <v>0.19839993305047754</v>
      </c>
    </row>
    <row r="419" spans="1:10" ht="11.25" customHeight="1" x14ac:dyDescent="0.2">
      <c r="A419" s="55">
        <v>44470</v>
      </c>
      <c r="B419" s="45">
        <v>0</v>
      </c>
      <c r="C419" s="45">
        <v>0</v>
      </c>
      <c r="D419" s="45">
        <v>34195.860990000001</v>
      </c>
      <c r="E419" s="45">
        <v>48613.117187837153</v>
      </c>
      <c r="F419" s="45">
        <v>30246.85038</v>
      </c>
      <c r="G419" s="45">
        <v>28615.023803562108</v>
      </c>
      <c r="H419" s="46">
        <v>0.42160822334765125</v>
      </c>
      <c r="I419" s="46">
        <v>-5.3950297499963717E-2</v>
      </c>
      <c r="J419" s="46">
        <v>0.19839993305047776</v>
      </c>
    </row>
    <row r="420" spans="1:10" ht="11.25" customHeight="1" x14ac:dyDescent="0.2">
      <c r="A420" s="55">
        <v>44501</v>
      </c>
      <c r="B420" s="45">
        <v>0</v>
      </c>
      <c r="C420" s="45">
        <v>0</v>
      </c>
      <c r="D420" s="45">
        <v>33675.615269999995</v>
      </c>
      <c r="E420" s="45">
        <v>47873.531594123728</v>
      </c>
      <c r="F420" s="45">
        <v>29786.68374</v>
      </c>
      <c r="G420" s="45">
        <v>28179.683290689667</v>
      </c>
      <c r="H420" s="46">
        <v>0.42160822334765125</v>
      </c>
      <c r="I420" s="46">
        <v>-5.3950297499963717E-2</v>
      </c>
      <c r="J420" s="46">
        <v>0.19839993305047776</v>
      </c>
    </row>
    <row r="421" spans="1:10" ht="11.25" customHeight="1" x14ac:dyDescent="0.2">
      <c r="A421" s="55">
        <v>44531</v>
      </c>
      <c r="B421" s="45">
        <v>0</v>
      </c>
      <c r="C421" s="45">
        <v>0</v>
      </c>
      <c r="D421" s="45">
        <v>37359.88839</v>
      </c>
      <c r="E421" s="45">
        <v>53111.12455857444</v>
      </c>
      <c r="F421" s="45">
        <v>33045.489179999997</v>
      </c>
      <c r="G421" s="45">
        <v>31262.675207707169</v>
      </c>
      <c r="H421" s="46">
        <v>0.42160822334765125</v>
      </c>
      <c r="I421" s="46">
        <v>-5.3950297499963606E-2</v>
      </c>
      <c r="J421" s="46">
        <v>0.19839993305047776</v>
      </c>
    </row>
    <row r="422" spans="1:10" ht="11.25" customHeight="1" x14ac:dyDescent="0.2">
      <c r="A422" s="55">
        <v>44562</v>
      </c>
      <c r="B422" s="45">
        <v>0</v>
      </c>
      <c r="C422" s="45">
        <v>0</v>
      </c>
      <c r="D422" s="45">
        <v>32737.731660000005</v>
      </c>
      <c r="E422" s="45">
        <v>46540.228541604753</v>
      </c>
      <c r="F422" s="45">
        <v>28957.108920000006</v>
      </c>
      <c r="G422" s="45">
        <v>27394.864279027148</v>
      </c>
      <c r="H422" s="46">
        <v>0.42160822334765102</v>
      </c>
      <c r="I422" s="46">
        <v>-5.3950297499963829E-2</v>
      </c>
      <c r="J422" s="46">
        <v>0.19839993305047754</v>
      </c>
    </row>
    <row r="423" spans="1:10" ht="11.25" customHeight="1" x14ac:dyDescent="0.2">
      <c r="A423" s="55">
        <v>44593</v>
      </c>
      <c r="B423" s="45">
        <v>0</v>
      </c>
      <c r="C423" s="45">
        <v>0</v>
      </c>
      <c r="D423" s="45">
        <v>38008.82286</v>
      </c>
      <c r="E423" s="45">
        <v>54033.65513754019</v>
      </c>
      <c r="F423" s="45">
        <v>33619.483319999999</v>
      </c>
      <c r="G423" s="45">
        <v>31805.702193090936</v>
      </c>
      <c r="H423" s="46">
        <v>0.42160822334765125</v>
      </c>
      <c r="I423" s="46">
        <v>-5.3950297499963606E-2</v>
      </c>
      <c r="J423" s="46">
        <v>0.19839993305047798</v>
      </c>
    </row>
    <row r="424" spans="1:10" ht="11.25" customHeight="1" x14ac:dyDescent="0.2">
      <c r="A424" s="55">
        <v>44621</v>
      </c>
      <c r="B424" s="45">
        <v>0</v>
      </c>
      <c r="C424" s="45">
        <v>0</v>
      </c>
      <c r="D424" s="45">
        <v>38442.932910000003</v>
      </c>
      <c r="E424" s="45">
        <v>54650.789554458053</v>
      </c>
      <c r="F424" s="45">
        <v>34003.46142</v>
      </c>
      <c r="G424" s="45">
        <v>32168.964560362463</v>
      </c>
      <c r="H424" s="46">
        <v>0.42160822334765125</v>
      </c>
      <c r="I424" s="46">
        <v>-5.3950297499963606E-2</v>
      </c>
      <c r="J424" s="46">
        <v>0.19839993305047776</v>
      </c>
    </row>
    <row r="425" spans="1:10" ht="11.25" customHeight="1" x14ac:dyDescent="0.2">
      <c r="A425" s="55">
        <v>44652</v>
      </c>
      <c r="B425" s="45">
        <v>0</v>
      </c>
      <c r="C425" s="45">
        <v>0</v>
      </c>
      <c r="D425" s="45">
        <v>34604.233289999996</v>
      </c>
      <c r="E425" s="45">
        <v>49193.662607704544</v>
      </c>
      <c r="F425" s="45">
        <v>30608.062980000002</v>
      </c>
      <c r="G425" s="45">
        <v>28956.748876331374</v>
      </c>
      <c r="H425" s="46">
        <v>0.42160822334765125</v>
      </c>
      <c r="I425" s="46">
        <v>-5.3950297499963829E-2</v>
      </c>
      <c r="J425" s="46">
        <v>0.19839993305047776</v>
      </c>
    </row>
    <row r="426" spans="1:10" ht="11.25" customHeight="1" x14ac:dyDescent="0.2">
      <c r="A426" s="55">
        <v>44682</v>
      </c>
      <c r="B426" s="45">
        <v>0</v>
      </c>
      <c r="C426" s="45">
        <v>0</v>
      </c>
      <c r="D426" s="45">
        <v>31215.429540000001</v>
      </c>
      <c r="E426" s="45">
        <v>44376.111329393185</v>
      </c>
      <c r="F426" s="45">
        <v>27610.605480000002</v>
      </c>
      <c r="G426" s="45">
        <v>26121.005100199873</v>
      </c>
      <c r="H426" s="46">
        <v>0.42160822334765102</v>
      </c>
      <c r="I426" s="46">
        <v>-5.3950297499963717E-2</v>
      </c>
      <c r="J426" s="46">
        <v>0.19839993305047776</v>
      </c>
    </row>
    <row r="427" spans="1:10" ht="11.25" customHeight="1" x14ac:dyDescent="0.2">
      <c r="A427" s="55">
        <v>44713</v>
      </c>
      <c r="B427" s="45">
        <v>0</v>
      </c>
      <c r="C427" s="45">
        <v>0</v>
      </c>
      <c r="D427" s="45">
        <v>34843.422780000001</v>
      </c>
      <c r="E427" s="45">
        <v>49533.696353626881</v>
      </c>
      <c r="F427" s="45">
        <v>30819.630360000003</v>
      </c>
      <c r="G427" s="45">
        <v>29156.902133239091</v>
      </c>
      <c r="H427" s="46">
        <v>0.42160822334765125</v>
      </c>
      <c r="I427" s="46">
        <v>-5.3950297499963606E-2</v>
      </c>
      <c r="J427" s="46">
        <v>0.19839993305047776</v>
      </c>
    </row>
    <row r="428" spans="1:10" ht="11.25" customHeight="1" x14ac:dyDescent="0.2">
      <c r="A428" s="55">
        <v>44743</v>
      </c>
      <c r="B428" s="45">
        <v>0</v>
      </c>
      <c r="C428" s="45">
        <v>0</v>
      </c>
      <c r="D428" s="45">
        <v>38952.883530000006</v>
      </c>
      <c r="E428" s="45">
        <v>55375.739549351281</v>
      </c>
      <c r="F428" s="45">
        <v>34454.521860000001</v>
      </c>
      <c r="G428" s="45">
        <v>32595.690155434</v>
      </c>
      <c r="H428" s="46">
        <v>0.4216082233476508</v>
      </c>
      <c r="I428" s="46">
        <v>-5.3950297499963606E-2</v>
      </c>
      <c r="J428" s="46">
        <v>0.19839993305047798</v>
      </c>
    </row>
    <row r="429" spans="1:10" ht="11.25" customHeight="1" x14ac:dyDescent="0.2">
      <c r="A429" s="50" t="s">
        <v>43</v>
      </c>
      <c r="B429" s="45">
        <v>0</v>
      </c>
      <c r="C429" s="45">
        <v>0</v>
      </c>
      <c r="D429" s="45">
        <v>332436.67190999998</v>
      </c>
      <c r="E429" s="45">
        <v>472594.7065295811</v>
      </c>
      <c r="F429" s="45">
        <v>294046.17942000006</v>
      </c>
      <c r="G429" s="45">
        <v>278182.30056156329</v>
      </c>
      <c r="H429" s="46">
        <v>0.42160822334765058</v>
      </c>
      <c r="I429" s="46">
        <v>-5.3950297499963495E-2</v>
      </c>
      <c r="J429" s="46">
        <v>0.19839993305047776</v>
      </c>
    </row>
    <row r="430" spans="1:10" ht="11.25" customHeight="1" x14ac:dyDescent="0.2">
      <c r="A430" s="51" t="s">
        <v>25</v>
      </c>
      <c r="B430" s="45">
        <v>0</v>
      </c>
      <c r="C430" s="45">
        <v>0</v>
      </c>
      <c r="D430" s="45">
        <v>332436.67190999998</v>
      </c>
      <c r="E430" s="45">
        <v>472594.7065295811</v>
      </c>
      <c r="F430" s="45">
        <v>294046.17942000006</v>
      </c>
      <c r="G430" s="45">
        <v>278182.30056156329</v>
      </c>
      <c r="H430" s="46">
        <v>0.42160822334765058</v>
      </c>
      <c r="I430" s="46">
        <v>-5.3950297499963495E-2</v>
      </c>
      <c r="J430" s="46">
        <v>0.19839993305047776</v>
      </c>
    </row>
    <row r="431" spans="1:10" ht="11.25" customHeight="1" x14ac:dyDescent="0.2">
      <c r="A431" s="52" t="s">
        <v>25</v>
      </c>
      <c r="B431" s="45">
        <v>0</v>
      </c>
      <c r="C431" s="45">
        <v>0</v>
      </c>
      <c r="D431" s="45">
        <v>332436.67190999998</v>
      </c>
      <c r="E431" s="45">
        <v>472594.7065295811</v>
      </c>
      <c r="F431" s="45">
        <v>294046.17942000006</v>
      </c>
      <c r="G431" s="45">
        <v>278182.30056156329</v>
      </c>
      <c r="H431" s="46">
        <v>0.42160822334765058</v>
      </c>
      <c r="I431" s="46">
        <v>-5.3950297499963495E-2</v>
      </c>
      <c r="J431" s="46">
        <v>0.19839993305047776</v>
      </c>
    </row>
    <row r="432" spans="1:10" ht="11.25" customHeight="1" x14ac:dyDescent="0.2">
      <c r="A432" s="53" t="s">
        <v>25</v>
      </c>
      <c r="B432" s="45">
        <v>0</v>
      </c>
      <c r="C432" s="45">
        <v>0</v>
      </c>
      <c r="D432" s="45">
        <v>332436.67190999998</v>
      </c>
      <c r="E432" s="45">
        <v>472594.7065295811</v>
      </c>
      <c r="F432" s="45">
        <v>294046.17942000006</v>
      </c>
      <c r="G432" s="45">
        <v>278182.30056156329</v>
      </c>
      <c r="H432" s="46">
        <v>0.42160822334765058</v>
      </c>
      <c r="I432" s="46">
        <v>-5.3950297499963495E-2</v>
      </c>
      <c r="J432" s="46">
        <v>0.19839993305047776</v>
      </c>
    </row>
    <row r="433" spans="1:10" ht="11.25" customHeight="1" x14ac:dyDescent="0.2">
      <c r="A433" s="54" t="s">
        <v>25</v>
      </c>
      <c r="B433" s="45">
        <v>0</v>
      </c>
      <c r="C433" s="45">
        <v>0</v>
      </c>
      <c r="D433" s="45">
        <v>332436.67190999998</v>
      </c>
      <c r="E433" s="45">
        <v>472594.7065295811</v>
      </c>
      <c r="F433" s="45">
        <v>294046.17942000006</v>
      </c>
      <c r="G433" s="45">
        <v>278182.30056156329</v>
      </c>
      <c r="H433" s="46">
        <v>0.42160822334765058</v>
      </c>
      <c r="I433" s="46">
        <v>-5.3950297499963495E-2</v>
      </c>
      <c r="J433" s="46">
        <v>0.19839993305047776</v>
      </c>
    </row>
    <row r="434" spans="1:10" ht="11.25" customHeight="1" x14ac:dyDescent="0.2">
      <c r="A434" s="55">
        <v>44409</v>
      </c>
      <c r="B434" s="45">
        <v>0</v>
      </c>
      <c r="C434" s="45">
        <v>0</v>
      </c>
      <c r="D434" s="45">
        <v>23498.222580000005</v>
      </c>
      <c r="E434" s="45">
        <v>33405.266453781463</v>
      </c>
      <c r="F434" s="45">
        <v>20784.597960000003</v>
      </c>
      <c r="G434" s="45">
        <v>19663.262716640864</v>
      </c>
      <c r="H434" s="46">
        <v>0.42160822334765102</v>
      </c>
      <c r="I434" s="46">
        <v>-5.3950297499963717E-2</v>
      </c>
      <c r="J434" s="46">
        <v>0.19839993305047776</v>
      </c>
    </row>
    <row r="435" spans="1:10" ht="11.25" customHeight="1" x14ac:dyDescent="0.2">
      <c r="A435" s="55">
        <v>44440</v>
      </c>
      <c r="B435" s="45">
        <v>0</v>
      </c>
      <c r="C435" s="45">
        <v>0</v>
      </c>
      <c r="D435" s="45">
        <v>24919.632720000001</v>
      </c>
      <c r="E435" s="45">
        <v>35425.954797555198</v>
      </c>
      <c r="F435" s="45">
        <v>22041.860640000003</v>
      </c>
      <c r="G435" s="45">
        <v>20852.69570101926</v>
      </c>
      <c r="H435" s="46">
        <v>0.42160822334765125</v>
      </c>
      <c r="I435" s="46">
        <v>-5.3950297499963829E-2</v>
      </c>
      <c r="J435" s="46">
        <v>0.19839993305047754</v>
      </c>
    </row>
    <row r="436" spans="1:10" ht="11.25" customHeight="1" x14ac:dyDescent="0.2">
      <c r="A436" s="55">
        <v>44470</v>
      </c>
      <c r="B436" s="45">
        <v>0</v>
      </c>
      <c r="C436" s="45">
        <v>0</v>
      </c>
      <c r="D436" s="45">
        <v>24232.263210000005</v>
      </c>
      <c r="E436" s="45">
        <v>34448.784649660753</v>
      </c>
      <c r="F436" s="45">
        <v>21433.870020000002</v>
      </c>
      <c r="G436" s="45">
        <v>20277.506355845449</v>
      </c>
      <c r="H436" s="46">
        <v>0.42160822334765102</v>
      </c>
      <c r="I436" s="46">
        <v>-5.3950297499963717E-2</v>
      </c>
      <c r="J436" s="46">
        <v>0.19839993305047776</v>
      </c>
    </row>
    <row r="437" spans="1:10" ht="11.25" customHeight="1" x14ac:dyDescent="0.2">
      <c r="A437" s="55">
        <v>44501</v>
      </c>
      <c r="B437" s="45">
        <v>0</v>
      </c>
      <c r="C437" s="45">
        <v>0</v>
      </c>
      <c r="D437" s="45">
        <v>24147.157049999998</v>
      </c>
      <c r="E437" s="45">
        <v>34327.797032747207</v>
      </c>
      <c r="F437" s="45">
        <v>21358.592100000002</v>
      </c>
      <c r="G437" s="45">
        <v>20206.289702024627</v>
      </c>
      <c r="H437" s="46">
        <v>0.42160822334765125</v>
      </c>
      <c r="I437" s="46">
        <v>-5.3950297499963717E-2</v>
      </c>
      <c r="J437" s="46">
        <v>0.19839993305047754</v>
      </c>
    </row>
    <row r="438" spans="1:10" ht="11.25" customHeight="1" x14ac:dyDescent="0.2">
      <c r="A438" s="55">
        <v>44531</v>
      </c>
      <c r="B438" s="45">
        <v>0</v>
      </c>
      <c r="C438" s="45">
        <v>0</v>
      </c>
      <c r="D438" s="45">
        <v>30397.998599999999</v>
      </c>
      <c r="E438" s="45">
        <v>43214.044783070385</v>
      </c>
      <c r="F438" s="45">
        <v>26887.573200000003</v>
      </c>
      <c r="G438" s="45">
        <v>25436.980626807948</v>
      </c>
      <c r="H438" s="46">
        <v>0.42160822334765125</v>
      </c>
      <c r="I438" s="46">
        <v>-5.3950297499963829E-2</v>
      </c>
      <c r="J438" s="46">
        <v>0.19839993305047754</v>
      </c>
    </row>
    <row r="439" spans="1:10" ht="11.25" customHeight="1" x14ac:dyDescent="0.2">
      <c r="A439" s="55">
        <v>44562</v>
      </c>
      <c r="B439" s="45">
        <v>0</v>
      </c>
      <c r="C439" s="45">
        <v>0</v>
      </c>
      <c r="D439" s="45">
        <v>26987.231970000001</v>
      </c>
      <c r="E439" s="45">
        <v>38365.27089394263</v>
      </c>
      <c r="F439" s="45">
        <v>23870.689140000002</v>
      </c>
      <c r="G439" s="45">
        <v>22582.858359367849</v>
      </c>
      <c r="H439" s="46">
        <v>0.42160822334765102</v>
      </c>
      <c r="I439" s="46">
        <v>-5.3950297499963717E-2</v>
      </c>
      <c r="J439" s="46">
        <v>0.19839993305047776</v>
      </c>
    </row>
    <row r="440" spans="1:10" ht="11.25" customHeight="1" x14ac:dyDescent="0.2">
      <c r="A440" s="55">
        <v>44593</v>
      </c>
      <c r="B440" s="45">
        <v>0</v>
      </c>
      <c r="C440" s="45">
        <v>0</v>
      </c>
      <c r="D440" s="45">
        <v>30435.747299999999</v>
      </c>
      <c r="E440" s="45">
        <v>43267.708645411069</v>
      </c>
      <c r="F440" s="45">
        <v>26920.962599999999</v>
      </c>
      <c r="G440" s="45">
        <v>25468.568658744607</v>
      </c>
      <c r="H440" s="46">
        <v>0.42160822334765102</v>
      </c>
      <c r="I440" s="46">
        <v>-5.3950297499963495E-2</v>
      </c>
      <c r="J440" s="46">
        <v>0.19839993305047776</v>
      </c>
    </row>
    <row r="441" spans="1:10" ht="11.25" customHeight="1" x14ac:dyDescent="0.2">
      <c r="A441" s="55">
        <v>44621</v>
      </c>
      <c r="B441" s="45">
        <v>0</v>
      </c>
      <c r="C441" s="45">
        <v>0</v>
      </c>
      <c r="D441" s="45">
        <v>37995.782400000004</v>
      </c>
      <c r="E441" s="45">
        <v>54015.116712367955</v>
      </c>
      <c r="F441" s="45">
        <v>33607.948800000006</v>
      </c>
      <c r="G441" s="45">
        <v>31794.78996387645</v>
      </c>
      <c r="H441" s="46">
        <v>0.42160822334765102</v>
      </c>
      <c r="I441" s="46">
        <v>-5.395029749996394E-2</v>
      </c>
      <c r="J441" s="46">
        <v>0.19839993305047754</v>
      </c>
    </row>
    <row r="442" spans="1:10" ht="11.25" customHeight="1" x14ac:dyDescent="0.2">
      <c r="A442" s="55">
        <v>44652</v>
      </c>
      <c r="B442" s="45">
        <v>0</v>
      </c>
      <c r="C442" s="45">
        <v>0</v>
      </c>
      <c r="D442" s="45">
        <v>37453.573799999998</v>
      </c>
      <c r="E442" s="45">
        <v>53244.308507838134</v>
      </c>
      <c r="F442" s="45">
        <v>33128.355600000003</v>
      </c>
      <c r="G442" s="45">
        <v>31341.070959695411</v>
      </c>
      <c r="H442" s="46">
        <v>0.42160822334765125</v>
      </c>
      <c r="I442" s="46">
        <v>-5.3950297499963829E-2</v>
      </c>
      <c r="J442" s="46">
        <v>0.19839993305047798</v>
      </c>
    </row>
    <row r="443" spans="1:10" ht="11.25" customHeight="1" x14ac:dyDescent="0.2">
      <c r="A443" s="55">
        <v>44682</v>
      </c>
      <c r="B443" s="45">
        <v>0</v>
      </c>
      <c r="C443" s="45">
        <v>0</v>
      </c>
      <c r="D443" s="45">
        <v>24173.237969999998</v>
      </c>
      <c r="E443" s="45">
        <v>34364.873883091677</v>
      </c>
      <c r="F443" s="45">
        <v>21381.66114</v>
      </c>
      <c r="G443" s="45">
        <v>20228.114160453588</v>
      </c>
      <c r="H443" s="46">
        <v>0.42160822334765102</v>
      </c>
      <c r="I443" s="46">
        <v>-5.3950297499963717E-2</v>
      </c>
      <c r="J443" s="46">
        <v>0.19839993305047776</v>
      </c>
    </row>
    <row r="444" spans="1:10" ht="11.25" customHeight="1" x14ac:dyDescent="0.2">
      <c r="A444" s="55">
        <v>44713</v>
      </c>
      <c r="B444" s="45">
        <v>0</v>
      </c>
      <c r="C444" s="45">
        <v>0</v>
      </c>
      <c r="D444" s="45">
        <v>23893.211250000004</v>
      </c>
      <c r="E444" s="45">
        <v>33966.785595182613</v>
      </c>
      <c r="F444" s="45">
        <v>21133.972500000003</v>
      </c>
      <c r="G444" s="45">
        <v>19993.788396268952</v>
      </c>
      <c r="H444" s="46">
        <v>0.42160822334765102</v>
      </c>
      <c r="I444" s="46">
        <v>-5.3950297499963717E-2</v>
      </c>
      <c r="J444" s="46">
        <v>0.19839993305047754</v>
      </c>
    </row>
    <row r="445" spans="1:10" ht="11.25" customHeight="1" x14ac:dyDescent="0.2">
      <c r="A445" s="55">
        <v>44743</v>
      </c>
      <c r="B445" s="45">
        <v>0</v>
      </c>
      <c r="C445" s="45">
        <v>0</v>
      </c>
      <c r="D445" s="45">
        <v>24302.61306</v>
      </c>
      <c r="E445" s="45">
        <v>34548.794574932021</v>
      </c>
      <c r="F445" s="45">
        <v>21496.095720000001</v>
      </c>
      <c r="G445" s="45">
        <v>20336.374960818306</v>
      </c>
      <c r="H445" s="46">
        <v>0.42160822334765102</v>
      </c>
      <c r="I445" s="46">
        <v>-5.3950297499963606E-2</v>
      </c>
      <c r="J445" s="46">
        <v>0.19839993305047776</v>
      </c>
    </row>
    <row r="446" spans="1:10" ht="11.25" customHeight="1" x14ac:dyDescent="0.2">
      <c r="A446" s="50" t="s">
        <v>47</v>
      </c>
      <c r="B446" s="45">
        <v>0</v>
      </c>
      <c r="C446" s="45">
        <v>0</v>
      </c>
      <c r="D446" s="45">
        <v>161210.5453692</v>
      </c>
      <c r="E446" s="45">
        <v>229178.2369872143</v>
      </c>
      <c r="F446" s="45">
        <v>142593.60941040001</v>
      </c>
      <c r="G446" s="45">
        <v>134900.64176111529</v>
      </c>
      <c r="H446" s="46">
        <v>0.42160822334765102</v>
      </c>
      <c r="I446" s="46">
        <v>-5.3950297499963829E-2</v>
      </c>
      <c r="J446" s="46">
        <v>0.19839993305047776</v>
      </c>
    </row>
    <row r="447" spans="1:10" ht="11.25" customHeight="1" x14ac:dyDescent="0.2">
      <c r="A447" s="51" t="s">
        <v>48</v>
      </c>
      <c r="B447" s="45">
        <v>0</v>
      </c>
      <c r="C447" s="45">
        <v>0</v>
      </c>
      <c r="D447" s="45">
        <v>161210.5453692</v>
      </c>
      <c r="E447" s="45">
        <v>229178.2369872143</v>
      </c>
      <c r="F447" s="45">
        <v>142593.60941040001</v>
      </c>
      <c r="G447" s="45">
        <v>134900.64176111529</v>
      </c>
      <c r="H447" s="46">
        <v>0.42160822334765102</v>
      </c>
      <c r="I447" s="46">
        <v>-5.3950297499963829E-2</v>
      </c>
      <c r="J447" s="46">
        <v>0.19839993305047776</v>
      </c>
    </row>
    <row r="448" spans="1:10" ht="11.25" customHeight="1" x14ac:dyDescent="0.2">
      <c r="A448" s="52" t="s">
        <v>25</v>
      </c>
      <c r="B448" s="45">
        <v>0</v>
      </c>
      <c r="C448" s="45">
        <v>0</v>
      </c>
      <c r="D448" s="45">
        <v>161210.5453692</v>
      </c>
      <c r="E448" s="45">
        <v>229178.2369872143</v>
      </c>
      <c r="F448" s="45">
        <v>142593.60941040001</v>
      </c>
      <c r="G448" s="45">
        <v>134900.64176111529</v>
      </c>
      <c r="H448" s="46">
        <v>0.42160822334765102</v>
      </c>
      <c r="I448" s="46">
        <v>-5.3950297499963829E-2</v>
      </c>
      <c r="J448" s="46">
        <v>0.19839993305047776</v>
      </c>
    </row>
    <row r="449" spans="1:10" ht="11.25" customHeight="1" x14ac:dyDescent="0.2">
      <c r="A449" s="53" t="s">
        <v>25</v>
      </c>
      <c r="B449" s="45">
        <v>0</v>
      </c>
      <c r="C449" s="45">
        <v>0</v>
      </c>
      <c r="D449" s="45">
        <v>161210.5453692</v>
      </c>
      <c r="E449" s="45">
        <v>229178.2369872143</v>
      </c>
      <c r="F449" s="45">
        <v>142593.60941040001</v>
      </c>
      <c r="G449" s="45">
        <v>134900.64176111529</v>
      </c>
      <c r="H449" s="46">
        <v>0.42160822334765102</v>
      </c>
      <c r="I449" s="46">
        <v>-5.3950297499963829E-2</v>
      </c>
      <c r="J449" s="46">
        <v>0.19839993305047776</v>
      </c>
    </row>
    <row r="450" spans="1:10" ht="11.25" customHeight="1" x14ac:dyDescent="0.2">
      <c r="A450" s="54" t="s">
        <v>25</v>
      </c>
      <c r="B450" s="45">
        <v>0</v>
      </c>
      <c r="C450" s="45">
        <v>0</v>
      </c>
      <c r="D450" s="45">
        <v>161210.5453692</v>
      </c>
      <c r="E450" s="45">
        <v>229178.2369872143</v>
      </c>
      <c r="F450" s="45">
        <v>142593.60941040001</v>
      </c>
      <c r="G450" s="45">
        <v>134900.64176111529</v>
      </c>
      <c r="H450" s="46">
        <v>0.42160822334765102</v>
      </c>
      <c r="I450" s="46">
        <v>-5.3950297499963829E-2</v>
      </c>
      <c r="J450" s="46">
        <v>0.19839993305047776</v>
      </c>
    </row>
    <row r="451" spans="1:10" ht="11.25" customHeight="1" x14ac:dyDescent="0.2">
      <c r="A451" s="55">
        <v>44409</v>
      </c>
      <c r="B451" s="45">
        <v>0</v>
      </c>
      <c r="C451" s="45">
        <v>0</v>
      </c>
      <c r="D451" s="45">
        <v>11534.4859086</v>
      </c>
      <c r="E451" s="45">
        <v>16397.520019753363</v>
      </c>
      <c r="F451" s="45">
        <v>10202.4589932</v>
      </c>
      <c r="G451" s="45">
        <v>9652.0332952856788</v>
      </c>
      <c r="H451" s="46">
        <v>0.42160822334765125</v>
      </c>
      <c r="I451" s="46">
        <v>-5.3950297499963829E-2</v>
      </c>
      <c r="J451" s="46">
        <v>0.19839993305047754</v>
      </c>
    </row>
    <row r="452" spans="1:10" ht="11.25" customHeight="1" x14ac:dyDescent="0.2">
      <c r="A452" s="55">
        <v>44440</v>
      </c>
      <c r="B452" s="45">
        <v>0</v>
      </c>
      <c r="C452" s="45">
        <v>0</v>
      </c>
      <c r="D452" s="45">
        <v>13597.061149800002</v>
      </c>
      <c r="E452" s="45">
        <v>19329.693943916551</v>
      </c>
      <c r="F452" s="45">
        <v>12026.843667600002</v>
      </c>
      <c r="G452" s="45">
        <v>11377.991873747427</v>
      </c>
      <c r="H452" s="46">
        <v>0.42160822334765102</v>
      </c>
      <c r="I452" s="46">
        <v>-5.3950297499963717E-2</v>
      </c>
      <c r="J452" s="46">
        <v>0.19839993305047776</v>
      </c>
    </row>
    <row r="453" spans="1:10" ht="11.25" customHeight="1" x14ac:dyDescent="0.2">
      <c r="A453" s="55">
        <v>44470</v>
      </c>
      <c r="B453" s="45">
        <v>0</v>
      </c>
      <c r="C453" s="45">
        <v>0</v>
      </c>
      <c r="D453" s="45">
        <v>12756.095611199999</v>
      </c>
      <c r="E453" s="45">
        <v>18134.170418690799</v>
      </c>
      <c r="F453" s="45">
        <v>11282.994614399999</v>
      </c>
      <c r="G453" s="45">
        <v>10674.27369826263</v>
      </c>
      <c r="H453" s="46">
        <v>0.42160822334765102</v>
      </c>
      <c r="I453" s="46">
        <v>-5.3950297499963717E-2</v>
      </c>
      <c r="J453" s="46">
        <v>0.19839993305047776</v>
      </c>
    </row>
    <row r="454" spans="1:10" ht="11.25" customHeight="1" x14ac:dyDescent="0.2">
      <c r="A454" s="55">
        <v>44501</v>
      </c>
      <c r="B454" s="45">
        <v>0</v>
      </c>
      <c r="C454" s="45">
        <v>0</v>
      </c>
      <c r="D454" s="45">
        <v>12234.484074600001</v>
      </c>
      <c r="E454" s="45">
        <v>17392.643168867238</v>
      </c>
      <c r="F454" s="45">
        <v>10821.619885200002</v>
      </c>
      <c r="G454" s="45">
        <v>10237.790272961938</v>
      </c>
      <c r="H454" s="46">
        <v>0.42160822334765102</v>
      </c>
      <c r="I454" s="46">
        <v>-5.3950297499963717E-2</v>
      </c>
      <c r="J454" s="46">
        <v>0.19839993305047776</v>
      </c>
    </row>
    <row r="455" spans="1:10" ht="11.25" customHeight="1" x14ac:dyDescent="0.2">
      <c r="A455" s="55">
        <v>44531</v>
      </c>
      <c r="B455" s="45">
        <v>0</v>
      </c>
      <c r="C455" s="45">
        <v>0</v>
      </c>
      <c r="D455" s="45">
        <v>13866.415282800002</v>
      </c>
      <c r="E455" s="45">
        <v>19712.609994382026</v>
      </c>
      <c r="F455" s="45">
        <v>12265.092213600001</v>
      </c>
      <c r="G455" s="45">
        <v>11603.386839811794</v>
      </c>
      <c r="H455" s="46">
        <v>0.42160822334765102</v>
      </c>
      <c r="I455" s="46">
        <v>-5.3950297499963606E-2</v>
      </c>
      <c r="J455" s="46">
        <v>0.19839993305047776</v>
      </c>
    </row>
    <row r="456" spans="1:10" ht="11.25" customHeight="1" x14ac:dyDescent="0.2">
      <c r="A456" s="55">
        <v>44562</v>
      </c>
      <c r="B456" s="45">
        <v>0</v>
      </c>
      <c r="C456" s="45">
        <v>0</v>
      </c>
      <c r="D456" s="45">
        <v>15217.379485199999</v>
      </c>
      <c r="E456" s="45">
        <v>21633.151813962166</v>
      </c>
      <c r="F456" s="45">
        <v>13460.0442024</v>
      </c>
      <c r="G456" s="45">
        <v>12733.870813317859</v>
      </c>
      <c r="H456" s="46">
        <v>0.42160822334765125</v>
      </c>
      <c r="I456" s="46">
        <v>-5.3950297499963717E-2</v>
      </c>
      <c r="J456" s="46">
        <v>0.19839993305047754</v>
      </c>
    </row>
    <row r="457" spans="1:10" ht="11.25" customHeight="1" x14ac:dyDescent="0.2">
      <c r="A457" s="55">
        <v>44593</v>
      </c>
      <c r="B457" s="45">
        <v>0</v>
      </c>
      <c r="C457" s="45">
        <v>0</v>
      </c>
      <c r="D457" s="45">
        <v>16698.6659268</v>
      </c>
      <c r="E457" s="45">
        <v>23738.960800474106</v>
      </c>
      <c r="F457" s="45">
        <v>14770.268541600002</v>
      </c>
      <c r="G457" s="45">
        <v>13973.408159626326</v>
      </c>
      <c r="H457" s="46">
        <v>0.42160822334765102</v>
      </c>
      <c r="I457" s="46">
        <v>-5.3950297499963829E-2</v>
      </c>
      <c r="J457" s="46">
        <v>0.19839993305047754</v>
      </c>
    </row>
    <row r="458" spans="1:10" ht="11.25" customHeight="1" x14ac:dyDescent="0.2">
      <c r="A458" s="55">
        <v>44621</v>
      </c>
      <c r="B458" s="45">
        <v>0</v>
      </c>
      <c r="C458" s="45">
        <v>0</v>
      </c>
      <c r="D458" s="45">
        <v>14013.511671599999</v>
      </c>
      <c r="E458" s="45">
        <v>19921.723430324848</v>
      </c>
      <c r="F458" s="45">
        <v>12395.2015992</v>
      </c>
      <c r="G458" s="45">
        <v>11726.476785351135</v>
      </c>
      <c r="H458" s="46">
        <v>0.42160822334765125</v>
      </c>
      <c r="I458" s="46">
        <v>-5.3950297499963606E-2</v>
      </c>
      <c r="J458" s="46">
        <v>0.19839993305047776</v>
      </c>
    </row>
    <row r="459" spans="1:10" ht="11.25" customHeight="1" x14ac:dyDescent="0.2">
      <c r="A459" s="55">
        <v>44652</v>
      </c>
      <c r="B459" s="45">
        <v>0</v>
      </c>
      <c r="C459" s="45">
        <v>0</v>
      </c>
      <c r="D459" s="45">
        <v>14159.640321000001</v>
      </c>
      <c r="E459" s="45">
        <v>20129.461119978576</v>
      </c>
      <c r="F459" s="45">
        <v>12524.455002000001</v>
      </c>
      <c r="G459" s="45">
        <v>11848.756928617193</v>
      </c>
      <c r="H459" s="46">
        <v>0.42160822334765125</v>
      </c>
      <c r="I459" s="46">
        <v>-5.3950297499963606E-2</v>
      </c>
      <c r="J459" s="46">
        <v>0.19839993305047776</v>
      </c>
    </row>
    <row r="460" spans="1:10" ht="11.25" customHeight="1" x14ac:dyDescent="0.2">
      <c r="A460" s="55">
        <v>44682</v>
      </c>
      <c r="B460" s="45">
        <v>0</v>
      </c>
      <c r="C460" s="45">
        <v>0</v>
      </c>
      <c r="D460" s="45">
        <v>13162.546159199999</v>
      </c>
      <c r="E460" s="45">
        <v>18711.983860111759</v>
      </c>
      <c r="F460" s="45">
        <v>11642.5073904</v>
      </c>
      <c r="G460" s="45">
        <v>11014.390653042394</v>
      </c>
      <c r="H460" s="46">
        <v>0.42160822334765102</v>
      </c>
      <c r="I460" s="46">
        <v>-5.3950297499963717E-2</v>
      </c>
      <c r="J460" s="46">
        <v>0.19839993305047754</v>
      </c>
    </row>
    <row r="461" spans="1:10" ht="11.25" customHeight="1" x14ac:dyDescent="0.2">
      <c r="A461" s="55">
        <v>44713</v>
      </c>
      <c r="B461" s="45">
        <v>0</v>
      </c>
      <c r="C461" s="45">
        <v>0</v>
      </c>
      <c r="D461" s="45">
        <v>12430.612593000002</v>
      </c>
      <c r="E461" s="45">
        <v>17671.461083457671</v>
      </c>
      <c r="F461" s="45">
        <v>10995.099066000001</v>
      </c>
      <c r="G461" s="45">
        <v>10401.910200347729</v>
      </c>
      <c r="H461" s="46">
        <v>0.42160822334765102</v>
      </c>
      <c r="I461" s="46">
        <v>-5.3950297499963606E-2</v>
      </c>
      <c r="J461" s="46">
        <v>0.19839993305047776</v>
      </c>
    </row>
    <row r="462" spans="1:10" ht="11.25" customHeight="1" x14ac:dyDescent="0.2">
      <c r="A462" s="55">
        <v>44743</v>
      </c>
      <c r="B462" s="45">
        <v>0</v>
      </c>
      <c r="C462" s="45">
        <v>0</v>
      </c>
      <c r="D462" s="45">
        <v>11539.647185400001</v>
      </c>
      <c r="E462" s="45">
        <v>16404.857333295218</v>
      </c>
      <c r="F462" s="45">
        <v>10207.024234800001</v>
      </c>
      <c r="G462" s="45">
        <v>9656.3522407432029</v>
      </c>
      <c r="H462" s="46">
        <v>0.42160822334765102</v>
      </c>
      <c r="I462" s="46">
        <v>-5.3950297499963606E-2</v>
      </c>
      <c r="J462" s="46">
        <v>0.19839993305047798</v>
      </c>
    </row>
    <row r="463" spans="1:10" ht="11.25" customHeight="1" x14ac:dyDescent="0.2">
      <c r="A463" s="48" t="s">
        <v>44</v>
      </c>
      <c r="B463" s="45">
        <v>0</v>
      </c>
      <c r="C463" s="45">
        <v>0</v>
      </c>
      <c r="D463" s="45">
        <v>455940.53918000002</v>
      </c>
      <c r="E463" s="45">
        <v>648180.83951712726</v>
      </c>
      <c r="F463" s="45">
        <v>403302.28365</v>
      </c>
      <c r="G463" s="45">
        <v>381537.14932800166</v>
      </c>
      <c r="H463" s="46">
        <v>0.42163458569151935</v>
      </c>
      <c r="I463" s="46">
        <v>-5.3967297494617927E-2</v>
      </c>
      <c r="J463" s="46">
        <v>0.19840161766338915</v>
      </c>
    </row>
    <row r="464" spans="1:10" ht="11.25" customHeight="1" x14ac:dyDescent="0.2">
      <c r="A464" s="49" t="s">
        <v>23</v>
      </c>
      <c r="B464" s="45">
        <v>0</v>
      </c>
      <c r="C464" s="45">
        <v>0</v>
      </c>
      <c r="D464" s="45">
        <v>455940.53918000002</v>
      </c>
      <c r="E464" s="45">
        <v>648180.83951712726</v>
      </c>
      <c r="F464" s="45">
        <v>403302.28365</v>
      </c>
      <c r="G464" s="45">
        <v>381537.14932800166</v>
      </c>
      <c r="H464" s="46">
        <v>0.42163458569151935</v>
      </c>
      <c r="I464" s="46">
        <v>-5.3967297494617927E-2</v>
      </c>
      <c r="J464" s="46">
        <v>0.19840161766338915</v>
      </c>
    </row>
    <row r="465" spans="1:10" ht="11.25" customHeight="1" x14ac:dyDescent="0.2">
      <c r="A465" s="50" t="s">
        <v>45</v>
      </c>
      <c r="B465" s="45">
        <v>0</v>
      </c>
      <c r="C465" s="45">
        <v>0</v>
      </c>
      <c r="D465" s="45">
        <v>455940.53918000002</v>
      </c>
      <c r="E465" s="45">
        <v>648180.83951712726</v>
      </c>
      <c r="F465" s="45">
        <v>403302.28365</v>
      </c>
      <c r="G465" s="45">
        <v>381537.14932800166</v>
      </c>
      <c r="H465" s="46">
        <v>0.42163458569151935</v>
      </c>
      <c r="I465" s="46">
        <v>-5.3967297494617927E-2</v>
      </c>
      <c r="J465" s="46">
        <v>0.19840161766338915</v>
      </c>
    </row>
    <row r="466" spans="1:10" ht="11.25" customHeight="1" x14ac:dyDescent="0.2">
      <c r="A466" s="51" t="s">
        <v>46</v>
      </c>
      <c r="B466" s="45">
        <v>0</v>
      </c>
      <c r="C466" s="45">
        <v>0</v>
      </c>
      <c r="D466" s="45">
        <v>455940.53918000002</v>
      </c>
      <c r="E466" s="45">
        <v>648180.83951712726</v>
      </c>
      <c r="F466" s="45">
        <v>403302.28365</v>
      </c>
      <c r="G466" s="45">
        <v>381537.14932800166</v>
      </c>
      <c r="H466" s="46">
        <v>0.42163458569151935</v>
      </c>
      <c r="I466" s="46">
        <v>-5.3967297494617927E-2</v>
      </c>
      <c r="J466" s="46">
        <v>0.19840161766338915</v>
      </c>
    </row>
    <row r="467" spans="1:10" ht="11.25" customHeight="1" x14ac:dyDescent="0.2">
      <c r="A467" s="52" t="s">
        <v>25</v>
      </c>
      <c r="B467" s="45">
        <v>0</v>
      </c>
      <c r="C467" s="45">
        <v>0</v>
      </c>
      <c r="D467" s="45">
        <v>455940.53918000002</v>
      </c>
      <c r="E467" s="45">
        <v>648180.83951712726</v>
      </c>
      <c r="F467" s="45">
        <v>403302.28365</v>
      </c>
      <c r="G467" s="45">
        <v>381537.14932800166</v>
      </c>
      <c r="H467" s="46">
        <v>0.42163458569151935</v>
      </c>
      <c r="I467" s="46">
        <v>-5.3967297494617927E-2</v>
      </c>
      <c r="J467" s="46">
        <v>0.19840161766338915</v>
      </c>
    </row>
    <row r="468" spans="1:10" ht="11.25" customHeight="1" x14ac:dyDescent="0.2">
      <c r="A468" s="53" t="s">
        <v>25</v>
      </c>
      <c r="B468" s="45">
        <v>0</v>
      </c>
      <c r="C468" s="45">
        <v>0</v>
      </c>
      <c r="D468" s="45">
        <v>455940.53918000002</v>
      </c>
      <c r="E468" s="45">
        <v>648180.83951712726</v>
      </c>
      <c r="F468" s="45">
        <v>403302.28365</v>
      </c>
      <c r="G468" s="45">
        <v>381537.14932800166</v>
      </c>
      <c r="H468" s="46">
        <v>0.42163458569151935</v>
      </c>
      <c r="I468" s="46">
        <v>-5.3967297494617927E-2</v>
      </c>
      <c r="J468" s="46">
        <v>0.19840161766338915</v>
      </c>
    </row>
    <row r="469" spans="1:10" ht="11.25" customHeight="1" x14ac:dyDescent="0.2">
      <c r="A469" s="54" t="s">
        <v>25</v>
      </c>
      <c r="B469" s="45">
        <v>0</v>
      </c>
      <c r="C469" s="45">
        <v>0</v>
      </c>
      <c r="D469" s="45">
        <v>455940.53918000002</v>
      </c>
      <c r="E469" s="45">
        <v>648180.83951712726</v>
      </c>
      <c r="F469" s="45">
        <v>403302.28365</v>
      </c>
      <c r="G469" s="45">
        <v>381537.14932800166</v>
      </c>
      <c r="H469" s="46">
        <v>0.42163458569151935</v>
      </c>
      <c r="I469" s="46">
        <v>-5.3967297494617927E-2</v>
      </c>
      <c r="J469" s="46">
        <v>0.19840161766338915</v>
      </c>
    </row>
    <row r="470" spans="1:10" ht="11.25" customHeight="1" x14ac:dyDescent="0.2">
      <c r="A470" s="55">
        <v>44409</v>
      </c>
      <c r="B470" s="45">
        <v>0</v>
      </c>
      <c r="C470" s="45">
        <v>0</v>
      </c>
      <c r="D470" s="45">
        <v>40394.512280000003</v>
      </c>
      <c r="E470" s="45">
        <v>57426.235729388791</v>
      </c>
      <c r="F470" s="45">
        <v>35730.972899999993</v>
      </c>
      <c r="G470" s="45">
        <v>33802.668855733573</v>
      </c>
      <c r="H470" s="46">
        <v>0.42163458569151935</v>
      </c>
      <c r="I470" s="46">
        <v>-5.3967297494617594E-2</v>
      </c>
      <c r="J470" s="46">
        <v>0.19840161766338937</v>
      </c>
    </row>
    <row r="471" spans="1:10" ht="11.25" customHeight="1" x14ac:dyDescent="0.2">
      <c r="A471" s="55">
        <v>44440</v>
      </c>
      <c r="B471" s="45">
        <v>0</v>
      </c>
      <c r="C471" s="45">
        <v>0</v>
      </c>
      <c r="D471" s="45">
        <v>36397.376560000004</v>
      </c>
      <c r="E471" s="45">
        <v>51743.76934613382</v>
      </c>
      <c r="F471" s="45">
        <v>32195.305799999998</v>
      </c>
      <c r="G471" s="45">
        <v>30457.812153961204</v>
      </c>
      <c r="H471" s="46">
        <v>0.42163458569151935</v>
      </c>
      <c r="I471" s="46">
        <v>-5.3967297494617816E-2</v>
      </c>
      <c r="J471" s="46">
        <v>0.19840161766338915</v>
      </c>
    </row>
    <row r="472" spans="1:10" ht="11.25" customHeight="1" x14ac:dyDescent="0.2">
      <c r="A472" s="55">
        <v>44470</v>
      </c>
      <c r="B472" s="45">
        <v>0</v>
      </c>
      <c r="C472" s="45">
        <v>0</v>
      </c>
      <c r="D472" s="45">
        <v>36191.083740000002</v>
      </c>
      <c r="E472" s="45">
        <v>51450.49633844199</v>
      </c>
      <c r="F472" s="45">
        <v>32012.829449999997</v>
      </c>
      <c r="G472" s="45">
        <v>30285.183559427387</v>
      </c>
      <c r="H472" s="46">
        <v>0.42163458569151957</v>
      </c>
      <c r="I472" s="46">
        <v>-5.3967297494617705E-2</v>
      </c>
      <c r="J472" s="46">
        <v>0.1984016176633896</v>
      </c>
    </row>
    <row r="473" spans="1:10" ht="11.25" customHeight="1" x14ac:dyDescent="0.2">
      <c r="A473" s="55">
        <v>44501</v>
      </c>
      <c r="B473" s="45">
        <v>0</v>
      </c>
      <c r="C473" s="45">
        <v>0</v>
      </c>
      <c r="D473" s="45">
        <v>32175.262759999998</v>
      </c>
      <c r="E473" s="45">
        <v>45741.466343328371</v>
      </c>
      <c r="F473" s="45">
        <v>28460.634299999998</v>
      </c>
      <c r="G473" s="45">
        <v>26924.690781846373</v>
      </c>
      <c r="H473" s="46">
        <v>0.42163458569151935</v>
      </c>
      <c r="I473" s="46">
        <v>-5.3967297494617816E-2</v>
      </c>
      <c r="J473" s="46">
        <v>0.19840161766338915</v>
      </c>
    </row>
    <row r="474" spans="1:10" ht="11.25" customHeight="1" x14ac:dyDescent="0.2">
      <c r="A474" s="55">
        <v>44531</v>
      </c>
      <c r="B474" s="45">
        <v>0</v>
      </c>
      <c r="C474" s="45">
        <v>0</v>
      </c>
      <c r="D474" s="45">
        <v>33124.05874</v>
      </c>
      <c r="E474" s="45">
        <v>47090.307523261457</v>
      </c>
      <c r="F474" s="45">
        <v>29299.891949999997</v>
      </c>
      <c r="G474" s="45">
        <v>27718.655964574191</v>
      </c>
      <c r="H474" s="46">
        <v>0.42163458569151957</v>
      </c>
      <c r="I474" s="46">
        <v>-5.3967297494617816E-2</v>
      </c>
      <c r="J474" s="46">
        <v>0.19840161766338937</v>
      </c>
    </row>
    <row r="475" spans="1:10" ht="11.25" customHeight="1" x14ac:dyDescent="0.2">
      <c r="A475" s="55">
        <v>44562</v>
      </c>
      <c r="B475" s="45">
        <v>0</v>
      </c>
      <c r="C475" s="45">
        <v>0</v>
      </c>
      <c r="D475" s="45">
        <v>33470.019160000003</v>
      </c>
      <c r="E475" s="45">
        <v>47582.136821613822</v>
      </c>
      <c r="F475" s="45">
        <v>29605.9113</v>
      </c>
      <c r="G475" s="45">
        <v>28008.160277273633</v>
      </c>
      <c r="H475" s="46">
        <v>0.42163458569151935</v>
      </c>
      <c r="I475" s="46">
        <v>-5.3967297494617816E-2</v>
      </c>
      <c r="J475" s="46">
        <v>0.19840161766338937</v>
      </c>
    </row>
    <row r="476" spans="1:10" ht="11.25" customHeight="1" x14ac:dyDescent="0.2">
      <c r="A476" s="55">
        <v>44593</v>
      </c>
      <c r="B476" s="45">
        <v>0</v>
      </c>
      <c r="C476" s="45">
        <v>0</v>
      </c>
      <c r="D476" s="45">
        <v>32440.819940000001</v>
      </c>
      <c r="E476" s="45">
        <v>46118.991614895087</v>
      </c>
      <c r="F476" s="45">
        <v>28695.532949999997</v>
      </c>
      <c r="G476" s="45">
        <v>27146.912586520742</v>
      </c>
      <c r="H476" s="46">
        <v>0.42163458569151957</v>
      </c>
      <c r="I476" s="46">
        <v>-5.3967297494617705E-2</v>
      </c>
      <c r="J476" s="46">
        <v>0.1984016176633896</v>
      </c>
    </row>
    <row r="477" spans="1:10" ht="11.25" customHeight="1" x14ac:dyDescent="0.2">
      <c r="A477" s="55">
        <v>44621</v>
      </c>
      <c r="B477" s="45">
        <v>0</v>
      </c>
      <c r="C477" s="45">
        <v>0</v>
      </c>
      <c r="D477" s="45">
        <v>38732.84532</v>
      </c>
      <c r="E477" s="45">
        <v>55063.952509151903</v>
      </c>
      <c r="F477" s="45">
        <v>34261.145099999994</v>
      </c>
      <c r="G477" s="45">
        <v>32412.163689882029</v>
      </c>
      <c r="H477" s="46">
        <v>0.42163458569151935</v>
      </c>
      <c r="I477" s="46">
        <v>-5.3967297494617816E-2</v>
      </c>
      <c r="J477" s="46">
        <v>0.19840161766338937</v>
      </c>
    </row>
    <row r="478" spans="1:10" ht="11.25" customHeight="1" x14ac:dyDescent="0.2">
      <c r="A478" s="55">
        <v>44652</v>
      </c>
      <c r="B478" s="45">
        <v>0</v>
      </c>
      <c r="C478" s="45">
        <v>0</v>
      </c>
      <c r="D478" s="45">
        <v>40587.215820000005</v>
      </c>
      <c r="E478" s="45">
        <v>57700.189746637989</v>
      </c>
      <c r="F478" s="45">
        <v>35901.428849999997</v>
      </c>
      <c r="G478" s="45">
        <v>33963.925758770194</v>
      </c>
      <c r="H478" s="46">
        <v>0.42163458569151935</v>
      </c>
      <c r="I478" s="46">
        <v>-5.3967297494617705E-2</v>
      </c>
      <c r="J478" s="46">
        <v>0.19840161766338915</v>
      </c>
    </row>
    <row r="479" spans="1:10" ht="11.25" customHeight="1" x14ac:dyDescent="0.2">
      <c r="A479" s="55">
        <v>44682</v>
      </c>
      <c r="B479" s="45">
        <v>0</v>
      </c>
      <c r="C479" s="45">
        <v>0</v>
      </c>
      <c r="D479" s="45">
        <v>43305.826780000003</v>
      </c>
      <c r="E479" s="45">
        <v>61565.061112414012</v>
      </c>
      <c r="F479" s="45">
        <v>38306.176650000001</v>
      </c>
      <c r="G479" s="45">
        <v>36238.895818848068</v>
      </c>
      <c r="H479" s="46">
        <v>0.42163458569151935</v>
      </c>
      <c r="I479" s="46">
        <v>-5.3967297494617816E-2</v>
      </c>
      <c r="J479" s="46">
        <v>0.19840161766338915</v>
      </c>
    </row>
    <row r="480" spans="1:10" ht="11.25" customHeight="1" x14ac:dyDescent="0.2">
      <c r="A480" s="55">
        <v>44713</v>
      </c>
      <c r="B480" s="45">
        <v>0</v>
      </c>
      <c r="C480" s="45">
        <v>0</v>
      </c>
      <c r="D480" s="45">
        <v>45376.682060000006</v>
      </c>
      <c r="E480" s="45">
        <v>64509.060600423909</v>
      </c>
      <c r="F480" s="45">
        <v>40137.95205</v>
      </c>
      <c r="G480" s="45">
        <v>37971.815250892949</v>
      </c>
      <c r="H480" s="46">
        <v>0.42163458569151935</v>
      </c>
      <c r="I480" s="46">
        <v>-5.3967297494617705E-2</v>
      </c>
      <c r="J480" s="46">
        <v>0.19840161766338915</v>
      </c>
    </row>
    <row r="481" spans="1:10" ht="11.25" customHeight="1" x14ac:dyDescent="0.2">
      <c r="A481" s="55">
        <v>44743</v>
      </c>
      <c r="B481" s="45">
        <v>0</v>
      </c>
      <c r="C481" s="45">
        <v>0</v>
      </c>
      <c r="D481" s="45">
        <v>43744.836020000002</v>
      </c>
      <c r="E481" s="45">
        <v>62189.171831436157</v>
      </c>
      <c r="F481" s="45">
        <v>38694.502349999995</v>
      </c>
      <c r="G481" s="45">
        <v>36606.264630271362</v>
      </c>
      <c r="H481" s="46">
        <v>0.42163458569151935</v>
      </c>
      <c r="I481" s="46">
        <v>-5.3967297494617705E-2</v>
      </c>
      <c r="J481" s="46">
        <v>0.19840161766338937</v>
      </c>
    </row>
    <row r="482" spans="1:10" ht="11.25" customHeight="1" x14ac:dyDescent="0.2">
      <c r="A482" s="47" t="s">
        <v>59</v>
      </c>
      <c r="B482" s="45">
        <v>114840</v>
      </c>
      <c r="C482" s="45">
        <v>142416.99507368947</v>
      </c>
      <c r="D482" s="45">
        <v>0</v>
      </c>
      <c r="E482" s="45">
        <v>0</v>
      </c>
      <c r="F482" s="45">
        <v>0</v>
      </c>
      <c r="G482" s="45">
        <v>0</v>
      </c>
      <c r="H482" s="46">
        <v>0.24013405671969235</v>
      </c>
      <c r="I482" s="46">
        <v>0</v>
      </c>
      <c r="J482" s="46">
        <v>0.24013405671969235</v>
      </c>
    </row>
    <row r="483" spans="1:10" ht="11.25" customHeight="1" x14ac:dyDescent="0.2">
      <c r="A483" s="48" t="s">
        <v>34</v>
      </c>
      <c r="B483" s="45">
        <v>114840</v>
      </c>
      <c r="C483" s="45">
        <v>142416.99507368947</v>
      </c>
      <c r="D483" s="45">
        <v>0</v>
      </c>
      <c r="E483" s="45">
        <v>0</v>
      </c>
      <c r="F483" s="45">
        <v>0</v>
      </c>
      <c r="G483" s="45">
        <v>0</v>
      </c>
      <c r="H483" s="46">
        <v>0.24013405671969235</v>
      </c>
      <c r="I483" s="46">
        <v>0</v>
      </c>
      <c r="J483" s="46">
        <v>0.24013405671969235</v>
      </c>
    </row>
    <row r="484" spans="1:10" ht="11.25" customHeight="1" x14ac:dyDescent="0.2">
      <c r="A484" s="49" t="s">
        <v>57</v>
      </c>
      <c r="B484" s="45">
        <v>114840</v>
      </c>
      <c r="C484" s="45">
        <v>142416.99507368947</v>
      </c>
      <c r="D484" s="45">
        <v>0</v>
      </c>
      <c r="E484" s="45">
        <v>0</v>
      </c>
      <c r="F484" s="45">
        <v>0</v>
      </c>
      <c r="G484" s="45">
        <v>0</v>
      </c>
      <c r="H484" s="46">
        <v>0.24013405671969235</v>
      </c>
      <c r="I484" s="46">
        <v>0</v>
      </c>
      <c r="J484" s="46">
        <v>0.24013405671969235</v>
      </c>
    </row>
    <row r="485" spans="1:10" ht="11.25" customHeight="1" x14ac:dyDescent="0.2">
      <c r="A485" s="50" t="s">
        <v>25</v>
      </c>
      <c r="B485" s="45">
        <v>114840</v>
      </c>
      <c r="C485" s="45">
        <v>142416.99507368947</v>
      </c>
      <c r="D485" s="45">
        <v>0</v>
      </c>
      <c r="E485" s="45">
        <v>0</v>
      </c>
      <c r="F485" s="45">
        <v>0</v>
      </c>
      <c r="G485" s="45">
        <v>0</v>
      </c>
      <c r="H485" s="46">
        <v>0.24013405671969235</v>
      </c>
      <c r="I485" s="46">
        <v>0</v>
      </c>
      <c r="J485" s="46">
        <v>0.24013405671969235</v>
      </c>
    </row>
    <row r="486" spans="1:10" ht="11.25" customHeight="1" x14ac:dyDescent="0.2">
      <c r="A486" s="51" t="s">
        <v>25</v>
      </c>
      <c r="B486" s="45">
        <v>114840</v>
      </c>
      <c r="C486" s="45">
        <v>142416.99507368947</v>
      </c>
      <c r="D486" s="45">
        <v>0</v>
      </c>
      <c r="E486" s="45">
        <v>0</v>
      </c>
      <c r="F486" s="45">
        <v>0</v>
      </c>
      <c r="G486" s="45">
        <v>0</v>
      </c>
      <c r="H486" s="46">
        <v>0.24013405671969235</v>
      </c>
      <c r="I486" s="46">
        <v>0</v>
      </c>
      <c r="J486" s="46">
        <v>0.24013405671969235</v>
      </c>
    </row>
    <row r="487" spans="1:10" ht="11.25" customHeight="1" x14ac:dyDescent="0.2">
      <c r="A487" s="52" t="s">
        <v>25</v>
      </c>
      <c r="B487" s="45">
        <v>114840</v>
      </c>
      <c r="C487" s="45">
        <v>142416.99507368947</v>
      </c>
      <c r="D487" s="45">
        <v>0</v>
      </c>
      <c r="E487" s="45">
        <v>0</v>
      </c>
      <c r="F487" s="45">
        <v>0</v>
      </c>
      <c r="G487" s="45">
        <v>0</v>
      </c>
      <c r="H487" s="46">
        <v>0.24013405671969235</v>
      </c>
      <c r="I487" s="46">
        <v>0</v>
      </c>
      <c r="J487" s="46">
        <v>0.24013405671969235</v>
      </c>
    </row>
    <row r="488" spans="1:10" ht="11.25" customHeight="1" x14ac:dyDescent="0.2">
      <c r="A488" s="53" t="s">
        <v>58</v>
      </c>
      <c r="B488" s="45">
        <v>62640</v>
      </c>
      <c r="C488" s="45">
        <v>77681.99731292155</v>
      </c>
      <c r="D488" s="45">
        <v>0</v>
      </c>
      <c r="E488" s="45">
        <v>0</v>
      </c>
      <c r="F488" s="45">
        <v>0</v>
      </c>
      <c r="G488" s="45">
        <v>0</v>
      </c>
      <c r="H488" s="46">
        <v>0.24013405671969279</v>
      </c>
      <c r="I488" s="46">
        <v>0</v>
      </c>
      <c r="J488" s="46">
        <v>0.24013405671969279</v>
      </c>
    </row>
    <row r="489" spans="1:10" ht="11.25" customHeight="1" x14ac:dyDescent="0.2">
      <c r="A489" s="54" t="s">
        <v>25</v>
      </c>
      <c r="B489" s="45">
        <v>62640</v>
      </c>
      <c r="C489" s="45">
        <v>77681.99731292155</v>
      </c>
      <c r="D489" s="45">
        <v>0</v>
      </c>
      <c r="E489" s="45">
        <v>0</v>
      </c>
      <c r="F489" s="45">
        <v>0</v>
      </c>
      <c r="G489" s="45">
        <v>0</v>
      </c>
      <c r="H489" s="46">
        <v>0.24013405671969279</v>
      </c>
      <c r="I489" s="46">
        <v>0</v>
      </c>
      <c r="J489" s="46">
        <v>0.24013405671969279</v>
      </c>
    </row>
    <row r="490" spans="1:10" ht="11.25" customHeight="1" x14ac:dyDescent="0.2">
      <c r="A490" s="55">
        <v>44409</v>
      </c>
      <c r="B490" s="45">
        <v>5220</v>
      </c>
      <c r="C490" s="45">
        <v>6473.4997760767956</v>
      </c>
      <c r="D490" s="45">
        <v>0</v>
      </c>
      <c r="E490" s="45">
        <v>0</v>
      </c>
      <c r="F490" s="45">
        <v>0</v>
      </c>
      <c r="G490" s="45">
        <v>0</v>
      </c>
      <c r="H490" s="46">
        <v>0.24013405671969257</v>
      </c>
      <c r="I490" s="46">
        <v>0</v>
      </c>
      <c r="J490" s="46">
        <v>0.24013405671969257</v>
      </c>
    </row>
    <row r="491" spans="1:10" ht="11.25" customHeight="1" x14ac:dyDescent="0.2">
      <c r="A491" s="55">
        <v>44440</v>
      </c>
      <c r="B491" s="45">
        <v>5220</v>
      </c>
      <c r="C491" s="45">
        <v>6473.4997760767956</v>
      </c>
      <c r="D491" s="45">
        <v>0</v>
      </c>
      <c r="E491" s="45">
        <v>0</v>
      </c>
      <c r="F491" s="45">
        <v>0</v>
      </c>
      <c r="G491" s="45">
        <v>0</v>
      </c>
      <c r="H491" s="46">
        <v>0.24013405671969257</v>
      </c>
      <c r="I491" s="46">
        <v>0</v>
      </c>
      <c r="J491" s="46">
        <v>0.24013405671969257</v>
      </c>
    </row>
    <row r="492" spans="1:10" ht="11.25" customHeight="1" x14ac:dyDescent="0.2">
      <c r="A492" s="55">
        <v>44470</v>
      </c>
      <c r="B492" s="45">
        <v>5220</v>
      </c>
      <c r="C492" s="45">
        <v>6473.4997760767956</v>
      </c>
      <c r="D492" s="45">
        <v>0</v>
      </c>
      <c r="E492" s="45">
        <v>0</v>
      </c>
      <c r="F492" s="45">
        <v>0</v>
      </c>
      <c r="G492" s="45">
        <v>0</v>
      </c>
      <c r="H492" s="46">
        <v>0.24013405671969257</v>
      </c>
      <c r="I492" s="46">
        <v>0</v>
      </c>
      <c r="J492" s="46">
        <v>0.24013405671969257</v>
      </c>
    </row>
    <row r="493" spans="1:10" ht="11.25" customHeight="1" x14ac:dyDescent="0.2">
      <c r="A493" s="55">
        <v>44501</v>
      </c>
      <c r="B493" s="45">
        <v>5220</v>
      </c>
      <c r="C493" s="45">
        <v>6473.4997760767956</v>
      </c>
      <c r="D493" s="45">
        <v>0</v>
      </c>
      <c r="E493" s="45">
        <v>0</v>
      </c>
      <c r="F493" s="45">
        <v>0</v>
      </c>
      <c r="G493" s="45">
        <v>0</v>
      </c>
      <c r="H493" s="46">
        <v>0.24013405671969257</v>
      </c>
      <c r="I493" s="46">
        <v>0</v>
      </c>
      <c r="J493" s="46">
        <v>0.24013405671969257</v>
      </c>
    </row>
    <row r="494" spans="1:10" ht="11.25" customHeight="1" x14ac:dyDescent="0.2">
      <c r="A494" s="55">
        <v>44531</v>
      </c>
      <c r="B494" s="45">
        <v>5220</v>
      </c>
      <c r="C494" s="45">
        <v>6473.4997760767956</v>
      </c>
      <c r="D494" s="45">
        <v>0</v>
      </c>
      <c r="E494" s="45">
        <v>0</v>
      </c>
      <c r="F494" s="45">
        <v>0</v>
      </c>
      <c r="G494" s="45">
        <v>0</v>
      </c>
      <c r="H494" s="46">
        <v>0.24013405671969257</v>
      </c>
      <c r="I494" s="46">
        <v>0</v>
      </c>
      <c r="J494" s="46">
        <v>0.24013405671969257</v>
      </c>
    </row>
    <row r="495" spans="1:10" ht="11.25" customHeight="1" x14ac:dyDescent="0.2">
      <c r="A495" s="55">
        <v>44562</v>
      </c>
      <c r="B495" s="45">
        <v>5220</v>
      </c>
      <c r="C495" s="45">
        <v>6473.4997760767956</v>
      </c>
      <c r="D495" s="45">
        <v>0</v>
      </c>
      <c r="E495" s="45">
        <v>0</v>
      </c>
      <c r="F495" s="45">
        <v>0</v>
      </c>
      <c r="G495" s="45">
        <v>0</v>
      </c>
      <c r="H495" s="46">
        <v>0.24013405671969257</v>
      </c>
      <c r="I495" s="46">
        <v>0</v>
      </c>
      <c r="J495" s="46">
        <v>0.24013405671969257</v>
      </c>
    </row>
    <row r="496" spans="1:10" ht="11.25" customHeight="1" x14ac:dyDescent="0.2">
      <c r="A496" s="55">
        <v>44593</v>
      </c>
      <c r="B496" s="45">
        <v>5220</v>
      </c>
      <c r="C496" s="45">
        <v>6473.4997760767956</v>
      </c>
      <c r="D496" s="45">
        <v>0</v>
      </c>
      <c r="E496" s="45">
        <v>0</v>
      </c>
      <c r="F496" s="45">
        <v>0</v>
      </c>
      <c r="G496" s="45">
        <v>0</v>
      </c>
      <c r="H496" s="46">
        <v>0.24013405671969257</v>
      </c>
      <c r="I496" s="46">
        <v>0</v>
      </c>
      <c r="J496" s="46">
        <v>0.24013405671969257</v>
      </c>
    </row>
    <row r="497" spans="1:10" ht="11.25" customHeight="1" x14ac:dyDescent="0.2">
      <c r="A497" s="55">
        <v>44621</v>
      </c>
      <c r="B497" s="45">
        <v>5220</v>
      </c>
      <c r="C497" s="45">
        <v>6473.4997760767956</v>
      </c>
      <c r="D497" s="45">
        <v>0</v>
      </c>
      <c r="E497" s="45">
        <v>0</v>
      </c>
      <c r="F497" s="45">
        <v>0</v>
      </c>
      <c r="G497" s="45">
        <v>0</v>
      </c>
      <c r="H497" s="46">
        <v>0.24013405671969257</v>
      </c>
      <c r="I497" s="46">
        <v>0</v>
      </c>
      <c r="J497" s="46">
        <v>0.24013405671969257</v>
      </c>
    </row>
    <row r="498" spans="1:10" ht="11.25" customHeight="1" x14ac:dyDescent="0.2">
      <c r="A498" s="55">
        <v>44652</v>
      </c>
      <c r="B498" s="45">
        <v>5220</v>
      </c>
      <c r="C498" s="45">
        <v>6473.4997760767956</v>
      </c>
      <c r="D498" s="45">
        <v>0</v>
      </c>
      <c r="E498" s="45">
        <v>0</v>
      </c>
      <c r="F498" s="45">
        <v>0</v>
      </c>
      <c r="G498" s="45">
        <v>0</v>
      </c>
      <c r="H498" s="46">
        <v>0.24013405671969257</v>
      </c>
      <c r="I498" s="46">
        <v>0</v>
      </c>
      <c r="J498" s="46">
        <v>0.24013405671969257</v>
      </c>
    </row>
    <row r="499" spans="1:10" ht="11.25" customHeight="1" x14ac:dyDescent="0.2">
      <c r="A499" s="55">
        <v>44682</v>
      </c>
      <c r="B499" s="45">
        <v>5220</v>
      </c>
      <c r="C499" s="45">
        <v>6473.4997760767956</v>
      </c>
      <c r="D499" s="45">
        <v>0</v>
      </c>
      <c r="E499" s="45">
        <v>0</v>
      </c>
      <c r="F499" s="45">
        <v>0</v>
      </c>
      <c r="G499" s="45">
        <v>0</v>
      </c>
      <c r="H499" s="46">
        <v>0.24013405671969257</v>
      </c>
      <c r="I499" s="46">
        <v>0</v>
      </c>
      <c r="J499" s="46">
        <v>0.24013405671969257</v>
      </c>
    </row>
    <row r="500" spans="1:10" ht="11.25" customHeight="1" x14ac:dyDescent="0.2">
      <c r="A500" s="55">
        <v>44713</v>
      </c>
      <c r="B500" s="45">
        <v>5220</v>
      </c>
      <c r="C500" s="45">
        <v>6473.4997760767956</v>
      </c>
      <c r="D500" s="45">
        <v>0</v>
      </c>
      <c r="E500" s="45">
        <v>0</v>
      </c>
      <c r="F500" s="45">
        <v>0</v>
      </c>
      <c r="G500" s="45">
        <v>0</v>
      </c>
      <c r="H500" s="46">
        <v>0.24013405671969257</v>
      </c>
      <c r="I500" s="46">
        <v>0</v>
      </c>
      <c r="J500" s="46">
        <v>0.24013405671969257</v>
      </c>
    </row>
    <row r="501" spans="1:10" ht="11.25" customHeight="1" x14ac:dyDescent="0.2">
      <c r="A501" s="55">
        <v>44743</v>
      </c>
      <c r="B501" s="45">
        <v>5220</v>
      </c>
      <c r="C501" s="45">
        <v>6473.4997760767956</v>
      </c>
      <c r="D501" s="45">
        <v>0</v>
      </c>
      <c r="E501" s="45">
        <v>0</v>
      </c>
      <c r="F501" s="45">
        <v>0</v>
      </c>
      <c r="G501" s="45">
        <v>0</v>
      </c>
      <c r="H501" s="46">
        <v>0.24013405671969257</v>
      </c>
      <c r="I501" s="46">
        <v>0</v>
      </c>
      <c r="J501" s="46">
        <v>0.24013405671969257</v>
      </c>
    </row>
    <row r="502" spans="1:10" ht="11.25" customHeight="1" x14ac:dyDescent="0.2">
      <c r="A502" s="53" t="s">
        <v>60</v>
      </c>
      <c r="B502" s="45">
        <v>52200</v>
      </c>
      <c r="C502" s="45">
        <v>64734.997760767954</v>
      </c>
      <c r="D502" s="45">
        <v>0</v>
      </c>
      <c r="E502" s="45">
        <v>0</v>
      </c>
      <c r="F502" s="45">
        <v>0</v>
      </c>
      <c r="G502" s="45">
        <v>0</v>
      </c>
      <c r="H502" s="46">
        <v>0.24013405671969257</v>
      </c>
      <c r="I502" s="46">
        <v>0</v>
      </c>
      <c r="J502" s="46">
        <v>0.24013405671969257</v>
      </c>
    </row>
    <row r="503" spans="1:10" ht="11.25" customHeight="1" x14ac:dyDescent="0.2">
      <c r="A503" s="54" t="s">
        <v>25</v>
      </c>
      <c r="B503" s="45">
        <v>52200</v>
      </c>
      <c r="C503" s="45">
        <v>64734.997760767954</v>
      </c>
      <c r="D503" s="45">
        <v>0</v>
      </c>
      <c r="E503" s="45">
        <v>0</v>
      </c>
      <c r="F503" s="45">
        <v>0</v>
      </c>
      <c r="G503" s="45">
        <v>0</v>
      </c>
      <c r="H503" s="46">
        <v>0.24013405671969257</v>
      </c>
      <c r="I503" s="46">
        <v>0</v>
      </c>
      <c r="J503" s="46">
        <v>0.24013405671969257</v>
      </c>
    </row>
    <row r="504" spans="1:10" ht="11.25" customHeight="1" x14ac:dyDescent="0.2">
      <c r="A504" s="55">
        <v>44409</v>
      </c>
      <c r="B504" s="45">
        <v>4350</v>
      </c>
      <c r="C504" s="45">
        <v>5394.5831467306625</v>
      </c>
      <c r="D504" s="45">
        <v>0</v>
      </c>
      <c r="E504" s="45">
        <v>0</v>
      </c>
      <c r="F504" s="45">
        <v>0</v>
      </c>
      <c r="G504" s="45">
        <v>0</v>
      </c>
      <c r="H504" s="46">
        <v>0.24013405671969257</v>
      </c>
      <c r="I504" s="46">
        <v>0</v>
      </c>
      <c r="J504" s="46">
        <v>0.24013405671969257</v>
      </c>
    </row>
    <row r="505" spans="1:10" ht="11.25" customHeight="1" x14ac:dyDescent="0.2">
      <c r="A505" s="55">
        <v>44440</v>
      </c>
      <c r="B505" s="45">
        <v>4350</v>
      </c>
      <c r="C505" s="45">
        <v>5394.5831467306625</v>
      </c>
      <c r="D505" s="45">
        <v>0</v>
      </c>
      <c r="E505" s="45">
        <v>0</v>
      </c>
      <c r="F505" s="45">
        <v>0</v>
      </c>
      <c r="G505" s="45">
        <v>0</v>
      </c>
      <c r="H505" s="46">
        <v>0.24013405671969257</v>
      </c>
      <c r="I505" s="46">
        <v>0</v>
      </c>
      <c r="J505" s="46">
        <v>0.24013405671969257</v>
      </c>
    </row>
    <row r="506" spans="1:10" ht="11.25" customHeight="1" x14ac:dyDescent="0.2">
      <c r="A506" s="55">
        <v>44470</v>
      </c>
      <c r="B506" s="45">
        <v>4350</v>
      </c>
      <c r="C506" s="45">
        <v>5394.5831467306625</v>
      </c>
      <c r="D506" s="45">
        <v>0</v>
      </c>
      <c r="E506" s="45">
        <v>0</v>
      </c>
      <c r="F506" s="45">
        <v>0</v>
      </c>
      <c r="G506" s="45">
        <v>0</v>
      </c>
      <c r="H506" s="46">
        <v>0.24013405671969257</v>
      </c>
      <c r="I506" s="46">
        <v>0</v>
      </c>
      <c r="J506" s="46">
        <v>0.24013405671969257</v>
      </c>
    </row>
    <row r="507" spans="1:10" ht="11.25" customHeight="1" x14ac:dyDescent="0.2">
      <c r="A507" s="55">
        <v>44501</v>
      </c>
      <c r="B507" s="45">
        <v>4350</v>
      </c>
      <c r="C507" s="45">
        <v>5394.5831467306625</v>
      </c>
      <c r="D507" s="45">
        <v>0</v>
      </c>
      <c r="E507" s="45">
        <v>0</v>
      </c>
      <c r="F507" s="45">
        <v>0</v>
      </c>
      <c r="G507" s="45">
        <v>0</v>
      </c>
      <c r="H507" s="46">
        <v>0.24013405671969257</v>
      </c>
      <c r="I507" s="46">
        <v>0</v>
      </c>
      <c r="J507" s="46">
        <v>0.24013405671969257</v>
      </c>
    </row>
    <row r="508" spans="1:10" ht="11.25" customHeight="1" x14ac:dyDescent="0.2">
      <c r="A508" s="55">
        <v>44531</v>
      </c>
      <c r="B508" s="45">
        <v>4350</v>
      </c>
      <c r="C508" s="45">
        <v>5394.5831467306625</v>
      </c>
      <c r="D508" s="45">
        <v>0</v>
      </c>
      <c r="E508" s="45">
        <v>0</v>
      </c>
      <c r="F508" s="45">
        <v>0</v>
      </c>
      <c r="G508" s="45">
        <v>0</v>
      </c>
      <c r="H508" s="46">
        <v>0.24013405671969257</v>
      </c>
      <c r="I508" s="46">
        <v>0</v>
      </c>
      <c r="J508" s="46">
        <v>0.24013405671969257</v>
      </c>
    </row>
    <row r="509" spans="1:10" ht="11.25" customHeight="1" x14ac:dyDescent="0.2">
      <c r="A509" s="55">
        <v>44562</v>
      </c>
      <c r="B509" s="45">
        <v>4350</v>
      </c>
      <c r="C509" s="45">
        <v>5394.5831467306625</v>
      </c>
      <c r="D509" s="45">
        <v>0</v>
      </c>
      <c r="E509" s="45">
        <v>0</v>
      </c>
      <c r="F509" s="45">
        <v>0</v>
      </c>
      <c r="G509" s="45">
        <v>0</v>
      </c>
      <c r="H509" s="46">
        <v>0.24013405671969257</v>
      </c>
      <c r="I509" s="46">
        <v>0</v>
      </c>
      <c r="J509" s="46">
        <v>0.24013405671969257</v>
      </c>
    </row>
    <row r="510" spans="1:10" ht="11.25" customHeight="1" x14ac:dyDescent="0.2">
      <c r="A510" s="55">
        <v>44593</v>
      </c>
      <c r="B510" s="45">
        <v>4350</v>
      </c>
      <c r="C510" s="45">
        <v>5394.5831467306625</v>
      </c>
      <c r="D510" s="45">
        <v>0</v>
      </c>
      <c r="E510" s="45">
        <v>0</v>
      </c>
      <c r="F510" s="45">
        <v>0</v>
      </c>
      <c r="G510" s="45">
        <v>0</v>
      </c>
      <c r="H510" s="46">
        <v>0.24013405671969257</v>
      </c>
      <c r="I510" s="46">
        <v>0</v>
      </c>
      <c r="J510" s="46">
        <v>0.24013405671969257</v>
      </c>
    </row>
    <row r="511" spans="1:10" ht="11.25" customHeight="1" x14ac:dyDescent="0.2">
      <c r="A511" s="55">
        <v>44621</v>
      </c>
      <c r="B511" s="45">
        <v>4350</v>
      </c>
      <c r="C511" s="45">
        <v>5394.5831467306625</v>
      </c>
      <c r="D511" s="45">
        <v>0</v>
      </c>
      <c r="E511" s="45">
        <v>0</v>
      </c>
      <c r="F511" s="45">
        <v>0</v>
      </c>
      <c r="G511" s="45">
        <v>0</v>
      </c>
      <c r="H511" s="46">
        <v>0.24013405671969257</v>
      </c>
      <c r="I511" s="46">
        <v>0</v>
      </c>
      <c r="J511" s="46">
        <v>0.24013405671969257</v>
      </c>
    </row>
    <row r="512" spans="1:10" ht="11.25" customHeight="1" x14ac:dyDescent="0.2">
      <c r="A512" s="55">
        <v>44652</v>
      </c>
      <c r="B512" s="45">
        <v>4350</v>
      </c>
      <c r="C512" s="45">
        <v>5394.5831467306625</v>
      </c>
      <c r="D512" s="45">
        <v>0</v>
      </c>
      <c r="E512" s="45">
        <v>0</v>
      </c>
      <c r="F512" s="45">
        <v>0</v>
      </c>
      <c r="G512" s="45">
        <v>0</v>
      </c>
      <c r="H512" s="46">
        <v>0.24013405671969257</v>
      </c>
      <c r="I512" s="46">
        <v>0</v>
      </c>
      <c r="J512" s="46">
        <v>0.24013405671969257</v>
      </c>
    </row>
    <row r="513" spans="1:10" ht="11.25" customHeight="1" x14ac:dyDescent="0.2">
      <c r="A513" s="55">
        <v>44682</v>
      </c>
      <c r="B513" s="45">
        <v>4350</v>
      </c>
      <c r="C513" s="45">
        <v>5394.5831467306625</v>
      </c>
      <c r="D513" s="45">
        <v>0</v>
      </c>
      <c r="E513" s="45">
        <v>0</v>
      </c>
      <c r="F513" s="45">
        <v>0</v>
      </c>
      <c r="G513" s="45">
        <v>0</v>
      </c>
      <c r="H513" s="46">
        <v>0.24013405671969257</v>
      </c>
      <c r="I513" s="46">
        <v>0</v>
      </c>
      <c r="J513" s="46">
        <v>0.24013405671969257</v>
      </c>
    </row>
    <row r="514" spans="1:10" ht="11.25" customHeight="1" x14ac:dyDescent="0.2">
      <c r="A514" s="55">
        <v>44713</v>
      </c>
      <c r="B514" s="45">
        <v>4350</v>
      </c>
      <c r="C514" s="45">
        <v>5394.5831467306625</v>
      </c>
      <c r="D514" s="45">
        <v>0</v>
      </c>
      <c r="E514" s="45">
        <v>0</v>
      </c>
      <c r="F514" s="45">
        <v>0</v>
      </c>
      <c r="G514" s="45">
        <v>0</v>
      </c>
      <c r="H514" s="46">
        <v>0.24013405671969257</v>
      </c>
      <c r="I514" s="46">
        <v>0</v>
      </c>
      <c r="J514" s="46">
        <v>0.24013405671969257</v>
      </c>
    </row>
    <row r="515" spans="1:10" ht="11.25" customHeight="1" x14ac:dyDescent="0.2">
      <c r="A515" s="55">
        <v>44743</v>
      </c>
      <c r="B515" s="45">
        <v>4350</v>
      </c>
      <c r="C515" s="45">
        <v>5394.5831467306625</v>
      </c>
      <c r="D515" s="45">
        <v>0</v>
      </c>
      <c r="E515" s="45">
        <v>0</v>
      </c>
      <c r="F515" s="45">
        <v>0</v>
      </c>
      <c r="G515" s="45">
        <v>0</v>
      </c>
      <c r="H515" s="46">
        <v>0.24013405671969257</v>
      </c>
      <c r="I515" s="46">
        <v>0</v>
      </c>
      <c r="J515" s="46">
        <v>0.24013405671969257</v>
      </c>
    </row>
    <row r="516" spans="1:10" ht="11.25" customHeight="1" x14ac:dyDescent="0.2">
      <c r="A516" s="47" t="s">
        <v>56</v>
      </c>
      <c r="B516" s="45">
        <v>3355093.9227668988</v>
      </c>
      <c r="C516" s="45">
        <v>4502296.9597301092</v>
      </c>
      <c r="D516" s="45">
        <v>6650449.7332233386</v>
      </c>
      <c r="E516" s="45">
        <v>12331976.86107982</v>
      </c>
      <c r="F516" s="45">
        <v>0</v>
      </c>
      <c r="G516" s="45">
        <v>0</v>
      </c>
      <c r="H516" s="46">
        <v>0.68249466491822153</v>
      </c>
      <c r="I516" s="46">
        <v>0</v>
      </c>
      <c r="J516" s="46">
        <v>0.68249466491822153</v>
      </c>
    </row>
    <row r="517" spans="1:10" ht="11.25" customHeight="1" x14ac:dyDescent="0.2">
      <c r="A517" s="48" t="s">
        <v>61</v>
      </c>
      <c r="B517" s="45">
        <v>270533.65478996804</v>
      </c>
      <c r="C517" s="45">
        <v>365298.83885317395</v>
      </c>
      <c r="D517" s="45">
        <v>442158.75442200003</v>
      </c>
      <c r="E517" s="45">
        <v>850282.50555195566</v>
      </c>
      <c r="F517" s="45">
        <v>0</v>
      </c>
      <c r="G517" s="45">
        <v>0</v>
      </c>
      <c r="H517" s="46">
        <v>0.70561848097864743</v>
      </c>
      <c r="I517" s="46">
        <v>0</v>
      </c>
      <c r="J517" s="46">
        <v>0.70561848097864743</v>
      </c>
    </row>
    <row r="518" spans="1:10" ht="11.25" customHeight="1" x14ac:dyDescent="0.2">
      <c r="A518" s="49" t="s">
        <v>54</v>
      </c>
      <c r="B518" s="45">
        <v>270533.65478996804</v>
      </c>
      <c r="C518" s="45">
        <v>365298.83885317395</v>
      </c>
      <c r="D518" s="45">
        <v>442158.75442200003</v>
      </c>
      <c r="E518" s="45">
        <v>850282.50555195566</v>
      </c>
      <c r="F518" s="45">
        <v>0</v>
      </c>
      <c r="G518" s="45">
        <v>0</v>
      </c>
      <c r="H518" s="46">
        <v>0.70561848097864743</v>
      </c>
      <c r="I518" s="46">
        <v>0</v>
      </c>
      <c r="J518" s="46">
        <v>0.70561848097864743</v>
      </c>
    </row>
    <row r="519" spans="1:10" ht="11.25" customHeight="1" x14ac:dyDescent="0.2">
      <c r="A519" s="50" t="s">
        <v>33</v>
      </c>
      <c r="B519" s="45">
        <v>270533.65478996804</v>
      </c>
      <c r="C519" s="45">
        <v>365298.83885317395</v>
      </c>
      <c r="D519" s="45">
        <v>442158.75442200003</v>
      </c>
      <c r="E519" s="45">
        <v>850282.50555195566</v>
      </c>
      <c r="F519" s="45">
        <v>0</v>
      </c>
      <c r="G519" s="45">
        <v>0</v>
      </c>
      <c r="H519" s="46">
        <v>0.70561848097864743</v>
      </c>
      <c r="I519" s="46">
        <v>0</v>
      </c>
      <c r="J519" s="46">
        <v>0.70561848097864743</v>
      </c>
    </row>
    <row r="520" spans="1:10" ht="11.25" customHeight="1" x14ac:dyDescent="0.2">
      <c r="A520" s="51" t="s">
        <v>25</v>
      </c>
      <c r="B520" s="45">
        <v>270533.65478996804</v>
      </c>
      <c r="C520" s="45">
        <v>365298.83885317395</v>
      </c>
      <c r="D520" s="45">
        <v>442158.75442200003</v>
      </c>
      <c r="E520" s="45">
        <v>850282.50555195566</v>
      </c>
      <c r="F520" s="45">
        <v>0</v>
      </c>
      <c r="G520" s="45">
        <v>0</v>
      </c>
      <c r="H520" s="46">
        <v>0.70561848097864743</v>
      </c>
      <c r="I520" s="46">
        <v>0</v>
      </c>
      <c r="J520" s="46">
        <v>0.70561848097864743</v>
      </c>
    </row>
    <row r="521" spans="1:10" ht="11.25" customHeight="1" x14ac:dyDescent="0.2">
      <c r="A521" s="52" t="s">
        <v>55</v>
      </c>
      <c r="B521" s="45">
        <v>270533.65478996804</v>
      </c>
      <c r="C521" s="45">
        <v>365298.83885317395</v>
      </c>
      <c r="D521" s="45">
        <v>442158.75442200003</v>
      </c>
      <c r="E521" s="45">
        <v>850282.50555195566</v>
      </c>
      <c r="F521" s="45">
        <v>0</v>
      </c>
      <c r="G521" s="45">
        <v>0</v>
      </c>
      <c r="H521" s="46">
        <v>0.70561848097864743</v>
      </c>
      <c r="I521" s="46">
        <v>0</v>
      </c>
      <c r="J521" s="46">
        <v>0.70561848097864743</v>
      </c>
    </row>
    <row r="522" spans="1:10" ht="11.25" customHeight="1" x14ac:dyDescent="0.2">
      <c r="A522" s="53" t="s">
        <v>25</v>
      </c>
      <c r="B522" s="45">
        <v>270533.65478996804</v>
      </c>
      <c r="C522" s="45">
        <v>365298.83885317395</v>
      </c>
      <c r="D522" s="45">
        <v>442158.75442200003</v>
      </c>
      <c r="E522" s="45">
        <v>850282.50555195566</v>
      </c>
      <c r="F522" s="45">
        <v>0</v>
      </c>
      <c r="G522" s="45">
        <v>0</v>
      </c>
      <c r="H522" s="46">
        <v>0.70561848097864743</v>
      </c>
      <c r="I522" s="46">
        <v>0</v>
      </c>
      <c r="J522" s="46">
        <v>0.70561848097864743</v>
      </c>
    </row>
    <row r="523" spans="1:10" ht="11.25" customHeight="1" x14ac:dyDescent="0.2">
      <c r="A523" s="54" t="s">
        <v>37</v>
      </c>
      <c r="B523" s="45">
        <v>105318.34095854181</v>
      </c>
      <c r="C523" s="45">
        <v>139893.11531081799</v>
      </c>
      <c r="D523" s="45">
        <v>0</v>
      </c>
      <c r="E523" s="45">
        <v>0</v>
      </c>
      <c r="F523" s="45">
        <v>0</v>
      </c>
      <c r="G523" s="45">
        <v>0</v>
      </c>
      <c r="H523" s="46">
        <v>0.32828825480536583</v>
      </c>
      <c r="I523" s="46">
        <v>0</v>
      </c>
      <c r="J523" s="46">
        <v>0.32828825480536583</v>
      </c>
    </row>
    <row r="524" spans="1:10" ht="11.25" customHeight="1" x14ac:dyDescent="0.2">
      <c r="A524" s="55">
        <v>44652</v>
      </c>
      <c r="B524" s="45">
        <v>24070.790947012316</v>
      </c>
      <c r="C524" s="45">
        <v>31972.948898791783</v>
      </c>
      <c r="D524" s="45">
        <v>0</v>
      </c>
      <c r="E524" s="45">
        <v>0</v>
      </c>
      <c r="F524" s="45">
        <v>0</v>
      </c>
      <c r="G524" s="45">
        <v>0</v>
      </c>
      <c r="H524" s="46">
        <v>0.32828825480536561</v>
      </c>
      <c r="I524" s="46">
        <v>0</v>
      </c>
      <c r="J524" s="46">
        <v>0.32828825480536561</v>
      </c>
    </row>
    <row r="525" spans="1:10" ht="11.25" customHeight="1" x14ac:dyDescent="0.2">
      <c r="A525" s="55">
        <v>44682</v>
      </c>
      <c r="B525" s="45">
        <v>25933.372252048797</v>
      </c>
      <c r="C525" s="45">
        <v>34446.993769891793</v>
      </c>
      <c r="D525" s="45">
        <v>0</v>
      </c>
      <c r="E525" s="45">
        <v>0</v>
      </c>
      <c r="F525" s="45">
        <v>0</v>
      </c>
      <c r="G525" s="45">
        <v>0</v>
      </c>
      <c r="H525" s="46">
        <v>0.32828825480536561</v>
      </c>
      <c r="I525" s="46">
        <v>0</v>
      </c>
      <c r="J525" s="46">
        <v>0.32828825480536561</v>
      </c>
    </row>
    <row r="526" spans="1:10" ht="11.25" customHeight="1" x14ac:dyDescent="0.2">
      <c r="A526" s="55">
        <v>44713</v>
      </c>
      <c r="B526" s="45">
        <v>26361.958026270717</v>
      </c>
      <c r="C526" s="45">
        <v>35016.27921996743</v>
      </c>
      <c r="D526" s="45">
        <v>0</v>
      </c>
      <c r="E526" s="45">
        <v>0</v>
      </c>
      <c r="F526" s="45">
        <v>0</v>
      </c>
      <c r="G526" s="45">
        <v>0</v>
      </c>
      <c r="H526" s="46">
        <v>0.32828825480536561</v>
      </c>
      <c r="I526" s="46">
        <v>0</v>
      </c>
      <c r="J526" s="46">
        <v>0.32828825480536561</v>
      </c>
    </row>
    <row r="527" spans="1:10" ht="11.25" customHeight="1" x14ac:dyDescent="0.2">
      <c r="A527" s="55">
        <v>44743</v>
      </c>
      <c r="B527" s="45">
        <v>28952.219733209997</v>
      </c>
      <c r="C527" s="45">
        <v>38456.893422166977</v>
      </c>
      <c r="D527" s="45">
        <v>0</v>
      </c>
      <c r="E527" s="45">
        <v>0</v>
      </c>
      <c r="F527" s="45">
        <v>0</v>
      </c>
      <c r="G527" s="45">
        <v>0</v>
      </c>
      <c r="H527" s="46">
        <v>0.32828825480536561</v>
      </c>
      <c r="I527" s="46">
        <v>0</v>
      </c>
      <c r="J527" s="46">
        <v>0.32828825480536561</v>
      </c>
    </row>
    <row r="528" spans="1:10" ht="11.25" customHeight="1" x14ac:dyDescent="0.2">
      <c r="A528" s="54" t="s">
        <v>25</v>
      </c>
      <c r="B528" s="45">
        <v>0</v>
      </c>
      <c r="C528" s="45">
        <v>0</v>
      </c>
      <c r="D528" s="45">
        <v>442158.75442200003</v>
      </c>
      <c r="E528" s="45">
        <v>850282.50555195566</v>
      </c>
      <c r="F528" s="45">
        <v>0</v>
      </c>
      <c r="G528" s="45">
        <v>0</v>
      </c>
      <c r="H528" s="46">
        <v>0.92302537730699075</v>
      </c>
      <c r="I528" s="46">
        <v>0</v>
      </c>
      <c r="J528" s="46">
        <v>0.92302537730699075</v>
      </c>
    </row>
    <row r="529" spans="1:10" ht="11.25" customHeight="1" x14ac:dyDescent="0.2">
      <c r="A529" s="55">
        <v>44652</v>
      </c>
      <c r="B529" s="45">
        <v>0</v>
      </c>
      <c r="C529" s="45">
        <v>0</v>
      </c>
      <c r="D529" s="45">
        <v>78089.111561999991</v>
      </c>
      <c r="E529" s="45">
        <v>150167.34322508273</v>
      </c>
      <c r="F529" s="45">
        <v>0</v>
      </c>
      <c r="G529" s="45">
        <v>0</v>
      </c>
      <c r="H529" s="46">
        <v>0.92302537730699075</v>
      </c>
      <c r="I529" s="46">
        <v>0</v>
      </c>
      <c r="J529" s="46">
        <v>0.92302537730699075</v>
      </c>
    </row>
    <row r="530" spans="1:10" ht="11.25" customHeight="1" x14ac:dyDescent="0.2">
      <c r="A530" s="55">
        <v>44682</v>
      </c>
      <c r="B530" s="45">
        <v>0</v>
      </c>
      <c r="C530" s="45">
        <v>0</v>
      </c>
      <c r="D530" s="45">
        <v>117232.63398</v>
      </c>
      <c r="E530" s="45">
        <v>225441.33019208186</v>
      </c>
      <c r="F530" s="45">
        <v>0</v>
      </c>
      <c r="G530" s="45">
        <v>0</v>
      </c>
      <c r="H530" s="46">
        <v>0.92302537730699097</v>
      </c>
      <c r="I530" s="46">
        <v>0</v>
      </c>
      <c r="J530" s="46">
        <v>0.92302537730699097</v>
      </c>
    </row>
    <row r="531" spans="1:10" ht="11.25" customHeight="1" x14ac:dyDescent="0.2">
      <c r="A531" s="55">
        <v>44713</v>
      </c>
      <c r="B531" s="45">
        <v>0</v>
      </c>
      <c r="C531" s="45">
        <v>0</v>
      </c>
      <c r="D531" s="45">
        <v>120962.38215600001</v>
      </c>
      <c r="E531" s="45">
        <v>232613.73058549434</v>
      </c>
      <c r="F531" s="45">
        <v>0</v>
      </c>
      <c r="G531" s="45">
        <v>0</v>
      </c>
      <c r="H531" s="46">
        <v>0.92302537730699097</v>
      </c>
      <c r="I531" s="46">
        <v>0</v>
      </c>
      <c r="J531" s="46">
        <v>0.92302537730699097</v>
      </c>
    </row>
    <row r="532" spans="1:10" ht="11.25" customHeight="1" x14ac:dyDescent="0.2">
      <c r="A532" s="55">
        <v>44743</v>
      </c>
      <c r="B532" s="45">
        <v>0</v>
      </c>
      <c r="C532" s="45">
        <v>0</v>
      </c>
      <c r="D532" s="45">
        <v>125874.626724</v>
      </c>
      <c r="E532" s="45">
        <v>242060.10154929676</v>
      </c>
      <c r="F532" s="45">
        <v>0</v>
      </c>
      <c r="G532" s="45">
        <v>0</v>
      </c>
      <c r="H532" s="46">
        <v>0.92302537730699097</v>
      </c>
      <c r="I532" s="46">
        <v>0</v>
      </c>
      <c r="J532" s="46">
        <v>0.92302537730699097</v>
      </c>
    </row>
    <row r="533" spans="1:10" ht="11.25" customHeight="1" x14ac:dyDescent="0.2">
      <c r="A533" s="54" t="s">
        <v>36</v>
      </c>
      <c r="B533" s="45">
        <v>165215.31383142623</v>
      </c>
      <c r="C533" s="45">
        <v>225405.72354235596</v>
      </c>
      <c r="D533" s="45">
        <v>0</v>
      </c>
      <c r="E533" s="45">
        <v>0</v>
      </c>
      <c r="F533" s="45">
        <v>0</v>
      </c>
      <c r="G533" s="45">
        <v>0</v>
      </c>
      <c r="H533" s="46">
        <v>0.36431495552732884</v>
      </c>
      <c r="I533" s="46">
        <v>0</v>
      </c>
      <c r="J533" s="46">
        <v>0.36431495552732884</v>
      </c>
    </row>
    <row r="534" spans="1:10" ht="11.25" customHeight="1" x14ac:dyDescent="0.2">
      <c r="A534" s="55">
        <v>44652</v>
      </c>
      <c r="B534" s="45">
        <v>37786.407308375041</v>
      </c>
      <c r="C534" s="45">
        <v>51552.56060646323</v>
      </c>
      <c r="D534" s="45">
        <v>0</v>
      </c>
      <c r="E534" s="45">
        <v>0</v>
      </c>
      <c r="F534" s="45">
        <v>0</v>
      </c>
      <c r="G534" s="45">
        <v>0</v>
      </c>
      <c r="H534" s="46">
        <v>0.36431495552732884</v>
      </c>
      <c r="I534" s="46">
        <v>0</v>
      </c>
      <c r="J534" s="46">
        <v>0.36431495552732884</v>
      </c>
    </row>
    <row r="535" spans="1:10" ht="11.25" customHeight="1" x14ac:dyDescent="0.2">
      <c r="A535" s="55">
        <v>44682</v>
      </c>
      <c r="B535" s="45">
        <v>40560.959747024637</v>
      </c>
      <c r="C535" s="45">
        <v>55337.923993407698</v>
      </c>
      <c r="D535" s="45">
        <v>0</v>
      </c>
      <c r="E535" s="45">
        <v>0</v>
      </c>
      <c r="F535" s="45">
        <v>0</v>
      </c>
      <c r="G535" s="45">
        <v>0</v>
      </c>
      <c r="H535" s="46">
        <v>0.36431495552732884</v>
      </c>
      <c r="I535" s="46">
        <v>0</v>
      </c>
      <c r="J535" s="46">
        <v>0.36431495552732884</v>
      </c>
    </row>
    <row r="536" spans="1:10" ht="11.25" customHeight="1" x14ac:dyDescent="0.2">
      <c r="A536" s="55">
        <v>44713</v>
      </c>
      <c r="B536" s="45">
        <v>40861.67980270656</v>
      </c>
      <c r="C536" s="45">
        <v>55748.200862801554</v>
      </c>
      <c r="D536" s="45">
        <v>0</v>
      </c>
      <c r="E536" s="45">
        <v>0</v>
      </c>
      <c r="F536" s="45">
        <v>0</v>
      </c>
      <c r="G536" s="45">
        <v>0</v>
      </c>
      <c r="H536" s="46">
        <v>0.36431495552732884</v>
      </c>
      <c r="I536" s="46">
        <v>0</v>
      </c>
      <c r="J536" s="46">
        <v>0.36431495552732884</v>
      </c>
    </row>
    <row r="537" spans="1:10" ht="11.25" customHeight="1" x14ac:dyDescent="0.2">
      <c r="A537" s="55">
        <v>44743</v>
      </c>
      <c r="B537" s="45">
        <v>46006.266973319995</v>
      </c>
      <c r="C537" s="45">
        <v>62767.038079683494</v>
      </c>
      <c r="D537" s="45">
        <v>0</v>
      </c>
      <c r="E537" s="45">
        <v>0</v>
      </c>
      <c r="F537" s="45">
        <v>0</v>
      </c>
      <c r="G537" s="45">
        <v>0</v>
      </c>
      <c r="H537" s="46">
        <v>0.36431495552732907</v>
      </c>
      <c r="I537" s="46">
        <v>0</v>
      </c>
      <c r="J537" s="46">
        <v>0.36431495552732907</v>
      </c>
    </row>
    <row r="538" spans="1:10" ht="11.25" customHeight="1" x14ac:dyDescent="0.2">
      <c r="A538" s="48" t="s">
        <v>34</v>
      </c>
      <c r="B538" s="45">
        <v>3084560.2679769299</v>
      </c>
      <c r="C538" s="45">
        <v>4136998.1208769348</v>
      </c>
      <c r="D538" s="45">
        <v>6208290.9788013371</v>
      </c>
      <c r="E538" s="45">
        <v>11481694.355527863</v>
      </c>
      <c r="F538" s="45">
        <v>0</v>
      </c>
      <c r="G538" s="45">
        <v>0</v>
      </c>
      <c r="H538" s="46">
        <v>0.68072124062242279</v>
      </c>
      <c r="I538" s="46">
        <v>0</v>
      </c>
      <c r="J538" s="46">
        <v>0.68072124062242279</v>
      </c>
    </row>
    <row r="539" spans="1:10" ht="11.25" customHeight="1" x14ac:dyDescent="0.2">
      <c r="A539" s="49" t="s">
        <v>54</v>
      </c>
      <c r="B539" s="45">
        <v>1829779.8006306426</v>
      </c>
      <c r="C539" s="45">
        <v>2469981.0315087223</v>
      </c>
      <c r="D539" s="45">
        <v>2425555.3987711999</v>
      </c>
      <c r="E539" s="45">
        <v>4748374.1695449939</v>
      </c>
      <c r="F539" s="45">
        <v>0</v>
      </c>
      <c r="G539" s="45">
        <v>0</v>
      </c>
      <c r="H539" s="46">
        <v>0.69630707401578507</v>
      </c>
      <c r="I539" s="46">
        <v>0</v>
      </c>
      <c r="J539" s="46">
        <v>0.69630707401578507</v>
      </c>
    </row>
    <row r="540" spans="1:10" ht="11.25" customHeight="1" x14ac:dyDescent="0.2">
      <c r="A540" s="50" t="s">
        <v>33</v>
      </c>
      <c r="B540" s="45">
        <v>1829779.8006306426</v>
      </c>
      <c r="C540" s="45">
        <v>2469981.0315087223</v>
      </c>
      <c r="D540" s="45">
        <v>2425555.3987711999</v>
      </c>
      <c r="E540" s="45">
        <v>4748374.1695449939</v>
      </c>
      <c r="F540" s="45">
        <v>0</v>
      </c>
      <c r="G540" s="45">
        <v>0</v>
      </c>
      <c r="H540" s="46">
        <v>0.69630707401578507</v>
      </c>
      <c r="I540" s="46">
        <v>0</v>
      </c>
      <c r="J540" s="46">
        <v>0.69630707401578507</v>
      </c>
    </row>
    <row r="541" spans="1:10" ht="11.25" customHeight="1" x14ac:dyDescent="0.2">
      <c r="A541" s="51" t="s">
        <v>25</v>
      </c>
      <c r="B541" s="45">
        <v>1829779.8006306426</v>
      </c>
      <c r="C541" s="45">
        <v>2469981.0315087223</v>
      </c>
      <c r="D541" s="45">
        <v>2425555.3987711999</v>
      </c>
      <c r="E541" s="45">
        <v>4748374.1695449939</v>
      </c>
      <c r="F541" s="45">
        <v>0</v>
      </c>
      <c r="G541" s="45">
        <v>0</v>
      </c>
      <c r="H541" s="46">
        <v>0.69630707401578507</v>
      </c>
      <c r="I541" s="46">
        <v>0</v>
      </c>
      <c r="J541" s="46">
        <v>0.69630707401578507</v>
      </c>
    </row>
    <row r="542" spans="1:10" ht="11.25" customHeight="1" x14ac:dyDescent="0.2">
      <c r="A542" s="52" t="s">
        <v>55</v>
      </c>
      <c r="B542" s="45">
        <v>1829779.8006306426</v>
      </c>
      <c r="C542" s="45">
        <v>2469981.0315087223</v>
      </c>
      <c r="D542" s="45">
        <v>2425555.3987711999</v>
      </c>
      <c r="E542" s="45">
        <v>4748374.1695449939</v>
      </c>
      <c r="F542" s="45">
        <v>0</v>
      </c>
      <c r="G542" s="45">
        <v>0</v>
      </c>
      <c r="H542" s="46">
        <v>0.69630707401578507</v>
      </c>
      <c r="I542" s="46">
        <v>0</v>
      </c>
      <c r="J542" s="46">
        <v>0.69630707401578507</v>
      </c>
    </row>
    <row r="543" spans="1:10" ht="11.25" customHeight="1" x14ac:dyDescent="0.2">
      <c r="A543" s="53" t="s">
        <v>25</v>
      </c>
      <c r="B543" s="45">
        <v>1829779.8006306426</v>
      </c>
      <c r="C543" s="45">
        <v>2469981.0315087223</v>
      </c>
      <c r="D543" s="45">
        <v>2425555.3987711999</v>
      </c>
      <c r="E543" s="45">
        <v>4748374.1695449939</v>
      </c>
      <c r="F543" s="45">
        <v>0</v>
      </c>
      <c r="G543" s="45">
        <v>0</v>
      </c>
      <c r="H543" s="46">
        <v>0.69630707401578507</v>
      </c>
      <c r="I543" s="46">
        <v>0</v>
      </c>
      <c r="J543" s="46">
        <v>0.69630707401578507</v>
      </c>
    </row>
    <row r="544" spans="1:10" ht="11.25" customHeight="1" x14ac:dyDescent="0.2">
      <c r="A544" s="54" t="s">
        <v>37</v>
      </c>
      <c r="B544" s="45">
        <v>733514.01354455831</v>
      </c>
      <c r="C544" s="45">
        <v>974497.47401302948</v>
      </c>
      <c r="D544" s="45">
        <v>0</v>
      </c>
      <c r="E544" s="45">
        <v>0</v>
      </c>
      <c r="F544" s="45">
        <v>0</v>
      </c>
      <c r="G544" s="45">
        <v>0</v>
      </c>
      <c r="H544" s="46">
        <v>0.32853286511046642</v>
      </c>
      <c r="I544" s="46">
        <v>0</v>
      </c>
      <c r="J544" s="46">
        <v>0.32853286511046642</v>
      </c>
    </row>
    <row r="545" spans="1:10" ht="11.25" customHeight="1" x14ac:dyDescent="0.2">
      <c r="A545" s="55">
        <v>44409</v>
      </c>
      <c r="B545" s="45">
        <v>68869.745801391589</v>
      </c>
      <c r="C545" s="45">
        <v>91495.720708952271</v>
      </c>
      <c r="D545" s="45">
        <v>0</v>
      </c>
      <c r="E545" s="45">
        <v>0</v>
      </c>
      <c r="F545" s="45">
        <v>0</v>
      </c>
      <c r="G545" s="45">
        <v>0</v>
      </c>
      <c r="H545" s="46">
        <v>0.3285328651104662</v>
      </c>
      <c r="I545" s="46">
        <v>0</v>
      </c>
      <c r="J545" s="46">
        <v>0.3285328651104662</v>
      </c>
    </row>
    <row r="546" spans="1:10" ht="11.25" customHeight="1" x14ac:dyDescent="0.2">
      <c r="A546" s="55">
        <v>44440</v>
      </c>
      <c r="B546" s="45">
        <v>69265.076902112793</v>
      </c>
      <c r="C546" s="45">
        <v>92020.931068860678</v>
      </c>
      <c r="D546" s="45">
        <v>0</v>
      </c>
      <c r="E546" s="45">
        <v>0</v>
      </c>
      <c r="F546" s="45">
        <v>0</v>
      </c>
      <c r="G546" s="45">
        <v>0</v>
      </c>
      <c r="H546" s="46">
        <v>0.3285328651104662</v>
      </c>
      <c r="I546" s="46">
        <v>0</v>
      </c>
      <c r="J546" s="46">
        <v>0.3285328651104662</v>
      </c>
    </row>
    <row r="547" spans="1:10" ht="11.25" customHeight="1" x14ac:dyDescent="0.2">
      <c r="A547" s="55">
        <v>44470</v>
      </c>
      <c r="B547" s="45">
        <v>69311.1278446488</v>
      </c>
      <c r="C547" s="45">
        <v>92082.111259489073</v>
      </c>
      <c r="D547" s="45">
        <v>0</v>
      </c>
      <c r="E547" s="45">
        <v>0</v>
      </c>
      <c r="F547" s="45">
        <v>0</v>
      </c>
      <c r="G547" s="45">
        <v>0</v>
      </c>
      <c r="H547" s="46">
        <v>0.32853286511046598</v>
      </c>
      <c r="I547" s="46">
        <v>0</v>
      </c>
      <c r="J547" s="46">
        <v>0.32853286511046598</v>
      </c>
    </row>
    <row r="548" spans="1:10" ht="11.25" customHeight="1" x14ac:dyDescent="0.2">
      <c r="A548" s="55">
        <v>44501</v>
      </c>
      <c r="B548" s="45">
        <v>69197.548842018194</v>
      </c>
      <c r="C548" s="45">
        <v>91931.217821707847</v>
      </c>
      <c r="D548" s="45">
        <v>0</v>
      </c>
      <c r="E548" s="45">
        <v>0</v>
      </c>
      <c r="F548" s="45">
        <v>0</v>
      </c>
      <c r="G548" s="45">
        <v>0</v>
      </c>
      <c r="H548" s="46">
        <v>0.3285328651104662</v>
      </c>
      <c r="I548" s="46">
        <v>0</v>
      </c>
      <c r="J548" s="46">
        <v>0.3285328651104662</v>
      </c>
    </row>
    <row r="549" spans="1:10" ht="11.25" customHeight="1" x14ac:dyDescent="0.2">
      <c r="A549" s="55">
        <v>44531</v>
      </c>
      <c r="B549" s="45">
        <v>69519.357369914389</v>
      </c>
      <c r="C549" s="45">
        <v>92358.751027290768</v>
      </c>
      <c r="D549" s="45">
        <v>0</v>
      </c>
      <c r="E549" s="45">
        <v>0</v>
      </c>
      <c r="F549" s="45">
        <v>0</v>
      </c>
      <c r="G549" s="45">
        <v>0</v>
      </c>
      <c r="H549" s="46">
        <v>0.3285328651104662</v>
      </c>
      <c r="I549" s="46">
        <v>0</v>
      </c>
      <c r="J549" s="46">
        <v>0.3285328651104662</v>
      </c>
    </row>
    <row r="550" spans="1:10" ht="11.25" customHeight="1" x14ac:dyDescent="0.2">
      <c r="A550" s="55">
        <v>44562</v>
      </c>
      <c r="B550" s="45">
        <v>69341.975037812386</v>
      </c>
      <c r="C550" s="45">
        <v>92123.092769403316</v>
      </c>
      <c r="D550" s="45">
        <v>0</v>
      </c>
      <c r="E550" s="45">
        <v>0</v>
      </c>
      <c r="F550" s="45">
        <v>0</v>
      </c>
      <c r="G550" s="45">
        <v>0</v>
      </c>
      <c r="H550" s="46">
        <v>0.3285328651104662</v>
      </c>
      <c r="I550" s="46">
        <v>0</v>
      </c>
      <c r="J550" s="46">
        <v>0.3285328651104662</v>
      </c>
    </row>
    <row r="551" spans="1:10" ht="11.25" customHeight="1" x14ac:dyDescent="0.2">
      <c r="A551" s="55">
        <v>44593</v>
      </c>
      <c r="B551" s="45">
        <v>69109.991227605191</v>
      </c>
      <c r="C551" s="45">
        <v>91814.894653369513</v>
      </c>
      <c r="D551" s="45">
        <v>0</v>
      </c>
      <c r="E551" s="45">
        <v>0</v>
      </c>
      <c r="F551" s="45">
        <v>0</v>
      </c>
      <c r="G551" s="45">
        <v>0</v>
      </c>
      <c r="H551" s="46">
        <v>0.3285328651104662</v>
      </c>
      <c r="I551" s="46">
        <v>0</v>
      </c>
      <c r="J551" s="46">
        <v>0.3285328651104662</v>
      </c>
    </row>
    <row r="552" spans="1:10" ht="11.25" customHeight="1" x14ac:dyDescent="0.2">
      <c r="A552" s="55">
        <v>44621</v>
      </c>
      <c r="B552" s="45">
        <v>65197.204666859994</v>
      </c>
      <c r="C552" s="45">
        <v>86616.62911325696</v>
      </c>
      <c r="D552" s="45">
        <v>0</v>
      </c>
      <c r="E552" s="45">
        <v>0</v>
      </c>
      <c r="F552" s="45">
        <v>0</v>
      </c>
      <c r="G552" s="45">
        <v>0</v>
      </c>
      <c r="H552" s="46">
        <v>0.3285328651104662</v>
      </c>
      <c r="I552" s="46">
        <v>0</v>
      </c>
      <c r="J552" s="46">
        <v>0.3285328651104662</v>
      </c>
    </row>
    <row r="553" spans="1:10" ht="11.25" customHeight="1" x14ac:dyDescent="0.2">
      <c r="A553" s="55">
        <v>44652</v>
      </c>
      <c r="B553" s="45">
        <v>65218.293417869994</v>
      </c>
      <c r="C553" s="45">
        <v>86644.64621205788</v>
      </c>
      <c r="D553" s="45">
        <v>0</v>
      </c>
      <c r="E553" s="45">
        <v>0</v>
      </c>
      <c r="F553" s="45">
        <v>0</v>
      </c>
      <c r="G553" s="45">
        <v>0</v>
      </c>
      <c r="H553" s="46">
        <v>0.3285328651104662</v>
      </c>
      <c r="I553" s="46">
        <v>0</v>
      </c>
      <c r="J553" s="46">
        <v>0.3285328651104662</v>
      </c>
    </row>
    <row r="554" spans="1:10" ht="11.25" customHeight="1" x14ac:dyDescent="0.2">
      <c r="A554" s="55">
        <v>44682</v>
      </c>
      <c r="B554" s="45">
        <v>39302.474724299995</v>
      </c>
      <c r="C554" s="45">
        <v>52214.629351405951</v>
      </c>
      <c r="D554" s="45">
        <v>0</v>
      </c>
      <c r="E554" s="45">
        <v>0</v>
      </c>
      <c r="F554" s="45">
        <v>0</v>
      </c>
      <c r="G554" s="45">
        <v>0</v>
      </c>
      <c r="H554" s="46">
        <v>0.3285328651104662</v>
      </c>
      <c r="I554" s="46">
        <v>0</v>
      </c>
      <c r="J554" s="46">
        <v>0.3285328651104662</v>
      </c>
    </row>
    <row r="555" spans="1:10" ht="11.25" customHeight="1" x14ac:dyDescent="0.2">
      <c r="A555" s="55">
        <v>44713</v>
      </c>
      <c r="B555" s="45">
        <v>39553.688046124997</v>
      </c>
      <c r="C555" s="45">
        <v>52548.374505604035</v>
      </c>
      <c r="D555" s="45">
        <v>0</v>
      </c>
      <c r="E555" s="45">
        <v>0</v>
      </c>
      <c r="F555" s="45">
        <v>0</v>
      </c>
      <c r="G555" s="45">
        <v>0</v>
      </c>
      <c r="H555" s="46">
        <v>0.3285328651104662</v>
      </c>
      <c r="I555" s="46">
        <v>0</v>
      </c>
      <c r="J555" s="46">
        <v>0.3285328651104662</v>
      </c>
    </row>
    <row r="556" spans="1:10" ht="11.25" customHeight="1" x14ac:dyDescent="0.2">
      <c r="A556" s="55">
        <v>44743</v>
      </c>
      <c r="B556" s="45">
        <v>39627.529663899993</v>
      </c>
      <c r="C556" s="45">
        <v>52646.475521631044</v>
      </c>
      <c r="D556" s="45">
        <v>0</v>
      </c>
      <c r="E556" s="45">
        <v>0</v>
      </c>
      <c r="F556" s="45">
        <v>0</v>
      </c>
      <c r="G556" s="45">
        <v>0</v>
      </c>
      <c r="H556" s="46">
        <v>0.3285328651104662</v>
      </c>
      <c r="I556" s="46">
        <v>0</v>
      </c>
      <c r="J556" s="46">
        <v>0.3285328651104662</v>
      </c>
    </row>
    <row r="557" spans="1:10" ht="11.25" customHeight="1" x14ac:dyDescent="0.2">
      <c r="A557" s="54" t="s">
        <v>25</v>
      </c>
      <c r="B557" s="45">
        <v>0</v>
      </c>
      <c r="C557" s="45">
        <v>0</v>
      </c>
      <c r="D557" s="45">
        <v>2425555.3987711999</v>
      </c>
      <c r="E557" s="45">
        <v>4748374.1695449939</v>
      </c>
      <c r="F557" s="45">
        <v>0</v>
      </c>
      <c r="G557" s="45">
        <v>0</v>
      </c>
      <c r="H557" s="46">
        <v>0.95764408100122034</v>
      </c>
      <c r="I557" s="46">
        <v>0</v>
      </c>
      <c r="J557" s="46">
        <v>0.95764408100122034</v>
      </c>
    </row>
    <row r="558" spans="1:10" ht="11.25" customHeight="1" x14ac:dyDescent="0.2">
      <c r="A558" s="55">
        <v>44409</v>
      </c>
      <c r="B558" s="45">
        <v>0</v>
      </c>
      <c r="C558" s="45">
        <v>0</v>
      </c>
      <c r="D558" s="45">
        <v>257406.2592</v>
      </c>
      <c r="E558" s="45">
        <v>503909.83973554592</v>
      </c>
      <c r="F558" s="45">
        <v>0</v>
      </c>
      <c r="G558" s="45">
        <v>0</v>
      </c>
      <c r="H558" s="46">
        <v>0.95764408100122034</v>
      </c>
      <c r="I558" s="46">
        <v>0</v>
      </c>
      <c r="J558" s="46">
        <v>0.95764408100122034</v>
      </c>
    </row>
    <row r="559" spans="1:10" ht="11.25" customHeight="1" x14ac:dyDescent="0.2">
      <c r="A559" s="55">
        <v>44440</v>
      </c>
      <c r="B559" s="45">
        <v>0</v>
      </c>
      <c r="C559" s="45">
        <v>0</v>
      </c>
      <c r="D559" s="45">
        <v>247402.29344000001</v>
      </c>
      <c r="E559" s="45">
        <v>484325.63537894306</v>
      </c>
      <c r="F559" s="45">
        <v>0</v>
      </c>
      <c r="G559" s="45">
        <v>0</v>
      </c>
      <c r="H559" s="46">
        <v>0.95764408100122034</v>
      </c>
      <c r="I559" s="46">
        <v>0</v>
      </c>
      <c r="J559" s="46">
        <v>0.95764408100122034</v>
      </c>
    </row>
    <row r="560" spans="1:10" ht="11.25" customHeight="1" x14ac:dyDescent="0.2">
      <c r="A560" s="55">
        <v>44470</v>
      </c>
      <c r="B560" s="45">
        <v>0</v>
      </c>
      <c r="C560" s="45">
        <v>0</v>
      </c>
      <c r="D560" s="45">
        <v>263944.81375999999</v>
      </c>
      <c r="E560" s="45">
        <v>516710.00236823346</v>
      </c>
      <c r="F560" s="45">
        <v>0</v>
      </c>
      <c r="G560" s="45">
        <v>0</v>
      </c>
      <c r="H560" s="46">
        <v>0.95764408100122034</v>
      </c>
      <c r="I560" s="46">
        <v>0</v>
      </c>
      <c r="J560" s="46">
        <v>0.95764408100122034</v>
      </c>
    </row>
    <row r="561" spans="1:10" ht="11.25" customHeight="1" x14ac:dyDescent="0.2">
      <c r="A561" s="55">
        <v>44501</v>
      </c>
      <c r="B561" s="45">
        <v>0</v>
      </c>
      <c r="C561" s="45">
        <v>0</v>
      </c>
      <c r="D561" s="45">
        <v>248229.91776000001</v>
      </c>
      <c r="E561" s="45">
        <v>485945.82923028368</v>
      </c>
      <c r="F561" s="45">
        <v>0</v>
      </c>
      <c r="G561" s="45">
        <v>0</v>
      </c>
      <c r="H561" s="46">
        <v>0.95764408100122012</v>
      </c>
      <c r="I561" s="46">
        <v>0</v>
      </c>
      <c r="J561" s="46">
        <v>0.95764408100122012</v>
      </c>
    </row>
    <row r="562" spans="1:10" ht="11.25" customHeight="1" x14ac:dyDescent="0.2">
      <c r="A562" s="55">
        <v>44531</v>
      </c>
      <c r="B562" s="45">
        <v>0</v>
      </c>
      <c r="C562" s="45">
        <v>0</v>
      </c>
      <c r="D562" s="45">
        <v>249244.84576</v>
      </c>
      <c r="E562" s="45">
        <v>487932.69702212606</v>
      </c>
      <c r="F562" s="45">
        <v>0</v>
      </c>
      <c r="G562" s="45">
        <v>0</v>
      </c>
      <c r="H562" s="46">
        <v>0.95764408100122012</v>
      </c>
      <c r="I562" s="46">
        <v>0</v>
      </c>
      <c r="J562" s="46">
        <v>0.95764408100122012</v>
      </c>
    </row>
    <row r="563" spans="1:10" ht="11.25" customHeight="1" x14ac:dyDescent="0.2">
      <c r="A563" s="55">
        <v>44562</v>
      </c>
      <c r="B563" s="45">
        <v>0</v>
      </c>
      <c r="C563" s="45">
        <v>0</v>
      </c>
      <c r="D563" s="45">
        <v>244958.552</v>
      </c>
      <c r="E563" s="45">
        <v>479541.65941342968</v>
      </c>
      <c r="F563" s="45">
        <v>0</v>
      </c>
      <c r="G563" s="45">
        <v>0</v>
      </c>
      <c r="H563" s="46">
        <v>0.95764408100122056</v>
      </c>
      <c r="I563" s="46">
        <v>0</v>
      </c>
      <c r="J563" s="46">
        <v>0.95764408100122056</v>
      </c>
    </row>
    <row r="564" spans="1:10" ht="11.25" customHeight="1" x14ac:dyDescent="0.2">
      <c r="A564" s="55">
        <v>44593</v>
      </c>
      <c r="B564" s="45">
        <v>0</v>
      </c>
      <c r="C564" s="45">
        <v>0</v>
      </c>
      <c r="D564" s="45">
        <v>239631.38912000001</v>
      </c>
      <c r="E564" s="45">
        <v>469112.97053286823</v>
      </c>
      <c r="F564" s="45">
        <v>0</v>
      </c>
      <c r="G564" s="45">
        <v>0</v>
      </c>
      <c r="H564" s="46">
        <v>0.95764408100122034</v>
      </c>
      <c r="I564" s="46">
        <v>0</v>
      </c>
      <c r="J564" s="46">
        <v>0.95764408100122034</v>
      </c>
    </row>
    <row r="565" spans="1:10" ht="11.25" customHeight="1" x14ac:dyDescent="0.2">
      <c r="A565" s="55">
        <v>44621</v>
      </c>
      <c r="B565" s="45">
        <v>0</v>
      </c>
      <c r="C565" s="45">
        <v>0</v>
      </c>
      <c r="D565" s="45">
        <v>244663.08704000001</v>
      </c>
      <c r="E565" s="45">
        <v>478963.24418334238</v>
      </c>
      <c r="F565" s="45">
        <v>0</v>
      </c>
      <c r="G565" s="45">
        <v>0</v>
      </c>
      <c r="H565" s="46">
        <v>0.95764408100122012</v>
      </c>
      <c r="I565" s="46">
        <v>0</v>
      </c>
      <c r="J565" s="46">
        <v>0.95764408100122012</v>
      </c>
    </row>
    <row r="566" spans="1:10" ht="11.25" customHeight="1" x14ac:dyDescent="0.2">
      <c r="A566" s="55">
        <v>44652</v>
      </c>
      <c r="B566" s="45">
        <v>0</v>
      </c>
      <c r="C566" s="45">
        <v>0</v>
      </c>
      <c r="D566" s="45">
        <v>137408.81118719999</v>
      </c>
      <c r="E566" s="45">
        <v>268997.54589803633</v>
      </c>
      <c r="F566" s="45">
        <v>0</v>
      </c>
      <c r="G566" s="45">
        <v>0</v>
      </c>
      <c r="H566" s="46">
        <v>0.95764408100122034</v>
      </c>
      <c r="I566" s="46">
        <v>0</v>
      </c>
      <c r="J566" s="46">
        <v>0.95764408100122034</v>
      </c>
    </row>
    <row r="567" spans="1:10" ht="11.25" customHeight="1" x14ac:dyDescent="0.2">
      <c r="A567" s="55">
        <v>44682</v>
      </c>
      <c r="B567" s="45">
        <v>0</v>
      </c>
      <c r="C567" s="45">
        <v>0</v>
      </c>
      <c r="D567" s="45">
        <v>116406.3000576</v>
      </c>
      <c r="E567" s="45">
        <v>227882.10429901266</v>
      </c>
      <c r="F567" s="45">
        <v>0</v>
      </c>
      <c r="G567" s="45">
        <v>0</v>
      </c>
      <c r="H567" s="46">
        <v>0.95764408100122034</v>
      </c>
      <c r="I567" s="46">
        <v>0</v>
      </c>
      <c r="J567" s="46">
        <v>0.95764408100122034</v>
      </c>
    </row>
    <row r="568" spans="1:10" ht="11.25" customHeight="1" x14ac:dyDescent="0.2">
      <c r="A568" s="55">
        <v>44713</v>
      </c>
      <c r="B568" s="45">
        <v>0</v>
      </c>
      <c r="C568" s="45">
        <v>0</v>
      </c>
      <c r="D568" s="45">
        <v>106337.22355200001</v>
      </c>
      <c r="E568" s="45">
        <v>208170.43627667637</v>
      </c>
      <c r="F568" s="45">
        <v>0</v>
      </c>
      <c r="G568" s="45">
        <v>0</v>
      </c>
      <c r="H568" s="46">
        <v>0.95764408100122012</v>
      </c>
      <c r="I568" s="46">
        <v>0</v>
      </c>
      <c r="J568" s="46">
        <v>0.95764408100122012</v>
      </c>
    </row>
    <row r="569" spans="1:10" ht="11.25" customHeight="1" x14ac:dyDescent="0.2">
      <c r="A569" s="55">
        <v>44743</v>
      </c>
      <c r="B569" s="45">
        <v>0</v>
      </c>
      <c r="C569" s="45">
        <v>0</v>
      </c>
      <c r="D569" s="45">
        <v>69921.905894399999</v>
      </c>
      <c r="E569" s="45">
        <v>136882.2052064965</v>
      </c>
      <c r="F569" s="45">
        <v>0</v>
      </c>
      <c r="G569" s="45">
        <v>0</v>
      </c>
      <c r="H569" s="46">
        <v>0.95764408100122034</v>
      </c>
      <c r="I569" s="46">
        <v>0</v>
      </c>
      <c r="J569" s="46">
        <v>0.95764408100122034</v>
      </c>
    </row>
    <row r="570" spans="1:10" ht="11.25" customHeight="1" x14ac:dyDescent="0.2">
      <c r="A570" s="54" t="s">
        <v>36</v>
      </c>
      <c r="B570" s="45">
        <v>1096265.7870860845</v>
      </c>
      <c r="C570" s="45">
        <v>1495483.5574956918</v>
      </c>
      <c r="D570" s="45">
        <v>0</v>
      </c>
      <c r="E570" s="45">
        <v>0</v>
      </c>
      <c r="F570" s="45">
        <v>0</v>
      </c>
      <c r="G570" s="45">
        <v>0</v>
      </c>
      <c r="H570" s="46">
        <v>0.36416147900660389</v>
      </c>
      <c r="I570" s="46">
        <v>0</v>
      </c>
      <c r="J570" s="46">
        <v>0.36416147900660389</v>
      </c>
    </row>
    <row r="571" spans="1:10" ht="11.25" customHeight="1" x14ac:dyDescent="0.2">
      <c r="A571" s="55">
        <v>44409</v>
      </c>
      <c r="B571" s="45">
        <v>105075.203223705</v>
      </c>
      <c r="C571" s="45">
        <v>143339.54463656893</v>
      </c>
      <c r="D571" s="45">
        <v>0</v>
      </c>
      <c r="E571" s="45">
        <v>0</v>
      </c>
      <c r="F571" s="45">
        <v>0</v>
      </c>
      <c r="G571" s="45">
        <v>0</v>
      </c>
      <c r="H571" s="46">
        <v>0.36416147900660434</v>
      </c>
      <c r="I571" s="46">
        <v>0</v>
      </c>
      <c r="J571" s="46">
        <v>0.36416147900660434</v>
      </c>
    </row>
    <row r="572" spans="1:10" ht="11.25" customHeight="1" x14ac:dyDescent="0.2">
      <c r="A572" s="55">
        <v>44440</v>
      </c>
      <c r="B572" s="45">
        <v>105305.95089221459</v>
      </c>
      <c r="C572" s="45">
        <v>143654.3217173203</v>
      </c>
      <c r="D572" s="45">
        <v>0</v>
      </c>
      <c r="E572" s="45">
        <v>0</v>
      </c>
      <c r="F572" s="45">
        <v>0</v>
      </c>
      <c r="G572" s="45">
        <v>0</v>
      </c>
      <c r="H572" s="46">
        <v>0.36416147900660434</v>
      </c>
      <c r="I572" s="46">
        <v>0</v>
      </c>
      <c r="J572" s="46">
        <v>0.36416147900660434</v>
      </c>
    </row>
    <row r="573" spans="1:10" ht="11.25" customHeight="1" x14ac:dyDescent="0.2">
      <c r="A573" s="55">
        <v>44470</v>
      </c>
      <c r="B573" s="45">
        <v>105776.5313489136</v>
      </c>
      <c r="C573" s="45">
        <v>144296.26944912242</v>
      </c>
      <c r="D573" s="45">
        <v>0</v>
      </c>
      <c r="E573" s="45">
        <v>0</v>
      </c>
      <c r="F573" s="45">
        <v>0</v>
      </c>
      <c r="G573" s="45">
        <v>0</v>
      </c>
      <c r="H573" s="46">
        <v>0.36416147900660434</v>
      </c>
      <c r="I573" s="46">
        <v>0</v>
      </c>
      <c r="J573" s="46">
        <v>0.36416147900660434</v>
      </c>
    </row>
    <row r="574" spans="1:10" ht="11.25" customHeight="1" x14ac:dyDescent="0.2">
      <c r="A574" s="55">
        <v>44501</v>
      </c>
      <c r="B574" s="45">
        <v>105154.3862425254</v>
      </c>
      <c r="C574" s="45">
        <v>143447.56306063518</v>
      </c>
      <c r="D574" s="45">
        <v>0</v>
      </c>
      <c r="E574" s="45">
        <v>0</v>
      </c>
      <c r="F574" s="45">
        <v>0</v>
      </c>
      <c r="G574" s="45">
        <v>0</v>
      </c>
      <c r="H574" s="46">
        <v>0.36416147900660434</v>
      </c>
      <c r="I574" s="46">
        <v>0</v>
      </c>
      <c r="J574" s="46">
        <v>0.36416147900660434</v>
      </c>
    </row>
    <row r="575" spans="1:10" ht="11.25" customHeight="1" x14ac:dyDescent="0.2">
      <c r="A575" s="55">
        <v>44531</v>
      </c>
      <c r="B575" s="45">
        <v>105325.40875479209</v>
      </c>
      <c r="C575" s="45">
        <v>143680.86538391234</v>
      </c>
      <c r="D575" s="45">
        <v>0</v>
      </c>
      <c r="E575" s="45">
        <v>0</v>
      </c>
      <c r="F575" s="45">
        <v>0</v>
      </c>
      <c r="G575" s="45">
        <v>0</v>
      </c>
      <c r="H575" s="46">
        <v>0.36416147900660434</v>
      </c>
      <c r="I575" s="46">
        <v>0</v>
      </c>
      <c r="J575" s="46">
        <v>0.36416147900660434</v>
      </c>
    </row>
    <row r="576" spans="1:10" ht="11.25" customHeight="1" x14ac:dyDescent="0.2">
      <c r="A576" s="55">
        <v>44562</v>
      </c>
      <c r="B576" s="45">
        <v>105684.411546285</v>
      </c>
      <c r="C576" s="45">
        <v>144170.60316292281</v>
      </c>
      <c r="D576" s="45">
        <v>0</v>
      </c>
      <c r="E576" s="45">
        <v>0</v>
      </c>
      <c r="F576" s="45">
        <v>0</v>
      </c>
      <c r="G576" s="45">
        <v>0</v>
      </c>
      <c r="H576" s="46">
        <v>0.36416147900660434</v>
      </c>
      <c r="I576" s="46">
        <v>0</v>
      </c>
      <c r="J576" s="46">
        <v>0.36416147900660434</v>
      </c>
    </row>
    <row r="577" spans="1:10" ht="11.25" customHeight="1" x14ac:dyDescent="0.2">
      <c r="A577" s="55">
        <v>44593</v>
      </c>
      <c r="B577" s="45">
        <v>105118.2537788787</v>
      </c>
      <c r="C577" s="45">
        <v>143398.27254558675</v>
      </c>
      <c r="D577" s="45">
        <v>0</v>
      </c>
      <c r="E577" s="45">
        <v>0</v>
      </c>
      <c r="F577" s="45">
        <v>0</v>
      </c>
      <c r="G577" s="45">
        <v>0</v>
      </c>
      <c r="H577" s="46">
        <v>0.36416147900660434</v>
      </c>
      <c r="I577" s="46">
        <v>0</v>
      </c>
      <c r="J577" s="46">
        <v>0.36416147900660434</v>
      </c>
    </row>
    <row r="578" spans="1:10" ht="11.25" customHeight="1" x14ac:dyDescent="0.2">
      <c r="A578" s="55">
        <v>44621</v>
      </c>
      <c r="B578" s="45">
        <v>96282.960242885005</v>
      </c>
      <c r="C578" s="45">
        <v>131345.50544806808</v>
      </c>
      <c r="D578" s="45">
        <v>0</v>
      </c>
      <c r="E578" s="45">
        <v>0</v>
      </c>
      <c r="F578" s="45">
        <v>0</v>
      </c>
      <c r="G578" s="45">
        <v>0</v>
      </c>
      <c r="H578" s="46">
        <v>0.36416147900660434</v>
      </c>
      <c r="I578" s="46">
        <v>0</v>
      </c>
      <c r="J578" s="46">
        <v>0.36416147900660434</v>
      </c>
    </row>
    <row r="579" spans="1:10" ht="11.25" customHeight="1" x14ac:dyDescent="0.2">
      <c r="A579" s="55">
        <v>44652</v>
      </c>
      <c r="B579" s="45">
        <v>96312.172800760003</v>
      </c>
      <c r="C579" s="45">
        <v>131385.35609422441</v>
      </c>
      <c r="D579" s="45">
        <v>0</v>
      </c>
      <c r="E579" s="45">
        <v>0</v>
      </c>
      <c r="F579" s="45">
        <v>0</v>
      </c>
      <c r="G579" s="45">
        <v>0</v>
      </c>
      <c r="H579" s="46">
        <v>0.36416147900660434</v>
      </c>
      <c r="I579" s="46">
        <v>0</v>
      </c>
      <c r="J579" s="46">
        <v>0.36416147900660434</v>
      </c>
    </row>
    <row r="580" spans="1:10" ht="11.25" customHeight="1" x14ac:dyDescent="0.2">
      <c r="A580" s="55">
        <v>44682</v>
      </c>
      <c r="B580" s="45">
        <v>55122.851308874997</v>
      </c>
      <c r="C580" s="45">
        <v>75196.470368576047</v>
      </c>
      <c r="D580" s="45">
        <v>0</v>
      </c>
      <c r="E580" s="45">
        <v>0</v>
      </c>
      <c r="F580" s="45">
        <v>0</v>
      </c>
      <c r="G580" s="45">
        <v>0</v>
      </c>
      <c r="H580" s="46">
        <v>0.36416147900660434</v>
      </c>
      <c r="I580" s="46">
        <v>0</v>
      </c>
      <c r="J580" s="46">
        <v>0.36416147900660434</v>
      </c>
    </row>
    <row r="581" spans="1:10" ht="11.25" customHeight="1" x14ac:dyDescent="0.2">
      <c r="A581" s="55">
        <v>44713</v>
      </c>
      <c r="B581" s="45">
        <v>55502.381278125002</v>
      </c>
      <c r="C581" s="45">
        <v>75714.21053275546</v>
      </c>
      <c r="D581" s="45">
        <v>0</v>
      </c>
      <c r="E581" s="45">
        <v>0</v>
      </c>
      <c r="F581" s="45">
        <v>0</v>
      </c>
      <c r="G581" s="45">
        <v>0</v>
      </c>
      <c r="H581" s="46">
        <v>0.36416147900660412</v>
      </c>
      <c r="I581" s="46">
        <v>0</v>
      </c>
      <c r="J581" s="46">
        <v>0.36416147900660412</v>
      </c>
    </row>
    <row r="582" spans="1:10" ht="11.25" customHeight="1" x14ac:dyDescent="0.2">
      <c r="A582" s="55">
        <v>44743</v>
      </c>
      <c r="B582" s="45">
        <v>55605.275668124996</v>
      </c>
      <c r="C582" s="45">
        <v>75854.575095999346</v>
      </c>
      <c r="D582" s="45">
        <v>0</v>
      </c>
      <c r="E582" s="45">
        <v>0</v>
      </c>
      <c r="F582" s="45">
        <v>0</v>
      </c>
      <c r="G582" s="45">
        <v>0</v>
      </c>
      <c r="H582" s="46">
        <v>0.36416147900660434</v>
      </c>
      <c r="I582" s="46">
        <v>0</v>
      </c>
      <c r="J582" s="46">
        <v>0.36416147900660434</v>
      </c>
    </row>
    <row r="583" spans="1:10" ht="11.25" customHeight="1" x14ac:dyDescent="0.2">
      <c r="A583" s="49" t="s">
        <v>35</v>
      </c>
      <c r="B583" s="45">
        <v>1254780.4673462871</v>
      </c>
      <c r="C583" s="45">
        <v>1667017.0893682125</v>
      </c>
      <c r="D583" s="45">
        <v>3782735.5800301386</v>
      </c>
      <c r="E583" s="45">
        <v>6733320.1859828718</v>
      </c>
      <c r="F583" s="45">
        <v>0</v>
      </c>
      <c r="G583" s="45">
        <v>0</v>
      </c>
      <c r="H583" s="46">
        <v>0.66755543731241107</v>
      </c>
      <c r="I583" s="46">
        <v>0</v>
      </c>
      <c r="J583" s="46">
        <v>0.66755543731241107</v>
      </c>
    </row>
    <row r="584" spans="1:10" ht="11.25" customHeight="1" x14ac:dyDescent="0.2">
      <c r="A584" s="50" t="s">
        <v>33</v>
      </c>
      <c r="B584" s="45">
        <v>1254780.4673462871</v>
      </c>
      <c r="C584" s="45">
        <v>1667017.0893682125</v>
      </c>
      <c r="D584" s="45">
        <v>3782735.5800301386</v>
      </c>
      <c r="E584" s="45">
        <v>6733320.1859828718</v>
      </c>
      <c r="F584" s="45">
        <v>0</v>
      </c>
      <c r="G584" s="45">
        <v>0</v>
      </c>
      <c r="H584" s="46">
        <v>0.66755543731241107</v>
      </c>
      <c r="I584" s="46">
        <v>0</v>
      </c>
      <c r="J584" s="46">
        <v>0.66755543731241107</v>
      </c>
    </row>
    <row r="585" spans="1:10" ht="11.25" customHeight="1" x14ac:dyDescent="0.2">
      <c r="A585" s="51" t="s">
        <v>25</v>
      </c>
      <c r="B585" s="45">
        <v>1254780.4673462871</v>
      </c>
      <c r="C585" s="45">
        <v>1667017.0893682125</v>
      </c>
      <c r="D585" s="45">
        <v>3782735.5800301386</v>
      </c>
      <c r="E585" s="45">
        <v>6733320.1859828718</v>
      </c>
      <c r="F585" s="45">
        <v>0</v>
      </c>
      <c r="G585" s="45">
        <v>0</v>
      </c>
      <c r="H585" s="46">
        <v>0.66755543731241107</v>
      </c>
      <c r="I585" s="46">
        <v>0</v>
      </c>
      <c r="J585" s="46">
        <v>0.66755543731241107</v>
      </c>
    </row>
    <row r="586" spans="1:10" ht="11.25" customHeight="1" x14ac:dyDescent="0.2">
      <c r="A586" s="52" t="s">
        <v>55</v>
      </c>
      <c r="B586" s="45">
        <v>1254780.4673462871</v>
      </c>
      <c r="C586" s="45">
        <v>1667017.0893682125</v>
      </c>
      <c r="D586" s="45">
        <v>3782735.5800301386</v>
      </c>
      <c r="E586" s="45">
        <v>6733320.1859828718</v>
      </c>
      <c r="F586" s="45">
        <v>0</v>
      </c>
      <c r="G586" s="45">
        <v>0</v>
      </c>
      <c r="H586" s="46">
        <v>0.66755543731241107</v>
      </c>
      <c r="I586" s="46">
        <v>0</v>
      </c>
      <c r="J586" s="46">
        <v>0.66755543731241107</v>
      </c>
    </row>
    <row r="587" spans="1:10" ht="11.25" customHeight="1" x14ac:dyDescent="0.2">
      <c r="A587" s="53" t="s">
        <v>25</v>
      </c>
      <c r="B587" s="45">
        <v>1254780.4673462871</v>
      </c>
      <c r="C587" s="45">
        <v>1667017.0893682125</v>
      </c>
      <c r="D587" s="45">
        <v>3782735.5800301386</v>
      </c>
      <c r="E587" s="45">
        <v>6733320.1859828718</v>
      </c>
      <c r="F587" s="45">
        <v>0</v>
      </c>
      <c r="G587" s="45">
        <v>0</v>
      </c>
      <c r="H587" s="46">
        <v>0.66755543731241107</v>
      </c>
      <c r="I587" s="46">
        <v>0</v>
      </c>
      <c r="J587" s="46">
        <v>0.66755543731241107</v>
      </c>
    </row>
    <row r="588" spans="1:10" ht="11.25" customHeight="1" x14ac:dyDescent="0.2">
      <c r="A588" s="54" t="s">
        <v>37</v>
      </c>
      <c r="B588" s="45">
        <v>0</v>
      </c>
      <c r="C588" s="45">
        <v>0</v>
      </c>
      <c r="D588" s="45">
        <v>2535935.5297536002</v>
      </c>
      <c r="E588" s="45">
        <v>4964459.1796228299</v>
      </c>
      <c r="F588" s="45">
        <v>0</v>
      </c>
      <c r="G588" s="45">
        <v>0</v>
      </c>
      <c r="H588" s="46">
        <v>0.95764408100122056</v>
      </c>
      <c r="I588" s="46">
        <v>0</v>
      </c>
      <c r="J588" s="46">
        <v>0.95764408100122056</v>
      </c>
    </row>
    <row r="589" spans="1:10" ht="11.25" customHeight="1" x14ac:dyDescent="0.2">
      <c r="A589" s="55">
        <v>44409</v>
      </c>
      <c r="B589" s="45">
        <v>0</v>
      </c>
      <c r="C589" s="45">
        <v>0</v>
      </c>
      <c r="D589" s="45">
        <v>217700.56914879999</v>
      </c>
      <c r="E589" s="45">
        <v>426180.23062474519</v>
      </c>
      <c r="F589" s="45">
        <v>0</v>
      </c>
      <c r="G589" s="45">
        <v>0</v>
      </c>
      <c r="H589" s="46">
        <v>0.95764408100122034</v>
      </c>
      <c r="I589" s="46">
        <v>0</v>
      </c>
      <c r="J589" s="46">
        <v>0.95764408100122034</v>
      </c>
    </row>
    <row r="590" spans="1:10" ht="11.25" customHeight="1" x14ac:dyDescent="0.2">
      <c r="A590" s="55">
        <v>44440</v>
      </c>
      <c r="B590" s="45">
        <v>0</v>
      </c>
      <c r="C590" s="45">
        <v>0</v>
      </c>
      <c r="D590" s="45">
        <v>203461.26048</v>
      </c>
      <c r="E590" s="45">
        <v>398304.73229171953</v>
      </c>
      <c r="F590" s="45">
        <v>0</v>
      </c>
      <c r="G590" s="45">
        <v>0</v>
      </c>
      <c r="H590" s="46">
        <v>0.95764408100122034</v>
      </c>
      <c r="I590" s="46">
        <v>0</v>
      </c>
      <c r="J590" s="46">
        <v>0.95764408100122034</v>
      </c>
    </row>
    <row r="591" spans="1:10" ht="11.25" customHeight="1" x14ac:dyDescent="0.2">
      <c r="A591" s="55">
        <v>44470</v>
      </c>
      <c r="B591" s="45">
        <v>0</v>
      </c>
      <c r="C591" s="45">
        <v>0</v>
      </c>
      <c r="D591" s="45">
        <v>225741.32560320001</v>
      </c>
      <c r="E591" s="45">
        <v>441921.1699044737</v>
      </c>
      <c r="F591" s="45">
        <v>0</v>
      </c>
      <c r="G591" s="45">
        <v>0</v>
      </c>
      <c r="H591" s="46">
        <v>0.95764408100122034</v>
      </c>
      <c r="I591" s="46">
        <v>0</v>
      </c>
      <c r="J591" s="46">
        <v>0.95764408100122034</v>
      </c>
    </row>
    <row r="592" spans="1:10" ht="11.25" customHeight="1" x14ac:dyDescent="0.2">
      <c r="A592" s="55">
        <v>44501</v>
      </c>
      <c r="B592" s="45">
        <v>0</v>
      </c>
      <c r="C592" s="45">
        <v>0</v>
      </c>
      <c r="D592" s="45">
        <v>235888.61311999999</v>
      </c>
      <c r="E592" s="45">
        <v>461785.9472499548</v>
      </c>
      <c r="F592" s="45">
        <v>0</v>
      </c>
      <c r="G592" s="45">
        <v>0</v>
      </c>
      <c r="H592" s="46">
        <v>0.95764408100122034</v>
      </c>
      <c r="I592" s="46">
        <v>0</v>
      </c>
      <c r="J592" s="46">
        <v>0.95764408100122034</v>
      </c>
    </row>
    <row r="593" spans="1:10" ht="11.25" customHeight="1" x14ac:dyDescent="0.2">
      <c r="A593" s="55">
        <v>44531</v>
      </c>
      <c r="B593" s="45">
        <v>0</v>
      </c>
      <c r="C593" s="45">
        <v>0</v>
      </c>
      <c r="D593" s="45">
        <v>181445.16383999999</v>
      </c>
      <c r="E593" s="45">
        <v>355205.05101767264</v>
      </c>
      <c r="F593" s="45">
        <v>0</v>
      </c>
      <c r="G593" s="45">
        <v>0</v>
      </c>
      <c r="H593" s="46">
        <v>0.95764408100122034</v>
      </c>
      <c r="I593" s="46">
        <v>0</v>
      </c>
      <c r="J593" s="46">
        <v>0.95764408100122034</v>
      </c>
    </row>
    <row r="594" spans="1:10" ht="11.25" customHeight="1" x14ac:dyDescent="0.2">
      <c r="A594" s="55">
        <v>44562</v>
      </c>
      <c r="B594" s="45">
        <v>0</v>
      </c>
      <c r="C594" s="45">
        <v>0</v>
      </c>
      <c r="D594" s="45">
        <v>191600.45280000003</v>
      </c>
      <c r="E594" s="45">
        <v>375085.4923410737</v>
      </c>
      <c r="F594" s="45">
        <v>0</v>
      </c>
      <c r="G594" s="45">
        <v>0</v>
      </c>
      <c r="H594" s="46">
        <v>0.95764408100122012</v>
      </c>
      <c r="I594" s="46">
        <v>0</v>
      </c>
      <c r="J594" s="46">
        <v>0.95764408100122012</v>
      </c>
    </row>
    <row r="595" spans="1:10" ht="11.25" customHeight="1" x14ac:dyDescent="0.2">
      <c r="A595" s="55">
        <v>44593</v>
      </c>
      <c r="B595" s="45">
        <v>0</v>
      </c>
      <c r="C595" s="45">
        <v>0</v>
      </c>
      <c r="D595" s="45">
        <v>197333.44032000002</v>
      </c>
      <c r="E595" s="45">
        <v>386308.64142605558</v>
      </c>
      <c r="F595" s="45">
        <v>0</v>
      </c>
      <c r="G595" s="45">
        <v>0</v>
      </c>
      <c r="H595" s="46">
        <v>0.95764408100122012</v>
      </c>
      <c r="I595" s="46">
        <v>0</v>
      </c>
      <c r="J595" s="46">
        <v>0.95764408100122012</v>
      </c>
    </row>
    <row r="596" spans="1:10" ht="11.25" customHeight="1" x14ac:dyDescent="0.2">
      <c r="A596" s="55">
        <v>44621</v>
      </c>
      <c r="B596" s="45">
        <v>0</v>
      </c>
      <c r="C596" s="45">
        <v>0</v>
      </c>
      <c r="D596" s="45">
        <v>222289.31072000001</v>
      </c>
      <c r="E596" s="45">
        <v>435163.3534008491</v>
      </c>
      <c r="F596" s="45">
        <v>0</v>
      </c>
      <c r="G596" s="45">
        <v>0</v>
      </c>
      <c r="H596" s="46">
        <v>0.95764408100122012</v>
      </c>
      <c r="I596" s="46">
        <v>0</v>
      </c>
      <c r="J596" s="46">
        <v>0.95764408100122012</v>
      </c>
    </row>
    <row r="597" spans="1:10" ht="11.25" customHeight="1" x14ac:dyDescent="0.2">
      <c r="A597" s="55">
        <v>44652</v>
      </c>
      <c r="B597" s="45">
        <v>0</v>
      </c>
      <c r="C597" s="45">
        <v>0</v>
      </c>
      <c r="D597" s="45">
        <v>209151.45248000001</v>
      </c>
      <c r="E597" s="45">
        <v>409444.10298028</v>
      </c>
      <c r="F597" s="45">
        <v>0</v>
      </c>
      <c r="G597" s="45">
        <v>0</v>
      </c>
      <c r="H597" s="46">
        <v>0.95764408100122034</v>
      </c>
      <c r="I597" s="46">
        <v>0</v>
      </c>
      <c r="J597" s="46">
        <v>0.95764408100122034</v>
      </c>
    </row>
    <row r="598" spans="1:10" ht="11.25" customHeight="1" x14ac:dyDescent="0.2">
      <c r="A598" s="55">
        <v>44682</v>
      </c>
      <c r="B598" s="45">
        <v>0</v>
      </c>
      <c r="C598" s="45">
        <v>0</v>
      </c>
      <c r="D598" s="45">
        <v>213554.77439999999</v>
      </c>
      <c r="E598" s="45">
        <v>418064.24007371091</v>
      </c>
      <c r="F598" s="45">
        <v>0</v>
      </c>
      <c r="G598" s="45">
        <v>0</v>
      </c>
      <c r="H598" s="46">
        <v>0.95764408100122034</v>
      </c>
      <c r="I598" s="46">
        <v>0</v>
      </c>
      <c r="J598" s="46">
        <v>0.95764408100122034</v>
      </c>
    </row>
    <row r="599" spans="1:10" ht="11.25" customHeight="1" x14ac:dyDescent="0.2">
      <c r="A599" s="55">
        <v>44713</v>
      </c>
      <c r="B599" s="45">
        <v>0</v>
      </c>
      <c r="C599" s="45">
        <v>0</v>
      </c>
      <c r="D599" s="45">
        <v>217307.62859839998</v>
      </c>
      <c r="E599" s="45">
        <v>425410.99288206926</v>
      </c>
      <c r="F599" s="45">
        <v>0</v>
      </c>
      <c r="G599" s="45">
        <v>0</v>
      </c>
      <c r="H599" s="46">
        <v>0.95764408100122034</v>
      </c>
      <c r="I599" s="46">
        <v>0</v>
      </c>
      <c r="J599" s="46">
        <v>0.95764408100122034</v>
      </c>
    </row>
    <row r="600" spans="1:10" ht="11.25" customHeight="1" x14ac:dyDescent="0.2">
      <c r="A600" s="55">
        <v>44743</v>
      </c>
      <c r="B600" s="45">
        <v>0</v>
      </c>
      <c r="C600" s="45">
        <v>0</v>
      </c>
      <c r="D600" s="45">
        <v>220461.53824320002</v>
      </c>
      <c r="E600" s="45">
        <v>431585.22543022467</v>
      </c>
      <c r="F600" s="45">
        <v>0</v>
      </c>
      <c r="G600" s="45">
        <v>0</v>
      </c>
      <c r="H600" s="46">
        <v>0.95764408100122034</v>
      </c>
      <c r="I600" s="46">
        <v>0</v>
      </c>
      <c r="J600" s="46">
        <v>0.95764408100122034</v>
      </c>
    </row>
    <row r="601" spans="1:10" ht="11.25" customHeight="1" x14ac:dyDescent="0.2">
      <c r="A601" s="54" t="s">
        <v>25</v>
      </c>
      <c r="B601" s="45">
        <v>1254780.4673462871</v>
      </c>
      <c r="C601" s="45">
        <v>1667017.0893682125</v>
      </c>
      <c r="D601" s="45">
        <v>0</v>
      </c>
      <c r="E601" s="45">
        <v>0</v>
      </c>
      <c r="F601" s="45">
        <v>0</v>
      </c>
      <c r="G601" s="45">
        <v>0</v>
      </c>
      <c r="H601" s="46">
        <v>0.3285328651104662</v>
      </c>
      <c r="I601" s="46">
        <v>0</v>
      </c>
      <c r="J601" s="46">
        <v>0.3285328651104662</v>
      </c>
    </row>
    <row r="602" spans="1:10" ht="11.25" customHeight="1" x14ac:dyDescent="0.2">
      <c r="A602" s="55">
        <v>44409</v>
      </c>
      <c r="B602" s="45">
        <v>101580.00715543311</v>
      </c>
      <c r="C602" s="45">
        <v>134952.37794414919</v>
      </c>
      <c r="D602" s="45">
        <v>0</v>
      </c>
      <c r="E602" s="45">
        <v>0</v>
      </c>
      <c r="F602" s="45">
        <v>0</v>
      </c>
      <c r="G602" s="45">
        <v>0</v>
      </c>
      <c r="H602" s="46">
        <v>0.3285328651104662</v>
      </c>
      <c r="I602" s="46">
        <v>0</v>
      </c>
      <c r="J602" s="46">
        <v>0.3285328651104662</v>
      </c>
    </row>
    <row r="603" spans="1:10" ht="11.25" customHeight="1" x14ac:dyDescent="0.2">
      <c r="A603" s="55">
        <v>44440</v>
      </c>
      <c r="B603" s="45">
        <v>101146.9858737996</v>
      </c>
      <c r="C603" s="45">
        <v>134377.09494020682</v>
      </c>
      <c r="D603" s="45">
        <v>0</v>
      </c>
      <c r="E603" s="45">
        <v>0</v>
      </c>
      <c r="F603" s="45">
        <v>0</v>
      </c>
      <c r="G603" s="45">
        <v>0</v>
      </c>
      <c r="H603" s="46">
        <v>0.3285328651104662</v>
      </c>
      <c r="I603" s="46">
        <v>0</v>
      </c>
      <c r="J603" s="46">
        <v>0.3285328651104662</v>
      </c>
    </row>
    <row r="604" spans="1:10" ht="11.25" customHeight="1" x14ac:dyDescent="0.2">
      <c r="A604" s="55">
        <v>44470</v>
      </c>
      <c r="B604" s="45">
        <v>104871.62056546203</v>
      </c>
      <c r="C604" s="45">
        <v>139325.39453861094</v>
      </c>
      <c r="D604" s="45">
        <v>0</v>
      </c>
      <c r="E604" s="45">
        <v>0</v>
      </c>
      <c r="F604" s="45">
        <v>0</v>
      </c>
      <c r="G604" s="45">
        <v>0</v>
      </c>
      <c r="H604" s="46">
        <v>0.32853286511046598</v>
      </c>
      <c r="I604" s="46">
        <v>0</v>
      </c>
      <c r="J604" s="46">
        <v>0.32853286511046598</v>
      </c>
    </row>
    <row r="605" spans="1:10" ht="11.25" customHeight="1" x14ac:dyDescent="0.2">
      <c r="A605" s="55">
        <v>44501</v>
      </c>
      <c r="B605" s="45">
        <v>107817.66338770058</v>
      </c>
      <c r="C605" s="45">
        <v>143239.30924997767</v>
      </c>
      <c r="D605" s="45">
        <v>0</v>
      </c>
      <c r="E605" s="45">
        <v>0</v>
      </c>
      <c r="F605" s="45">
        <v>0</v>
      </c>
      <c r="G605" s="45">
        <v>0</v>
      </c>
      <c r="H605" s="46">
        <v>0.3285328651104662</v>
      </c>
      <c r="I605" s="46">
        <v>0</v>
      </c>
      <c r="J605" s="46">
        <v>0.3285328651104662</v>
      </c>
    </row>
    <row r="606" spans="1:10" ht="11.25" customHeight="1" x14ac:dyDescent="0.2">
      <c r="A606" s="55">
        <v>44531</v>
      </c>
      <c r="B606" s="45">
        <v>106386.18400423198</v>
      </c>
      <c r="C606" s="45">
        <v>141337.54184331157</v>
      </c>
      <c r="D606" s="45">
        <v>0</v>
      </c>
      <c r="E606" s="45">
        <v>0</v>
      </c>
      <c r="F606" s="45">
        <v>0</v>
      </c>
      <c r="G606" s="45">
        <v>0</v>
      </c>
      <c r="H606" s="46">
        <v>0.3285328651104662</v>
      </c>
      <c r="I606" s="46">
        <v>0</v>
      </c>
      <c r="J606" s="46">
        <v>0.3285328651104662</v>
      </c>
    </row>
    <row r="607" spans="1:10" ht="11.25" customHeight="1" x14ac:dyDescent="0.2">
      <c r="A607" s="55">
        <v>44562</v>
      </c>
      <c r="B607" s="45">
        <v>106001.33945283509</v>
      </c>
      <c r="C607" s="45">
        <v>140826.26320882211</v>
      </c>
      <c r="D607" s="45">
        <v>0</v>
      </c>
      <c r="E607" s="45">
        <v>0</v>
      </c>
      <c r="F607" s="45">
        <v>0</v>
      </c>
      <c r="G607" s="45">
        <v>0</v>
      </c>
      <c r="H607" s="46">
        <v>0.32853286511046642</v>
      </c>
      <c r="I607" s="46">
        <v>0</v>
      </c>
      <c r="J607" s="46">
        <v>0.32853286511046642</v>
      </c>
    </row>
    <row r="608" spans="1:10" ht="11.25" customHeight="1" x14ac:dyDescent="0.2">
      <c r="A608" s="55">
        <v>44593</v>
      </c>
      <c r="B608" s="45">
        <v>104548.5976597218</v>
      </c>
      <c r="C608" s="45">
        <v>138896.24799215156</v>
      </c>
      <c r="D608" s="45">
        <v>0</v>
      </c>
      <c r="E608" s="45">
        <v>0</v>
      </c>
      <c r="F608" s="45">
        <v>0</v>
      </c>
      <c r="G608" s="45">
        <v>0</v>
      </c>
      <c r="H608" s="46">
        <v>0.32853286511046598</v>
      </c>
      <c r="I608" s="46">
        <v>0</v>
      </c>
      <c r="J608" s="46">
        <v>0.32853286511046598</v>
      </c>
    </row>
    <row r="609" spans="1:10" ht="11.25" customHeight="1" x14ac:dyDescent="0.2">
      <c r="A609" s="55">
        <v>44621</v>
      </c>
      <c r="B609" s="45">
        <v>104785.6829653975</v>
      </c>
      <c r="C609" s="45">
        <v>139211.22361257649</v>
      </c>
      <c r="D609" s="45">
        <v>0</v>
      </c>
      <c r="E609" s="45">
        <v>0</v>
      </c>
      <c r="F609" s="45">
        <v>0</v>
      </c>
      <c r="G609" s="45">
        <v>0</v>
      </c>
      <c r="H609" s="46">
        <v>0.32853286511046598</v>
      </c>
      <c r="I609" s="46">
        <v>0</v>
      </c>
      <c r="J609" s="46">
        <v>0.32853286511046598</v>
      </c>
    </row>
    <row r="610" spans="1:10" ht="11.25" customHeight="1" x14ac:dyDescent="0.2">
      <c r="A610" s="55">
        <v>44652</v>
      </c>
      <c r="B610" s="45">
        <v>104034.24010098299</v>
      </c>
      <c r="C610" s="45">
        <v>138212.90707094909</v>
      </c>
      <c r="D610" s="45">
        <v>0</v>
      </c>
      <c r="E610" s="45">
        <v>0</v>
      </c>
      <c r="F610" s="45">
        <v>0</v>
      </c>
      <c r="G610" s="45">
        <v>0</v>
      </c>
      <c r="H610" s="46">
        <v>0.3285328651104662</v>
      </c>
      <c r="I610" s="46">
        <v>0</v>
      </c>
      <c r="J610" s="46">
        <v>0.3285328651104662</v>
      </c>
    </row>
    <row r="611" spans="1:10" ht="11.25" customHeight="1" x14ac:dyDescent="0.2">
      <c r="A611" s="55">
        <v>44682</v>
      </c>
      <c r="B611" s="45">
        <v>104721.54945241519</v>
      </c>
      <c r="C611" s="45">
        <v>139126.02013282452</v>
      </c>
      <c r="D611" s="45">
        <v>0</v>
      </c>
      <c r="E611" s="45">
        <v>0</v>
      </c>
      <c r="F611" s="45">
        <v>0</v>
      </c>
      <c r="G611" s="45">
        <v>0</v>
      </c>
      <c r="H611" s="46">
        <v>0.3285328651104662</v>
      </c>
      <c r="I611" s="46">
        <v>0</v>
      </c>
      <c r="J611" s="46">
        <v>0.3285328651104662</v>
      </c>
    </row>
    <row r="612" spans="1:10" ht="11.25" customHeight="1" x14ac:dyDescent="0.2">
      <c r="A612" s="55">
        <v>44713</v>
      </c>
      <c r="B612" s="45">
        <v>104898.30988298199</v>
      </c>
      <c r="C612" s="45">
        <v>139360.85217408359</v>
      </c>
      <c r="D612" s="45">
        <v>0</v>
      </c>
      <c r="E612" s="45">
        <v>0</v>
      </c>
      <c r="F612" s="45">
        <v>0</v>
      </c>
      <c r="G612" s="45">
        <v>0</v>
      </c>
      <c r="H612" s="46">
        <v>0.32853286511046598</v>
      </c>
      <c r="I612" s="46">
        <v>0</v>
      </c>
      <c r="J612" s="46">
        <v>0.32853286511046598</v>
      </c>
    </row>
    <row r="613" spans="1:10" ht="11.25" customHeight="1" x14ac:dyDescent="0.2">
      <c r="A613" s="55">
        <v>44743</v>
      </c>
      <c r="B613" s="45">
        <v>103988.28684532532</v>
      </c>
      <c r="C613" s="45">
        <v>138151.85666054906</v>
      </c>
      <c r="D613" s="45">
        <v>0</v>
      </c>
      <c r="E613" s="45">
        <v>0</v>
      </c>
      <c r="F613" s="45">
        <v>0</v>
      </c>
      <c r="G613" s="45">
        <v>0</v>
      </c>
      <c r="H613" s="46">
        <v>0.32853286511046642</v>
      </c>
      <c r="I613" s="46">
        <v>0</v>
      </c>
      <c r="J613" s="46">
        <v>0.32853286511046642</v>
      </c>
    </row>
    <row r="614" spans="1:10" ht="11.25" customHeight="1" x14ac:dyDescent="0.2">
      <c r="A614" s="54" t="s">
        <v>36</v>
      </c>
      <c r="B614" s="45">
        <v>0</v>
      </c>
      <c r="C614" s="45">
        <v>0</v>
      </c>
      <c r="D614" s="45">
        <v>1246800.0502765377</v>
      </c>
      <c r="E614" s="45">
        <v>1768861.0063600419</v>
      </c>
      <c r="F614" s="45">
        <v>0</v>
      </c>
      <c r="G614" s="45">
        <v>0</v>
      </c>
      <c r="H614" s="46">
        <v>0.4187206729480899</v>
      </c>
      <c r="I614" s="46">
        <v>0</v>
      </c>
      <c r="J614" s="46">
        <v>0.4187206729480899</v>
      </c>
    </row>
    <row r="615" spans="1:10" ht="11.25" customHeight="1" x14ac:dyDescent="0.2">
      <c r="A615" s="55">
        <v>44409</v>
      </c>
      <c r="B615" s="45">
        <v>0</v>
      </c>
      <c r="C615" s="45">
        <v>0</v>
      </c>
      <c r="D615" s="45">
        <v>128308.62115036411</v>
      </c>
      <c r="E615" s="45">
        <v>182034.09334348611</v>
      </c>
      <c r="F615" s="45">
        <v>0</v>
      </c>
      <c r="G615" s="45">
        <v>0</v>
      </c>
      <c r="H615" s="46">
        <v>0.41872067294809012</v>
      </c>
      <c r="I615" s="46">
        <v>0</v>
      </c>
      <c r="J615" s="46">
        <v>0.41872067294809012</v>
      </c>
    </row>
    <row r="616" spans="1:10" ht="11.25" customHeight="1" x14ac:dyDescent="0.2">
      <c r="A616" s="55">
        <v>44440</v>
      </c>
      <c r="B616" s="45">
        <v>0</v>
      </c>
      <c r="C616" s="45">
        <v>0</v>
      </c>
      <c r="D616" s="45">
        <v>112717.53173183966</v>
      </c>
      <c r="E616" s="45">
        <v>159914.69247164324</v>
      </c>
      <c r="F616" s="45">
        <v>0</v>
      </c>
      <c r="G616" s="45">
        <v>0</v>
      </c>
      <c r="H616" s="46">
        <v>0.4187206729480899</v>
      </c>
      <c r="I616" s="46">
        <v>0</v>
      </c>
      <c r="J616" s="46">
        <v>0.4187206729480899</v>
      </c>
    </row>
    <row r="617" spans="1:10" ht="11.25" customHeight="1" x14ac:dyDescent="0.2">
      <c r="A617" s="55">
        <v>44470</v>
      </c>
      <c r="B617" s="45">
        <v>0</v>
      </c>
      <c r="C617" s="45">
        <v>0</v>
      </c>
      <c r="D617" s="45">
        <v>121193.75429600307</v>
      </c>
      <c r="E617" s="45">
        <v>171940.08465193096</v>
      </c>
      <c r="F617" s="45">
        <v>0</v>
      </c>
      <c r="G617" s="45">
        <v>0</v>
      </c>
      <c r="H617" s="46">
        <v>0.41872067294809012</v>
      </c>
      <c r="I617" s="46">
        <v>0</v>
      </c>
      <c r="J617" s="46">
        <v>0.41872067294809012</v>
      </c>
    </row>
    <row r="618" spans="1:10" ht="11.25" customHeight="1" x14ac:dyDescent="0.2">
      <c r="A618" s="55">
        <v>44501</v>
      </c>
      <c r="B618" s="45">
        <v>0</v>
      </c>
      <c r="C618" s="45">
        <v>0</v>
      </c>
      <c r="D618" s="45">
        <v>115005.17530501507</v>
      </c>
      <c r="E618" s="45">
        <v>163160.21970124403</v>
      </c>
      <c r="F618" s="45">
        <v>0</v>
      </c>
      <c r="G618" s="45">
        <v>0</v>
      </c>
      <c r="H618" s="46">
        <v>0.4187206729480899</v>
      </c>
      <c r="I618" s="46">
        <v>0</v>
      </c>
      <c r="J618" s="46">
        <v>0.4187206729480899</v>
      </c>
    </row>
    <row r="619" spans="1:10" ht="11.25" customHeight="1" x14ac:dyDescent="0.2">
      <c r="A619" s="55">
        <v>44531</v>
      </c>
      <c r="B619" s="45">
        <v>0</v>
      </c>
      <c r="C619" s="45">
        <v>0</v>
      </c>
      <c r="D619" s="45">
        <v>99115.785604089746</v>
      </c>
      <c r="E619" s="45">
        <v>140617.61405201282</v>
      </c>
      <c r="F619" s="45">
        <v>0</v>
      </c>
      <c r="G619" s="45">
        <v>0</v>
      </c>
      <c r="H619" s="46">
        <v>0.41872067294809012</v>
      </c>
      <c r="I619" s="46">
        <v>0</v>
      </c>
      <c r="J619" s="46">
        <v>0.41872067294809012</v>
      </c>
    </row>
    <row r="620" spans="1:10" ht="11.25" customHeight="1" x14ac:dyDescent="0.2">
      <c r="A620" s="55">
        <v>44562</v>
      </c>
      <c r="B620" s="45">
        <v>0</v>
      </c>
      <c r="C620" s="45">
        <v>0</v>
      </c>
      <c r="D620" s="45">
        <v>91936.406803779697</v>
      </c>
      <c r="E620" s="45">
        <v>130432.08092908769</v>
      </c>
      <c r="F620" s="45">
        <v>0</v>
      </c>
      <c r="G620" s="45">
        <v>0</v>
      </c>
      <c r="H620" s="46">
        <v>0.41872067294809012</v>
      </c>
      <c r="I620" s="46">
        <v>0</v>
      </c>
      <c r="J620" s="46">
        <v>0.41872067294809012</v>
      </c>
    </row>
    <row r="621" spans="1:10" ht="11.25" customHeight="1" x14ac:dyDescent="0.2">
      <c r="A621" s="55">
        <v>44593</v>
      </c>
      <c r="B621" s="45">
        <v>0</v>
      </c>
      <c r="C621" s="45">
        <v>0</v>
      </c>
      <c r="D621" s="45">
        <v>91003.579614834685</v>
      </c>
      <c r="E621" s="45">
        <v>129108.65971184334</v>
      </c>
      <c r="F621" s="45">
        <v>0</v>
      </c>
      <c r="G621" s="45">
        <v>0</v>
      </c>
      <c r="H621" s="46">
        <v>0.4187206729480899</v>
      </c>
      <c r="I621" s="46">
        <v>0</v>
      </c>
      <c r="J621" s="46">
        <v>0.4187206729480899</v>
      </c>
    </row>
    <row r="622" spans="1:10" ht="11.25" customHeight="1" x14ac:dyDescent="0.2">
      <c r="A622" s="55">
        <v>44621</v>
      </c>
      <c r="B622" s="45">
        <v>0</v>
      </c>
      <c r="C622" s="45">
        <v>0</v>
      </c>
      <c r="D622" s="45">
        <v>100074.09126289848</v>
      </c>
      <c r="E622" s="45">
        <v>141977.18210116791</v>
      </c>
      <c r="F622" s="45">
        <v>0</v>
      </c>
      <c r="G622" s="45">
        <v>0</v>
      </c>
      <c r="H622" s="46">
        <v>0.41872067294809012</v>
      </c>
      <c r="I622" s="46">
        <v>0</v>
      </c>
      <c r="J622" s="46">
        <v>0.41872067294809012</v>
      </c>
    </row>
    <row r="623" spans="1:10" ht="11.25" customHeight="1" x14ac:dyDescent="0.2">
      <c r="A623" s="55">
        <v>44652</v>
      </c>
      <c r="B623" s="45">
        <v>0</v>
      </c>
      <c r="C623" s="45">
        <v>0</v>
      </c>
      <c r="D623" s="45">
        <v>85397.652968550494</v>
      </c>
      <c r="E623" s="45">
        <v>121155.41568772942</v>
      </c>
      <c r="F623" s="45">
        <v>0</v>
      </c>
      <c r="G623" s="45">
        <v>0</v>
      </c>
      <c r="H623" s="46">
        <v>0.41872067294809012</v>
      </c>
      <c r="I623" s="46">
        <v>0</v>
      </c>
      <c r="J623" s="46">
        <v>0.41872067294809012</v>
      </c>
    </row>
    <row r="624" spans="1:10" ht="11.25" customHeight="1" x14ac:dyDescent="0.2">
      <c r="A624" s="55">
        <v>44682</v>
      </c>
      <c r="B624" s="45">
        <v>0</v>
      </c>
      <c r="C624" s="45">
        <v>0</v>
      </c>
      <c r="D624" s="45">
        <v>102787.67687309052</v>
      </c>
      <c r="E624" s="45">
        <v>145827.0021041618</v>
      </c>
      <c r="F624" s="45">
        <v>0</v>
      </c>
      <c r="G624" s="45">
        <v>0</v>
      </c>
      <c r="H624" s="46">
        <v>0.4187206729480899</v>
      </c>
      <c r="I624" s="46">
        <v>0</v>
      </c>
      <c r="J624" s="46">
        <v>0.4187206729480899</v>
      </c>
    </row>
    <row r="625" spans="1:10" ht="11.25" customHeight="1" x14ac:dyDescent="0.2">
      <c r="A625" s="55">
        <v>44713</v>
      </c>
      <c r="B625" s="45">
        <v>0</v>
      </c>
      <c r="C625" s="45">
        <v>0</v>
      </c>
      <c r="D625" s="45">
        <v>101217.68647276569</v>
      </c>
      <c r="E625" s="45">
        <v>143599.62426689093</v>
      </c>
      <c r="F625" s="45">
        <v>0</v>
      </c>
      <c r="G625" s="45">
        <v>0</v>
      </c>
      <c r="H625" s="46">
        <v>0.4187206729480899</v>
      </c>
      <c r="I625" s="46">
        <v>0</v>
      </c>
      <c r="J625" s="46">
        <v>0.4187206729480899</v>
      </c>
    </row>
    <row r="626" spans="1:10" ht="11.25" customHeight="1" x14ac:dyDescent="0.2">
      <c r="A626" s="55">
        <v>44743</v>
      </c>
      <c r="B626" s="45">
        <v>0</v>
      </c>
      <c r="C626" s="45">
        <v>0</v>
      </c>
      <c r="D626" s="45">
        <v>98042.088193306568</v>
      </c>
      <c r="E626" s="45">
        <v>139094.33733884388</v>
      </c>
      <c r="F626" s="45">
        <v>0</v>
      </c>
      <c r="G626" s="45">
        <v>0</v>
      </c>
      <c r="H626" s="46">
        <v>0.4187206729480899</v>
      </c>
      <c r="I626" s="46">
        <v>0</v>
      </c>
      <c r="J626" s="46">
        <v>0.4187206729480899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619BD-ED3C-49F9-A608-F2317702E123}">
  <dimension ref="A1:G322"/>
  <sheetViews>
    <sheetView showGridLines="0" workbookViewId="0"/>
  </sheetViews>
  <sheetFormatPr defaultRowHeight="11.25" customHeight="1" x14ac:dyDescent="0.2"/>
  <cols>
    <col min="1" max="1" width="33.21875" style="14" bestFit="1" customWidth="1"/>
    <col min="2" max="2" width="19.77734375" style="45" bestFit="1" customWidth="1"/>
    <col min="3" max="3" width="21.109375" style="45" bestFit="1" customWidth="1"/>
    <col min="4" max="4" width="19.77734375" style="45" bestFit="1" customWidth="1"/>
    <col min="5" max="5" width="21.109375" style="45" bestFit="1" customWidth="1"/>
    <col min="6" max="7" width="13.77734375" style="45" bestFit="1" customWidth="1"/>
    <col min="8" max="16384" width="8.88671875" style="14"/>
  </cols>
  <sheetData>
    <row r="1" spans="1:7" ht="11.25" customHeight="1" x14ac:dyDescent="0.2">
      <c r="A1" s="44" t="s">
        <v>671</v>
      </c>
      <c r="B1" s="45" t="s">
        <v>697</v>
      </c>
      <c r="C1" s="45" t="s">
        <v>698</v>
      </c>
      <c r="D1" s="45" t="s">
        <v>699</v>
      </c>
      <c r="E1" s="45" t="s">
        <v>700</v>
      </c>
      <c r="F1" s="45" t="s">
        <v>701</v>
      </c>
      <c r="G1" s="45" t="s">
        <v>702</v>
      </c>
    </row>
    <row r="2" spans="1:7" ht="11.25" customHeight="1" x14ac:dyDescent="0.2">
      <c r="A2" s="47" t="s">
        <v>691</v>
      </c>
      <c r="B2" s="45">
        <v>0</v>
      </c>
      <c r="C2" s="45">
        <v>19391.754560400004</v>
      </c>
      <c r="D2" s="45">
        <v>0</v>
      </c>
      <c r="E2" s="45">
        <v>23239.077366914662</v>
      </c>
      <c r="F2" s="45">
        <v>19391.754560400004</v>
      </c>
      <c r="G2" s="45">
        <v>23239.077366914662</v>
      </c>
    </row>
    <row r="3" spans="1:7" ht="11.25" customHeight="1" x14ac:dyDescent="0.2">
      <c r="A3" s="48" t="s">
        <v>32</v>
      </c>
      <c r="B3" s="45">
        <v>0</v>
      </c>
      <c r="C3" s="45">
        <v>19391.754560400004</v>
      </c>
      <c r="D3" s="45">
        <v>0</v>
      </c>
      <c r="E3" s="45">
        <v>23239.077366914662</v>
      </c>
      <c r="F3" s="45">
        <v>19391.754560400004</v>
      </c>
      <c r="G3" s="45">
        <v>23239.077366914662</v>
      </c>
    </row>
    <row r="4" spans="1:7" ht="11.25" customHeight="1" x14ac:dyDescent="0.2">
      <c r="A4" s="49" t="s">
        <v>23</v>
      </c>
      <c r="B4" s="45">
        <v>0</v>
      </c>
      <c r="C4" s="45">
        <v>19391.754560400004</v>
      </c>
      <c r="D4" s="45">
        <v>0</v>
      </c>
      <c r="E4" s="45">
        <v>23239.077366914662</v>
      </c>
      <c r="F4" s="45">
        <v>19391.754560400004</v>
      </c>
      <c r="G4" s="45">
        <v>23239.077366914662</v>
      </c>
    </row>
    <row r="5" spans="1:7" ht="11.25" customHeight="1" x14ac:dyDescent="0.2">
      <c r="A5" s="50" t="s">
        <v>47</v>
      </c>
      <c r="B5" s="45">
        <v>0</v>
      </c>
      <c r="C5" s="45">
        <v>19391.754560400004</v>
      </c>
      <c r="D5" s="45">
        <v>0</v>
      </c>
      <c r="E5" s="45">
        <v>23239.077366914662</v>
      </c>
      <c r="F5" s="45">
        <v>19391.754560400004</v>
      </c>
      <c r="G5" s="45">
        <v>23239.077366914662</v>
      </c>
    </row>
    <row r="6" spans="1:7" ht="11.25" customHeight="1" x14ac:dyDescent="0.2">
      <c r="A6" s="51" t="s">
        <v>48</v>
      </c>
      <c r="B6" s="45">
        <v>0</v>
      </c>
      <c r="C6" s="45">
        <v>19391.754560400004</v>
      </c>
      <c r="D6" s="45">
        <v>0</v>
      </c>
      <c r="E6" s="45">
        <v>23239.077366914662</v>
      </c>
      <c r="F6" s="45">
        <v>19391.754560400004</v>
      </c>
      <c r="G6" s="45">
        <v>23239.077366914662</v>
      </c>
    </row>
    <row r="7" spans="1:7" ht="11.25" customHeight="1" x14ac:dyDescent="0.2">
      <c r="A7" s="52" t="s">
        <v>25</v>
      </c>
      <c r="B7" s="45">
        <v>0</v>
      </c>
      <c r="C7" s="45">
        <v>19391.754560400004</v>
      </c>
      <c r="D7" s="45">
        <v>0</v>
      </c>
      <c r="E7" s="45">
        <v>23239.077366914662</v>
      </c>
      <c r="F7" s="45">
        <v>19391.754560400004</v>
      </c>
      <c r="G7" s="45">
        <v>23239.077366914662</v>
      </c>
    </row>
    <row r="8" spans="1:7" ht="11.25" customHeight="1" x14ac:dyDescent="0.2">
      <c r="A8" s="53" t="s">
        <v>25</v>
      </c>
      <c r="B8" s="45">
        <v>0</v>
      </c>
      <c r="C8" s="45">
        <v>19391.754560400004</v>
      </c>
      <c r="D8" s="45">
        <v>0</v>
      </c>
      <c r="E8" s="45">
        <v>23239.077366914662</v>
      </c>
      <c r="F8" s="45">
        <v>19391.754560400004</v>
      </c>
      <c r="G8" s="45">
        <v>23239.077366914662</v>
      </c>
    </row>
    <row r="9" spans="1:7" ht="11.25" customHeight="1" x14ac:dyDescent="0.2">
      <c r="A9" s="54" t="s">
        <v>25</v>
      </c>
      <c r="B9" s="45">
        <v>0</v>
      </c>
      <c r="C9" s="45">
        <v>19391.754560400004</v>
      </c>
      <c r="D9" s="45">
        <v>0</v>
      </c>
      <c r="E9" s="45">
        <v>23239.077366914662</v>
      </c>
      <c r="F9" s="45">
        <v>19391.754560400004</v>
      </c>
      <c r="G9" s="45">
        <v>23239.077366914662</v>
      </c>
    </row>
    <row r="10" spans="1:7" ht="11.25" customHeight="1" x14ac:dyDescent="0.2">
      <c r="A10" s="55">
        <v>44409</v>
      </c>
      <c r="B10" s="45">
        <v>0</v>
      </c>
      <c r="C10" s="45">
        <v>1387.4645682000009</v>
      </c>
      <c r="D10" s="45">
        <v>0</v>
      </c>
      <c r="E10" s="45">
        <v>1662.7374456407913</v>
      </c>
      <c r="F10" s="45">
        <v>1387.4645682000009</v>
      </c>
      <c r="G10" s="45">
        <v>1662.7374456407913</v>
      </c>
    </row>
    <row r="11" spans="1:7" ht="11.25" customHeight="1" x14ac:dyDescent="0.2">
      <c r="A11" s="55">
        <v>44440</v>
      </c>
      <c r="B11" s="45">
        <v>0</v>
      </c>
      <c r="C11" s="45">
        <v>1635.5683926000011</v>
      </c>
      <c r="D11" s="45">
        <v>0</v>
      </c>
      <c r="E11" s="45">
        <v>1960.0650521913185</v>
      </c>
      <c r="F11" s="45">
        <v>1635.5683926000011</v>
      </c>
      <c r="G11" s="45">
        <v>1960.0650521913185</v>
      </c>
    </row>
    <row r="12" spans="1:7" ht="11.25" customHeight="1" x14ac:dyDescent="0.2">
      <c r="A12" s="55">
        <v>44470</v>
      </c>
      <c r="B12" s="45">
        <v>0</v>
      </c>
      <c r="C12" s="45">
        <v>1534.4100144000026</v>
      </c>
      <c r="D12" s="45">
        <v>0</v>
      </c>
      <c r="E12" s="45">
        <v>1838.8368585289459</v>
      </c>
      <c r="F12" s="45">
        <v>1534.4100144000026</v>
      </c>
      <c r="G12" s="45">
        <v>1838.8368585289459</v>
      </c>
    </row>
    <row r="13" spans="1:7" ht="11.25" customHeight="1" x14ac:dyDescent="0.2">
      <c r="A13" s="55">
        <v>44501</v>
      </c>
      <c r="B13" s="45">
        <v>0</v>
      </c>
      <c r="C13" s="45">
        <v>1471.6662101999977</v>
      </c>
      <c r="D13" s="45">
        <v>0</v>
      </c>
      <c r="E13" s="45">
        <v>1763.6446877763278</v>
      </c>
      <c r="F13" s="45">
        <v>1471.6662101999977</v>
      </c>
      <c r="G13" s="45">
        <v>1763.6446877763278</v>
      </c>
    </row>
    <row r="14" spans="1:7" ht="11.25" customHeight="1" x14ac:dyDescent="0.2">
      <c r="A14" s="55">
        <v>44531</v>
      </c>
      <c r="B14" s="45">
        <v>0</v>
      </c>
      <c r="C14" s="45">
        <v>1667.9685635999967</v>
      </c>
      <c r="D14" s="45">
        <v>0</v>
      </c>
      <c r="E14" s="45">
        <v>1998.8934149485372</v>
      </c>
      <c r="F14" s="45">
        <v>1667.9685635999967</v>
      </c>
      <c r="G14" s="45">
        <v>1998.8934149485372</v>
      </c>
    </row>
    <row r="15" spans="1:7" ht="11.25" customHeight="1" x14ac:dyDescent="0.2">
      <c r="A15" s="55">
        <v>44562</v>
      </c>
      <c r="B15" s="45">
        <v>0</v>
      </c>
      <c r="C15" s="45">
        <v>1830.473852400002</v>
      </c>
      <c r="D15" s="45">
        <v>0</v>
      </c>
      <c r="E15" s="45">
        <v>2193.6397421668125</v>
      </c>
      <c r="F15" s="45">
        <v>1830.473852400002</v>
      </c>
      <c r="G15" s="45">
        <v>2193.6397421668125</v>
      </c>
    </row>
    <row r="16" spans="1:7" ht="11.25" customHeight="1" x14ac:dyDescent="0.2">
      <c r="A16" s="55">
        <v>44593</v>
      </c>
      <c r="B16" s="45">
        <v>0</v>
      </c>
      <c r="C16" s="45">
        <v>2008.6553915999975</v>
      </c>
      <c r="D16" s="45">
        <v>0</v>
      </c>
      <c r="E16" s="45">
        <v>2407.1724868149181</v>
      </c>
      <c r="F16" s="45">
        <v>2008.6553915999975</v>
      </c>
      <c r="G16" s="45">
        <v>2407.1724868149181</v>
      </c>
    </row>
    <row r="17" spans="1:7" ht="11.25" customHeight="1" x14ac:dyDescent="0.2">
      <c r="A17" s="55">
        <v>44621</v>
      </c>
      <c r="B17" s="45">
        <v>0</v>
      </c>
      <c r="C17" s="45">
        <v>1685.6625492000021</v>
      </c>
      <c r="D17" s="45">
        <v>0</v>
      </c>
      <c r="E17" s="45">
        <v>2020.0978861069802</v>
      </c>
      <c r="F17" s="45">
        <v>1685.6625492000021</v>
      </c>
      <c r="G17" s="45">
        <v>2020.0978861069802</v>
      </c>
    </row>
    <row r="18" spans="1:7" ht="11.25" customHeight="1" x14ac:dyDescent="0.2">
      <c r="A18" s="55">
        <v>44652</v>
      </c>
      <c r="B18" s="45">
        <v>0</v>
      </c>
      <c r="C18" s="45">
        <v>1703.240127000003</v>
      </c>
      <c r="D18" s="45">
        <v>0</v>
      </c>
      <c r="E18" s="45">
        <v>2041.1628541656908</v>
      </c>
      <c r="F18" s="45">
        <v>1703.240127000003</v>
      </c>
      <c r="G18" s="45">
        <v>2041.1628541656908</v>
      </c>
    </row>
    <row r="19" spans="1:7" ht="11.25" customHeight="1" x14ac:dyDescent="0.2">
      <c r="A19" s="55">
        <v>44682</v>
      </c>
      <c r="B19" s="45">
        <v>0</v>
      </c>
      <c r="C19" s="45">
        <v>1583.3012904000038</v>
      </c>
      <c r="D19" s="45">
        <v>0</v>
      </c>
      <c r="E19" s="45">
        <v>1897.4281604140992</v>
      </c>
      <c r="F19" s="45">
        <v>1583.3012904000038</v>
      </c>
      <c r="G19" s="45">
        <v>1897.4281604140992</v>
      </c>
    </row>
    <row r="20" spans="1:7" ht="11.25" customHeight="1" x14ac:dyDescent="0.2">
      <c r="A20" s="55">
        <v>44713</v>
      </c>
      <c r="B20" s="45">
        <v>0</v>
      </c>
      <c r="C20" s="45">
        <v>1495.2581909999963</v>
      </c>
      <c r="D20" s="45">
        <v>0</v>
      </c>
      <c r="E20" s="45">
        <v>1791.9173159875736</v>
      </c>
      <c r="F20" s="45">
        <v>1495.2581909999963</v>
      </c>
      <c r="G20" s="45">
        <v>1791.9173159875736</v>
      </c>
    </row>
    <row r="21" spans="1:7" ht="11.25" customHeight="1" x14ac:dyDescent="0.2">
      <c r="A21" s="55">
        <v>44743</v>
      </c>
      <c r="B21" s="45">
        <v>0</v>
      </c>
      <c r="C21" s="45">
        <v>1388.0854098000004</v>
      </c>
      <c r="D21" s="45">
        <v>0</v>
      </c>
      <c r="E21" s="45">
        <v>1663.4814621726655</v>
      </c>
      <c r="F21" s="45">
        <v>1388.0854098000004</v>
      </c>
      <c r="G21" s="45">
        <v>1663.4814621726655</v>
      </c>
    </row>
    <row r="22" spans="1:7" ht="11.25" customHeight="1" x14ac:dyDescent="0.2">
      <c r="A22" s="47" t="s">
        <v>688</v>
      </c>
      <c r="B22" s="45">
        <v>0</v>
      </c>
      <c r="C22" s="45">
        <v>118067.15847999994</v>
      </c>
      <c r="D22" s="45">
        <v>0</v>
      </c>
      <c r="E22" s="45">
        <v>127004.82959550791</v>
      </c>
      <c r="F22" s="45">
        <v>118067.15847999994</v>
      </c>
      <c r="G22" s="45">
        <v>127004.82959550791</v>
      </c>
    </row>
    <row r="23" spans="1:7" ht="11.25" customHeight="1" x14ac:dyDescent="0.2">
      <c r="A23" s="48" t="s">
        <v>22</v>
      </c>
      <c r="B23" s="45">
        <v>0</v>
      </c>
      <c r="C23" s="45">
        <v>118067.15847999994</v>
      </c>
      <c r="D23" s="45">
        <v>0</v>
      </c>
      <c r="E23" s="45">
        <v>127004.82959550791</v>
      </c>
      <c r="F23" s="45">
        <v>118067.15847999994</v>
      </c>
      <c r="G23" s="45">
        <v>127004.82959550791</v>
      </c>
    </row>
    <row r="24" spans="1:7" ht="11.25" customHeight="1" x14ac:dyDescent="0.2">
      <c r="A24" s="49" t="s">
        <v>23</v>
      </c>
      <c r="B24" s="45">
        <v>0</v>
      </c>
      <c r="C24" s="45">
        <v>118067.15847999994</v>
      </c>
      <c r="D24" s="45">
        <v>0</v>
      </c>
      <c r="E24" s="45">
        <v>127004.82959550791</v>
      </c>
      <c r="F24" s="45">
        <v>118067.15847999994</v>
      </c>
      <c r="G24" s="45">
        <v>127004.82959550791</v>
      </c>
    </row>
    <row r="25" spans="1:7" ht="11.25" customHeight="1" x14ac:dyDescent="0.2">
      <c r="A25" s="50" t="s">
        <v>24</v>
      </c>
      <c r="B25" s="45">
        <v>0</v>
      </c>
      <c r="C25" s="45">
        <v>118067.15847999994</v>
      </c>
      <c r="D25" s="45">
        <v>0</v>
      </c>
      <c r="E25" s="45">
        <v>127004.82959550791</v>
      </c>
      <c r="F25" s="45">
        <v>118067.15847999994</v>
      </c>
      <c r="G25" s="45">
        <v>127004.82959550791</v>
      </c>
    </row>
    <row r="26" spans="1:7" ht="11.25" customHeight="1" x14ac:dyDescent="0.2">
      <c r="A26" s="51" t="s">
        <v>28</v>
      </c>
      <c r="B26" s="45">
        <v>0</v>
      </c>
      <c r="C26" s="45">
        <v>45306.373799999987</v>
      </c>
      <c r="D26" s="45">
        <v>0</v>
      </c>
      <c r="E26" s="45">
        <v>48736.307334785495</v>
      </c>
      <c r="F26" s="45">
        <v>45306.373799999987</v>
      </c>
      <c r="G26" s="45">
        <v>48736.307334785495</v>
      </c>
    </row>
    <row r="27" spans="1:7" ht="11.25" customHeight="1" x14ac:dyDescent="0.2">
      <c r="A27" s="52" t="s">
        <v>25</v>
      </c>
      <c r="B27" s="45">
        <v>0</v>
      </c>
      <c r="C27" s="45">
        <v>45306.373799999987</v>
      </c>
      <c r="D27" s="45">
        <v>0</v>
      </c>
      <c r="E27" s="45">
        <v>48736.307334785495</v>
      </c>
      <c r="F27" s="45">
        <v>45306.373799999987</v>
      </c>
      <c r="G27" s="45">
        <v>48736.307334785495</v>
      </c>
    </row>
    <row r="28" spans="1:7" ht="11.25" customHeight="1" x14ac:dyDescent="0.2">
      <c r="A28" s="53" t="s">
        <v>25</v>
      </c>
      <c r="B28" s="45">
        <v>0</v>
      </c>
      <c r="C28" s="45">
        <v>45306.373799999987</v>
      </c>
      <c r="D28" s="45">
        <v>0</v>
      </c>
      <c r="E28" s="45">
        <v>48736.307334785495</v>
      </c>
      <c r="F28" s="45">
        <v>45306.373799999987</v>
      </c>
      <c r="G28" s="45">
        <v>48736.307334785495</v>
      </c>
    </row>
    <row r="29" spans="1:7" ht="11.25" customHeight="1" x14ac:dyDescent="0.2">
      <c r="A29" s="54" t="s">
        <v>25</v>
      </c>
      <c r="B29" s="45">
        <v>0</v>
      </c>
      <c r="C29" s="45">
        <v>45306.373799999987</v>
      </c>
      <c r="D29" s="45">
        <v>0</v>
      </c>
      <c r="E29" s="45">
        <v>48736.307334785495</v>
      </c>
      <c r="F29" s="45">
        <v>45306.373799999987</v>
      </c>
      <c r="G29" s="45">
        <v>48736.307334785495</v>
      </c>
    </row>
    <row r="30" spans="1:7" ht="11.25" customHeight="1" x14ac:dyDescent="0.2">
      <c r="A30" s="55">
        <v>44409</v>
      </c>
      <c r="B30" s="45">
        <v>0</v>
      </c>
      <c r="C30" s="45">
        <v>3351.4610999999995</v>
      </c>
      <c r="D30" s="45">
        <v>0</v>
      </c>
      <c r="E30" s="45">
        <v>3605.1845356508816</v>
      </c>
      <c r="F30" s="45">
        <v>3351.4610999999995</v>
      </c>
      <c r="G30" s="45">
        <v>3605.1845356508816</v>
      </c>
    </row>
    <row r="31" spans="1:7" ht="11.25" customHeight="1" x14ac:dyDescent="0.2">
      <c r="A31" s="55">
        <v>44440</v>
      </c>
      <c r="B31" s="45">
        <v>0</v>
      </c>
      <c r="C31" s="45">
        <v>3441.1322999999998</v>
      </c>
      <c r="D31" s="45">
        <v>0</v>
      </c>
      <c r="E31" s="45">
        <v>3701.6443225579287</v>
      </c>
      <c r="F31" s="45">
        <v>3441.1322999999998</v>
      </c>
      <c r="G31" s="45">
        <v>3701.6443225579287</v>
      </c>
    </row>
    <row r="32" spans="1:7" ht="11.25" customHeight="1" x14ac:dyDescent="0.2">
      <c r="A32" s="55">
        <v>44470</v>
      </c>
      <c r="B32" s="45">
        <v>0</v>
      </c>
      <c r="C32" s="45">
        <v>3396.2966999999994</v>
      </c>
      <c r="D32" s="45">
        <v>0</v>
      </c>
      <c r="E32" s="45">
        <v>3653.4144291044049</v>
      </c>
      <c r="F32" s="45">
        <v>3396.2966999999994</v>
      </c>
      <c r="G32" s="45">
        <v>3653.4144291044049</v>
      </c>
    </row>
    <row r="33" spans="1:7" ht="11.25" customHeight="1" x14ac:dyDescent="0.2">
      <c r="A33" s="55">
        <v>44501</v>
      </c>
      <c r="B33" s="45">
        <v>0</v>
      </c>
      <c r="C33" s="45">
        <v>3463.5500999999995</v>
      </c>
      <c r="D33" s="45">
        <v>0</v>
      </c>
      <c r="E33" s="45">
        <v>3725.7592692846902</v>
      </c>
      <c r="F33" s="45">
        <v>3463.5500999999995</v>
      </c>
      <c r="G33" s="45">
        <v>3725.7592692846902</v>
      </c>
    </row>
    <row r="34" spans="1:7" ht="11.25" customHeight="1" x14ac:dyDescent="0.2">
      <c r="A34" s="55">
        <v>44531</v>
      </c>
      <c r="B34" s="45">
        <v>0</v>
      </c>
      <c r="C34" s="45">
        <v>3542.0123999999996</v>
      </c>
      <c r="D34" s="45">
        <v>0</v>
      </c>
      <c r="E34" s="45">
        <v>3810.1615828283566</v>
      </c>
      <c r="F34" s="45">
        <v>3542.0123999999996</v>
      </c>
      <c r="G34" s="45">
        <v>3810.1615828283566</v>
      </c>
    </row>
    <row r="35" spans="1:7" ht="11.25" customHeight="1" x14ac:dyDescent="0.2">
      <c r="A35" s="55">
        <v>44562</v>
      </c>
      <c r="B35" s="45">
        <v>0</v>
      </c>
      <c r="C35" s="45">
        <v>3620.4746999999993</v>
      </c>
      <c r="D35" s="45">
        <v>0</v>
      </c>
      <c r="E35" s="45">
        <v>3894.5638963720221</v>
      </c>
      <c r="F35" s="45">
        <v>3620.4746999999993</v>
      </c>
      <c r="G35" s="45">
        <v>3894.5638963720221</v>
      </c>
    </row>
    <row r="36" spans="1:7" ht="11.25" customHeight="1" x14ac:dyDescent="0.2">
      <c r="A36" s="55">
        <v>44593</v>
      </c>
      <c r="B36" s="45">
        <v>0</v>
      </c>
      <c r="C36" s="45">
        <v>3945.5327999999995</v>
      </c>
      <c r="D36" s="45">
        <v>0</v>
      </c>
      <c r="E36" s="45">
        <v>4244.2306239100681</v>
      </c>
      <c r="F36" s="45">
        <v>3945.5327999999995</v>
      </c>
      <c r="G36" s="45">
        <v>4244.2306239100681</v>
      </c>
    </row>
    <row r="37" spans="1:7" ht="11.25" customHeight="1" x14ac:dyDescent="0.2">
      <c r="A37" s="55">
        <v>44621</v>
      </c>
      <c r="B37" s="45">
        <v>0</v>
      </c>
      <c r="C37" s="45">
        <v>4192.1285999999991</v>
      </c>
      <c r="D37" s="45">
        <v>0</v>
      </c>
      <c r="E37" s="45">
        <v>4509.4950379044476</v>
      </c>
      <c r="F37" s="45">
        <v>4192.1285999999991</v>
      </c>
      <c r="G37" s="45">
        <v>4509.4950379044476</v>
      </c>
    </row>
    <row r="38" spans="1:7" ht="11.25" customHeight="1" x14ac:dyDescent="0.2">
      <c r="A38" s="55">
        <v>44652</v>
      </c>
      <c r="B38" s="45">
        <v>0</v>
      </c>
      <c r="C38" s="45">
        <v>4248.1730999999991</v>
      </c>
      <c r="D38" s="45">
        <v>0</v>
      </c>
      <c r="E38" s="45">
        <v>4569.7824047213508</v>
      </c>
      <c r="F38" s="45">
        <v>4248.1730999999991</v>
      </c>
      <c r="G38" s="45">
        <v>4569.7824047213508</v>
      </c>
    </row>
    <row r="39" spans="1:7" ht="11.25" customHeight="1" x14ac:dyDescent="0.2">
      <c r="A39" s="55">
        <v>44682</v>
      </c>
      <c r="B39" s="45">
        <v>0</v>
      </c>
      <c r="C39" s="45">
        <v>4416.306599999999</v>
      </c>
      <c r="D39" s="45">
        <v>0</v>
      </c>
      <c r="E39" s="45">
        <v>4750.6445051720648</v>
      </c>
      <c r="F39" s="45">
        <v>4416.306599999999</v>
      </c>
      <c r="G39" s="45">
        <v>4750.6445051720648</v>
      </c>
    </row>
    <row r="40" spans="1:7" ht="11.25" customHeight="1" x14ac:dyDescent="0.2">
      <c r="A40" s="55">
        <v>44713</v>
      </c>
      <c r="B40" s="45">
        <v>0</v>
      </c>
      <c r="C40" s="45">
        <v>3598.0568999999996</v>
      </c>
      <c r="D40" s="45">
        <v>0</v>
      </c>
      <c r="E40" s="45">
        <v>3870.4489496452611</v>
      </c>
      <c r="F40" s="45">
        <v>3598.0568999999996</v>
      </c>
      <c r="G40" s="45">
        <v>3870.4489496452611</v>
      </c>
    </row>
    <row r="41" spans="1:7" ht="11.25" customHeight="1" x14ac:dyDescent="0.2">
      <c r="A41" s="55">
        <v>44743</v>
      </c>
      <c r="B41" s="45">
        <v>0</v>
      </c>
      <c r="C41" s="45">
        <v>4091.2484999999992</v>
      </c>
      <c r="D41" s="45">
        <v>0</v>
      </c>
      <c r="E41" s="45">
        <v>4400.9777776340188</v>
      </c>
      <c r="F41" s="45">
        <v>4091.2484999999992</v>
      </c>
      <c r="G41" s="45">
        <v>4400.9777776340188</v>
      </c>
    </row>
    <row r="42" spans="1:7" ht="11.25" customHeight="1" x14ac:dyDescent="0.2">
      <c r="A42" s="51" t="s">
        <v>29</v>
      </c>
      <c r="B42" s="45">
        <v>0</v>
      </c>
      <c r="C42" s="45">
        <v>58475.797599999984</v>
      </c>
      <c r="D42" s="45">
        <v>0</v>
      </c>
      <c r="E42" s="45">
        <v>62901.674374872295</v>
      </c>
      <c r="F42" s="45">
        <v>58475.797599999984</v>
      </c>
      <c r="G42" s="45">
        <v>62901.674374872295</v>
      </c>
    </row>
    <row r="43" spans="1:7" ht="11.25" customHeight="1" x14ac:dyDescent="0.2">
      <c r="A43" s="52" t="s">
        <v>25</v>
      </c>
      <c r="B43" s="45">
        <v>0</v>
      </c>
      <c r="C43" s="45">
        <v>58475.797599999984</v>
      </c>
      <c r="D43" s="45">
        <v>0</v>
      </c>
      <c r="E43" s="45">
        <v>62901.674374872295</v>
      </c>
      <c r="F43" s="45">
        <v>58475.797599999984</v>
      </c>
      <c r="G43" s="45">
        <v>62901.674374872295</v>
      </c>
    </row>
    <row r="44" spans="1:7" ht="11.25" customHeight="1" x14ac:dyDescent="0.2">
      <c r="A44" s="53" t="s">
        <v>25</v>
      </c>
      <c r="B44" s="45">
        <v>0</v>
      </c>
      <c r="C44" s="45">
        <v>58475.797599999984</v>
      </c>
      <c r="D44" s="45">
        <v>0</v>
      </c>
      <c r="E44" s="45">
        <v>62901.674374872295</v>
      </c>
      <c r="F44" s="45">
        <v>58475.797599999984</v>
      </c>
      <c r="G44" s="45">
        <v>62901.674374872295</v>
      </c>
    </row>
    <row r="45" spans="1:7" ht="11.25" customHeight="1" x14ac:dyDescent="0.2">
      <c r="A45" s="54" t="s">
        <v>25</v>
      </c>
      <c r="B45" s="45">
        <v>0</v>
      </c>
      <c r="C45" s="45">
        <v>58475.797599999984</v>
      </c>
      <c r="D45" s="45">
        <v>0</v>
      </c>
      <c r="E45" s="45">
        <v>62901.674374872295</v>
      </c>
      <c r="F45" s="45">
        <v>58475.797599999984</v>
      </c>
      <c r="G45" s="45">
        <v>62901.674374872295</v>
      </c>
    </row>
    <row r="46" spans="1:7" ht="11.25" customHeight="1" x14ac:dyDescent="0.2">
      <c r="A46" s="55">
        <v>44409</v>
      </c>
      <c r="B46" s="45">
        <v>0</v>
      </c>
      <c r="C46" s="45">
        <v>4224.0440299999991</v>
      </c>
      <c r="D46" s="45">
        <v>0</v>
      </c>
      <c r="E46" s="45">
        <v>4543.7506288957957</v>
      </c>
      <c r="F46" s="45">
        <v>4224.0440299999991</v>
      </c>
      <c r="G46" s="45">
        <v>4543.7506288957957</v>
      </c>
    </row>
    <row r="47" spans="1:7" ht="11.25" customHeight="1" x14ac:dyDescent="0.2">
      <c r="A47" s="55">
        <v>44440</v>
      </c>
      <c r="B47" s="45">
        <v>0</v>
      </c>
      <c r="C47" s="45">
        <v>4483.6349999999993</v>
      </c>
      <c r="D47" s="45">
        <v>0</v>
      </c>
      <c r="E47" s="45">
        <v>4822.98934535235</v>
      </c>
      <c r="F47" s="45">
        <v>4483.6349999999993</v>
      </c>
      <c r="G47" s="45">
        <v>4822.98934535235</v>
      </c>
    </row>
    <row r="48" spans="1:7" ht="11.25" customHeight="1" x14ac:dyDescent="0.2">
      <c r="A48" s="55">
        <v>44470</v>
      </c>
      <c r="B48" s="45">
        <v>0</v>
      </c>
      <c r="C48" s="45">
        <v>4387.9841199999992</v>
      </c>
      <c r="D48" s="45">
        <v>0</v>
      </c>
      <c r="E48" s="45">
        <v>4720.0989059848334</v>
      </c>
      <c r="F48" s="45">
        <v>4387.9841199999992</v>
      </c>
      <c r="G48" s="45">
        <v>4720.0989059848334</v>
      </c>
    </row>
    <row r="49" spans="1:7" ht="11.25" customHeight="1" x14ac:dyDescent="0.2">
      <c r="A49" s="55">
        <v>44501</v>
      </c>
      <c r="B49" s="45">
        <v>0</v>
      </c>
      <c r="C49" s="45">
        <v>4367.0604899999989</v>
      </c>
      <c r="D49" s="45">
        <v>0</v>
      </c>
      <c r="E49" s="45">
        <v>4697.5916223731892</v>
      </c>
      <c r="F49" s="45">
        <v>4367.0604899999989</v>
      </c>
      <c r="G49" s="45">
        <v>4697.5916223731892</v>
      </c>
    </row>
    <row r="50" spans="1:7" ht="11.25" customHeight="1" x14ac:dyDescent="0.2">
      <c r="A50" s="55">
        <v>44531</v>
      </c>
      <c r="B50" s="45">
        <v>0</v>
      </c>
      <c r="C50" s="45">
        <v>4669.188509999999</v>
      </c>
      <c r="D50" s="45">
        <v>0</v>
      </c>
      <c r="E50" s="45">
        <v>5022.5869044138553</v>
      </c>
      <c r="F50" s="45">
        <v>4669.188509999999</v>
      </c>
      <c r="G50" s="45">
        <v>5022.5869044138553</v>
      </c>
    </row>
    <row r="51" spans="1:7" ht="11.25" customHeight="1" x14ac:dyDescent="0.2">
      <c r="A51" s="55">
        <v>44562</v>
      </c>
      <c r="B51" s="45">
        <v>0</v>
      </c>
      <c r="C51" s="45">
        <v>4727.3607999999986</v>
      </c>
      <c r="D51" s="45">
        <v>0</v>
      </c>
      <c r="E51" s="45">
        <v>5085.1620995099647</v>
      </c>
      <c r="F51" s="45">
        <v>4727.3607999999986</v>
      </c>
      <c r="G51" s="45">
        <v>5085.1620995099647</v>
      </c>
    </row>
    <row r="52" spans="1:7" ht="11.25" customHeight="1" x14ac:dyDescent="0.2">
      <c r="A52" s="55">
        <v>44593</v>
      </c>
      <c r="B52" s="45">
        <v>0</v>
      </c>
      <c r="C52" s="45">
        <v>5292.068879999998</v>
      </c>
      <c r="D52" s="45">
        <v>0</v>
      </c>
      <c r="E52" s="45">
        <v>5692.6114242374197</v>
      </c>
      <c r="F52" s="45">
        <v>5292.068879999998</v>
      </c>
      <c r="G52" s="45">
        <v>5692.6114242374197</v>
      </c>
    </row>
    <row r="53" spans="1:7" ht="11.25" customHeight="1" x14ac:dyDescent="0.2">
      <c r="A53" s="55">
        <v>44621</v>
      </c>
      <c r="B53" s="45">
        <v>0</v>
      </c>
      <c r="C53" s="45">
        <v>5518.3199999999988</v>
      </c>
      <c r="D53" s="45">
        <v>0</v>
      </c>
      <c r="E53" s="45">
        <v>5935.9868865875078</v>
      </c>
      <c r="F53" s="45">
        <v>5518.3199999999988</v>
      </c>
      <c r="G53" s="45">
        <v>5935.9868865875078</v>
      </c>
    </row>
    <row r="54" spans="1:7" ht="11.25" customHeight="1" x14ac:dyDescent="0.2">
      <c r="A54" s="55">
        <v>44652</v>
      </c>
      <c r="B54" s="45">
        <v>0</v>
      </c>
      <c r="C54" s="45">
        <v>5511.1921699999994</v>
      </c>
      <c r="D54" s="45">
        <v>0</v>
      </c>
      <c r="E54" s="45">
        <v>5928.3195701923332</v>
      </c>
      <c r="F54" s="45">
        <v>5511.1921699999994</v>
      </c>
      <c r="G54" s="45">
        <v>5928.3195701923332</v>
      </c>
    </row>
    <row r="55" spans="1:7" ht="11.25" customHeight="1" x14ac:dyDescent="0.2">
      <c r="A55" s="55">
        <v>44682</v>
      </c>
      <c r="B55" s="45">
        <v>0</v>
      </c>
      <c r="C55" s="45">
        <v>5618.5694799999992</v>
      </c>
      <c r="D55" s="45">
        <v>0</v>
      </c>
      <c r="E55" s="45">
        <v>6043.8239816938476</v>
      </c>
      <c r="F55" s="45">
        <v>5618.5694799999992</v>
      </c>
      <c r="G55" s="45">
        <v>6043.8239816938476</v>
      </c>
    </row>
    <row r="56" spans="1:7" ht="11.25" customHeight="1" x14ac:dyDescent="0.2">
      <c r="A56" s="55">
        <v>44713</v>
      </c>
      <c r="B56" s="45">
        <v>0</v>
      </c>
      <c r="C56" s="45">
        <v>4596.9904899999983</v>
      </c>
      <c r="D56" s="45">
        <v>0</v>
      </c>
      <c r="E56" s="45">
        <v>4944.9244093143352</v>
      </c>
      <c r="F56" s="45">
        <v>4596.9904899999983</v>
      </c>
      <c r="G56" s="45">
        <v>4944.9244093143352</v>
      </c>
    </row>
    <row r="57" spans="1:7" ht="11.25" customHeight="1" x14ac:dyDescent="0.2">
      <c r="A57" s="55">
        <v>44743</v>
      </c>
      <c r="B57" s="45">
        <v>0</v>
      </c>
      <c r="C57" s="45">
        <v>5079.3836299999994</v>
      </c>
      <c r="D57" s="45">
        <v>0</v>
      </c>
      <c r="E57" s="45">
        <v>5463.8285963168601</v>
      </c>
      <c r="F57" s="45">
        <v>5079.3836299999994</v>
      </c>
      <c r="G57" s="45">
        <v>5463.8285963168601</v>
      </c>
    </row>
    <row r="58" spans="1:7" ht="11.25" customHeight="1" x14ac:dyDescent="0.2">
      <c r="A58" s="51" t="s">
        <v>30</v>
      </c>
      <c r="B58" s="45">
        <v>0</v>
      </c>
      <c r="C58" s="45">
        <v>14284.987079999988</v>
      </c>
      <c r="D58" s="45">
        <v>0</v>
      </c>
      <c r="E58" s="45">
        <v>15366.847885850137</v>
      </c>
      <c r="F58" s="45">
        <v>14284.987079999988</v>
      </c>
      <c r="G58" s="45">
        <v>15366.847885850137</v>
      </c>
    </row>
    <row r="59" spans="1:7" ht="11.25" customHeight="1" x14ac:dyDescent="0.2">
      <c r="A59" s="52" t="s">
        <v>25</v>
      </c>
      <c r="B59" s="45">
        <v>0</v>
      </c>
      <c r="C59" s="45">
        <v>14284.987079999988</v>
      </c>
      <c r="D59" s="45">
        <v>0</v>
      </c>
      <c r="E59" s="45">
        <v>15366.847885850137</v>
      </c>
      <c r="F59" s="45">
        <v>14284.987079999988</v>
      </c>
      <c r="G59" s="45">
        <v>15366.847885850137</v>
      </c>
    </row>
    <row r="60" spans="1:7" ht="11.25" customHeight="1" x14ac:dyDescent="0.2">
      <c r="A60" s="53" t="s">
        <v>25</v>
      </c>
      <c r="B60" s="45">
        <v>0</v>
      </c>
      <c r="C60" s="45">
        <v>14284.987079999988</v>
      </c>
      <c r="D60" s="45">
        <v>0</v>
      </c>
      <c r="E60" s="45">
        <v>15366.847885850137</v>
      </c>
      <c r="F60" s="45">
        <v>14284.987079999988</v>
      </c>
      <c r="G60" s="45">
        <v>15366.847885850137</v>
      </c>
    </row>
    <row r="61" spans="1:7" ht="11.25" customHeight="1" x14ac:dyDescent="0.2">
      <c r="A61" s="54" t="s">
        <v>25</v>
      </c>
      <c r="B61" s="45">
        <v>0</v>
      </c>
      <c r="C61" s="45">
        <v>14284.987079999988</v>
      </c>
      <c r="D61" s="45">
        <v>0</v>
      </c>
      <c r="E61" s="45">
        <v>15366.847885850137</v>
      </c>
      <c r="F61" s="45">
        <v>14284.987079999988</v>
      </c>
      <c r="G61" s="45">
        <v>15366.847885850137</v>
      </c>
    </row>
    <row r="62" spans="1:7" ht="11.25" customHeight="1" x14ac:dyDescent="0.2">
      <c r="A62" s="55">
        <v>44409</v>
      </c>
      <c r="B62" s="45">
        <v>0</v>
      </c>
      <c r="C62" s="45">
        <v>1028.7195599999993</v>
      </c>
      <c r="D62" s="45">
        <v>0</v>
      </c>
      <c r="E62" s="45">
        <v>1106.6287219714222</v>
      </c>
      <c r="F62" s="45">
        <v>1028.7195599999993</v>
      </c>
      <c r="G62" s="45">
        <v>1106.6287219714222</v>
      </c>
    </row>
    <row r="63" spans="1:7" ht="11.25" customHeight="1" x14ac:dyDescent="0.2">
      <c r="A63" s="55">
        <v>44440</v>
      </c>
      <c r="B63" s="45">
        <v>0</v>
      </c>
      <c r="C63" s="45">
        <v>1195.0091999999991</v>
      </c>
      <c r="D63" s="45">
        <v>0</v>
      </c>
      <c r="E63" s="45">
        <v>1285.5121601266062</v>
      </c>
      <c r="F63" s="45">
        <v>1195.0091999999991</v>
      </c>
      <c r="G63" s="45">
        <v>1285.5121601266062</v>
      </c>
    </row>
    <row r="64" spans="1:7" ht="11.25" customHeight="1" x14ac:dyDescent="0.2">
      <c r="A64" s="55">
        <v>44470</v>
      </c>
      <c r="B64" s="45">
        <v>0</v>
      </c>
      <c r="C64" s="45">
        <v>1006.8196799999993</v>
      </c>
      <c r="D64" s="45">
        <v>0</v>
      </c>
      <c r="E64" s="45">
        <v>1083.0702740152781</v>
      </c>
      <c r="F64" s="45">
        <v>1006.8196799999993</v>
      </c>
      <c r="G64" s="45">
        <v>1083.0702740152781</v>
      </c>
    </row>
    <row r="65" spans="1:7" ht="11.25" customHeight="1" x14ac:dyDescent="0.2">
      <c r="A65" s="55">
        <v>44501</v>
      </c>
      <c r="B65" s="45">
        <v>0</v>
      </c>
      <c r="C65" s="45">
        <v>953.1908399999993</v>
      </c>
      <c r="D65" s="45">
        <v>0</v>
      </c>
      <c r="E65" s="45">
        <v>1025.3799014612557</v>
      </c>
      <c r="F65" s="45">
        <v>953.1908399999993</v>
      </c>
      <c r="G65" s="45">
        <v>1025.3799014612557</v>
      </c>
    </row>
    <row r="66" spans="1:7" ht="11.25" customHeight="1" x14ac:dyDescent="0.2">
      <c r="A66" s="55">
        <v>44531</v>
      </c>
      <c r="B66" s="45">
        <v>0</v>
      </c>
      <c r="C66" s="45">
        <v>1186.3297199999993</v>
      </c>
      <c r="D66" s="45">
        <v>0</v>
      </c>
      <c r="E66" s="45">
        <v>1276.175347419578</v>
      </c>
      <c r="F66" s="45">
        <v>1186.3297199999993</v>
      </c>
      <c r="G66" s="45">
        <v>1276.175347419578</v>
      </c>
    </row>
    <row r="67" spans="1:7" ht="11.25" customHeight="1" x14ac:dyDescent="0.2">
      <c r="A67" s="55">
        <v>44562</v>
      </c>
      <c r="B67" s="45">
        <v>0</v>
      </c>
      <c r="C67" s="45">
        <v>1126.2631199999994</v>
      </c>
      <c r="D67" s="45">
        <v>0</v>
      </c>
      <c r="E67" s="45">
        <v>1211.5596568312037</v>
      </c>
      <c r="F67" s="45">
        <v>1126.2631199999994</v>
      </c>
      <c r="G67" s="45">
        <v>1211.5596568312037</v>
      </c>
    </row>
    <row r="68" spans="1:7" ht="11.25" customHeight="1" x14ac:dyDescent="0.2">
      <c r="A68" s="55">
        <v>44593</v>
      </c>
      <c r="B68" s="45">
        <v>0</v>
      </c>
      <c r="C68" s="45">
        <v>1537.589999999999</v>
      </c>
      <c r="D68" s="45">
        <v>0</v>
      </c>
      <c r="E68" s="45">
        <v>1654.0380126689138</v>
      </c>
      <c r="F68" s="45">
        <v>1537.589999999999</v>
      </c>
      <c r="G68" s="45">
        <v>1654.0380126689138</v>
      </c>
    </row>
    <row r="69" spans="1:7" ht="11.25" customHeight="1" x14ac:dyDescent="0.2">
      <c r="A69" s="55">
        <v>44621</v>
      </c>
      <c r="B69" s="45">
        <v>0</v>
      </c>
      <c r="C69" s="45">
        <v>1478.270639999999</v>
      </c>
      <c r="D69" s="45">
        <v>0</v>
      </c>
      <c r="E69" s="45">
        <v>1590.2261536380979</v>
      </c>
      <c r="F69" s="45">
        <v>1478.270639999999</v>
      </c>
      <c r="G69" s="45">
        <v>1590.2261536380979</v>
      </c>
    </row>
    <row r="70" spans="1:7" ht="11.25" customHeight="1" x14ac:dyDescent="0.2">
      <c r="A70" s="55">
        <v>44652</v>
      </c>
      <c r="B70" s="45">
        <v>0</v>
      </c>
      <c r="C70" s="45">
        <v>1306.6353599999991</v>
      </c>
      <c r="D70" s="45">
        <v>0</v>
      </c>
      <c r="E70" s="45">
        <v>1405.5922281865326</v>
      </c>
      <c r="F70" s="45">
        <v>1306.6353599999991</v>
      </c>
      <c r="G70" s="45">
        <v>1405.5922281865326</v>
      </c>
    </row>
    <row r="71" spans="1:7" ht="11.25" customHeight="1" x14ac:dyDescent="0.2">
      <c r="A71" s="55">
        <v>44682</v>
      </c>
      <c r="B71" s="45">
        <v>0</v>
      </c>
      <c r="C71" s="45">
        <v>1219.8980399999991</v>
      </c>
      <c r="D71" s="45">
        <v>0</v>
      </c>
      <c r="E71" s="45">
        <v>1312.2859343129851</v>
      </c>
      <c r="F71" s="45">
        <v>1219.8980399999991</v>
      </c>
      <c r="G71" s="45">
        <v>1312.2859343129851</v>
      </c>
    </row>
    <row r="72" spans="1:7" ht="11.25" customHeight="1" x14ac:dyDescent="0.2">
      <c r="A72" s="55">
        <v>44713</v>
      </c>
      <c r="B72" s="45">
        <v>0</v>
      </c>
      <c r="C72" s="45">
        <v>1058.3792399999993</v>
      </c>
      <c r="D72" s="45">
        <v>0</v>
      </c>
      <c r="E72" s="45">
        <v>1138.5346514868302</v>
      </c>
      <c r="F72" s="45">
        <v>1058.3792399999993</v>
      </c>
      <c r="G72" s="45">
        <v>1138.5346514868302</v>
      </c>
    </row>
    <row r="73" spans="1:7" ht="11.25" customHeight="1" x14ac:dyDescent="0.2">
      <c r="A73" s="55">
        <v>44743</v>
      </c>
      <c r="B73" s="45">
        <v>0</v>
      </c>
      <c r="C73" s="45">
        <v>1187.8816799999993</v>
      </c>
      <c r="D73" s="45">
        <v>0</v>
      </c>
      <c r="E73" s="45">
        <v>1277.8448437314307</v>
      </c>
      <c r="F73" s="45">
        <v>1187.8816799999993</v>
      </c>
      <c r="G73" s="45">
        <v>1277.8448437314307</v>
      </c>
    </row>
    <row r="74" spans="1:7" ht="11.25" customHeight="1" x14ac:dyDescent="0.2">
      <c r="A74" s="51" t="s">
        <v>31</v>
      </c>
      <c r="B74" s="45">
        <v>0</v>
      </c>
      <c r="C74" s="45">
        <v>-5.2291966312623114E-12</v>
      </c>
      <c r="D74" s="45">
        <v>0</v>
      </c>
      <c r="E74" s="45">
        <v>-5.2291966312623114E-12</v>
      </c>
      <c r="F74" s="45">
        <v>-5.2291966312623114E-12</v>
      </c>
      <c r="G74" s="45">
        <v>-5.2291966312623114E-12</v>
      </c>
    </row>
    <row r="75" spans="1:7" ht="11.25" customHeight="1" x14ac:dyDescent="0.2">
      <c r="A75" s="52" t="s">
        <v>25</v>
      </c>
      <c r="B75" s="45">
        <v>0</v>
      </c>
      <c r="C75" s="45">
        <v>-5.2291966312623114E-12</v>
      </c>
      <c r="D75" s="45">
        <v>0</v>
      </c>
      <c r="E75" s="45">
        <v>-5.2291966312623114E-12</v>
      </c>
      <c r="F75" s="45">
        <v>-5.2291966312623114E-12</v>
      </c>
      <c r="G75" s="45">
        <v>-5.2291966312623114E-12</v>
      </c>
    </row>
    <row r="76" spans="1:7" ht="11.25" customHeight="1" x14ac:dyDescent="0.2">
      <c r="A76" s="53" t="s">
        <v>25</v>
      </c>
      <c r="B76" s="45">
        <v>0</v>
      </c>
      <c r="C76" s="45">
        <v>-5.2291966312623114E-12</v>
      </c>
      <c r="D76" s="45">
        <v>0</v>
      </c>
      <c r="E76" s="45">
        <v>-5.2291966312623114E-12</v>
      </c>
      <c r="F76" s="45">
        <v>-5.2291966312623114E-12</v>
      </c>
      <c r="G76" s="45">
        <v>-5.2291966312623114E-12</v>
      </c>
    </row>
    <row r="77" spans="1:7" ht="11.25" customHeight="1" x14ac:dyDescent="0.2">
      <c r="A77" s="54" t="s">
        <v>25</v>
      </c>
      <c r="B77" s="45">
        <v>0</v>
      </c>
      <c r="C77" s="45">
        <v>-5.2291966312623114E-12</v>
      </c>
      <c r="D77" s="45">
        <v>0</v>
      </c>
      <c r="E77" s="45">
        <v>-5.2291966312623114E-12</v>
      </c>
      <c r="F77" s="45">
        <v>-5.2291966312623114E-12</v>
      </c>
      <c r="G77" s="45">
        <v>-5.2291966312623114E-12</v>
      </c>
    </row>
    <row r="78" spans="1:7" ht="11.25" customHeight="1" x14ac:dyDescent="0.2">
      <c r="A78" s="55">
        <v>44409</v>
      </c>
      <c r="B78" s="45">
        <v>0</v>
      </c>
      <c r="C78" s="45">
        <v>-3.4009417504421433E-13</v>
      </c>
      <c r="D78" s="45">
        <v>0</v>
      </c>
      <c r="E78" s="45">
        <v>-3.4009417504421433E-13</v>
      </c>
      <c r="F78" s="45">
        <v>-3.4009417504421433E-13</v>
      </c>
      <c r="G78" s="45">
        <v>-3.4009417504421433E-13</v>
      </c>
    </row>
    <row r="79" spans="1:7" ht="11.25" customHeight="1" x14ac:dyDescent="0.2">
      <c r="A79" s="55">
        <v>44440</v>
      </c>
      <c r="B79" s="45">
        <v>0</v>
      </c>
      <c r="C79" s="45">
        <v>-4.3212367017986255E-13</v>
      </c>
      <c r="D79" s="45">
        <v>0</v>
      </c>
      <c r="E79" s="45">
        <v>-4.3212367017986255E-13</v>
      </c>
      <c r="F79" s="45">
        <v>-4.3212367017986255E-13</v>
      </c>
      <c r="G79" s="45">
        <v>-4.3212367017986255E-13</v>
      </c>
    </row>
    <row r="80" spans="1:7" ht="11.25" customHeight="1" x14ac:dyDescent="0.2">
      <c r="A80" s="55">
        <v>44470</v>
      </c>
      <c r="B80" s="45">
        <v>0</v>
      </c>
      <c r="C80" s="45">
        <v>-2.60854449152248E-13</v>
      </c>
      <c r="D80" s="45">
        <v>0</v>
      </c>
      <c r="E80" s="45">
        <v>-2.60854449152248E-13</v>
      </c>
      <c r="F80" s="45">
        <v>-2.60854449152248E-13</v>
      </c>
      <c r="G80" s="45">
        <v>-2.60854449152248E-13</v>
      </c>
    </row>
    <row r="81" spans="1:7" ht="11.25" customHeight="1" x14ac:dyDescent="0.2">
      <c r="A81" s="55">
        <v>44501</v>
      </c>
      <c r="B81" s="45">
        <v>0</v>
      </c>
      <c r="C81" s="45">
        <v>-2.1321966414689086E-13</v>
      </c>
      <c r="D81" s="45">
        <v>0</v>
      </c>
      <c r="E81" s="45">
        <v>-2.1321966414689086E-13</v>
      </c>
      <c r="F81" s="45">
        <v>-2.1321966414689086E-13</v>
      </c>
      <c r="G81" s="45">
        <v>-2.1321966414689086E-13</v>
      </c>
    </row>
    <row r="82" spans="1:7" ht="11.25" customHeight="1" x14ac:dyDescent="0.2">
      <c r="A82" s="55">
        <v>44531</v>
      </c>
      <c r="B82" s="45">
        <v>0</v>
      </c>
      <c r="C82" s="45">
        <v>-4.2996362026315183E-13</v>
      </c>
      <c r="D82" s="45">
        <v>0</v>
      </c>
      <c r="E82" s="45">
        <v>-4.2996362026315183E-13</v>
      </c>
      <c r="F82" s="45">
        <v>-4.2996362026315183E-13</v>
      </c>
      <c r="G82" s="45">
        <v>-4.2996362026315183E-13</v>
      </c>
    </row>
    <row r="83" spans="1:7" ht="11.25" customHeight="1" x14ac:dyDescent="0.2">
      <c r="A83" s="55">
        <v>44562</v>
      </c>
      <c r="B83" s="45">
        <v>0</v>
      </c>
      <c r="C83" s="45">
        <v>-3.8039615901652725E-13</v>
      </c>
      <c r="D83" s="45">
        <v>0</v>
      </c>
      <c r="E83" s="45">
        <v>-3.8039615901652725E-13</v>
      </c>
      <c r="F83" s="45">
        <v>-3.8039615901652725E-13</v>
      </c>
      <c r="G83" s="45">
        <v>-3.8039615901652725E-13</v>
      </c>
    </row>
    <row r="84" spans="1:7" ht="11.25" customHeight="1" x14ac:dyDescent="0.2">
      <c r="A84" s="55">
        <v>44593</v>
      </c>
      <c r="B84" s="45">
        <v>0</v>
      </c>
      <c r="C84" s="45">
        <v>-9.0551566245267166E-13</v>
      </c>
      <c r="D84" s="45">
        <v>0</v>
      </c>
      <c r="E84" s="45">
        <v>-9.0551566245267166E-13</v>
      </c>
      <c r="F84" s="45">
        <v>-9.0551566245267166E-13</v>
      </c>
      <c r="G84" s="45">
        <v>-9.0551566245267166E-13</v>
      </c>
    </row>
    <row r="85" spans="1:7" ht="11.25" customHeight="1" x14ac:dyDescent="0.2">
      <c r="A85" s="55">
        <v>44621</v>
      </c>
      <c r="B85" s="45">
        <v>0</v>
      </c>
      <c r="C85" s="45">
        <v>-7.0713213062845168E-13</v>
      </c>
      <c r="D85" s="45">
        <v>0</v>
      </c>
      <c r="E85" s="45">
        <v>-7.0713213062845168E-13</v>
      </c>
      <c r="F85" s="45">
        <v>-7.0713213062845168E-13</v>
      </c>
      <c r="G85" s="45">
        <v>-7.0713213062845168E-13</v>
      </c>
    </row>
    <row r="86" spans="1:7" ht="11.25" customHeight="1" x14ac:dyDescent="0.2">
      <c r="A86" s="55">
        <v>44652</v>
      </c>
      <c r="B86" s="45">
        <v>0</v>
      </c>
      <c r="C86" s="45">
        <v>-4.0591885408503003E-13</v>
      </c>
      <c r="D86" s="45">
        <v>0</v>
      </c>
      <c r="E86" s="45">
        <v>-4.0591885408503003E-13</v>
      </c>
      <c r="F86" s="45">
        <v>-4.0591885408503003E-13</v>
      </c>
      <c r="G86" s="45">
        <v>-4.0591885408503003E-13</v>
      </c>
    </row>
    <row r="87" spans="1:7" ht="11.25" customHeight="1" x14ac:dyDescent="0.2">
      <c r="A87" s="55">
        <v>44682</v>
      </c>
      <c r="B87" s="45">
        <v>0</v>
      </c>
      <c r="C87" s="45">
        <v>-3.076934262935538E-13</v>
      </c>
      <c r="D87" s="45">
        <v>0</v>
      </c>
      <c r="E87" s="45">
        <v>-3.076934262935538E-13</v>
      </c>
      <c r="F87" s="45">
        <v>-3.076934262935538E-13</v>
      </c>
      <c r="G87" s="45">
        <v>-3.076934262935538E-13</v>
      </c>
    </row>
    <row r="88" spans="1:7" ht="11.25" customHeight="1" x14ac:dyDescent="0.2">
      <c r="A88" s="55">
        <v>44713</v>
      </c>
      <c r="B88" s="45">
        <v>0</v>
      </c>
      <c r="C88" s="45">
        <v>-3.4776803659042345E-13</v>
      </c>
      <c r="D88" s="45">
        <v>0</v>
      </c>
      <c r="E88" s="45">
        <v>-3.4776803659042345E-13</v>
      </c>
      <c r="F88" s="45">
        <v>-3.4776803659042345E-13</v>
      </c>
      <c r="G88" s="45">
        <v>-3.4776803659042345E-13</v>
      </c>
    </row>
    <row r="89" spans="1:7" ht="11.25" customHeight="1" x14ac:dyDescent="0.2">
      <c r="A89" s="55">
        <v>44743</v>
      </c>
      <c r="B89" s="45">
        <v>0</v>
      </c>
      <c r="C89" s="45">
        <v>-4.9851678340928627E-13</v>
      </c>
      <c r="D89" s="45">
        <v>0</v>
      </c>
      <c r="E89" s="45">
        <v>-4.9851678340928627E-13</v>
      </c>
      <c r="F89" s="45">
        <v>-4.9851678340928627E-13</v>
      </c>
      <c r="G89" s="45">
        <v>-4.9851678340928627E-13</v>
      </c>
    </row>
    <row r="90" spans="1:7" ht="11.25" customHeight="1" x14ac:dyDescent="0.2">
      <c r="A90" s="47" t="s">
        <v>686</v>
      </c>
      <c r="B90" s="45">
        <v>3312561.4208331024</v>
      </c>
      <c r="C90" s="45">
        <v>1218292.8105228622</v>
      </c>
      <c r="D90" s="45">
        <v>4445539.1939597586</v>
      </c>
      <c r="E90" s="45">
        <v>1728417.1959928148</v>
      </c>
      <c r="F90" s="45">
        <v>4530854.2313559651</v>
      </c>
      <c r="G90" s="45">
        <v>6173956.3899525739</v>
      </c>
    </row>
    <row r="91" spans="1:7" ht="11.25" customHeight="1" x14ac:dyDescent="0.2">
      <c r="A91" s="48" t="s">
        <v>61</v>
      </c>
      <c r="B91" s="45">
        <v>266386.28121003188</v>
      </c>
      <c r="C91" s="45">
        <v>0</v>
      </c>
      <c r="D91" s="45">
        <v>359698.52646733128</v>
      </c>
      <c r="E91" s="45">
        <v>0</v>
      </c>
      <c r="F91" s="45">
        <v>266386.28121003188</v>
      </c>
      <c r="G91" s="45">
        <v>359698.52646733128</v>
      </c>
    </row>
    <row r="92" spans="1:7" ht="11.25" customHeight="1" x14ac:dyDescent="0.2">
      <c r="A92" s="49" t="s">
        <v>54</v>
      </c>
      <c r="B92" s="45">
        <v>266386.28121003188</v>
      </c>
      <c r="C92" s="45">
        <v>0</v>
      </c>
      <c r="D92" s="45">
        <v>359698.52646733128</v>
      </c>
      <c r="E92" s="45">
        <v>0</v>
      </c>
      <c r="F92" s="45">
        <v>266386.28121003188</v>
      </c>
      <c r="G92" s="45">
        <v>359698.52646733128</v>
      </c>
    </row>
    <row r="93" spans="1:7" ht="11.25" customHeight="1" x14ac:dyDescent="0.2">
      <c r="A93" s="50" t="s">
        <v>33</v>
      </c>
      <c r="B93" s="45">
        <v>266386.28121003188</v>
      </c>
      <c r="C93" s="45">
        <v>0</v>
      </c>
      <c r="D93" s="45">
        <v>359698.52646733128</v>
      </c>
      <c r="E93" s="45">
        <v>0</v>
      </c>
      <c r="F93" s="45">
        <v>266386.28121003188</v>
      </c>
      <c r="G93" s="45">
        <v>359698.52646733128</v>
      </c>
    </row>
    <row r="94" spans="1:7" ht="11.25" customHeight="1" x14ac:dyDescent="0.2">
      <c r="A94" s="51" t="s">
        <v>25</v>
      </c>
      <c r="B94" s="45">
        <v>266386.28121003188</v>
      </c>
      <c r="C94" s="45">
        <v>0</v>
      </c>
      <c r="D94" s="45">
        <v>359698.52646733128</v>
      </c>
      <c r="E94" s="45">
        <v>0</v>
      </c>
      <c r="F94" s="45">
        <v>266386.28121003188</v>
      </c>
      <c r="G94" s="45">
        <v>359698.52646733128</v>
      </c>
    </row>
    <row r="95" spans="1:7" ht="11.25" customHeight="1" x14ac:dyDescent="0.2">
      <c r="A95" s="52" t="s">
        <v>55</v>
      </c>
      <c r="B95" s="45">
        <v>266386.28121003188</v>
      </c>
      <c r="C95" s="45">
        <v>0</v>
      </c>
      <c r="D95" s="45">
        <v>359698.52646733128</v>
      </c>
      <c r="E95" s="45">
        <v>0</v>
      </c>
      <c r="F95" s="45">
        <v>266386.28121003188</v>
      </c>
      <c r="G95" s="45">
        <v>359698.52646733128</v>
      </c>
    </row>
    <row r="96" spans="1:7" ht="11.25" customHeight="1" x14ac:dyDescent="0.2">
      <c r="A96" s="53" t="s">
        <v>25</v>
      </c>
      <c r="B96" s="45">
        <v>266386.28121003188</v>
      </c>
      <c r="C96" s="45">
        <v>0</v>
      </c>
      <c r="D96" s="45">
        <v>359698.52646733128</v>
      </c>
      <c r="E96" s="45">
        <v>0</v>
      </c>
      <c r="F96" s="45">
        <v>266386.28121003188</v>
      </c>
      <c r="G96" s="45">
        <v>359698.52646733128</v>
      </c>
    </row>
    <row r="97" spans="1:7" ht="11.25" customHeight="1" x14ac:dyDescent="0.2">
      <c r="A97" s="54" t="s">
        <v>37</v>
      </c>
      <c r="B97" s="45">
        <v>103708.10704145815</v>
      </c>
      <c r="C97" s="45">
        <v>0</v>
      </c>
      <c r="D97" s="45">
        <v>137754.2605112665</v>
      </c>
      <c r="E97" s="45">
        <v>0</v>
      </c>
      <c r="F97" s="45">
        <v>103708.10704145815</v>
      </c>
      <c r="G97" s="45">
        <v>137754.2605112665</v>
      </c>
    </row>
    <row r="98" spans="1:7" ht="11.25" customHeight="1" x14ac:dyDescent="0.2">
      <c r="A98" s="55">
        <v>44652</v>
      </c>
      <c r="B98" s="45">
        <v>24047.013052987677</v>
      </c>
      <c r="C98" s="45">
        <v>0</v>
      </c>
      <c r="D98" s="45">
        <v>31941.36500143485</v>
      </c>
      <c r="E98" s="45">
        <v>0</v>
      </c>
      <c r="F98" s="45">
        <v>24047.013052987677</v>
      </c>
      <c r="G98" s="45">
        <v>31941.36500143485</v>
      </c>
    </row>
    <row r="99" spans="1:7" ht="11.25" customHeight="1" x14ac:dyDescent="0.2">
      <c r="A99" s="55">
        <v>44682</v>
      </c>
      <c r="B99" s="45">
        <v>25912.687747951197</v>
      </c>
      <c r="C99" s="45">
        <v>0</v>
      </c>
      <c r="D99" s="45">
        <v>34419.518786042478</v>
      </c>
      <c r="E99" s="45">
        <v>0</v>
      </c>
      <c r="F99" s="45">
        <v>25912.687747951197</v>
      </c>
      <c r="G99" s="45">
        <v>34419.518786042478</v>
      </c>
    </row>
    <row r="100" spans="1:7" ht="11.25" customHeight="1" x14ac:dyDescent="0.2">
      <c r="A100" s="55">
        <v>44713</v>
      </c>
      <c r="B100" s="45">
        <v>25833.625973729278</v>
      </c>
      <c r="C100" s="45">
        <v>0</v>
      </c>
      <c r="D100" s="45">
        <v>34314.501959939422</v>
      </c>
      <c r="E100" s="45">
        <v>0</v>
      </c>
      <c r="F100" s="45">
        <v>25833.625973729278</v>
      </c>
      <c r="G100" s="45">
        <v>34314.501959939422</v>
      </c>
    </row>
    <row r="101" spans="1:7" ht="11.25" customHeight="1" x14ac:dyDescent="0.2">
      <c r="A101" s="55">
        <v>44743</v>
      </c>
      <c r="B101" s="45">
        <v>27914.78026679</v>
      </c>
      <c r="C101" s="45">
        <v>0</v>
      </c>
      <c r="D101" s="45">
        <v>37078.874763849744</v>
      </c>
      <c r="E101" s="45">
        <v>0</v>
      </c>
      <c r="F101" s="45">
        <v>27914.78026679</v>
      </c>
      <c r="G101" s="45">
        <v>37078.874763849744</v>
      </c>
    </row>
    <row r="102" spans="1:7" ht="11.25" customHeight="1" x14ac:dyDescent="0.2">
      <c r="A102" s="54" t="s">
        <v>25</v>
      </c>
      <c r="B102" s="45">
        <v>0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</row>
    <row r="103" spans="1:7" ht="11.25" customHeight="1" x14ac:dyDescent="0.2">
      <c r="A103" s="55">
        <v>44652</v>
      </c>
      <c r="B103" s="45">
        <v>0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</row>
    <row r="104" spans="1:7" ht="11.25" customHeight="1" x14ac:dyDescent="0.2">
      <c r="A104" s="55">
        <v>44682</v>
      </c>
      <c r="B104" s="45">
        <v>0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</row>
    <row r="105" spans="1:7" ht="11.25" customHeight="1" x14ac:dyDescent="0.2">
      <c r="A105" s="55">
        <v>44713</v>
      </c>
      <c r="B105" s="45">
        <v>0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</row>
    <row r="106" spans="1:7" ht="11.25" customHeight="1" x14ac:dyDescent="0.2">
      <c r="A106" s="55">
        <v>44743</v>
      </c>
      <c r="B106" s="45">
        <v>0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</row>
    <row r="107" spans="1:7" ht="11.25" customHeight="1" x14ac:dyDescent="0.2">
      <c r="A107" s="54" t="s">
        <v>36</v>
      </c>
      <c r="B107" s="45">
        <v>162678.17416857375</v>
      </c>
      <c r="C107" s="45">
        <v>0</v>
      </c>
      <c r="D107" s="45">
        <v>221944.26595606474</v>
      </c>
      <c r="E107" s="45">
        <v>0</v>
      </c>
      <c r="F107" s="45">
        <v>162678.17416857375</v>
      </c>
      <c r="G107" s="45">
        <v>221944.26595606474</v>
      </c>
    </row>
    <row r="108" spans="1:7" ht="11.25" customHeight="1" x14ac:dyDescent="0.2">
      <c r="A108" s="55">
        <v>44652</v>
      </c>
      <c r="B108" s="45">
        <v>37749.080691624957</v>
      </c>
      <c r="C108" s="45">
        <v>0</v>
      </c>
      <c r="D108" s="45">
        <v>51501.635344991853</v>
      </c>
      <c r="E108" s="45">
        <v>0</v>
      </c>
      <c r="F108" s="45">
        <v>37749.080691624957</v>
      </c>
      <c r="G108" s="45">
        <v>51501.635344991853</v>
      </c>
    </row>
    <row r="109" spans="1:7" ht="11.25" customHeight="1" x14ac:dyDescent="0.2">
      <c r="A109" s="55">
        <v>44682</v>
      </c>
      <c r="B109" s="45">
        <v>40528.608252975355</v>
      </c>
      <c r="C109" s="45">
        <v>0</v>
      </c>
      <c r="D109" s="45">
        <v>55293.78636624261</v>
      </c>
      <c r="E109" s="45">
        <v>0</v>
      </c>
      <c r="F109" s="45">
        <v>40528.608252975355</v>
      </c>
      <c r="G109" s="45">
        <v>55293.78636624261</v>
      </c>
    </row>
    <row r="110" spans="1:7" ht="11.25" customHeight="1" x14ac:dyDescent="0.2">
      <c r="A110" s="55">
        <v>44713</v>
      </c>
      <c r="B110" s="45">
        <v>40042.752197293441</v>
      </c>
      <c r="C110" s="45">
        <v>0</v>
      </c>
      <c r="D110" s="45">
        <v>54630.925683242254</v>
      </c>
      <c r="E110" s="45">
        <v>0</v>
      </c>
      <c r="F110" s="45">
        <v>40042.752197293441</v>
      </c>
      <c r="G110" s="45">
        <v>54630.925683242254</v>
      </c>
    </row>
    <row r="111" spans="1:7" ht="11.25" customHeight="1" x14ac:dyDescent="0.2">
      <c r="A111" s="55">
        <v>44743</v>
      </c>
      <c r="B111" s="45">
        <v>44357.733026679998</v>
      </c>
      <c r="C111" s="45">
        <v>0</v>
      </c>
      <c r="D111" s="45">
        <v>60517.918561588056</v>
      </c>
      <c r="E111" s="45">
        <v>0</v>
      </c>
      <c r="F111" s="45">
        <v>44357.733026679998</v>
      </c>
      <c r="G111" s="45">
        <v>60517.918561588056</v>
      </c>
    </row>
    <row r="112" spans="1:7" ht="11.25" customHeight="1" x14ac:dyDescent="0.2">
      <c r="A112" s="48" t="s">
        <v>34</v>
      </c>
      <c r="B112" s="45">
        <v>3046175.1396230706</v>
      </c>
      <c r="C112" s="45">
        <v>1218292.8105228622</v>
      </c>
      <c r="D112" s="45">
        <v>4085840.6674924269</v>
      </c>
      <c r="E112" s="45">
        <v>1728417.1959928148</v>
      </c>
      <c r="F112" s="45">
        <v>4264467.9501459328</v>
      </c>
      <c r="G112" s="45">
        <v>5814257.8634852413</v>
      </c>
    </row>
    <row r="113" spans="1:7" ht="11.25" customHeight="1" x14ac:dyDescent="0.2">
      <c r="A113" s="49" t="s">
        <v>54</v>
      </c>
      <c r="B113" s="45">
        <v>1822292.7093693572</v>
      </c>
      <c r="C113" s="45">
        <v>0</v>
      </c>
      <c r="D113" s="45">
        <v>2459872.6358691016</v>
      </c>
      <c r="E113" s="45">
        <v>0</v>
      </c>
      <c r="F113" s="45">
        <v>1822292.7093693572</v>
      </c>
      <c r="G113" s="45">
        <v>2459872.6358691016</v>
      </c>
    </row>
    <row r="114" spans="1:7" ht="11.25" customHeight="1" x14ac:dyDescent="0.2">
      <c r="A114" s="50" t="s">
        <v>33</v>
      </c>
      <c r="B114" s="45">
        <v>1822292.7093693572</v>
      </c>
      <c r="C114" s="45">
        <v>0</v>
      </c>
      <c r="D114" s="45">
        <v>2459872.6358691016</v>
      </c>
      <c r="E114" s="45">
        <v>0</v>
      </c>
      <c r="F114" s="45">
        <v>1822292.7093693572</v>
      </c>
      <c r="G114" s="45">
        <v>2459872.6358691016</v>
      </c>
    </row>
    <row r="115" spans="1:7" ht="11.25" customHeight="1" x14ac:dyDescent="0.2">
      <c r="A115" s="51" t="s">
        <v>25</v>
      </c>
      <c r="B115" s="45">
        <v>1822292.7093693572</v>
      </c>
      <c r="C115" s="45">
        <v>0</v>
      </c>
      <c r="D115" s="45">
        <v>2459872.6358691016</v>
      </c>
      <c r="E115" s="45">
        <v>0</v>
      </c>
      <c r="F115" s="45">
        <v>1822292.7093693572</v>
      </c>
      <c r="G115" s="45">
        <v>2459872.6358691016</v>
      </c>
    </row>
    <row r="116" spans="1:7" ht="11.25" customHeight="1" x14ac:dyDescent="0.2">
      <c r="A116" s="52" t="s">
        <v>55</v>
      </c>
      <c r="B116" s="45">
        <v>1822292.7093693572</v>
      </c>
      <c r="C116" s="45">
        <v>0</v>
      </c>
      <c r="D116" s="45">
        <v>2459872.6358691016</v>
      </c>
      <c r="E116" s="45">
        <v>0</v>
      </c>
      <c r="F116" s="45">
        <v>1822292.7093693572</v>
      </c>
      <c r="G116" s="45">
        <v>2459872.6358691016</v>
      </c>
    </row>
    <row r="117" spans="1:7" ht="11.25" customHeight="1" x14ac:dyDescent="0.2">
      <c r="A117" s="53" t="s">
        <v>25</v>
      </c>
      <c r="B117" s="45">
        <v>1822292.7093693572</v>
      </c>
      <c r="C117" s="45">
        <v>0</v>
      </c>
      <c r="D117" s="45">
        <v>2459872.6358691016</v>
      </c>
      <c r="E117" s="45">
        <v>0</v>
      </c>
      <c r="F117" s="45">
        <v>1822292.7093693572</v>
      </c>
      <c r="G117" s="45">
        <v>2459872.6358691016</v>
      </c>
    </row>
    <row r="118" spans="1:7" ht="11.25" customHeight="1" x14ac:dyDescent="0.2">
      <c r="A118" s="54" t="s">
        <v>37</v>
      </c>
      <c r="B118" s="45">
        <v>730561.1664554415</v>
      </c>
      <c r="C118" s="45">
        <v>0</v>
      </c>
      <c r="D118" s="45">
        <v>970574.51960949192</v>
      </c>
      <c r="E118" s="45">
        <v>0</v>
      </c>
      <c r="F118" s="45">
        <v>730561.1664554415</v>
      </c>
      <c r="G118" s="45">
        <v>970574.51960949192</v>
      </c>
    </row>
    <row r="119" spans="1:7" ht="11.25" customHeight="1" x14ac:dyDescent="0.2">
      <c r="A119" s="55">
        <v>44409</v>
      </c>
      <c r="B119" s="45">
        <v>68862.264198608391</v>
      </c>
      <c r="C119" s="45">
        <v>0</v>
      </c>
      <c r="D119" s="45">
        <v>91485.781153771095</v>
      </c>
      <c r="E119" s="45">
        <v>0</v>
      </c>
      <c r="F119" s="45">
        <v>68862.264198608391</v>
      </c>
      <c r="G119" s="45">
        <v>91485.781153771095</v>
      </c>
    </row>
    <row r="120" spans="1:7" ht="11.25" customHeight="1" x14ac:dyDescent="0.2">
      <c r="A120" s="55">
        <v>44440</v>
      </c>
      <c r="B120" s="45">
        <v>69114.083097887196</v>
      </c>
      <c r="C120" s="45">
        <v>0</v>
      </c>
      <c r="D120" s="45">
        <v>91820.330837518923</v>
      </c>
      <c r="E120" s="45">
        <v>0</v>
      </c>
      <c r="F120" s="45">
        <v>69114.083097887196</v>
      </c>
      <c r="G120" s="45">
        <v>91820.330837518923</v>
      </c>
    </row>
    <row r="121" spans="1:7" ht="11.25" customHeight="1" x14ac:dyDescent="0.2">
      <c r="A121" s="55">
        <v>44470</v>
      </c>
      <c r="B121" s="45">
        <v>69197.462155351197</v>
      </c>
      <c r="C121" s="45">
        <v>0</v>
      </c>
      <c r="D121" s="45">
        <v>91931.102655621769</v>
      </c>
      <c r="E121" s="45">
        <v>0</v>
      </c>
      <c r="F121" s="45">
        <v>69197.462155351197</v>
      </c>
      <c r="G121" s="45">
        <v>91931.102655621769</v>
      </c>
    </row>
    <row r="122" spans="1:7" ht="11.25" customHeight="1" x14ac:dyDescent="0.2">
      <c r="A122" s="55">
        <v>44501</v>
      </c>
      <c r="B122" s="45">
        <v>69070.671157981793</v>
      </c>
      <c r="C122" s="45">
        <v>0</v>
      </c>
      <c r="D122" s="45">
        <v>91762.656648616394</v>
      </c>
      <c r="E122" s="45">
        <v>0</v>
      </c>
      <c r="F122" s="45">
        <v>69070.671157981793</v>
      </c>
      <c r="G122" s="45">
        <v>91762.656648616394</v>
      </c>
    </row>
    <row r="123" spans="1:7" ht="11.25" customHeight="1" x14ac:dyDescent="0.2">
      <c r="A123" s="55">
        <v>44531</v>
      </c>
      <c r="B123" s="45">
        <v>69174.132630085602</v>
      </c>
      <c r="C123" s="45">
        <v>0</v>
      </c>
      <c r="D123" s="45">
        <v>91900.108614579003</v>
      </c>
      <c r="E123" s="45">
        <v>0</v>
      </c>
      <c r="F123" s="45">
        <v>69174.132630085602</v>
      </c>
      <c r="G123" s="45">
        <v>91900.108614579003</v>
      </c>
    </row>
    <row r="124" spans="1:7" ht="11.25" customHeight="1" x14ac:dyDescent="0.2">
      <c r="A124" s="55">
        <v>44562</v>
      </c>
      <c r="B124" s="45">
        <v>68556.444962187597</v>
      </c>
      <c r="C124" s="45">
        <v>0</v>
      </c>
      <c r="D124" s="45">
        <v>91079.490247403068</v>
      </c>
      <c r="E124" s="45">
        <v>0</v>
      </c>
      <c r="F124" s="45">
        <v>68556.444962187597</v>
      </c>
      <c r="G124" s="45">
        <v>91079.490247403068</v>
      </c>
    </row>
    <row r="125" spans="1:7" ht="11.25" customHeight="1" x14ac:dyDescent="0.2">
      <c r="A125" s="55">
        <v>44593</v>
      </c>
      <c r="B125" s="45">
        <v>69028.798772394803</v>
      </c>
      <c r="C125" s="45">
        <v>0</v>
      </c>
      <c r="D125" s="45">
        <v>91707.027808223487</v>
      </c>
      <c r="E125" s="45">
        <v>0</v>
      </c>
      <c r="F125" s="45">
        <v>69028.798772394803</v>
      </c>
      <c r="G125" s="45">
        <v>91707.027808223487</v>
      </c>
    </row>
    <row r="126" spans="1:7" ht="11.25" customHeight="1" x14ac:dyDescent="0.2">
      <c r="A126" s="55">
        <v>44621</v>
      </c>
      <c r="B126" s="45">
        <v>65157.295333139999</v>
      </c>
      <c r="C126" s="45">
        <v>0</v>
      </c>
      <c r="D126" s="45">
        <v>86563.608251785292</v>
      </c>
      <c r="E126" s="45">
        <v>0</v>
      </c>
      <c r="F126" s="45">
        <v>65157.295333139999</v>
      </c>
      <c r="G126" s="45">
        <v>86563.608251785292</v>
      </c>
    </row>
    <row r="127" spans="1:7" ht="11.25" customHeight="1" x14ac:dyDescent="0.2">
      <c r="A127" s="55">
        <v>44652</v>
      </c>
      <c r="B127" s="45">
        <v>65136.206582129991</v>
      </c>
      <c r="C127" s="45">
        <v>0</v>
      </c>
      <c r="D127" s="45">
        <v>86535.591152984358</v>
      </c>
      <c r="E127" s="45">
        <v>0</v>
      </c>
      <c r="F127" s="45">
        <v>65136.206582129991</v>
      </c>
      <c r="G127" s="45">
        <v>86535.591152984358</v>
      </c>
    </row>
    <row r="128" spans="1:7" ht="11.25" customHeight="1" x14ac:dyDescent="0.2">
      <c r="A128" s="55">
        <v>44682</v>
      </c>
      <c r="B128" s="45">
        <v>39280.025275699998</v>
      </c>
      <c r="C128" s="45">
        <v>0</v>
      </c>
      <c r="D128" s="45">
        <v>52184.804521137245</v>
      </c>
      <c r="E128" s="45">
        <v>0</v>
      </c>
      <c r="F128" s="45">
        <v>39280.025275699998</v>
      </c>
      <c r="G128" s="45">
        <v>52184.804521137245</v>
      </c>
    </row>
    <row r="129" spans="1:7" ht="11.25" customHeight="1" x14ac:dyDescent="0.2">
      <c r="A129" s="55">
        <v>44713</v>
      </c>
      <c r="B129" s="45">
        <v>39028.811953874996</v>
      </c>
      <c r="C129" s="45">
        <v>0</v>
      </c>
      <c r="D129" s="45">
        <v>51851.05936693916</v>
      </c>
      <c r="E129" s="45">
        <v>0</v>
      </c>
      <c r="F129" s="45">
        <v>39028.811953874996</v>
      </c>
      <c r="G129" s="45">
        <v>51851.05936693916</v>
      </c>
    </row>
    <row r="130" spans="1:7" ht="11.25" customHeight="1" x14ac:dyDescent="0.2">
      <c r="A130" s="55">
        <v>44743</v>
      </c>
      <c r="B130" s="45">
        <v>38954.970336099999</v>
      </c>
      <c r="C130" s="45">
        <v>0</v>
      </c>
      <c r="D130" s="45">
        <v>51752.958350912151</v>
      </c>
      <c r="E130" s="45">
        <v>0</v>
      </c>
      <c r="F130" s="45">
        <v>38954.970336099999</v>
      </c>
      <c r="G130" s="45">
        <v>51752.958350912151</v>
      </c>
    </row>
    <row r="131" spans="1:7" ht="11.25" customHeight="1" x14ac:dyDescent="0.2">
      <c r="A131" s="54" t="s">
        <v>25</v>
      </c>
      <c r="B131" s="45">
        <v>0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</row>
    <row r="132" spans="1:7" ht="11.25" customHeight="1" x14ac:dyDescent="0.2">
      <c r="A132" s="55">
        <v>44409</v>
      </c>
      <c r="B132" s="45">
        <v>0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</row>
    <row r="133" spans="1:7" ht="11.25" customHeight="1" x14ac:dyDescent="0.2">
      <c r="A133" s="55">
        <v>44440</v>
      </c>
      <c r="B133" s="45">
        <v>0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</row>
    <row r="134" spans="1:7" ht="11.25" customHeight="1" x14ac:dyDescent="0.2">
      <c r="A134" s="55">
        <v>44470</v>
      </c>
      <c r="B134" s="45">
        <v>0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</row>
    <row r="135" spans="1:7" ht="11.25" customHeight="1" x14ac:dyDescent="0.2">
      <c r="A135" s="55">
        <v>44501</v>
      </c>
      <c r="B135" s="45">
        <v>0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</row>
    <row r="136" spans="1:7" ht="11.25" customHeight="1" x14ac:dyDescent="0.2">
      <c r="A136" s="55">
        <v>44531</v>
      </c>
      <c r="B136" s="45">
        <v>0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</row>
    <row r="137" spans="1:7" ht="11.25" customHeight="1" x14ac:dyDescent="0.2">
      <c r="A137" s="55">
        <v>44562</v>
      </c>
      <c r="B137" s="45">
        <v>0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</row>
    <row r="138" spans="1:7" ht="11.25" customHeight="1" x14ac:dyDescent="0.2">
      <c r="A138" s="55">
        <v>44593</v>
      </c>
      <c r="B138" s="45">
        <v>0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</row>
    <row r="139" spans="1:7" ht="11.25" customHeight="1" x14ac:dyDescent="0.2">
      <c r="A139" s="55">
        <v>44621</v>
      </c>
      <c r="B139" s="45">
        <v>0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</row>
    <row r="140" spans="1:7" ht="11.25" customHeight="1" x14ac:dyDescent="0.2">
      <c r="A140" s="55">
        <v>44652</v>
      </c>
      <c r="B140" s="45">
        <v>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</row>
    <row r="141" spans="1:7" ht="11.25" customHeight="1" x14ac:dyDescent="0.2">
      <c r="A141" s="55">
        <v>44682</v>
      </c>
      <c r="B141" s="45">
        <v>0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</row>
    <row r="142" spans="1:7" ht="11.25" customHeight="1" x14ac:dyDescent="0.2">
      <c r="A142" s="55">
        <v>44713</v>
      </c>
      <c r="B142" s="45">
        <v>0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</row>
    <row r="143" spans="1:7" ht="11.25" customHeight="1" x14ac:dyDescent="0.2">
      <c r="A143" s="55">
        <v>44743</v>
      </c>
      <c r="B143" s="45">
        <v>0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</row>
    <row r="144" spans="1:7" ht="11.25" customHeight="1" x14ac:dyDescent="0.2">
      <c r="A144" s="54" t="s">
        <v>36</v>
      </c>
      <c r="B144" s="45">
        <v>1091731.5429139156</v>
      </c>
      <c r="C144" s="45">
        <v>0</v>
      </c>
      <c r="D144" s="45">
        <v>1489298.1162596093</v>
      </c>
      <c r="E144" s="45">
        <v>0</v>
      </c>
      <c r="F144" s="45">
        <v>1091731.5429139156</v>
      </c>
      <c r="G144" s="45">
        <v>1489298.1162596093</v>
      </c>
    </row>
    <row r="145" spans="1:7" ht="11.25" customHeight="1" x14ac:dyDescent="0.2">
      <c r="A145" s="55">
        <v>44409</v>
      </c>
      <c r="B145" s="45">
        <v>105063.296776295</v>
      </c>
      <c r="C145" s="45">
        <v>0</v>
      </c>
      <c r="D145" s="45">
        <v>143323.3023196604</v>
      </c>
      <c r="E145" s="45">
        <v>0</v>
      </c>
      <c r="F145" s="45">
        <v>105063.296776295</v>
      </c>
      <c r="G145" s="45">
        <v>143323.3023196604</v>
      </c>
    </row>
    <row r="146" spans="1:7" ht="11.25" customHeight="1" x14ac:dyDescent="0.2">
      <c r="A146" s="55">
        <v>44440</v>
      </c>
      <c r="B146" s="45">
        <v>105067.6691077854</v>
      </c>
      <c r="C146" s="45">
        <v>0</v>
      </c>
      <c r="D146" s="45">
        <v>143329.26688585305</v>
      </c>
      <c r="E146" s="45">
        <v>0</v>
      </c>
      <c r="F146" s="45">
        <v>105067.6691077854</v>
      </c>
      <c r="G146" s="45">
        <v>143329.26688585305</v>
      </c>
    </row>
    <row r="147" spans="1:7" ht="11.25" customHeight="1" x14ac:dyDescent="0.2">
      <c r="A147" s="55">
        <v>44470</v>
      </c>
      <c r="B147" s="45">
        <v>105596.3486510864</v>
      </c>
      <c r="C147" s="45">
        <v>0</v>
      </c>
      <c r="D147" s="45">
        <v>144050.47115356309</v>
      </c>
      <c r="E147" s="45">
        <v>0</v>
      </c>
      <c r="F147" s="45">
        <v>105596.3486510864</v>
      </c>
      <c r="G147" s="45">
        <v>144050.47115356309</v>
      </c>
    </row>
    <row r="148" spans="1:7" ht="11.25" customHeight="1" x14ac:dyDescent="0.2">
      <c r="A148" s="55">
        <v>44501</v>
      </c>
      <c r="B148" s="45">
        <v>104954.7237574746</v>
      </c>
      <c r="C148" s="45">
        <v>0</v>
      </c>
      <c r="D148" s="45">
        <v>143175.19118972615</v>
      </c>
      <c r="E148" s="45">
        <v>0</v>
      </c>
      <c r="F148" s="45">
        <v>104954.7237574746</v>
      </c>
      <c r="G148" s="45">
        <v>143175.19118972615</v>
      </c>
    </row>
    <row r="149" spans="1:7" ht="11.25" customHeight="1" x14ac:dyDescent="0.2">
      <c r="A149" s="55">
        <v>44531</v>
      </c>
      <c r="B149" s="45">
        <v>104783.70124520791</v>
      </c>
      <c r="C149" s="45">
        <v>0</v>
      </c>
      <c r="D149" s="45">
        <v>142941.88886644898</v>
      </c>
      <c r="E149" s="45">
        <v>0</v>
      </c>
      <c r="F149" s="45">
        <v>104783.70124520791</v>
      </c>
      <c r="G149" s="45">
        <v>142941.88886644898</v>
      </c>
    </row>
    <row r="150" spans="1:7" ht="11.25" customHeight="1" x14ac:dyDescent="0.2">
      <c r="A150" s="55">
        <v>44562</v>
      </c>
      <c r="B150" s="45">
        <v>104454.088453715</v>
      </c>
      <c r="C150" s="45">
        <v>0</v>
      </c>
      <c r="D150" s="45">
        <v>142492.24379330652</v>
      </c>
      <c r="E150" s="45">
        <v>0</v>
      </c>
      <c r="F150" s="45">
        <v>104454.088453715</v>
      </c>
      <c r="G150" s="45">
        <v>142492.24379330652</v>
      </c>
    </row>
    <row r="151" spans="1:7" ht="11.25" customHeight="1" x14ac:dyDescent="0.2">
      <c r="A151" s="55">
        <v>44593</v>
      </c>
      <c r="B151" s="45">
        <v>104990.85622112131</v>
      </c>
      <c r="C151" s="45">
        <v>0</v>
      </c>
      <c r="D151" s="45">
        <v>143224.4817047746</v>
      </c>
      <c r="E151" s="45">
        <v>0</v>
      </c>
      <c r="F151" s="45">
        <v>104990.85622112131</v>
      </c>
      <c r="G151" s="45">
        <v>143224.4817047746</v>
      </c>
    </row>
    <row r="152" spans="1:7" ht="11.25" customHeight="1" x14ac:dyDescent="0.2">
      <c r="A152" s="55">
        <v>44621</v>
      </c>
      <c r="B152" s="45">
        <v>96221.53975711501</v>
      </c>
      <c r="C152" s="45">
        <v>0</v>
      </c>
      <c r="D152" s="45">
        <v>131261.71798735877</v>
      </c>
      <c r="E152" s="45">
        <v>0</v>
      </c>
      <c r="F152" s="45">
        <v>96221.53975711501</v>
      </c>
      <c r="G152" s="45">
        <v>131261.71798735877</v>
      </c>
    </row>
    <row r="153" spans="1:7" ht="11.25" customHeight="1" x14ac:dyDescent="0.2">
      <c r="A153" s="55">
        <v>44652</v>
      </c>
      <c r="B153" s="45">
        <v>96192.327199239997</v>
      </c>
      <c r="C153" s="45">
        <v>0</v>
      </c>
      <c r="D153" s="45">
        <v>131221.86734120245</v>
      </c>
      <c r="E153" s="45">
        <v>0</v>
      </c>
      <c r="F153" s="45">
        <v>96192.327199239997</v>
      </c>
      <c r="G153" s="45">
        <v>131221.86734120245</v>
      </c>
    </row>
    <row r="154" spans="1:7" ht="11.25" customHeight="1" x14ac:dyDescent="0.2">
      <c r="A154" s="55">
        <v>44682</v>
      </c>
      <c r="B154" s="45">
        <v>55089.648691125003</v>
      </c>
      <c r="C154" s="45">
        <v>0</v>
      </c>
      <c r="D154" s="45">
        <v>75151.176636439326</v>
      </c>
      <c r="E154" s="45">
        <v>0</v>
      </c>
      <c r="F154" s="45">
        <v>55089.648691125003</v>
      </c>
      <c r="G154" s="45">
        <v>75151.176636439326</v>
      </c>
    </row>
    <row r="155" spans="1:7" ht="11.25" customHeight="1" x14ac:dyDescent="0.2">
      <c r="A155" s="55">
        <v>44713</v>
      </c>
      <c r="B155" s="45">
        <v>54710.118721875006</v>
      </c>
      <c r="C155" s="45">
        <v>0</v>
      </c>
      <c r="D155" s="45">
        <v>74633.436472259913</v>
      </c>
      <c r="E155" s="45">
        <v>0</v>
      </c>
      <c r="F155" s="45">
        <v>54710.118721875006</v>
      </c>
      <c r="G155" s="45">
        <v>74633.436472259913</v>
      </c>
    </row>
    <row r="156" spans="1:7" ht="11.25" customHeight="1" x14ac:dyDescent="0.2">
      <c r="A156" s="55">
        <v>44743</v>
      </c>
      <c r="B156" s="45">
        <v>54607.224331875004</v>
      </c>
      <c r="C156" s="45">
        <v>0</v>
      </c>
      <c r="D156" s="45">
        <v>74493.071909016042</v>
      </c>
      <c r="E156" s="45">
        <v>0</v>
      </c>
      <c r="F156" s="45">
        <v>54607.224331875004</v>
      </c>
      <c r="G156" s="45">
        <v>74493.071909016042</v>
      </c>
    </row>
    <row r="157" spans="1:7" ht="11.25" customHeight="1" x14ac:dyDescent="0.2">
      <c r="A157" s="49" t="s">
        <v>35</v>
      </c>
      <c r="B157" s="45">
        <v>1223882.4302537127</v>
      </c>
      <c r="C157" s="45">
        <v>1218292.8105228622</v>
      </c>
      <c r="D157" s="45">
        <v>1625968.0316233251</v>
      </c>
      <c r="E157" s="45">
        <v>1728417.1959928148</v>
      </c>
      <c r="F157" s="45">
        <v>2442175.2407765752</v>
      </c>
      <c r="G157" s="45">
        <v>3354385.2276161397</v>
      </c>
    </row>
    <row r="158" spans="1:7" ht="11.25" customHeight="1" x14ac:dyDescent="0.2">
      <c r="A158" s="50" t="s">
        <v>33</v>
      </c>
      <c r="B158" s="45">
        <v>1223882.4302537127</v>
      </c>
      <c r="C158" s="45">
        <v>1218292.8105228622</v>
      </c>
      <c r="D158" s="45">
        <v>1625968.0316233251</v>
      </c>
      <c r="E158" s="45">
        <v>1728417.1959928148</v>
      </c>
      <c r="F158" s="45">
        <v>2442175.2407765752</v>
      </c>
      <c r="G158" s="45">
        <v>3354385.2276161397</v>
      </c>
    </row>
    <row r="159" spans="1:7" ht="11.25" customHeight="1" x14ac:dyDescent="0.2">
      <c r="A159" s="51" t="s">
        <v>25</v>
      </c>
      <c r="B159" s="45">
        <v>1223882.4302537127</v>
      </c>
      <c r="C159" s="45">
        <v>1218292.8105228622</v>
      </c>
      <c r="D159" s="45">
        <v>1625968.0316233251</v>
      </c>
      <c r="E159" s="45">
        <v>1728417.1959928148</v>
      </c>
      <c r="F159" s="45">
        <v>2442175.2407765752</v>
      </c>
      <c r="G159" s="45">
        <v>3354385.2276161397</v>
      </c>
    </row>
    <row r="160" spans="1:7" ht="11.25" customHeight="1" x14ac:dyDescent="0.2">
      <c r="A160" s="52" t="s">
        <v>55</v>
      </c>
      <c r="B160" s="45">
        <v>1223882.4302537127</v>
      </c>
      <c r="C160" s="45">
        <v>1218292.8105228622</v>
      </c>
      <c r="D160" s="45">
        <v>1625968.0316233251</v>
      </c>
      <c r="E160" s="45">
        <v>1728417.1959928148</v>
      </c>
      <c r="F160" s="45">
        <v>2442175.2407765752</v>
      </c>
      <c r="G160" s="45">
        <v>3354385.2276161397</v>
      </c>
    </row>
    <row r="161" spans="1:7" ht="11.25" customHeight="1" x14ac:dyDescent="0.2">
      <c r="A161" s="53" t="s">
        <v>25</v>
      </c>
      <c r="B161" s="45">
        <v>1223882.4302537127</v>
      </c>
      <c r="C161" s="45">
        <v>1218292.8105228622</v>
      </c>
      <c r="D161" s="45">
        <v>1625968.0316233251</v>
      </c>
      <c r="E161" s="45">
        <v>1728417.1959928148</v>
      </c>
      <c r="F161" s="45">
        <v>2442175.2407765752</v>
      </c>
      <c r="G161" s="45">
        <v>3354385.2276161397</v>
      </c>
    </row>
    <row r="162" spans="1:7" ht="11.25" customHeight="1" x14ac:dyDescent="0.2">
      <c r="A162" s="54" t="s">
        <v>37</v>
      </c>
      <c r="B162" s="45">
        <v>0</v>
      </c>
      <c r="C162" s="45">
        <v>0</v>
      </c>
      <c r="D162" s="45">
        <v>0</v>
      </c>
      <c r="E162" s="45">
        <v>0</v>
      </c>
      <c r="F162" s="45">
        <v>0</v>
      </c>
      <c r="G162" s="45">
        <v>0</v>
      </c>
    </row>
    <row r="163" spans="1:7" ht="11.25" customHeight="1" x14ac:dyDescent="0.2">
      <c r="A163" s="55">
        <v>44409</v>
      </c>
      <c r="B163" s="45">
        <v>0</v>
      </c>
      <c r="C163" s="45">
        <v>0</v>
      </c>
      <c r="D163" s="45">
        <v>0</v>
      </c>
      <c r="E163" s="45">
        <v>0</v>
      </c>
      <c r="F163" s="45">
        <v>0</v>
      </c>
      <c r="G163" s="45">
        <v>0</v>
      </c>
    </row>
    <row r="164" spans="1:7" ht="11.25" customHeight="1" x14ac:dyDescent="0.2">
      <c r="A164" s="55">
        <v>44440</v>
      </c>
      <c r="B164" s="45">
        <v>0</v>
      </c>
      <c r="C164" s="45">
        <v>0</v>
      </c>
      <c r="D164" s="45">
        <v>0</v>
      </c>
      <c r="E164" s="45">
        <v>0</v>
      </c>
      <c r="F164" s="45">
        <v>0</v>
      </c>
      <c r="G164" s="45">
        <v>0</v>
      </c>
    </row>
    <row r="165" spans="1:7" ht="11.25" customHeight="1" x14ac:dyDescent="0.2">
      <c r="A165" s="55">
        <v>44470</v>
      </c>
      <c r="B165" s="45">
        <v>0</v>
      </c>
      <c r="C165" s="45">
        <v>0</v>
      </c>
      <c r="D165" s="45">
        <v>0</v>
      </c>
      <c r="E165" s="45">
        <v>0</v>
      </c>
      <c r="F165" s="45">
        <v>0</v>
      </c>
      <c r="G165" s="45">
        <v>0</v>
      </c>
    </row>
    <row r="166" spans="1:7" ht="11.25" customHeight="1" x14ac:dyDescent="0.2">
      <c r="A166" s="55">
        <v>44501</v>
      </c>
      <c r="B166" s="45">
        <v>0</v>
      </c>
      <c r="C166" s="45">
        <v>0</v>
      </c>
      <c r="D166" s="45">
        <v>0</v>
      </c>
      <c r="E166" s="45">
        <v>0</v>
      </c>
      <c r="F166" s="45">
        <v>0</v>
      </c>
      <c r="G166" s="45">
        <v>0</v>
      </c>
    </row>
    <row r="167" spans="1:7" ht="11.25" customHeight="1" x14ac:dyDescent="0.2">
      <c r="A167" s="55">
        <v>44531</v>
      </c>
      <c r="B167" s="45">
        <v>0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</row>
    <row r="168" spans="1:7" ht="11.25" customHeight="1" x14ac:dyDescent="0.2">
      <c r="A168" s="55">
        <v>44562</v>
      </c>
      <c r="B168" s="45">
        <v>0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</row>
    <row r="169" spans="1:7" ht="11.25" customHeight="1" x14ac:dyDescent="0.2">
      <c r="A169" s="55">
        <v>44593</v>
      </c>
      <c r="B169" s="45">
        <v>0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</row>
    <row r="170" spans="1:7" ht="11.25" customHeight="1" x14ac:dyDescent="0.2">
      <c r="A170" s="55">
        <v>44621</v>
      </c>
      <c r="B170" s="45">
        <v>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</row>
    <row r="171" spans="1:7" ht="11.25" customHeight="1" x14ac:dyDescent="0.2">
      <c r="A171" s="55">
        <v>44652</v>
      </c>
      <c r="B171" s="45">
        <v>0</v>
      </c>
      <c r="C171" s="45">
        <v>0</v>
      </c>
      <c r="D171" s="45">
        <v>0</v>
      </c>
      <c r="E171" s="45">
        <v>0</v>
      </c>
      <c r="F171" s="45">
        <v>0</v>
      </c>
      <c r="G171" s="45">
        <v>0</v>
      </c>
    </row>
    <row r="172" spans="1:7" ht="11.25" customHeight="1" x14ac:dyDescent="0.2">
      <c r="A172" s="55">
        <v>44682</v>
      </c>
      <c r="B172" s="45">
        <v>0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</row>
    <row r="173" spans="1:7" ht="11.25" customHeight="1" x14ac:dyDescent="0.2">
      <c r="A173" s="55">
        <v>44713</v>
      </c>
      <c r="B173" s="45">
        <v>0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</row>
    <row r="174" spans="1:7" ht="11.25" customHeight="1" x14ac:dyDescent="0.2">
      <c r="A174" s="55">
        <v>44743</v>
      </c>
      <c r="B174" s="45">
        <v>0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</row>
    <row r="175" spans="1:7" ht="11.25" customHeight="1" x14ac:dyDescent="0.2">
      <c r="A175" s="54" t="s">
        <v>25</v>
      </c>
      <c r="B175" s="45">
        <v>1223882.4302537127</v>
      </c>
      <c r="C175" s="45">
        <v>0</v>
      </c>
      <c r="D175" s="45">
        <v>1625968.0316233251</v>
      </c>
      <c r="E175" s="45">
        <v>0</v>
      </c>
      <c r="F175" s="45">
        <v>1223882.4302537127</v>
      </c>
      <c r="G175" s="45">
        <v>1625968.0316233251</v>
      </c>
    </row>
    <row r="176" spans="1:7" ht="11.25" customHeight="1" x14ac:dyDescent="0.2">
      <c r="A176" s="55">
        <v>44409</v>
      </c>
      <c r="B176" s="45">
        <v>99231.377444566897</v>
      </c>
      <c r="C176" s="45">
        <v>0</v>
      </c>
      <c r="D176" s="45">
        <v>131832.14618528855</v>
      </c>
      <c r="E176" s="45">
        <v>0</v>
      </c>
      <c r="F176" s="45">
        <v>99231.377444566897</v>
      </c>
      <c r="G176" s="45">
        <v>131832.14618528855</v>
      </c>
    </row>
    <row r="177" spans="1:7" ht="11.25" customHeight="1" x14ac:dyDescent="0.2">
      <c r="A177" s="55">
        <v>44440</v>
      </c>
      <c r="B177" s="45">
        <v>99340.084126200381</v>
      </c>
      <c r="C177" s="45">
        <v>0</v>
      </c>
      <c r="D177" s="45">
        <v>131976.56658449574</v>
      </c>
      <c r="E177" s="45">
        <v>0</v>
      </c>
      <c r="F177" s="45">
        <v>99340.084126200381</v>
      </c>
      <c r="G177" s="45">
        <v>131976.56658449574</v>
      </c>
    </row>
    <row r="178" spans="1:7" ht="11.25" customHeight="1" x14ac:dyDescent="0.2">
      <c r="A178" s="55">
        <v>44470</v>
      </c>
      <c r="B178" s="45">
        <v>102960.04723453795</v>
      </c>
      <c r="C178" s="45">
        <v>0</v>
      </c>
      <c r="D178" s="45">
        <v>136785.80654440963</v>
      </c>
      <c r="E178" s="45">
        <v>0</v>
      </c>
      <c r="F178" s="45">
        <v>102960.04723453795</v>
      </c>
      <c r="G178" s="45">
        <v>136785.80654440963</v>
      </c>
    </row>
    <row r="179" spans="1:7" ht="11.25" customHeight="1" x14ac:dyDescent="0.2">
      <c r="A179" s="55">
        <v>44501</v>
      </c>
      <c r="B179" s="45">
        <v>104096.22661229939</v>
      </c>
      <c r="C179" s="45">
        <v>0</v>
      </c>
      <c r="D179" s="45">
        <v>138295.25818842647</v>
      </c>
      <c r="E179" s="45">
        <v>0</v>
      </c>
      <c r="F179" s="45">
        <v>104096.22661229939</v>
      </c>
      <c r="G179" s="45">
        <v>138295.25818842647</v>
      </c>
    </row>
    <row r="180" spans="1:7" ht="11.25" customHeight="1" x14ac:dyDescent="0.2">
      <c r="A180" s="55">
        <v>44531</v>
      </c>
      <c r="B180" s="45">
        <v>103512.295995768</v>
      </c>
      <c r="C180" s="45">
        <v>0</v>
      </c>
      <c r="D180" s="45">
        <v>137519.48717342029</v>
      </c>
      <c r="E180" s="45">
        <v>0</v>
      </c>
      <c r="F180" s="45">
        <v>103512.295995768</v>
      </c>
      <c r="G180" s="45">
        <v>137519.48717342029</v>
      </c>
    </row>
    <row r="181" spans="1:7" ht="11.25" customHeight="1" x14ac:dyDescent="0.2">
      <c r="A181" s="55">
        <v>44562</v>
      </c>
      <c r="B181" s="45">
        <v>103656.7705471649</v>
      </c>
      <c r="C181" s="45">
        <v>0</v>
      </c>
      <c r="D181" s="45">
        <v>137711.42636312314</v>
      </c>
      <c r="E181" s="45">
        <v>0</v>
      </c>
      <c r="F181" s="45">
        <v>103656.7705471649</v>
      </c>
      <c r="G181" s="45">
        <v>137711.42636312314</v>
      </c>
    </row>
    <row r="182" spans="1:7" ht="11.25" customHeight="1" x14ac:dyDescent="0.2">
      <c r="A182" s="55">
        <v>44593</v>
      </c>
      <c r="B182" s="45">
        <v>102132.62234027819</v>
      </c>
      <c r="C182" s="45">
        <v>0</v>
      </c>
      <c r="D182" s="45">
        <v>135686.54537897499</v>
      </c>
      <c r="E182" s="45">
        <v>0</v>
      </c>
      <c r="F182" s="45">
        <v>102132.62234027819</v>
      </c>
      <c r="G182" s="45">
        <v>135686.54537897499</v>
      </c>
    </row>
    <row r="183" spans="1:7" ht="11.25" customHeight="1" x14ac:dyDescent="0.2">
      <c r="A183" s="55">
        <v>44621</v>
      </c>
      <c r="B183" s="45">
        <v>101248.38703460249</v>
      </c>
      <c r="C183" s="45">
        <v>0</v>
      </c>
      <c r="D183" s="45">
        <v>134511.80971489381</v>
      </c>
      <c r="E183" s="45">
        <v>0</v>
      </c>
      <c r="F183" s="45">
        <v>101248.38703460249</v>
      </c>
      <c r="G183" s="45">
        <v>134511.80971489381</v>
      </c>
    </row>
    <row r="184" spans="1:7" ht="11.25" customHeight="1" x14ac:dyDescent="0.2">
      <c r="A184" s="55">
        <v>44652</v>
      </c>
      <c r="B184" s="45">
        <v>102036.809899017</v>
      </c>
      <c r="C184" s="45">
        <v>0</v>
      </c>
      <c r="D184" s="45">
        <v>135559.25540187303</v>
      </c>
      <c r="E184" s="45">
        <v>0</v>
      </c>
      <c r="F184" s="45">
        <v>102036.809899017</v>
      </c>
      <c r="G184" s="45">
        <v>135559.25540187303</v>
      </c>
    </row>
    <row r="185" spans="1:7" ht="11.25" customHeight="1" x14ac:dyDescent="0.2">
      <c r="A185" s="55">
        <v>44682</v>
      </c>
      <c r="B185" s="45">
        <v>102218.5305475848</v>
      </c>
      <c r="C185" s="45">
        <v>0</v>
      </c>
      <c r="D185" s="45">
        <v>135800.67725576455</v>
      </c>
      <c r="E185" s="45">
        <v>0</v>
      </c>
      <c r="F185" s="45">
        <v>102218.5305475848</v>
      </c>
      <c r="G185" s="45">
        <v>135800.67725576455</v>
      </c>
    </row>
    <row r="186" spans="1:7" ht="11.25" customHeight="1" x14ac:dyDescent="0.2">
      <c r="A186" s="55">
        <v>44713</v>
      </c>
      <c r="B186" s="45">
        <v>100987.84011701799</v>
      </c>
      <c r="C186" s="45">
        <v>0</v>
      </c>
      <c r="D186" s="45">
        <v>134165.66457197958</v>
      </c>
      <c r="E186" s="45">
        <v>0</v>
      </c>
      <c r="F186" s="45">
        <v>100987.84011701799</v>
      </c>
      <c r="G186" s="45">
        <v>134165.66457197958</v>
      </c>
    </row>
    <row r="187" spans="1:7" ht="11.25" customHeight="1" x14ac:dyDescent="0.2">
      <c r="A187" s="55">
        <v>44743</v>
      </c>
      <c r="B187" s="45">
        <v>102461.43835467465</v>
      </c>
      <c r="C187" s="45">
        <v>0</v>
      </c>
      <c r="D187" s="45">
        <v>136123.38826067533</v>
      </c>
      <c r="E187" s="45">
        <v>0</v>
      </c>
      <c r="F187" s="45">
        <v>102461.43835467465</v>
      </c>
      <c r="G187" s="45">
        <v>136123.38826067533</v>
      </c>
    </row>
    <row r="188" spans="1:7" ht="11.25" customHeight="1" x14ac:dyDescent="0.2">
      <c r="A188" s="54" t="s">
        <v>36</v>
      </c>
      <c r="B188" s="45">
        <v>0</v>
      </c>
      <c r="C188" s="45">
        <v>1218292.8105228622</v>
      </c>
      <c r="D188" s="45">
        <v>0</v>
      </c>
      <c r="E188" s="45">
        <v>1728417.1959928148</v>
      </c>
      <c r="F188" s="45">
        <v>1218292.8105228622</v>
      </c>
      <c r="G188" s="45">
        <v>1728417.1959928148</v>
      </c>
    </row>
    <row r="189" spans="1:7" ht="11.25" customHeight="1" x14ac:dyDescent="0.2">
      <c r="A189" s="55">
        <v>44409</v>
      </c>
      <c r="B189" s="45">
        <v>0</v>
      </c>
      <c r="C189" s="45">
        <v>125436.66601643589</v>
      </c>
      <c r="D189" s="45">
        <v>0</v>
      </c>
      <c r="E189" s="45">
        <v>177959.59122320273</v>
      </c>
      <c r="F189" s="45">
        <v>125436.66601643589</v>
      </c>
      <c r="G189" s="45">
        <v>177959.59122320273</v>
      </c>
    </row>
    <row r="190" spans="1:7" ht="11.25" customHeight="1" x14ac:dyDescent="0.2">
      <c r="A190" s="55">
        <v>44440</v>
      </c>
      <c r="B190" s="45">
        <v>0</v>
      </c>
      <c r="C190" s="45">
        <v>110949.43984816036</v>
      </c>
      <c r="D190" s="45">
        <v>0</v>
      </c>
      <c r="E190" s="45">
        <v>157406.26396459568</v>
      </c>
      <c r="F190" s="45">
        <v>110949.43984816036</v>
      </c>
      <c r="G190" s="45">
        <v>157406.26396459568</v>
      </c>
    </row>
    <row r="191" spans="1:7" ht="11.25" customHeight="1" x14ac:dyDescent="0.2">
      <c r="A191" s="55">
        <v>44470</v>
      </c>
      <c r="B191" s="45">
        <v>0</v>
      </c>
      <c r="C191" s="45">
        <v>119290.78092999694</v>
      </c>
      <c r="D191" s="45">
        <v>0</v>
      </c>
      <c r="E191" s="45">
        <v>169240.29699750844</v>
      </c>
      <c r="F191" s="45">
        <v>119290.78092999694</v>
      </c>
      <c r="G191" s="45">
        <v>169240.29699750844</v>
      </c>
    </row>
    <row r="192" spans="1:7" ht="11.25" customHeight="1" x14ac:dyDescent="0.2">
      <c r="A192" s="55">
        <v>44501</v>
      </c>
      <c r="B192" s="45">
        <v>0</v>
      </c>
      <c r="C192" s="45">
        <v>111412.04273498495</v>
      </c>
      <c r="D192" s="45">
        <v>0</v>
      </c>
      <c r="E192" s="45">
        <v>158062.5682434992</v>
      </c>
      <c r="F192" s="45">
        <v>111412.04273498495</v>
      </c>
      <c r="G192" s="45">
        <v>158062.5682434992</v>
      </c>
    </row>
    <row r="193" spans="1:7" ht="11.25" customHeight="1" x14ac:dyDescent="0.2">
      <c r="A193" s="55">
        <v>44531</v>
      </c>
      <c r="B193" s="45">
        <v>0</v>
      </c>
      <c r="C193" s="45">
        <v>96908.958635910269</v>
      </c>
      <c r="D193" s="45">
        <v>0</v>
      </c>
      <c r="E193" s="45">
        <v>137486.74301063723</v>
      </c>
      <c r="F193" s="45">
        <v>96908.958635910269</v>
      </c>
      <c r="G193" s="45">
        <v>137486.74301063723</v>
      </c>
    </row>
    <row r="194" spans="1:7" ht="11.25" customHeight="1" x14ac:dyDescent="0.2">
      <c r="A194" s="55">
        <v>44562</v>
      </c>
      <c r="B194" s="45">
        <v>0</v>
      </c>
      <c r="C194" s="45">
        <v>90046.524976220302</v>
      </c>
      <c r="D194" s="45">
        <v>0</v>
      </c>
      <c r="E194" s="45">
        <v>127750.86651090025</v>
      </c>
      <c r="F194" s="45">
        <v>90046.524976220302</v>
      </c>
      <c r="G194" s="45">
        <v>127750.86651090025</v>
      </c>
    </row>
    <row r="195" spans="1:7" ht="11.25" customHeight="1" x14ac:dyDescent="0.2">
      <c r="A195" s="55">
        <v>44593</v>
      </c>
      <c r="B195" s="45">
        <v>0</v>
      </c>
      <c r="C195" s="45">
        <v>89040.04544516532</v>
      </c>
      <c r="D195" s="45">
        <v>0</v>
      </c>
      <c r="E195" s="45">
        <v>126322.95319329346</v>
      </c>
      <c r="F195" s="45">
        <v>89040.04544516532</v>
      </c>
      <c r="G195" s="45">
        <v>126322.95319329346</v>
      </c>
    </row>
    <row r="196" spans="1:7" ht="11.25" customHeight="1" x14ac:dyDescent="0.2">
      <c r="A196" s="55">
        <v>44621</v>
      </c>
      <c r="B196" s="45">
        <v>0</v>
      </c>
      <c r="C196" s="45">
        <v>96893.459257101524</v>
      </c>
      <c r="D196" s="45">
        <v>0</v>
      </c>
      <c r="E196" s="45">
        <v>137464.7537215034</v>
      </c>
      <c r="F196" s="45">
        <v>96893.459257101524</v>
      </c>
      <c r="G196" s="45">
        <v>137464.7537215034</v>
      </c>
    </row>
    <row r="197" spans="1:7" ht="11.25" customHeight="1" x14ac:dyDescent="0.2">
      <c r="A197" s="55">
        <v>44652</v>
      </c>
      <c r="B197" s="45">
        <v>0</v>
      </c>
      <c r="C197" s="45">
        <v>83759.481151449509</v>
      </c>
      <c r="D197" s="45">
        <v>0</v>
      </c>
      <c r="E197" s="45">
        <v>118831.30746496731</v>
      </c>
      <c r="F197" s="45">
        <v>83759.481151449509</v>
      </c>
      <c r="G197" s="45">
        <v>118831.30746496731</v>
      </c>
    </row>
    <row r="198" spans="1:7" ht="11.25" customHeight="1" x14ac:dyDescent="0.2">
      <c r="A198" s="55">
        <v>44682</v>
      </c>
      <c r="B198" s="45">
        <v>0</v>
      </c>
      <c r="C198" s="45">
        <v>100437.61214690947</v>
      </c>
      <c r="D198" s="45">
        <v>0</v>
      </c>
      <c r="E198" s="45">
        <v>142492.91669436265</v>
      </c>
      <c r="F198" s="45">
        <v>100437.61214690947</v>
      </c>
      <c r="G198" s="45">
        <v>142492.91669436265</v>
      </c>
    </row>
    <row r="199" spans="1:7" ht="11.25" customHeight="1" x14ac:dyDescent="0.2">
      <c r="A199" s="55">
        <v>44713</v>
      </c>
      <c r="B199" s="45">
        <v>0</v>
      </c>
      <c r="C199" s="45">
        <v>97730.839014634301</v>
      </c>
      <c r="D199" s="45">
        <v>0</v>
      </c>
      <c r="E199" s="45">
        <v>138652.76169462342</v>
      </c>
      <c r="F199" s="45">
        <v>97730.839014634301</v>
      </c>
      <c r="G199" s="45">
        <v>138652.76169462342</v>
      </c>
    </row>
    <row r="200" spans="1:7" ht="11.25" customHeight="1" x14ac:dyDescent="0.2">
      <c r="A200" s="55">
        <v>44743</v>
      </c>
      <c r="B200" s="45">
        <v>0</v>
      </c>
      <c r="C200" s="45">
        <v>96386.960365893421</v>
      </c>
      <c r="D200" s="45">
        <v>0</v>
      </c>
      <c r="E200" s="45">
        <v>136746.17327372119</v>
      </c>
      <c r="F200" s="45">
        <v>96386.960365893421</v>
      </c>
      <c r="G200" s="45">
        <v>136746.17327372119</v>
      </c>
    </row>
    <row r="201" spans="1:7" ht="11.25" customHeight="1" x14ac:dyDescent="0.2">
      <c r="A201" s="47" t="s">
        <v>687</v>
      </c>
      <c r="B201" s="45">
        <v>114840</v>
      </c>
      <c r="C201" s="45">
        <v>0</v>
      </c>
      <c r="D201" s="45">
        <v>142416.99507368947</v>
      </c>
      <c r="E201" s="45">
        <v>0</v>
      </c>
      <c r="F201" s="45">
        <v>114840</v>
      </c>
      <c r="G201" s="45">
        <v>142416.99507368947</v>
      </c>
    </row>
    <row r="202" spans="1:7" ht="11.25" customHeight="1" x14ac:dyDescent="0.2">
      <c r="A202" s="48" t="s">
        <v>34</v>
      </c>
      <c r="B202" s="45">
        <v>114840</v>
      </c>
      <c r="C202" s="45">
        <v>0</v>
      </c>
      <c r="D202" s="45">
        <v>142416.99507368947</v>
      </c>
      <c r="E202" s="45">
        <v>0</v>
      </c>
      <c r="F202" s="45">
        <v>114840</v>
      </c>
      <c r="G202" s="45">
        <v>142416.99507368947</v>
      </c>
    </row>
    <row r="203" spans="1:7" ht="11.25" customHeight="1" x14ac:dyDescent="0.2">
      <c r="A203" s="49" t="s">
        <v>57</v>
      </c>
      <c r="B203" s="45">
        <v>114840</v>
      </c>
      <c r="C203" s="45">
        <v>0</v>
      </c>
      <c r="D203" s="45">
        <v>142416.99507368947</v>
      </c>
      <c r="E203" s="45">
        <v>0</v>
      </c>
      <c r="F203" s="45">
        <v>114840</v>
      </c>
      <c r="G203" s="45">
        <v>142416.99507368947</v>
      </c>
    </row>
    <row r="204" spans="1:7" ht="11.25" customHeight="1" x14ac:dyDescent="0.2">
      <c r="A204" s="50" t="s">
        <v>25</v>
      </c>
      <c r="B204" s="45">
        <v>114840</v>
      </c>
      <c r="C204" s="45">
        <v>0</v>
      </c>
      <c r="D204" s="45">
        <v>142416.99507368947</v>
      </c>
      <c r="E204" s="45">
        <v>0</v>
      </c>
      <c r="F204" s="45">
        <v>114840</v>
      </c>
      <c r="G204" s="45">
        <v>142416.99507368947</v>
      </c>
    </row>
    <row r="205" spans="1:7" ht="11.25" customHeight="1" x14ac:dyDescent="0.2">
      <c r="A205" s="51" t="s">
        <v>25</v>
      </c>
      <c r="B205" s="45">
        <v>114840</v>
      </c>
      <c r="C205" s="45">
        <v>0</v>
      </c>
      <c r="D205" s="45">
        <v>142416.99507368947</v>
      </c>
      <c r="E205" s="45">
        <v>0</v>
      </c>
      <c r="F205" s="45">
        <v>114840</v>
      </c>
      <c r="G205" s="45">
        <v>142416.99507368947</v>
      </c>
    </row>
    <row r="206" spans="1:7" ht="11.25" customHeight="1" x14ac:dyDescent="0.2">
      <c r="A206" s="52" t="s">
        <v>25</v>
      </c>
      <c r="B206" s="45">
        <v>114840</v>
      </c>
      <c r="C206" s="45">
        <v>0</v>
      </c>
      <c r="D206" s="45">
        <v>142416.99507368947</v>
      </c>
      <c r="E206" s="45">
        <v>0</v>
      </c>
      <c r="F206" s="45">
        <v>114840</v>
      </c>
      <c r="G206" s="45">
        <v>142416.99507368947</v>
      </c>
    </row>
    <row r="207" spans="1:7" ht="11.25" customHeight="1" x14ac:dyDescent="0.2">
      <c r="A207" s="53" t="s">
        <v>58</v>
      </c>
      <c r="B207" s="45">
        <v>62640</v>
      </c>
      <c r="C207" s="45">
        <v>0</v>
      </c>
      <c r="D207" s="45">
        <v>77681.99731292155</v>
      </c>
      <c r="E207" s="45">
        <v>0</v>
      </c>
      <c r="F207" s="45">
        <v>62640</v>
      </c>
      <c r="G207" s="45">
        <v>77681.99731292155</v>
      </c>
    </row>
    <row r="208" spans="1:7" ht="11.25" customHeight="1" x14ac:dyDescent="0.2">
      <c r="A208" s="54" t="s">
        <v>25</v>
      </c>
      <c r="B208" s="45">
        <v>62640</v>
      </c>
      <c r="C208" s="45">
        <v>0</v>
      </c>
      <c r="D208" s="45">
        <v>77681.99731292155</v>
      </c>
      <c r="E208" s="45">
        <v>0</v>
      </c>
      <c r="F208" s="45">
        <v>62640</v>
      </c>
      <c r="G208" s="45">
        <v>77681.99731292155</v>
      </c>
    </row>
    <row r="209" spans="1:7" ht="11.25" customHeight="1" x14ac:dyDescent="0.2">
      <c r="A209" s="55">
        <v>44409</v>
      </c>
      <c r="B209" s="45">
        <v>5220</v>
      </c>
      <c r="C209" s="45">
        <v>0</v>
      </c>
      <c r="D209" s="45">
        <v>6473.4997760767956</v>
      </c>
      <c r="E209" s="45">
        <v>0</v>
      </c>
      <c r="F209" s="45">
        <v>5220</v>
      </c>
      <c r="G209" s="45">
        <v>6473.4997760767956</v>
      </c>
    </row>
    <row r="210" spans="1:7" ht="11.25" customHeight="1" x14ac:dyDescent="0.2">
      <c r="A210" s="55">
        <v>44440</v>
      </c>
      <c r="B210" s="45">
        <v>5220</v>
      </c>
      <c r="C210" s="45">
        <v>0</v>
      </c>
      <c r="D210" s="45">
        <v>6473.4997760767956</v>
      </c>
      <c r="E210" s="45">
        <v>0</v>
      </c>
      <c r="F210" s="45">
        <v>5220</v>
      </c>
      <c r="G210" s="45">
        <v>6473.4997760767956</v>
      </c>
    </row>
    <row r="211" spans="1:7" ht="11.25" customHeight="1" x14ac:dyDescent="0.2">
      <c r="A211" s="55">
        <v>44470</v>
      </c>
      <c r="B211" s="45">
        <v>5220</v>
      </c>
      <c r="C211" s="45">
        <v>0</v>
      </c>
      <c r="D211" s="45">
        <v>6473.4997760767956</v>
      </c>
      <c r="E211" s="45">
        <v>0</v>
      </c>
      <c r="F211" s="45">
        <v>5220</v>
      </c>
      <c r="G211" s="45">
        <v>6473.4997760767956</v>
      </c>
    </row>
    <row r="212" spans="1:7" ht="11.25" customHeight="1" x14ac:dyDescent="0.2">
      <c r="A212" s="55">
        <v>44501</v>
      </c>
      <c r="B212" s="45">
        <v>5220</v>
      </c>
      <c r="C212" s="45">
        <v>0</v>
      </c>
      <c r="D212" s="45">
        <v>6473.4997760767956</v>
      </c>
      <c r="E212" s="45">
        <v>0</v>
      </c>
      <c r="F212" s="45">
        <v>5220</v>
      </c>
      <c r="G212" s="45">
        <v>6473.4997760767956</v>
      </c>
    </row>
    <row r="213" spans="1:7" ht="11.25" customHeight="1" x14ac:dyDescent="0.2">
      <c r="A213" s="55">
        <v>44531</v>
      </c>
      <c r="B213" s="45">
        <v>5220</v>
      </c>
      <c r="C213" s="45">
        <v>0</v>
      </c>
      <c r="D213" s="45">
        <v>6473.4997760767956</v>
      </c>
      <c r="E213" s="45">
        <v>0</v>
      </c>
      <c r="F213" s="45">
        <v>5220</v>
      </c>
      <c r="G213" s="45">
        <v>6473.4997760767956</v>
      </c>
    </row>
    <row r="214" spans="1:7" ht="11.25" customHeight="1" x14ac:dyDescent="0.2">
      <c r="A214" s="55">
        <v>44562</v>
      </c>
      <c r="B214" s="45">
        <v>5220</v>
      </c>
      <c r="C214" s="45">
        <v>0</v>
      </c>
      <c r="D214" s="45">
        <v>6473.4997760767956</v>
      </c>
      <c r="E214" s="45">
        <v>0</v>
      </c>
      <c r="F214" s="45">
        <v>5220</v>
      </c>
      <c r="G214" s="45">
        <v>6473.4997760767956</v>
      </c>
    </row>
    <row r="215" spans="1:7" ht="11.25" customHeight="1" x14ac:dyDescent="0.2">
      <c r="A215" s="55">
        <v>44593</v>
      </c>
      <c r="B215" s="45">
        <v>5220</v>
      </c>
      <c r="C215" s="45">
        <v>0</v>
      </c>
      <c r="D215" s="45">
        <v>6473.4997760767956</v>
      </c>
      <c r="E215" s="45">
        <v>0</v>
      </c>
      <c r="F215" s="45">
        <v>5220</v>
      </c>
      <c r="G215" s="45">
        <v>6473.4997760767956</v>
      </c>
    </row>
    <row r="216" spans="1:7" ht="11.25" customHeight="1" x14ac:dyDescent="0.2">
      <c r="A216" s="55">
        <v>44621</v>
      </c>
      <c r="B216" s="45">
        <v>5220</v>
      </c>
      <c r="C216" s="45">
        <v>0</v>
      </c>
      <c r="D216" s="45">
        <v>6473.4997760767956</v>
      </c>
      <c r="E216" s="45">
        <v>0</v>
      </c>
      <c r="F216" s="45">
        <v>5220</v>
      </c>
      <c r="G216" s="45">
        <v>6473.4997760767956</v>
      </c>
    </row>
    <row r="217" spans="1:7" ht="11.25" customHeight="1" x14ac:dyDescent="0.2">
      <c r="A217" s="55">
        <v>44652</v>
      </c>
      <c r="B217" s="45">
        <v>5220</v>
      </c>
      <c r="C217" s="45">
        <v>0</v>
      </c>
      <c r="D217" s="45">
        <v>6473.4997760767956</v>
      </c>
      <c r="E217" s="45">
        <v>0</v>
      </c>
      <c r="F217" s="45">
        <v>5220</v>
      </c>
      <c r="G217" s="45">
        <v>6473.4997760767956</v>
      </c>
    </row>
    <row r="218" spans="1:7" ht="11.25" customHeight="1" x14ac:dyDescent="0.2">
      <c r="A218" s="55">
        <v>44682</v>
      </c>
      <c r="B218" s="45">
        <v>5220</v>
      </c>
      <c r="C218" s="45">
        <v>0</v>
      </c>
      <c r="D218" s="45">
        <v>6473.4997760767956</v>
      </c>
      <c r="E218" s="45">
        <v>0</v>
      </c>
      <c r="F218" s="45">
        <v>5220</v>
      </c>
      <c r="G218" s="45">
        <v>6473.4997760767956</v>
      </c>
    </row>
    <row r="219" spans="1:7" ht="11.25" customHeight="1" x14ac:dyDescent="0.2">
      <c r="A219" s="55">
        <v>44713</v>
      </c>
      <c r="B219" s="45">
        <v>5220</v>
      </c>
      <c r="C219" s="45">
        <v>0</v>
      </c>
      <c r="D219" s="45">
        <v>6473.4997760767956</v>
      </c>
      <c r="E219" s="45">
        <v>0</v>
      </c>
      <c r="F219" s="45">
        <v>5220</v>
      </c>
      <c r="G219" s="45">
        <v>6473.4997760767956</v>
      </c>
    </row>
    <row r="220" spans="1:7" ht="11.25" customHeight="1" x14ac:dyDescent="0.2">
      <c r="A220" s="55">
        <v>44743</v>
      </c>
      <c r="B220" s="45">
        <v>5220</v>
      </c>
      <c r="C220" s="45">
        <v>0</v>
      </c>
      <c r="D220" s="45">
        <v>6473.4997760767956</v>
      </c>
      <c r="E220" s="45">
        <v>0</v>
      </c>
      <c r="F220" s="45">
        <v>5220</v>
      </c>
      <c r="G220" s="45">
        <v>6473.4997760767956</v>
      </c>
    </row>
    <row r="221" spans="1:7" ht="11.25" customHeight="1" x14ac:dyDescent="0.2">
      <c r="A221" s="53" t="s">
        <v>60</v>
      </c>
      <c r="B221" s="45">
        <v>52200</v>
      </c>
      <c r="C221" s="45">
        <v>0</v>
      </c>
      <c r="D221" s="45">
        <v>64734.997760767954</v>
      </c>
      <c r="E221" s="45">
        <v>0</v>
      </c>
      <c r="F221" s="45">
        <v>52200</v>
      </c>
      <c r="G221" s="45">
        <v>64734.997760767954</v>
      </c>
    </row>
    <row r="222" spans="1:7" ht="11.25" customHeight="1" x14ac:dyDescent="0.2">
      <c r="A222" s="54" t="s">
        <v>25</v>
      </c>
      <c r="B222" s="45">
        <v>52200</v>
      </c>
      <c r="C222" s="45">
        <v>0</v>
      </c>
      <c r="D222" s="45">
        <v>64734.997760767954</v>
      </c>
      <c r="E222" s="45">
        <v>0</v>
      </c>
      <c r="F222" s="45">
        <v>52200</v>
      </c>
      <c r="G222" s="45">
        <v>64734.997760767954</v>
      </c>
    </row>
    <row r="223" spans="1:7" ht="11.25" customHeight="1" x14ac:dyDescent="0.2">
      <c r="A223" s="55">
        <v>44409</v>
      </c>
      <c r="B223" s="45">
        <v>4350</v>
      </c>
      <c r="C223" s="45">
        <v>0</v>
      </c>
      <c r="D223" s="45">
        <v>5394.5831467306625</v>
      </c>
      <c r="E223" s="45">
        <v>0</v>
      </c>
      <c r="F223" s="45">
        <v>4350</v>
      </c>
      <c r="G223" s="45">
        <v>5394.5831467306625</v>
      </c>
    </row>
    <row r="224" spans="1:7" ht="11.25" customHeight="1" x14ac:dyDescent="0.2">
      <c r="A224" s="55">
        <v>44440</v>
      </c>
      <c r="B224" s="45">
        <v>4350</v>
      </c>
      <c r="C224" s="45">
        <v>0</v>
      </c>
      <c r="D224" s="45">
        <v>5394.5831467306625</v>
      </c>
      <c r="E224" s="45">
        <v>0</v>
      </c>
      <c r="F224" s="45">
        <v>4350</v>
      </c>
      <c r="G224" s="45">
        <v>5394.5831467306625</v>
      </c>
    </row>
    <row r="225" spans="1:7" ht="11.25" customHeight="1" x14ac:dyDescent="0.2">
      <c r="A225" s="55">
        <v>44470</v>
      </c>
      <c r="B225" s="45">
        <v>4350</v>
      </c>
      <c r="C225" s="45">
        <v>0</v>
      </c>
      <c r="D225" s="45">
        <v>5394.5831467306625</v>
      </c>
      <c r="E225" s="45">
        <v>0</v>
      </c>
      <c r="F225" s="45">
        <v>4350</v>
      </c>
      <c r="G225" s="45">
        <v>5394.5831467306625</v>
      </c>
    </row>
    <row r="226" spans="1:7" ht="11.25" customHeight="1" x14ac:dyDescent="0.2">
      <c r="A226" s="55">
        <v>44501</v>
      </c>
      <c r="B226" s="45">
        <v>4350</v>
      </c>
      <c r="C226" s="45">
        <v>0</v>
      </c>
      <c r="D226" s="45">
        <v>5394.5831467306625</v>
      </c>
      <c r="E226" s="45">
        <v>0</v>
      </c>
      <c r="F226" s="45">
        <v>4350</v>
      </c>
      <c r="G226" s="45">
        <v>5394.5831467306625</v>
      </c>
    </row>
    <row r="227" spans="1:7" ht="11.25" customHeight="1" x14ac:dyDescent="0.2">
      <c r="A227" s="55">
        <v>44531</v>
      </c>
      <c r="B227" s="45">
        <v>4350</v>
      </c>
      <c r="C227" s="45">
        <v>0</v>
      </c>
      <c r="D227" s="45">
        <v>5394.5831467306625</v>
      </c>
      <c r="E227" s="45">
        <v>0</v>
      </c>
      <c r="F227" s="45">
        <v>4350</v>
      </c>
      <c r="G227" s="45">
        <v>5394.5831467306625</v>
      </c>
    </row>
    <row r="228" spans="1:7" ht="11.25" customHeight="1" x14ac:dyDescent="0.2">
      <c r="A228" s="55">
        <v>44562</v>
      </c>
      <c r="B228" s="45">
        <v>4350</v>
      </c>
      <c r="C228" s="45">
        <v>0</v>
      </c>
      <c r="D228" s="45">
        <v>5394.5831467306625</v>
      </c>
      <c r="E228" s="45">
        <v>0</v>
      </c>
      <c r="F228" s="45">
        <v>4350</v>
      </c>
      <c r="G228" s="45">
        <v>5394.5831467306625</v>
      </c>
    </row>
    <row r="229" spans="1:7" ht="11.25" customHeight="1" x14ac:dyDescent="0.2">
      <c r="A229" s="55">
        <v>44593</v>
      </c>
      <c r="B229" s="45">
        <v>4350</v>
      </c>
      <c r="C229" s="45">
        <v>0</v>
      </c>
      <c r="D229" s="45">
        <v>5394.5831467306625</v>
      </c>
      <c r="E229" s="45">
        <v>0</v>
      </c>
      <c r="F229" s="45">
        <v>4350</v>
      </c>
      <c r="G229" s="45">
        <v>5394.5831467306625</v>
      </c>
    </row>
    <row r="230" spans="1:7" ht="11.25" customHeight="1" x14ac:dyDescent="0.2">
      <c r="A230" s="55">
        <v>44621</v>
      </c>
      <c r="B230" s="45">
        <v>4350</v>
      </c>
      <c r="C230" s="45">
        <v>0</v>
      </c>
      <c r="D230" s="45">
        <v>5394.5831467306625</v>
      </c>
      <c r="E230" s="45">
        <v>0</v>
      </c>
      <c r="F230" s="45">
        <v>4350</v>
      </c>
      <c r="G230" s="45">
        <v>5394.5831467306625</v>
      </c>
    </row>
    <row r="231" spans="1:7" ht="11.25" customHeight="1" x14ac:dyDescent="0.2">
      <c r="A231" s="55">
        <v>44652</v>
      </c>
      <c r="B231" s="45">
        <v>4350</v>
      </c>
      <c r="C231" s="45">
        <v>0</v>
      </c>
      <c r="D231" s="45">
        <v>5394.5831467306625</v>
      </c>
      <c r="E231" s="45">
        <v>0</v>
      </c>
      <c r="F231" s="45">
        <v>4350</v>
      </c>
      <c r="G231" s="45">
        <v>5394.5831467306625</v>
      </c>
    </row>
    <row r="232" spans="1:7" ht="11.25" customHeight="1" x14ac:dyDescent="0.2">
      <c r="A232" s="55">
        <v>44682</v>
      </c>
      <c r="B232" s="45">
        <v>4350</v>
      </c>
      <c r="C232" s="45">
        <v>0</v>
      </c>
      <c r="D232" s="45">
        <v>5394.5831467306625</v>
      </c>
      <c r="E232" s="45">
        <v>0</v>
      </c>
      <c r="F232" s="45">
        <v>4350</v>
      </c>
      <c r="G232" s="45">
        <v>5394.5831467306625</v>
      </c>
    </row>
    <row r="233" spans="1:7" ht="11.25" customHeight="1" x14ac:dyDescent="0.2">
      <c r="A233" s="55">
        <v>44713</v>
      </c>
      <c r="B233" s="45">
        <v>4350</v>
      </c>
      <c r="C233" s="45">
        <v>0</v>
      </c>
      <c r="D233" s="45">
        <v>5394.5831467306625</v>
      </c>
      <c r="E233" s="45">
        <v>0</v>
      </c>
      <c r="F233" s="45">
        <v>4350</v>
      </c>
      <c r="G233" s="45">
        <v>5394.5831467306625</v>
      </c>
    </row>
    <row r="234" spans="1:7" ht="11.25" customHeight="1" x14ac:dyDescent="0.2">
      <c r="A234" s="55">
        <v>44743</v>
      </c>
      <c r="B234" s="45">
        <v>4350</v>
      </c>
      <c r="C234" s="45">
        <v>0</v>
      </c>
      <c r="D234" s="45">
        <v>5394.5831467306625</v>
      </c>
      <c r="E234" s="45">
        <v>0</v>
      </c>
      <c r="F234" s="45">
        <v>4350</v>
      </c>
      <c r="G234" s="45">
        <v>5394.5831467306625</v>
      </c>
    </row>
    <row r="235" spans="1:7" ht="11.25" customHeight="1" x14ac:dyDescent="0.2">
      <c r="A235" s="47" t="s">
        <v>690</v>
      </c>
      <c r="B235" s="45">
        <v>0</v>
      </c>
      <c r="C235" s="45">
        <v>7300.6184699999994</v>
      </c>
      <c r="D235" s="45">
        <v>0</v>
      </c>
      <c r="E235" s="45">
        <v>8424.9828011657955</v>
      </c>
      <c r="F235" s="45">
        <v>7300.6184699999994</v>
      </c>
      <c r="G235" s="45">
        <v>8424.9828011657955</v>
      </c>
    </row>
    <row r="236" spans="1:7" ht="11.25" customHeight="1" x14ac:dyDescent="0.2">
      <c r="A236" s="48" t="s">
        <v>41</v>
      </c>
      <c r="B236" s="45">
        <v>0</v>
      </c>
      <c r="C236" s="45">
        <v>7300.6184699999994</v>
      </c>
      <c r="D236" s="45">
        <v>0</v>
      </c>
      <c r="E236" s="45">
        <v>8424.9828011657955</v>
      </c>
      <c r="F236" s="45">
        <v>7300.6184699999994</v>
      </c>
      <c r="G236" s="45">
        <v>8424.9828011657955</v>
      </c>
    </row>
    <row r="237" spans="1:7" ht="11.25" customHeight="1" x14ac:dyDescent="0.2">
      <c r="A237" s="49" t="s">
        <v>23</v>
      </c>
      <c r="B237" s="45">
        <v>0</v>
      </c>
      <c r="C237" s="45">
        <v>7300.6184699999994</v>
      </c>
      <c r="D237" s="45">
        <v>0</v>
      </c>
      <c r="E237" s="45">
        <v>8424.9828011657955</v>
      </c>
      <c r="F237" s="45">
        <v>7300.6184699999994</v>
      </c>
      <c r="G237" s="45">
        <v>8424.9828011657955</v>
      </c>
    </row>
    <row r="238" spans="1:7" ht="11.25" customHeight="1" x14ac:dyDescent="0.2">
      <c r="A238" s="50" t="s">
        <v>42</v>
      </c>
      <c r="B238" s="45">
        <v>0</v>
      </c>
      <c r="C238" s="45">
        <v>7300.6184699999994</v>
      </c>
      <c r="D238" s="45">
        <v>0</v>
      </c>
      <c r="E238" s="45">
        <v>8424.9828011657955</v>
      </c>
      <c r="F238" s="45">
        <v>7300.6184699999994</v>
      </c>
      <c r="G238" s="45">
        <v>8424.9828011657955</v>
      </c>
    </row>
    <row r="239" spans="1:7" ht="11.25" customHeight="1" x14ac:dyDescent="0.2">
      <c r="A239" s="51" t="s">
        <v>50</v>
      </c>
      <c r="B239" s="45">
        <v>0</v>
      </c>
      <c r="C239" s="45">
        <v>530.54261999999994</v>
      </c>
      <c r="D239" s="45">
        <v>0</v>
      </c>
      <c r="E239" s="45">
        <v>612.25120407989766</v>
      </c>
      <c r="F239" s="45">
        <v>530.54261999999994</v>
      </c>
      <c r="G239" s="45">
        <v>612.25120407989766</v>
      </c>
    </row>
    <row r="240" spans="1:7" ht="11.25" customHeight="1" x14ac:dyDescent="0.2">
      <c r="A240" s="52" t="s">
        <v>53</v>
      </c>
      <c r="B240" s="45">
        <v>0</v>
      </c>
      <c r="C240" s="45">
        <v>530.54261999999994</v>
      </c>
      <c r="D240" s="45">
        <v>0</v>
      </c>
      <c r="E240" s="45">
        <v>612.25120407989766</v>
      </c>
      <c r="F240" s="45">
        <v>530.54261999999994</v>
      </c>
      <c r="G240" s="45">
        <v>612.25120407989766</v>
      </c>
    </row>
    <row r="241" spans="1:7" ht="11.25" customHeight="1" x14ac:dyDescent="0.2">
      <c r="A241" s="53" t="s">
        <v>25</v>
      </c>
      <c r="B241" s="45">
        <v>0</v>
      </c>
      <c r="C241" s="45">
        <v>530.54261999999994</v>
      </c>
      <c r="D241" s="45">
        <v>0</v>
      </c>
      <c r="E241" s="45">
        <v>612.25120407989766</v>
      </c>
      <c r="F241" s="45">
        <v>530.54261999999994</v>
      </c>
      <c r="G241" s="45">
        <v>612.25120407989766</v>
      </c>
    </row>
    <row r="242" spans="1:7" ht="11.25" customHeight="1" x14ac:dyDescent="0.2">
      <c r="A242" s="54" t="s">
        <v>25</v>
      </c>
      <c r="B242" s="45">
        <v>0</v>
      </c>
      <c r="C242" s="45">
        <v>530.54261999999994</v>
      </c>
      <c r="D242" s="45">
        <v>0</v>
      </c>
      <c r="E242" s="45">
        <v>612.25120407989766</v>
      </c>
      <c r="F242" s="45">
        <v>530.54261999999994</v>
      </c>
      <c r="G242" s="45">
        <v>612.25120407989766</v>
      </c>
    </row>
    <row r="243" spans="1:7" ht="11.25" customHeight="1" x14ac:dyDescent="0.2">
      <c r="A243" s="55">
        <v>44501</v>
      </c>
      <c r="B243" s="45">
        <v>0</v>
      </c>
      <c r="C243" s="45">
        <v>7.9623300000000006</v>
      </c>
      <c r="D243" s="45">
        <v>0</v>
      </c>
      <c r="E243" s="45">
        <v>9.188604168655651</v>
      </c>
      <c r="F243" s="45">
        <v>7.9623300000000006</v>
      </c>
      <c r="G243" s="45">
        <v>9.188604168655651</v>
      </c>
    </row>
    <row r="244" spans="1:7" ht="11.25" customHeight="1" x14ac:dyDescent="0.2">
      <c r="A244" s="55">
        <v>44621</v>
      </c>
      <c r="B244" s="45">
        <v>0</v>
      </c>
      <c r="C244" s="45">
        <v>393.08765999999997</v>
      </c>
      <c r="D244" s="45">
        <v>0</v>
      </c>
      <c r="E244" s="45">
        <v>453.62687948415794</v>
      </c>
      <c r="F244" s="45">
        <v>393.08765999999997</v>
      </c>
      <c r="G244" s="45">
        <v>453.62687948415794</v>
      </c>
    </row>
    <row r="245" spans="1:7" ht="11.25" customHeight="1" x14ac:dyDescent="0.2">
      <c r="A245" s="55">
        <v>44652</v>
      </c>
      <c r="B245" s="45">
        <v>0</v>
      </c>
      <c r="C245" s="45">
        <v>129.49263000000002</v>
      </c>
      <c r="D245" s="45">
        <v>0</v>
      </c>
      <c r="E245" s="45">
        <v>149.43572042708402</v>
      </c>
      <c r="F245" s="45">
        <v>129.49263000000002</v>
      </c>
      <c r="G245" s="45">
        <v>149.43572042708402</v>
      </c>
    </row>
    <row r="246" spans="1:7" ht="11.25" customHeight="1" x14ac:dyDescent="0.2">
      <c r="A246" s="51" t="s">
        <v>52</v>
      </c>
      <c r="B246" s="45">
        <v>0</v>
      </c>
      <c r="C246" s="45">
        <v>6770.0758500000011</v>
      </c>
      <c r="D246" s="45">
        <v>0</v>
      </c>
      <c r="E246" s="45">
        <v>7812.7315970858981</v>
      </c>
      <c r="F246" s="45">
        <v>6770.0758500000011</v>
      </c>
      <c r="G246" s="45">
        <v>7812.7315970858981</v>
      </c>
    </row>
    <row r="247" spans="1:7" ht="11.25" customHeight="1" x14ac:dyDescent="0.2">
      <c r="A247" s="52" t="s">
        <v>53</v>
      </c>
      <c r="B247" s="45">
        <v>0</v>
      </c>
      <c r="C247" s="45">
        <v>6770.0758500000011</v>
      </c>
      <c r="D247" s="45">
        <v>0</v>
      </c>
      <c r="E247" s="45">
        <v>7812.7315970858981</v>
      </c>
      <c r="F247" s="45">
        <v>6770.0758500000011</v>
      </c>
      <c r="G247" s="45">
        <v>7812.7315970858981</v>
      </c>
    </row>
    <row r="248" spans="1:7" ht="11.25" customHeight="1" x14ac:dyDescent="0.2">
      <c r="A248" s="53" t="s">
        <v>25</v>
      </c>
      <c r="B248" s="45">
        <v>0</v>
      </c>
      <c r="C248" s="45">
        <v>6770.0758500000011</v>
      </c>
      <c r="D248" s="45">
        <v>0</v>
      </c>
      <c r="E248" s="45">
        <v>7812.7315970858981</v>
      </c>
      <c r="F248" s="45">
        <v>6770.0758500000011</v>
      </c>
      <c r="G248" s="45">
        <v>7812.7315970858981</v>
      </c>
    </row>
    <row r="249" spans="1:7" ht="11.25" customHeight="1" x14ac:dyDescent="0.2">
      <c r="A249" s="54" t="s">
        <v>25</v>
      </c>
      <c r="B249" s="45">
        <v>0</v>
      </c>
      <c r="C249" s="45">
        <v>6770.0758500000011</v>
      </c>
      <c r="D249" s="45">
        <v>0</v>
      </c>
      <c r="E249" s="45">
        <v>7812.7315970858981</v>
      </c>
      <c r="F249" s="45">
        <v>6770.0758500000011</v>
      </c>
      <c r="G249" s="45">
        <v>7812.7315970858981</v>
      </c>
    </row>
    <row r="250" spans="1:7" ht="11.25" customHeight="1" x14ac:dyDescent="0.2">
      <c r="A250" s="55">
        <v>44409</v>
      </c>
      <c r="B250" s="45">
        <v>0</v>
      </c>
      <c r="C250" s="45">
        <v>834.78744000000006</v>
      </c>
      <c r="D250" s="45">
        <v>0</v>
      </c>
      <c r="E250" s="45">
        <v>963.3526054716873</v>
      </c>
      <c r="F250" s="45">
        <v>834.78744000000006</v>
      </c>
      <c r="G250" s="45">
        <v>963.3526054716873</v>
      </c>
    </row>
    <row r="251" spans="1:7" ht="11.25" customHeight="1" x14ac:dyDescent="0.2">
      <c r="A251" s="55">
        <v>44440</v>
      </c>
      <c r="B251" s="45">
        <v>0</v>
      </c>
      <c r="C251" s="45">
        <v>843.16884000000016</v>
      </c>
      <c r="D251" s="45">
        <v>0</v>
      </c>
      <c r="E251" s="45">
        <v>973.02482038606172</v>
      </c>
      <c r="F251" s="45">
        <v>843.16884000000016</v>
      </c>
      <c r="G251" s="45">
        <v>973.02482038606172</v>
      </c>
    </row>
    <row r="252" spans="1:7" ht="11.25" customHeight="1" x14ac:dyDescent="0.2">
      <c r="A252" s="55">
        <v>44470</v>
      </c>
      <c r="B252" s="45">
        <v>0</v>
      </c>
      <c r="C252" s="45">
        <v>724.57203000000004</v>
      </c>
      <c r="D252" s="45">
        <v>0</v>
      </c>
      <c r="E252" s="45">
        <v>836.1629793476643</v>
      </c>
      <c r="F252" s="45">
        <v>724.57203000000004</v>
      </c>
      <c r="G252" s="45">
        <v>836.1629793476643</v>
      </c>
    </row>
    <row r="253" spans="1:7" ht="11.25" customHeight="1" x14ac:dyDescent="0.2">
      <c r="A253" s="55">
        <v>44501</v>
      </c>
      <c r="B253" s="45">
        <v>0</v>
      </c>
      <c r="C253" s="45">
        <v>382.19184000000001</v>
      </c>
      <c r="D253" s="45">
        <v>0</v>
      </c>
      <c r="E253" s="45">
        <v>441.0530000954713</v>
      </c>
      <c r="F253" s="45">
        <v>382.19184000000001</v>
      </c>
      <c r="G253" s="45">
        <v>441.0530000954713</v>
      </c>
    </row>
    <row r="254" spans="1:7" ht="11.25" customHeight="1" x14ac:dyDescent="0.2">
      <c r="A254" s="55">
        <v>44531</v>
      </c>
      <c r="B254" s="45">
        <v>0</v>
      </c>
      <c r="C254" s="45">
        <v>641.59616999999992</v>
      </c>
      <c r="D254" s="45">
        <v>0</v>
      </c>
      <c r="E254" s="45">
        <v>740.40805169535793</v>
      </c>
      <c r="F254" s="45">
        <v>641.59616999999992</v>
      </c>
      <c r="G254" s="45">
        <v>740.40805169535793</v>
      </c>
    </row>
    <row r="255" spans="1:7" ht="11.25" customHeight="1" x14ac:dyDescent="0.2">
      <c r="A255" s="55">
        <v>44562</v>
      </c>
      <c r="B255" s="45">
        <v>0</v>
      </c>
      <c r="C255" s="45">
        <v>545.62914000000001</v>
      </c>
      <c r="D255" s="45">
        <v>0</v>
      </c>
      <c r="E255" s="45">
        <v>629.66119092577139</v>
      </c>
      <c r="F255" s="45">
        <v>545.62914000000001</v>
      </c>
      <c r="G255" s="45">
        <v>629.66119092577139</v>
      </c>
    </row>
    <row r="256" spans="1:7" ht="11.25" customHeight="1" x14ac:dyDescent="0.2">
      <c r="A256" s="55">
        <v>44593</v>
      </c>
      <c r="B256" s="45">
        <v>0</v>
      </c>
      <c r="C256" s="45">
        <v>481.09235999999999</v>
      </c>
      <c r="D256" s="45">
        <v>0</v>
      </c>
      <c r="E256" s="45">
        <v>555.18513608508874</v>
      </c>
      <c r="F256" s="45">
        <v>481.09235999999999</v>
      </c>
      <c r="G256" s="45">
        <v>555.18513608508874</v>
      </c>
    </row>
    <row r="257" spans="1:7" ht="11.25" customHeight="1" x14ac:dyDescent="0.2">
      <c r="A257" s="55">
        <v>44621</v>
      </c>
      <c r="B257" s="45">
        <v>0</v>
      </c>
      <c r="C257" s="45">
        <v>307.59737999999999</v>
      </c>
      <c r="D257" s="45">
        <v>0</v>
      </c>
      <c r="E257" s="45">
        <v>354.97028735753935</v>
      </c>
      <c r="F257" s="45">
        <v>307.59737999999999</v>
      </c>
      <c r="G257" s="45">
        <v>354.97028735753935</v>
      </c>
    </row>
    <row r="258" spans="1:7" ht="11.25" customHeight="1" x14ac:dyDescent="0.2">
      <c r="A258" s="55">
        <v>44652</v>
      </c>
      <c r="B258" s="45">
        <v>0</v>
      </c>
      <c r="C258" s="45">
        <v>374.22951</v>
      </c>
      <c r="D258" s="45">
        <v>0</v>
      </c>
      <c r="E258" s="45">
        <v>431.86439592681563</v>
      </c>
      <c r="F258" s="45">
        <v>374.22951</v>
      </c>
      <c r="G258" s="45">
        <v>431.86439592681563</v>
      </c>
    </row>
    <row r="259" spans="1:7" ht="11.25" customHeight="1" x14ac:dyDescent="0.2">
      <c r="A259" s="55">
        <v>44682</v>
      </c>
      <c r="B259" s="45">
        <v>0</v>
      </c>
      <c r="C259" s="45">
        <v>642.85338000000013</v>
      </c>
      <c r="D259" s="45">
        <v>0</v>
      </c>
      <c r="E259" s="45">
        <v>741.85888393251412</v>
      </c>
      <c r="F259" s="45">
        <v>642.85338000000013</v>
      </c>
      <c r="G259" s="45">
        <v>741.85888393251412</v>
      </c>
    </row>
    <row r="260" spans="1:7" ht="11.25" customHeight="1" x14ac:dyDescent="0.2">
      <c r="A260" s="55">
        <v>44713</v>
      </c>
      <c r="B260" s="45">
        <v>0</v>
      </c>
      <c r="C260" s="45">
        <v>617.29011000000014</v>
      </c>
      <c r="D260" s="45">
        <v>0</v>
      </c>
      <c r="E260" s="45">
        <v>712.35862844367239</v>
      </c>
      <c r="F260" s="45">
        <v>617.29011000000014</v>
      </c>
      <c r="G260" s="45">
        <v>712.35862844367239</v>
      </c>
    </row>
    <row r="261" spans="1:7" ht="11.25" customHeight="1" x14ac:dyDescent="0.2">
      <c r="A261" s="55">
        <v>44743</v>
      </c>
      <c r="B261" s="45">
        <v>0</v>
      </c>
      <c r="C261" s="45">
        <v>375.06765000000007</v>
      </c>
      <c r="D261" s="45">
        <v>0</v>
      </c>
      <c r="E261" s="45">
        <v>432.83161741825302</v>
      </c>
      <c r="F261" s="45">
        <v>375.06765000000007</v>
      </c>
      <c r="G261" s="45">
        <v>432.83161741825302</v>
      </c>
    </row>
    <row r="262" spans="1:7" ht="11.25" customHeight="1" x14ac:dyDescent="0.2">
      <c r="A262" s="47" t="s">
        <v>689</v>
      </c>
      <c r="B262" s="45">
        <v>0</v>
      </c>
      <c r="C262" s="45">
        <v>240237.09840000008</v>
      </c>
      <c r="D262" s="45">
        <v>0</v>
      </c>
      <c r="E262" s="45">
        <v>143941.15833918747</v>
      </c>
      <c r="F262" s="45">
        <v>240237.0984000001</v>
      </c>
      <c r="G262" s="45">
        <v>143941.15833918747</v>
      </c>
    </row>
    <row r="263" spans="1:7" ht="11.25" customHeight="1" x14ac:dyDescent="0.2">
      <c r="A263" s="48" t="s">
        <v>41</v>
      </c>
      <c r="B263" s="45">
        <v>0</v>
      </c>
      <c r="C263" s="45">
        <v>240237.09840000008</v>
      </c>
      <c r="D263" s="45">
        <v>0</v>
      </c>
      <c r="E263" s="45">
        <v>143941.15833918747</v>
      </c>
      <c r="F263" s="45">
        <v>240237.0984000001</v>
      </c>
      <c r="G263" s="45">
        <v>143941.15833918747</v>
      </c>
    </row>
    <row r="264" spans="1:7" ht="11.25" customHeight="1" x14ac:dyDescent="0.2">
      <c r="A264" s="49" t="s">
        <v>23</v>
      </c>
      <c r="B264" s="45">
        <v>0</v>
      </c>
      <c r="C264" s="45">
        <v>240237.09840000008</v>
      </c>
      <c r="D264" s="45">
        <v>0</v>
      </c>
      <c r="E264" s="45">
        <v>143941.15833918747</v>
      </c>
      <c r="F264" s="45">
        <v>240237.0984000001</v>
      </c>
      <c r="G264" s="45">
        <v>143941.15833918747</v>
      </c>
    </row>
    <row r="265" spans="1:7" ht="11.25" customHeight="1" x14ac:dyDescent="0.2">
      <c r="A265" s="50" t="s">
        <v>42</v>
      </c>
      <c r="B265" s="45">
        <v>0</v>
      </c>
      <c r="C265" s="45">
        <v>240237.09840000008</v>
      </c>
      <c r="D265" s="45">
        <v>0</v>
      </c>
      <c r="E265" s="45">
        <v>143941.15833918747</v>
      </c>
      <c r="F265" s="45">
        <v>240237.0984000001</v>
      </c>
      <c r="G265" s="45">
        <v>143941.15833918747</v>
      </c>
    </row>
    <row r="266" spans="1:7" ht="11.25" customHeight="1" x14ac:dyDescent="0.2">
      <c r="A266" s="51" t="s">
        <v>50</v>
      </c>
      <c r="B266" s="45">
        <v>0</v>
      </c>
      <c r="C266" s="45">
        <v>207.91719000000003</v>
      </c>
      <c r="D266" s="45">
        <v>0</v>
      </c>
      <c r="E266" s="45">
        <v>124.57626805581219</v>
      </c>
      <c r="F266" s="45">
        <v>207.91719000000003</v>
      </c>
      <c r="G266" s="45">
        <v>124.57626805581219</v>
      </c>
    </row>
    <row r="267" spans="1:7" ht="11.25" customHeight="1" x14ac:dyDescent="0.2">
      <c r="A267" s="52" t="s">
        <v>51</v>
      </c>
      <c r="B267" s="45">
        <v>0</v>
      </c>
      <c r="C267" s="45">
        <v>207.91719000000003</v>
      </c>
      <c r="D267" s="45">
        <v>0</v>
      </c>
      <c r="E267" s="45">
        <v>124.57626805581219</v>
      </c>
      <c r="F267" s="45">
        <v>207.91719000000003</v>
      </c>
      <c r="G267" s="45">
        <v>124.57626805581219</v>
      </c>
    </row>
    <row r="268" spans="1:7" ht="11.25" customHeight="1" x14ac:dyDescent="0.2">
      <c r="A268" s="53" t="s">
        <v>25</v>
      </c>
      <c r="B268" s="45">
        <v>0</v>
      </c>
      <c r="C268" s="45">
        <v>207.91719000000003</v>
      </c>
      <c r="D268" s="45">
        <v>0</v>
      </c>
      <c r="E268" s="45">
        <v>124.57626805581219</v>
      </c>
      <c r="F268" s="45">
        <v>207.91719000000003</v>
      </c>
      <c r="G268" s="45">
        <v>124.57626805581219</v>
      </c>
    </row>
    <row r="269" spans="1:7" ht="11.25" customHeight="1" x14ac:dyDescent="0.2">
      <c r="A269" s="54" t="s">
        <v>25</v>
      </c>
      <c r="B269" s="45">
        <v>0</v>
      </c>
      <c r="C269" s="45">
        <v>207.91719000000003</v>
      </c>
      <c r="D269" s="45">
        <v>0</v>
      </c>
      <c r="E269" s="45">
        <v>124.57626805581219</v>
      </c>
      <c r="F269" s="45">
        <v>207.91719000000003</v>
      </c>
      <c r="G269" s="45">
        <v>124.57626805581219</v>
      </c>
    </row>
    <row r="270" spans="1:7" ht="11.25" customHeight="1" x14ac:dyDescent="0.2">
      <c r="A270" s="55">
        <v>44409</v>
      </c>
      <c r="B270" s="45">
        <v>0</v>
      </c>
      <c r="C270" s="45">
        <v>7.7610000000000019</v>
      </c>
      <c r="D270" s="45">
        <v>0</v>
      </c>
      <c r="E270" s="45">
        <v>4.6501033242184464</v>
      </c>
      <c r="F270" s="45">
        <v>7.7610000000000019</v>
      </c>
      <c r="G270" s="45">
        <v>4.6501033242184464</v>
      </c>
    </row>
    <row r="271" spans="1:7" ht="11.25" customHeight="1" x14ac:dyDescent="0.2">
      <c r="A271" s="55">
        <v>44440</v>
      </c>
      <c r="B271" s="45">
        <v>0</v>
      </c>
      <c r="C271" s="45">
        <v>7.7610000000000019</v>
      </c>
      <c r="D271" s="45">
        <v>0</v>
      </c>
      <c r="E271" s="45">
        <v>4.6501033242184464</v>
      </c>
      <c r="F271" s="45">
        <v>7.7610000000000019</v>
      </c>
      <c r="G271" s="45">
        <v>4.6501033242184464</v>
      </c>
    </row>
    <row r="272" spans="1:7" ht="11.25" customHeight="1" x14ac:dyDescent="0.2">
      <c r="A272" s="55">
        <v>44470</v>
      </c>
      <c r="B272" s="45">
        <v>0</v>
      </c>
      <c r="C272" s="45">
        <v>17.151810000000005</v>
      </c>
      <c r="D272" s="45">
        <v>0</v>
      </c>
      <c r="E272" s="45">
        <v>10.276728346522766</v>
      </c>
      <c r="F272" s="45">
        <v>17.151810000000005</v>
      </c>
      <c r="G272" s="45">
        <v>10.276728346522766</v>
      </c>
    </row>
    <row r="273" spans="1:7" ht="11.25" customHeight="1" x14ac:dyDescent="0.2">
      <c r="A273" s="55">
        <v>44501</v>
      </c>
      <c r="B273" s="45">
        <v>0</v>
      </c>
      <c r="C273" s="45">
        <v>12.572820000000002</v>
      </c>
      <c r="D273" s="45">
        <v>0</v>
      </c>
      <c r="E273" s="45">
        <v>7.5331673852338827</v>
      </c>
      <c r="F273" s="45">
        <v>12.572820000000002</v>
      </c>
      <c r="G273" s="45">
        <v>7.5331673852338827</v>
      </c>
    </row>
    <row r="274" spans="1:7" ht="11.25" customHeight="1" x14ac:dyDescent="0.2">
      <c r="A274" s="55">
        <v>44531</v>
      </c>
      <c r="B274" s="45">
        <v>0</v>
      </c>
      <c r="C274" s="45">
        <v>15.987660000000002</v>
      </c>
      <c r="D274" s="45">
        <v>0</v>
      </c>
      <c r="E274" s="45">
        <v>9.5792128478899983</v>
      </c>
      <c r="F274" s="45">
        <v>15.987660000000002</v>
      </c>
      <c r="G274" s="45">
        <v>9.5792128478899983</v>
      </c>
    </row>
    <row r="275" spans="1:7" ht="11.25" customHeight="1" x14ac:dyDescent="0.2">
      <c r="A275" s="55">
        <v>44562</v>
      </c>
      <c r="B275" s="45">
        <v>0</v>
      </c>
      <c r="C275" s="45">
        <v>7.7610000000000019</v>
      </c>
      <c r="D275" s="45">
        <v>0</v>
      </c>
      <c r="E275" s="45">
        <v>4.6501033242184464</v>
      </c>
      <c r="F275" s="45">
        <v>7.7610000000000019</v>
      </c>
      <c r="G275" s="45">
        <v>4.6501033242184464</v>
      </c>
    </row>
    <row r="276" spans="1:7" ht="11.25" customHeight="1" x14ac:dyDescent="0.2">
      <c r="A276" s="55">
        <v>44593</v>
      </c>
      <c r="B276" s="45">
        <v>0</v>
      </c>
      <c r="C276" s="45">
        <v>38.805000000000007</v>
      </c>
      <c r="D276" s="45">
        <v>0</v>
      </c>
      <c r="E276" s="45">
        <v>23.250516621092231</v>
      </c>
      <c r="F276" s="45">
        <v>38.805000000000007</v>
      </c>
      <c r="G276" s="45">
        <v>23.250516621092231</v>
      </c>
    </row>
    <row r="277" spans="1:7" ht="11.25" customHeight="1" x14ac:dyDescent="0.2">
      <c r="A277" s="55">
        <v>44621</v>
      </c>
      <c r="B277" s="45">
        <v>0</v>
      </c>
      <c r="C277" s="45">
        <v>24.291930000000004</v>
      </c>
      <c r="D277" s="45">
        <v>0</v>
      </c>
      <c r="E277" s="45">
        <v>14.554823404803736</v>
      </c>
      <c r="F277" s="45">
        <v>24.291930000000004</v>
      </c>
      <c r="G277" s="45">
        <v>14.554823404803736</v>
      </c>
    </row>
    <row r="278" spans="1:7" ht="11.25" customHeight="1" x14ac:dyDescent="0.2">
      <c r="A278" s="55">
        <v>44652</v>
      </c>
      <c r="B278" s="45">
        <v>0</v>
      </c>
      <c r="C278" s="45">
        <v>18.859230000000004</v>
      </c>
      <c r="D278" s="45">
        <v>0</v>
      </c>
      <c r="E278" s="45">
        <v>11.299751077850823</v>
      </c>
      <c r="F278" s="45">
        <v>18.859230000000004</v>
      </c>
      <c r="G278" s="45">
        <v>11.299751077850823</v>
      </c>
    </row>
    <row r="279" spans="1:7" ht="11.25" customHeight="1" x14ac:dyDescent="0.2">
      <c r="A279" s="55">
        <v>44682</v>
      </c>
      <c r="B279" s="45">
        <v>0</v>
      </c>
      <c r="C279" s="45">
        <v>23.981490000000004</v>
      </c>
      <c r="D279" s="45">
        <v>0</v>
      </c>
      <c r="E279" s="45">
        <v>14.368819271834999</v>
      </c>
      <c r="F279" s="45">
        <v>23.981490000000004</v>
      </c>
      <c r="G279" s="45">
        <v>14.368819271834999</v>
      </c>
    </row>
    <row r="280" spans="1:7" ht="11.25" customHeight="1" x14ac:dyDescent="0.2">
      <c r="A280" s="55">
        <v>44713</v>
      </c>
      <c r="B280" s="45">
        <v>0</v>
      </c>
      <c r="C280" s="45">
        <v>15.522000000000004</v>
      </c>
      <c r="D280" s="45">
        <v>0</v>
      </c>
      <c r="E280" s="45">
        <v>9.3002066484368928</v>
      </c>
      <c r="F280" s="45">
        <v>15.522000000000004</v>
      </c>
      <c r="G280" s="45">
        <v>9.3002066484368928</v>
      </c>
    </row>
    <row r="281" spans="1:7" ht="11.25" customHeight="1" x14ac:dyDescent="0.2">
      <c r="A281" s="55">
        <v>44743</v>
      </c>
      <c r="B281" s="45">
        <v>0</v>
      </c>
      <c r="C281" s="45">
        <v>17.462250000000004</v>
      </c>
      <c r="D281" s="45">
        <v>0</v>
      </c>
      <c r="E281" s="45">
        <v>10.462732479491505</v>
      </c>
      <c r="F281" s="45">
        <v>17.462250000000004</v>
      </c>
      <c r="G281" s="45">
        <v>10.462732479491505</v>
      </c>
    </row>
    <row r="282" spans="1:7" ht="11.25" customHeight="1" x14ac:dyDescent="0.2">
      <c r="A282" s="51" t="s">
        <v>52</v>
      </c>
      <c r="B282" s="45">
        <v>0</v>
      </c>
      <c r="C282" s="45">
        <v>1014.2074800000003</v>
      </c>
      <c r="D282" s="45">
        <v>0</v>
      </c>
      <c r="E282" s="45">
        <v>607.67550240886658</v>
      </c>
      <c r="F282" s="45">
        <v>1014.2074800000003</v>
      </c>
      <c r="G282" s="45">
        <v>607.67550240886658</v>
      </c>
    </row>
    <row r="283" spans="1:7" ht="11.25" customHeight="1" x14ac:dyDescent="0.2">
      <c r="A283" s="52" t="s">
        <v>51</v>
      </c>
      <c r="B283" s="45">
        <v>0</v>
      </c>
      <c r="C283" s="45">
        <v>1014.2074800000003</v>
      </c>
      <c r="D283" s="45">
        <v>0</v>
      </c>
      <c r="E283" s="45">
        <v>607.67550240886658</v>
      </c>
      <c r="F283" s="45">
        <v>1014.2074800000003</v>
      </c>
      <c r="G283" s="45">
        <v>607.67550240886658</v>
      </c>
    </row>
    <row r="284" spans="1:7" ht="11.25" customHeight="1" x14ac:dyDescent="0.2">
      <c r="A284" s="53" t="s">
        <v>25</v>
      </c>
      <c r="B284" s="45">
        <v>0</v>
      </c>
      <c r="C284" s="45">
        <v>1014.2074800000003</v>
      </c>
      <c r="D284" s="45">
        <v>0</v>
      </c>
      <c r="E284" s="45">
        <v>607.67550240886658</v>
      </c>
      <c r="F284" s="45">
        <v>1014.2074800000003</v>
      </c>
      <c r="G284" s="45">
        <v>607.67550240886658</v>
      </c>
    </row>
    <row r="285" spans="1:7" ht="11.25" customHeight="1" x14ac:dyDescent="0.2">
      <c r="A285" s="54" t="s">
        <v>25</v>
      </c>
      <c r="B285" s="45">
        <v>0</v>
      </c>
      <c r="C285" s="45">
        <v>1014.2074800000003</v>
      </c>
      <c r="D285" s="45">
        <v>0</v>
      </c>
      <c r="E285" s="45">
        <v>607.67550240886658</v>
      </c>
      <c r="F285" s="45">
        <v>1014.2074800000003</v>
      </c>
      <c r="G285" s="45">
        <v>607.67550240886658</v>
      </c>
    </row>
    <row r="286" spans="1:7" ht="11.25" customHeight="1" x14ac:dyDescent="0.2">
      <c r="A286" s="55">
        <v>44409</v>
      </c>
      <c r="B286" s="45">
        <v>0</v>
      </c>
      <c r="C286" s="45">
        <v>75.126480000000015</v>
      </c>
      <c r="D286" s="45">
        <v>0</v>
      </c>
      <c r="E286" s="45">
        <v>45.013000178434559</v>
      </c>
      <c r="F286" s="45">
        <v>75.126480000000015</v>
      </c>
      <c r="G286" s="45">
        <v>45.013000178434559</v>
      </c>
    </row>
    <row r="287" spans="1:7" ht="11.25" customHeight="1" x14ac:dyDescent="0.2">
      <c r="A287" s="55">
        <v>44440</v>
      </c>
      <c r="B287" s="45">
        <v>0</v>
      </c>
      <c r="C287" s="45">
        <v>66.123720000000006</v>
      </c>
      <c r="D287" s="45">
        <v>0</v>
      </c>
      <c r="E287" s="45">
        <v>39.618880322341163</v>
      </c>
      <c r="F287" s="45">
        <v>66.123720000000006</v>
      </c>
      <c r="G287" s="45">
        <v>39.618880322341163</v>
      </c>
    </row>
    <row r="288" spans="1:7" ht="11.25" customHeight="1" x14ac:dyDescent="0.2">
      <c r="A288" s="55">
        <v>44470</v>
      </c>
      <c r="B288" s="45">
        <v>0</v>
      </c>
      <c r="C288" s="45">
        <v>108.65400000000001</v>
      </c>
      <c r="D288" s="45">
        <v>0</v>
      </c>
      <c r="E288" s="45">
        <v>65.101446539058244</v>
      </c>
      <c r="F288" s="45">
        <v>108.65400000000001</v>
      </c>
      <c r="G288" s="45">
        <v>65.101446539058244</v>
      </c>
    </row>
    <row r="289" spans="1:7" ht="11.25" customHeight="1" x14ac:dyDescent="0.2">
      <c r="A289" s="55">
        <v>44501</v>
      </c>
      <c r="B289" s="45">
        <v>0</v>
      </c>
      <c r="C289" s="45">
        <v>40.434810000000006</v>
      </c>
      <c r="D289" s="45">
        <v>0</v>
      </c>
      <c r="E289" s="45">
        <v>24.227038319178106</v>
      </c>
      <c r="F289" s="45">
        <v>40.434810000000006</v>
      </c>
      <c r="G289" s="45">
        <v>24.227038319178106</v>
      </c>
    </row>
    <row r="290" spans="1:7" ht="11.25" customHeight="1" x14ac:dyDescent="0.2">
      <c r="A290" s="55">
        <v>44531</v>
      </c>
      <c r="B290" s="45">
        <v>0</v>
      </c>
      <c r="C290" s="45">
        <v>99.728850000000008</v>
      </c>
      <c r="D290" s="45">
        <v>0</v>
      </c>
      <c r="E290" s="45">
        <v>59.753827716207027</v>
      </c>
      <c r="F290" s="45">
        <v>99.728850000000008</v>
      </c>
      <c r="G290" s="45">
        <v>59.753827716207027</v>
      </c>
    </row>
    <row r="291" spans="1:7" ht="11.25" customHeight="1" x14ac:dyDescent="0.2">
      <c r="A291" s="55">
        <v>44562</v>
      </c>
      <c r="B291" s="45">
        <v>0</v>
      </c>
      <c r="C291" s="45">
        <v>121.84770000000003</v>
      </c>
      <c r="D291" s="45">
        <v>0</v>
      </c>
      <c r="E291" s="45">
        <v>73.006622190229606</v>
      </c>
      <c r="F291" s="45">
        <v>121.84770000000003</v>
      </c>
      <c r="G291" s="45">
        <v>73.006622190229606</v>
      </c>
    </row>
    <row r="292" spans="1:7" ht="11.25" customHeight="1" x14ac:dyDescent="0.2">
      <c r="A292" s="55">
        <v>44593</v>
      </c>
      <c r="B292" s="45">
        <v>0</v>
      </c>
      <c r="C292" s="45">
        <v>125.80581000000002</v>
      </c>
      <c r="D292" s="45">
        <v>0</v>
      </c>
      <c r="E292" s="45">
        <v>75.378174885581018</v>
      </c>
      <c r="F292" s="45">
        <v>125.80581000000002</v>
      </c>
      <c r="G292" s="45">
        <v>75.378174885581018</v>
      </c>
    </row>
    <row r="293" spans="1:7" ht="11.25" customHeight="1" x14ac:dyDescent="0.2">
      <c r="A293" s="55">
        <v>44621</v>
      </c>
      <c r="B293" s="45">
        <v>0</v>
      </c>
      <c r="C293" s="45">
        <v>70.392270000000011</v>
      </c>
      <c r="D293" s="45">
        <v>0</v>
      </c>
      <c r="E293" s="45">
        <v>42.176437150661307</v>
      </c>
      <c r="F293" s="45">
        <v>70.392270000000011</v>
      </c>
      <c r="G293" s="45">
        <v>42.176437150661307</v>
      </c>
    </row>
    <row r="294" spans="1:7" ht="11.25" customHeight="1" x14ac:dyDescent="0.2">
      <c r="A294" s="55">
        <v>44652</v>
      </c>
      <c r="B294" s="45">
        <v>0</v>
      </c>
      <c r="C294" s="45">
        <v>83.896410000000017</v>
      </c>
      <c r="D294" s="45">
        <v>0</v>
      </c>
      <c r="E294" s="45">
        <v>50.267616934801403</v>
      </c>
      <c r="F294" s="45">
        <v>83.896410000000017</v>
      </c>
      <c r="G294" s="45">
        <v>50.267616934801403</v>
      </c>
    </row>
    <row r="295" spans="1:7" ht="11.25" customHeight="1" x14ac:dyDescent="0.2">
      <c r="A295" s="55">
        <v>44682</v>
      </c>
      <c r="B295" s="45">
        <v>0</v>
      </c>
      <c r="C295" s="45">
        <v>91.036530000000013</v>
      </c>
      <c r="D295" s="45">
        <v>0</v>
      </c>
      <c r="E295" s="45">
        <v>54.545711993082378</v>
      </c>
      <c r="F295" s="45">
        <v>91.036530000000013</v>
      </c>
      <c r="G295" s="45">
        <v>54.545711993082378</v>
      </c>
    </row>
    <row r="296" spans="1:7" ht="11.25" customHeight="1" x14ac:dyDescent="0.2">
      <c r="A296" s="55">
        <v>44713</v>
      </c>
      <c r="B296" s="45">
        <v>0</v>
      </c>
      <c r="C296" s="45">
        <v>73.962330000000009</v>
      </c>
      <c r="D296" s="45">
        <v>0</v>
      </c>
      <c r="E296" s="45">
        <v>44.315484679801791</v>
      </c>
      <c r="F296" s="45">
        <v>73.962330000000009</v>
      </c>
      <c r="G296" s="45">
        <v>44.315484679801791</v>
      </c>
    </row>
    <row r="297" spans="1:7" ht="11.25" customHeight="1" x14ac:dyDescent="0.2">
      <c r="A297" s="55">
        <v>44743</v>
      </c>
      <c r="B297" s="45">
        <v>0</v>
      </c>
      <c r="C297" s="45">
        <v>57.198570000000011</v>
      </c>
      <c r="D297" s="45">
        <v>0</v>
      </c>
      <c r="E297" s="45">
        <v>34.271261499489945</v>
      </c>
      <c r="F297" s="45">
        <v>57.198570000000011</v>
      </c>
      <c r="G297" s="45">
        <v>34.271261499489945</v>
      </c>
    </row>
    <row r="298" spans="1:7" ht="11.25" customHeight="1" x14ac:dyDescent="0.2">
      <c r="A298" s="51" t="s">
        <v>25</v>
      </c>
      <c r="B298" s="45">
        <v>0</v>
      </c>
      <c r="C298" s="45">
        <v>239014.97373000009</v>
      </c>
      <c r="D298" s="45">
        <v>0</v>
      </c>
      <c r="E298" s="45">
        <v>143208.9065687228</v>
      </c>
      <c r="F298" s="45">
        <v>239014.97373000009</v>
      </c>
      <c r="G298" s="45">
        <v>143208.9065687228</v>
      </c>
    </row>
    <row r="299" spans="1:7" ht="11.25" customHeight="1" x14ac:dyDescent="0.2">
      <c r="A299" s="52" t="s">
        <v>25</v>
      </c>
      <c r="B299" s="45">
        <v>0</v>
      </c>
      <c r="C299" s="45">
        <v>239014.97373000009</v>
      </c>
      <c r="D299" s="45">
        <v>0</v>
      </c>
      <c r="E299" s="45">
        <v>143208.9065687228</v>
      </c>
      <c r="F299" s="45">
        <v>239014.97373000009</v>
      </c>
      <c r="G299" s="45">
        <v>143208.9065687228</v>
      </c>
    </row>
    <row r="300" spans="1:7" ht="11.25" customHeight="1" x14ac:dyDescent="0.2">
      <c r="A300" s="53" t="s">
        <v>25</v>
      </c>
      <c r="B300" s="45">
        <v>0</v>
      </c>
      <c r="C300" s="45">
        <v>239014.97373000009</v>
      </c>
      <c r="D300" s="45">
        <v>0</v>
      </c>
      <c r="E300" s="45">
        <v>143208.9065687228</v>
      </c>
      <c r="F300" s="45">
        <v>239014.97373000009</v>
      </c>
      <c r="G300" s="45">
        <v>143208.9065687228</v>
      </c>
    </row>
    <row r="301" spans="1:7" ht="11.25" customHeight="1" x14ac:dyDescent="0.2">
      <c r="A301" s="54" t="s">
        <v>25</v>
      </c>
      <c r="B301" s="45">
        <v>0</v>
      </c>
      <c r="C301" s="45">
        <v>239014.97373000009</v>
      </c>
      <c r="D301" s="45">
        <v>0</v>
      </c>
      <c r="E301" s="45">
        <v>143208.9065687228</v>
      </c>
      <c r="F301" s="45">
        <v>239014.97373000009</v>
      </c>
      <c r="G301" s="45">
        <v>143208.9065687228</v>
      </c>
    </row>
    <row r="302" spans="1:7" ht="11.25" customHeight="1" x14ac:dyDescent="0.2">
      <c r="A302" s="55">
        <v>44409</v>
      </c>
      <c r="B302" s="45">
        <v>0</v>
      </c>
      <c r="C302" s="45">
        <v>15968.257500000003</v>
      </c>
      <c r="D302" s="45">
        <v>0</v>
      </c>
      <c r="E302" s="45">
        <v>9567.5875895794525</v>
      </c>
      <c r="F302" s="45">
        <v>15968.257500000003</v>
      </c>
      <c r="G302" s="45">
        <v>9567.5875895794525</v>
      </c>
    </row>
    <row r="303" spans="1:7" ht="11.25" customHeight="1" x14ac:dyDescent="0.2">
      <c r="A303" s="55">
        <v>44440</v>
      </c>
      <c r="B303" s="45">
        <v>0</v>
      </c>
      <c r="C303" s="45">
        <v>18267.143310000003</v>
      </c>
      <c r="D303" s="45">
        <v>0</v>
      </c>
      <c r="E303" s="45">
        <v>10944.9946952462</v>
      </c>
      <c r="F303" s="45">
        <v>18267.143310000003</v>
      </c>
      <c r="G303" s="45">
        <v>10944.9946952462</v>
      </c>
    </row>
    <row r="304" spans="1:7" ht="11.25" customHeight="1" x14ac:dyDescent="0.2">
      <c r="A304" s="55">
        <v>44470</v>
      </c>
      <c r="B304" s="45">
        <v>0</v>
      </c>
      <c r="C304" s="45">
        <v>18150.961140000007</v>
      </c>
      <c r="D304" s="45">
        <v>0</v>
      </c>
      <c r="E304" s="45">
        <v>10875.38264848265</v>
      </c>
      <c r="F304" s="45">
        <v>18150.961140000007</v>
      </c>
      <c r="G304" s="45">
        <v>10875.38264848265</v>
      </c>
    </row>
    <row r="305" spans="1:7" ht="11.25" customHeight="1" x14ac:dyDescent="0.2">
      <c r="A305" s="55">
        <v>44501</v>
      </c>
      <c r="B305" s="45">
        <v>0</v>
      </c>
      <c r="C305" s="45">
        <v>23392.818150000006</v>
      </c>
      <c r="D305" s="45">
        <v>0</v>
      </c>
      <c r="E305" s="45">
        <v>14016.108934693029</v>
      </c>
      <c r="F305" s="45">
        <v>23392.818150000006</v>
      </c>
      <c r="G305" s="45">
        <v>14016.108934693029</v>
      </c>
    </row>
    <row r="306" spans="1:7" ht="11.25" customHeight="1" x14ac:dyDescent="0.2">
      <c r="A306" s="55">
        <v>44531</v>
      </c>
      <c r="B306" s="45">
        <v>0</v>
      </c>
      <c r="C306" s="45">
        <v>29688.618960000007</v>
      </c>
      <c r="D306" s="45">
        <v>0</v>
      </c>
      <c r="E306" s="45">
        <v>17788.319252332276</v>
      </c>
      <c r="F306" s="45">
        <v>29688.618960000007</v>
      </c>
      <c r="G306" s="45">
        <v>17788.319252332276</v>
      </c>
    </row>
    <row r="307" spans="1:7" ht="11.25" customHeight="1" x14ac:dyDescent="0.2">
      <c r="A307" s="55">
        <v>44562</v>
      </c>
      <c r="B307" s="45">
        <v>0</v>
      </c>
      <c r="C307" s="45">
        <v>25512.890520000001</v>
      </c>
      <c r="D307" s="45">
        <v>0</v>
      </c>
      <c r="E307" s="45">
        <v>15286.377659769782</v>
      </c>
      <c r="F307" s="45">
        <v>25512.890520000001</v>
      </c>
      <c r="G307" s="45">
        <v>15286.377659769782</v>
      </c>
    </row>
    <row r="308" spans="1:7" ht="11.25" customHeight="1" x14ac:dyDescent="0.2">
      <c r="A308" s="55">
        <v>44593</v>
      </c>
      <c r="B308" s="45">
        <v>0</v>
      </c>
      <c r="C308" s="45">
        <v>24420.219330000007</v>
      </c>
      <c r="D308" s="45">
        <v>0</v>
      </c>
      <c r="E308" s="45">
        <v>14631.689612753069</v>
      </c>
      <c r="F308" s="45">
        <v>24420.219330000007</v>
      </c>
      <c r="G308" s="45">
        <v>14631.689612753069</v>
      </c>
    </row>
    <row r="309" spans="1:7" ht="11.25" customHeight="1" x14ac:dyDescent="0.2">
      <c r="A309" s="55">
        <v>44621</v>
      </c>
      <c r="B309" s="45">
        <v>0</v>
      </c>
      <c r="C309" s="45">
        <v>18421.742430000002</v>
      </c>
      <c r="D309" s="45">
        <v>0</v>
      </c>
      <c r="E309" s="45">
        <v>11037.624753464632</v>
      </c>
      <c r="F309" s="45">
        <v>18421.742430000002</v>
      </c>
      <c r="G309" s="45">
        <v>11037.624753464632</v>
      </c>
    </row>
    <row r="310" spans="1:7" ht="11.25" customHeight="1" x14ac:dyDescent="0.2">
      <c r="A310" s="55">
        <v>44652</v>
      </c>
      <c r="B310" s="45">
        <v>0</v>
      </c>
      <c r="C310" s="45">
        <v>16377.106980000002</v>
      </c>
      <c r="D310" s="45">
        <v>0</v>
      </c>
      <c r="E310" s="45">
        <v>9812.5550326992798</v>
      </c>
      <c r="F310" s="45">
        <v>16377.106980000002</v>
      </c>
      <c r="G310" s="45">
        <v>9812.5550326992798</v>
      </c>
    </row>
    <row r="311" spans="1:7" ht="11.25" customHeight="1" x14ac:dyDescent="0.2">
      <c r="A311" s="55">
        <v>44682</v>
      </c>
      <c r="B311" s="45">
        <v>0</v>
      </c>
      <c r="C311" s="45">
        <v>15131.932140000004</v>
      </c>
      <c r="D311" s="45">
        <v>0</v>
      </c>
      <c r="E311" s="45">
        <v>9066.4924553616729</v>
      </c>
      <c r="F311" s="45">
        <v>15131.932140000004</v>
      </c>
      <c r="G311" s="45">
        <v>9066.4924553616729</v>
      </c>
    </row>
    <row r="312" spans="1:7" ht="11.25" customHeight="1" x14ac:dyDescent="0.2">
      <c r="A312" s="55">
        <v>44713</v>
      </c>
      <c r="B312" s="45">
        <v>0</v>
      </c>
      <c r="C312" s="45">
        <v>16650.682230000002</v>
      </c>
      <c r="D312" s="45">
        <v>0</v>
      </c>
      <c r="E312" s="45">
        <v>9976.471174877981</v>
      </c>
      <c r="F312" s="45">
        <v>16650.682230000002</v>
      </c>
      <c r="G312" s="45">
        <v>9976.471174877981</v>
      </c>
    </row>
    <row r="313" spans="1:7" ht="11.25" customHeight="1" x14ac:dyDescent="0.2">
      <c r="A313" s="55">
        <v>44743</v>
      </c>
      <c r="B313" s="45">
        <v>0</v>
      </c>
      <c r="C313" s="45">
        <v>17032.601040000001</v>
      </c>
      <c r="D313" s="45">
        <v>0</v>
      </c>
      <c r="E313" s="45">
        <v>10205.302759462771</v>
      </c>
      <c r="F313" s="45">
        <v>17032.601040000001</v>
      </c>
      <c r="G313" s="45">
        <v>10205.302759462771</v>
      </c>
    </row>
    <row r="314" spans="1:7" ht="11.25" customHeight="1" x14ac:dyDescent="0.2">
      <c r="A314" s="47" t="s">
        <v>696</v>
      </c>
      <c r="B314" s="45">
        <v>0</v>
      </c>
      <c r="C314" s="45">
        <v>0</v>
      </c>
      <c r="D314" s="45">
        <v>0</v>
      </c>
      <c r="E314" s="45">
        <v>0</v>
      </c>
      <c r="F314" s="45">
        <v>0</v>
      </c>
      <c r="G314" s="45">
        <v>0</v>
      </c>
    </row>
    <row r="315" spans="1:7" ht="11.25" customHeight="1" x14ac:dyDescent="0.2">
      <c r="A315" s="48" t="s">
        <v>22</v>
      </c>
      <c r="B315" s="45">
        <v>0</v>
      </c>
      <c r="C315" s="45">
        <v>0</v>
      </c>
      <c r="D315" s="45">
        <v>0</v>
      </c>
      <c r="E315" s="45">
        <v>0</v>
      </c>
      <c r="F315" s="45">
        <v>0</v>
      </c>
      <c r="G315" s="45">
        <v>0</v>
      </c>
    </row>
    <row r="316" spans="1:7" ht="11.25" customHeight="1" x14ac:dyDescent="0.2">
      <c r="A316" s="49" t="s">
        <v>23</v>
      </c>
      <c r="B316" s="45">
        <v>0</v>
      </c>
      <c r="C316" s="45">
        <v>0</v>
      </c>
      <c r="D316" s="45">
        <v>0</v>
      </c>
      <c r="E316" s="45">
        <v>0</v>
      </c>
      <c r="F316" s="45">
        <v>0</v>
      </c>
      <c r="G316" s="45">
        <v>0</v>
      </c>
    </row>
    <row r="317" spans="1:7" ht="11.25" customHeight="1" x14ac:dyDescent="0.2">
      <c r="A317" s="50" t="s">
        <v>24</v>
      </c>
      <c r="B317" s="45">
        <v>0</v>
      </c>
      <c r="C317" s="45">
        <v>0</v>
      </c>
      <c r="D317" s="45">
        <v>0</v>
      </c>
      <c r="E317" s="45">
        <v>0</v>
      </c>
      <c r="F317" s="45">
        <v>0</v>
      </c>
      <c r="G317" s="45">
        <v>0</v>
      </c>
    </row>
    <row r="318" spans="1:7" ht="11.25" customHeight="1" x14ac:dyDescent="0.2">
      <c r="A318" s="51" t="s">
        <v>24</v>
      </c>
      <c r="B318" s="45">
        <v>0</v>
      </c>
      <c r="C318" s="45">
        <v>0</v>
      </c>
      <c r="D318" s="45">
        <v>0</v>
      </c>
      <c r="E318" s="45">
        <v>0</v>
      </c>
      <c r="F318" s="45">
        <v>0</v>
      </c>
      <c r="G318" s="45">
        <v>0</v>
      </c>
    </row>
    <row r="319" spans="1:7" ht="11.25" customHeight="1" x14ac:dyDescent="0.2">
      <c r="A319" s="52" t="s">
        <v>25</v>
      </c>
      <c r="B319" s="45">
        <v>0</v>
      </c>
      <c r="C319" s="45">
        <v>0</v>
      </c>
      <c r="D319" s="45">
        <v>0</v>
      </c>
      <c r="E319" s="45">
        <v>0</v>
      </c>
      <c r="F319" s="45">
        <v>0</v>
      </c>
      <c r="G319" s="45">
        <v>0</v>
      </c>
    </row>
    <row r="320" spans="1:7" ht="11.25" customHeight="1" x14ac:dyDescent="0.2">
      <c r="A320" s="53" t="s">
        <v>25</v>
      </c>
      <c r="B320" s="45">
        <v>0</v>
      </c>
      <c r="C320" s="45">
        <v>0</v>
      </c>
      <c r="D320" s="45">
        <v>0</v>
      </c>
      <c r="E320" s="45">
        <v>0</v>
      </c>
      <c r="F320" s="45">
        <v>0</v>
      </c>
      <c r="G320" s="45">
        <v>0</v>
      </c>
    </row>
    <row r="321" spans="1:7" ht="11.25" customHeight="1" x14ac:dyDescent="0.2">
      <c r="A321" s="54" t="s">
        <v>25</v>
      </c>
      <c r="B321" s="45">
        <v>0</v>
      </c>
      <c r="C321" s="45">
        <v>0</v>
      </c>
      <c r="D321" s="45">
        <v>0</v>
      </c>
      <c r="E321" s="45">
        <v>0</v>
      </c>
      <c r="F321" s="45">
        <v>0</v>
      </c>
      <c r="G321" s="45">
        <v>0</v>
      </c>
    </row>
    <row r="322" spans="1:7" ht="11.25" customHeight="1" x14ac:dyDescent="0.2">
      <c r="A322" s="55">
        <v>44409</v>
      </c>
      <c r="B322" s="45">
        <v>0</v>
      </c>
      <c r="C322" s="45">
        <v>0</v>
      </c>
      <c r="D322" s="45">
        <v>0</v>
      </c>
      <c r="E322" s="45">
        <v>0</v>
      </c>
      <c r="F322" s="45">
        <v>0</v>
      </c>
      <c r="G322" s="45">
        <v>0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E6E2E-61DA-465B-BA26-7CBE1C20C791}">
  <dimension ref="A1:V35"/>
  <sheetViews>
    <sheetView showGridLines="0" tabSelected="1" workbookViewId="0">
      <selection activeCell="C24" sqref="C23:C24"/>
    </sheetView>
  </sheetViews>
  <sheetFormatPr defaultRowHeight="11.25" customHeight="1" x14ac:dyDescent="0.3"/>
  <cols>
    <col min="1" max="1" width="9" style="8" bestFit="1" customWidth="1"/>
    <col min="2" max="2" width="10.33203125" style="8" bestFit="1" customWidth="1"/>
    <col min="3" max="3" width="9.5546875" style="8" bestFit="1" customWidth="1"/>
    <col min="4" max="4" width="5.88671875" style="8" bestFit="1" customWidth="1"/>
    <col min="5" max="10" width="7.77734375" style="8" customWidth="1"/>
    <col min="11" max="12" width="8.88671875" style="8"/>
    <col min="13" max="13" width="14.33203125" style="8" customWidth="1"/>
    <col min="14" max="14" width="16.77734375" style="8" customWidth="1"/>
    <col min="15" max="15" width="31.77734375" style="8" customWidth="1"/>
    <col min="16" max="22" width="7.77734375" style="8" customWidth="1"/>
    <col min="23" max="16384" width="8.88671875" style="8"/>
  </cols>
  <sheetData>
    <row r="1" spans="1:22" ht="11.25" customHeight="1" x14ac:dyDescent="0.3">
      <c r="A1" s="134" t="s">
        <v>763</v>
      </c>
      <c r="B1" s="161"/>
      <c r="C1" s="161"/>
      <c r="D1" s="161"/>
      <c r="E1" s="161"/>
      <c r="F1" s="161"/>
      <c r="G1" s="161"/>
      <c r="H1" s="161"/>
      <c r="I1" s="161"/>
      <c r="J1" s="161"/>
      <c r="L1" s="134" t="s">
        <v>773</v>
      </c>
      <c r="M1" s="135"/>
      <c r="N1" s="135"/>
      <c r="O1" s="135"/>
      <c r="P1" s="135"/>
      <c r="Q1" s="135"/>
      <c r="R1" s="135"/>
      <c r="S1" s="135"/>
      <c r="T1" s="135"/>
      <c r="U1" s="135"/>
      <c r="V1" s="135"/>
    </row>
    <row r="2" spans="1:22" ht="11.25" customHeight="1" x14ac:dyDescent="0.3">
      <c r="A2" s="152" t="s">
        <v>68</v>
      </c>
      <c r="B2" s="152" t="s">
        <v>69</v>
      </c>
      <c r="C2" s="152" t="s">
        <v>764</v>
      </c>
      <c r="D2" s="152" t="s">
        <v>74</v>
      </c>
      <c r="E2" s="152" t="s">
        <v>765</v>
      </c>
      <c r="F2" s="160"/>
      <c r="G2" s="160"/>
      <c r="H2" s="152" t="s">
        <v>529</v>
      </c>
      <c r="I2" s="160"/>
      <c r="J2" s="160"/>
      <c r="L2" s="152" t="s">
        <v>68</v>
      </c>
      <c r="M2" s="152" t="s">
        <v>69</v>
      </c>
      <c r="N2" s="152" t="s">
        <v>70</v>
      </c>
      <c r="O2" s="152" t="s">
        <v>71</v>
      </c>
      <c r="P2" s="152" t="s">
        <v>74</v>
      </c>
      <c r="Q2" s="152" t="s">
        <v>765</v>
      </c>
      <c r="R2" s="158"/>
      <c r="S2" s="158"/>
      <c r="T2" s="152" t="s">
        <v>529</v>
      </c>
      <c r="U2" s="158"/>
      <c r="V2" s="158"/>
    </row>
    <row r="3" spans="1:22" ht="11.25" customHeight="1" x14ac:dyDescent="0.3">
      <c r="A3" s="160"/>
      <c r="B3" s="160"/>
      <c r="C3" s="160"/>
      <c r="D3" s="160"/>
      <c r="E3" s="152" t="s">
        <v>487</v>
      </c>
      <c r="F3" s="160"/>
      <c r="G3" s="36" t="s">
        <v>515</v>
      </c>
      <c r="H3" s="152" t="s">
        <v>487</v>
      </c>
      <c r="I3" s="160"/>
      <c r="J3" s="36" t="s">
        <v>515</v>
      </c>
      <c r="L3" s="158"/>
      <c r="M3" s="158"/>
      <c r="N3" s="158"/>
      <c r="O3" s="158"/>
      <c r="P3" s="158"/>
      <c r="Q3" s="152" t="s">
        <v>487</v>
      </c>
      <c r="R3" s="158"/>
      <c r="S3" s="36" t="s">
        <v>515</v>
      </c>
      <c r="T3" s="152" t="s">
        <v>487</v>
      </c>
      <c r="U3" s="158"/>
      <c r="V3" s="36" t="s">
        <v>515</v>
      </c>
    </row>
    <row r="4" spans="1:22" ht="11.25" customHeight="1" x14ac:dyDescent="0.3">
      <c r="A4" s="160"/>
      <c r="B4" s="160"/>
      <c r="C4" s="160"/>
      <c r="D4" s="160"/>
      <c r="E4" s="36" t="s">
        <v>766</v>
      </c>
      <c r="F4" s="36" t="s">
        <v>767</v>
      </c>
      <c r="G4" s="36" t="s">
        <v>767</v>
      </c>
      <c r="H4" s="36" t="s">
        <v>766</v>
      </c>
      <c r="I4" s="36" t="s">
        <v>767</v>
      </c>
      <c r="J4" s="36" t="s">
        <v>767</v>
      </c>
      <c r="L4" s="158"/>
      <c r="M4" s="158"/>
      <c r="N4" s="158"/>
      <c r="O4" s="158"/>
      <c r="P4" s="158"/>
      <c r="Q4" s="36" t="s">
        <v>766</v>
      </c>
      <c r="R4" s="36" t="s">
        <v>767</v>
      </c>
      <c r="S4" s="36" t="s">
        <v>767</v>
      </c>
      <c r="T4" s="36" t="s">
        <v>766</v>
      </c>
      <c r="U4" s="36" t="s">
        <v>767</v>
      </c>
      <c r="V4" s="36" t="s">
        <v>767</v>
      </c>
    </row>
    <row r="5" spans="1:22" ht="11.25" customHeight="1" x14ac:dyDescent="0.3">
      <c r="A5" s="159" t="s">
        <v>61</v>
      </c>
      <c r="B5" s="159" t="s">
        <v>54</v>
      </c>
      <c r="C5" s="159" t="s">
        <v>25</v>
      </c>
      <c r="D5" s="37" t="s">
        <v>768</v>
      </c>
      <c r="E5" s="35">
        <f ca="1">ROUND('TUSD BE'!$AM$5+'TUSD BF_350'!$AM$5+'TUSD CVA'!$AM$5,2)</f>
        <v>22.32</v>
      </c>
      <c r="F5" s="35">
        <f ca="1">ROUND('TUSD BE'!$AM$7+'TUSD BF_350'!$AM$7+'TUSD CVA'!$AM$7,2)</f>
        <v>94.14</v>
      </c>
      <c r="G5" s="35">
        <f ca="1">ROUND('TE BE'!$AB$5+'TE BF_350'!$AB$5+'TE CVA'!$AB$5,2)</f>
        <v>399.84</v>
      </c>
      <c r="H5" s="35">
        <f ca="1">ROUND('TUSD BE'!$AM$5,2)</f>
        <v>28.41</v>
      </c>
      <c r="I5" s="35">
        <f ca="1">ROUND('TUSD BE'!$AM$7,2)</f>
        <v>87.62</v>
      </c>
      <c r="J5" s="35">
        <f>ROUND('TE BE'!$AB$5,2)</f>
        <v>479.45</v>
      </c>
      <c r="L5" s="155" t="s">
        <v>22</v>
      </c>
      <c r="M5" s="155" t="s">
        <v>774</v>
      </c>
      <c r="N5" s="155" t="s">
        <v>775</v>
      </c>
      <c r="O5" s="155" t="s">
        <v>775</v>
      </c>
      <c r="P5" s="37" t="s">
        <v>768</v>
      </c>
      <c r="Q5" s="35">
        <v>0</v>
      </c>
      <c r="R5" s="35">
        <f ca="1">ROUND('TUSD BE'!$AM$21+'TUSD BF_350'!$AM$21+'TUSD CVA'!$AM$21,2)</f>
        <v>571.59</v>
      </c>
      <c r="S5" s="35">
        <f ca="1">ROUND('TE BE'!$AB$9+'TE BF_350'!$AB$9+'TE CVA'!$AB$9,2)</f>
        <v>399.84</v>
      </c>
      <c r="T5" s="35">
        <v>0</v>
      </c>
      <c r="U5" s="35">
        <f ca="1">ROUND('TUSD BE'!$AM$21,2)</f>
        <v>1774.56</v>
      </c>
      <c r="V5" s="35">
        <f>ROUND('TE BE'!$AB$9,2)</f>
        <v>479.45</v>
      </c>
    </row>
    <row r="6" spans="1:22" ht="11.25" customHeight="1" x14ac:dyDescent="0.3">
      <c r="A6" s="160"/>
      <c r="B6" s="160"/>
      <c r="C6" s="160"/>
      <c r="D6" s="37" t="s">
        <v>769</v>
      </c>
      <c r="E6" s="35">
        <f ca="1">ROUND('TUSD BE'!$AM$6+'TUSD BF_350'!$AM$6+'TUSD CVA'!$AM$6,2)</f>
        <v>12.29</v>
      </c>
      <c r="F6" s="35">
        <f ca="1">ROUND('TUSD BE'!$AM$7+'TUSD BF_350'!$AM$7+'TUSD CVA'!$AM$7,2)</f>
        <v>94.14</v>
      </c>
      <c r="G6" s="35">
        <f ca="1">ROUND('TE BE'!$AB$6+'TE BF_350'!$AB$6+'TE CVA'!$AB$6,2)</f>
        <v>250.04</v>
      </c>
      <c r="H6" s="35">
        <f ca="1">ROUND('TUSD BE'!$AM$6,2)</f>
        <v>17.579999999999998</v>
      </c>
      <c r="I6" s="35">
        <f ca="1">ROUND('TUSD BE'!$AM$7,2)</f>
        <v>87.62</v>
      </c>
      <c r="J6" s="35">
        <f>ROUND('TE BE'!$AB$6,2)</f>
        <v>282.02</v>
      </c>
      <c r="L6" s="156"/>
      <c r="M6" s="156"/>
      <c r="N6" s="156"/>
      <c r="O6" s="156"/>
      <c r="P6" s="37" t="s">
        <v>776</v>
      </c>
      <c r="Q6" s="35">
        <v>0</v>
      </c>
      <c r="R6" s="35">
        <f ca="1">ROUND('TUSD BE'!$AM$22+'TUSD BF_350'!$AM$22+'TUSD CVA'!$AM$22,2)</f>
        <v>405.71</v>
      </c>
      <c r="S6" s="35">
        <f ca="1">ROUND('TE BE'!$AB$10+'TE BF_350'!$AB$10+'TE CVA'!$AB$10,2)</f>
        <v>250.04</v>
      </c>
      <c r="T6" s="35">
        <v>0</v>
      </c>
      <c r="U6" s="35">
        <f ca="1">ROUND('TUSD BE'!$AM$22,2)</f>
        <v>337.14</v>
      </c>
      <c r="V6" s="35">
        <f>ROUND('TE BE'!$AB$10,2)</f>
        <v>282.02</v>
      </c>
    </row>
    <row r="7" spans="1:22" ht="11.25" customHeight="1" x14ac:dyDescent="0.3">
      <c r="A7" s="160"/>
      <c r="B7" s="159" t="s">
        <v>770</v>
      </c>
      <c r="C7" s="159" t="s">
        <v>25</v>
      </c>
      <c r="D7" s="37" t="s">
        <v>768</v>
      </c>
      <c r="E7" s="35">
        <f ca="1">ROUND('TUSD BE'!$AM$5+'TUSD BF_350'!$AM$5+'TUSD CVA'!$AM$5,2)</f>
        <v>22.32</v>
      </c>
      <c r="F7" s="35">
        <f ca="1">ROUND('TUSD BE'!$AM$8+'TUSD BF_350'!$AM$8+'TUSD CVA'!$AM$8,2)</f>
        <v>11.68</v>
      </c>
      <c r="G7" s="35">
        <v>0</v>
      </c>
      <c r="H7" s="35">
        <f ca="1">ROUND('TUSD BE'!$AM$5,2)</f>
        <v>28.41</v>
      </c>
      <c r="I7" s="35">
        <f ca="1">ROUND('TUSD BE'!$AM$8,2)</f>
        <v>7.05</v>
      </c>
      <c r="J7" s="35">
        <v>0</v>
      </c>
      <c r="L7" s="156"/>
      <c r="M7" s="157"/>
      <c r="N7" s="157"/>
      <c r="O7" s="157"/>
      <c r="P7" s="37" t="s">
        <v>769</v>
      </c>
      <c r="Q7" s="35">
        <v>0</v>
      </c>
      <c r="R7" s="35">
        <f ca="1">ROUND('TUSD BE'!$AM$23+'TUSD BF_350'!$AM$23+'TUSD CVA'!$AM$23,2)</f>
        <v>239.83</v>
      </c>
      <c r="S7" s="35">
        <f ca="1">ROUND('TE BE'!$AB$11+'TE BF_350'!$AB$11+'TE CVA'!$AB$11,2)</f>
        <v>250.04</v>
      </c>
      <c r="T7" s="35">
        <v>0</v>
      </c>
      <c r="U7" s="35">
        <f ca="1">ROUND('TUSD BE'!$AM$23,2)</f>
        <v>203.31</v>
      </c>
      <c r="V7" s="35">
        <f>ROUND('TE BE'!$AB$11,2)</f>
        <v>282.02</v>
      </c>
    </row>
    <row r="8" spans="1:22" ht="11.25" customHeight="1" x14ac:dyDescent="0.3">
      <c r="A8" s="160"/>
      <c r="B8" s="160"/>
      <c r="C8" s="160"/>
      <c r="D8" s="37" t="s">
        <v>769</v>
      </c>
      <c r="E8" s="35">
        <f ca="1">ROUND('TUSD BE'!$AM$6+'TUSD BF_350'!$AM$6+'TUSD CVA'!$AM$6,2)</f>
        <v>12.29</v>
      </c>
      <c r="F8" s="35">
        <f ca="1">ROUND('TUSD BE'!$AM$8+'TUSD BF_350'!$AM$8+'TUSD CVA'!$AM$8,2)</f>
        <v>11.68</v>
      </c>
      <c r="G8" s="35">
        <v>0</v>
      </c>
      <c r="H8" s="35">
        <f ca="1">ROUND('TUSD BE'!$AM$6,2)</f>
        <v>17.579999999999998</v>
      </c>
      <c r="I8" s="35">
        <f ca="1">ROUND('TUSD BE'!$AM$8,2)</f>
        <v>7.05</v>
      </c>
      <c r="J8" s="35">
        <v>0</v>
      </c>
      <c r="L8" s="156"/>
      <c r="M8" s="37" t="s">
        <v>777</v>
      </c>
      <c r="N8" s="37" t="s">
        <v>775</v>
      </c>
      <c r="O8" s="37" t="s">
        <v>775</v>
      </c>
      <c r="P8" s="37" t="s">
        <v>771</v>
      </c>
      <c r="Q8" s="35">
        <v>0</v>
      </c>
      <c r="R8" s="35">
        <f ca="1">ROUND('TUSD BE'!$AM$29+'TUSD BF_350'!$AM$29+'TUSD CVA'!$AM$29,2)</f>
        <v>310.49</v>
      </c>
      <c r="S8" s="35">
        <f ca="1">ROUND('TE BE'!$AB$17+'TE BF_350'!$AB$17+'TE CVA'!$AB$17,2)</f>
        <v>262.52999999999997</v>
      </c>
      <c r="T8" s="35">
        <v>0</v>
      </c>
      <c r="U8" s="35">
        <f ca="1">ROUND('TUSD BE'!$AM$29,2)</f>
        <v>446.1</v>
      </c>
      <c r="V8" s="35">
        <f>ROUND('TE BE'!$AB$17,2)</f>
        <v>298.47000000000003</v>
      </c>
    </row>
    <row r="9" spans="1:22" ht="11.25" customHeight="1" x14ac:dyDescent="0.3">
      <c r="A9" s="159" t="s">
        <v>34</v>
      </c>
      <c r="B9" s="159" t="s">
        <v>54</v>
      </c>
      <c r="C9" s="159" t="s">
        <v>25</v>
      </c>
      <c r="D9" s="37" t="s">
        <v>768</v>
      </c>
      <c r="E9" s="35">
        <f ca="1">ROUND('TUSD BE'!$AM$9+'TUSD BF_350'!$AM$9+'TUSD CVA'!$AM$9,2)</f>
        <v>32.35</v>
      </c>
      <c r="F9" s="35">
        <f ca="1">ROUND('TUSD BE'!$AM$11+'TUSD BF_350'!$AM$11+'TUSD CVA'!$AM$11,2)</f>
        <v>126.25</v>
      </c>
      <c r="G9" s="35">
        <f ca="1">ROUND('TE BE'!$AB$7+'TE BF_350'!$AB$7+'TE CVA'!$AB$7,2)</f>
        <v>399.84</v>
      </c>
      <c r="H9" s="35">
        <f ca="1">ROUND('TUSD BE'!$AM$9,2)</f>
        <v>37.880000000000003</v>
      </c>
      <c r="I9" s="35">
        <f ca="1">ROUND('TUSD BE'!$AM$11,2)</f>
        <v>113.34</v>
      </c>
      <c r="J9" s="35">
        <f>ROUND('TE BE'!$AB$7,2)</f>
        <v>479.45</v>
      </c>
      <c r="L9" s="156"/>
      <c r="M9" s="37" t="s">
        <v>779</v>
      </c>
      <c r="N9" s="37" t="s">
        <v>775</v>
      </c>
      <c r="O9" s="37" t="s">
        <v>775</v>
      </c>
      <c r="P9" s="37" t="s">
        <v>771</v>
      </c>
      <c r="Q9" s="35">
        <v>0</v>
      </c>
      <c r="R9" s="35">
        <f ca="1">ROUND('TUSD BE'!$AM$24+'TUSD BF_350'!$AM$24+'TUSD CVA'!$AM$24,2)</f>
        <v>310.49</v>
      </c>
      <c r="S9" s="35">
        <f ca="1">ROUND('TE BE'!$AB$12+'TE BF_350'!$AB$12+'TE CVA'!$AB$12,2)</f>
        <v>262.52999999999997</v>
      </c>
      <c r="T9" s="35">
        <v>0</v>
      </c>
      <c r="U9" s="35">
        <f ca="1">ROUND('TUSD BE'!$AM$24,2)</f>
        <v>446.1</v>
      </c>
      <c r="V9" s="35">
        <f>ROUND('TE BE'!$AB$12,2)</f>
        <v>298.47000000000003</v>
      </c>
    </row>
    <row r="10" spans="1:22" ht="11.25" customHeight="1" x14ac:dyDescent="0.3">
      <c r="A10" s="160"/>
      <c r="B10" s="160"/>
      <c r="C10" s="160"/>
      <c r="D10" s="37" t="s">
        <v>769</v>
      </c>
      <c r="E10" s="35">
        <f ca="1">ROUND('TUSD BE'!$AM$10+'TUSD BF_350'!$AM$10+'TUSD CVA'!$AM$10,2)</f>
        <v>15.64</v>
      </c>
      <c r="F10" s="35">
        <f ca="1">ROUND('TUSD BE'!$AM$11+'TUSD BF_350'!$AM$11+'TUSD CVA'!$AM$11,2)</f>
        <v>126.25</v>
      </c>
      <c r="G10" s="35">
        <f ca="1">ROUND('TE BE'!$AB$8+'TE BF_350'!$AB$8+'TE CVA'!$AB$8,2)</f>
        <v>250.04</v>
      </c>
      <c r="H10" s="35">
        <f ca="1">ROUND('TUSD BE'!$AM$10,2)</f>
        <v>23.44</v>
      </c>
      <c r="I10" s="35">
        <f ca="1">ROUND('TUSD BE'!$AM$11,2)</f>
        <v>113.34</v>
      </c>
      <c r="J10" s="35">
        <f>ROUND('TE BE'!$AB$8,2)</f>
        <v>282.02</v>
      </c>
      <c r="L10" s="156"/>
      <c r="M10" s="37" t="s">
        <v>777</v>
      </c>
      <c r="N10" s="37" t="s">
        <v>775</v>
      </c>
      <c r="O10" s="37" t="s">
        <v>778</v>
      </c>
      <c r="P10" s="37" t="s">
        <v>771</v>
      </c>
      <c r="Q10" s="35">
        <v>0</v>
      </c>
      <c r="R10" s="35">
        <f ca="1">ROUND('TUSD BE'!$AM$30+'TUSD BF_350'!$AM$30+'TUSD CVA'!$AM$30,2)</f>
        <v>187.78</v>
      </c>
      <c r="S10" s="35">
        <f ca="1">ROUND('TE BE'!$AB$18+'TE BF_350'!$AB$18+'TE CVA'!$AB$18,2)</f>
        <v>262.52999999999997</v>
      </c>
      <c r="T10" s="35">
        <v>0</v>
      </c>
      <c r="U10" s="35">
        <f ca="1">ROUND('TUSD BE'!$AM$30,2)</f>
        <v>325.44</v>
      </c>
      <c r="V10" s="35">
        <f>ROUND('TE BE'!$AB$18,2)</f>
        <v>298.47000000000003</v>
      </c>
    </row>
    <row r="11" spans="1:22" ht="11.25" customHeight="1" x14ac:dyDescent="0.3">
      <c r="A11" s="160"/>
      <c r="B11" s="159" t="s">
        <v>770</v>
      </c>
      <c r="C11" s="159" t="s">
        <v>25</v>
      </c>
      <c r="D11" s="37" t="s">
        <v>768</v>
      </c>
      <c r="E11" s="35">
        <f ca="1">ROUND('TUSD BE'!$AM$9+'TUSD BF_350'!$AM$9+'TUSD CVA'!$AM$9,2)</f>
        <v>32.35</v>
      </c>
      <c r="F11" s="35">
        <f ca="1">ROUND('TUSD BE'!$AM$12+'TUSD BF_350'!$AM$12+'TUSD CVA'!$AM$12,2)</f>
        <v>20.49</v>
      </c>
      <c r="G11" s="35">
        <v>0</v>
      </c>
      <c r="H11" s="35">
        <f ca="1">ROUND('TUSD BE'!$AM$9,2)</f>
        <v>37.880000000000003</v>
      </c>
      <c r="I11" s="35">
        <f ca="1">ROUND('TUSD BE'!$AM$12,2)</f>
        <v>9.56</v>
      </c>
      <c r="J11" s="35">
        <v>0</v>
      </c>
      <c r="L11" s="157"/>
      <c r="M11" s="37" t="s">
        <v>779</v>
      </c>
      <c r="N11" s="37" t="s">
        <v>775</v>
      </c>
      <c r="O11" s="37" t="s">
        <v>778</v>
      </c>
      <c r="P11" s="37" t="s">
        <v>771</v>
      </c>
      <c r="Q11" s="35">
        <v>0</v>
      </c>
      <c r="R11" s="35">
        <f ca="1">ROUND('TUSD BE'!$AM$25+'TUSD BF_350'!$AM$25+'TUSD CVA'!$AM$25,2)</f>
        <v>187.78</v>
      </c>
      <c r="S11" s="35">
        <f ca="1">ROUND('TE BE'!$AB$13+'TE BF_350'!$AB$13+'TE CVA'!$AB$13,2)</f>
        <v>262.52999999999997</v>
      </c>
      <c r="T11" s="35">
        <v>0</v>
      </c>
      <c r="U11" s="35">
        <f ca="1">ROUND('TUSD BE'!$AM$25,2)</f>
        <v>325.44</v>
      </c>
      <c r="V11" s="35">
        <f>ROUND('TE BE'!$AB$13,2)</f>
        <v>298.47000000000003</v>
      </c>
    </row>
    <row r="12" spans="1:22" ht="11.25" customHeight="1" x14ac:dyDescent="0.3">
      <c r="A12" s="160"/>
      <c r="B12" s="160"/>
      <c r="C12" s="160"/>
      <c r="D12" s="37" t="s">
        <v>769</v>
      </c>
      <c r="E12" s="35">
        <f ca="1">ROUND('TUSD BE'!$AM$10+'TUSD BF_350'!$AM$10+'TUSD CVA'!$AM$10,2)</f>
        <v>15.64</v>
      </c>
      <c r="F12" s="35">
        <f ca="1">ROUND('TUSD BE'!$AM$12+'TUSD BF_350'!$AM$12+'TUSD CVA'!$AM$12,2)</f>
        <v>20.49</v>
      </c>
      <c r="G12" s="35">
        <v>0</v>
      </c>
      <c r="H12" s="35">
        <f ca="1">ROUND('TUSD BE'!$AM$10,2)</f>
        <v>23.44</v>
      </c>
      <c r="I12" s="35">
        <f ca="1">ROUND('TUSD BE'!$AM$12,2)</f>
        <v>9.56</v>
      </c>
      <c r="J12" s="35">
        <v>0</v>
      </c>
      <c r="L12" s="155" t="s">
        <v>41</v>
      </c>
      <c r="M12" s="155" t="s">
        <v>774</v>
      </c>
      <c r="N12" s="155" t="s">
        <v>780</v>
      </c>
      <c r="O12" s="155" t="s">
        <v>781</v>
      </c>
      <c r="P12" s="37" t="s">
        <v>768</v>
      </c>
      <c r="Q12" s="35">
        <v>0</v>
      </c>
      <c r="R12" s="35">
        <f ca="1">ROUND(('TUSD BE'!$AM$34+'TUSD BF_350'!$AM$34+'TUSD CVA'!$AM$34)*(1-CUSTOS!$M$38),2)</f>
        <v>573.39</v>
      </c>
      <c r="S12" s="35">
        <f ca="1">ROUND(('TE BE'!$AB$22+'TE BF_350'!$AB$22+'TE CVA'!$AB$22)*(1-CUSTOS!$M$38),2)</f>
        <v>375.85</v>
      </c>
      <c r="T12" s="35">
        <v>0</v>
      </c>
      <c r="U12" s="35">
        <f ca="1">ROUND('TUSD BE'!$AM$34*(1-CUSTOS!$M$38),2)</f>
        <v>1858.97</v>
      </c>
      <c r="V12" s="35">
        <f>ROUND('TE BE'!$AB$22*(1-CUSTOS!$M$38),2)</f>
        <v>450.68</v>
      </c>
    </row>
    <row r="13" spans="1:22" ht="11.25" customHeight="1" x14ac:dyDescent="0.3">
      <c r="A13" s="160"/>
      <c r="B13" s="159" t="s">
        <v>35</v>
      </c>
      <c r="C13" s="159" t="s">
        <v>25</v>
      </c>
      <c r="D13" s="37" t="s">
        <v>771</v>
      </c>
      <c r="E13" s="35">
        <f ca="1">ROUND('TUSD BE'!$AM$14+'TUSD BF_350'!$AM$14+'TUSD CVA'!$AM$14,2)</f>
        <v>15.64</v>
      </c>
      <c r="F13" s="35">
        <v>0</v>
      </c>
      <c r="G13" s="35">
        <v>0</v>
      </c>
      <c r="H13" s="35">
        <f ca="1">ROUND('TUSD BE'!$AM$14,2)</f>
        <v>23.44</v>
      </c>
      <c r="I13" s="35">
        <v>0</v>
      </c>
      <c r="J13" s="35">
        <v>0</v>
      </c>
      <c r="L13" s="156"/>
      <c r="M13" s="156"/>
      <c r="N13" s="156"/>
      <c r="O13" s="156"/>
      <c r="P13" s="37" t="s">
        <v>776</v>
      </c>
      <c r="Q13" s="35">
        <v>0</v>
      </c>
      <c r="R13" s="35">
        <f ca="1">ROUND(('TUSD BE'!$AM$35+'TUSD BF_350'!$AM$35+'TUSD CVA'!$AM$35)*(1-CUSTOS!$M$38),2)</f>
        <v>403.03</v>
      </c>
      <c r="S13" s="35">
        <f ca="1">ROUND(('TE BE'!$AB$23+'TE BF_350'!$AB$23+'TE CVA'!$AB$23)*(1-CUSTOS!$M$38),2)</f>
        <v>235.04</v>
      </c>
      <c r="T13" s="35">
        <v>0</v>
      </c>
      <c r="U13" s="35">
        <f ca="1">ROUND('TUSD BE'!$AM$35*(1-CUSTOS!$M$38),2)</f>
        <v>616.44000000000005</v>
      </c>
      <c r="V13" s="35">
        <f>ROUND('TE BE'!$AB$23*(1-CUSTOS!$M$38),2)</f>
        <v>265.10000000000002</v>
      </c>
    </row>
    <row r="14" spans="1:22" ht="11.25" customHeight="1" x14ac:dyDescent="0.3">
      <c r="A14" s="160"/>
      <c r="B14" s="160"/>
      <c r="C14" s="160"/>
      <c r="D14" s="37" t="s">
        <v>768</v>
      </c>
      <c r="E14" s="35">
        <v>0</v>
      </c>
      <c r="F14" s="35">
        <f ca="1">ROUND('TUSD BE'!$AM$15+'TUSD BF_350'!$AM$15+'TUSD CVA'!$AM$15,2)</f>
        <v>911.84</v>
      </c>
      <c r="G14" s="35">
        <f ca="1">ROUND('TE BE'!$AB$7+'TE BF_350'!$AB$7+'TE CVA'!$AB$7,2)</f>
        <v>399.84</v>
      </c>
      <c r="H14" s="35">
        <v>0</v>
      </c>
      <c r="I14" s="35">
        <f ca="1">ROUND('TUSD BE'!$AM$15,2)</f>
        <v>1036.6500000000001</v>
      </c>
      <c r="J14" s="35">
        <f>ROUND('TE BE'!$AB$7,2)</f>
        <v>479.45</v>
      </c>
      <c r="L14" s="156"/>
      <c r="M14" s="157"/>
      <c r="N14" s="157"/>
      <c r="O14" s="157"/>
      <c r="P14" s="37" t="s">
        <v>769</v>
      </c>
      <c r="Q14" s="35">
        <v>0</v>
      </c>
      <c r="R14" s="35">
        <f ca="1">ROUND(('TUSD BE'!$AM$36+'TUSD BF_350'!$AM$36+'TUSD CVA'!$AM$36)*(1-CUSTOS!$M$38),2)</f>
        <v>232.66</v>
      </c>
      <c r="S14" s="35">
        <f ca="1">ROUND(('TE BE'!$AB$24+'TE BF_350'!$AB$24+'TE CVA'!$AB$24)*(1-CUSTOS!$M$38),2)</f>
        <v>235.04</v>
      </c>
      <c r="T14" s="35">
        <v>0</v>
      </c>
      <c r="U14" s="35">
        <f ca="1">ROUND('TUSD BE'!$AM$36*(1-CUSTOS!$M$38),2)</f>
        <v>216.47</v>
      </c>
      <c r="V14" s="35">
        <f>ROUND('TE BE'!$AB$24*(1-CUSTOS!$M$38),2)</f>
        <v>265.10000000000002</v>
      </c>
    </row>
    <row r="15" spans="1:22" ht="11.25" customHeight="1" x14ac:dyDescent="0.3">
      <c r="A15" s="160"/>
      <c r="B15" s="160"/>
      <c r="C15" s="160"/>
      <c r="D15" s="37" t="s">
        <v>769</v>
      </c>
      <c r="E15" s="35">
        <v>0</v>
      </c>
      <c r="F15" s="35">
        <f ca="1">ROUND('TUSD BE'!$AM$16+'TUSD BF_350'!$AM$16+'TUSD CVA'!$AM$16,2)</f>
        <v>126.25</v>
      </c>
      <c r="G15" s="35">
        <f ca="1">ROUND('TE BE'!$AB$8+'TE BF_350'!$AB$8+'TE CVA'!$AB$8,2)</f>
        <v>250.04</v>
      </c>
      <c r="H15" s="35">
        <v>0</v>
      </c>
      <c r="I15" s="35">
        <f ca="1">ROUND('TUSD BE'!$AM$16,2)</f>
        <v>113.34</v>
      </c>
      <c r="J15" s="35">
        <f>ROUND('TE BE'!$AB$8,2)</f>
        <v>282.02</v>
      </c>
      <c r="L15" s="156"/>
      <c r="M15" s="37" t="s">
        <v>777</v>
      </c>
      <c r="N15" s="37" t="s">
        <v>780</v>
      </c>
      <c r="O15" s="37" t="s">
        <v>781</v>
      </c>
      <c r="P15" s="37" t="s">
        <v>771</v>
      </c>
      <c r="Q15" s="35">
        <v>0</v>
      </c>
      <c r="R15" s="35">
        <f ca="1">ROUND(('TUSD BE'!$AM$46+'TUSD BF_350'!$AM$46+'TUSD CVA'!$AM$46)*(1-CUSTOS!$M$38),2)</f>
        <v>291.86</v>
      </c>
      <c r="S15" s="35">
        <f ca="1">ROUND(('TE BE'!$AB$34+'TE BF_350'!$AB$34+'TE CVA'!$AB$34)*(1-CUSTOS!$M$38),2)</f>
        <v>246.78</v>
      </c>
      <c r="T15" s="35">
        <v>0</v>
      </c>
      <c r="U15" s="35">
        <f ca="1">ROUND(('TUSD BE'!$AM$46)*(1-CUSTOS!$M$38),2)</f>
        <v>419.33</v>
      </c>
      <c r="V15" s="35">
        <f>ROUND(('TE BE'!$AB$34)*(1-CUSTOS!$M$38),2)</f>
        <v>280.56</v>
      </c>
    </row>
    <row r="16" spans="1:22" ht="11.25" customHeight="1" x14ac:dyDescent="0.3">
      <c r="A16" s="160"/>
      <c r="B16" s="159" t="s">
        <v>772</v>
      </c>
      <c r="C16" s="159" t="s">
        <v>25</v>
      </c>
      <c r="D16" s="37" t="s">
        <v>771</v>
      </c>
      <c r="E16" s="35">
        <f ca="1">ROUND('TUSD BE'!$AM$14+'TUSD BF_350'!$AM$14+'TUSD CVA'!$AM$14,2)</f>
        <v>15.64</v>
      </c>
      <c r="F16" s="35">
        <v>0</v>
      </c>
      <c r="G16" s="35">
        <v>0</v>
      </c>
      <c r="H16" s="35">
        <f ca="1">ROUND('TUSD BE'!$AM$14,2)</f>
        <v>23.44</v>
      </c>
      <c r="I16" s="35">
        <v>0</v>
      </c>
      <c r="J16" s="35">
        <v>0</v>
      </c>
      <c r="L16" s="156"/>
      <c r="M16" s="37" t="s">
        <v>779</v>
      </c>
      <c r="N16" s="37" t="s">
        <v>780</v>
      </c>
      <c r="O16" s="37" t="s">
        <v>781</v>
      </c>
      <c r="P16" s="37" t="s">
        <v>771</v>
      </c>
      <c r="Q16" s="35">
        <v>0</v>
      </c>
      <c r="R16" s="35">
        <f ca="1">ROUND(('TUSD BE'!$AM$37+'TUSD BF_350'!$AM$37+'TUSD CVA'!$AM$37)*(1-CUSTOS!$M$38),2)</f>
        <v>291.86</v>
      </c>
      <c r="S16" s="35">
        <f ca="1">ROUND(('TE BE'!$AB$25+'TE BF_350'!$AB$25+'TE CVA'!$AB$25)*(1-CUSTOS!$M$38),2)</f>
        <v>246.78</v>
      </c>
      <c r="T16" s="35">
        <v>0</v>
      </c>
      <c r="U16" s="35">
        <f ca="1">ROUND(('TUSD BE'!$AM$37)*(1-CUSTOS!$M$38),2)</f>
        <v>419.33</v>
      </c>
      <c r="V16" s="35">
        <f>ROUND(('TE BE'!$AB$25)*(1-CUSTOS!$M$38),2)</f>
        <v>280.56</v>
      </c>
    </row>
    <row r="17" spans="1:22" ht="11.25" customHeight="1" x14ac:dyDescent="0.3">
      <c r="A17" s="160"/>
      <c r="B17" s="160"/>
      <c r="C17" s="160"/>
      <c r="D17" s="37" t="s">
        <v>768</v>
      </c>
      <c r="E17" s="35">
        <v>0</v>
      </c>
      <c r="F17" s="35">
        <f ca="1">ROUND('TUSD BE'!$AM$17+'TUSD BF_350'!$AM$17+'TUSD CVA'!$AM$17,2)</f>
        <v>806.08</v>
      </c>
      <c r="G17" s="35">
        <v>0</v>
      </c>
      <c r="H17" s="35">
        <v>0</v>
      </c>
      <c r="I17" s="35">
        <f ca="1">ROUND('TUSD BE'!$AM$17,2)</f>
        <v>932.87</v>
      </c>
      <c r="J17" s="35">
        <v>0</v>
      </c>
      <c r="L17" s="156"/>
      <c r="M17" s="155" t="s">
        <v>774</v>
      </c>
      <c r="N17" s="155" t="s">
        <v>780</v>
      </c>
      <c r="O17" s="155" t="s">
        <v>782</v>
      </c>
      <c r="P17" s="37" t="s">
        <v>768</v>
      </c>
      <c r="Q17" s="35">
        <v>0</v>
      </c>
      <c r="R17" s="35">
        <f ca="1">ROUND(('TUSD BE'!$AM$38+'TUSD BF_350'!$AM$38+'TUSD CVA'!$AM$38)*(1-CUSTOS!$M$39),2)</f>
        <v>573.39</v>
      </c>
      <c r="S17" s="35">
        <f ca="1">ROUND(('TE BE'!$AB$26+'TE BF_350'!$AB$26+'TE CVA'!$AB$26)*(1-CUSTOS!$M$39),2)</f>
        <v>375.85</v>
      </c>
      <c r="T17" s="35">
        <v>0</v>
      </c>
      <c r="U17" s="35">
        <f ca="1">ROUND('TUSD BE'!$AM$38*(1-CUSTOS!$M$39),2)</f>
        <v>1858.97</v>
      </c>
      <c r="V17" s="35">
        <f>ROUND('TE BE'!$AB$26*(1-CUSTOS!$M$39),2)</f>
        <v>450.68</v>
      </c>
    </row>
    <row r="18" spans="1:22" ht="11.25" customHeight="1" x14ac:dyDescent="0.3">
      <c r="A18" s="160"/>
      <c r="B18" s="160"/>
      <c r="C18" s="160"/>
      <c r="D18" s="37" t="s">
        <v>769</v>
      </c>
      <c r="E18" s="35">
        <v>0</v>
      </c>
      <c r="F18" s="35">
        <f ca="1">ROUND('TUSD BE'!$AM$18+'TUSD BF_350'!$AM$18+'TUSD CVA'!$AM$18,2)</f>
        <v>20.49</v>
      </c>
      <c r="G18" s="35">
        <v>0</v>
      </c>
      <c r="H18" s="35">
        <v>0</v>
      </c>
      <c r="I18" s="35">
        <f ca="1">ROUND('TUSD BE'!$AM$18,2)</f>
        <v>9.56</v>
      </c>
      <c r="J18" s="35">
        <v>0</v>
      </c>
      <c r="L18" s="156"/>
      <c r="M18" s="156"/>
      <c r="N18" s="156"/>
      <c r="O18" s="156"/>
      <c r="P18" s="37" t="s">
        <v>776</v>
      </c>
      <c r="Q18" s="35">
        <v>0</v>
      </c>
      <c r="R18" s="35">
        <f ca="1">ROUND(('TUSD BE'!$AM$39+'TUSD BF_350'!$AM$39+'TUSD CVA'!$AM$39)*(1-CUSTOS!$M$39),2)</f>
        <v>403.03</v>
      </c>
      <c r="S18" s="35">
        <f ca="1">ROUND(('TE BE'!$AB$27+'TE BF_350'!$AB$27+'TE CVA'!$AB$27)*(1-CUSTOS!$M$39),2)</f>
        <v>235.04</v>
      </c>
      <c r="T18" s="35">
        <v>0</v>
      </c>
      <c r="U18" s="35">
        <f ca="1">ROUND('TUSD BE'!$AM$39*(1-CUSTOS!$M$39),2)</f>
        <v>616.44000000000005</v>
      </c>
      <c r="V18" s="35">
        <f>ROUND('TE BE'!$AB$27*(1-CUSTOS!$M$39),2)</f>
        <v>265.10000000000002</v>
      </c>
    </row>
    <row r="19" spans="1:22" ht="11.25" customHeight="1" x14ac:dyDescent="0.3">
      <c r="A19" s="160"/>
      <c r="B19" s="37" t="s">
        <v>57</v>
      </c>
      <c r="C19" s="37" t="s">
        <v>25</v>
      </c>
      <c r="D19" s="37" t="s">
        <v>771</v>
      </c>
      <c r="E19" s="35">
        <f ca="1">ROUND('TUSD BE'!$AM$13+'TUSD BF_350'!$AM$13+'TUSD CVA'!$AM$13,2)</f>
        <v>8.2899999999999991</v>
      </c>
      <c r="F19" s="35">
        <v>0</v>
      </c>
      <c r="G19" s="35">
        <v>0</v>
      </c>
      <c r="H19" s="35">
        <f ca="1">ROUND('TUSD BE'!$AM$13,2)</f>
        <v>8.6300000000000008</v>
      </c>
      <c r="I19" s="35">
        <v>0</v>
      </c>
      <c r="J19" s="35">
        <v>0</v>
      </c>
      <c r="L19" s="156"/>
      <c r="M19" s="157"/>
      <c r="N19" s="157"/>
      <c r="O19" s="157"/>
      <c r="P19" s="37" t="s">
        <v>769</v>
      </c>
      <c r="Q19" s="35">
        <v>0</v>
      </c>
      <c r="R19" s="35">
        <f ca="1">ROUND(('TUSD BE'!$AM$40+'TUSD BF_350'!$AM$40+'TUSD CVA'!$AM$40)*(1-CUSTOS!$M$39),2)</f>
        <v>232.66</v>
      </c>
      <c r="S19" s="35">
        <f ca="1">ROUND(('TE BE'!$AB$28+'TE BF_350'!$AB$28+'TE CVA'!$AB$28)*(1-CUSTOS!$M$39),2)</f>
        <v>235.04</v>
      </c>
      <c r="T19" s="35">
        <v>0</v>
      </c>
      <c r="U19" s="35">
        <f ca="1">ROUND('TUSD BE'!$AM$40*(1-CUSTOS!$M$39),2)</f>
        <v>216.47</v>
      </c>
      <c r="V19" s="35">
        <f>ROUND('TE BE'!$AB$28*(1-CUSTOS!$M$39),2)</f>
        <v>265.10000000000002</v>
      </c>
    </row>
    <row r="20" spans="1:22" ht="11.25" customHeight="1" x14ac:dyDescent="0.3">
      <c r="L20" s="156"/>
      <c r="M20" s="37" t="s">
        <v>777</v>
      </c>
      <c r="N20" s="37" t="s">
        <v>780</v>
      </c>
      <c r="O20" s="37" t="s">
        <v>782</v>
      </c>
      <c r="P20" s="37" t="s">
        <v>771</v>
      </c>
      <c r="Q20" s="35">
        <v>0</v>
      </c>
      <c r="R20" s="35">
        <f ca="1">ROUND(('TUSD BE'!$AM$46+'TUSD BF_350'!$AM$46+'TUSD CVA'!$AM$46)*(1-CUSTOS!$M$39),2)</f>
        <v>291.86</v>
      </c>
      <c r="S20" s="35">
        <f ca="1">ROUND(('TE BE'!$AB$34+'TE BF_350'!$AB$34+'TE CVA'!$AB$34)*(1-CUSTOS!$M$39),2)</f>
        <v>246.78</v>
      </c>
      <c r="T20" s="35">
        <v>0</v>
      </c>
      <c r="U20" s="35">
        <f ca="1">ROUND(('TUSD BE'!$AM$46)*(1-CUSTOS!$M$39),2)</f>
        <v>419.33</v>
      </c>
      <c r="V20" s="35">
        <f>ROUND(('TE BE'!$AB$34)*(1-CUSTOS!$M$39),2)</f>
        <v>280.56</v>
      </c>
    </row>
    <row r="21" spans="1:22" ht="11.25" customHeight="1" x14ac:dyDescent="0.3">
      <c r="L21" s="156"/>
      <c r="M21" s="37" t="s">
        <v>779</v>
      </c>
      <c r="N21" s="37" t="s">
        <v>780</v>
      </c>
      <c r="O21" s="37" t="s">
        <v>782</v>
      </c>
      <c r="P21" s="37" t="s">
        <v>771</v>
      </c>
      <c r="Q21" s="35">
        <v>0</v>
      </c>
      <c r="R21" s="35">
        <f ca="1">ROUND(('TUSD BE'!$AM$37+'TUSD BF_350'!$AM$37+'TUSD CVA'!$AM$37)*(1-CUSTOS!$M$39),2)</f>
        <v>291.86</v>
      </c>
      <c r="S21" s="35">
        <f ca="1">ROUND(('TE BE'!$AB$25+'TE BF_350'!$AB$25+'TE CVA'!$AB$25)*(1-CUSTOS!$M$39),2)</f>
        <v>246.78</v>
      </c>
      <c r="T21" s="35">
        <v>0</v>
      </c>
      <c r="U21" s="35">
        <f ca="1">ROUND(('TUSD BE'!$AM$37)*(1-CUSTOS!$M$39),2)</f>
        <v>419.33</v>
      </c>
      <c r="V21" s="35">
        <f>ROUND(('TE BE'!$AB$25)*(1-CUSTOS!$M$39),2)</f>
        <v>280.56</v>
      </c>
    </row>
    <row r="22" spans="1:22" ht="11.25" customHeight="1" x14ac:dyDescent="0.3">
      <c r="L22" s="156"/>
      <c r="M22" s="155" t="s">
        <v>774</v>
      </c>
      <c r="N22" s="155" t="s">
        <v>780</v>
      </c>
      <c r="O22" s="155" t="s">
        <v>783</v>
      </c>
      <c r="P22" s="37" t="s">
        <v>768</v>
      </c>
      <c r="Q22" s="35">
        <v>0</v>
      </c>
      <c r="R22" s="35">
        <f ca="1">ROUND(('TUSD BE'!$AM$42+'TUSD BF_350'!$AM$42+'TUSD CVA'!$AM$42)*(1-CUSTOS!$M$40),2)</f>
        <v>561.19000000000005</v>
      </c>
      <c r="S22" s="35">
        <f ca="1">ROUND(('TE BE'!$AB$30+'TE BF_350'!$AB$30+'TE CVA'!$AB$30)*(1-CUSTOS!$M$40),2)</f>
        <v>367.85</v>
      </c>
      <c r="T22" s="35">
        <v>0</v>
      </c>
      <c r="U22" s="35">
        <f ca="1">ROUND('TUSD BE'!$AM$42*(1-CUSTOS!$M$40),2)</f>
        <v>1819.42</v>
      </c>
      <c r="V22" s="35">
        <f>ROUND('TE BE'!$AB$30*(1-CUSTOS!$M$40),2)</f>
        <v>441.09</v>
      </c>
    </row>
    <row r="23" spans="1:22" ht="11.25" customHeight="1" x14ac:dyDescent="0.3">
      <c r="L23" s="156"/>
      <c r="M23" s="156"/>
      <c r="N23" s="156"/>
      <c r="O23" s="156"/>
      <c r="P23" s="37" t="s">
        <v>776</v>
      </c>
      <c r="Q23" s="35">
        <v>0</v>
      </c>
      <c r="R23" s="35">
        <f ca="1">ROUND(('TUSD BE'!$AM$43+'TUSD BF_350'!$AM$43+'TUSD CVA'!$AM$43)*(1-CUSTOS!$M$40),2)</f>
        <v>394.46</v>
      </c>
      <c r="S23" s="35">
        <f ca="1">ROUND(('TE BE'!$AB$31+'TE BF_350'!$AB$31+'TE CVA'!$AB$31)*(1-CUSTOS!$M$40),2)</f>
        <v>230.04</v>
      </c>
      <c r="T23" s="35">
        <v>0</v>
      </c>
      <c r="U23" s="35">
        <f ca="1">ROUND('TUSD BE'!$AM$43*(1-CUSTOS!$M$40),2)</f>
        <v>603.33000000000004</v>
      </c>
      <c r="V23" s="35">
        <f>ROUND('TE BE'!$AB$31*(1-CUSTOS!$M$40),2)</f>
        <v>259.45999999999998</v>
      </c>
    </row>
    <row r="24" spans="1:22" ht="11.25" customHeight="1" x14ac:dyDescent="0.3">
      <c r="L24" s="156"/>
      <c r="M24" s="157"/>
      <c r="N24" s="157"/>
      <c r="O24" s="157"/>
      <c r="P24" s="37" t="s">
        <v>769</v>
      </c>
      <c r="Q24" s="35">
        <v>0</v>
      </c>
      <c r="R24" s="35">
        <f ca="1">ROUND(('TUSD BE'!$AM$44+'TUSD BF_350'!$AM$44+'TUSD CVA'!$AM$44)*(1-CUSTOS!$M$40),2)</f>
        <v>227.71</v>
      </c>
      <c r="S24" s="35">
        <f ca="1">ROUND(('TE BE'!$AB$32+'TE BF_350'!$AB$32+'TE CVA'!$AB$32)*(1-CUSTOS!$M$40),2)</f>
        <v>230.04</v>
      </c>
      <c r="T24" s="35">
        <v>0</v>
      </c>
      <c r="U24" s="35">
        <f ca="1">ROUND('TUSD BE'!$AM$44*(1-CUSTOS!$M$40),2)</f>
        <v>211.86</v>
      </c>
      <c r="V24" s="35">
        <f>ROUND('TE BE'!$AB$32*(1-CUSTOS!$M$40),2)</f>
        <v>259.45999999999998</v>
      </c>
    </row>
    <row r="25" spans="1:22" ht="11.25" customHeight="1" x14ac:dyDescent="0.3">
      <c r="L25" s="156"/>
      <c r="M25" s="37" t="s">
        <v>777</v>
      </c>
      <c r="N25" s="37" t="s">
        <v>780</v>
      </c>
      <c r="O25" s="37" t="s">
        <v>783</v>
      </c>
      <c r="P25" s="37" t="s">
        <v>771</v>
      </c>
      <c r="Q25" s="35">
        <v>0</v>
      </c>
      <c r="R25" s="35">
        <f ca="1">ROUND(('TUSD BE'!$AM$46+'TUSD BF_350'!$AM$46+'TUSD CVA'!$AM$46)*(1-CUSTOS!$M$40),2)</f>
        <v>285.64999999999998</v>
      </c>
      <c r="S25" s="35">
        <f ca="1">ROUND(('TE BE'!$AB$34+'TE BF_350'!$AB$34+'TE CVA'!$AB$34)*(1-CUSTOS!$M$40),2)</f>
        <v>241.53</v>
      </c>
      <c r="T25" s="35">
        <v>0</v>
      </c>
      <c r="U25" s="35">
        <f ca="1">ROUND(('TUSD BE'!$AM$46)*(1-CUSTOS!$M$40),2)</f>
        <v>410.41</v>
      </c>
      <c r="V25" s="35">
        <f>ROUND(('TE BE'!$AB$34)*(1-CUSTOS!$M$40),2)</f>
        <v>274.58999999999997</v>
      </c>
    </row>
    <row r="26" spans="1:22" ht="11.25" customHeight="1" x14ac:dyDescent="0.3">
      <c r="L26" s="157"/>
      <c r="M26" s="37" t="s">
        <v>779</v>
      </c>
      <c r="N26" s="37" t="s">
        <v>780</v>
      </c>
      <c r="O26" s="37" t="s">
        <v>783</v>
      </c>
      <c r="P26" s="37" t="s">
        <v>771</v>
      </c>
      <c r="Q26" s="35">
        <v>0</v>
      </c>
      <c r="R26" s="35">
        <f ca="1">ROUND(('TUSD BE'!$AM$37+'TUSD BF_350'!$AM$37+'TUSD CVA'!$AM$37)*(1-CUSTOS!$M$40),2)</f>
        <v>285.64999999999998</v>
      </c>
      <c r="S26" s="35">
        <f ca="1">ROUND(('TE BE'!$AB$25+'TE BF_350'!$AB$25+'TE CVA'!$AB$25)*(1-CUSTOS!$M$40),2)</f>
        <v>241.53</v>
      </c>
      <c r="T26" s="35">
        <v>0</v>
      </c>
      <c r="U26" s="35">
        <f ca="1">ROUND(('TUSD BE'!$AM$37)*(1-CUSTOS!$M$40),2)</f>
        <v>410.41</v>
      </c>
      <c r="V26" s="35">
        <f>ROUND(('TE BE'!$AB$25)*(1-CUSTOS!$M$40),2)</f>
        <v>274.58999999999997</v>
      </c>
    </row>
    <row r="27" spans="1:22" ht="11.25" customHeight="1" x14ac:dyDescent="0.3">
      <c r="L27" s="155" t="s">
        <v>32</v>
      </c>
      <c r="M27" s="155" t="s">
        <v>774</v>
      </c>
      <c r="N27" s="155" t="s">
        <v>771</v>
      </c>
      <c r="O27" s="155" t="s">
        <v>771</v>
      </c>
      <c r="P27" s="37" t="s">
        <v>768</v>
      </c>
      <c r="Q27" s="35">
        <v>0</v>
      </c>
      <c r="R27" s="35">
        <f ca="1">ROUND(('TUSD BE'!$AM$49+'TUSD BF_350'!$AM$49+'TUSD CVA'!$AM$49)*(1-CUSTOS!$M$31),2)</f>
        <v>679.11</v>
      </c>
      <c r="S27" s="35">
        <f ca="1">ROUND(('TE BE'!$AB$37+'TE BF_350'!$AB$37+'TE CVA'!$AB$37)*(1-CUSTOS!$M$31),2)</f>
        <v>399.84</v>
      </c>
      <c r="T27" s="35">
        <v>0</v>
      </c>
      <c r="U27" s="35">
        <f ca="1">ROUND('TUSD BE'!$AM$49*(1-CUSTOS!$M$31),2)</f>
        <v>2354.94</v>
      </c>
      <c r="V27" s="35">
        <f>ROUND('TE BE'!$AB$37*(1-CUSTOS!$M$31),2)</f>
        <v>479.45</v>
      </c>
    </row>
    <row r="28" spans="1:22" ht="11.25" customHeight="1" x14ac:dyDescent="0.3">
      <c r="L28" s="156"/>
      <c r="M28" s="156"/>
      <c r="N28" s="156"/>
      <c r="O28" s="156"/>
      <c r="P28" s="37" t="s">
        <v>776</v>
      </c>
      <c r="Q28" s="35">
        <v>0</v>
      </c>
      <c r="R28" s="35">
        <f ca="1">ROUND(('TUSD BE'!$AM$50+'TUSD BF_350'!$AM$50+'TUSD CVA'!$AM$50)*(1-CUSTOS!$M$31),2)</f>
        <v>470.22</v>
      </c>
      <c r="S28" s="35">
        <f ca="1">ROUND(('TE BE'!$AB$38+'TE BF_350'!$AB$38+'TE CVA'!$AB$38)*(1-CUSTOS!$M$31),2)</f>
        <v>250.04</v>
      </c>
      <c r="T28" s="35">
        <v>0</v>
      </c>
      <c r="U28" s="35">
        <f ca="1">ROUND('TUSD BE'!$AM$50*(1-CUSTOS!$M$31),2)</f>
        <v>690.32</v>
      </c>
      <c r="V28" s="35">
        <f>ROUND('TE BE'!$AB$38*(1-CUSTOS!$M$31),2)</f>
        <v>282.02</v>
      </c>
    </row>
    <row r="29" spans="1:22" ht="11.25" customHeight="1" x14ac:dyDescent="0.3">
      <c r="L29" s="156"/>
      <c r="M29" s="157"/>
      <c r="N29" s="157"/>
      <c r="O29" s="157"/>
      <c r="P29" s="37" t="s">
        <v>769</v>
      </c>
      <c r="Q29" s="35">
        <v>0</v>
      </c>
      <c r="R29" s="35">
        <f ca="1">ROUND(('TUSD BE'!$AM$51+'TUSD BF_350'!$AM$51+'TUSD CVA'!$AM$51)*(1-CUSTOS!$M$31),2)</f>
        <v>261.33999999999997</v>
      </c>
      <c r="S29" s="35">
        <f ca="1">ROUND(('TE BE'!$AB$39+'TE BF_350'!$AB$39+'TE CVA'!$AB$39)*(1-CUSTOS!$M$31),2)</f>
        <v>250.04</v>
      </c>
      <c r="T29" s="35">
        <v>0</v>
      </c>
      <c r="U29" s="35">
        <f ca="1">ROUND('TUSD BE'!$AM$51*(1-CUSTOS!$M$31),2)</f>
        <v>302.22000000000003</v>
      </c>
      <c r="V29" s="35">
        <f>ROUND('TE BE'!$AB$39*(1-CUSTOS!$M$31),2)</f>
        <v>282.02</v>
      </c>
    </row>
    <row r="30" spans="1:22" ht="11.25" customHeight="1" x14ac:dyDescent="0.3">
      <c r="L30" s="156"/>
      <c r="M30" s="37" t="s">
        <v>777</v>
      </c>
      <c r="N30" s="37" t="s">
        <v>771</v>
      </c>
      <c r="O30" s="37" t="s">
        <v>771</v>
      </c>
      <c r="P30" s="37" t="s">
        <v>771</v>
      </c>
      <c r="Q30" s="35">
        <v>0</v>
      </c>
      <c r="R30" s="35">
        <f ca="1">ROUND(('TUSD BE'!$AM$53+'TUSD BF_350'!$AM$53+'TUSD CVA'!$AM$53)*(1-CUSTOS!$M$31),2)</f>
        <v>310.49</v>
      </c>
      <c r="S30" s="35">
        <f ca="1">ROUND(('TE BE'!$AB$41+'TE BF_350'!$AB$41+'TE CVA'!$AB$41)*(1-CUSTOS!$M$31),2)</f>
        <v>262.52999999999997</v>
      </c>
      <c r="T30" s="35">
        <v>0</v>
      </c>
      <c r="U30" s="35">
        <f ca="1">ROUND(('TUSD BE'!$AM$53)*(1-CUSTOS!$M$31),2)</f>
        <v>446.1</v>
      </c>
      <c r="V30" s="35">
        <f>ROUND(('TE BE'!$AB$41)*(1-CUSTOS!$M$31),2)</f>
        <v>298.47000000000003</v>
      </c>
    </row>
    <row r="31" spans="1:22" ht="11.25" customHeight="1" x14ac:dyDescent="0.3">
      <c r="L31" s="157"/>
      <c r="M31" s="37" t="s">
        <v>779</v>
      </c>
      <c r="N31" s="37" t="s">
        <v>771</v>
      </c>
      <c r="O31" s="37" t="s">
        <v>771</v>
      </c>
      <c r="P31" s="37" t="s">
        <v>771</v>
      </c>
      <c r="Q31" s="35">
        <v>0</v>
      </c>
      <c r="R31" s="35">
        <f ca="1">ROUND(('TUSD BE'!$AM$52+'TUSD BF_350'!$AM$52+'TUSD CVA'!$AM$52)*(1-CUSTOS!$M$31),2)</f>
        <v>310.49</v>
      </c>
      <c r="S31" s="35">
        <f ca="1">ROUND(('TE BE'!$AB$40+'TE BF_350'!$AB$40+'TE CVA'!$AB$40)*(1-CUSTOS!$M$31),2)</f>
        <v>262.52999999999997</v>
      </c>
      <c r="T31" s="35">
        <v>0</v>
      </c>
      <c r="U31" s="35">
        <f ca="1">ROUND(('TUSD BE'!$AM$52)*(1-CUSTOS!$M$31),2)</f>
        <v>446.1</v>
      </c>
      <c r="V31" s="35">
        <f>ROUND(('TE BE'!$AB$40)*(1-CUSTOS!$M$31),2)</f>
        <v>298.47000000000003</v>
      </c>
    </row>
    <row r="32" spans="1:22" ht="11.25" customHeight="1" x14ac:dyDescent="0.3">
      <c r="L32" s="155" t="s">
        <v>44</v>
      </c>
      <c r="M32" s="155" t="s">
        <v>779</v>
      </c>
      <c r="N32" s="155" t="s">
        <v>784</v>
      </c>
      <c r="O32" s="37" t="s">
        <v>785</v>
      </c>
      <c r="P32" s="37" t="s">
        <v>771</v>
      </c>
      <c r="Q32" s="35">
        <v>0</v>
      </c>
      <c r="R32" s="35">
        <f ca="1">ROUND(('TUSD BE'!$AM$54+'TUSD BF_350'!$AM$54+'TUSD CVA'!$AM$54),2)</f>
        <v>170.77</v>
      </c>
      <c r="S32" s="35">
        <f ca="1">ROUND(('TE BE'!$AB$42+'TE BF_350'!$AB$42+'TE CVA'!$AB$42),2)</f>
        <v>144.38999999999999</v>
      </c>
      <c r="T32" s="35">
        <v>0</v>
      </c>
      <c r="U32" s="35">
        <f ca="1">ROUND(('TUSD BE'!$AM$54),2)</f>
        <v>245.35</v>
      </c>
      <c r="V32" s="35">
        <f>ROUND(('TE BE'!$AB$42),2)</f>
        <v>164.16</v>
      </c>
    </row>
    <row r="33" spans="12:22" ht="11.25" customHeight="1" x14ac:dyDescent="0.3">
      <c r="L33" s="157"/>
      <c r="M33" s="157"/>
      <c r="N33" s="157"/>
      <c r="O33" s="37" t="s">
        <v>786</v>
      </c>
      <c r="P33" s="37" t="s">
        <v>771</v>
      </c>
      <c r="Q33" s="35">
        <v>0</v>
      </c>
      <c r="R33" s="35">
        <f ca="1">ROUND(('TUSD BE'!$AM$55+'TUSD BF_350'!$AM$55+'TUSD CVA'!$AM$55),2)</f>
        <v>186.29</v>
      </c>
      <c r="S33" s="35">
        <f ca="1">ROUND(('TE BE'!$AB$43+'TE BF_350'!$AB$43+'TE CVA'!$AB$43),2)</f>
        <v>157.52000000000001</v>
      </c>
      <c r="T33" s="35">
        <v>0</v>
      </c>
      <c r="U33" s="35">
        <f ca="1">ROUND(('TUSD BE'!$AM$55),2)</f>
        <v>267.66000000000003</v>
      </c>
      <c r="V33" s="35">
        <f>ROUND(('TE BE'!$AB$43),2)</f>
        <v>179.08</v>
      </c>
    </row>
    <row r="34" spans="12:22" ht="11.25" customHeight="1" x14ac:dyDescent="0.3">
      <c r="L34" s="155" t="s">
        <v>86</v>
      </c>
      <c r="M34" s="155" t="s">
        <v>59</v>
      </c>
      <c r="N34" s="37" t="s">
        <v>87</v>
      </c>
      <c r="O34" s="37" t="s">
        <v>771</v>
      </c>
      <c r="P34" s="37" t="s">
        <v>771</v>
      </c>
      <c r="Q34" s="35">
        <f ca="1">ROUND(('TUSD BE'!$AM$19+'TUSD BF_350'!$AM$19+'TUSD CVA'!$AM$19),2)</f>
        <v>10.35</v>
      </c>
      <c r="R34" s="35">
        <v>0</v>
      </c>
      <c r="S34" s="35">
        <v>0</v>
      </c>
      <c r="T34" s="35">
        <f ca="1">ROUND(('TUSD BE'!$AM$19),2)</f>
        <v>10.77</v>
      </c>
      <c r="U34" s="35">
        <v>0</v>
      </c>
      <c r="V34" s="35">
        <v>0</v>
      </c>
    </row>
    <row r="35" spans="12:22" ht="11.25" customHeight="1" x14ac:dyDescent="0.3">
      <c r="L35" s="157"/>
      <c r="M35" s="157"/>
      <c r="N35" s="37" t="s">
        <v>88</v>
      </c>
      <c r="O35" s="37" t="s">
        <v>771</v>
      </c>
      <c r="P35" s="37" t="s">
        <v>771</v>
      </c>
      <c r="Q35" s="35">
        <f ca="1">ROUND(('TUSD BE'!$AM$20+'TUSD BF_350'!$AM$20+'TUSD CVA'!$AM$20),2)</f>
        <v>15.97</v>
      </c>
      <c r="R35" s="35">
        <v>0</v>
      </c>
      <c r="S35" s="35">
        <v>0</v>
      </c>
      <c r="T35" s="35">
        <f ca="1">ROUND(('TUSD BE'!$AM$20),2)</f>
        <v>16.62</v>
      </c>
      <c r="U35" s="35">
        <v>0</v>
      </c>
      <c r="V35" s="35">
        <v>0</v>
      </c>
    </row>
  </sheetData>
  <mergeCells count="56"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C16:C18"/>
    <mergeCell ref="A5:A8"/>
    <mergeCell ref="A9:A19"/>
    <mergeCell ref="B5:B6"/>
    <mergeCell ref="B7:B8"/>
    <mergeCell ref="B9:B10"/>
    <mergeCell ref="B11:B12"/>
    <mergeCell ref="B13:B15"/>
    <mergeCell ref="B16:B18"/>
    <mergeCell ref="C5:C6"/>
    <mergeCell ref="C7:C8"/>
    <mergeCell ref="C9:C10"/>
    <mergeCell ref="C11:C12"/>
    <mergeCell ref="C13:C15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L5:L11"/>
    <mergeCell ref="L12:L26"/>
    <mergeCell ref="L27:L31"/>
    <mergeCell ref="L32:L33"/>
    <mergeCell ref="L34:L35"/>
    <mergeCell ref="M32:M33"/>
    <mergeCell ref="M34:M35"/>
    <mergeCell ref="N5:N7"/>
    <mergeCell ref="N12:N14"/>
    <mergeCell ref="N17:N19"/>
    <mergeCell ref="N22:N24"/>
    <mergeCell ref="N27:N29"/>
    <mergeCell ref="N32:N33"/>
    <mergeCell ref="M5:M7"/>
    <mergeCell ref="M12:M14"/>
    <mergeCell ref="M17:M19"/>
    <mergeCell ref="M22:M24"/>
    <mergeCell ref="M27:M29"/>
    <mergeCell ref="O5:O7"/>
    <mergeCell ref="O12:O14"/>
    <mergeCell ref="O17:O19"/>
    <mergeCell ref="O22:O24"/>
    <mergeCell ref="O27:O29"/>
  </mergeCells>
  <pageMargins left="0.511811024" right="0.511811024" top="0.78740157499999996" bottom="0.78740157499999996" header="0.31496062000000002" footer="0.31496062000000002"/>
  <pageSetup paperSize="9" orientation="portrait" r:id="rId1"/>
  <ignoredErrors>
    <ignoredError sqref="E6:H11" formula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5C4DC-9ABB-44F5-8FDF-6AAB69946051}">
  <dimension ref="A1:AN604"/>
  <sheetViews>
    <sheetView showGridLines="0" topLeftCell="Z1" workbookViewId="0">
      <selection sqref="A1:O604 Q1:AJ13"/>
    </sheetView>
  </sheetViews>
  <sheetFormatPr defaultRowHeight="11.25" customHeight="1" x14ac:dyDescent="0.3"/>
  <cols>
    <col min="1" max="1" width="18" style="4" bestFit="1" customWidth="1"/>
    <col min="2" max="2" width="7.6640625" style="4" bestFit="1" customWidth="1"/>
    <col min="3" max="3" width="9.21875" style="4" bestFit="1" customWidth="1"/>
    <col min="4" max="4" width="12.6640625" style="4" bestFit="1" customWidth="1"/>
    <col min="5" max="5" width="23.109375" style="4" bestFit="1" customWidth="1"/>
    <col min="6" max="6" width="12.88671875" style="4" bestFit="1" customWidth="1"/>
    <col min="7" max="7" width="13.21875" style="4" bestFit="1" customWidth="1"/>
    <col min="8" max="8" width="9.5546875" style="4" bestFit="1" customWidth="1"/>
    <col min="9" max="9" width="7.88671875" style="5" bestFit="1" customWidth="1"/>
    <col min="10" max="10" width="9.5546875" style="6" bestFit="1" customWidth="1"/>
    <col min="11" max="11" width="10" style="6" bestFit="1" customWidth="1"/>
    <col min="12" max="12" width="8.77734375" style="6" bestFit="1" customWidth="1"/>
    <col min="13" max="13" width="13.109375" style="6" bestFit="1" customWidth="1"/>
    <col min="14" max="14" width="13.5546875" style="6" bestFit="1" customWidth="1"/>
    <col min="15" max="15" width="12.21875" style="6" bestFit="1" customWidth="1"/>
    <col min="16" max="16" width="6.33203125" style="6" bestFit="1" customWidth="1"/>
    <col min="17" max="17" width="9" style="4" bestFit="1" customWidth="1"/>
    <col min="18" max="18" width="17.88671875" style="4" bestFit="1" customWidth="1"/>
    <col min="19" max="19" width="19.21875" style="4" bestFit="1" customWidth="1"/>
    <col min="20" max="20" width="17.109375" style="4" bestFit="1" customWidth="1"/>
    <col min="21" max="21" width="16.44140625" style="4" bestFit="1" customWidth="1"/>
    <col min="22" max="22" width="17.88671875" style="4" bestFit="1" customWidth="1"/>
    <col min="23" max="23" width="15.6640625" style="4" bestFit="1" customWidth="1"/>
    <col min="24" max="24" width="16.109375" style="4" bestFit="1" customWidth="1"/>
    <col min="25" max="25" width="17.5546875" style="4" bestFit="1" customWidth="1"/>
    <col min="26" max="26" width="15.33203125" style="4" bestFit="1" customWidth="1"/>
    <col min="27" max="27" width="16.109375" style="4" bestFit="1" customWidth="1"/>
    <col min="28" max="28" width="17.5546875" style="4" bestFit="1" customWidth="1"/>
    <col min="29" max="29" width="15.33203125" style="4" bestFit="1" customWidth="1"/>
    <col min="30" max="30" width="16.44140625" style="4" bestFit="1" customWidth="1"/>
    <col min="31" max="31" width="20.5546875" style="4" bestFit="1" customWidth="1"/>
    <col min="32" max="32" width="10.88671875" style="4" bestFit="1" customWidth="1"/>
    <col min="33" max="33" width="12.21875" style="4" bestFit="1" customWidth="1"/>
    <col min="34" max="34" width="10.109375" style="4" bestFit="1" customWidth="1"/>
    <col min="35" max="35" width="11.21875" style="4" bestFit="1" customWidth="1"/>
    <col min="36" max="36" width="15.33203125" style="4" bestFit="1" customWidth="1"/>
    <col min="37" max="37" width="8.88671875" style="4"/>
    <col min="38" max="38" width="8" style="4" bestFit="1" customWidth="1"/>
    <col min="39" max="39" width="5.109375" style="4" bestFit="1" customWidth="1"/>
    <col min="40" max="40" width="14" style="4" bestFit="1" customWidth="1"/>
    <col min="41" max="16384" width="8.88671875" style="4"/>
  </cols>
  <sheetData>
    <row r="1" spans="1:40" s="1" customFormat="1" ht="11.25" customHeight="1" x14ac:dyDescent="0.3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59" t="s">
        <v>8</v>
      </c>
      <c r="J1" s="36" t="s">
        <v>734</v>
      </c>
      <c r="K1" s="36" t="s">
        <v>735</v>
      </c>
      <c r="L1" s="36" t="s">
        <v>736</v>
      </c>
      <c r="M1" s="36" t="s">
        <v>737</v>
      </c>
      <c r="N1" s="36" t="s">
        <v>738</v>
      </c>
      <c r="O1" s="36" t="s">
        <v>739</v>
      </c>
      <c r="P1" s="7"/>
      <c r="Q1" s="152" t="s">
        <v>740</v>
      </c>
      <c r="R1" s="158"/>
      <c r="S1" s="158"/>
      <c r="T1" s="158"/>
      <c r="U1" s="158"/>
      <c r="V1" s="158"/>
      <c r="W1" s="158"/>
      <c r="X1" s="158"/>
      <c r="Y1" s="158"/>
      <c r="Z1" s="158"/>
      <c r="AA1" s="158"/>
      <c r="AB1" s="158"/>
      <c r="AC1" s="158"/>
      <c r="AD1" s="158"/>
      <c r="AE1" s="158"/>
      <c r="AF1" s="158"/>
      <c r="AG1" s="158"/>
      <c r="AH1" s="158"/>
      <c r="AI1" s="158"/>
      <c r="AJ1" s="158"/>
      <c r="AL1" s="40" t="s">
        <v>761</v>
      </c>
      <c r="AM1" s="40" t="s">
        <v>65</v>
      </c>
      <c r="AN1" s="40" t="s">
        <v>762</v>
      </c>
    </row>
    <row r="2" spans="1:40" ht="11.25" customHeight="1" x14ac:dyDescent="0.2">
      <c r="A2" s="41" t="s">
        <v>21</v>
      </c>
      <c r="B2" s="41" t="s">
        <v>61</v>
      </c>
      <c r="C2" s="41" t="s">
        <v>54</v>
      </c>
      <c r="D2" s="41" t="s">
        <v>33</v>
      </c>
      <c r="E2" s="41" t="s">
        <v>25</v>
      </c>
      <c r="F2" s="41" t="s">
        <v>55</v>
      </c>
      <c r="G2" s="41" t="s">
        <v>25</v>
      </c>
      <c r="H2" s="41" t="s">
        <v>37</v>
      </c>
      <c r="I2" s="60">
        <v>44652</v>
      </c>
      <c r="J2" s="61">
        <f ca="1">EFEITO!$J$2*EFEITO!$Y$2</f>
        <v>61518.791217391743</v>
      </c>
      <c r="K2" s="61">
        <f ca="1">EFEITO!$L$2*EFEITO!$Z$2</f>
        <v>0</v>
      </c>
      <c r="L2" s="61">
        <f>EFEITO!$N$2*EFEITO!$AA$2</f>
        <v>0</v>
      </c>
      <c r="M2" s="61">
        <f ca="1">$J$2-EFEITO!$K$2*EFEITO!$Y$2</f>
        <v>30744.195545761879</v>
      </c>
      <c r="N2" s="61">
        <f ca="1">$K$2-EFEITO!$M$2*EFEITO!$Z$2</f>
        <v>0</v>
      </c>
      <c r="O2" s="61">
        <f>$L$2-EFEITO!$O$2*EFEITO!$AA$2</f>
        <v>0</v>
      </c>
      <c r="P2" s="45"/>
      <c r="Q2" s="34" t="s">
        <v>68</v>
      </c>
      <c r="R2" s="34" t="s">
        <v>742</v>
      </c>
      <c r="S2" s="34" t="s">
        <v>743</v>
      </c>
      <c r="T2" s="34" t="s">
        <v>744</v>
      </c>
      <c r="U2" s="34" t="s">
        <v>745</v>
      </c>
      <c r="V2" s="34" t="s">
        <v>746</v>
      </c>
      <c r="W2" s="34" t="s">
        <v>747</v>
      </c>
      <c r="X2" s="62" t="s">
        <v>748</v>
      </c>
      <c r="Y2" s="62" t="s">
        <v>749</v>
      </c>
      <c r="Z2" s="62" t="s">
        <v>750</v>
      </c>
      <c r="AA2" s="62" t="s">
        <v>751</v>
      </c>
      <c r="AB2" s="62" t="s">
        <v>752</v>
      </c>
      <c r="AC2" s="62" t="s">
        <v>753</v>
      </c>
      <c r="AD2" s="62" t="s">
        <v>754</v>
      </c>
      <c r="AE2" s="62" t="s">
        <v>755</v>
      </c>
      <c r="AF2" s="62" t="s">
        <v>756</v>
      </c>
      <c r="AG2" s="62" t="s">
        <v>757</v>
      </c>
      <c r="AH2" s="62" t="s">
        <v>758</v>
      </c>
      <c r="AI2" s="62" t="s">
        <v>759</v>
      </c>
      <c r="AJ2" s="62" t="s">
        <v>760</v>
      </c>
      <c r="AL2" s="41"/>
      <c r="AM2" s="41"/>
      <c r="AN2" s="41"/>
    </row>
    <row r="3" spans="1:40" ht="11.25" customHeight="1" x14ac:dyDescent="0.2">
      <c r="A3" s="41" t="s">
        <v>21</v>
      </c>
      <c r="B3" s="41" t="s">
        <v>61</v>
      </c>
      <c r="C3" s="41" t="s">
        <v>54</v>
      </c>
      <c r="D3" s="41" t="s">
        <v>33</v>
      </c>
      <c r="E3" s="41" t="s">
        <v>25</v>
      </c>
      <c r="F3" s="41" t="s">
        <v>55</v>
      </c>
      <c r="G3" s="41" t="s">
        <v>25</v>
      </c>
      <c r="H3" s="41" t="s">
        <v>37</v>
      </c>
      <c r="I3" s="60">
        <v>44682</v>
      </c>
      <c r="J3" s="61">
        <f ca="1">EFEITO!$J$3*EFEITO!$Y$3</f>
        <v>66285.380367407575</v>
      </c>
      <c r="K3" s="61">
        <f ca="1">EFEITO!$L$3*EFEITO!$Z$3</f>
        <v>0</v>
      </c>
      <c r="L3" s="61">
        <f>EFEITO!$N$3*EFEITO!$AA$3</f>
        <v>0</v>
      </c>
      <c r="M3" s="61">
        <f ca="1">$J$3-EFEITO!$K$3*EFEITO!$Y$3</f>
        <v>33129.467576028095</v>
      </c>
      <c r="N3" s="61">
        <f ca="1">$K$3-EFEITO!$M$3*EFEITO!$Z$3</f>
        <v>0</v>
      </c>
      <c r="O3" s="61">
        <f>$L$3-EFEITO!$O$3*EFEITO!$AA$3</f>
        <v>0</v>
      </c>
      <c r="P3" s="45"/>
      <c r="Q3" s="61" t="s">
        <v>741</v>
      </c>
      <c r="R3" s="61">
        <f>SUMIF($B$2:$B$604,$Q$3,$J$2:$J$604)</f>
        <v>0</v>
      </c>
      <c r="S3" s="61">
        <f>SUMIF($B$2:$B$604,$Q$3,$K$2:$K$604)</f>
        <v>0</v>
      </c>
      <c r="T3" s="61">
        <f>SUMIF($B$2:$B$604,$Q$3,$L$2:$L$604)</f>
        <v>0</v>
      </c>
      <c r="U3" s="61">
        <f>SUMIF($B$2:$B$604,$Q$3,$M$2:$M$604)</f>
        <v>0</v>
      </c>
      <c r="V3" s="61">
        <f>SUMIF($B$2:$B$604,$Q$3,$N$2:$N$604)</f>
        <v>0</v>
      </c>
      <c r="W3" s="61">
        <f>SUMIF($B$2:$B$604,$Q$3,$O$2:$O$604)</f>
        <v>0</v>
      </c>
      <c r="X3" s="42">
        <f>$R$3-$U$3</f>
        <v>0</v>
      </c>
      <c r="Y3" s="42">
        <f>$S$3-$V$3</f>
        <v>0</v>
      </c>
      <c r="Z3" s="42">
        <f>$T$3-$W$3</f>
        <v>0</v>
      </c>
      <c r="AA3" s="42">
        <f>SUMIF(EFEITO!$B$2:$B$604,$Q$3,EFEITO!$AE$2:$AE$604)</f>
        <v>0</v>
      </c>
      <c r="AB3" s="42">
        <f>SUMIF(EFEITO!$B$2:$B$604,$Q$3,EFEITO!$AF$2:$AF$604)</f>
        <v>0</v>
      </c>
      <c r="AC3" s="42">
        <f>SUMIF(EFEITO!$B$2:$B$604,$Q$3,EFEITO!$AG$2:$AH$604)</f>
        <v>0</v>
      </c>
      <c r="AD3" s="42">
        <f>SUMIF(SUBSIDIO!$B$2:$B$604,$Q$3,SUBSIDIO!$AD$2:$AD$604)</f>
        <v>0</v>
      </c>
      <c r="AE3" s="42">
        <f>SUMIF(SUBSIDIO!$B$2:$B$604,$Q$3,SUBSIDIO!$AE$2:$AE$604)</f>
        <v>0</v>
      </c>
      <c r="AF3" s="42" t="str">
        <f>IF(ABS($X$3-$AA$3)&lt;0.01,"OK","ERRO")</f>
        <v>OK</v>
      </c>
      <c r="AG3" s="42" t="str">
        <f>IF(ABS($Y$3-$AB$3)&lt;0.01,"OK","ERRO")</f>
        <v>OK</v>
      </c>
      <c r="AH3" s="42" t="str">
        <f>IF(ABS($Z$3-$AC$3)&lt;0.01,"OK","ERRO")</f>
        <v>OK</v>
      </c>
      <c r="AI3" s="42" t="str">
        <f>IF(ABS($U$3-$AD$3)&lt;0.01,"OK","ERRO")</f>
        <v>OK</v>
      </c>
      <c r="AJ3" s="42" t="str">
        <f>IF(ABS(($V$3+$W$3)-$AE$3)&lt;0.01,"OK","ERRO")</f>
        <v>OK</v>
      </c>
    </row>
    <row r="4" spans="1:40" ht="11.25" customHeight="1" x14ac:dyDescent="0.2">
      <c r="A4" s="41" t="s">
        <v>21</v>
      </c>
      <c r="B4" s="41" t="s">
        <v>61</v>
      </c>
      <c r="C4" s="41" t="s">
        <v>54</v>
      </c>
      <c r="D4" s="41" t="s">
        <v>33</v>
      </c>
      <c r="E4" s="41" t="s">
        <v>25</v>
      </c>
      <c r="F4" s="41" t="s">
        <v>55</v>
      </c>
      <c r="G4" s="41" t="s">
        <v>25</v>
      </c>
      <c r="H4" s="41" t="s">
        <v>37</v>
      </c>
      <c r="I4" s="60">
        <v>44713</v>
      </c>
      <c r="J4" s="61">
        <f ca="1">EFEITO!$J$4*EFEITO!$Y$4</f>
        <v>66732.24810022155</v>
      </c>
      <c r="K4" s="61">
        <f ca="1">EFEITO!$L$4*EFEITO!$Z$4</f>
        <v>0</v>
      </c>
      <c r="L4" s="61">
        <f>EFEITO!$N$4*EFEITO!$AA$4</f>
        <v>0</v>
      </c>
      <c r="M4" s="61">
        <f ca="1">$J$4-EFEITO!$K$4*EFEITO!$Y$4</f>
        <v>33028.386803895701</v>
      </c>
      <c r="N4" s="61">
        <f ca="1">$K$4-EFEITO!$M$4*EFEITO!$Z$4</f>
        <v>0</v>
      </c>
      <c r="O4" s="61">
        <f>$L$4-EFEITO!$O$4*EFEITO!$AA$4</f>
        <v>0</v>
      </c>
      <c r="P4" s="45"/>
      <c r="Q4" s="61" t="s">
        <v>620</v>
      </c>
      <c r="R4" s="61">
        <f>SUMIF($B$2:$B$604,$Q$4,$J$2:$J$604)</f>
        <v>0</v>
      </c>
      <c r="S4" s="61">
        <f>SUMIF($B$2:$B$604,$Q$4,$K$2:$K$604)</f>
        <v>0</v>
      </c>
      <c r="T4" s="61">
        <f>SUMIF($B$2:$B$604,$Q$4,$L$2:$L$604)</f>
        <v>0</v>
      </c>
      <c r="U4" s="61">
        <f>SUMIF($B$2:$B$604,$Q$4,$M$2:$M$604)</f>
        <v>0</v>
      </c>
      <c r="V4" s="61">
        <f>SUMIF($B$2:$B$604,$Q$4,$N$2:$N$604)</f>
        <v>0</v>
      </c>
      <c r="W4" s="61">
        <f>SUMIF($B$2:$B$604,$Q$4,$O$2:$O$604)</f>
        <v>0</v>
      </c>
      <c r="X4" s="42">
        <f>$R$4-$U$4</f>
        <v>0</v>
      </c>
      <c r="Y4" s="42">
        <f>$S$4-$V$4</f>
        <v>0</v>
      </c>
      <c r="Z4" s="42">
        <f>$T$4-$W$4</f>
        <v>0</v>
      </c>
      <c r="AA4" s="42">
        <f>SUMIF(EFEITO!$B$2:$B$604,$Q$4,EFEITO!$AE$2:$AE$604)</f>
        <v>0</v>
      </c>
      <c r="AB4" s="42">
        <f>SUMIF(EFEITO!$B$2:$B$604,$Q$4,EFEITO!$AF$2:$AF$604)</f>
        <v>0</v>
      </c>
      <c r="AC4" s="42">
        <f>SUMIF(EFEITO!$B$2:$B$604,$Q$4,EFEITO!$AG$2:$AH$604)</f>
        <v>0</v>
      </c>
      <c r="AD4" s="42">
        <f>SUMIF(SUBSIDIO!$B$2:$B$604,$Q$4,SUBSIDIO!$AD$2:$AD$604)</f>
        <v>0</v>
      </c>
      <c r="AE4" s="42">
        <f>SUMIF(SUBSIDIO!$B$2:$B$604,$Q$4,SUBSIDIO!$AE$2:$AE$604)</f>
        <v>0</v>
      </c>
      <c r="AF4" s="42" t="str">
        <f>IF(ABS($X$4-$AA$4)&lt;0.01,"OK","ERRO")</f>
        <v>OK</v>
      </c>
      <c r="AG4" s="42" t="str">
        <f>IF(ABS($Y$4-$AB$4)&lt;0.01,"OK","ERRO")</f>
        <v>OK</v>
      </c>
      <c r="AH4" s="42" t="str">
        <f>IF(ABS($Z$4-$AC$4)&lt;0.01,"OK","ERRO")</f>
        <v>OK</v>
      </c>
      <c r="AI4" s="42" t="str">
        <f>IF(ABS($U$4-$AD$4)&lt;0.01,"OK","ERRO")</f>
        <v>OK</v>
      </c>
      <c r="AJ4" s="42" t="str">
        <f>IF(ABS(($V$4+$W$4)-$AE$4)&lt;0.01,"OK","ERRO")</f>
        <v>OK</v>
      </c>
    </row>
    <row r="5" spans="1:40" ht="11.25" customHeight="1" x14ac:dyDescent="0.2">
      <c r="A5" s="41" t="s">
        <v>21</v>
      </c>
      <c r="B5" s="41" t="s">
        <v>61</v>
      </c>
      <c r="C5" s="41" t="s">
        <v>54</v>
      </c>
      <c r="D5" s="41" t="s">
        <v>33</v>
      </c>
      <c r="E5" s="41" t="s">
        <v>25</v>
      </c>
      <c r="F5" s="41" t="s">
        <v>55</v>
      </c>
      <c r="G5" s="41" t="s">
        <v>25</v>
      </c>
      <c r="H5" s="41" t="s">
        <v>37</v>
      </c>
      <c r="I5" s="60">
        <v>44743</v>
      </c>
      <c r="J5" s="61">
        <f ca="1">EFEITO!$J$5*EFEITO!$Y$5</f>
        <v>72704.670814973535</v>
      </c>
      <c r="K5" s="61">
        <f ca="1">EFEITO!$L$5*EFEITO!$Z$5</f>
        <v>0</v>
      </c>
      <c r="L5" s="61">
        <f>EFEITO!$N$5*EFEITO!$AA$5</f>
        <v>0</v>
      </c>
      <c r="M5" s="61">
        <f ca="1">$J$5-EFEITO!$K$5*EFEITO!$Y$5</f>
        <v>35689.150301040783</v>
      </c>
      <c r="N5" s="61">
        <f ca="1">$K$5-EFEITO!$M$5*EFEITO!$Z$5</f>
        <v>0</v>
      </c>
      <c r="O5" s="61">
        <f>$L$5-EFEITO!$O$5*EFEITO!$AA$5</f>
        <v>0</v>
      </c>
      <c r="P5" s="45"/>
      <c r="Q5" s="61" t="s">
        <v>61</v>
      </c>
      <c r="R5" s="61">
        <f ca="1">SUMIF($B$2:$B$604,$Q$5,$J$2:$J$604)</f>
        <v>697987.87395950675</v>
      </c>
      <c r="S5" s="61">
        <f ca="1">SUMIF($B$2:$B$604,$Q$5,$K$2:$K$604)</f>
        <v>828937.0093529236</v>
      </c>
      <c r="T5" s="61">
        <f>SUMIF($B$2:$B$604,$Q$5,$L$2:$L$604)</f>
        <v>0</v>
      </c>
      <c r="U5" s="61">
        <f ca="1">SUMIF($B$2:$B$604,$Q$5,$M$2:$M$604)</f>
        <v>346298.09843197372</v>
      </c>
      <c r="V5" s="61">
        <f ca="1">SUMIF($B$2:$B$604,$Q$5,$N$2:$N$604)</f>
        <v>0</v>
      </c>
      <c r="W5" s="61">
        <f>SUMIF($B$2:$B$604,$Q$5,$O$2:$O$604)</f>
        <v>0</v>
      </c>
      <c r="X5" s="42">
        <f ca="1">$R$5-$U$5</f>
        <v>351689.77552753303</v>
      </c>
      <c r="Y5" s="42">
        <f ca="1">$S$5-$V$5</f>
        <v>828937.0093529236</v>
      </c>
      <c r="Z5" s="42">
        <f>$T$5-$W$5</f>
        <v>0</v>
      </c>
      <c r="AA5" s="42">
        <f ca="1">SUMIF(EFEITO!$B$2:$B$604,$Q$5,EFEITO!$AE$2:$AE$604)</f>
        <v>351689.77552753303</v>
      </c>
      <c r="AB5" s="42">
        <f ca="1">SUMIF(EFEITO!$B$2:$B$604,$Q$5,EFEITO!$AF$2:$AF$604)</f>
        <v>828937.0093529236</v>
      </c>
      <c r="AC5" s="42">
        <f>SUMIF(EFEITO!$B$2:$B$604,$Q$5,EFEITO!$AG$2:$AH$604)</f>
        <v>0</v>
      </c>
      <c r="AD5" s="42">
        <f ca="1">SUMIF(SUBSIDIO!$B$2:$B$604,$Q$5,SUBSIDIO!$AD$2:$AD$604)</f>
        <v>346298.09843197378</v>
      </c>
      <c r="AE5" s="42">
        <f ca="1">SUMIF(SUBSIDIO!$B$2:$B$604,$Q$5,SUBSIDIO!$AE$2:$AE$604)</f>
        <v>0</v>
      </c>
      <c r="AF5" s="42" t="str">
        <f ca="1">IF(ABS($X$5-$AA$5)&lt;0.01,"OK","ERRO")</f>
        <v>OK</v>
      </c>
      <c r="AG5" s="42" t="str">
        <f ca="1">IF(ABS($Y$5-$AB$5)&lt;0.01,"OK","ERRO")</f>
        <v>OK</v>
      </c>
      <c r="AH5" s="42" t="str">
        <f>IF(ABS($Z$5-$AC$5)&lt;0.01,"OK","ERRO")</f>
        <v>OK</v>
      </c>
      <c r="AI5" s="42" t="str">
        <f ca="1">IF(ABS($U$5-$AD$5)&lt;0.01,"OK","ERRO")</f>
        <v>OK</v>
      </c>
      <c r="AJ5" s="42" t="str">
        <f ca="1">IF(ABS(($V$5+$W$5)-$AE$5)&lt;0.01,"OK","ERRO")</f>
        <v>OK</v>
      </c>
    </row>
    <row r="6" spans="1:40" ht="11.25" customHeight="1" x14ac:dyDescent="0.2">
      <c r="A6" s="41" t="s">
        <v>21</v>
      </c>
      <c r="B6" s="41" t="s">
        <v>61</v>
      </c>
      <c r="C6" s="41" t="s">
        <v>54</v>
      </c>
      <c r="D6" s="41" t="s">
        <v>33</v>
      </c>
      <c r="E6" s="41" t="s">
        <v>25</v>
      </c>
      <c r="F6" s="41" t="s">
        <v>55</v>
      </c>
      <c r="G6" s="41" t="s">
        <v>25</v>
      </c>
      <c r="H6" s="41" t="s">
        <v>25</v>
      </c>
      <c r="I6" s="60">
        <v>44652</v>
      </c>
      <c r="J6" s="61">
        <f>EFEITO!$J$6*EFEITO!$Y$6</f>
        <v>0</v>
      </c>
      <c r="K6" s="61">
        <f ca="1">EFEITO!$L$6*EFEITO!$Z$6</f>
        <v>146397.5415025964</v>
      </c>
      <c r="L6" s="61">
        <f>EFEITO!$N$6*EFEITO!$AA$6</f>
        <v>0</v>
      </c>
      <c r="M6" s="61">
        <f>$J$6-EFEITO!$K$6*EFEITO!$Y$6</f>
        <v>0</v>
      </c>
      <c r="N6" s="61">
        <f ca="1">$K$6-EFEITO!$M$6*EFEITO!$Z$6</f>
        <v>0</v>
      </c>
      <c r="O6" s="61">
        <f>$L$6-EFEITO!$O$6*EFEITO!$AA$6</f>
        <v>0</v>
      </c>
      <c r="P6" s="45"/>
      <c r="Q6" s="61" t="s">
        <v>621</v>
      </c>
      <c r="R6" s="61">
        <f>SUMIF($B$2:$B$604,$Q$6,$J$2:$J$604)</f>
        <v>0</v>
      </c>
      <c r="S6" s="61">
        <f>SUMIF($B$2:$B$604,$Q$6,$K$2:$K$604)</f>
        <v>0</v>
      </c>
      <c r="T6" s="61">
        <f>SUMIF($B$2:$B$604,$Q$6,$L$2:$L$604)</f>
        <v>0</v>
      </c>
      <c r="U6" s="61">
        <f>SUMIF($B$2:$B$604,$Q$6,$M$2:$M$604)</f>
        <v>0</v>
      </c>
      <c r="V6" s="61">
        <f>SUMIF($B$2:$B$604,$Q$6,$N$2:$N$604)</f>
        <v>0</v>
      </c>
      <c r="W6" s="61">
        <f>SUMIF($B$2:$B$604,$Q$6,$O$2:$O$604)</f>
        <v>0</v>
      </c>
      <c r="X6" s="42">
        <f>$R$6-$U$6</f>
        <v>0</v>
      </c>
      <c r="Y6" s="42">
        <f>$S$6-$V$6</f>
        <v>0</v>
      </c>
      <c r="Z6" s="42">
        <f>$T$6-$W$6</f>
        <v>0</v>
      </c>
      <c r="AA6" s="42">
        <f>SUMIF(EFEITO!$B$2:$B$604,$Q$6,EFEITO!$AE$2:$AE$604)</f>
        <v>0</v>
      </c>
      <c r="AB6" s="42">
        <f>SUMIF(EFEITO!$B$2:$B$604,$Q$6,EFEITO!$AF$2:$AF$604)</f>
        <v>0</v>
      </c>
      <c r="AC6" s="42">
        <f>SUMIF(EFEITO!$B$2:$B$604,$Q$6,EFEITO!$AG$2:$AH$604)</f>
        <v>0</v>
      </c>
      <c r="AD6" s="42">
        <f>SUMIF(SUBSIDIO!$B$2:$B$604,$Q$6,SUBSIDIO!$AD$2:$AD$604)</f>
        <v>0</v>
      </c>
      <c r="AE6" s="42">
        <f>SUMIF(SUBSIDIO!$B$2:$B$604,$Q$6,SUBSIDIO!$AE$2:$AE$604)</f>
        <v>0</v>
      </c>
      <c r="AF6" s="42" t="str">
        <f>IF(ABS($X$6-$AA$6)&lt;0.01,"OK","ERRO")</f>
        <v>OK</v>
      </c>
      <c r="AG6" s="42" t="str">
        <f>IF(ABS($Y$6-$AB$6)&lt;0.01,"OK","ERRO")</f>
        <v>OK</v>
      </c>
      <c r="AH6" s="42" t="str">
        <f>IF(ABS($Z$6-$AC$6)&lt;0.01,"OK","ERRO")</f>
        <v>OK</v>
      </c>
      <c r="AI6" s="42" t="str">
        <f>IF(ABS($U$6-$AD$6)&lt;0.01,"OK","ERRO")</f>
        <v>OK</v>
      </c>
      <c r="AJ6" s="42" t="str">
        <f>IF(ABS(($V$6+$W$6)-$AE$6)&lt;0.01,"OK","ERRO")</f>
        <v>OK</v>
      </c>
    </row>
    <row r="7" spans="1:40" ht="11.25" customHeight="1" x14ac:dyDescent="0.2">
      <c r="A7" s="41" t="s">
        <v>21</v>
      </c>
      <c r="B7" s="41" t="s">
        <v>61</v>
      </c>
      <c r="C7" s="41" t="s">
        <v>54</v>
      </c>
      <c r="D7" s="41" t="s">
        <v>33</v>
      </c>
      <c r="E7" s="41" t="s">
        <v>25</v>
      </c>
      <c r="F7" s="41" t="s">
        <v>55</v>
      </c>
      <c r="G7" s="41" t="s">
        <v>25</v>
      </c>
      <c r="H7" s="41" t="s">
        <v>25</v>
      </c>
      <c r="I7" s="60">
        <v>44682</v>
      </c>
      <c r="J7" s="61">
        <f>EFEITO!$J$7*EFEITO!$Y$7</f>
        <v>0</v>
      </c>
      <c r="K7" s="61">
        <f ca="1">EFEITO!$L$7*EFEITO!$Z$7</f>
        <v>219781.84993075856</v>
      </c>
      <c r="L7" s="61">
        <f>EFEITO!$N$7*EFEITO!$AA$7</f>
        <v>0</v>
      </c>
      <c r="M7" s="61">
        <f>$J$7-EFEITO!$K$7*EFEITO!$Y$7</f>
        <v>0</v>
      </c>
      <c r="N7" s="61">
        <f ca="1">$K$7-EFEITO!$M$7*EFEITO!$Z$7</f>
        <v>0</v>
      </c>
      <c r="O7" s="61">
        <f>$L$7-EFEITO!$O$7*EFEITO!$AA$7</f>
        <v>0</v>
      </c>
      <c r="P7" s="45"/>
      <c r="Q7" s="61" t="s">
        <v>34</v>
      </c>
      <c r="R7" s="61">
        <f ca="1">SUMIF($B$2:$B$604,$Q$7,$J$2:$J$604)</f>
        <v>8838625.7839339003</v>
      </c>
      <c r="S7" s="61">
        <f ca="1">SUMIF($B$2:$B$604,$Q$7,$K$2:$K$604)</f>
        <v>13558846.865891693</v>
      </c>
      <c r="T7" s="61">
        <f>SUMIF($B$2:$B$604,$Q$7,$L$2:$L$604)</f>
        <v>953565.10878121736</v>
      </c>
      <c r="U7" s="61">
        <f ca="1">SUMIF($B$2:$B$604,$Q$7,$M$2:$M$604)</f>
        <v>4070026.8783473223</v>
      </c>
      <c r="V7" s="61">
        <f ca="1">SUMIF($B$2:$B$604,$Q$7,$N$2:$N$604)</f>
        <v>1666764.0842355343</v>
      </c>
      <c r="W7" s="61">
        <f>SUMIF($B$2:$B$604,$Q$7,$O$2:$O$604)</f>
        <v>0</v>
      </c>
      <c r="X7" s="42">
        <f ca="1">$R$7-$U$7</f>
        <v>4768598.905586578</v>
      </c>
      <c r="Y7" s="42">
        <f ca="1">$S$7-$V$7</f>
        <v>11892082.781656159</v>
      </c>
      <c r="Z7" s="42">
        <f>$T$7-$W$7</f>
        <v>953565.10878121736</v>
      </c>
      <c r="AA7" s="42">
        <f ca="1">SUMIF(EFEITO!$B$2:$B$604,$Q$7,EFEITO!$AE$2:$AE$604)</f>
        <v>4768598.9055865863</v>
      </c>
      <c r="AB7" s="42">
        <f ca="1">SUMIF(EFEITO!$B$2:$B$604,$Q$7,EFEITO!$AF$2:$AF$604)</f>
        <v>11892082.781656161</v>
      </c>
      <c r="AC7" s="42">
        <f>SUMIF(EFEITO!$B$2:$B$604,$Q$7,EFEITO!$AG$2:$AH$604)</f>
        <v>953565.10878121736</v>
      </c>
      <c r="AD7" s="42">
        <f ca="1">SUMIF(SUBSIDIO!$B$2:$B$604,$Q$7,SUBSIDIO!$AD$2:$AD$604)</f>
        <v>4070026.8783473223</v>
      </c>
      <c r="AE7" s="42">
        <f ca="1">SUMIF(SUBSIDIO!$B$2:$B$604,$Q$7,SUBSIDIO!$AE$2:$AE$604)</f>
        <v>1666764.0842355343</v>
      </c>
      <c r="AF7" s="42" t="str">
        <f ca="1">IF(ABS($X$7-$AA$7)&lt;0.01,"OK","ERRO")</f>
        <v>OK</v>
      </c>
      <c r="AG7" s="42" t="str">
        <f ca="1">IF(ABS($Y$7-$AB$7)&lt;0.01,"OK","ERRO")</f>
        <v>OK</v>
      </c>
      <c r="AH7" s="42" t="str">
        <f>IF(ABS($Z$7-$AC$7)&lt;0.01,"OK","ERRO")</f>
        <v>OK</v>
      </c>
      <c r="AI7" s="42" t="str">
        <f ca="1">IF(ABS($U$7-$AD$7)&lt;0.01,"OK","ERRO")</f>
        <v>OK</v>
      </c>
      <c r="AJ7" s="42" t="str">
        <f ca="1">IF(ABS(($V$7+$W$7)-$AE$7)&lt;0.01,"OK","ERRO")</f>
        <v>OK</v>
      </c>
    </row>
    <row r="8" spans="1:40" ht="11.25" customHeight="1" x14ac:dyDescent="0.2">
      <c r="A8" s="41" t="s">
        <v>21</v>
      </c>
      <c r="B8" s="41" t="s">
        <v>61</v>
      </c>
      <c r="C8" s="41" t="s">
        <v>54</v>
      </c>
      <c r="D8" s="41" t="s">
        <v>33</v>
      </c>
      <c r="E8" s="41" t="s">
        <v>25</v>
      </c>
      <c r="F8" s="41" t="s">
        <v>55</v>
      </c>
      <c r="G8" s="41" t="s">
        <v>25</v>
      </c>
      <c r="H8" s="41" t="s">
        <v>25</v>
      </c>
      <c r="I8" s="60">
        <v>44713</v>
      </c>
      <c r="J8" s="61">
        <f>EFEITO!$J$8*EFEITO!$Y$8</f>
        <v>0</v>
      </c>
      <c r="K8" s="61">
        <f ca="1">EFEITO!$L$8*EFEITO!$Z$8</f>
        <v>226774.19434943807</v>
      </c>
      <c r="L8" s="61">
        <f>EFEITO!$N$8*EFEITO!$AA$8</f>
        <v>0</v>
      </c>
      <c r="M8" s="61">
        <f>$J$8-EFEITO!$K$8*EFEITO!$Y$8</f>
        <v>0</v>
      </c>
      <c r="N8" s="61">
        <f ca="1">$K$8-EFEITO!$M$8*EFEITO!$Z$8</f>
        <v>0</v>
      </c>
      <c r="O8" s="61">
        <f>$L$8-EFEITO!$O$8*EFEITO!$AA$8</f>
        <v>0</v>
      </c>
      <c r="P8" s="45"/>
      <c r="Q8" s="61" t="s">
        <v>622</v>
      </c>
      <c r="R8" s="61">
        <f>SUMIF($B$2:$B$604,$Q$8,$J$2:$J$604)</f>
        <v>0</v>
      </c>
      <c r="S8" s="61">
        <f>SUMIF($B$2:$B$604,$Q$8,$K$2:$K$604)</f>
        <v>0</v>
      </c>
      <c r="T8" s="61">
        <f>SUMIF($B$2:$B$604,$Q$8,$L$2:$L$604)</f>
        <v>0</v>
      </c>
      <c r="U8" s="61">
        <f>SUMIF($B$2:$B$604,$Q$8,$M$2:$M$604)</f>
        <v>0</v>
      </c>
      <c r="V8" s="61">
        <f>SUMIF($B$2:$B$604,$Q$8,$N$2:$N$604)</f>
        <v>0</v>
      </c>
      <c r="W8" s="61">
        <f>SUMIF($B$2:$B$604,$Q$8,$O$2:$O$604)</f>
        <v>0</v>
      </c>
      <c r="X8" s="42">
        <f>$R$8-$U$8</f>
        <v>0</v>
      </c>
      <c r="Y8" s="42">
        <f>$S$8-$V$8</f>
        <v>0</v>
      </c>
      <c r="Z8" s="42">
        <f>$T$8-$W$8</f>
        <v>0</v>
      </c>
      <c r="AA8" s="42">
        <f>SUMIF(EFEITO!$B$2:$B$604,$Q$8,EFEITO!$AE$2:$AE$604)</f>
        <v>0</v>
      </c>
      <c r="AB8" s="42">
        <f>SUMIF(EFEITO!$B$2:$B$604,$Q$8,EFEITO!$AF$2:$AF$604)</f>
        <v>0</v>
      </c>
      <c r="AC8" s="42">
        <f>SUMIF(EFEITO!$B$2:$B$604,$Q$8,EFEITO!$AG$2:$AH$604)</f>
        <v>0</v>
      </c>
      <c r="AD8" s="42">
        <f>SUMIF(SUBSIDIO!$B$2:$B$604,$Q$8,SUBSIDIO!$AD$2:$AD$604)</f>
        <v>0</v>
      </c>
      <c r="AE8" s="42">
        <f>SUMIF(SUBSIDIO!$B$2:$B$604,$Q$8,SUBSIDIO!$AE$2:$AE$604)</f>
        <v>0</v>
      </c>
      <c r="AF8" s="42" t="str">
        <f>IF(ABS($X$8-$AA$8)&lt;0.01,"OK","ERRO")</f>
        <v>OK</v>
      </c>
      <c r="AG8" s="42" t="str">
        <f>IF(ABS($Y$8-$AB$8)&lt;0.01,"OK","ERRO")</f>
        <v>OK</v>
      </c>
      <c r="AH8" s="42" t="str">
        <f>IF(ABS($Z$8-$AC$8)&lt;0.01,"OK","ERRO")</f>
        <v>OK</v>
      </c>
      <c r="AI8" s="42" t="str">
        <f>IF(ABS($U$8-$AD$8)&lt;0.01,"OK","ERRO")</f>
        <v>OK</v>
      </c>
      <c r="AJ8" s="42" t="str">
        <f>IF(ABS(($V$8+$W$8)-$AE$8)&lt;0.01,"OK","ERRO")</f>
        <v>OK</v>
      </c>
    </row>
    <row r="9" spans="1:40" ht="11.25" customHeight="1" x14ac:dyDescent="0.2">
      <c r="A9" s="41" t="s">
        <v>21</v>
      </c>
      <c r="B9" s="41" t="s">
        <v>61</v>
      </c>
      <c r="C9" s="41" t="s">
        <v>54</v>
      </c>
      <c r="D9" s="41" t="s">
        <v>33</v>
      </c>
      <c r="E9" s="41" t="s">
        <v>25</v>
      </c>
      <c r="F9" s="41" t="s">
        <v>55</v>
      </c>
      <c r="G9" s="41" t="s">
        <v>25</v>
      </c>
      <c r="H9" s="41" t="s">
        <v>25</v>
      </c>
      <c r="I9" s="60">
        <v>44743</v>
      </c>
      <c r="J9" s="61">
        <f>EFEITO!$J$9*EFEITO!$Y$9</f>
        <v>0</v>
      </c>
      <c r="K9" s="61">
        <f ca="1">EFEITO!$L$9*EFEITO!$Z$9</f>
        <v>235983.42357013054</v>
      </c>
      <c r="L9" s="61">
        <f>EFEITO!$N$9*EFEITO!$AA$9</f>
        <v>0</v>
      </c>
      <c r="M9" s="61">
        <f>$J$9-EFEITO!$K$9*EFEITO!$Y$9</f>
        <v>0</v>
      </c>
      <c r="N9" s="61">
        <f ca="1">$K$9-EFEITO!$M$9*EFEITO!$Z$9</f>
        <v>0</v>
      </c>
      <c r="O9" s="61">
        <f>$L$9-EFEITO!$O$9*EFEITO!$AA$9</f>
        <v>0</v>
      </c>
      <c r="P9" s="45"/>
      <c r="Q9" s="61" t="s">
        <v>22</v>
      </c>
      <c r="R9" s="61">
        <f>SUMIF($B$2:$B$604,$Q$9,$J$2:$J$604)</f>
        <v>0</v>
      </c>
      <c r="S9" s="61">
        <f ca="1">SUMIF($B$2:$B$604,$Q$9,$K$2:$K$604)</f>
        <v>5668880.1856890889</v>
      </c>
      <c r="T9" s="61">
        <f>SUMIF($B$2:$B$604,$Q$9,$L$2:$L$604)</f>
        <v>3516765.0891780304</v>
      </c>
      <c r="U9" s="61">
        <f>SUMIF($B$2:$B$604,$Q$9,$M$2:$M$604)</f>
        <v>0</v>
      </c>
      <c r="V9" s="61">
        <f ca="1">SUMIF($B$2:$B$604,$Q$9,$N$2:$N$604)</f>
        <v>65694.052896899244</v>
      </c>
      <c r="W9" s="61">
        <f>SUMIF($B$2:$B$604,$Q$9,$O$2:$O$604)</f>
        <v>58983.212096001247</v>
      </c>
      <c r="X9" s="42">
        <f>$R$9-$U$9</f>
        <v>0</v>
      </c>
      <c r="Y9" s="42">
        <f ca="1">$S$9-$V$9</f>
        <v>5603186.1327921897</v>
      </c>
      <c r="Z9" s="42">
        <f>$T$9-$W$9</f>
        <v>3457781.8770820294</v>
      </c>
      <c r="AA9" s="42">
        <f>SUMIF(EFEITO!$B$2:$B$604,$Q$9,EFEITO!$AE$2:$AE$604)</f>
        <v>0</v>
      </c>
      <c r="AB9" s="42">
        <f ca="1">SUMIF(EFEITO!$B$2:$B$604,$Q$9,EFEITO!$AF$2:$AF$604)</f>
        <v>5603186.1327921888</v>
      </c>
      <c r="AC9" s="42">
        <f>SUMIF(EFEITO!$B$2:$B$604,$Q$9,EFEITO!$AG$2:$AH$604)</f>
        <v>3457781.8770820289</v>
      </c>
      <c r="AD9" s="42">
        <f>SUMIF(SUBSIDIO!$B$2:$B$604,$Q$9,SUBSIDIO!$AD$2:$AD$604)</f>
        <v>0</v>
      </c>
      <c r="AE9" s="42">
        <f ca="1">SUMIF(SUBSIDIO!$B$2:$B$604,$Q$9,SUBSIDIO!$AE$2:$AE$604)</f>
        <v>124677.26499290044</v>
      </c>
      <c r="AF9" s="42" t="str">
        <f>IF(ABS($X$9-$AA$9)&lt;0.01,"OK","ERRO")</f>
        <v>OK</v>
      </c>
      <c r="AG9" s="42" t="str">
        <f ca="1">IF(ABS($Y$9-$AB$9)&lt;0.01,"OK","ERRO")</f>
        <v>OK</v>
      </c>
      <c r="AH9" s="42" t="str">
        <f>IF(ABS($Z$9-$AC$9)&lt;0.01,"OK","ERRO")</f>
        <v>OK</v>
      </c>
      <c r="AI9" s="42" t="str">
        <f>IF(ABS($U$9-$AD$9)&lt;0.01,"OK","ERRO")</f>
        <v>OK</v>
      </c>
      <c r="AJ9" s="42" t="str">
        <f ca="1">IF(ABS(($V$9+$W$9)-$AE$9)&lt;0.01,"OK","ERRO")</f>
        <v>OK</v>
      </c>
    </row>
    <row r="10" spans="1:40" ht="11.25" customHeight="1" x14ac:dyDescent="0.2">
      <c r="A10" s="41" t="s">
        <v>21</v>
      </c>
      <c r="B10" s="41" t="s">
        <v>61</v>
      </c>
      <c r="C10" s="41" t="s">
        <v>54</v>
      </c>
      <c r="D10" s="41" t="s">
        <v>33</v>
      </c>
      <c r="E10" s="41" t="s">
        <v>25</v>
      </c>
      <c r="F10" s="41" t="s">
        <v>55</v>
      </c>
      <c r="G10" s="41" t="s">
        <v>25</v>
      </c>
      <c r="H10" s="41" t="s">
        <v>36</v>
      </c>
      <c r="I10" s="60">
        <v>44652</v>
      </c>
      <c r="J10" s="61">
        <f ca="1">EFEITO!$J$10*EFEITO!$Y$10</f>
        <v>99229.38296671689</v>
      </c>
      <c r="K10" s="61">
        <f ca="1">EFEITO!$L$10*EFEITO!$Z$10</f>
        <v>0</v>
      </c>
      <c r="L10" s="61">
        <f>EFEITO!$N$10*EFEITO!$AA$10</f>
        <v>0</v>
      </c>
      <c r="M10" s="61">
        <f ca="1">$J$10-EFEITO!$K$10*EFEITO!$Y$10</f>
        <v>49590.173887415025</v>
      </c>
      <c r="N10" s="61">
        <f ca="1">$K$10-EFEITO!$M$10*EFEITO!$Z$10</f>
        <v>0</v>
      </c>
      <c r="O10" s="61">
        <f>$L$10-EFEITO!$O$10*EFEITO!$AA$10</f>
        <v>0</v>
      </c>
      <c r="P10" s="45"/>
      <c r="Q10" s="61" t="s">
        <v>41</v>
      </c>
      <c r="R10" s="61">
        <f>SUMIF($B$2:$B$604,$Q$10,$J$2:$J$604)</f>
        <v>0</v>
      </c>
      <c r="S10" s="61">
        <f ca="1">SUMIF($B$2:$B$604,$Q$10,$K$2:$K$604)</f>
        <v>1468588.9900502264</v>
      </c>
      <c r="T10" s="61">
        <f>SUMIF($B$2:$B$604,$Q$10,$L$2:$L$604)</f>
        <v>893901.38802151766</v>
      </c>
      <c r="U10" s="61">
        <f>SUMIF($B$2:$B$604,$Q$10,$M$2:$M$604)</f>
        <v>0</v>
      </c>
      <c r="V10" s="61">
        <f ca="1">SUMIF($B$2:$B$604,$Q$10,$N$2:$N$604)</f>
        <v>92750.798191811264</v>
      </c>
      <c r="W10" s="61">
        <f>SUMIF($B$2:$B$604,$Q$10,$O$2:$O$604)</f>
        <v>56455.596361871154</v>
      </c>
      <c r="X10" s="42">
        <f>$R$10-$U$10</f>
        <v>0</v>
      </c>
      <c r="Y10" s="42">
        <f ca="1">$S$10-$V$10</f>
        <v>1375838.1918584153</v>
      </c>
      <c r="Z10" s="42">
        <f>$T$10-$W$10</f>
        <v>837445.79165964655</v>
      </c>
      <c r="AA10" s="42">
        <f>SUMIF(EFEITO!$B$2:$B$604,$Q$10,EFEITO!$AE$2:$AE$604)</f>
        <v>0</v>
      </c>
      <c r="AB10" s="42">
        <f ca="1">SUMIF(EFEITO!$B$2:$B$604,$Q$10,EFEITO!$AF$2:$AF$604)</f>
        <v>1375838.1918584153</v>
      </c>
      <c r="AC10" s="42">
        <f>SUMIF(EFEITO!$B$2:$B$604,$Q$10,EFEITO!$AG$2:$AH$604)</f>
        <v>837445.79165964655</v>
      </c>
      <c r="AD10" s="42">
        <f>SUMIF(SUBSIDIO!$B$2:$B$604,$Q$10,SUBSIDIO!$AD$2:$AD$604)</f>
        <v>0</v>
      </c>
      <c r="AE10" s="42">
        <f ca="1">SUMIF(SUBSIDIO!$B$2:$B$604,$Q$10,SUBSIDIO!$AE$2:$AE$604)</f>
        <v>149206.39455368256</v>
      </c>
      <c r="AF10" s="42" t="str">
        <f>IF(ABS($X$10-$AA$10)&lt;0.01,"OK","ERRO")</f>
        <v>OK</v>
      </c>
      <c r="AG10" s="42" t="str">
        <f ca="1">IF(ABS($Y$10-$AB$10)&lt;0.01,"OK","ERRO")</f>
        <v>OK</v>
      </c>
      <c r="AH10" s="42" t="str">
        <f>IF(ABS($Z$10-$AC$10)&lt;0.01,"OK","ERRO")</f>
        <v>OK</v>
      </c>
      <c r="AI10" s="42" t="str">
        <f>IF(ABS($U$10-$AD$10)&lt;0.01,"OK","ERRO")</f>
        <v>OK</v>
      </c>
      <c r="AJ10" s="42" t="str">
        <f ca="1">IF(ABS(($V$10+$W$10)-$AE$10)&lt;0.01,"OK","ERRO")</f>
        <v>OK</v>
      </c>
    </row>
    <row r="11" spans="1:40" ht="11.25" customHeight="1" x14ac:dyDescent="0.2">
      <c r="A11" s="41" t="s">
        <v>21</v>
      </c>
      <c r="B11" s="41" t="s">
        <v>61</v>
      </c>
      <c r="C11" s="41" t="s">
        <v>54</v>
      </c>
      <c r="D11" s="41" t="s">
        <v>33</v>
      </c>
      <c r="E11" s="41" t="s">
        <v>25</v>
      </c>
      <c r="F11" s="41" t="s">
        <v>55</v>
      </c>
      <c r="G11" s="41" t="s">
        <v>25</v>
      </c>
      <c r="H11" s="41" t="s">
        <v>36</v>
      </c>
      <c r="I11" s="60">
        <v>44682</v>
      </c>
      <c r="J11" s="61">
        <f ca="1">EFEITO!$J$11*EFEITO!$Y$11</f>
        <v>106525.66112603432</v>
      </c>
      <c r="K11" s="61">
        <f ca="1">EFEITO!$L$11*EFEITO!$Z$11</f>
        <v>0</v>
      </c>
      <c r="L11" s="61">
        <f>EFEITO!$N$11*EFEITO!$AA$11</f>
        <v>0</v>
      </c>
      <c r="M11" s="61">
        <f ca="1">$J$11-EFEITO!$K$11*EFEITO!$Y$11</f>
        <v>53241.580824135737</v>
      </c>
      <c r="N11" s="61">
        <f ca="1">$K$11-EFEITO!$M$11*EFEITO!$Z$11</f>
        <v>0</v>
      </c>
      <c r="O11" s="61">
        <f>$L$11-EFEITO!$O$11*EFEITO!$AA$11</f>
        <v>0</v>
      </c>
      <c r="P11" s="45"/>
      <c r="Q11" s="61" t="s">
        <v>32</v>
      </c>
      <c r="R11" s="61">
        <f>SUMIF($B$2:$B$604,$Q$11,$J$2:$J$604)</f>
        <v>0</v>
      </c>
      <c r="S11" s="61">
        <f ca="1">SUMIF($B$2:$B$604,$Q$11,$K$2:$K$604)</f>
        <v>3100457.914884516</v>
      </c>
      <c r="T11" s="61">
        <f>SUMIF($B$2:$B$604,$Q$11,$L$2:$L$604)</f>
        <v>1892895.1330008716</v>
      </c>
      <c r="U11" s="61">
        <f>SUMIF($B$2:$B$604,$Q$11,$M$2:$M$604)</f>
        <v>0</v>
      </c>
      <c r="V11" s="61">
        <f ca="1">SUMIF($B$2:$B$604,$Q$11,$N$2:$N$604)</f>
        <v>7073.2347714873413</v>
      </c>
      <c r="W11" s="61">
        <f>SUMIF($B$2:$B$604,$Q$11,$O$2:$O$604)</f>
        <v>4305.339630673905</v>
      </c>
      <c r="X11" s="42">
        <f>$R$11-$U$11</f>
        <v>0</v>
      </c>
      <c r="Y11" s="42">
        <f ca="1">$S$11-$V$11</f>
        <v>3093384.6801130287</v>
      </c>
      <c r="Z11" s="42">
        <f>$T$11-$W$11</f>
        <v>1888589.7933701978</v>
      </c>
      <c r="AA11" s="42">
        <f>SUMIF(EFEITO!$B$2:$B$604,$Q$11,EFEITO!$AE$2:$AE$604)</f>
        <v>0</v>
      </c>
      <c r="AB11" s="42">
        <f ca="1">SUMIF(EFEITO!$B$2:$B$604,$Q$11,EFEITO!$AF$2:$AF$604)</f>
        <v>3093384.6801130283</v>
      </c>
      <c r="AC11" s="42">
        <f>SUMIF(EFEITO!$B$2:$B$604,$Q$11,EFEITO!$AG$2:$AH$604)</f>
        <v>1888589.7933701978</v>
      </c>
      <c r="AD11" s="42">
        <f>SUMIF(SUBSIDIO!$B$2:$B$604,$Q$11,SUBSIDIO!$AD$2:$AD$604)</f>
        <v>0</v>
      </c>
      <c r="AE11" s="42">
        <f ca="1">SUMIF(SUBSIDIO!$B$2:$B$604,$Q$11,SUBSIDIO!$AE$2:$AE$604)</f>
        <v>11378.574402161223</v>
      </c>
      <c r="AF11" s="42" t="str">
        <f>IF(ABS($X$11-$AA$11)&lt;0.01,"OK","ERRO")</f>
        <v>OK</v>
      </c>
      <c r="AG11" s="42" t="str">
        <f ca="1">IF(ABS($Y$11-$AB$11)&lt;0.01,"OK","ERRO")</f>
        <v>OK</v>
      </c>
      <c r="AH11" s="42" t="str">
        <f>IF(ABS($Z$11-$AC$11)&lt;0.01,"OK","ERRO")</f>
        <v>OK</v>
      </c>
      <c r="AI11" s="42" t="str">
        <f>IF(ABS($U$11-$AD$11)&lt;0.01,"OK","ERRO")</f>
        <v>OK</v>
      </c>
      <c r="AJ11" s="42" t="str">
        <f ca="1">IF(ABS(($V$11+$W$11)-$AE$11)&lt;0.01,"OK","ERRO")</f>
        <v>OK</v>
      </c>
    </row>
    <row r="12" spans="1:40" ht="11.25" customHeight="1" x14ac:dyDescent="0.2">
      <c r="A12" s="41" t="s">
        <v>21</v>
      </c>
      <c r="B12" s="41" t="s">
        <v>61</v>
      </c>
      <c r="C12" s="41" t="s">
        <v>54</v>
      </c>
      <c r="D12" s="41" t="s">
        <v>33</v>
      </c>
      <c r="E12" s="41" t="s">
        <v>25</v>
      </c>
      <c r="F12" s="41" t="s">
        <v>55</v>
      </c>
      <c r="G12" s="41" t="s">
        <v>25</v>
      </c>
      <c r="H12" s="41" t="s">
        <v>36</v>
      </c>
      <c r="I12" s="60">
        <v>44713</v>
      </c>
      <c r="J12" s="61">
        <f ca="1">EFEITO!$J$12*EFEITO!$Y$12</f>
        <v>106282.45185405709</v>
      </c>
      <c r="K12" s="61">
        <f ca="1">EFEITO!$L$12*EFEITO!$Z$12</f>
        <v>0</v>
      </c>
      <c r="L12" s="61">
        <f>EFEITO!$N$12*EFEITO!$AA$12</f>
        <v>0</v>
      </c>
      <c r="M12" s="61">
        <f ca="1">$J$12-EFEITO!$K$12*EFEITO!$Y$12</f>
        <v>52603.321935599015</v>
      </c>
      <c r="N12" s="61">
        <f ca="1">$K$12-EFEITO!$M$12*EFEITO!$Z$12</f>
        <v>0</v>
      </c>
      <c r="O12" s="61">
        <f>$L$12-EFEITO!$O$12*EFEITO!$AA$12</f>
        <v>0</v>
      </c>
      <c r="P12" s="45"/>
      <c r="Q12" s="61" t="s">
        <v>44</v>
      </c>
      <c r="R12" s="61">
        <f>SUMIF($B$2:$B$604,$Q$12,$J$2:$J$604)</f>
        <v>0</v>
      </c>
      <c r="S12" s="61">
        <f ca="1">SUMIF($B$2:$B$604,$Q$12,$K$2:$K$604)</f>
        <v>626826.69957411999</v>
      </c>
      <c r="T12" s="61">
        <f>SUMIF($B$2:$B$604,$Q$12,$L$2:$L$604)</f>
        <v>381537.14932800166</v>
      </c>
      <c r="U12" s="61">
        <f>SUMIF($B$2:$B$604,$Q$12,$M$2:$M$604)</f>
        <v>0</v>
      </c>
      <c r="V12" s="61">
        <f ca="1">SUMIF($B$2:$B$604,$Q$12,$N$2:$N$604)</f>
        <v>0</v>
      </c>
      <c r="W12" s="61">
        <f>SUMIF($B$2:$B$604,$Q$12,$O$2:$O$604)</f>
        <v>0</v>
      </c>
      <c r="X12" s="42">
        <f>$R$12-$U$12</f>
        <v>0</v>
      </c>
      <c r="Y12" s="42">
        <f ca="1">$S$12-$V$12</f>
        <v>626826.69957411999</v>
      </c>
      <c r="Z12" s="42">
        <f>$T$12-$W$12</f>
        <v>381537.14932800166</v>
      </c>
      <c r="AA12" s="42">
        <f>SUMIF(EFEITO!$B$2:$B$604,$Q$12,EFEITO!$AE$2:$AE$604)</f>
        <v>0</v>
      </c>
      <c r="AB12" s="42">
        <f ca="1">SUMIF(EFEITO!$B$2:$B$604,$Q$12,EFEITO!$AF$2:$AF$604)</f>
        <v>626826.69957411999</v>
      </c>
      <c r="AC12" s="42">
        <f>SUMIF(EFEITO!$B$2:$B$604,$Q$12,EFEITO!$AG$2:$AH$604)</f>
        <v>381537.14932800166</v>
      </c>
      <c r="AD12" s="42">
        <f>SUMIF(SUBSIDIO!$B$2:$B$604,$Q$12,SUBSIDIO!$AD$2:$AD$604)</f>
        <v>0</v>
      </c>
      <c r="AE12" s="42">
        <f>SUMIF(SUBSIDIO!$B$2:$B$604,$Q$12,SUBSIDIO!$AE$2:$AE$604)</f>
        <v>0</v>
      </c>
      <c r="AF12" s="42" t="str">
        <f>IF(ABS($X$12-$AA$12)&lt;0.01,"OK","ERRO")</f>
        <v>OK</v>
      </c>
      <c r="AG12" s="42" t="str">
        <f ca="1">IF(ABS($Y$12-$AB$12)&lt;0.01,"OK","ERRO")</f>
        <v>OK</v>
      </c>
      <c r="AH12" s="42" t="str">
        <f>IF(ABS($Z$12-$AC$12)&lt;0.01,"OK","ERRO")</f>
        <v>OK</v>
      </c>
      <c r="AI12" s="42" t="str">
        <f>IF(ABS($U$12-$AD$12)&lt;0.01,"OK","ERRO")</f>
        <v>OK</v>
      </c>
      <c r="AJ12" s="42" t="str">
        <f ca="1">IF(ABS(($V$12+$W$12)-$AE$12)&lt;0.01,"OK","ERRO")</f>
        <v>OK</v>
      </c>
    </row>
    <row r="13" spans="1:40" ht="11.25" customHeight="1" x14ac:dyDescent="0.2">
      <c r="A13" s="41" t="s">
        <v>21</v>
      </c>
      <c r="B13" s="41" t="s">
        <v>61</v>
      </c>
      <c r="C13" s="41" t="s">
        <v>54</v>
      </c>
      <c r="D13" s="41" t="s">
        <v>33</v>
      </c>
      <c r="E13" s="41" t="s">
        <v>25</v>
      </c>
      <c r="F13" s="41" t="s">
        <v>55</v>
      </c>
      <c r="G13" s="41" t="s">
        <v>25</v>
      </c>
      <c r="H13" s="41" t="s">
        <v>36</v>
      </c>
      <c r="I13" s="60">
        <v>44743</v>
      </c>
      <c r="J13" s="61">
        <f ca="1">EFEITO!$J$13*EFEITO!$Y$13</f>
        <v>118709.28751270405</v>
      </c>
      <c r="K13" s="61">
        <f ca="1">EFEITO!$L$13*EFEITO!$Z$13</f>
        <v>0</v>
      </c>
      <c r="L13" s="61">
        <f>EFEITO!$N$13*EFEITO!$AA$13</f>
        <v>0</v>
      </c>
      <c r="M13" s="61">
        <f ca="1">$J$13-EFEITO!$K$13*EFEITO!$Y$13</f>
        <v>58271.821558097523</v>
      </c>
      <c r="N13" s="61">
        <f ca="1">$K$13-EFEITO!$M$13*EFEITO!$Z$13</f>
        <v>0</v>
      </c>
      <c r="O13" s="61">
        <f>$L$13-EFEITO!$O$13*EFEITO!$AA$13</f>
        <v>0</v>
      </c>
      <c r="P13" s="45"/>
      <c r="Q13" s="61" t="s">
        <v>86</v>
      </c>
      <c r="R13" s="61">
        <f>SUMIF($B$2:$B$604,$Q$13,$J$2:$J$604)</f>
        <v>0</v>
      </c>
      <c r="S13" s="61">
        <f>SUMIF($B$2:$B$604,$Q$13,$K$2:$K$604)</f>
        <v>0</v>
      </c>
      <c r="T13" s="61">
        <f>SUMIF($B$2:$B$604,$Q$13,$L$2:$L$604)</f>
        <v>0</v>
      </c>
      <c r="U13" s="61">
        <f>SUMIF($B$2:$B$604,$Q$13,$M$2:$M$604)</f>
        <v>0</v>
      </c>
      <c r="V13" s="61">
        <f>SUMIF($B$2:$B$604,$Q$13,$N$2:$N$604)</f>
        <v>0</v>
      </c>
      <c r="W13" s="61">
        <f>SUMIF($B$2:$B$604,$Q$13,$O$2:$O$604)</f>
        <v>0</v>
      </c>
      <c r="X13" s="42">
        <f>$R$13-$U$13</f>
        <v>0</v>
      </c>
      <c r="Y13" s="42">
        <f>$S$13-$V$13</f>
        <v>0</v>
      </c>
      <c r="Z13" s="42">
        <f>$T$13-$W$13</f>
        <v>0</v>
      </c>
      <c r="AA13" s="42">
        <f>SUMIF(EFEITO!$B$2:$B$604,$Q$13,EFEITO!$AE$2:$AE$604)</f>
        <v>0</v>
      </c>
      <c r="AB13" s="42">
        <f>SUMIF(EFEITO!$B$2:$B$604,$Q$13,EFEITO!$AF$2:$AF$604)</f>
        <v>0</v>
      </c>
      <c r="AC13" s="42">
        <f>SUMIF(EFEITO!$B$2:$B$604,$Q$13,EFEITO!$AG$2:$AH$604)</f>
        <v>0</v>
      </c>
      <c r="AD13" s="42">
        <f>SUMIF(SUBSIDIO!$B$2:$B$604,$Q$13,SUBSIDIO!$AD$2:$AD$604)</f>
        <v>0</v>
      </c>
      <c r="AE13" s="42">
        <f>SUMIF(SUBSIDIO!$B$2:$B$604,$Q$13,SUBSIDIO!$AE$2:$AE$604)</f>
        <v>0</v>
      </c>
      <c r="AF13" s="42" t="str">
        <f>IF(ABS($X$13-$AA$13)&lt;0.01,"OK","ERRO")</f>
        <v>OK</v>
      </c>
      <c r="AG13" s="42" t="str">
        <f>IF(ABS($Y$13-$AB$13)&lt;0.01,"OK","ERRO")</f>
        <v>OK</v>
      </c>
      <c r="AH13" s="42" t="str">
        <f>IF(ABS($Z$13-$AC$13)&lt;0.01,"OK","ERRO")</f>
        <v>OK</v>
      </c>
      <c r="AI13" s="42" t="str">
        <f>IF(ABS($U$13-$AD$13)&lt;0.01,"OK","ERRO")</f>
        <v>OK</v>
      </c>
      <c r="AJ13" s="42" t="str">
        <f>IF(ABS(($V$13+$W$13)-$AE$13)&lt;0.01,"OK","ERRO")</f>
        <v>OK</v>
      </c>
    </row>
    <row r="14" spans="1:40" ht="11.25" customHeight="1" x14ac:dyDescent="0.2">
      <c r="A14" s="41" t="s">
        <v>21</v>
      </c>
      <c r="B14" s="41" t="s">
        <v>34</v>
      </c>
      <c r="C14" s="41" t="s">
        <v>54</v>
      </c>
      <c r="D14" s="41" t="s">
        <v>33</v>
      </c>
      <c r="E14" s="41" t="s">
        <v>25</v>
      </c>
      <c r="F14" s="41" t="s">
        <v>55</v>
      </c>
      <c r="G14" s="41" t="s">
        <v>25</v>
      </c>
      <c r="H14" s="41" t="s">
        <v>37</v>
      </c>
      <c r="I14" s="60">
        <v>44409</v>
      </c>
      <c r="J14" s="61">
        <f ca="1">EFEITO!$J$14*EFEITO!$Y$14</f>
        <v>176123.31443729062</v>
      </c>
      <c r="K14" s="61">
        <f ca="1">EFEITO!$L$14*EFEITO!$Z$14</f>
        <v>0</v>
      </c>
      <c r="L14" s="61">
        <f>EFEITO!$N$14*EFEITO!$AA$14</f>
        <v>0</v>
      </c>
      <c r="M14" s="61">
        <f ca="1">$J$14-EFEITO!$K$14*EFEITO!$Y$14</f>
        <v>88056.873709425199</v>
      </c>
      <c r="N14" s="61">
        <f ca="1">$K$14-EFEITO!$M$14*EFEITO!$Z$14</f>
        <v>0</v>
      </c>
      <c r="O14" s="61">
        <f>$L$14-EFEITO!$O$14*EFEITO!$AA$14</f>
        <v>0</v>
      </c>
      <c r="P14" s="45"/>
      <c r="Q14" s="45"/>
      <c r="R14" s="45"/>
      <c r="S14" s="45"/>
      <c r="T14" s="45"/>
      <c r="U14" s="45"/>
      <c r="V14" s="45"/>
      <c r="W14" s="45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41" t="s">
        <v>21</v>
      </c>
      <c r="B15" s="41" t="s">
        <v>34</v>
      </c>
      <c r="C15" s="41" t="s">
        <v>54</v>
      </c>
      <c r="D15" s="41" t="s">
        <v>33</v>
      </c>
      <c r="E15" s="41" t="s">
        <v>25</v>
      </c>
      <c r="F15" s="41" t="s">
        <v>55</v>
      </c>
      <c r="G15" s="41" t="s">
        <v>25</v>
      </c>
      <c r="H15" s="41" t="s">
        <v>37</v>
      </c>
      <c r="I15" s="60">
        <v>44440</v>
      </c>
      <c r="J15" s="61">
        <f ca="1">EFEITO!$J$15*EFEITO!$Y$15</f>
        <v>176950.85048310956</v>
      </c>
      <c r="K15" s="61">
        <f ca="1">EFEITO!$L$15*EFEITO!$Z$15</f>
        <v>0</v>
      </c>
      <c r="L15" s="61">
        <f>EFEITO!$N$15*EFEITO!$AA$15</f>
        <v>0</v>
      </c>
      <c r="M15" s="61">
        <f ca="1">$J$15-EFEITO!$K$15*EFEITO!$Y$15</f>
        <v>88378.884396548208</v>
      </c>
      <c r="N15" s="61">
        <f ca="1">$K$15-EFEITO!$M$15*EFEITO!$Z$15</f>
        <v>0</v>
      </c>
      <c r="O15" s="61">
        <f>$L$15-EFEITO!$O$15*EFEITO!$AA$15</f>
        <v>0</v>
      </c>
      <c r="P15" s="45"/>
      <c r="Q15" s="45"/>
      <c r="R15" s="45"/>
      <c r="S15" s="45"/>
      <c r="T15" s="45"/>
      <c r="U15" s="45"/>
      <c r="V15" s="45"/>
      <c r="W15" s="45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41" t="s">
        <v>21</v>
      </c>
      <c r="B16" s="41" t="s">
        <v>34</v>
      </c>
      <c r="C16" s="41" t="s">
        <v>54</v>
      </c>
      <c r="D16" s="41" t="s">
        <v>33</v>
      </c>
      <c r="E16" s="41" t="s">
        <v>25</v>
      </c>
      <c r="F16" s="41" t="s">
        <v>55</v>
      </c>
      <c r="G16" s="41" t="s">
        <v>25</v>
      </c>
      <c r="H16" s="41" t="s">
        <v>37</v>
      </c>
      <c r="I16" s="60">
        <v>44470</v>
      </c>
      <c r="J16" s="61">
        <f ca="1">EFEITO!$J$16*EFEITO!$Y$16</f>
        <v>177116.35769227333</v>
      </c>
      <c r="K16" s="61">
        <f ca="1">EFEITO!$L$16*EFEITO!$Z$16</f>
        <v>0</v>
      </c>
      <c r="L16" s="61">
        <f>EFEITO!$N$16*EFEITO!$AA$16</f>
        <v>0</v>
      </c>
      <c r="M16" s="61">
        <f ca="1">$J$16-EFEITO!$K$16*EFEITO!$Y$16</f>
        <v>88485.504462248369</v>
      </c>
      <c r="N16" s="61">
        <f ca="1">$K$16-EFEITO!$M$16*EFEITO!$Z$16</f>
        <v>0</v>
      </c>
      <c r="O16" s="61">
        <f>$L$16-EFEITO!$O$16*EFEITO!$AA$16</f>
        <v>0</v>
      </c>
      <c r="P16" s="45"/>
      <c r="Q16" s="45"/>
      <c r="R16" s="45"/>
      <c r="S16" s="45"/>
      <c r="T16" s="45"/>
      <c r="U16" s="45"/>
      <c r="V16" s="45"/>
      <c r="W16" s="45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41" t="s">
        <v>21</v>
      </c>
      <c r="B17" s="41" t="s">
        <v>34</v>
      </c>
      <c r="C17" s="41" t="s">
        <v>54</v>
      </c>
      <c r="D17" s="41" t="s">
        <v>33</v>
      </c>
      <c r="E17" s="41" t="s">
        <v>25</v>
      </c>
      <c r="F17" s="41" t="s">
        <v>55</v>
      </c>
      <c r="G17" s="41" t="s">
        <v>25</v>
      </c>
      <c r="H17" s="41" t="s">
        <v>37</v>
      </c>
      <c r="I17" s="60">
        <v>44501</v>
      </c>
      <c r="J17" s="61">
        <f ca="1">EFEITO!$J$17*EFEITO!$Y$17</f>
        <v>176808.98716096918</v>
      </c>
      <c r="K17" s="61">
        <f ca="1">EFEITO!$L$17*EFEITO!$Z$17</f>
        <v>0</v>
      </c>
      <c r="L17" s="61">
        <f>EFEITO!$N$17*EFEITO!$AA$17</f>
        <v>0</v>
      </c>
      <c r="M17" s="61">
        <f ca="1">$J$17-EFEITO!$K$17*EFEITO!$Y$17</f>
        <v>88323.371849085277</v>
      </c>
      <c r="N17" s="61">
        <f ca="1">$K$17-EFEITO!$M$17*EFEITO!$Z$17</f>
        <v>0</v>
      </c>
      <c r="O17" s="61">
        <f>$L$17-EFEITO!$O$17*EFEITO!$AA$17</f>
        <v>0</v>
      </c>
      <c r="P17" s="45"/>
      <c r="Q17" s="45"/>
      <c r="R17" s="45"/>
      <c r="S17" s="45"/>
      <c r="T17" s="45"/>
      <c r="U17" s="45"/>
      <c r="V17" s="45"/>
      <c r="W17" s="45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41" t="s">
        <v>21</v>
      </c>
      <c r="B18" s="41" t="s">
        <v>34</v>
      </c>
      <c r="C18" s="41" t="s">
        <v>54</v>
      </c>
      <c r="D18" s="41" t="s">
        <v>33</v>
      </c>
      <c r="E18" s="41" t="s">
        <v>25</v>
      </c>
      <c r="F18" s="41" t="s">
        <v>55</v>
      </c>
      <c r="G18" s="41" t="s">
        <v>25</v>
      </c>
      <c r="H18" s="41" t="s">
        <v>37</v>
      </c>
      <c r="I18" s="60">
        <v>44531</v>
      </c>
      <c r="J18" s="61">
        <f ca="1">EFEITO!$J$18*EFEITO!$Y$18</f>
        <v>177352.79656250731</v>
      </c>
      <c r="K18" s="61">
        <f ca="1">EFEITO!$L$18*EFEITO!$Z$18</f>
        <v>0</v>
      </c>
      <c r="L18" s="61">
        <f>EFEITO!$N$18*EFEITO!$AA$18</f>
        <v>0</v>
      </c>
      <c r="M18" s="61">
        <f ca="1">$J$18-EFEITO!$K$18*EFEITO!$Y$18</f>
        <v>88455.672084763821</v>
      </c>
      <c r="N18" s="61">
        <f ca="1">$K$18-EFEITO!$M$18*EFEITO!$Z$18</f>
        <v>0</v>
      </c>
      <c r="O18" s="61">
        <f>$L$18-EFEITO!$O$18*EFEITO!$AA$18</f>
        <v>0</v>
      </c>
      <c r="P18" s="45"/>
      <c r="Q18" s="45"/>
      <c r="R18" s="45"/>
      <c r="S18" s="45"/>
      <c r="T18" s="45"/>
      <c r="U18" s="45"/>
      <c r="V18" s="45"/>
      <c r="W18" s="45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41" t="s">
        <v>21</v>
      </c>
      <c r="B19" s="41" t="s">
        <v>34</v>
      </c>
      <c r="C19" s="41" t="s">
        <v>54</v>
      </c>
      <c r="D19" s="41" t="s">
        <v>33</v>
      </c>
      <c r="E19" s="41" t="s">
        <v>25</v>
      </c>
      <c r="F19" s="41" t="s">
        <v>55</v>
      </c>
      <c r="G19" s="41" t="s">
        <v>25</v>
      </c>
      <c r="H19" s="41" t="s">
        <v>37</v>
      </c>
      <c r="I19" s="60">
        <v>44562</v>
      </c>
      <c r="J19" s="61">
        <f ca="1">EFEITO!$J$19*EFEITO!$Y$19</f>
        <v>176336.10942050122</v>
      </c>
      <c r="K19" s="61">
        <f ca="1">EFEITO!$L$19*EFEITO!$Z$19</f>
        <v>0</v>
      </c>
      <c r="L19" s="61">
        <f>EFEITO!$N$19*EFEITO!$AA$19</f>
        <v>0</v>
      </c>
      <c r="M19" s="61">
        <f ca="1">$J$19-EFEITO!$K$19*EFEITO!$Y$19</f>
        <v>87665.810676676963</v>
      </c>
      <c r="N19" s="61">
        <f ca="1">$K$19-EFEITO!$M$19*EFEITO!$Z$19</f>
        <v>0</v>
      </c>
      <c r="O19" s="61">
        <f>$L$19-EFEITO!$O$19*EFEITO!$AA$19</f>
        <v>0</v>
      </c>
      <c r="P19" s="45"/>
      <c r="Q19" s="45"/>
      <c r="R19" s="45"/>
      <c r="S19" s="45"/>
      <c r="T19" s="45"/>
      <c r="U19" s="45"/>
      <c r="V19" s="45"/>
      <c r="W19" s="45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41" t="s">
        <v>21</v>
      </c>
      <c r="B20" s="41" t="s">
        <v>34</v>
      </c>
      <c r="C20" s="41" t="s">
        <v>54</v>
      </c>
      <c r="D20" s="41" t="s">
        <v>33</v>
      </c>
      <c r="E20" s="41" t="s">
        <v>25</v>
      </c>
      <c r="F20" s="41" t="s">
        <v>55</v>
      </c>
      <c r="G20" s="41" t="s">
        <v>25</v>
      </c>
      <c r="H20" s="41" t="s">
        <v>37</v>
      </c>
      <c r="I20" s="60">
        <v>44593</v>
      </c>
      <c r="J20" s="61">
        <f ca="1">EFEITO!$J$20*EFEITO!$Y$20</f>
        <v>176643.47995180538</v>
      </c>
      <c r="K20" s="61">
        <f ca="1">EFEITO!$L$20*EFEITO!$Z$20</f>
        <v>0</v>
      </c>
      <c r="L20" s="61">
        <f>EFEITO!$N$20*EFEITO!$AA$20</f>
        <v>0</v>
      </c>
      <c r="M20" s="61">
        <f ca="1">$J$20-EFEITO!$K$20*EFEITO!$Y$20</f>
        <v>88269.827990014455</v>
      </c>
      <c r="N20" s="61">
        <f ca="1">$K$20-EFEITO!$M$20*EFEITO!$Z$20</f>
        <v>0</v>
      </c>
      <c r="O20" s="61">
        <f>$L$20-EFEITO!$O$20*EFEITO!$AA$20</f>
        <v>0</v>
      </c>
      <c r="P20" s="45"/>
      <c r="Q20" s="45"/>
      <c r="R20" s="45"/>
      <c r="S20" s="45"/>
      <c r="T20" s="45"/>
      <c r="U20" s="45"/>
      <c r="V20" s="45"/>
      <c r="W20" s="45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41" t="s">
        <v>21</v>
      </c>
      <c r="B21" s="41" t="s">
        <v>34</v>
      </c>
      <c r="C21" s="41" t="s">
        <v>54</v>
      </c>
      <c r="D21" s="41" t="s">
        <v>33</v>
      </c>
      <c r="E21" s="41" t="s">
        <v>25</v>
      </c>
      <c r="F21" s="41" t="s">
        <v>55</v>
      </c>
      <c r="G21" s="41" t="s">
        <v>25</v>
      </c>
      <c r="H21" s="41" t="s">
        <v>37</v>
      </c>
      <c r="I21" s="60">
        <v>44621</v>
      </c>
      <c r="J21" s="61">
        <f ca="1">EFEITO!$J$21*EFEITO!$Y$21</f>
        <v>166689.40351495487</v>
      </c>
      <c r="K21" s="61">
        <f ca="1">EFEITO!$L$21*EFEITO!$Z$21</f>
        <v>0</v>
      </c>
      <c r="L21" s="61">
        <f>EFEITO!$N$21*EFEITO!$AA$21</f>
        <v>0</v>
      </c>
      <c r="M21" s="61">
        <f ca="1">$J$21-EFEITO!$K$21*EFEITO!$Y$21</f>
        <v>83319.184943587359</v>
      </c>
      <c r="N21" s="61">
        <f ca="1">$K$21-EFEITO!$M$21*EFEITO!$Z$21</f>
        <v>0</v>
      </c>
      <c r="O21" s="61">
        <f>$L$21-EFEITO!$O$21*EFEITO!$AA$21</f>
        <v>0</v>
      </c>
      <c r="P21" s="45"/>
      <c r="Q21" s="45"/>
      <c r="R21" s="45"/>
      <c r="S21" s="45"/>
      <c r="T21" s="45"/>
      <c r="U21" s="45"/>
      <c r="V21" s="45"/>
      <c r="W21" s="45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41" t="s">
        <v>21</v>
      </c>
      <c r="B22" s="41" t="s">
        <v>34</v>
      </c>
      <c r="C22" s="41" t="s">
        <v>54</v>
      </c>
      <c r="D22" s="41" t="s">
        <v>33</v>
      </c>
      <c r="E22" s="41" t="s">
        <v>25</v>
      </c>
      <c r="F22" s="41" t="s">
        <v>55</v>
      </c>
      <c r="G22" s="41" t="s">
        <v>25</v>
      </c>
      <c r="H22" s="41" t="s">
        <v>37</v>
      </c>
      <c r="I22" s="60">
        <v>44652</v>
      </c>
      <c r="J22" s="61">
        <f ca="1">EFEITO!$J$22*EFEITO!$Y$22</f>
        <v>166689.40351495487</v>
      </c>
      <c r="K22" s="61">
        <f ca="1">EFEITO!$L$22*EFEITO!$Z$22</f>
        <v>0</v>
      </c>
      <c r="L22" s="61">
        <f>EFEITO!$N$22*EFEITO!$AA$22</f>
        <v>0</v>
      </c>
      <c r="M22" s="61">
        <f ca="1">$J$22-EFEITO!$K$22*EFEITO!$Y$22</f>
        <v>83292.217931886713</v>
      </c>
      <c r="N22" s="61">
        <f ca="1">$K$22-EFEITO!$M$22*EFEITO!$Z$22</f>
        <v>0</v>
      </c>
      <c r="O22" s="61">
        <f>$L$22-EFEITO!$O$22*EFEITO!$AA$22</f>
        <v>0</v>
      </c>
      <c r="P22" s="45"/>
      <c r="Q22" s="45"/>
      <c r="R22" s="45"/>
      <c r="S22" s="45"/>
      <c r="T22" s="45"/>
      <c r="U22" s="45"/>
      <c r="V22" s="45"/>
      <c r="W22" s="45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41" t="s">
        <v>21</v>
      </c>
      <c r="B23" s="41" t="s">
        <v>34</v>
      </c>
      <c r="C23" s="41" t="s">
        <v>54</v>
      </c>
      <c r="D23" s="41" t="s">
        <v>33</v>
      </c>
      <c r="E23" s="41" t="s">
        <v>25</v>
      </c>
      <c r="F23" s="41" t="s">
        <v>55</v>
      </c>
      <c r="G23" s="41" t="s">
        <v>25</v>
      </c>
      <c r="H23" s="41" t="s">
        <v>37</v>
      </c>
      <c r="I23" s="60">
        <v>44682</v>
      </c>
      <c r="J23" s="61">
        <f ca="1">EFEITO!$J$23*EFEITO!$Y$23</f>
        <v>100486.51984944088</v>
      </c>
      <c r="K23" s="61">
        <f ca="1">EFEITO!$L$23*EFEITO!$Z$23</f>
        <v>0</v>
      </c>
      <c r="L23" s="61">
        <f>EFEITO!$N$23*EFEITO!$AA$23</f>
        <v>0</v>
      </c>
      <c r="M23" s="61">
        <f ca="1">$J$23-EFEITO!$K$23*EFEITO!$Y$23</f>
        <v>50228.906430225143</v>
      </c>
      <c r="N23" s="61">
        <f ca="1">$K$23-EFEITO!$M$23*EFEITO!$Z$23</f>
        <v>0</v>
      </c>
      <c r="O23" s="61">
        <f>$L$23-EFEITO!$O$23*EFEITO!$AA$23</f>
        <v>0</v>
      </c>
      <c r="P23" s="45"/>
      <c r="Q23" s="45"/>
      <c r="R23" s="45"/>
      <c r="S23" s="45"/>
      <c r="T23" s="45"/>
      <c r="U23" s="45"/>
      <c r="V23" s="45"/>
      <c r="W23" s="45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41" t="s">
        <v>21</v>
      </c>
      <c r="B24" s="41" t="s">
        <v>34</v>
      </c>
      <c r="C24" s="41" t="s">
        <v>54</v>
      </c>
      <c r="D24" s="41" t="s">
        <v>33</v>
      </c>
      <c r="E24" s="41" t="s">
        <v>25</v>
      </c>
      <c r="F24" s="41" t="s">
        <v>55</v>
      </c>
      <c r="G24" s="41" t="s">
        <v>25</v>
      </c>
      <c r="H24" s="41" t="s">
        <v>37</v>
      </c>
      <c r="I24" s="60">
        <v>44713</v>
      </c>
      <c r="J24" s="61">
        <f ca="1">EFEITO!$J$24*EFEITO!$Y$24</f>
        <v>100486.51984944088</v>
      </c>
      <c r="K24" s="61">
        <f ca="1">EFEITO!$L$24*EFEITO!$Z$24</f>
        <v>0</v>
      </c>
      <c r="L24" s="61">
        <f>EFEITO!$N$24*EFEITO!$AA$24</f>
        <v>0</v>
      </c>
      <c r="M24" s="61">
        <f ca="1">$J$24-EFEITO!$K$24*EFEITO!$Y$24</f>
        <v>49907.670118705253</v>
      </c>
      <c r="N24" s="61">
        <f ca="1">$K$24-EFEITO!$M$24*EFEITO!$Z$24</f>
        <v>0</v>
      </c>
      <c r="O24" s="61">
        <f>$L$24-EFEITO!$O$24*EFEITO!$AA$24</f>
        <v>0</v>
      </c>
      <c r="P24" s="45"/>
      <c r="Q24" s="45"/>
      <c r="R24" s="45"/>
      <c r="S24" s="45"/>
      <c r="T24" s="45"/>
      <c r="U24" s="45"/>
      <c r="V24" s="45"/>
      <c r="W24" s="45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41" t="s">
        <v>21</v>
      </c>
      <c r="B25" s="41" t="s">
        <v>34</v>
      </c>
      <c r="C25" s="41" t="s">
        <v>54</v>
      </c>
      <c r="D25" s="41" t="s">
        <v>33</v>
      </c>
      <c r="E25" s="41" t="s">
        <v>25</v>
      </c>
      <c r="F25" s="41" t="s">
        <v>55</v>
      </c>
      <c r="G25" s="41" t="s">
        <v>25</v>
      </c>
      <c r="H25" s="41" t="s">
        <v>37</v>
      </c>
      <c r="I25" s="60">
        <v>44743</v>
      </c>
      <c r="J25" s="61">
        <f ca="1">EFEITO!$J$25*EFEITO!$Y$25</f>
        <v>100486.51984944088</v>
      </c>
      <c r="K25" s="61">
        <f ca="1">EFEITO!$L$25*EFEITO!$Z$25</f>
        <v>0</v>
      </c>
      <c r="L25" s="61">
        <f>EFEITO!$N$25*EFEITO!$AA$25</f>
        <v>0</v>
      </c>
      <c r="M25" s="61">
        <f ca="1">$J$25-EFEITO!$K$25*EFEITO!$Y$25</f>
        <v>49813.245950598335</v>
      </c>
      <c r="N25" s="61">
        <f ca="1">$K$25-EFEITO!$M$25*EFEITO!$Z$25</f>
        <v>0</v>
      </c>
      <c r="O25" s="61">
        <f>$L$25-EFEITO!$O$25*EFEITO!$AA$25</f>
        <v>0</v>
      </c>
      <c r="P25" s="45"/>
      <c r="Q25" s="45"/>
      <c r="R25" s="45"/>
      <c r="S25" s="45"/>
      <c r="T25" s="45"/>
      <c r="U25" s="45"/>
      <c r="V25" s="45"/>
      <c r="W25" s="45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41" t="s">
        <v>21</v>
      </c>
      <c r="B26" s="41" t="s">
        <v>34</v>
      </c>
      <c r="C26" s="41" t="s">
        <v>54</v>
      </c>
      <c r="D26" s="41" t="s">
        <v>33</v>
      </c>
      <c r="E26" s="41" t="s">
        <v>25</v>
      </c>
      <c r="F26" s="41" t="s">
        <v>55</v>
      </c>
      <c r="G26" s="41" t="s">
        <v>25</v>
      </c>
      <c r="H26" s="41" t="s">
        <v>25</v>
      </c>
      <c r="I26" s="60">
        <v>44409</v>
      </c>
      <c r="J26" s="61">
        <f>EFEITO!$J$26*EFEITO!$Y$26</f>
        <v>0</v>
      </c>
      <c r="K26" s="61">
        <f ca="1">EFEITO!$L$26*EFEITO!$Z$26</f>
        <v>491733.34751393402</v>
      </c>
      <c r="L26" s="61">
        <f>EFEITO!$N$26*EFEITO!$AA$26</f>
        <v>0</v>
      </c>
      <c r="M26" s="61">
        <f>$J$26-EFEITO!$K$26*EFEITO!$Y$26</f>
        <v>0</v>
      </c>
      <c r="N26" s="61">
        <f ca="1">$K$26-EFEITO!$M$26*EFEITO!$Z$26</f>
        <v>0</v>
      </c>
      <c r="O26" s="61">
        <f>$L$26-EFEITO!$O$26*EFEITO!$AA$26</f>
        <v>0</v>
      </c>
      <c r="P26" s="45"/>
      <c r="Q26" s="45"/>
      <c r="R26" s="45"/>
      <c r="S26" s="45"/>
      <c r="T26" s="45"/>
      <c r="U26" s="45"/>
      <c r="V26" s="45"/>
      <c r="W26" s="45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41" t="s">
        <v>21</v>
      </c>
      <c r="B27" s="41" t="s">
        <v>34</v>
      </c>
      <c r="C27" s="41" t="s">
        <v>54</v>
      </c>
      <c r="D27" s="41" t="s">
        <v>33</v>
      </c>
      <c r="E27" s="41" t="s">
        <v>25</v>
      </c>
      <c r="F27" s="41" t="s">
        <v>55</v>
      </c>
      <c r="G27" s="41" t="s">
        <v>25</v>
      </c>
      <c r="H27" s="41" t="s">
        <v>25</v>
      </c>
      <c r="I27" s="60">
        <v>44440</v>
      </c>
      <c r="J27" s="61">
        <f>EFEITO!$J$27*EFEITO!$Y$27</f>
        <v>0</v>
      </c>
      <c r="K27" s="61">
        <f ca="1">EFEITO!$L$27*EFEITO!$Z$27</f>
        <v>472622.37644870684</v>
      </c>
      <c r="L27" s="61">
        <f>EFEITO!$N$27*EFEITO!$AA$27</f>
        <v>0</v>
      </c>
      <c r="M27" s="61">
        <f>$J$27-EFEITO!$K$27*EFEITO!$Y$27</f>
        <v>0</v>
      </c>
      <c r="N27" s="61">
        <f ca="1">$K$27-EFEITO!$M$27*EFEITO!$Z$27</f>
        <v>0</v>
      </c>
      <c r="O27" s="61">
        <f>$L$27-EFEITO!$O$27*EFEITO!$AA$27</f>
        <v>0</v>
      </c>
      <c r="P27" s="45"/>
      <c r="Q27" s="45"/>
      <c r="R27" s="45"/>
      <c r="S27" s="45"/>
      <c r="T27" s="45"/>
      <c r="U27" s="45"/>
      <c r="V27" s="45"/>
      <c r="W27" s="45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41" t="s">
        <v>21</v>
      </c>
      <c r="B28" s="41" t="s">
        <v>34</v>
      </c>
      <c r="C28" s="41" t="s">
        <v>54</v>
      </c>
      <c r="D28" s="41" t="s">
        <v>33</v>
      </c>
      <c r="E28" s="41" t="s">
        <v>25</v>
      </c>
      <c r="F28" s="41" t="s">
        <v>55</v>
      </c>
      <c r="G28" s="41" t="s">
        <v>25</v>
      </c>
      <c r="H28" s="41" t="s">
        <v>25</v>
      </c>
      <c r="I28" s="60">
        <v>44470</v>
      </c>
      <c r="J28" s="61">
        <f>EFEITO!$J$28*EFEITO!$Y$28</f>
        <v>0</v>
      </c>
      <c r="K28" s="61">
        <f ca="1">EFEITO!$L$28*EFEITO!$Z$28</f>
        <v>504224.20663944248</v>
      </c>
      <c r="L28" s="61">
        <f>EFEITO!$N$28*EFEITO!$AA$28</f>
        <v>0</v>
      </c>
      <c r="M28" s="61">
        <f>$J$28-EFEITO!$K$28*EFEITO!$Y$28</f>
        <v>0</v>
      </c>
      <c r="N28" s="61">
        <f ca="1">$K$28-EFEITO!$M$28*EFEITO!$Z$28</f>
        <v>0</v>
      </c>
      <c r="O28" s="61">
        <f>$L$28-EFEITO!$O$28*EFEITO!$AA$28</f>
        <v>0</v>
      </c>
      <c r="P28" s="45"/>
      <c r="Q28" s="45"/>
      <c r="R28" s="45"/>
      <c r="S28" s="45"/>
      <c r="T28" s="45"/>
      <c r="U28" s="45"/>
      <c r="V28" s="45"/>
      <c r="W28" s="45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41" t="s">
        <v>21</v>
      </c>
      <c r="B29" s="41" t="s">
        <v>34</v>
      </c>
      <c r="C29" s="41" t="s">
        <v>54</v>
      </c>
      <c r="D29" s="41" t="s">
        <v>33</v>
      </c>
      <c r="E29" s="41" t="s">
        <v>25</v>
      </c>
      <c r="F29" s="41" t="s">
        <v>55</v>
      </c>
      <c r="G29" s="41" t="s">
        <v>25</v>
      </c>
      <c r="H29" s="41" t="s">
        <v>25</v>
      </c>
      <c r="I29" s="60">
        <v>44501</v>
      </c>
      <c r="J29" s="61">
        <f>EFEITO!$J$29*EFEITO!$Y$29</f>
        <v>0</v>
      </c>
      <c r="K29" s="61">
        <f ca="1">EFEITO!$L$29*EFEITO!$Z$29</f>
        <v>474203.41988806362</v>
      </c>
      <c r="L29" s="61">
        <f>EFEITO!$N$29*EFEITO!$AA$29</f>
        <v>0</v>
      </c>
      <c r="M29" s="61">
        <f>$J$29-EFEITO!$K$29*EFEITO!$Y$29</f>
        <v>0</v>
      </c>
      <c r="N29" s="61">
        <f ca="1">$K$29-EFEITO!$M$29*EFEITO!$Z$29</f>
        <v>0</v>
      </c>
      <c r="O29" s="61">
        <f>$L$29-EFEITO!$O$29*EFEITO!$AA$29</f>
        <v>0</v>
      </c>
      <c r="P29" s="45"/>
      <c r="Q29" s="45"/>
      <c r="R29" s="45"/>
      <c r="S29" s="45"/>
      <c r="T29" s="45"/>
      <c r="U29" s="45"/>
      <c r="V29" s="45"/>
      <c r="W29" s="45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41" t="s">
        <v>21</v>
      </c>
      <c r="B30" s="41" t="s">
        <v>34</v>
      </c>
      <c r="C30" s="41" t="s">
        <v>54</v>
      </c>
      <c r="D30" s="41" t="s">
        <v>33</v>
      </c>
      <c r="E30" s="41" t="s">
        <v>25</v>
      </c>
      <c r="F30" s="41" t="s">
        <v>55</v>
      </c>
      <c r="G30" s="41" t="s">
        <v>25</v>
      </c>
      <c r="H30" s="41" t="s">
        <v>25</v>
      </c>
      <c r="I30" s="60">
        <v>44531</v>
      </c>
      <c r="J30" s="61">
        <f>EFEITO!$J$30*EFEITO!$Y$30</f>
        <v>0</v>
      </c>
      <c r="K30" s="61">
        <f ca="1">EFEITO!$L$30*EFEITO!$Z$30</f>
        <v>476142.27694801515</v>
      </c>
      <c r="L30" s="61">
        <f>EFEITO!$N$30*EFEITO!$AA$30</f>
        <v>0</v>
      </c>
      <c r="M30" s="61">
        <f>$J$30-EFEITO!$K$30*EFEITO!$Y$30</f>
        <v>0</v>
      </c>
      <c r="N30" s="61">
        <f ca="1">$K$30-EFEITO!$M$30*EFEITO!$Z$30</f>
        <v>0</v>
      </c>
      <c r="O30" s="61">
        <f>$L$30-EFEITO!$O$30*EFEITO!$AA$30</f>
        <v>0</v>
      </c>
      <c r="P30" s="45"/>
      <c r="Q30" s="45"/>
      <c r="R30" s="45"/>
      <c r="S30" s="45"/>
      <c r="T30" s="45"/>
      <c r="U30" s="45"/>
      <c r="V30" s="45"/>
      <c r="W30" s="45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41" t="s">
        <v>21</v>
      </c>
      <c r="B31" s="41" t="s">
        <v>34</v>
      </c>
      <c r="C31" s="41" t="s">
        <v>54</v>
      </c>
      <c r="D31" s="41" t="s">
        <v>33</v>
      </c>
      <c r="E31" s="41" t="s">
        <v>25</v>
      </c>
      <c r="F31" s="41" t="s">
        <v>55</v>
      </c>
      <c r="G31" s="41" t="s">
        <v>25</v>
      </c>
      <c r="H31" s="41" t="s">
        <v>25</v>
      </c>
      <c r="I31" s="60">
        <v>44562</v>
      </c>
      <c r="J31" s="61">
        <f>EFEITO!$J$31*EFEITO!$Y$31</f>
        <v>0</v>
      </c>
      <c r="K31" s="61">
        <f ca="1">EFEITO!$L$31*EFEITO!$Z$31</f>
        <v>467954.00061944604</v>
      </c>
      <c r="L31" s="61">
        <f>EFEITO!$N$31*EFEITO!$AA$31</f>
        <v>0</v>
      </c>
      <c r="M31" s="61">
        <f>$J$31-EFEITO!$K$31*EFEITO!$Y$31</f>
        <v>0</v>
      </c>
      <c r="N31" s="61">
        <f ca="1">$K$31-EFEITO!$M$31*EFEITO!$Z$31</f>
        <v>0</v>
      </c>
      <c r="O31" s="61">
        <f>$L$31-EFEITO!$O$31*EFEITO!$AA$31</f>
        <v>0</v>
      </c>
      <c r="P31" s="45"/>
      <c r="Q31" s="45"/>
      <c r="R31" s="45"/>
      <c r="S31" s="45"/>
      <c r="T31" s="45"/>
      <c r="U31" s="45"/>
      <c r="V31" s="45"/>
      <c r="W31" s="45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41" t="s">
        <v>21</v>
      </c>
      <c r="B32" s="41" t="s">
        <v>34</v>
      </c>
      <c r="C32" s="41" t="s">
        <v>54</v>
      </c>
      <c r="D32" s="41" t="s">
        <v>33</v>
      </c>
      <c r="E32" s="41" t="s">
        <v>25</v>
      </c>
      <c r="F32" s="41" t="s">
        <v>55</v>
      </c>
      <c r="G32" s="41" t="s">
        <v>25</v>
      </c>
      <c r="H32" s="41" t="s">
        <v>25</v>
      </c>
      <c r="I32" s="60">
        <v>44593</v>
      </c>
      <c r="J32" s="61">
        <f>EFEITO!$J$32*EFEITO!$Y$32</f>
        <v>0</v>
      </c>
      <c r="K32" s="61">
        <f ca="1">EFEITO!$L$32*EFEITO!$Z$32</f>
        <v>457777.31088441116</v>
      </c>
      <c r="L32" s="61">
        <f>EFEITO!$N$32*EFEITO!$AA$32</f>
        <v>0</v>
      </c>
      <c r="M32" s="61">
        <f>$J$32-EFEITO!$K$32*EFEITO!$Y$32</f>
        <v>0</v>
      </c>
      <c r="N32" s="61">
        <f ca="1">$K$32-EFEITO!$M$32*EFEITO!$Z$32</f>
        <v>0</v>
      </c>
      <c r="O32" s="61">
        <f>$L$32-EFEITO!$O$32*EFEITO!$AA$32</f>
        <v>0</v>
      </c>
      <c r="P32" s="45"/>
      <c r="Q32" s="45"/>
      <c r="R32" s="45"/>
      <c r="S32" s="45"/>
      <c r="T32" s="45"/>
      <c r="U32" s="45"/>
      <c r="V32" s="45"/>
      <c r="W32" s="45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41" t="s">
        <v>21</v>
      </c>
      <c r="B33" s="41" t="s">
        <v>34</v>
      </c>
      <c r="C33" s="41" t="s">
        <v>54</v>
      </c>
      <c r="D33" s="41" t="s">
        <v>33</v>
      </c>
      <c r="E33" s="41" t="s">
        <v>25</v>
      </c>
      <c r="F33" s="41" t="s">
        <v>55</v>
      </c>
      <c r="G33" s="41" t="s">
        <v>25</v>
      </c>
      <c r="H33" s="41" t="s">
        <v>25</v>
      </c>
      <c r="I33" s="60">
        <v>44621</v>
      </c>
      <c r="J33" s="61">
        <f>EFEITO!$J$33*EFEITO!$Y$33</f>
        <v>0</v>
      </c>
      <c r="K33" s="61">
        <f ca="1">EFEITO!$L$33*EFEITO!$Z$33</f>
        <v>467389.5622320291</v>
      </c>
      <c r="L33" s="61">
        <f>EFEITO!$N$33*EFEITO!$AA$33</f>
        <v>0</v>
      </c>
      <c r="M33" s="61">
        <f>$J$33-EFEITO!$K$33*EFEITO!$Y$33</f>
        <v>0</v>
      </c>
      <c r="N33" s="61">
        <f ca="1">$K$33-EFEITO!$M$33*EFEITO!$Z$33</f>
        <v>0</v>
      </c>
      <c r="O33" s="61">
        <f>$L$33-EFEITO!$O$33*EFEITO!$AA$33</f>
        <v>0</v>
      </c>
      <c r="P33" s="45"/>
      <c r="Q33" s="45"/>
      <c r="R33" s="45"/>
      <c r="S33" s="45"/>
      <c r="T33" s="45"/>
      <c r="U33" s="45"/>
      <c r="V33" s="45"/>
      <c r="W33" s="45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41" t="s">
        <v>21</v>
      </c>
      <c r="B34" s="41" t="s">
        <v>34</v>
      </c>
      <c r="C34" s="41" t="s">
        <v>54</v>
      </c>
      <c r="D34" s="41" t="s">
        <v>33</v>
      </c>
      <c r="E34" s="41" t="s">
        <v>25</v>
      </c>
      <c r="F34" s="41" t="s">
        <v>55</v>
      </c>
      <c r="G34" s="41" t="s">
        <v>25</v>
      </c>
      <c r="H34" s="41" t="s">
        <v>25</v>
      </c>
      <c r="I34" s="60">
        <v>44652</v>
      </c>
      <c r="J34" s="61">
        <f>EFEITO!$J$34*EFEITO!$Y$34</f>
        <v>0</v>
      </c>
      <c r="K34" s="61">
        <f ca="1">EFEITO!$L$34*EFEITO!$Z$34</f>
        <v>262497.48126945301</v>
      </c>
      <c r="L34" s="61">
        <f>EFEITO!$N$34*EFEITO!$AA$34</f>
        <v>0</v>
      </c>
      <c r="M34" s="61">
        <f>$J$34-EFEITO!$K$34*EFEITO!$Y$34</f>
        <v>0</v>
      </c>
      <c r="N34" s="61">
        <f ca="1">$K$34-EFEITO!$M$34*EFEITO!$Z$34</f>
        <v>0</v>
      </c>
      <c r="O34" s="61">
        <f>$L$34-EFEITO!$O$34*EFEITO!$AA$34</f>
        <v>0</v>
      </c>
      <c r="P34" s="45"/>
      <c r="Q34" s="45"/>
      <c r="R34" s="45"/>
      <c r="S34" s="45"/>
      <c r="T34" s="45"/>
      <c r="U34" s="45"/>
      <c r="V34" s="45"/>
      <c r="W34" s="45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41" t="s">
        <v>21</v>
      </c>
      <c r="B35" s="41" t="s">
        <v>34</v>
      </c>
      <c r="C35" s="41" t="s">
        <v>54</v>
      </c>
      <c r="D35" s="41" t="s">
        <v>33</v>
      </c>
      <c r="E35" s="41" t="s">
        <v>25</v>
      </c>
      <c r="F35" s="41" t="s">
        <v>55</v>
      </c>
      <c r="G35" s="41" t="s">
        <v>25</v>
      </c>
      <c r="H35" s="41" t="s">
        <v>25</v>
      </c>
      <c r="I35" s="60">
        <v>44682</v>
      </c>
      <c r="J35" s="61">
        <f>EFEITO!$J$35*EFEITO!$Y$35</f>
        <v>0</v>
      </c>
      <c r="K35" s="61">
        <f ca="1">EFEITO!$L$35*EFEITO!$Z$35</f>
        <v>222375.55441322815</v>
      </c>
      <c r="L35" s="61">
        <f>EFEITO!$N$35*EFEITO!$AA$35</f>
        <v>0</v>
      </c>
      <c r="M35" s="61">
        <f>$J$35-EFEITO!$K$35*EFEITO!$Y$35</f>
        <v>0</v>
      </c>
      <c r="N35" s="61">
        <f ca="1">$K$35-EFEITO!$M$35*EFEITO!$Z$35</f>
        <v>0</v>
      </c>
      <c r="O35" s="61">
        <f>$L$35-EFEITO!$O$35*EFEITO!$AA$35</f>
        <v>0</v>
      </c>
      <c r="P35" s="45"/>
      <c r="Q35" s="45"/>
      <c r="R35" s="45"/>
      <c r="S35" s="45"/>
      <c r="T35" s="45"/>
      <c r="U35" s="45"/>
      <c r="V35" s="45"/>
      <c r="W35" s="45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41" t="s">
        <v>21</v>
      </c>
      <c r="B36" s="41" t="s">
        <v>34</v>
      </c>
      <c r="C36" s="41" t="s">
        <v>54</v>
      </c>
      <c r="D36" s="41" t="s">
        <v>33</v>
      </c>
      <c r="E36" s="41" t="s">
        <v>25</v>
      </c>
      <c r="F36" s="41" t="s">
        <v>55</v>
      </c>
      <c r="G36" s="41" t="s">
        <v>25</v>
      </c>
      <c r="H36" s="41" t="s">
        <v>25</v>
      </c>
      <c r="I36" s="60">
        <v>44713</v>
      </c>
      <c r="J36" s="61">
        <f>EFEITO!$J$36*EFEITO!$Y$36</f>
        <v>0</v>
      </c>
      <c r="K36" s="61">
        <f ca="1">EFEITO!$L$36*EFEITO!$Z$36</f>
        <v>203140.19971804364</v>
      </c>
      <c r="L36" s="61">
        <f>EFEITO!$N$36*EFEITO!$AA$36</f>
        <v>0</v>
      </c>
      <c r="M36" s="61">
        <f>$J$36-EFEITO!$K$36*EFEITO!$Y$36</f>
        <v>0</v>
      </c>
      <c r="N36" s="61">
        <f ca="1">$K$36-EFEITO!$M$36*EFEITO!$Z$36</f>
        <v>0</v>
      </c>
      <c r="O36" s="61">
        <f>$L$36-EFEITO!$O$36*EFEITO!$AA$36</f>
        <v>0</v>
      </c>
      <c r="P36" s="45"/>
      <c r="Q36" s="45"/>
      <c r="R36" s="45"/>
      <c r="S36" s="45"/>
      <c r="T36" s="45"/>
      <c r="U36" s="45"/>
      <c r="V36" s="45"/>
      <c r="W36" s="45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41" t="s">
        <v>21</v>
      </c>
      <c r="B37" s="41" t="s">
        <v>34</v>
      </c>
      <c r="C37" s="41" t="s">
        <v>54</v>
      </c>
      <c r="D37" s="41" t="s">
        <v>33</v>
      </c>
      <c r="E37" s="41" t="s">
        <v>25</v>
      </c>
      <c r="F37" s="41" t="s">
        <v>55</v>
      </c>
      <c r="G37" s="41" t="s">
        <v>25</v>
      </c>
      <c r="H37" s="41" t="s">
        <v>25</v>
      </c>
      <c r="I37" s="60">
        <v>44743</v>
      </c>
      <c r="J37" s="61">
        <f>EFEITO!$J$37*EFEITO!$Y$37</f>
        <v>0</v>
      </c>
      <c r="K37" s="61">
        <f ca="1">EFEITO!$L$37*EFEITO!$Z$37</f>
        <v>133574.57956487636</v>
      </c>
      <c r="L37" s="61">
        <f>EFEITO!$N$37*EFEITO!$AA$37</f>
        <v>0</v>
      </c>
      <c r="M37" s="61">
        <f>$J$37-EFEITO!$K$37*EFEITO!$Y$37</f>
        <v>0</v>
      </c>
      <c r="N37" s="61">
        <f ca="1">$K$37-EFEITO!$M$37*EFEITO!$Z$37</f>
        <v>0</v>
      </c>
      <c r="O37" s="61">
        <f>$L$37-EFEITO!$O$37*EFEITO!$AA$37</f>
        <v>0</v>
      </c>
      <c r="P37" s="45"/>
      <c r="Q37" s="45"/>
      <c r="R37" s="45"/>
      <c r="S37" s="45"/>
      <c r="T37" s="45"/>
      <c r="U37" s="45"/>
      <c r="V37" s="45"/>
      <c r="W37" s="45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41" t="s">
        <v>21</v>
      </c>
      <c r="B38" s="41" t="s">
        <v>34</v>
      </c>
      <c r="C38" s="41" t="s">
        <v>54</v>
      </c>
      <c r="D38" s="41" t="s">
        <v>33</v>
      </c>
      <c r="E38" s="41" t="s">
        <v>25</v>
      </c>
      <c r="F38" s="41" t="s">
        <v>55</v>
      </c>
      <c r="G38" s="41" t="s">
        <v>25</v>
      </c>
      <c r="H38" s="41" t="s">
        <v>36</v>
      </c>
      <c r="I38" s="60">
        <v>44409</v>
      </c>
      <c r="J38" s="61">
        <f ca="1">EFEITO!$J$38*EFEITO!$Y$38</f>
        <v>276023.47581427015</v>
      </c>
      <c r="K38" s="61">
        <f ca="1">EFEITO!$L$38*EFEITO!$Z$38</f>
        <v>0</v>
      </c>
      <c r="L38" s="61">
        <f>EFEITO!$N$38*EFEITO!$AA$38</f>
        <v>0</v>
      </c>
      <c r="M38" s="61">
        <f ca="1">$J$38-EFEITO!$K$38*EFEITO!$Y$38</f>
        <v>138003.91816206527</v>
      </c>
      <c r="N38" s="61">
        <f ca="1">$K$38-EFEITO!$M$38*EFEITO!$Z$38</f>
        <v>0</v>
      </c>
      <c r="O38" s="61">
        <f>$L$38-EFEITO!$O$38*EFEITO!$AA$38</f>
        <v>0</v>
      </c>
      <c r="P38" s="45"/>
      <c r="Q38" s="45"/>
      <c r="R38" s="45"/>
      <c r="S38" s="45"/>
      <c r="T38" s="45"/>
      <c r="U38" s="45"/>
      <c r="V38" s="45"/>
      <c r="W38" s="45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41" t="s">
        <v>21</v>
      </c>
      <c r="B39" s="41" t="s">
        <v>34</v>
      </c>
      <c r="C39" s="41" t="s">
        <v>54</v>
      </c>
      <c r="D39" s="41" t="s">
        <v>33</v>
      </c>
      <c r="E39" s="41" t="s">
        <v>25</v>
      </c>
      <c r="F39" s="41" t="s">
        <v>55</v>
      </c>
      <c r="G39" s="41" t="s">
        <v>25</v>
      </c>
      <c r="H39" s="41" t="s">
        <v>36</v>
      </c>
      <c r="I39" s="60">
        <v>44440</v>
      </c>
      <c r="J39" s="61">
        <f ca="1">EFEITO!$J$39*EFEITO!$Y$39</f>
        <v>276332.31326972664</v>
      </c>
      <c r="K39" s="61">
        <f ca="1">EFEITO!$L$39*EFEITO!$Z$39</f>
        <v>0</v>
      </c>
      <c r="L39" s="61">
        <f>EFEITO!$N$39*EFEITO!$AA$39</f>
        <v>0</v>
      </c>
      <c r="M39" s="61">
        <f ca="1">$J$39-EFEITO!$K$39*EFEITO!$Y$39</f>
        <v>138009.66135588929</v>
      </c>
      <c r="N39" s="61">
        <f ca="1">$K$39-EFEITO!$M$39*EFEITO!$Z$39</f>
        <v>0</v>
      </c>
      <c r="O39" s="61">
        <f>$L$39-EFEITO!$O$39*EFEITO!$AA$39</f>
        <v>0</v>
      </c>
      <c r="P39" s="45"/>
      <c r="Q39" s="45"/>
      <c r="R39" s="45"/>
      <c r="S39" s="45"/>
      <c r="T39" s="45"/>
      <c r="U39" s="45"/>
      <c r="V39" s="45"/>
      <c r="W39" s="45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41" t="s">
        <v>21</v>
      </c>
      <c r="B40" s="41" t="s">
        <v>34</v>
      </c>
      <c r="C40" s="41" t="s">
        <v>54</v>
      </c>
      <c r="D40" s="41" t="s">
        <v>33</v>
      </c>
      <c r="E40" s="41" t="s">
        <v>25</v>
      </c>
      <c r="F40" s="41" t="s">
        <v>55</v>
      </c>
      <c r="G40" s="41" t="s">
        <v>25</v>
      </c>
      <c r="H40" s="41" t="s">
        <v>36</v>
      </c>
      <c r="I40" s="60">
        <v>44470</v>
      </c>
      <c r="J40" s="61">
        <f ca="1">EFEITO!$J$40*EFEITO!$Y$40</f>
        <v>277644.87245541689</v>
      </c>
      <c r="K40" s="61">
        <f ca="1">EFEITO!$L$40*EFEITO!$Z$40</f>
        <v>0</v>
      </c>
      <c r="L40" s="61">
        <f>EFEITO!$N$40*EFEITO!$AA$40</f>
        <v>0</v>
      </c>
      <c r="M40" s="61">
        <f ca="1">$J$40-EFEITO!$K$40*EFEITO!$Y$40</f>
        <v>138704.0984301705</v>
      </c>
      <c r="N40" s="61">
        <f ca="1">$K$40-EFEITO!$M$40*EFEITO!$Z$40</f>
        <v>0</v>
      </c>
      <c r="O40" s="61">
        <f>$L$40-EFEITO!$O$40*EFEITO!$AA$40</f>
        <v>0</v>
      </c>
      <c r="P40" s="45"/>
      <c r="Q40" s="45"/>
      <c r="R40" s="45"/>
      <c r="S40" s="45"/>
      <c r="T40" s="45"/>
      <c r="U40" s="45"/>
      <c r="V40" s="45"/>
      <c r="W40" s="45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41" t="s">
        <v>21</v>
      </c>
      <c r="B41" s="41" t="s">
        <v>34</v>
      </c>
      <c r="C41" s="41" t="s">
        <v>54</v>
      </c>
      <c r="D41" s="41" t="s">
        <v>33</v>
      </c>
      <c r="E41" s="41" t="s">
        <v>25</v>
      </c>
      <c r="F41" s="41" t="s">
        <v>55</v>
      </c>
      <c r="G41" s="41" t="s">
        <v>25</v>
      </c>
      <c r="H41" s="41" t="s">
        <v>36</v>
      </c>
      <c r="I41" s="60">
        <v>44501</v>
      </c>
      <c r="J41" s="61">
        <f ca="1">EFEITO!$J$41*EFEITO!$Y$41</f>
        <v>275984.87113233807</v>
      </c>
      <c r="K41" s="61">
        <f ca="1">EFEITO!$L$41*EFEITO!$Z$41</f>
        <v>0</v>
      </c>
      <c r="L41" s="61">
        <f>EFEITO!$N$41*EFEITO!$AA$41</f>
        <v>0</v>
      </c>
      <c r="M41" s="61">
        <f ca="1">$J$41-EFEITO!$K$41*EFEITO!$Y$41</f>
        <v>137861.30411449922</v>
      </c>
      <c r="N41" s="61">
        <f ca="1">$K$41-EFEITO!$M$41*EFEITO!$Z$41</f>
        <v>0</v>
      </c>
      <c r="O41" s="61">
        <f>$L$41-EFEITO!$O$41*EFEITO!$AA$41</f>
        <v>0</v>
      </c>
      <c r="P41" s="45"/>
      <c r="Q41" s="45"/>
      <c r="R41" s="45"/>
      <c r="S41" s="45"/>
      <c r="T41" s="45"/>
      <c r="U41" s="45"/>
      <c r="V41" s="45"/>
      <c r="W41" s="45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41" t="s">
        <v>21</v>
      </c>
      <c r="B42" s="41" t="s">
        <v>34</v>
      </c>
      <c r="C42" s="41" t="s">
        <v>54</v>
      </c>
      <c r="D42" s="41" t="s">
        <v>33</v>
      </c>
      <c r="E42" s="41" t="s">
        <v>25</v>
      </c>
      <c r="F42" s="41" t="s">
        <v>55</v>
      </c>
      <c r="G42" s="41" t="s">
        <v>25</v>
      </c>
      <c r="H42" s="41" t="s">
        <v>36</v>
      </c>
      <c r="I42" s="60">
        <v>44531</v>
      </c>
      <c r="J42" s="61">
        <f ca="1">EFEITO!$J$42*EFEITO!$Y$42</f>
        <v>275984.87113233807</v>
      </c>
      <c r="K42" s="61">
        <f ca="1">EFEITO!$L$42*EFEITO!$Z$42</f>
        <v>0</v>
      </c>
      <c r="L42" s="61">
        <f>EFEITO!$N$42*EFEITO!$AA$42</f>
        <v>0</v>
      </c>
      <c r="M42" s="61">
        <f ca="1">$J$42-EFEITO!$K$42*EFEITO!$Y$42</f>
        <v>137636.66070894364</v>
      </c>
      <c r="N42" s="61">
        <f ca="1">$K$42-EFEITO!$M$42*EFEITO!$Z$42</f>
        <v>0</v>
      </c>
      <c r="O42" s="61">
        <f>$L$42-EFEITO!$O$42*EFEITO!$AA$42</f>
        <v>0</v>
      </c>
      <c r="P42" s="45"/>
      <c r="Q42" s="45"/>
      <c r="R42" s="45"/>
      <c r="S42" s="45"/>
      <c r="T42" s="45"/>
      <c r="U42" s="45"/>
      <c r="V42" s="45"/>
      <c r="W42" s="45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41" t="s">
        <v>21</v>
      </c>
      <c r="B43" s="41" t="s">
        <v>34</v>
      </c>
      <c r="C43" s="41" t="s">
        <v>54</v>
      </c>
      <c r="D43" s="41" t="s">
        <v>33</v>
      </c>
      <c r="E43" s="41" t="s">
        <v>25</v>
      </c>
      <c r="F43" s="41" t="s">
        <v>55</v>
      </c>
      <c r="G43" s="41" t="s">
        <v>25</v>
      </c>
      <c r="H43" s="41" t="s">
        <v>36</v>
      </c>
      <c r="I43" s="60">
        <v>44562</v>
      </c>
      <c r="J43" s="61">
        <f ca="1">EFEITO!$J$43*EFEITO!$Y$43</f>
        <v>276023.47581427015</v>
      </c>
      <c r="K43" s="61">
        <f ca="1">EFEITO!$L$43*EFEITO!$Z$43</f>
        <v>0</v>
      </c>
      <c r="L43" s="61">
        <f>EFEITO!$N$43*EFEITO!$AA$43</f>
        <v>0</v>
      </c>
      <c r="M43" s="61">
        <f ca="1">$J$43-EFEITO!$K$43*EFEITO!$Y$43</f>
        <v>137203.70402380163</v>
      </c>
      <c r="N43" s="61">
        <f ca="1">$K$43-EFEITO!$M$43*EFEITO!$Z$43</f>
        <v>0</v>
      </c>
      <c r="O43" s="61">
        <f>$L$43-EFEITO!$O$43*EFEITO!$AA$43</f>
        <v>0</v>
      </c>
      <c r="P43" s="45"/>
      <c r="Q43" s="45"/>
      <c r="R43" s="45"/>
      <c r="S43" s="45"/>
      <c r="T43" s="45"/>
      <c r="U43" s="45"/>
      <c r="V43" s="45"/>
      <c r="W43" s="45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41" t="s">
        <v>21</v>
      </c>
      <c r="B44" s="41" t="s">
        <v>34</v>
      </c>
      <c r="C44" s="41" t="s">
        <v>54</v>
      </c>
      <c r="D44" s="41" t="s">
        <v>33</v>
      </c>
      <c r="E44" s="41" t="s">
        <v>25</v>
      </c>
      <c r="F44" s="41" t="s">
        <v>55</v>
      </c>
      <c r="G44" s="41" t="s">
        <v>25</v>
      </c>
      <c r="H44" s="41" t="s">
        <v>36</v>
      </c>
      <c r="I44" s="60">
        <v>44593</v>
      </c>
      <c r="J44" s="61">
        <f ca="1">EFEITO!$J$44*EFEITO!$Y$44</f>
        <v>275984.87113233807</v>
      </c>
      <c r="K44" s="61">
        <f ca="1">EFEITO!$L$44*EFEITO!$Z$44</f>
        <v>0</v>
      </c>
      <c r="L44" s="61">
        <f>EFEITO!$N$44*EFEITO!$AA$44</f>
        <v>0</v>
      </c>
      <c r="M44" s="61">
        <f ca="1">$J$44-EFEITO!$K$44*EFEITO!$Y$44</f>
        <v>137908.76523278785</v>
      </c>
      <c r="N44" s="61">
        <f ca="1">$K$44-EFEITO!$M$44*EFEITO!$Z$44</f>
        <v>0</v>
      </c>
      <c r="O44" s="61">
        <f>$L$44-EFEITO!$O$44*EFEITO!$AA$44</f>
        <v>0</v>
      </c>
      <c r="P44" s="45"/>
      <c r="Q44" s="45"/>
      <c r="R44" s="45"/>
      <c r="S44" s="45"/>
      <c r="T44" s="45"/>
      <c r="U44" s="45"/>
      <c r="V44" s="45"/>
      <c r="W44" s="45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41" t="s">
        <v>21</v>
      </c>
      <c r="B45" s="41" t="s">
        <v>34</v>
      </c>
      <c r="C45" s="41" t="s">
        <v>54</v>
      </c>
      <c r="D45" s="41" t="s">
        <v>33</v>
      </c>
      <c r="E45" s="41" t="s">
        <v>25</v>
      </c>
      <c r="F45" s="41" t="s">
        <v>55</v>
      </c>
      <c r="G45" s="41" t="s">
        <v>25</v>
      </c>
      <c r="H45" s="41" t="s">
        <v>36</v>
      </c>
      <c r="I45" s="60">
        <v>44621</v>
      </c>
      <c r="J45" s="61">
        <f ca="1">EFEITO!$J$45*EFEITO!$Y$45</f>
        <v>252860.66665503068</v>
      </c>
      <c r="K45" s="61">
        <f ca="1">EFEITO!$L$45*EFEITO!$Z$45</f>
        <v>0</v>
      </c>
      <c r="L45" s="61">
        <f>EFEITO!$N$45*EFEITO!$AA$45</f>
        <v>0</v>
      </c>
      <c r="M45" s="61">
        <f ca="1">$J$45-EFEITO!$K$45*EFEITO!$Y$45</f>
        <v>126389.99446536387</v>
      </c>
      <c r="N45" s="61">
        <f ca="1">$K$45-EFEITO!$M$45*EFEITO!$Z$45</f>
        <v>0</v>
      </c>
      <c r="O45" s="61">
        <f>$L$45-EFEITO!$O$45*EFEITO!$AA$45</f>
        <v>0</v>
      </c>
      <c r="P45" s="45"/>
      <c r="Q45" s="45"/>
      <c r="R45" s="45"/>
      <c r="S45" s="45"/>
      <c r="T45" s="45"/>
      <c r="U45" s="45"/>
      <c r="V45" s="45"/>
      <c r="W45" s="45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41" t="s">
        <v>21</v>
      </c>
      <c r="B46" s="41" t="s">
        <v>34</v>
      </c>
      <c r="C46" s="41" t="s">
        <v>54</v>
      </c>
      <c r="D46" s="41" t="s">
        <v>33</v>
      </c>
      <c r="E46" s="41" t="s">
        <v>25</v>
      </c>
      <c r="F46" s="41" t="s">
        <v>55</v>
      </c>
      <c r="G46" s="41" t="s">
        <v>25</v>
      </c>
      <c r="H46" s="41" t="s">
        <v>36</v>
      </c>
      <c r="I46" s="60">
        <v>44652</v>
      </c>
      <c r="J46" s="61">
        <f ca="1">EFEITO!$J$46*EFEITO!$Y$46</f>
        <v>252860.66665503068</v>
      </c>
      <c r="K46" s="61">
        <f ca="1">EFEITO!$L$46*EFEITO!$Z$46</f>
        <v>0</v>
      </c>
      <c r="L46" s="61">
        <f>EFEITO!$N$46*EFEITO!$AA$46</f>
        <v>0</v>
      </c>
      <c r="M46" s="61">
        <f ca="1">$J$46-EFEITO!$K$46*EFEITO!$Y$46</f>
        <v>126351.62285919896</v>
      </c>
      <c r="N46" s="61">
        <f ca="1">$K$46-EFEITO!$M$46*EFEITO!$Z$46</f>
        <v>0</v>
      </c>
      <c r="O46" s="61">
        <f>$L$46-EFEITO!$O$46*EFEITO!$AA$46</f>
        <v>0</v>
      </c>
      <c r="P46" s="45"/>
      <c r="Q46" s="45"/>
      <c r="R46" s="45"/>
      <c r="S46" s="45"/>
      <c r="T46" s="45"/>
      <c r="U46" s="45"/>
      <c r="V46" s="45"/>
      <c r="W46" s="45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41" t="s">
        <v>21</v>
      </c>
      <c r="B47" s="41" t="s">
        <v>34</v>
      </c>
      <c r="C47" s="41" t="s">
        <v>54</v>
      </c>
      <c r="D47" s="41" t="s">
        <v>33</v>
      </c>
      <c r="E47" s="41" t="s">
        <v>25</v>
      </c>
      <c r="F47" s="41" t="s">
        <v>55</v>
      </c>
      <c r="G47" s="41" t="s">
        <v>25</v>
      </c>
      <c r="H47" s="41" t="s">
        <v>36</v>
      </c>
      <c r="I47" s="60">
        <v>44682</v>
      </c>
      <c r="J47" s="61">
        <f ca="1">EFEITO!$J$47*EFEITO!$Y$47</f>
        <v>144767.55724524657</v>
      </c>
      <c r="K47" s="61">
        <f ca="1">EFEITO!$L$47*EFEITO!$Z$47</f>
        <v>0</v>
      </c>
      <c r="L47" s="61">
        <f>EFEITO!$N$47*EFEITO!$AA$47</f>
        <v>0</v>
      </c>
      <c r="M47" s="61">
        <f ca="1">$J$47-EFEITO!$K$47*EFEITO!$Y$47</f>
        <v>72361.972285475436</v>
      </c>
      <c r="N47" s="61">
        <f ca="1">$K$47-EFEITO!$M$47*EFEITO!$Z$47</f>
        <v>0</v>
      </c>
      <c r="O47" s="61">
        <f>$L$47-EFEITO!$O$47*EFEITO!$AA$47</f>
        <v>0</v>
      </c>
      <c r="P47" s="45"/>
      <c r="Q47" s="45"/>
      <c r="R47" s="45"/>
      <c r="S47" s="45"/>
      <c r="T47" s="45"/>
      <c r="U47" s="45"/>
      <c r="V47" s="45"/>
      <c r="W47" s="45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41" t="s">
        <v>21</v>
      </c>
      <c r="B48" s="41" t="s">
        <v>34</v>
      </c>
      <c r="C48" s="41" t="s">
        <v>54</v>
      </c>
      <c r="D48" s="41" t="s">
        <v>33</v>
      </c>
      <c r="E48" s="41" t="s">
        <v>25</v>
      </c>
      <c r="F48" s="41" t="s">
        <v>55</v>
      </c>
      <c r="G48" s="41" t="s">
        <v>25</v>
      </c>
      <c r="H48" s="41" t="s">
        <v>36</v>
      </c>
      <c r="I48" s="60">
        <v>44713</v>
      </c>
      <c r="J48" s="61">
        <f ca="1">EFEITO!$J$48*EFEITO!$Y$48</f>
        <v>144767.55724524657</v>
      </c>
      <c r="K48" s="61">
        <f ca="1">EFEITO!$L$48*EFEITO!$Z$48</f>
        <v>0</v>
      </c>
      <c r="L48" s="61">
        <f>EFEITO!$N$48*EFEITO!$AA$48</f>
        <v>0</v>
      </c>
      <c r="M48" s="61">
        <f ca="1">$J$48-EFEITO!$K$48*EFEITO!$Y$48</f>
        <v>71863.447829994562</v>
      </c>
      <c r="N48" s="61">
        <f ca="1">$K$48-EFEITO!$M$48*EFEITO!$Z$48</f>
        <v>0</v>
      </c>
      <c r="O48" s="61">
        <f>$L$48-EFEITO!$O$48*EFEITO!$AA$48</f>
        <v>0</v>
      </c>
      <c r="P48" s="45"/>
      <c r="Q48" s="45"/>
      <c r="R48" s="45"/>
      <c r="S48" s="45"/>
      <c r="T48" s="45"/>
      <c r="U48" s="45"/>
      <c r="V48" s="45"/>
      <c r="W48" s="45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41" t="s">
        <v>21</v>
      </c>
      <c r="B49" s="41" t="s">
        <v>34</v>
      </c>
      <c r="C49" s="41" t="s">
        <v>54</v>
      </c>
      <c r="D49" s="41" t="s">
        <v>33</v>
      </c>
      <c r="E49" s="41" t="s">
        <v>25</v>
      </c>
      <c r="F49" s="41" t="s">
        <v>55</v>
      </c>
      <c r="G49" s="41" t="s">
        <v>25</v>
      </c>
      <c r="H49" s="41" t="s">
        <v>36</v>
      </c>
      <c r="I49" s="60">
        <v>44743</v>
      </c>
      <c r="J49" s="61">
        <f ca="1">EFEITO!$J$49*EFEITO!$Y$49</f>
        <v>144767.55724524657</v>
      </c>
      <c r="K49" s="61">
        <f ca="1">EFEITO!$L$49*EFEITO!$Z$49</f>
        <v>0</v>
      </c>
      <c r="L49" s="61">
        <f>EFEITO!$N$49*EFEITO!$AA$49</f>
        <v>0</v>
      </c>
      <c r="M49" s="61">
        <f ca="1">$J$49-EFEITO!$K$49*EFEITO!$Y$49</f>
        <v>71728.292838550406</v>
      </c>
      <c r="N49" s="61">
        <f ca="1">$K$49-EFEITO!$M$49*EFEITO!$Z$49</f>
        <v>0</v>
      </c>
      <c r="O49" s="61">
        <f>$L$49-EFEITO!$O$49*EFEITO!$AA$49</f>
        <v>0</v>
      </c>
      <c r="P49" s="45"/>
      <c r="Q49" s="45"/>
      <c r="R49" s="45"/>
      <c r="S49" s="45"/>
      <c r="T49" s="45"/>
      <c r="U49" s="45"/>
      <c r="V49" s="45"/>
      <c r="W49" s="45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41" t="s">
        <v>21</v>
      </c>
      <c r="B50" s="41" t="s">
        <v>34</v>
      </c>
      <c r="C50" s="41" t="s">
        <v>57</v>
      </c>
      <c r="D50" s="41" t="s">
        <v>25</v>
      </c>
      <c r="E50" s="41" t="s">
        <v>25</v>
      </c>
      <c r="F50" s="41" t="s">
        <v>25</v>
      </c>
      <c r="G50" s="41" t="s">
        <v>58</v>
      </c>
      <c r="H50" s="41" t="s">
        <v>25</v>
      </c>
      <c r="I50" s="60">
        <v>44409</v>
      </c>
      <c r="J50" s="61">
        <f ca="1">EFEITO!$J$50*EFEITO!$Y$50</f>
        <v>12434.534334017164</v>
      </c>
      <c r="K50" s="61">
        <f>EFEITO!$L$50*EFEITO!$Z$50</f>
        <v>0</v>
      </c>
      <c r="L50" s="61">
        <f>EFEITO!$N$50*EFEITO!$AA$50</f>
        <v>0</v>
      </c>
      <c r="M50" s="61">
        <f ca="1">$J$50-EFEITO!$K$50*EFEITO!$Y$50</f>
        <v>6217.267167008582</v>
      </c>
      <c r="N50" s="61">
        <f>$K$50-EFEITO!$M$50*EFEITO!$Z$50</f>
        <v>0</v>
      </c>
      <c r="O50" s="61">
        <f>$L$50-EFEITO!$O$50*EFEITO!$AA$50</f>
        <v>0</v>
      </c>
      <c r="P50" s="45"/>
      <c r="Q50" s="45"/>
      <c r="R50" s="45"/>
      <c r="S50" s="45"/>
      <c r="T50" s="45"/>
      <c r="U50" s="45"/>
      <c r="V50" s="45"/>
      <c r="W50" s="45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41" t="s">
        <v>21</v>
      </c>
      <c r="B51" s="41" t="s">
        <v>34</v>
      </c>
      <c r="C51" s="41" t="s">
        <v>57</v>
      </c>
      <c r="D51" s="41" t="s">
        <v>25</v>
      </c>
      <c r="E51" s="41" t="s">
        <v>25</v>
      </c>
      <c r="F51" s="41" t="s">
        <v>25</v>
      </c>
      <c r="G51" s="41" t="s">
        <v>60</v>
      </c>
      <c r="H51" s="41" t="s">
        <v>25</v>
      </c>
      <c r="I51" s="60">
        <v>44409</v>
      </c>
      <c r="J51" s="61">
        <f ca="1">EFEITO!$J$51*EFEITO!$Y$51</f>
        <v>10362.111945014303</v>
      </c>
      <c r="K51" s="61">
        <f>EFEITO!$L$51*EFEITO!$Z$51</f>
        <v>0</v>
      </c>
      <c r="L51" s="61">
        <f>EFEITO!$N$51*EFEITO!$AA$51</f>
        <v>0</v>
      </c>
      <c r="M51" s="61">
        <f ca="1">$J$51-EFEITO!$K$51*EFEITO!$Y$51</f>
        <v>5181.0559725071516</v>
      </c>
      <c r="N51" s="61">
        <f>$K$51-EFEITO!$M$51*EFEITO!$Z$51</f>
        <v>0</v>
      </c>
      <c r="O51" s="61">
        <f>$L$51-EFEITO!$O$51*EFEITO!$AA$51</f>
        <v>0</v>
      </c>
      <c r="P51" s="45"/>
      <c r="Q51" s="45"/>
      <c r="R51" s="45"/>
      <c r="S51" s="45"/>
      <c r="T51" s="45"/>
      <c r="U51" s="45"/>
      <c r="V51" s="45"/>
      <c r="W51" s="45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41" t="s">
        <v>21</v>
      </c>
      <c r="B52" s="41" t="s">
        <v>34</v>
      </c>
      <c r="C52" s="41" t="s">
        <v>57</v>
      </c>
      <c r="D52" s="41" t="s">
        <v>25</v>
      </c>
      <c r="E52" s="41" t="s">
        <v>25</v>
      </c>
      <c r="F52" s="41" t="s">
        <v>25</v>
      </c>
      <c r="G52" s="41" t="s">
        <v>58</v>
      </c>
      <c r="H52" s="41" t="s">
        <v>25</v>
      </c>
      <c r="I52" s="60">
        <v>44440</v>
      </c>
      <c r="J52" s="61">
        <f ca="1">EFEITO!$J$52*EFEITO!$Y$52</f>
        <v>12434.534334017164</v>
      </c>
      <c r="K52" s="61">
        <f>EFEITO!$L$52*EFEITO!$Z$52</f>
        <v>0</v>
      </c>
      <c r="L52" s="61">
        <f>EFEITO!$N$52*EFEITO!$AA$52</f>
        <v>0</v>
      </c>
      <c r="M52" s="61">
        <f ca="1">$J$52-EFEITO!$K$52*EFEITO!$Y$52</f>
        <v>6217.267167008582</v>
      </c>
      <c r="N52" s="61">
        <f>$K$52-EFEITO!$M$52*EFEITO!$Z$52</f>
        <v>0</v>
      </c>
      <c r="O52" s="61">
        <f>$L$52-EFEITO!$O$52*EFEITO!$AA$52</f>
        <v>0</v>
      </c>
      <c r="P52" s="45"/>
      <c r="Q52" s="45"/>
      <c r="R52" s="45"/>
      <c r="S52" s="45"/>
      <c r="T52" s="45"/>
      <c r="U52" s="45"/>
      <c r="V52" s="45"/>
      <c r="W52" s="45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41" t="s">
        <v>21</v>
      </c>
      <c r="B53" s="41" t="s">
        <v>34</v>
      </c>
      <c r="C53" s="41" t="s">
        <v>57</v>
      </c>
      <c r="D53" s="41" t="s">
        <v>25</v>
      </c>
      <c r="E53" s="41" t="s">
        <v>25</v>
      </c>
      <c r="F53" s="41" t="s">
        <v>25</v>
      </c>
      <c r="G53" s="41" t="s">
        <v>60</v>
      </c>
      <c r="H53" s="41" t="s">
        <v>25</v>
      </c>
      <c r="I53" s="60">
        <v>44440</v>
      </c>
      <c r="J53" s="61">
        <f ca="1">EFEITO!$J$53*EFEITO!$Y$53</f>
        <v>10362.111945014303</v>
      </c>
      <c r="K53" s="61">
        <f>EFEITO!$L$53*EFEITO!$Z$53</f>
        <v>0</v>
      </c>
      <c r="L53" s="61">
        <f>EFEITO!$N$53*EFEITO!$AA$53</f>
        <v>0</v>
      </c>
      <c r="M53" s="61">
        <f ca="1">$J$53-EFEITO!$K$53*EFEITO!$Y$53</f>
        <v>5181.0559725071516</v>
      </c>
      <c r="N53" s="61">
        <f>$K$53-EFEITO!$M$53*EFEITO!$Z$53</f>
        <v>0</v>
      </c>
      <c r="O53" s="61">
        <f>$L$53-EFEITO!$O$53*EFEITO!$AA$53</f>
        <v>0</v>
      </c>
      <c r="P53" s="45"/>
      <c r="Q53" s="45"/>
      <c r="R53" s="45"/>
      <c r="S53" s="45"/>
      <c r="T53" s="45"/>
      <c r="U53" s="45"/>
      <c r="V53" s="45"/>
      <c r="W53" s="45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41" t="s">
        <v>21</v>
      </c>
      <c r="B54" s="41" t="s">
        <v>34</v>
      </c>
      <c r="C54" s="41" t="s">
        <v>57</v>
      </c>
      <c r="D54" s="41" t="s">
        <v>25</v>
      </c>
      <c r="E54" s="41" t="s">
        <v>25</v>
      </c>
      <c r="F54" s="41" t="s">
        <v>25</v>
      </c>
      <c r="G54" s="41" t="s">
        <v>58</v>
      </c>
      <c r="H54" s="41" t="s">
        <v>25</v>
      </c>
      <c r="I54" s="60">
        <v>44470</v>
      </c>
      <c r="J54" s="61">
        <f ca="1">EFEITO!$J$54*EFEITO!$Y$54</f>
        <v>12434.534334017164</v>
      </c>
      <c r="K54" s="61">
        <f>EFEITO!$L$54*EFEITO!$Z$54</f>
        <v>0</v>
      </c>
      <c r="L54" s="61">
        <f>EFEITO!$N$54*EFEITO!$AA$54</f>
        <v>0</v>
      </c>
      <c r="M54" s="61">
        <f ca="1">$J$54-EFEITO!$K$54*EFEITO!$Y$54</f>
        <v>6217.267167008582</v>
      </c>
      <c r="N54" s="61">
        <f>$K$54-EFEITO!$M$54*EFEITO!$Z$54</f>
        <v>0</v>
      </c>
      <c r="O54" s="61">
        <f>$L$54-EFEITO!$O$54*EFEITO!$AA$54</f>
        <v>0</v>
      </c>
      <c r="P54" s="45"/>
      <c r="Q54" s="45"/>
      <c r="R54" s="45"/>
      <c r="S54" s="45"/>
      <c r="T54" s="45"/>
      <c r="U54" s="45"/>
      <c r="V54" s="45"/>
      <c r="W54" s="45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41" t="s">
        <v>21</v>
      </c>
      <c r="B55" s="41" t="s">
        <v>34</v>
      </c>
      <c r="C55" s="41" t="s">
        <v>57</v>
      </c>
      <c r="D55" s="41" t="s">
        <v>25</v>
      </c>
      <c r="E55" s="41" t="s">
        <v>25</v>
      </c>
      <c r="F55" s="41" t="s">
        <v>25</v>
      </c>
      <c r="G55" s="41" t="s">
        <v>60</v>
      </c>
      <c r="H55" s="41" t="s">
        <v>25</v>
      </c>
      <c r="I55" s="60">
        <v>44470</v>
      </c>
      <c r="J55" s="61">
        <f ca="1">EFEITO!$J$55*EFEITO!$Y$55</f>
        <v>10362.111945014303</v>
      </c>
      <c r="K55" s="61">
        <f>EFEITO!$L$55*EFEITO!$Z$55</f>
        <v>0</v>
      </c>
      <c r="L55" s="61">
        <f>EFEITO!$N$55*EFEITO!$AA$55</f>
        <v>0</v>
      </c>
      <c r="M55" s="61">
        <f ca="1">$J$55-EFEITO!$K$55*EFEITO!$Y$55</f>
        <v>5181.0559725071516</v>
      </c>
      <c r="N55" s="61">
        <f>$K$55-EFEITO!$M$55*EFEITO!$Z$55</f>
        <v>0</v>
      </c>
      <c r="O55" s="61">
        <f>$L$55-EFEITO!$O$55*EFEITO!$AA$55</f>
        <v>0</v>
      </c>
      <c r="P55" s="45"/>
      <c r="Q55" s="45"/>
      <c r="R55" s="45"/>
      <c r="S55" s="45"/>
      <c r="T55" s="45"/>
      <c r="U55" s="45"/>
      <c r="V55" s="45"/>
      <c r="W55" s="45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41" t="s">
        <v>21</v>
      </c>
      <c r="B56" s="41" t="s">
        <v>34</v>
      </c>
      <c r="C56" s="41" t="s">
        <v>57</v>
      </c>
      <c r="D56" s="41" t="s">
        <v>25</v>
      </c>
      <c r="E56" s="41" t="s">
        <v>25</v>
      </c>
      <c r="F56" s="41" t="s">
        <v>25</v>
      </c>
      <c r="G56" s="41" t="s">
        <v>58</v>
      </c>
      <c r="H56" s="41" t="s">
        <v>25</v>
      </c>
      <c r="I56" s="60">
        <v>44501</v>
      </c>
      <c r="J56" s="61">
        <f ca="1">EFEITO!$J$56*EFEITO!$Y$56</f>
        <v>12434.534334017164</v>
      </c>
      <c r="K56" s="61">
        <f>EFEITO!$L$56*EFEITO!$Z$56</f>
        <v>0</v>
      </c>
      <c r="L56" s="61">
        <f>EFEITO!$N$56*EFEITO!$AA$56</f>
        <v>0</v>
      </c>
      <c r="M56" s="61">
        <f ca="1">$J$56-EFEITO!$K$56*EFEITO!$Y$56</f>
        <v>6217.267167008582</v>
      </c>
      <c r="N56" s="61">
        <f>$K$56-EFEITO!$M$56*EFEITO!$Z$56</f>
        <v>0</v>
      </c>
      <c r="O56" s="61">
        <f>$L$56-EFEITO!$O$56*EFEITO!$AA$56</f>
        <v>0</v>
      </c>
      <c r="P56" s="45"/>
      <c r="Q56" s="45"/>
      <c r="R56" s="45"/>
      <c r="S56" s="45"/>
      <c r="T56" s="45"/>
      <c r="U56" s="45"/>
      <c r="V56" s="45"/>
      <c r="W56" s="45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41" t="s">
        <v>21</v>
      </c>
      <c r="B57" s="41" t="s">
        <v>34</v>
      </c>
      <c r="C57" s="41" t="s">
        <v>57</v>
      </c>
      <c r="D57" s="41" t="s">
        <v>25</v>
      </c>
      <c r="E57" s="41" t="s">
        <v>25</v>
      </c>
      <c r="F57" s="41" t="s">
        <v>25</v>
      </c>
      <c r="G57" s="41" t="s">
        <v>60</v>
      </c>
      <c r="H57" s="41" t="s">
        <v>25</v>
      </c>
      <c r="I57" s="60">
        <v>44501</v>
      </c>
      <c r="J57" s="61">
        <f ca="1">EFEITO!$J$57*EFEITO!$Y$57</f>
        <v>10362.111945014303</v>
      </c>
      <c r="K57" s="61">
        <f>EFEITO!$L$57*EFEITO!$Z$57</f>
        <v>0</v>
      </c>
      <c r="L57" s="61">
        <f>EFEITO!$N$57*EFEITO!$AA$57</f>
        <v>0</v>
      </c>
      <c r="M57" s="61">
        <f ca="1">$J$57-EFEITO!$K$57*EFEITO!$Y$57</f>
        <v>5181.0559725071516</v>
      </c>
      <c r="N57" s="61">
        <f>$K$57-EFEITO!$M$57*EFEITO!$Z$57</f>
        <v>0</v>
      </c>
      <c r="O57" s="61">
        <f>$L$57-EFEITO!$O$57*EFEITO!$AA$57</f>
        <v>0</v>
      </c>
      <c r="P57" s="45"/>
      <c r="Q57" s="45"/>
      <c r="R57" s="45"/>
      <c r="S57" s="45"/>
      <c r="T57" s="45"/>
      <c r="U57" s="45"/>
      <c r="V57" s="45"/>
      <c r="W57" s="45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41" t="s">
        <v>21</v>
      </c>
      <c r="B58" s="41" t="s">
        <v>34</v>
      </c>
      <c r="C58" s="41" t="s">
        <v>57</v>
      </c>
      <c r="D58" s="41" t="s">
        <v>25</v>
      </c>
      <c r="E58" s="41" t="s">
        <v>25</v>
      </c>
      <c r="F58" s="41" t="s">
        <v>25</v>
      </c>
      <c r="G58" s="41" t="s">
        <v>58</v>
      </c>
      <c r="H58" s="41" t="s">
        <v>25</v>
      </c>
      <c r="I58" s="60">
        <v>44531</v>
      </c>
      <c r="J58" s="61">
        <f ca="1">EFEITO!$J$58*EFEITO!$Y$58</f>
        <v>12434.534334017164</v>
      </c>
      <c r="K58" s="61">
        <f>EFEITO!$L$58*EFEITO!$Z$58</f>
        <v>0</v>
      </c>
      <c r="L58" s="61">
        <f>EFEITO!$N$58*EFEITO!$AA$58</f>
        <v>0</v>
      </c>
      <c r="M58" s="61">
        <f ca="1">$J$58-EFEITO!$K$58*EFEITO!$Y$58</f>
        <v>6217.267167008582</v>
      </c>
      <c r="N58" s="61">
        <f>$K$58-EFEITO!$M$58*EFEITO!$Z$58</f>
        <v>0</v>
      </c>
      <c r="O58" s="61">
        <f>$L$58-EFEITO!$O$58*EFEITO!$AA$58</f>
        <v>0</v>
      </c>
      <c r="P58" s="45"/>
      <c r="Q58" s="45"/>
      <c r="R58" s="45"/>
      <c r="S58" s="45"/>
      <c r="T58" s="45"/>
      <c r="U58" s="45"/>
      <c r="V58" s="45"/>
      <c r="W58" s="45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41" t="s">
        <v>21</v>
      </c>
      <c r="B59" s="41" t="s">
        <v>34</v>
      </c>
      <c r="C59" s="41" t="s">
        <v>57</v>
      </c>
      <c r="D59" s="41" t="s">
        <v>25</v>
      </c>
      <c r="E59" s="41" t="s">
        <v>25</v>
      </c>
      <c r="F59" s="41" t="s">
        <v>25</v>
      </c>
      <c r="G59" s="41" t="s">
        <v>60</v>
      </c>
      <c r="H59" s="41" t="s">
        <v>25</v>
      </c>
      <c r="I59" s="60">
        <v>44531</v>
      </c>
      <c r="J59" s="61">
        <f ca="1">EFEITO!$J$59*EFEITO!$Y$59</f>
        <v>10362.111945014303</v>
      </c>
      <c r="K59" s="61">
        <f>EFEITO!$L$59*EFEITO!$Z$59</f>
        <v>0</v>
      </c>
      <c r="L59" s="61">
        <f>EFEITO!$N$59*EFEITO!$AA$59</f>
        <v>0</v>
      </c>
      <c r="M59" s="61">
        <f ca="1">$J$59-EFEITO!$K$59*EFEITO!$Y$59</f>
        <v>5181.0559725071516</v>
      </c>
      <c r="N59" s="61">
        <f>$K$59-EFEITO!$M$59*EFEITO!$Z$59</f>
        <v>0</v>
      </c>
      <c r="O59" s="61">
        <f>$L$59-EFEITO!$O$59*EFEITO!$AA$59</f>
        <v>0</v>
      </c>
      <c r="P59" s="45"/>
      <c r="Q59" s="45"/>
      <c r="R59" s="45"/>
      <c r="S59" s="45"/>
      <c r="T59" s="45"/>
      <c r="U59" s="45"/>
      <c r="V59" s="45"/>
      <c r="W59" s="45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41" t="s">
        <v>21</v>
      </c>
      <c r="B60" s="41" t="s">
        <v>34</v>
      </c>
      <c r="C60" s="41" t="s">
        <v>57</v>
      </c>
      <c r="D60" s="41" t="s">
        <v>25</v>
      </c>
      <c r="E60" s="41" t="s">
        <v>25</v>
      </c>
      <c r="F60" s="41" t="s">
        <v>25</v>
      </c>
      <c r="G60" s="41" t="s">
        <v>58</v>
      </c>
      <c r="H60" s="41" t="s">
        <v>25</v>
      </c>
      <c r="I60" s="60">
        <v>44562</v>
      </c>
      <c r="J60" s="61">
        <f ca="1">EFEITO!$J$60*EFEITO!$Y$60</f>
        <v>12434.534334017164</v>
      </c>
      <c r="K60" s="61">
        <f>EFEITO!$L$60*EFEITO!$Z$60</f>
        <v>0</v>
      </c>
      <c r="L60" s="61">
        <f>EFEITO!$N$60*EFEITO!$AA$60</f>
        <v>0</v>
      </c>
      <c r="M60" s="61">
        <f ca="1">$J$60-EFEITO!$K$60*EFEITO!$Y$60</f>
        <v>6217.267167008582</v>
      </c>
      <c r="N60" s="61">
        <f>$K$60-EFEITO!$M$60*EFEITO!$Z$60</f>
        <v>0</v>
      </c>
      <c r="O60" s="61">
        <f>$L$60-EFEITO!$O$60*EFEITO!$AA$60</f>
        <v>0</v>
      </c>
      <c r="P60" s="45"/>
      <c r="Q60" s="45"/>
      <c r="R60" s="45"/>
      <c r="S60" s="45"/>
      <c r="T60" s="45"/>
      <c r="U60" s="45"/>
      <c r="V60" s="45"/>
      <c r="W60" s="45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41" t="s">
        <v>21</v>
      </c>
      <c r="B61" s="41" t="s">
        <v>34</v>
      </c>
      <c r="C61" s="41" t="s">
        <v>57</v>
      </c>
      <c r="D61" s="41" t="s">
        <v>25</v>
      </c>
      <c r="E61" s="41" t="s">
        <v>25</v>
      </c>
      <c r="F61" s="41" t="s">
        <v>25</v>
      </c>
      <c r="G61" s="41" t="s">
        <v>60</v>
      </c>
      <c r="H61" s="41" t="s">
        <v>25</v>
      </c>
      <c r="I61" s="60">
        <v>44562</v>
      </c>
      <c r="J61" s="61">
        <f ca="1">EFEITO!$J$61*EFEITO!$Y$61</f>
        <v>10362.111945014303</v>
      </c>
      <c r="K61" s="61">
        <f>EFEITO!$L$61*EFEITO!$Z$61</f>
        <v>0</v>
      </c>
      <c r="L61" s="61">
        <f>EFEITO!$N$61*EFEITO!$AA$61</f>
        <v>0</v>
      </c>
      <c r="M61" s="61">
        <f ca="1">$J$61-EFEITO!$K$61*EFEITO!$Y$61</f>
        <v>5181.0559725071516</v>
      </c>
      <c r="N61" s="61">
        <f>$K$61-EFEITO!$M$61*EFEITO!$Z$61</f>
        <v>0</v>
      </c>
      <c r="O61" s="61">
        <f>$L$61-EFEITO!$O$61*EFEITO!$AA$61</f>
        <v>0</v>
      </c>
      <c r="P61" s="45"/>
      <c r="Q61" s="45"/>
      <c r="R61" s="45"/>
      <c r="S61" s="45"/>
      <c r="T61" s="45"/>
      <c r="U61" s="45"/>
      <c r="V61" s="45"/>
      <c r="W61" s="45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41" t="s">
        <v>21</v>
      </c>
      <c r="B62" s="41" t="s">
        <v>34</v>
      </c>
      <c r="C62" s="41" t="s">
        <v>57</v>
      </c>
      <c r="D62" s="41" t="s">
        <v>25</v>
      </c>
      <c r="E62" s="41" t="s">
        <v>25</v>
      </c>
      <c r="F62" s="41" t="s">
        <v>25</v>
      </c>
      <c r="G62" s="41" t="s">
        <v>58</v>
      </c>
      <c r="H62" s="41" t="s">
        <v>25</v>
      </c>
      <c r="I62" s="60">
        <v>44593</v>
      </c>
      <c r="J62" s="61">
        <f ca="1">EFEITO!$J$62*EFEITO!$Y$62</f>
        <v>12434.534334017164</v>
      </c>
      <c r="K62" s="61">
        <f>EFEITO!$L$62*EFEITO!$Z$62</f>
        <v>0</v>
      </c>
      <c r="L62" s="61">
        <f>EFEITO!$N$62*EFEITO!$AA$62</f>
        <v>0</v>
      </c>
      <c r="M62" s="61">
        <f ca="1">$J$62-EFEITO!$K$62*EFEITO!$Y$62</f>
        <v>6217.267167008582</v>
      </c>
      <c r="N62" s="61">
        <f>$K$62-EFEITO!$M$62*EFEITO!$Z$62</f>
        <v>0</v>
      </c>
      <c r="O62" s="61">
        <f>$L$62-EFEITO!$O$62*EFEITO!$AA$62</f>
        <v>0</v>
      </c>
      <c r="P62" s="45"/>
      <c r="Q62" s="45"/>
      <c r="R62" s="45"/>
      <c r="S62" s="45"/>
      <c r="T62" s="45"/>
      <c r="U62" s="45"/>
      <c r="V62" s="45"/>
      <c r="W62" s="45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41" t="s">
        <v>21</v>
      </c>
      <c r="B63" s="41" t="s">
        <v>34</v>
      </c>
      <c r="C63" s="41" t="s">
        <v>57</v>
      </c>
      <c r="D63" s="41" t="s">
        <v>25</v>
      </c>
      <c r="E63" s="41" t="s">
        <v>25</v>
      </c>
      <c r="F63" s="41" t="s">
        <v>25</v>
      </c>
      <c r="G63" s="41" t="s">
        <v>60</v>
      </c>
      <c r="H63" s="41" t="s">
        <v>25</v>
      </c>
      <c r="I63" s="60">
        <v>44593</v>
      </c>
      <c r="J63" s="61">
        <f ca="1">EFEITO!$J$63*EFEITO!$Y$63</f>
        <v>10362.111945014303</v>
      </c>
      <c r="K63" s="61">
        <f>EFEITO!$L$63*EFEITO!$Z$63</f>
        <v>0</v>
      </c>
      <c r="L63" s="61">
        <f>EFEITO!$N$63*EFEITO!$AA$63</f>
        <v>0</v>
      </c>
      <c r="M63" s="61">
        <f ca="1">$J$63-EFEITO!$K$63*EFEITO!$Y$63</f>
        <v>5181.0559725071516</v>
      </c>
      <c r="N63" s="61">
        <f>$K$63-EFEITO!$M$63*EFEITO!$Z$63</f>
        <v>0</v>
      </c>
      <c r="O63" s="61">
        <f>$L$63-EFEITO!$O$63*EFEITO!$AA$63</f>
        <v>0</v>
      </c>
      <c r="P63" s="45"/>
      <c r="Q63" s="45"/>
      <c r="R63" s="45"/>
      <c r="S63" s="45"/>
      <c r="T63" s="45"/>
      <c r="U63" s="45"/>
      <c r="V63" s="45"/>
      <c r="W63" s="45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41" t="s">
        <v>21</v>
      </c>
      <c r="B64" s="41" t="s">
        <v>34</v>
      </c>
      <c r="C64" s="41" t="s">
        <v>57</v>
      </c>
      <c r="D64" s="41" t="s">
        <v>25</v>
      </c>
      <c r="E64" s="41" t="s">
        <v>25</v>
      </c>
      <c r="F64" s="41" t="s">
        <v>25</v>
      </c>
      <c r="G64" s="41" t="s">
        <v>58</v>
      </c>
      <c r="H64" s="41" t="s">
        <v>25</v>
      </c>
      <c r="I64" s="60">
        <v>44621</v>
      </c>
      <c r="J64" s="61">
        <f ca="1">EFEITO!$J$64*EFEITO!$Y$64</f>
        <v>12434.534334017164</v>
      </c>
      <c r="K64" s="61">
        <f>EFEITO!$L$64*EFEITO!$Z$64</f>
        <v>0</v>
      </c>
      <c r="L64" s="61">
        <f>EFEITO!$N$64*EFEITO!$AA$64</f>
        <v>0</v>
      </c>
      <c r="M64" s="61">
        <f ca="1">$J$64-EFEITO!$K$64*EFEITO!$Y$64</f>
        <v>6217.267167008582</v>
      </c>
      <c r="N64" s="61">
        <f>$K$64-EFEITO!$M$64*EFEITO!$Z$64</f>
        <v>0</v>
      </c>
      <c r="O64" s="61">
        <f>$L$64-EFEITO!$O$64*EFEITO!$AA$64</f>
        <v>0</v>
      </c>
      <c r="P64" s="45"/>
      <c r="Q64" s="45"/>
      <c r="R64" s="45"/>
      <c r="S64" s="45"/>
      <c r="T64" s="45"/>
      <c r="U64" s="45"/>
      <c r="V64" s="45"/>
      <c r="W64" s="45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41" t="s">
        <v>21</v>
      </c>
      <c r="B65" s="41" t="s">
        <v>34</v>
      </c>
      <c r="C65" s="41" t="s">
        <v>57</v>
      </c>
      <c r="D65" s="41" t="s">
        <v>25</v>
      </c>
      <c r="E65" s="41" t="s">
        <v>25</v>
      </c>
      <c r="F65" s="41" t="s">
        <v>25</v>
      </c>
      <c r="G65" s="41" t="s">
        <v>60</v>
      </c>
      <c r="H65" s="41" t="s">
        <v>25</v>
      </c>
      <c r="I65" s="60">
        <v>44621</v>
      </c>
      <c r="J65" s="61">
        <f ca="1">EFEITO!$J$65*EFEITO!$Y$65</f>
        <v>10362.111945014303</v>
      </c>
      <c r="K65" s="61">
        <f>EFEITO!$L$65*EFEITO!$Z$65</f>
        <v>0</v>
      </c>
      <c r="L65" s="61">
        <f>EFEITO!$N$65*EFEITO!$AA$65</f>
        <v>0</v>
      </c>
      <c r="M65" s="61">
        <f ca="1">$J$65-EFEITO!$K$65*EFEITO!$Y$65</f>
        <v>5181.0559725071516</v>
      </c>
      <c r="N65" s="61">
        <f>$K$65-EFEITO!$M$65*EFEITO!$Z$65</f>
        <v>0</v>
      </c>
      <c r="O65" s="61">
        <f>$L$65-EFEITO!$O$65*EFEITO!$AA$65</f>
        <v>0</v>
      </c>
      <c r="P65" s="45"/>
      <c r="Q65" s="45"/>
      <c r="R65" s="45"/>
      <c r="S65" s="45"/>
      <c r="T65" s="45"/>
      <c r="U65" s="45"/>
      <c r="V65" s="45"/>
      <c r="W65" s="45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41" t="s">
        <v>21</v>
      </c>
      <c r="B66" s="41" t="s">
        <v>34</v>
      </c>
      <c r="C66" s="41" t="s">
        <v>57</v>
      </c>
      <c r="D66" s="41" t="s">
        <v>25</v>
      </c>
      <c r="E66" s="41" t="s">
        <v>25</v>
      </c>
      <c r="F66" s="41" t="s">
        <v>25</v>
      </c>
      <c r="G66" s="41" t="s">
        <v>58</v>
      </c>
      <c r="H66" s="41" t="s">
        <v>25</v>
      </c>
      <c r="I66" s="60">
        <v>44652</v>
      </c>
      <c r="J66" s="61">
        <f ca="1">EFEITO!$J$66*EFEITO!$Y$66</f>
        <v>12434.534334017164</v>
      </c>
      <c r="K66" s="61">
        <f>EFEITO!$L$66*EFEITO!$Z$66</f>
        <v>0</v>
      </c>
      <c r="L66" s="61">
        <f>EFEITO!$N$66*EFEITO!$AA$66</f>
        <v>0</v>
      </c>
      <c r="M66" s="61">
        <f ca="1">$J$66-EFEITO!$K$66*EFEITO!$Y$66</f>
        <v>6217.267167008582</v>
      </c>
      <c r="N66" s="61">
        <f>$K$66-EFEITO!$M$66*EFEITO!$Z$66</f>
        <v>0</v>
      </c>
      <c r="O66" s="61">
        <f>$L$66-EFEITO!$O$66*EFEITO!$AA$66</f>
        <v>0</v>
      </c>
      <c r="P66" s="45"/>
      <c r="Q66" s="45"/>
      <c r="R66" s="45"/>
      <c r="S66" s="45"/>
      <c r="T66" s="45"/>
      <c r="U66" s="45"/>
      <c r="V66" s="45"/>
      <c r="W66" s="45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41" t="s">
        <v>21</v>
      </c>
      <c r="B67" s="41" t="s">
        <v>34</v>
      </c>
      <c r="C67" s="41" t="s">
        <v>57</v>
      </c>
      <c r="D67" s="41" t="s">
        <v>25</v>
      </c>
      <c r="E67" s="41" t="s">
        <v>25</v>
      </c>
      <c r="F67" s="41" t="s">
        <v>25</v>
      </c>
      <c r="G67" s="41" t="s">
        <v>60</v>
      </c>
      <c r="H67" s="41" t="s">
        <v>25</v>
      </c>
      <c r="I67" s="60">
        <v>44652</v>
      </c>
      <c r="J67" s="61">
        <f ca="1">EFEITO!$J$67*EFEITO!$Y$67</f>
        <v>10362.111945014303</v>
      </c>
      <c r="K67" s="61">
        <f>EFEITO!$L$67*EFEITO!$Z$67</f>
        <v>0</v>
      </c>
      <c r="L67" s="61">
        <f>EFEITO!$N$67*EFEITO!$AA$67</f>
        <v>0</v>
      </c>
      <c r="M67" s="61">
        <f ca="1">$J$67-EFEITO!$K$67*EFEITO!$Y$67</f>
        <v>5181.0559725071516</v>
      </c>
      <c r="N67" s="61">
        <f>$K$67-EFEITO!$M$67*EFEITO!$Z$67</f>
        <v>0</v>
      </c>
      <c r="O67" s="61">
        <f>$L$67-EFEITO!$O$67*EFEITO!$AA$67</f>
        <v>0</v>
      </c>
      <c r="P67" s="45"/>
      <c r="Q67" s="45"/>
      <c r="R67" s="45"/>
      <c r="S67" s="45"/>
      <c r="T67" s="45"/>
      <c r="U67" s="45"/>
      <c r="V67" s="45"/>
      <c r="W67" s="45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41" t="s">
        <v>21</v>
      </c>
      <c r="B68" s="41" t="s">
        <v>34</v>
      </c>
      <c r="C68" s="41" t="s">
        <v>57</v>
      </c>
      <c r="D68" s="41" t="s">
        <v>25</v>
      </c>
      <c r="E68" s="41" t="s">
        <v>25</v>
      </c>
      <c r="F68" s="41" t="s">
        <v>25</v>
      </c>
      <c r="G68" s="41" t="s">
        <v>58</v>
      </c>
      <c r="H68" s="41" t="s">
        <v>25</v>
      </c>
      <c r="I68" s="60">
        <v>44682</v>
      </c>
      <c r="J68" s="61">
        <f ca="1">EFEITO!$J$68*EFEITO!$Y$68</f>
        <v>12434.534334017164</v>
      </c>
      <c r="K68" s="61">
        <f>EFEITO!$L$68*EFEITO!$Z$68</f>
        <v>0</v>
      </c>
      <c r="L68" s="61">
        <f>EFEITO!$N$68*EFEITO!$AA$68</f>
        <v>0</v>
      </c>
      <c r="M68" s="61">
        <f ca="1">$J$68-EFEITO!$K$68*EFEITO!$Y$68</f>
        <v>6217.267167008582</v>
      </c>
      <c r="N68" s="61">
        <f>$K$68-EFEITO!$M$68*EFEITO!$Z$68</f>
        <v>0</v>
      </c>
      <c r="O68" s="61">
        <f>$L$68-EFEITO!$O$68*EFEITO!$AA$68</f>
        <v>0</v>
      </c>
      <c r="P68" s="45"/>
      <c r="Q68" s="45"/>
      <c r="R68" s="45"/>
      <c r="S68" s="45"/>
      <c r="T68" s="45"/>
      <c r="U68" s="45"/>
      <c r="V68" s="45"/>
      <c r="W68" s="45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41" t="s">
        <v>21</v>
      </c>
      <c r="B69" s="41" t="s">
        <v>34</v>
      </c>
      <c r="C69" s="41" t="s">
        <v>57</v>
      </c>
      <c r="D69" s="41" t="s">
        <v>25</v>
      </c>
      <c r="E69" s="41" t="s">
        <v>25</v>
      </c>
      <c r="F69" s="41" t="s">
        <v>25</v>
      </c>
      <c r="G69" s="41" t="s">
        <v>60</v>
      </c>
      <c r="H69" s="41" t="s">
        <v>25</v>
      </c>
      <c r="I69" s="60">
        <v>44682</v>
      </c>
      <c r="J69" s="61">
        <f ca="1">EFEITO!$J$69*EFEITO!$Y$69</f>
        <v>10362.111945014303</v>
      </c>
      <c r="K69" s="61">
        <f>EFEITO!$L$69*EFEITO!$Z$69</f>
        <v>0</v>
      </c>
      <c r="L69" s="61">
        <f>EFEITO!$N$69*EFEITO!$AA$69</f>
        <v>0</v>
      </c>
      <c r="M69" s="61">
        <f ca="1">$J$69-EFEITO!$K$69*EFEITO!$Y$69</f>
        <v>5181.0559725071516</v>
      </c>
      <c r="N69" s="61">
        <f>$K$69-EFEITO!$M$69*EFEITO!$Z$69</f>
        <v>0</v>
      </c>
      <c r="O69" s="61">
        <f>$L$69-EFEITO!$O$69*EFEITO!$AA$69</f>
        <v>0</v>
      </c>
      <c r="P69" s="45"/>
      <c r="Q69" s="45"/>
      <c r="R69" s="45"/>
      <c r="S69" s="45"/>
      <c r="T69" s="45"/>
      <c r="U69" s="45"/>
      <c r="V69" s="45"/>
      <c r="W69" s="45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41" t="s">
        <v>21</v>
      </c>
      <c r="B70" s="41" t="s">
        <v>34</v>
      </c>
      <c r="C70" s="41" t="s">
        <v>57</v>
      </c>
      <c r="D70" s="41" t="s">
        <v>25</v>
      </c>
      <c r="E70" s="41" t="s">
        <v>25</v>
      </c>
      <c r="F70" s="41" t="s">
        <v>25</v>
      </c>
      <c r="G70" s="41" t="s">
        <v>58</v>
      </c>
      <c r="H70" s="41" t="s">
        <v>25</v>
      </c>
      <c r="I70" s="60">
        <v>44713</v>
      </c>
      <c r="J70" s="61">
        <f ca="1">EFEITO!$J$70*EFEITO!$Y$70</f>
        <v>12434.534334017164</v>
      </c>
      <c r="K70" s="61">
        <f>EFEITO!$L$70*EFEITO!$Z$70</f>
        <v>0</v>
      </c>
      <c r="L70" s="61">
        <f>EFEITO!$N$70*EFEITO!$AA$70</f>
        <v>0</v>
      </c>
      <c r="M70" s="61">
        <f ca="1">$J$70-EFEITO!$K$70*EFEITO!$Y$70</f>
        <v>6217.267167008582</v>
      </c>
      <c r="N70" s="61">
        <f>$K$70-EFEITO!$M$70*EFEITO!$Z$70</f>
        <v>0</v>
      </c>
      <c r="O70" s="61">
        <f>$L$70-EFEITO!$O$70*EFEITO!$AA$70</f>
        <v>0</v>
      </c>
      <c r="P70" s="45"/>
      <c r="Q70" s="45"/>
      <c r="R70" s="45"/>
      <c r="S70" s="45"/>
      <c r="T70" s="45"/>
      <c r="U70" s="45"/>
      <c r="V70" s="45"/>
      <c r="W70" s="45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41" t="s">
        <v>21</v>
      </c>
      <c r="B71" s="41" t="s">
        <v>34</v>
      </c>
      <c r="C71" s="41" t="s">
        <v>57</v>
      </c>
      <c r="D71" s="41" t="s">
        <v>25</v>
      </c>
      <c r="E71" s="41" t="s">
        <v>25</v>
      </c>
      <c r="F71" s="41" t="s">
        <v>25</v>
      </c>
      <c r="G71" s="41" t="s">
        <v>60</v>
      </c>
      <c r="H71" s="41" t="s">
        <v>25</v>
      </c>
      <c r="I71" s="60">
        <v>44713</v>
      </c>
      <c r="J71" s="61">
        <f ca="1">EFEITO!$J$71*EFEITO!$Y$71</f>
        <v>10362.111945014303</v>
      </c>
      <c r="K71" s="61">
        <f>EFEITO!$L$71*EFEITO!$Z$71</f>
        <v>0</v>
      </c>
      <c r="L71" s="61">
        <f>EFEITO!$N$71*EFEITO!$AA$71</f>
        <v>0</v>
      </c>
      <c r="M71" s="61">
        <f ca="1">$J$71-EFEITO!$K$71*EFEITO!$Y$71</f>
        <v>5181.0559725071516</v>
      </c>
      <c r="N71" s="61">
        <f>$K$71-EFEITO!$M$71*EFEITO!$Z$71</f>
        <v>0</v>
      </c>
      <c r="O71" s="61">
        <f>$L$71-EFEITO!$O$71*EFEITO!$AA$71</f>
        <v>0</v>
      </c>
      <c r="P71" s="45"/>
      <c r="Q71" s="45"/>
      <c r="R71" s="45"/>
      <c r="S71" s="45"/>
      <c r="T71" s="45"/>
      <c r="U71" s="45"/>
      <c r="V71" s="45"/>
      <c r="W71" s="45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41" t="s">
        <v>21</v>
      </c>
      <c r="B72" s="41" t="s">
        <v>34</v>
      </c>
      <c r="C72" s="41" t="s">
        <v>57</v>
      </c>
      <c r="D72" s="41" t="s">
        <v>25</v>
      </c>
      <c r="E72" s="41" t="s">
        <v>25</v>
      </c>
      <c r="F72" s="41" t="s">
        <v>25</v>
      </c>
      <c r="G72" s="41" t="s">
        <v>58</v>
      </c>
      <c r="H72" s="41" t="s">
        <v>25</v>
      </c>
      <c r="I72" s="60">
        <v>44743</v>
      </c>
      <c r="J72" s="61">
        <f ca="1">EFEITO!$J$72*EFEITO!$Y$72</f>
        <v>12434.534334017164</v>
      </c>
      <c r="K72" s="61">
        <f>EFEITO!$L$72*EFEITO!$Z$72</f>
        <v>0</v>
      </c>
      <c r="L72" s="61">
        <f>EFEITO!$N$72*EFEITO!$AA$72</f>
        <v>0</v>
      </c>
      <c r="M72" s="61">
        <f ca="1">$J$72-EFEITO!$K$72*EFEITO!$Y$72</f>
        <v>6217.267167008582</v>
      </c>
      <c r="N72" s="61">
        <f>$K$72-EFEITO!$M$72*EFEITO!$Z$72</f>
        <v>0</v>
      </c>
      <c r="O72" s="61">
        <f>$L$72-EFEITO!$O$72*EFEITO!$AA$72</f>
        <v>0</v>
      </c>
      <c r="P72" s="45"/>
      <c r="Q72" s="45"/>
      <c r="R72" s="45"/>
      <c r="S72" s="45"/>
      <c r="T72" s="45"/>
      <c r="U72" s="45"/>
      <c r="V72" s="45"/>
      <c r="W72" s="45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41" t="s">
        <v>21</v>
      </c>
      <c r="B73" s="41" t="s">
        <v>34</v>
      </c>
      <c r="C73" s="41" t="s">
        <v>57</v>
      </c>
      <c r="D73" s="41" t="s">
        <v>25</v>
      </c>
      <c r="E73" s="41" t="s">
        <v>25</v>
      </c>
      <c r="F73" s="41" t="s">
        <v>25</v>
      </c>
      <c r="G73" s="41" t="s">
        <v>60</v>
      </c>
      <c r="H73" s="41" t="s">
        <v>25</v>
      </c>
      <c r="I73" s="60">
        <v>44743</v>
      </c>
      <c r="J73" s="61">
        <f ca="1">EFEITO!$J$73*EFEITO!$Y$73</f>
        <v>10362.111945014303</v>
      </c>
      <c r="K73" s="61">
        <f>EFEITO!$L$73*EFEITO!$Z$73</f>
        <v>0</v>
      </c>
      <c r="L73" s="61">
        <f>EFEITO!$N$73*EFEITO!$AA$73</f>
        <v>0</v>
      </c>
      <c r="M73" s="61">
        <f ca="1">$J$73-EFEITO!$K$73*EFEITO!$Y$73</f>
        <v>5181.0559725071516</v>
      </c>
      <c r="N73" s="61">
        <f>$K$73-EFEITO!$M$73*EFEITO!$Z$73</f>
        <v>0</v>
      </c>
      <c r="O73" s="61">
        <f>$L$73-EFEITO!$O$73*EFEITO!$AA$73</f>
        <v>0</v>
      </c>
      <c r="P73" s="45"/>
      <c r="Q73" s="45"/>
      <c r="R73" s="45"/>
      <c r="S73" s="45"/>
      <c r="T73" s="45"/>
      <c r="U73" s="45"/>
      <c r="V73" s="45"/>
      <c r="W73" s="45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41" t="s">
        <v>21</v>
      </c>
      <c r="B74" s="41" t="s">
        <v>34</v>
      </c>
      <c r="C74" s="41" t="s">
        <v>35</v>
      </c>
      <c r="D74" s="41" t="s">
        <v>40</v>
      </c>
      <c r="E74" s="41" t="s">
        <v>25</v>
      </c>
      <c r="F74" s="41" t="s">
        <v>25</v>
      </c>
      <c r="G74" s="41" t="s">
        <v>25</v>
      </c>
      <c r="H74" s="41" t="s">
        <v>37</v>
      </c>
      <c r="I74" s="60">
        <v>44409</v>
      </c>
      <c r="J74" s="61">
        <f>EFEITO!$J$74*EFEITO!$Y$74</f>
        <v>0</v>
      </c>
      <c r="K74" s="61">
        <f ca="1">EFEITO!$L$74*EFEITO!$Z$74</f>
        <v>5801.8722635154745</v>
      </c>
      <c r="L74" s="61">
        <f>EFEITO!$N$74*EFEITO!$AA$74</f>
        <v>11246.314883752928</v>
      </c>
      <c r="M74" s="61">
        <f>$J$74-EFEITO!$K$74*EFEITO!$Y$74</f>
        <v>0</v>
      </c>
      <c r="N74" s="61">
        <f ca="1">$K$74-EFEITO!$M$74*EFEITO!$Z$74</f>
        <v>0</v>
      </c>
      <c r="O74" s="61">
        <f>$L$74-EFEITO!$O$74*EFEITO!$AA$74</f>
        <v>0</v>
      </c>
      <c r="P74" s="45"/>
      <c r="Q74" s="45"/>
      <c r="R74" s="45"/>
      <c r="S74" s="45"/>
      <c r="T74" s="45"/>
      <c r="U74" s="45"/>
      <c r="V74" s="45"/>
      <c r="W74" s="45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41" t="s">
        <v>27</v>
      </c>
      <c r="B75" s="41" t="s">
        <v>34</v>
      </c>
      <c r="C75" s="41" t="s">
        <v>35</v>
      </c>
      <c r="D75" s="41" t="s">
        <v>40</v>
      </c>
      <c r="E75" s="41" t="s">
        <v>25</v>
      </c>
      <c r="F75" s="41" t="s">
        <v>25</v>
      </c>
      <c r="G75" s="41" t="s">
        <v>25</v>
      </c>
      <c r="H75" s="41" t="s">
        <v>37</v>
      </c>
      <c r="I75" s="60">
        <v>44409</v>
      </c>
      <c r="J75" s="61">
        <f>EFEITO!$J$75*EFEITO!$Y$75</f>
        <v>0</v>
      </c>
      <c r="K75" s="61">
        <f ca="1">EFEITO!$L$75*EFEITO!$Z$75</f>
        <v>896.04594002436602</v>
      </c>
      <c r="L75" s="61">
        <f>EFEITO!$N$75*EFEITO!$AA$75</f>
        <v>1736.8901509935033</v>
      </c>
      <c r="M75" s="61">
        <f>$J$75-EFEITO!$K$75*EFEITO!$Y$75</f>
        <v>0</v>
      </c>
      <c r="N75" s="61">
        <f ca="1">$K$75-EFEITO!$M$75*EFEITO!$Z$75</f>
        <v>0</v>
      </c>
      <c r="O75" s="61">
        <f>$L$75-EFEITO!$O$75*EFEITO!$AA$75</f>
        <v>0</v>
      </c>
      <c r="P75" s="45"/>
      <c r="Q75" s="45"/>
      <c r="R75" s="45"/>
      <c r="S75" s="45"/>
      <c r="T75" s="45"/>
      <c r="U75" s="45"/>
      <c r="V75" s="45"/>
      <c r="W75" s="45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41" t="s">
        <v>21</v>
      </c>
      <c r="B76" s="41" t="s">
        <v>34</v>
      </c>
      <c r="C76" s="41" t="s">
        <v>35</v>
      </c>
      <c r="D76" s="41" t="s">
        <v>40</v>
      </c>
      <c r="E76" s="41" t="s">
        <v>25</v>
      </c>
      <c r="F76" s="41" t="s">
        <v>25</v>
      </c>
      <c r="G76" s="41" t="s">
        <v>25</v>
      </c>
      <c r="H76" s="41" t="s">
        <v>37</v>
      </c>
      <c r="I76" s="60">
        <v>44440</v>
      </c>
      <c r="J76" s="61">
        <f>EFEITO!$J$76*EFEITO!$Y$76</f>
        <v>0</v>
      </c>
      <c r="K76" s="61">
        <f ca="1">EFEITO!$L$76*EFEITO!$Z$76</f>
        <v>6033.0932170116384</v>
      </c>
      <c r="L76" s="61">
        <f>EFEITO!$N$76*EFEITO!$AA$76</f>
        <v>11694.512212586193</v>
      </c>
      <c r="M76" s="61">
        <f>$J$76-EFEITO!$K$76*EFEITO!$Y$76</f>
        <v>0</v>
      </c>
      <c r="N76" s="61">
        <f ca="1">$K$76-EFEITO!$M$76*EFEITO!$Z$76</f>
        <v>0</v>
      </c>
      <c r="O76" s="61">
        <f>$L$76-EFEITO!$O$76*EFEITO!$AA$76</f>
        <v>0</v>
      </c>
      <c r="P76" s="45"/>
      <c r="Q76" s="45"/>
      <c r="R76" s="45"/>
      <c r="S76" s="45"/>
      <c r="T76" s="45"/>
      <c r="U76" s="45"/>
      <c r="V76" s="45"/>
      <c r="W76" s="45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41" t="s">
        <v>27</v>
      </c>
      <c r="B77" s="41" t="s">
        <v>34</v>
      </c>
      <c r="C77" s="41" t="s">
        <v>35</v>
      </c>
      <c r="D77" s="41" t="s">
        <v>40</v>
      </c>
      <c r="E77" s="41" t="s">
        <v>25</v>
      </c>
      <c r="F77" s="41" t="s">
        <v>25</v>
      </c>
      <c r="G77" s="41" t="s">
        <v>25</v>
      </c>
      <c r="H77" s="41" t="s">
        <v>37</v>
      </c>
      <c r="I77" s="60">
        <v>44440</v>
      </c>
      <c r="J77" s="61">
        <f>EFEITO!$J$77*EFEITO!$Y$77</f>
        <v>0</v>
      </c>
      <c r="K77" s="61">
        <f ca="1">EFEITO!$L$77*EFEITO!$Z$77</f>
        <v>720.20350380951686</v>
      </c>
      <c r="L77" s="61">
        <f>EFEITO!$N$77*EFEITO!$AA$77</f>
        <v>1396.0382125538629</v>
      </c>
      <c r="M77" s="61">
        <f>$J$77-EFEITO!$K$77*EFEITO!$Y$77</f>
        <v>0</v>
      </c>
      <c r="N77" s="61">
        <f ca="1">$K$77-EFEITO!$M$77*EFEITO!$Z$77</f>
        <v>0</v>
      </c>
      <c r="O77" s="61">
        <f>$L$77-EFEITO!$O$77*EFEITO!$AA$77</f>
        <v>0</v>
      </c>
      <c r="P77" s="45"/>
      <c r="Q77" s="45"/>
      <c r="R77" s="45"/>
      <c r="S77" s="45"/>
      <c r="T77" s="45"/>
      <c r="U77" s="45"/>
      <c r="V77" s="45"/>
      <c r="W77" s="45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41" t="s">
        <v>21</v>
      </c>
      <c r="B78" s="41" t="s">
        <v>34</v>
      </c>
      <c r="C78" s="41" t="s">
        <v>35</v>
      </c>
      <c r="D78" s="41" t="s">
        <v>40</v>
      </c>
      <c r="E78" s="41" t="s">
        <v>25</v>
      </c>
      <c r="F78" s="41" t="s">
        <v>25</v>
      </c>
      <c r="G78" s="41" t="s">
        <v>25</v>
      </c>
      <c r="H78" s="41" t="s">
        <v>37</v>
      </c>
      <c r="I78" s="60">
        <v>44470</v>
      </c>
      <c r="J78" s="61">
        <f>EFEITO!$J$78*EFEITO!$Y$78</f>
        <v>0</v>
      </c>
      <c r="K78" s="61">
        <f ca="1">EFEITO!$L$78*EFEITO!$Z$78</f>
        <v>6127.3930648617843</v>
      </c>
      <c r="L78" s="61">
        <f>EFEITO!$N$78*EFEITO!$AA$78</f>
        <v>11877.302479976557</v>
      </c>
      <c r="M78" s="61">
        <f>$J$78-EFEITO!$K$78*EFEITO!$Y$78</f>
        <v>0</v>
      </c>
      <c r="N78" s="61">
        <f ca="1">$K$78-EFEITO!$M$78*EFEITO!$Z$78</f>
        <v>0</v>
      </c>
      <c r="O78" s="61">
        <f>$L$78-EFEITO!$O$78*EFEITO!$AA$78</f>
        <v>0</v>
      </c>
      <c r="P78" s="45"/>
      <c r="Q78" s="45"/>
      <c r="R78" s="45"/>
      <c r="S78" s="45"/>
      <c r="T78" s="45"/>
      <c r="U78" s="45"/>
      <c r="V78" s="45"/>
      <c r="W78" s="45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41" t="s">
        <v>27</v>
      </c>
      <c r="B79" s="41" t="s">
        <v>34</v>
      </c>
      <c r="C79" s="41" t="s">
        <v>35</v>
      </c>
      <c r="D79" s="41" t="s">
        <v>40</v>
      </c>
      <c r="E79" s="41" t="s">
        <v>25</v>
      </c>
      <c r="F79" s="41" t="s">
        <v>25</v>
      </c>
      <c r="G79" s="41" t="s">
        <v>25</v>
      </c>
      <c r="H79" s="41" t="s">
        <v>37</v>
      </c>
      <c r="I79" s="60">
        <v>44470</v>
      </c>
      <c r="J79" s="61">
        <f>EFEITO!$J$79*EFEITO!$Y$79</f>
        <v>0</v>
      </c>
      <c r="K79" s="61">
        <f ca="1">EFEITO!$L$79*EFEITO!$Z$79</f>
        <v>656.14002681705483</v>
      </c>
      <c r="L79" s="61">
        <f>EFEITO!$N$79*EFEITO!$AA$79</f>
        <v>1271.8579476183615</v>
      </c>
      <c r="M79" s="61">
        <f>$J$79-EFEITO!$K$79*EFEITO!$Y$79</f>
        <v>0</v>
      </c>
      <c r="N79" s="61">
        <f ca="1">$K$79-EFEITO!$M$79*EFEITO!$Z$79</f>
        <v>0</v>
      </c>
      <c r="O79" s="61">
        <f>$L$79-EFEITO!$O$79*EFEITO!$AA$79</f>
        <v>0</v>
      </c>
      <c r="P79" s="45"/>
      <c r="Q79" s="45"/>
      <c r="R79" s="45"/>
      <c r="S79" s="45"/>
      <c r="T79" s="45"/>
      <c r="U79" s="45"/>
      <c r="V79" s="45"/>
      <c r="W79" s="45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41" t="s">
        <v>21</v>
      </c>
      <c r="B80" s="41" t="s">
        <v>34</v>
      </c>
      <c r="C80" s="41" t="s">
        <v>35</v>
      </c>
      <c r="D80" s="41" t="s">
        <v>40</v>
      </c>
      <c r="E80" s="41" t="s">
        <v>25</v>
      </c>
      <c r="F80" s="41" t="s">
        <v>25</v>
      </c>
      <c r="G80" s="41" t="s">
        <v>25</v>
      </c>
      <c r="H80" s="41" t="s">
        <v>37</v>
      </c>
      <c r="I80" s="60">
        <v>44501</v>
      </c>
      <c r="J80" s="61">
        <f>EFEITO!$J$80*EFEITO!$Y$80</f>
        <v>0</v>
      </c>
      <c r="K80" s="61">
        <f ca="1">EFEITO!$L$80*EFEITO!$Z$80</f>
        <v>6700.0460466670074</v>
      </c>
      <c r="L80" s="61">
        <f>EFEITO!$N$80*EFEITO!$AA$80</f>
        <v>12987.329633280222</v>
      </c>
      <c r="M80" s="61">
        <f>$J$80-EFEITO!$K$80*EFEITO!$Y$80</f>
        <v>0</v>
      </c>
      <c r="N80" s="61">
        <f ca="1">$K$80-EFEITO!$M$80*EFEITO!$Z$80</f>
        <v>0</v>
      </c>
      <c r="O80" s="61">
        <f>$L$80-EFEITO!$O$80*EFEITO!$AA$80</f>
        <v>0</v>
      </c>
      <c r="P80" s="45"/>
      <c r="Q80" s="45"/>
      <c r="R80" s="45"/>
      <c r="S80" s="45"/>
      <c r="T80" s="45"/>
      <c r="U80" s="45"/>
      <c r="V80" s="45"/>
      <c r="W80" s="45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41" t="s">
        <v>27</v>
      </c>
      <c r="B81" s="41" t="s">
        <v>34</v>
      </c>
      <c r="C81" s="41" t="s">
        <v>35</v>
      </c>
      <c r="D81" s="41" t="s">
        <v>40</v>
      </c>
      <c r="E81" s="41" t="s">
        <v>25</v>
      </c>
      <c r="F81" s="41" t="s">
        <v>25</v>
      </c>
      <c r="G81" s="41" t="s">
        <v>25</v>
      </c>
      <c r="H81" s="41" t="s">
        <v>37</v>
      </c>
      <c r="I81" s="60">
        <v>44501</v>
      </c>
      <c r="J81" s="61">
        <f>EFEITO!$J$81*EFEITO!$Y$81</f>
        <v>0</v>
      </c>
      <c r="K81" s="61">
        <f ca="1">EFEITO!$L$81*EFEITO!$Z$81</f>
        <v>763.78369090940839</v>
      </c>
      <c r="L81" s="61">
        <f>EFEITO!$N$81*EFEITO!$AA$81</f>
        <v>1480.5137894982743</v>
      </c>
      <c r="M81" s="61">
        <f>$J$81-EFEITO!$K$81*EFEITO!$Y$81</f>
        <v>0</v>
      </c>
      <c r="N81" s="61">
        <f ca="1">$K$81-EFEITO!$M$81*EFEITO!$Z$81</f>
        <v>0</v>
      </c>
      <c r="O81" s="61">
        <f>$L$81-EFEITO!$O$81*EFEITO!$AA$81</f>
        <v>0</v>
      </c>
      <c r="P81" s="45"/>
      <c r="Q81" s="45"/>
      <c r="R81" s="45"/>
      <c r="S81" s="45"/>
      <c r="T81" s="45"/>
      <c r="U81" s="45"/>
      <c r="V81" s="45"/>
      <c r="W81" s="45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41" t="s">
        <v>21</v>
      </c>
      <c r="B82" s="41" t="s">
        <v>34</v>
      </c>
      <c r="C82" s="41" t="s">
        <v>35</v>
      </c>
      <c r="D82" s="41" t="s">
        <v>40</v>
      </c>
      <c r="E82" s="41" t="s">
        <v>25</v>
      </c>
      <c r="F82" s="41" t="s">
        <v>25</v>
      </c>
      <c r="G82" s="41" t="s">
        <v>25</v>
      </c>
      <c r="H82" s="41" t="s">
        <v>37</v>
      </c>
      <c r="I82" s="60">
        <v>44531</v>
      </c>
      <c r="J82" s="61">
        <f>EFEITO!$J$82*EFEITO!$Y$82</f>
        <v>0</v>
      </c>
      <c r="K82" s="61">
        <f ca="1">EFEITO!$L$82*EFEITO!$Z$82</f>
        <v>7678.134338211602</v>
      </c>
      <c r="L82" s="61">
        <f>EFEITO!$N$82*EFEITO!$AA$82</f>
        <v>14883.25019326811</v>
      </c>
      <c r="M82" s="61">
        <f>$J$82-EFEITO!$K$82*EFEITO!$Y$82</f>
        <v>0</v>
      </c>
      <c r="N82" s="61">
        <f ca="1">$K$82-EFEITO!$M$82*EFEITO!$Z$82</f>
        <v>0</v>
      </c>
      <c r="O82" s="61">
        <f>$L$82-EFEITO!$O$82*EFEITO!$AA$82</f>
        <v>0</v>
      </c>
      <c r="P82" s="45"/>
      <c r="Q82" s="45"/>
      <c r="R82" s="45"/>
      <c r="S82" s="45"/>
      <c r="T82" s="45"/>
      <c r="U82" s="45"/>
      <c r="V82" s="45"/>
      <c r="W82" s="45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41" t="s">
        <v>27</v>
      </c>
      <c r="B83" s="41" t="s">
        <v>34</v>
      </c>
      <c r="C83" s="41" t="s">
        <v>35</v>
      </c>
      <c r="D83" s="41" t="s">
        <v>40</v>
      </c>
      <c r="E83" s="41" t="s">
        <v>25</v>
      </c>
      <c r="F83" s="41" t="s">
        <v>25</v>
      </c>
      <c r="G83" s="41" t="s">
        <v>25</v>
      </c>
      <c r="H83" s="41" t="s">
        <v>37</v>
      </c>
      <c r="I83" s="60">
        <v>44531</v>
      </c>
      <c r="J83" s="61">
        <f>EFEITO!$J$83*EFEITO!$Y$83</f>
        <v>0</v>
      </c>
      <c r="K83" s="61">
        <f ca="1">EFEITO!$L$83*EFEITO!$Z$83</f>
        <v>1120.6173837481331</v>
      </c>
      <c r="L83" s="61">
        <f>EFEITO!$N$83*EFEITO!$AA$83</f>
        <v>2172.1981094086668</v>
      </c>
      <c r="M83" s="61">
        <f>$J$83-EFEITO!$K$83*EFEITO!$Y$83</f>
        <v>0</v>
      </c>
      <c r="N83" s="61">
        <f ca="1">$K$83-EFEITO!$M$83*EFEITO!$Z$83</f>
        <v>0</v>
      </c>
      <c r="O83" s="61">
        <f>$L$83-EFEITO!$O$83*EFEITO!$AA$83</f>
        <v>0</v>
      </c>
      <c r="P83" s="45"/>
      <c r="Q83" s="45"/>
      <c r="R83" s="45"/>
      <c r="S83" s="45"/>
      <c r="T83" s="45"/>
      <c r="U83" s="45"/>
      <c r="V83" s="45"/>
      <c r="W83" s="45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41" t="s">
        <v>21</v>
      </c>
      <c r="B84" s="41" t="s">
        <v>34</v>
      </c>
      <c r="C84" s="41" t="s">
        <v>35</v>
      </c>
      <c r="D84" s="41" t="s">
        <v>40</v>
      </c>
      <c r="E84" s="41" t="s">
        <v>25</v>
      </c>
      <c r="F84" s="41" t="s">
        <v>25</v>
      </c>
      <c r="G84" s="41" t="s">
        <v>25</v>
      </c>
      <c r="H84" s="41" t="s">
        <v>37</v>
      </c>
      <c r="I84" s="60">
        <v>44562</v>
      </c>
      <c r="J84" s="61">
        <f>EFEITO!$J$84*EFEITO!$Y$84</f>
        <v>0</v>
      </c>
      <c r="K84" s="61">
        <f ca="1">EFEITO!$L$84*EFEITO!$Z$84</f>
        <v>8370.1229221342437</v>
      </c>
      <c r="L84" s="61">
        <f>EFEITO!$N$84*EFEITO!$AA$84</f>
        <v>16224.596771974213</v>
      </c>
      <c r="M84" s="61">
        <f>$J$84-EFEITO!$K$84*EFEITO!$Y$84</f>
        <v>0</v>
      </c>
      <c r="N84" s="61">
        <f ca="1">$K$84-EFEITO!$M$84*EFEITO!$Z$84</f>
        <v>0</v>
      </c>
      <c r="O84" s="61">
        <f>$L$84-EFEITO!$O$84*EFEITO!$AA$84</f>
        <v>0</v>
      </c>
      <c r="P84" s="45"/>
      <c r="Q84" s="45"/>
      <c r="R84" s="45"/>
      <c r="S84" s="45"/>
      <c r="T84" s="45"/>
      <c r="U84" s="45"/>
      <c r="V84" s="45"/>
      <c r="W84" s="45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41" t="s">
        <v>27</v>
      </c>
      <c r="B85" s="41" t="s">
        <v>34</v>
      </c>
      <c r="C85" s="41" t="s">
        <v>35</v>
      </c>
      <c r="D85" s="41" t="s">
        <v>40</v>
      </c>
      <c r="E85" s="41" t="s">
        <v>25</v>
      </c>
      <c r="F85" s="41" t="s">
        <v>25</v>
      </c>
      <c r="G85" s="41" t="s">
        <v>25</v>
      </c>
      <c r="H85" s="41" t="s">
        <v>37</v>
      </c>
      <c r="I85" s="60">
        <v>44562</v>
      </c>
      <c r="J85" s="61">
        <f>EFEITO!$J$85*EFEITO!$Y$85</f>
        <v>0</v>
      </c>
      <c r="K85" s="61">
        <f ca="1">EFEITO!$L$85*EFEITO!$Z$85</f>
        <v>1765.969805869169</v>
      </c>
      <c r="L85" s="61">
        <f>EFEITO!$N$85*EFEITO!$AA$85</f>
        <v>3423.1454278813653</v>
      </c>
      <c r="M85" s="61">
        <f>$J$85-EFEITO!$K$85*EFEITO!$Y$85</f>
        <v>0</v>
      </c>
      <c r="N85" s="61">
        <f ca="1">$K$85-EFEITO!$M$85*EFEITO!$Z$85</f>
        <v>0</v>
      </c>
      <c r="O85" s="61">
        <f>$L$85-EFEITO!$O$85*EFEITO!$AA$85</f>
        <v>0</v>
      </c>
      <c r="P85" s="45"/>
      <c r="Q85" s="45"/>
      <c r="R85" s="45"/>
      <c r="S85" s="45"/>
      <c r="T85" s="45"/>
      <c r="U85" s="45"/>
      <c r="V85" s="45"/>
      <c r="W85" s="45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41" t="s">
        <v>21</v>
      </c>
      <c r="B86" s="41" t="s">
        <v>34</v>
      </c>
      <c r="C86" s="41" t="s">
        <v>35</v>
      </c>
      <c r="D86" s="41" t="s">
        <v>40</v>
      </c>
      <c r="E86" s="41" t="s">
        <v>25</v>
      </c>
      <c r="F86" s="41" t="s">
        <v>25</v>
      </c>
      <c r="G86" s="41" t="s">
        <v>25</v>
      </c>
      <c r="H86" s="41" t="s">
        <v>37</v>
      </c>
      <c r="I86" s="60">
        <v>44593</v>
      </c>
      <c r="J86" s="61">
        <f>EFEITO!$J$86*EFEITO!$Y$86</f>
        <v>0</v>
      </c>
      <c r="K86" s="61">
        <f ca="1">EFEITO!$L$86*EFEITO!$Z$86</f>
        <v>7214.7880978902285</v>
      </c>
      <c r="L86" s="61">
        <f>EFEITO!$N$86*EFEITO!$AA$86</f>
        <v>13985.102581224715</v>
      </c>
      <c r="M86" s="61">
        <f>$J$86-EFEITO!$K$86*EFEITO!$Y$86</f>
        <v>0</v>
      </c>
      <c r="N86" s="61">
        <f ca="1">$K$86-EFEITO!$M$86*EFEITO!$Z$86</f>
        <v>0</v>
      </c>
      <c r="O86" s="61">
        <f>$L$86-EFEITO!$O$86*EFEITO!$AA$86</f>
        <v>0</v>
      </c>
      <c r="P86" s="45"/>
      <c r="Q86" s="45"/>
      <c r="R86" s="45"/>
      <c r="S86" s="45"/>
      <c r="T86" s="45"/>
      <c r="U86" s="45"/>
      <c r="V86" s="45"/>
      <c r="W86" s="45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41" t="s">
        <v>27</v>
      </c>
      <c r="B87" s="41" t="s">
        <v>34</v>
      </c>
      <c r="C87" s="41" t="s">
        <v>35</v>
      </c>
      <c r="D87" s="41" t="s">
        <v>40</v>
      </c>
      <c r="E87" s="41" t="s">
        <v>25</v>
      </c>
      <c r="F87" s="41" t="s">
        <v>25</v>
      </c>
      <c r="G87" s="41" t="s">
        <v>25</v>
      </c>
      <c r="H87" s="41" t="s">
        <v>37</v>
      </c>
      <c r="I87" s="60">
        <v>44593</v>
      </c>
      <c r="J87" s="61">
        <f>EFEITO!$J$87*EFEITO!$Y$87</f>
        <v>0</v>
      </c>
      <c r="K87" s="61">
        <f ca="1">EFEITO!$L$87*EFEITO!$Z$87</f>
        <v>1521.7466109485797</v>
      </c>
      <c r="L87" s="61">
        <f>EFEITO!$N$87*EFEITO!$AA$87</f>
        <v>2949.7446311652911</v>
      </c>
      <c r="M87" s="61">
        <f>$J$87-EFEITO!$K$87*EFEITO!$Y$87</f>
        <v>0</v>
      </c>
      <c r="N87" s="61">
        <f ca="1">$K$87-EFEITO!$M$87*EFEITO!$Z$87</f>
        <v>0</v>
      </c>
      <c r="O87" s="61">
        <f>$L$87-EFEITO!$O$87*EFEITO!$AA$87</f>
        <v>0</v>
      </c>
      <c r="P87" s="45"/>
      <c r="Q87" s="45"/>
      <c r="R87" s="45"/>
      <c r="S87" s="45"/>
      <c r="T87" s="45"/>
      <c r="U87" s="45"/>
      <c r="V87" s="45"/>
      <c r="W87" s="45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41" t="s">
        <v>21</v>
      </c>
      <c r="B88" s="41" t="s">
        <v>34</v>
      </c>
      <c r="C88" s="41" t="s">
        <v>35</v>
      </c>
      <c r="D88" s="41" t="s">
        <v>40</v>
      </c>
      <c r="E88" s="41" t="s">
        <v>25</v>
      </c>
      <c r="F88" s="41" t="s">
        <v>25</v>
      </c>
      <c r="G88" s="41" t="s">
        <v>25</v>
      </c>
      <c r="H88" s="41" t="s">
        <v>37</v>
      </c>
      <c r="I88" s="60">
        <v>44621</v>
      </c>
      <c r="J88" s="61">
        <f>EFEITO!$J$88*EFEITO!$Y$88</f>
        <v>0</v>
      </c>
      <c r="K88" s="61">
        <f ca="1">EFEITO!$L$88*EFEITO!$Z$88</f>
        <v>7155.905638933059</v>
      </c>
      <c r="L88" s="61">
        <f>EFEITO!$N$88*EFEITO!$AA$88</f>
        <v>13870.965171008667</v>
      </c>
      <c r="M88" s="61">
        <f>$J$88-EFEITO!$K$88*EFEITO!$Y$88</f>
        <v>0</v>
      </c>
      <c r="N88" s="61">
        <f ca="1">$K$88-EFEITO!$M$88*EFEITO!$Z$88</f>
        <v>0</v>
      </c>
      <c r="O88" s="61">
        <f>$L$88-EFEITO!$O$88*EFEITO!$AA$88</f>
        <v>0</v>
      </c>
      <c r="P88" s="45"/>
      <c r="Q88" s="45"/>
      <c r="R88" s="45"/>
      <c r="S88" s="45"/>
      <c r="T88" s="45"/>
      <c r="U88" s="45"/>
      <c r="V88" s="45"/>
      <c r="W88" s="45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41" t="s">
        <v>27</v>
      </c>
      <c r="B89" s="41" t="s">
        <v>34</v>
      </c>
      <c r="C89" s="41" t="s">
        <v>35</v>
      </c>
      <c r="D89" s="41" t="s">
        <v>40</v>
      </c>
      <c r="E89" s="41" t="s">
        <v>25</v>
      </c>
      <c r="F89" s="41" t="s">
        <v>25</v>
      </c>
      <c r="G89" s="41" t="s">
        <v>25</v>
      </c>
      <c r="H89" s="41" t="s">
        <v>37</v>
      </c>
      <c r="I89" s="60">
        <v>44621</v>
      </c>
      <c r="J89" s="61">
        <f>EFEITO!$J$89*EFEITO!$Y$89</f>
        <v>0</v>
      </c>
      <c r="K89" s="61">
        <f ca="1">EFEITO!$L$89*EFEITO!$Z$89</f>
        <v>1406.922876198832</v>
      </c>
      <c r="L89" s="61">
        <f>EFEITO!$N$89*EFEITO!$AA$89</f>
        <v>2727.1709827854952</v>
      </c>
      <c r="M89" s="61">
        <f>$J$89-EFEITO!$K$89*EFEITO!$Y$89</f>
        <v>0</v>
      </c>
      <c r="N89" s="61">
        <f ca="1">$K$89-EFEITO!$M$89*EFEITO!$Z$89</f>
        <v>0</v>
      </c>
      <c r="O89" s="61">
        <f>$L$89-EFEITO!$O$89*EFEITO!$AA$89</f>
        <v>0</v>
      </c>
      <c r="P89" s="45"/>
      <c r="Q89" s="45"/>
      <c r="R89" s="45"/>
      <c r="S89" s="45"/>
      <c r="T89" s="45"/>
      <c r="U89" s="45"/>
      <c r="V89" s="45"/>
      <c r="W89" s="45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41" t="s">
        <v>21</v>
      </c>
      <c r="B90" s="41" t="s">
        <v>34</v>
      </c>
      <c r="C90" s="41" t="s">
        <v>35</v>
      </c>
      <c r="D90" s="41" t="s">
        <v>40</v>
      </c>
      <c r="E90" s="41" t="s">
        <v>25</v>
      </c>
      <c r="F90" s="41" t="s">
        <v>25</v>
      </c>
      <c r="G90" s="41" t="s">
        <v>25</v>
      </c>
      <c r="H90" s="41" t="s">
        <v>37</v>
      </c>
      <c r="I90" s="60">
        <v>44652</v>
      </c>
      <c r="J90" s="61">
        <f>EFEITO!$J$90*EFEITO!$Y$90</f>
        <v>0</v>
      </c>
      <c r="K90" s="61">
        <f ca="1">EFEITO!$L$90*EFEITO!$Z$90</f>
        <v>5922.3711798688637</v>
      </c>
      <c r="L90" s="61">
        <f>EFEITO!$N$90*EFEITO!$AA$90</f>
        <v>11479.889270590616</v>
      </c>
      <c r="M90" s="61">
        <f>$J$90-EFEITO!$K$90*EFEITO!$Y$90</f>
        <v>0</v>
      </c>
      <c r="N90" s="61">
        <f ca="1">$K$90-EFEITO!$M$90*EFEITO!$Z$90</f>
        <v>0</v>
      </c>
      <c r="O90" s="61">
        <f>$L$90-EFEITO!$O$90*EFEITO!$AA$90</f>
        <v>0</v>
      </c>
      <c r="P90" s="45"/>
      <c r="Q90" s="45"/>
      <c r="R90" s="45"/>
      <c r="S90" s="45"/>
      <c r="T90" s="45"/>
      <c r="U90" s="45"/>
      <c r="V90" s="45"/>
      <c r="W90" s="45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41" t="s">
        <v>27</v>
      </c>
      <c r="B91" s="41" t="s">
        <v>34</v>
      </c>
      <c r="C91" s="41" t="s">
        <v>35</v>
      </c>
      <c r="D91" s="41" t="s">
        <v>40</v>
      </c>
      <c r="E91" s="41" t="s">
        <v>25</v>
      </c>
      <c r="F91" s="41" t="s">
        <v>25</v>
      </c>
      <c r="G91" s="41" t="s">
        <v>25</v>
      </c>
      <c r="H91" s="41" t="s">
        <v>37</v>
      </c>
      <c r="I91" s="60">
        <v>44652</v>
      </c>
      <c r="J91" s="61">
        <f>EFEITO!$J$91*EFEITO!$Y$91</f>
        <v>0</v>
      </c>
      <c r="K91" s="61">
        <f ca="1">EFEITO!$L$91*EFEITO!$Z$91</f>
        <v>629.95355738495925</v>
      </c>
      <c r="L91" s="61">
        <f>EFEITO!$N$91*EFEITO!$AA$91</f>
        <v>1221.09825013604</v>
      </c>
      <c r="M91" s="61">
        <f>$J$91-EFEITO!$K$91*EFEITO!$Y$91</f>
        <v>0</v>
      </c>
      <c r="N91" s="61">
        <f ca="1">$K$91-EFEITO!$M$91*EFEITO!$Z$91</f>
        <v>0</v>
      </c>
      <c r="O91" s="61">
        <f>$L$91-EFEITO!$O$91*EFEITO!$AA$91</f>
        <v>0</v>
      </c>
      <c r="P91" s="45"/>
      <c r="Q91" s="45"/>
      <c r="R91" s="45"/>
      <c r="S91" s="45"/>
      <c r="T91" s="45"/>
      <c r="U91" s="45"/>
      <c r="V91" s="45"/>
      <c r="W91" s="45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41" t="s">
        <v>21</v>
      </c>
      <c r="B92" s="41" t="s">
        <v>34</v>
      </c>
      <c r="C92" s="41" t="s">
        <v>35</v>
      </c>
      <c r="D92" s="41" t="s">
        <v>40</v>
      </c>
      <c r="E92" s="41" t="s">
        <v>25</v>
      </c>
      <c r="F92" s="41" t="s">
        <v>25</v>
      </c>
      <c r="G92" s="41" t="s">
        <v>25</v>
      </c>
      <c r="H92" s="41" t="s">
        <v>37</v>
      </c>
      <c r="I92" s="60">
        <v>44682</v>
      </c>
      <c r="J92" s="61">
        <f>EFEITO!$J$92*EFEITO!$Y$92</f>
        <v>0</v>
      </c>
      <c r="K92" s="61">
        <f ca="1">EFEITO!$L$92*EFEITO!$Z$92</f>
        <v>5591.8191494442399</v>
      </c>
      <c r="L92" s="61">
        <f>EFEITO!$N$92*EFEITO!$AA$92</f>
        <v>10839.1491696759</v>
      </c>
      <c r="M92" s="61">
        <f>$J$92-EFEITO!$K$92*EFEITO!$Y$92</f>
        <v>0</v>
      </c>
      <c r="N92" s="61">
        <f ca="1">$K$92-EFEITO!$M$92*EFEITO!$Z$92</f>
        <v>0</v>
      </c>
      <c r="O92" s="61">
        <f>$L$92-EFEITO!$O$92*EFEITO!$AA$92</f>
        <v>0</v>
      </c>
      <c r="P92" s="45"/>
      <c r="Q92" s="45"/>
      <c r="R92" s="45"/>
      <c r="S92" s="45"/>
      <c r="T92" s="45"/>
      <c r="U92" s="45"/>
      <c r="V92" s="45"/>
      <c r="W92" s="45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41" t="s">
        <v>27</v>
      </c>
      <c r="B93" s="41" t="s">
        <v>34</v>
      </c>
      <c r="C93" s="41" t="s">
        <v>35</v>
      </c>
      <c r="D93" s="41" t="s">
        <v>40</v>
      </c>
      <c r="E93" s="41" t="s">
        <v>25</v>
      </c>
      <c r="F93" s="41" t="s">
        <v>25</v>
      </c>
      <c r="G93" s="41" t="s">
        <v>25</v>
      </c>
      <c r="H93" s="41" t="s">
        <v>37</v>
      </c>
      <c r="I93" s="60">
        <v>44682</v>
      </c>
      <c r="J93" s="61">
        <f>EFEITO!$J$93*EFEITO!$Y$93</f>
        <v>0</v>
      </c>
      <c r="K93" s="61">
        <f ca="1">EFEITO!$L$93*EFEITO!$Z$93</f>
        <v>383.05235989708666</v>
      </c>
      <c r="L93" s="61">
        <f>EFEITO!$N$93*EFEITO!$AA$93</f>
        <v>742.50642908105431</v>
      </c>
      <c r="M93" s="61">
        <f>$J$93-EFEITO!$K$93*EFEITO!$Y$93</f>
        <v>0</v>
      </c>
      <c r="N93" s="61">
        <f ca="1">$K$93-EFEITO!$M$93*EFEITO!$Z$93</f>
        <v>0</v>
      </c>
      <c r="O93" s="61">
        <f>$L$93-EFEITO!$O$93*EFEITO!$AA$93</f>
        <v>0</v>
      </c>
      <c r="P93" s="45"/>
      <c r="Q93" s="45"/>
      <c r="R93" s="45"/>
      <c r="S93" s="45"/>
      <c r="T93" s="45"/>
      <c r="U93" s="45"/>
      <c r="V93" s="45"/>
      <c r="W93" s="45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41" t="s">
        <v>21</v>
      </c>
      <c r="B94" s="41" t="s">
        <v>34</v>
      </c>
      <c r="C94" s="41" t="s">
        <v>35</v>
      </c>
      <c r="D94" s="41" t="s">
        <v>40</v>
      </c>
      <c r="E94" s="41" t="s">
        <v>25</v>
      </c>
      <c r="F94" s="41" t="s">
        <v>25</v>
      </c>
      <c r="G94" s="41" t="s">
        <v>25</v>
      </c>
      <c r="H94" s="41" t="s">
        <v>37</v>
      </c>
      <c r="I94" s="60">
        <v>44713</v>
      </c>
      <c r="J94" s="61">
        <f>EFEITO!$J$94*EFEITO!$Y$94</f>
        <v>0</v>
      </c>
      <c r="K94" s="61">
        <f ca="1">EFEITO!$L$94*EFEITO!$Z$94</f>
        <v>4935.7491174668939</v>
      </c>
      <c r="L94" s="61">
        <f>EFEITO!$N$94*EFEITO!$AA$94</f>
        <v>9567.4268996408864</v>
      </c>
      <c r="M94" s="61">
        <f>$J$94-EFEITO!$K$94*EFEITO!$Y$94</f>
        <v>0</v>
      </c>
      <c r="N94" s="61">
        <f ca="1">$K$94-EFEITO!$M$94*EFEITO!$Z$94</f>
        <v>0</v>
      </c>
      <c r="O94" s="61">
        <f>$L$94-EFEITO!$O$94*EFEITO!$AA$94</f>
        <v>0</v>
      </c>
      <c r="P94" s="45"/>
      <c r="Q94" s="45"/>
      <c r="R94" s="45"/>
      <c r="S94" s="45"/>
      <c r="T94" s="45"/>
      <c r="U94" s="45"/>
      <c r="V94" s="45"/>
      <c r="W94" s="45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41" t="s">
        <v>27</v>
      </c>
      <c r="B95" s="41" t="s">
        <v>34</v>
      </c>
      <c r="C95" s="41" t="s">
        <v>35</v>
      </c>
      <c r="D95" s="41" t="s">
        <v>40</v>
      </c>
      <c r="E95" s="41" t="s">
        <v>25</v>
      </c>
      <c r="F95" s="41" t="s">
        <v>25</v>
      </c>
      <c r="G95" s="41" t="s">
        <v>25</v>
      </c>
      <c r="H95" s="41" t="s">
        <v>37</v>
      </c>
      <c r="I95" s="60">
        <v>44713</v>
      </c>
      <c r="J95" s="61">
        <f>EFEITO!$J$95*EFEITO!$Y$95</f>
        <v>0</v>
      </c>
      <c r="K95" s="61">
        <f ca="1">EFEITO!$L$95*EFEITO!$Z$95</f>
        <v>716.6071689452458</v>
      </c>
      <c r="L95" s="61">
        <f>EFEITO!$N$95*EFEITO!$AA$95</f>
        <v>1389.0670983214195</v>
      </c>
      <c r="M95" s="61">
        <f>$J$95-EFEITO!$K$95*EFEITO!$Y$95</f>
        <v>0</v>
      </c>
      <c r="N95" s="61">
        <f ca="1">$K$95-EFEITO!$M$95*EFEITO!$Z$95</f>
        <v>0</v>
      </c>
      <c r="O95" s="61">
        <f>$L$95-EFEITO!$O$95*EFEITO!$AA$95</f>
        <v>0</v>
      </c>
      <c r="P95" s="45"/>
      <c r="Q95" s="45"/>
      <c r="R95" s="45"/>
      <c r="S95" s="45"/>
      <c r="T95" s="45"/>
      <c r="U95" s="45"/>
      <c r="V95" s="45"/>
      <c r="W95" s="45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41" t="s">
        <v>21</v>
      </c>
      <c r="B96" s="41" t="s">
        <v>34</v>
      </c>
      <c r="C96" s="41" t="s">
        <v>35</v>
      </c>
      <c r="D96" s="41" t="s">
        <v>40</v>
      </c>
      <c r="E96" s="41" t="s">
        <v>25</v>
      </c>
      <c r="F96" s="41" t="s">
        <v>25</v>
      </c>
      <c r="G96" s="41" t="s">
        <v>25</v>
      </c>
      <c r="H96" s="41" t="s">
        <v>37</v>
      </c>
      <c r="I96" s="60">
        <v>44743</v>
      </c>
      <c r="J96" s="61">
        <f>EFEITO!$J$96*EFEITO!$Y$96</f>
        <v>0</v>
      </c>
      <c r="K96" s="61">
        <f ca="1">EFEITO!$L$96*EFEITO!$Z$96</f>
        <v>5031.36906799396</v>
      </c>
      <c r="L96" s="61">
        <f>EFEITO!$N$96*EFEITO!$AA$96</f>
        <v>9752.7760462532024</v>
      </c>
      <c r="M96" s="61">
        <f>$J$96-EFEITO!$K$96*EFEITO!$Y$96</f>
        <v>0</v>
      </c>
      <c r="N96" s="61">
        <f ca="1">$K$96-EFEITO!$M$96*EFEITO!$Z$96</f>
        <v>0</v>
      </c>
      <c r="O96" s="61">
        <f>$L$96-EFEITO!$O$96*EFEITO!$AA$96</f>
        <v>0</v>
      </c>
      <c r="P96" s="45"/>
      <c r="Q96" s="45"/>
      <c r="R96" s="45"/>
      <c r="S96" s="45"/>
      <c r="T96" s="45"/>
      <c r="U96" s="45"/>
      <c r="V96" s="45"/>
      <c r="W96" s="45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41" t="s">
        <v>27</v>
      </c>
      <c r="B97" s="41" t="s">
        <v>34</v>
      </c>
      <c r="C97" s="41" t="s">
        <v>35</v>
      </c>
      <c r="D97" s="41" t="s">
        <v>40</v>
      </c>
      <c r="E97" s="41" t="s">
        <v>25</v>
      </c>
      <c r="F97" s="41" t="s">
        <v>25</v>
      </c>
      <c r="G97" s="41" t="s">
        <v>25</v>
      </c>
      <c r="H97" s="41" t="s">
        <v>37</v>
      </c>
      <c r="I97" s="60">
        <v>44743</v>
      </c>
      <c r="J97" s="61">
        <f>EFEITO!$J$97*EFEITO!$Y$97</f>
        <v>0</v>
      </c>
      <c r="K97" s="61">
        <f ca="1">EFEITO!$L$97*EFEITO!$Z$97</f>
        <v>152.49915717175094</v>
      </c>
      <c r="L97" s="61">
        <f>EFEITO!$N$97*EFEITO!$AA$97</f>
        <v>295.60346439293255</v>
      </c>
      <c r="M97" s="61">
        <f>$J$97-EFEITO!$K$97*EFEITO!$Y$97</f>
        <v>0</v>
      </c>
      <c r="N97" s="61">
        <f ca="1">$K$97-EFEITO!$M$97*EFEITO!$Z$97</f>
        <v>0</v>
      </c>
      <c r="O97" s="61">
        <f>$L$97-EFEITO!$O$97*EFEITO!$AA$97</f>
        <v>0</v>
      </c>
      <c r="P97" s="45"/>
      <c r="Q97" s="45"/>
      <c r="R97" s="45"/>
      <c r="S97" s="45"/>
      <c r="T97" s="45"/>
      <c r="U97" s="45"/>
      <c r="V97" s="45"/>
      <c r="W97" s="45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41" t="s">
        <v>21</v>
      </c>
      <c r="B98" s="41" t="s">
        <v>34</v>
      </c>
      <c r="C98" s="41" t="s">
        <v>35</v>
      </c>
      <c r="D98" s="41" t="s">
        <v>40</v>
      </c>
      <c r="E98" s="41" t="s">
        <v>25</v>
      </c>
      <c r="F98" s="41" t="s">
        <v>25</v>
      </c>
      <c r="G98" s="41" t="s">
        <v>25</v>
      </c>
      <c r="H98" s="41" t="s">
        <v>25</v>
      </c>
      <c r="I98" s="60">
        <v>44409</v>
      </c>
      <c r="J98" s="61">
        <f ca="1">EFEITO!$J$98*EFEITO!$Y$98</f>
        <v>8322.6482322360444</v>
      </c>
      <c r="K98" s="61">
        <f>EFEITO!$L$98*EFEITO!$Z$98</f>
        <v>0</v>
      </c>
      <c r="L98" s="61">
        <f>EFEITO!$N$98*EFEITO!$AA$98</f>
        <v>0</v>
      </c>
      <c r="M98" s="61">
        <f ca="1">$J$98-EFEITO!$K$98*EFEITO!$Y$98</f>
        <v>0</v>
      </c>
      <c r="N98" s="61">
        <f>$K$98-EFEITO!$M$98*EFEITO!$Z$98</f>
        <v>0</v>
      </c>
      <c r="O98" s="61">
        <f>$L$98-EFEITO!$O$98*EFEITO!$AA$98</f>
        <v>0</v>
      </c>
      <c r="P98" s="45"/>
      <c r="Q98" s="45"/>
      <c r="R98" s="45"/>
      <c r="S98" s="45"/>
      <c r="T98" s="45"/>
      <c r="U98" s="45"/>
      <c r="V98" s="45"/>
      <c r="W98" s="45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41" t="s">
        <v>27</v>
      </c>
      <c r="B99" s="41" t="s">
        <v>34</v>
      </c>
      <c r="C99" s="41" t="s">
        <v>35</v>
      </c>
      <c r="D99" s="41" t="s">
        <v>40</v>
      </c>
      <c r="E99" s="41" t="s">
        <v>25</v>
      </c>
      <c r="F99" s="41" t="s">
        <v>25</v>
      </c>
      <c r="G99" s="41" t="s">
        <v>25</v>
      </c>
      <c r="H99" s="41" t="s">
        <v>25</v>
      </c>
      <c r="I99" s="60">
        <v>44409</v>
      </c>
      <c r="J99" s="61">
        <f ca="1">EFEITO!$J$99*EFEITO!$Y$99</f>
        <v>2364.3887023397856</v>
      </c>
      <c r="K99" s="61">
        <f>EFEITO!$L$99*EFEITO!$Z$99</f>
        <v>0</v>
      </c>
      <c r="L99" s="61">
        <f>EFEITO!$N$99*EFEITO!$AA$99</f>
        <v>0</v>
      </c>
      <c r="M99" s="61">
        <f ca="1">$J$99-EFEITO!$K$99*EFEITO!$Y$99</f>
        <v>0</v>
      </c>
      <c r="N99" s="61">
        <f>$K$99-EFEITO!$M$99*EFEITO!$Z$99</f>
        <v>0</v>
      </c>
      <c r="O99" s="61">
        <f>$L$99-EFEITO!$O$99*EFEITO!$AA$99</f>
        <v>0</v>
      </c>
      <c r="P99" s="45"/>
      <c r="Q99" s="45"/>
      <c r="R99" s="45"/>
      <c r="S99" s="45"/>
      <c r="T99" s="45"/>
      <c r="U99" s="45"/>
      <c r="V99" s="45"/>
      <c r="W99" s="45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41" t="s">
        <v>21</v>
      </c>
      <c r="B100" s="41" t="s">
        <v>34</v>
      </c>
      <c r="C100" s="41" t="s">
        <v>35</v>
      </c>
      <c r="D100" s="41" t="s">
        <v>40</v>
      </c>
      <c r="E100" s="41" t="s">
        <v>25</v>
      </c>
      <c r="F100" s="41" t="s">
        <v>25</v>
      </c>
      <c r="G100" s="41" t="s">
        <v>25</v>
      </c>
      <c r="H100" s="41" t="s">
        <v>25</v>
      </c>
      <c r="I100" s="60">
        <v>44440</v>
      </c>
      <c r="J100" s="61">
        <f ca="1">EFEITO!$J$100*EFEITO!$Y$100</f>
        <v>8253.1352043872557</v>
      </c>
      <c r="K100" s="61">
        <f>EFEITO!$L$100*EFEITO!$Z$100</f>
        <v>0</v>
      </c>
      <c r="L100" s="61">
        <f>EFEITO!$N$100*EFEITO!$AA$100</f>
        <v>0</v>
      </c>
      <c r="M100" s="61">
        <f ca="1">$J$100-EFEITO!$K$100*EFEITO!$Y$100</f>
        <v>0</v>
      </c>
      <c r="N100" s="61">
        <f>$K$100-EFEITO!$M$100*EFEITO!$Z$100</f>
        <v>0</v>
      </c>
      <c r="O100" s="61">
        <f>$L$100-EFEITO!$O$100*EFEITO!$AA$100</f>
        <v>0</v>
      </c>
      <c r="P100" s="45"/>
      <c r="Q100" s="45"/>
      <c r="R100" s="45"/>
      <c r="S100" s="45"/>
      <c r="T100" s="45"/>
      <c r="U100" s="45"/>
      <c r="V100" s="45"/>
      <c r="W100" s="45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41" t="s">
        <v>27</v>
      </c>
      <c r="B101" s="41" t="s">
        <v>34</v>
      </c>
      <c r="C101" s="41" t="s">
        <v>35</v>
      </c>
      <c r="D101" s="41" t="s">
        <v>40</v>
      </c>
      <c r="E101" s="41" t="s">
        <v>25</v>
      </c>
      <c r="F101" s="41" t="s">
        <v>25</v>
      </c>
      <c r="G101" s="41" t="s">
        <v>25</v>
      </c>
      <c r="H101" s="41" t="s">
        <v>25</v>
      </c>
      <c r="I101" s="60">
        <v>44440</v>
      </c>
      <c r="J101" s="61">
        <f ca="1">EFEITO!$J$101*EFEITO!$Y$101</f>
        <v>2364.3887023397856</v>
      </c>
      <c r="K101" s="61">
        <f>EFEITO!$L$101*EFEITO!$Z$101</f>
        <v>0</v>
      </c>
      <c r="L101" s="61">
        <f>EFEITO!$N$101*EFEITO!$AA$101</f>
        <v>0</v>
      </c>
      <c r="M101" s="61">
        <f ca="1">$J$101-EFEITO!$K$101*EFEITO!$Y$101</f>
        <v>0</v>
      </c>
      <c r="N101" s="61">
        <f>$K$101-EFEITO!$M$101*EFEITO!$Z$101</f>
        <v>0</v>
      </c>
      <c r="O101" s="61">
        <f>$L$101-EFEITO!$O$101*EFEITO!$AA$101</f>
        <v>0</v>
      </c>
      <c r="P101" s="45"/>
      <c r="Q101" s="45"/>
      <c r="R101" s="45"/>
      <c r="S101" s="45"/>
      <c r="T101" s="45"/>
      <c r="U101" s="45"/>
      <c r="V101" s="45"/>
      <c r="W101" s="45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41" t="s">
        <v>21</v>
      </c>
      <c r="B102" s="41" t="s">
        <v>34</v>
      </c>
      <c r="C102" s="41" t="s">
        <v>35</v>
      </c>
      <c r="D102" s="41" t="s">
        <v>40</v>
      </c>
      <c r="E102" s="41" t="s">
        <v>25</v>
      </c>
      <c r="F102" s="41" t="s">
        <v>25</v>
      </c>
      <c r="G102" s="41" t="s">
        <v>25</v>
      </c>
      <c r="H102" s="41" t="s">
        <v>25</v>
      </c>
      <c r="I102" s="60">
        <v>44470</v>
      </c>
      <c r="J102" s="61">
        <f ca="1">EFEITO!$J$102*EFEITO!$Y$102</f>
        <v>8308.6983388922417</v>
      </c>
      <c r="K102" s="61">
        <f>EFEITO!$L$102*EFEITO!$Z$102</f>
        <v>0</v>
      </c>
      <c r="L102" s="61">
        <f>EFEITO!$N$102*EFEITO!$AA$102</f>
        <v>0</v>
      </c>
      <c r="M102" s="61">
        <f ca="1">$J$102-EFEITO!$K$102*EFEITO!$Y$102</f>
        <v>0</v>
      </c>
      <c r="N102" s="61">
        <f>$K$102-EFEITO!$M$102*EFEITO!$Z$102</f>
        <v>0</v>
      </c>
      <c r="O102" s="61">
        <f>$L$102-EFEITO!$O$102*EFEITO!$AA$102</f>
        <v>0</v>
      </c>
      <c r="P102" s="45"/>
      <c r="Q102" s="45"/>
      <c r="R102" s="45"/>
      <c r="S102" s="45"/>
      <c r="T102" s="45"/>
      <c r="U102" s="45"/>
      <c r="V102" s="45"/>
      <c r="W102" s="45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41" t="s">
        <v>27</v>
      </c>
      <c r="B103" s="41" t="s">
        <v>34</v>
      </c>
      <c r="C103" s="41" t="s">
        <v>35</v>
      </c>
      <c r="D103" s="41" t="s">
        <v>40</v>
      </c>
      <c r="E103" s="41" t="s">
        <v>25</v>
      </c>
      <c r="F103" s="41" t="s">
        <v>25</v>
      </c>
      <c r="G103" s="41" t="s">
        <v>25</v>
      </c>
      <c r="H103" s="41" t="s">
        <v>25</v>
      </c>
      <c r="I103" s="60">
        <v>44470</v>
      </c>
      <c r="J103" s="61">
        <f ca="1">EFEITO!$J$103*EFEITO!$Y$103</f>
        <v>2364.3887023397856</v>
      </c>
      <c r="K103" s="61">
        <f>EFEITO!$L$103*EFEITO!$Z$103</f>
        <v>0</v>
      </c>
      <c r="L103" s="61">
        <f>EFEITO!$N$103*EFEITO!$AA$103</f>
        <v>0</v>
      </c>
      <c r="M103" s="61">
        <f ca="1">$J$103-EFEITO!$K$103*EFEITO!$Y$103</f>
        <v>0</v>
      </c>
      <c r="N103" s="61">
        <f>$K$103-EFEITO!$M$103*EFEITO!$Z$103</f>
        <v>0</v>
      </c>
      <c r="O103" s="61">
        <f>$L$103-EFEITO!$O$103*EFEITO!$AA$103</f>
        <v>0</v>
      </c>
      <c r="P103" s="45"/>
      <c r="Q103" s="45"/>
      <c r="R103" s="45"/>
      <c r="S103" s="45"/>
      <c r="T103" s="45"/>
      <c r="U103" s="45"/>
      <c r="V103" s="45"/>
      <c r="W103" s="45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41" t="s">
        <v>21</v>
      </c>
      <c r="B104" s="41" t="s">
        <v>34</v>
      </c>
      <c r="C104" s="41" t="s">
        <v>35</v>
      </c>
      <c r="D104" s="41" t="s">
        <v>40</v>
      </c>
      <c r="E104" s="41" t="s">
        <v>25</v>
      </c>
      <c r="F104" s="41" t="s">
        <v>25</v>
      </c>
      <c r="G104" s="41" t="s">
        <v>25</v>
      </c>
      <c r="H104" s="41" t="s">
        <v>25</v>
      </c>
      <c r="I104" s="60">
        <v>44501</v>
      </c>
      <c r="J104" s="61">
        <f ca="1">EFEITO!$J$104*EFEITO!$Y$104</f>
        <v>8653.6626505636159</v>
      </c>
      <c r="K104" s="61">
        <f>EFEITO!$L$104*EFEITO!$Z$104</f>
        <v>0</v>
      </c>
      <c r="L104" s="61">
        <f>EFEITO!$N$104*EFEITO!$AA$104</f>
        <v>0</v>
      </c>
      <c r="M104" s="61">
        <f ca="1">$J$104-EFEITO!$K$104*EFEITO!$Y$104</f>
        <v>0</v>
      </c>
      <c r="N104" s="61">
        <f>$K$104-EFEITO!$M$104*EFEITO!$Z$104</f>
        <v>0</v>
      </c>
      <c r="O104" s="61">
        <f>$L$104-EFEITO!$O$104*EFEITO!$AA$104</f>
        <v>0</v>
      </c>
      <c r="P104" s="45"/>
      <c r="Q104" s="45"/>
      <c r="R104" s="45"/>
      <c r="S104" s="45"/>
      <c r="T104" s="45"/>
      <c r="U104" s="45"/>
      <c r="V104" s="45"/>
      <c r="W104" s="45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41" t="s">
        <v>27</v>
      </c>
      <c r="B105" s="41" t="s">
        <v>34</v>
      </c>
      <c r="C105" s="41" t="s">
        <v>35</v>
      </c>
      <c r="D105" s="41" t="s">
        <v>40</v>
      </c>
      <c r="E105" s="41" t="s">
        <v>25</v>
      </c>
      <c r="F105" s="41" t="s">
        <v>25</v>
      </c>
      <c r="G105" s="41" t="s">
        <v>25</v>
      </c>
      <c r="H105" s="41" t="s">
        <v>25</v>
      </c>
      <c r="I105" s="60">
        <v>44501</v>
      </c>
      <c r="J105" s="61">
        <f ca="1">EFEITO!$J$105*EFEITO!$Y$105</f>
        <v>2364.3887023397856</v>
      </c>
      <c r="K105" s="61">
        <f>EFEITO!$L$105*EFEITO!$Z$105</f>
        <v>0</v>
      </c>
      <c r="L105" s="61">
        <f>EFEITO!$N$105*EFEITO!$AA$105</f>
        <v>0</v>
      </c>
      <c r="M105" s="61">
        <f ca="1">$J$105-EFEITO!$K$105*EFEITO!$Y$105</f>
        <v>0</v>
      </c>
      <c r="N105" s="61">
        <f>$K$105-EFEITO!$M$105*EFEITO!$Z$105</f>
        <v>0</v>
      </c>
      <c r="O105" s="61">
        <f>$L$105-EFEITO!$O$105*EFEITO!$AA$105</f>
        <v>0</v>
      </c>
      <c r="P105" s="45"/>
      <c r="Q105" s="45"/>
      <c r="R105" s="45"/>
      <c r="S105" s="45"/>
      <c r="T105" s="45"/>
      <c r="U105" s="45"/>
      <c r="V105" s="45"/>
      <c r="W105" s="45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41" t="s">
        <v>21</v>
      </c>
      <c r="B106" s="41" t="s">
        <v>34</v>
      </c>
      <c r="C106" s="41" t="s">
        <v>35</v>
      </c>
      <c r="D106" s="41" t="s">
        <v>40</v>
      </c>
      <c r="E106" s="41" t="s">
        <v>25</v>
      </c>
      <c r="F106" s="41" t="s">
        <v>25</v>
      </c>
      <c r="G106" s="41" t="s">
        <v>25</v>
      </c>
      <c r="H106" s="41" t="s">
        <v>25</v>
      </c>
      <c r="I106" s="60">
        <v>44531</v>
      </c>
      <c r="J106" s="61">
        <f ca="1">EFEITO!$J$106*EFEITO!$Y$106</f>
        <v>9200.0728796743406</v>
      </c>
      <c r="K106" s="61">
        <f>EFEITO!$L$106*EFEITO!$Z$106</f>
        <v>0</v>
      </c>
      <c r="L106" s="61">
        <f>EFEITO!$N$106*EFEITO!$AA$106</f>
        <v>0</v>
      </c>
      <c r="M106" s="61">
        <f ca="1">$J$106-EFEITO!$K$106*EFEITO!$Y$106</f>
        <v>0</v>
      </c>
      <c r="N106" s="61">
        <f>$K$106-EFEITO!$M$106*EFEITO!$Z$106</f>
        <v>0</v>
      </c>
      <c r="O106" s="61">
        <f>$L$106-EFEITO!$O$106*EFEITO!$AA$106</f>
        <v>0</v>
      </c>
      <c r="P106" s="45"/>
      <c r="Q106" s="45"/>
      <c r="R106" s="45"/>
      <c r="S106" s="45"/>
      <c r="T106" s="45"/>
      <c r="U106" s="45"/>
      <c r="V106" s="45"/>
      <c r="W106" s="45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41" t="s">
        <v>27</v>
      </c>
      <c r="B107" s="41" t="s">
        <v>34</v>
      </c>
      <c r="C107" s="41" t="s">
        <v>35</v>
      </c>
      <c r="D107" s="41" t="s">
        <v>40</v>
      </c>
      <c r="E107" s="41" t="s">
        <v>25</v>
      </c>
      <c r="F107" s="41" t="s">
        <v>25</v>
      </c>
      <c r="G107" s="41" t="s">
        <v>25</v>
      </c>
      <c r="H107" s="41" t="s">
        <v>25</v>
      </c>
      <c r="I107" s="60">
        <v>44531</v>
      </c>
      <c r="J107" s="61">
        <f ca="1">EFEITO!$J$107*EFEITO!$Y$107</f>
        <v>2364.3887023397856</v>
      </c>
      <c r="K107" s="61">
        <f>EFEITO!$L$107*EFEITO!$Z$107</f>
        <v>0</v>
      </c>
      <c r="L107" s="61">
        <f>EFEITO!$N$107*EFEITO!$AA$107</f>
        <v>0</v>
      </c>
      <c r="M107" s="61">
        <f ca="1">$J$107-EFEITO!$K$107*EFEITO!$Y$107</f>
        <v>0</v>
      </c>
      <c r="N107" s="61">
        <f>$K$107-EFEITO!$M$107*EFEITO!$Z$107</f>
        <v>0</v>
      </c>
      <c r="O107" s="61">
        <f>$L$107-EFEITO!$O$107*EFEITO!$AA$107</f>
        <v>0</v>
      </c>
      <c r="P107" s="45"/>
      <c r="Q107" s="45"/>
      <c r="R107" s="45"/>
      <c r="S107" s="45"/>
      <c r="T107" s="45"/>
      <c r="U107" s="45"/>
      <c r="V107" s="45"/>
      <c r="W107" s="45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41" t="s">
        <v>21</v>
      </c>
      <c r="B108" s="41" t="s">
        <v>34</v>
      </c>
      <c r="C108" s="41" t="s">
        <v>35</v>
      </c>
      <c r="D108" s="41" t="s">
        <v>40</v>
      </c>
      <c r="E108" s="41" t="s">
        <v>25</v>
      </c>
      <c r="F108" s="41" t="s">
        <v>25</v>
      </c>
      <c r="G108" s="41" t="s">
        <v>25</v>
      </c>
      <c r="H108" s="41" t="s">
        <v>25</v>
      </c>
      <c r="I108" s="60">
        <v>44562</v>
      </c>
      <c r="J108" s="61">
        <f ca="1">EFEITO!$J$108*EFEITO!$Y$108</f>
        <v>9315.6914872187554</v>
      </c>
      <c r="K108" s="61">
        <f>EFEITO!$L$108*EFEITO!$Z$108</f>
        <v>0</v>
      </c>
      <c r="L108" s="61">
        <f>EFEITO!$N$108*EFEITO!$AA$108</f>
        <v>0</v>
      </c>
      <c r="M108" s="61">
        <f ca="1">$J$108-EFEITO!$K$108*EFEITO!$Y$108</f>
        <v>0</v>
      </c>
      <c r="N108" s="61">
        <f>$K$108-EFEITO!$M$108*EFEITO!$Z$108</f>
        <v>0</v>
      </c>
      <c r="O108" s="61">
        <f>$L$108-EFEITO!$O$108*EFEITO!$AA$108</f>
        <v>0</v>
      </c>
      <c r="P108" s="45"/>
      <c r="Q108" s="45"/>
      <c r="R108" s="45"/>
      <c r="S108" s="45"/>
      <c r="T108" s="45"/>
      <c r="U108" s="45"/>
      <c r="V108" s="45"/>
      <c r="W108" s="45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41" t="s">
        <v>27</v>
      </c>
      <c r="B109" s="41" t="s">
        <v>34</v>
      </c>
      <c r="C109" s="41" t="s">
        <v>35</v>
      </c>
      <c r="D109" s="41" t="s">
        <v>40</v>
      </c>
      <c r="E109" s="41" t="s">
        <v>25</v>
      </c>
      <c r="F109" s="41" t="s">
        <v>25</v>
      </c>
      <c r="G109" s="41" t="s">
        <v>25</v>
      </c>
      <c r="H109" s="41" t="s">
        <v>25</v>
      </c>
      <c r="I109" s="60">
        <v>44562</v>
      </c>
      <c r="J109" s="61">
        <f ca="1">EFEITO!$J$109*EFEITO!$Y$109</f>
        <v>2364.3887023397856</v>
      </c>
      <c r="K109" s="61">
        <f>EFEITO!$L$109*EFEITO!$Z$109</f>
        <v>0</v>
      </c>
      <c r="L109" s="61">
        <f>EFEITO!$N$109*EFEITO!$AA$109</f>
        <v>0</v>
      </c>
      <c r="M109" s="61">
        <f ca="1">$J$109-EFEITO!$K$109*EFEITO!$Y$109</f>
        <v>0</v>
      </c>
      <c r="N109" s="61">
        <f>$K$109-EFEITO!$M$109*EFEITO!$Z$109</f>
        <v>0</v>
      </c>
      <c r="O109" s="61">
        <f>$L$109-EFEITO!$O$109*EFEITO!$AA$109</f>
        <v>0</v>
      </c>
      <c r="P109" s="45"/>
      <c r="Q109" s="45"/>
      <c r="R109" s="45"/>
      <c r="S109" s="45"/>
      <c r="T109" s="45"/>
      <c r="U109" s="45"/>
      <c r="V109" s="45"/>
      <c r="W109" s="45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41" t="s">
        <v>21</v>
      </c>
      <c r="B110" s="41" t="s">
        <v>34</v>
      </c>
      <c r="C110" s="41" t="s">
        <v>35</v>
      </c>
      <c r="D110" s="41" t="s">
        <v>40</v>
      </c>
      <c r="E110" s="41" t="s">
        <v>25</v>
      </c>
      <c r="F110" s="41" t="s">
        <v>25</v>
      </c>
      <c r="G110" s="41" t="s">
        <v>25</v>
      </c>
      <c r="H110" s="41" t="s">
        <v>25</v>
      </c>
      <c r="I110" s="60">
        <v>44593</v>
      </c>
      <c r="J110" s="61">
        <f ca="1">EFEITO!$J$110*EFEITO!$Y$110</f>
        <v>10119.583646014282</v>
      </c>
      <c r="K110" s="61">
        <f>EFEITO!$L$110*EFEITO!$Z$110</f>
        <v>0</v>
      </c>
      <c r="L110" s="61">
        <f>EFEITO!$N$110*EFEITO!$AA$110</f>
        <v>0</v>
      </c>
      <c r="M110" s="61">
        <f ca="1">$J$110-EFEITO!$K$110*EFEITO!$Y$110</f>
        <v>0</v>
      </c>
      <c r="N110" s="61">
        <f>$K$110-EFEITO!$M$110*EFEITO!$Z$110</f>
        <v>0</v>
      </c>
      <c r="O110" s="61">
        <f>$L$110-EFEITO!$O$110*EFEITO!$AA$110</f>
        <v>0</v>
      </c>
      <c r="P110" s="45"/>
      <c r="Q110" s="45"/>
      <c r="R110" s="45"/>
      <c r="S110" s="45"/>
      <c r="T110" s="45"/>
      <c r="U110" s="45"/>
      <c r="V110" s="45"/>
      <c r="W110" s="45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41" t="s">
        <v>27</v>
      </c>
      <c r="B111" s="41" t="s">
        <v>34</v>
      </c>
      <c r="C111" s="41" t="s">
        <v>35</v>
      </c>
      <c r="D111" s="41" t="s">
        <v>40</v>
      </c>
      <c r="E111" s="41" t="s">
        <v>25</v>
      </c>
      <c r="F111" s="41" t="s">
        <v>25</v>
      </c>
      <c r="G111" s="41" t="s">
        <v>25</v>
      </c>
      <c r="H111" s="41" t="s">
        <v>25</v>
      </c>
      <c r="I111" s="60">
        <v>44593</v>
      </c>
      <c r="J111" s="61">
        <f ca="1">EFEITO!$J$111*EFEITO!$Y$111</f>
        <v>2364.3887023397856</v>
      </c>
      <c r="K111" s="61">
        <f>EFEITO!$L$111*EFEITO!$Z$111</f>
        <v>0</v>
      </c>
      <c r="L111" s="61">
        <f>EFEITO!$N$111*EFEITO!$AA$111</f>
        <v>0</v>
      </c>
      <c r="M111" s="61">
        <f ca="1">$J$111-EFEITO!$K$111*EFEITO!$Y$111</f>
        <v>0</v>
      </c>
      <c r="N111" s="61">
        <f>$K$111-EFEITO!$M$111*EFEITO!$Z$111</f>
        <v>0</v>
      </c>
      <c r="O111" s="61">
        <f>$L$111-EFEITO!$O$111*EFEITO!$AA$111</f>
        <v>0</v>
      </c>
      <c r="P111" s="45"/>
      <c r="Q111" s="45"/>
      <c r="R111" s="45"/>
      <c r="S111" s="45"/>
      <c r="T111" s="45"/>
      <c r="U111" s="45"/>
      <c r="V111" s="45"/>
      <c r="W111" s="45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41" t="s">
        <v>21</v>
      </c>
      <c r="B112" s="41" t="s">
        <v>34</v>
      </c>
      <c r="C112" s="41" t="s">
        <v>35</v>
      </c>
      <c r="D112" s="41" t="s">
        <v>40</v>
      </c>
      <c r="E112" s="41" t="s">
        <v>25</v>
      </c>
      <c r="F112" s="41" t="s">
        <v>25</v>
      </c>
      <c r="G112" s="41" t="s">
        <v>25</v>
      </c>
      <c r="H112" s="41" t="s">
        <v>25</v>
      </c>
      <c r="I112" s="60">
        <v>44621</v>
      </c>
      <c r="J112" s="61">
        <f ca="1">EFEITO!$J$112*EFEITO!$Y$112</f>
        <v>10056.690906532043</v>
      </c>
      <c r="K112" s="61">
        <f>EFEITO!$L$112*EFEITO!$Z$112</f>
        <v>0</v>
      </c>
      <c r="L112" s="61">
        <f>EFEITO!$N$112*EFEITO!$AA$112</f>
        <v>0</v>
      </c>
      <c r="M112" s="61">
        <f ca="1">$J$112-EFEITO!$K$112*EFEITO!$Y$112</f>
        <v>0</v>
      </c>
      <c r="N112" s="61">
        <f>$K$112-EFEITO!$M$112*EFEITO!$Z$112</f>
        <v>0</v>
      </c>
      <c r="O112" s="61">
        <f>$L$112-EFEITO!$O$112*EFEITO!$AA$112</f>
        <v>0</v>
      </c>
      <c r="P112" s="45"/>
      <c r="Q112" s="45"/>
      <c r="R112" s="45"/>
      <c r="S112" s="45"/>
      <c r="T112" s="45"/>
      <c r="U112" s="45"/>
      <c r="V112" s="45"/>
      <c r="W112" s="45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41" t="s">
        <v>27</v>
      </c>
      <c r="B113" s="41" t="s">
        <v>34</v>
      </c>
      <c r="C113" s="41" t="s">
        <v>35</v>
      </c>
      <c r="D113" s="41" t="s">
        <v>40</v>
      </c>
      <c r="E113" s="41" t="s">
        <v>25</v>
      </c>
      <c r="F113" s="41" t="s">
        <v>25</v>
      </c>
      <c r="G113" s="41" t="s">
        <v>25</v>
      </c>
      <c r="H113" s="41" t="s">
        <v>25</v>
      </c>
      <c r="I113" s="60">
        <v>44621</v>
      </c>
      <c r="J113" s="61">
        <f ca="1">EFEITO!$J$113*EFEITO!$Y$113</f>
        <v>2364.3887023397856</v>
      </c>
      <c r="K113" s="61">
        <f>EFEITO!$L$113*EFEITO!$Z$113</f>
        <v>0</v>
      </c>
      <c r="L113" s="61">
        <f>EFEITO!$N$113*EFEITO!$AA$113</f>
        <v>0</v>
      </c>
      <c r="M113" s="61">
        <f ca="1">$J$113-EFEITO!$K$113*EFEITO!$Y$113</f>
        <v>0</v>
      </c>
      <c r="N113" s="61">
        <f>$K$113-EFEITO!$M$113*EFEITO!$Z$113</f>
        <v>0</v>
      </c>
      <c r="O113" s="61">
        <f>$L$113-EFEITO!$O$113*EFEITO!$AA$113</f>
        <v>0</v>
      </c>
      <c r="P113" s="45"/>
      <c r="Q113" s="45"/>
      <c r="R113" s="45"/>
      <c r="S113" s="45"/>
      <c r="T113" s="45"/>
      <c r="U113" s="45"/>
      <c r="V113" s="45"/>
      <c r="W113" s="45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41" t="s">
        <v>21</v>
      </c>
      <c r="B114" s="41" t="s">
        <v>34</v>
      </c>
      <c r="C114" s="41" t="s">
        <v>35</v>
      </c>
      <c r="D114" s="41" t="s">
        <v>40</v>
      </c>
      <c r="E114" s="41" t="s">
        <v>25</v>
      </c>
      <c r="F114" s="41" t="s">
        <v>25</v>
      </c>
      <c r="G114" s="41" t="s">
        <v>25</v>
      </c>
      <c r="H114" s="41" t="s">
        <v>25</v>
      </c>
      <c r="I114" s="60">
        <v>44652</v>
      </c>
      <c r="J114" s="61">
        <f ca="1">EFEITO!$J$114*EFEITO!$Y$114</f>
        <v>9875.342293062582</v>
      </c>
      <c r="K114" s="61">
        <f>EFEITO!$L$114*EFEITO!$Z$114</f>
        <v>0</v>
      </c>
      <c r="L114" s="61">
        <f>EFEITO!$N$114*EFEITO!$AA$114</f>
        <v>0</v>
      </c>
      <c r="M114" s="61">
        <f ca="1">$J$114-EFEITO!$K$114*EFEITO!$Y$114</f>
        <v>0</v>
      </c>
      <c r="N114" s="61">
        <f>$K$114-EFEITO!$M$114*EFEITO!$Z$114</f>
        <v>0</v>
      </c>
      <c r="O114" s="61">
        <f>$L$114-EFEITO!$O$114*EFEITO!$AA$114</f>
        <v>0</v>
      </c>
      <c r="P114" s="45"/>
      <c r="Q114" s="45"/>
      <c r="R114" s="45"/>
      <c r="S114" s="45"/>
      <c r="T114" s="45"/>
      <c r="U114" s="45"/>
      <c r="V114" s="45"/>
      <c r="W114" s="45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41" t="s">
        <v>27</v>
      </c>
      <c r="B115" s="41" t="s">
        <v>34</v>
      </c>
      <c r="C115" s="41" t="s">
        <v>35</v>
      </c>
      <c r="D115" s="41" t="s">
        <v>40</v>
      </c>
      <c r="E115" s="41" t="s">
        <v>25</v>
      </c>
      <c r="F115" s="41" t="s">
        <v>25</v>
      </c>
      <c r="G115" s="41" t="s">
        <v>25</v>
      </c>
      <c r="H115" s="41" t="s">
        <v>25</v>
      </c>
      <c r="I115" s="60">
        <v>44652</v>
      </c>
      <c r="J115" s="61">
        <f ca="1">EFEITO!$J$115*EFEITO!$Y$115</f>
        <v>2364.3887023397856</v>
      </c>
      <c r="K115" s="61">
        <f>EFEITO!$L$115*EFEITO!$Z$115</f>
        <v>0</v>
      </c>
      <c r="L115" s="61">
        <f>EFEITO!$N$115*EFEITO!$AA$115</f>
        <v>0</v>
      </c>
      <c r="M115" s="61">
        <f ca="1">$J$115-EFEITO!$K$115*EFEITO!$Y$115</f>
        <v>0</v>
      </c>
      <c r="N115" s="61">
        <f>$K$115-EFEITO!$M$115*EFEITO!$Z$115</f>
        <v>0</v>
      </c>
      <c r="O115" s="61">
        <f>$L$115-EFEITO!$O$115*EFEITO!$AA$115</f>
        <v>0</v>
      </c>
      <c r="P115" s="45"/>
      <c r="Q115" s="45"/>
      <c r="R115" s="45"/>
      <c r="S115" s="45"/>
      <c r="T115" s="45"/>
      <c r="U115" s="45"/>
      <c r="V115" s="45"/>
      <c r="W115" s="45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41" t="s">
        <v>21</v>
      </c>
      <c r="B116" s="41" t="s">
        <v>34</v>
      </c>
      <c r="C116" s="41" t="s">
        <v>35</v>
      </c>
      <c r="D116" s="41" t="s">
        <v>40</v>
      </c>
      <c r="E116" s="41" t="s">
        <v>25</v>
      </c>
      <c r="F116" s="41" t="s">
        <v>25</v>
      </c>
      <c r="G116" s="41" t="s">
        <v>25</v>
      </c>
      <c r="H116" s="41" t="s">
        <v>25</v>
      </c>
      <c r="I116" s="60">
        <v>44682</v>
      </c>
      <c r="J116" s="61">
        <f ca="1">EFEITO!$J$116*EFEITO!$Y$116</f>
        <v>9528.4864704293359</v>
      </c>
      <c r="K116" s="61">
        <f>EFEITO!$L$116*EFEITO!$Z$116</f>
        <v>0</v>
      </c>
      <c r="L116" s="61">
        <f>EFEITO!$N$116*EFEITO!$AA$116</f>
        <v>0</v>
      </c>
      <c r="M116" s="61">
        <f ca="1">$J$116-EFEITO!$K$116*EFEITO!$Y$116</f>
        <v>0</v>
      </c>
      <c r="N116" s="61">
        <f>$K$116-EFEITO!$M$116*EFEITO!$Z$116</f>
        <v>0</v>
      </c>
      <c r="O116" s="61">
        <f>$L$116-EFEITO!$O$116*EFEITO!$AA$116</f>
        <v>0</v>
      </c>
      <c r="P116" s="45"/>
      <c r="Q116" s="45"/>
      <c r="R116" s="45"/>
      <c r="S116" s="45"/>
      <c r="T116" s="45"/>
      <c r="U116" s="45"/>
      <c r="V116" s="45"/>
      <c r="W116" s="45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41" t="s">
        <v>27</v>
      </c>
      <c r="B117" s="41" t="s">
        <v>34</v>
      </c>
      <c r="C117" s="41" t="s">
        <v>35</v>
      </c>
      <c r="D117" s="41" t="s">
        <v>40</v>
      </c>
      <c r="E117" s="41" t="s">
        <v>25</v>
      </c>
      <c r="F117" s="41" t="s">
        <v>25</v>
      </c>
      <c r="G117" s="41" t="s">
        <v>25</v>
      </c>
      <c r="H117" s="41" t="s">
        <v>25</v>
      </c>
      <c r="I117" s="60">
        <v>44682</v>
      </c>
      <c r="J117" s="61">
        <f ca="1">EFEITO!$J$117*EFEITO!$Y$117</f>
        <v>2364.3887023397856</v>
      </c>
      <c r="K117" s="61">
        <f>EFEITO!$L$117*EFEITO!$Z$117</f>
        <v>0</v>
      </c>
      <c r="L117" s="61">
        <f>EFEITO!$N$117*EFEITO!$AA$117</f>
        <v>0</v>
      </c>
      <c r="M117" s="61">
        <f ca="1">$J$117-EFEITO!$K$117*EFEITO!$Y$117</f>
        <v>0</v>
      </c>
      <c r="N117" s="61">
        <f>$K$117-EFEITO!$M$117*EFEITO!$Z$117</f>
        <v>0</v>
      </c>
      <c r="O117" s="61">
        <f>$L$117-EFEITO!$O$117*EFEITO!$AA$117</f>
        <v>0</v>
      </c>
      <c r="P117" s="45"/>
      <c r="Q117" s="45"/>
      <c r="R117" s="45"/>
      <c r="S117" s="45"/>
      <c r="T117" s="45"/>
      <c r="U117" s="45"/>
      <c r="V117" s="45"/>
      <c r="W117" s="45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41" t="s">
        <v>21</v>
      </c>
      <c r="B118" s="41" t="s">
        <v>34</v>
      </c>
      <c r="C118" s="41" t="s">
        <v>35</v>
      </c>
      <c r="D118" s="41" t="s">
        <v>40</v>
      </c>
      <c r="E118" s="41" t="s">
        <v>25</v>
      </c>
      <c r="F118" s="41" t="s">
        <v>25</v>
      </c>
      <c r="G118" s="41" t="s">
        <v>25</v>
      </c>
      <c r="H118" s="41" t="s">
        <v>25</v>
      </c>
      <c r="I118" s="60">
        <v>44713</v>
      </c>
      <c r="J118" s="61">
        <f ca="1">EFEITO!$J$118*EFEITO!$Y$118</f>
        <v>9530.1415425209743</v>
      </c>
      <c r="K118" s="61">
        <f>EFEITO!$L$118*EFEITO!$Z$118</f>
        <v>0</v>
      </c>
      <c r="L118" s="61">
        <f>EFEITO!$N$118*EFEITO!$AA$118</f>
        <v>0</v>
      </c>
      <c r="M118" s="61">
        <f ca="1">$J$118-EFEITO!$K$118*EFEITO!$Y$118</f>
        <v>0</v>
      </c>
      <c r="N118" s="61">
        <f>$K$118-EFEITO!$M$118*EFEITO!$Z$118</f>
        <v>0</v>
      </c>
      <c r="O118" s="61">
        <f>$L$118-EFEITO!$O$118*EFEITO!$AA$118</f>
        <v>0</v>
      </c>
      <c r="P118" s="45"/>
      <c r="Q118" s="45"/>
      <c r="R118" s="45"/>
      <c r="S118" s="45"/>
      <c r="T118" s="45"/>
      <c r="U118" s="45"/>
      <c r="V118" s="45"/>
      <c r="W118" s="45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41" t="s">
        <v>27</v>
      </c>
      <c r="B119" s="41" t="s">
        <v>34</v>
      </c>
      <c r="C119" s="41" t="s">
        <v>35</v>
      </c>
      <c r="D119" s="41" t="s">
        <v>40</v>
      </c>
      <c r="E119" s="41" t="s">
        <v>25</v>
      </c>
      <c r="F119" s="41" t="s">
        <v>25</v>
      </c>
      <c r="G119" s="41" t="s">
        <v>25</v>
      </c>
      <c r="H119" s="41" t="s">
        <v>25</v>
      </c>
      <c r="I119" s="60">
        <v>44713</v>
      </c>
      <c r="J119" s="61">
        <f ca="1">EFEITO!$J$119*EFEITO!$Y$119</f>
        <v>2364.3887023397856</v>
      </c>
      <c r="K119" s="61">
        <f>EFEITO!$L$119*EFEITO!$Z$119</f>
        <v>0</v>
      </c>
      <c r="L119" s="61">
        <f>EFEITO!$N$119*EFEITO!$AA$119</f>
        <v>0</v>
      </c>
      <c r="M119" s="61">
        <f ca="1">$J$119-EFEITO!$K$119*EFEITO!$Y$119</f>
        <v>0</v>
      </c>
      <c r="N119" s="61">
        <f>$K$119-EFEITO!$M$119*EFEITO!$Z$119</f>
        <v>0</v>
      </c>
      <c r="O119" s="61">
        <f>$L$119-EFEITO!$O$119*EFEITO!$AA$119</f>
        <v>0</v>
      </c>
      <c r="P119" s="45"/>
      <c r="Q119" s="45"/>
      <c r="R119" s="45"/>
      <c r="S119" s="45"/>
      <c r="T119" s="45"/>
      <c r="U119" s="45"/>
      <c r="V119" s="45"/>
      <c r="W119" s="45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41" t="s">
        <v>21</v>
      </c>
      <c r="B120" s="41" t="s">
        <v>34</v>
      </c>
      <c r="C120" s="41" t="s">
        <v>35</v>
      </c>
      <c r="D120" s="41" t="s">
        <v>40</v>
      </c>
      <c r="E120" s="41" t="s">
        <v>25</v>
      </c>
      <c r="F120" s="41" t="s">
        <v>25</v>
      </c>
      <c r="G120" s="41" t="s">
        <v>25</v>
      </c>
      <c r="H120" s="41" t="s">
        <v>25</v>
      </c>
      <c r="I120" s="60">
        <v>44743</v>
      </c>
      <c r="J120" s="61">
        <f ca="1">EFEITO!$J$120*EFEITO!$Y$120</f>
        <v>9599.4181314995294</v>
      </c>
      <c r="K120" s="61">
        <f>EFEITO!$L$120*EFEITO!$Z$120</f>
        <v>0</v>
      </c>
      <c r="L120" s="61">
        <f>EFEITO!$N$120*EFEITO!$AA$120</f>
        <v>0</v>
      </c>
      <c r="M120" s="61">
        <f ca="1">$J$120-EFEITO!$K$120*EFEITO!$Y$120</f>
        <v>0</v>
      </c>
      <c r="N120" s="61">
        <f>$K$120-EFEITO!$M$120*EFEITO!$Z$120</f>
        <v>0</v>
      </c>
      <c r="O120" s="61">
        <f>$L$120-EFEITO!$O$120*EFEITO!$AA$120</f>
        <v>0</v>
      </c>
      <c r="P120" s="45"/>
      <c r="Q120" s="45"/>
      <c r="R120" s="45"/>
      <c r="S120" s="45"/>
      <c r="T120" s="45"/>
      <c r="U120" s="45"/>
      <c r="V120" s="45"/>
      <c r="W120" s="45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41" t="s">
        <v>27</v>
      </c>
      <c r="B121" s="41" t="s">
        <v>34</v>
      </c>
      <c r="C121" s="41" t="s">
        <v>35</v>
      </c>
      <c r="D121" s="41" t="s">
        <v>40</v>
      </c>
      <c r="E121" s="41" t="s">
        <v>25</v>
      </c>
      <c r="F121" s="41" t="s">
        <v>25</v>
      </c>
      <c r="G121" s="41" t="s">
        <v>25</v>
      </c>
      <c r="H121" s="41" t="s">
        <v>25</v>
      </c>
      <c r="I121" s="60">
        <v>44743</v>
      </c>
      <c r="J121" s="61">
        <f ca="1">EFEITO!$J$121*EFEITO!$Y$121</f>
        <v>2364.3887023397856</v>
      </c>
      <c r="K121" s="61">
        <f>EFEITO!$L$121*EFEITO!$Z$121</f>
        <v>0</v>
      </c>
      <c r="L121" s="61">
        <f>EFEITO!$N$121*EFEITO!$AA$121</f>
        <v>0</v>
      </c>
      <c r="M121" s="61">
        <f ca="1">$J$121-EFEITO!$K$121*EFEITO!$Y$121</f>
        <v>0</v>
      </c>
      <c r="N121" s="61">
        <f>$K$121-EFEITO!$M$121*EFEITO!$Z$121</f>
        <v>0</v>
      </c>
      <c r="O121" s="61">
        <f>$L$121-EFEITO!$O$121*EFEITO!$AA$121</f>
        <v>0</v>
      </c>
      <c r="P121" s="45"/>
      <c r="Q121" s="45"/>
      <c r="R121" s="45"/>
      <c r="S121" s="45"/>
      <c r="T121" s="45"/>
      <c r="U121" s="45"/>
      <c r="V121" s="45"/>
      <c r="W121" s="45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41" t="s">
        <v>21</v>
      </c>
      <c r="B122" s="41" t="s">
        <v>34</v>
      </c>
      <c r="C122" s="41" t="s">
        <v>35</v>
      </c>
      <c r="D122" s="41" t="s">
        <v>40</v>
      </c>
      <c r="E122" s="41" t="s">
        <v>25</v>
      </c>
      <c r="F122" s="41" t="s">
        <v>25</v>
      </c>
      <c r="G122" s="41" t="s">
        <v>25</v>
      </c>
      <c r="H122" s="41" t="s">
        <v>36</v>
      </c>
      <c r="I122" s="60">
        <v>44409</v>
      </c>
      <c r="J122" s="61">
        <f>EFEITO!$J$122*EFEITO!$Y$122</f>
        <v>0</v>
      </c>
      <c r="K122" s="61">
        <f ca="1">EFEITO!$L$122*EFEITO!$Z$122</f>
        <v>4045.6882507017558</v>
      </c>
      <c r="L122" s="61">
        <f>EFEITO!$N$122*EFEITO!$AA$122</f>
        <v>1726.6707736782305</v>
      </c>
      <c r="M122" s="61">
        <f>$J$122-EFEITO!$K$122*EFEITO!$Y$122</f>
        <v>0</v>
      </c>
      <c r="N122" s="61">
        <f ca="1">$K$122-EFEITO!$M$122*EFEITO!$Z$122</f>
        <v>0</v>
      </c>
      <c r="O122" s="61">
        <f>$L$122-EFEITO!$O$122*EFEITO!$AA$122</f>
        <v>0</v>
      </c>
      <c r="P122" s="45"/>
      <c r="Q122" s="45"/>
      <c r="R122" s="45"/>
      <c r="S122" s="45"/>
      <c r="T122" s="45"/>
      <c r="U122" s="45"/>
      <c r="V122" s="45"/>
      <c r="W122" s="45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41" t="s">
        <v>27</v>
      </c>
      <c r="B123" s="41" t="s">
        <v>34</v>
      </c>
      <c r="C123" s="41" t="s">
        <v>35</v>
      </c>
      <c r="D123" s="41" t="s">
        <v>40</v>
      </c>
      <c r="E123" s="41" t="s">
        <v>25</v>
      </c>
      <c r="F123" s="41" t="s">
        <v>25</v>
      </c>
      <c r="G123" s="41" t="s">
        <v>25</v>
      </c>
      <c r="H123" s="41" t="s">
        <v>36</v>
      </c>
      <c r="I123" s="60">
        <v>44409</v>
      </c>
      <c r="J123" s="61">
        <f>EFEITO!$J$123*EFEITO!$Y$123</f>
        <v>0</v>
      </c>
      <c r="K123" s="61">
        <f ca="1">EFEITO!$L$123*EFEITO!$Z$123</f>
        <v>899.46074617270722</v>
      </c>
      <c r="L123" s="61">
        <f>EFEITO!$N$123*EFEITO!$AA$123</f>
        <v>383.88340530633684</v>
      </c>
      <c r="M123" s="61">
        <f>$J$123-EFEITO!$K$123*EFEITO!$Y$123</f>
        <v>0</v>
      </c>
      <c r="N123" s="61">
        <f ca="1">$K$123-EFEITO!$M$123*EFEITO!$Z$123</f>
        <v>0</v>
      </c>
      <c r="O123" s="61">
        <f>$L$123-EFEITO!$O$123*EFEITO!$AA$123</f>
        <v>0</v>
      </c>
      <c r="P123" s="45"/>
      <c r="Q123" s="45"/>
      <c r="R123" s="45"/>
      <c r="S123" s="45"/>
      <c r="T123" s="45"/>
      <c r="U123" s="45"/>
      <c r="V123" s="45"/>
      <c r="W123" s="45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41" t="s">
        <v>21</v>
      </c>
      <c r="B124" s="41" t="s">
        <v>34</v>
      </c>
      <c r="C124" s="41" t="s">
        <v>35</v>
      </c>
      <c r="D124" s="41" t="s">
        <v>40</v>
      </c>
      <c r="E124" s="41" t="s">
        <v>25</v>
      </c>
      <c r="F124" s="41" t="s">
        <v>25</v>
      </c>
      <c r="G124" s="41" t="s">
        <v>25</v>
      </c>
      <c r="H124" s="41" t="s">
        <v>36</v>
      </c>
      <c r="I124" s="60">
        <v>44440</v>
      </c>
      <c r="J124" s="61">
        <f>EFEITO!$J$124*EFEITO!$Y$124</f>
        <v>0</v>
      </c>
      <c r="K124" s="61">
        <f ca="1">EFEITO!$L$124*EFEITO!$Z$124</f>
        <v>4212.0421982920261</v>
      </c>
      <c r="L124" s="61">
        <f>EFEITO!$N$124*EFEITO!$AA$124</f>
        <v>1797.6694472266179</v>
      </c>
      <c r="M124" s="61">
        <f>$J$124-EFEITO!$K$124*EFEITO!$Y$124</f>
        <v>0</v>
      </c>
      <c r="N124" s="61">
        <f ca="1">$K$124-EFEITO!$M$124*EFEITO!$Z$124</f>
        <v>0</v>
      </c>
      <c r="O124" s="61">
        <f>$L$124-EFEITO!$O$124*EFEITO!$AA$124</f>
        <v>0</v>
      </c>
      <c r="P124" s="45"/>
      <c r="Q124" s="45"/>
      <c r="R124" s="45"/>
      <c r="S124" s="45"/>
      <c r="T124" s="45"/>
      <c r="U124" s="45"/>
      <c r="V124" s="45"/>
      <c r="W124" s="45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41" t="s">
        <v>27</v>
      </c>
      <c r="B125" s="41" t="s">
        <v>34</v>
      </c>
      <c r="C125" s="41" t="s">
        <v>35</v>
      </c>
      <c r="D125" s="41" t="s">
        <v>40</v>
      </c>
      <c r="E125" s="41" t="s">
        <v>25</v>
      </c>
      <c r="F125" s="41" t="s">
        <v>25</v>
      </c>
      <c r="G125" s="41" t="s">
        <v>25</v>
      </c>
      <c r="H125" s="41" t="s">
        <v>36</v>
      </c>
      <c r="I125" s="60">
        <v>44440</v>
      </c>
      <c r="J125" s="61">
        <f>EFEITO!$J$125*EFEITO!$Y$125</f>
        <v>0</v>
      </c>
      <c r="K125" s="61">
        <f ca="1">EFEITO!$L$125*EFEITO!$Z$125</f>
        <v>885.61142083919685</v>
      </c>
      <c r="L125" s="61">
        <f>EFEITO!$N$125*EFEITO!$AA$125</f>
        <v>377.97261243088826</v>
      </c>
      <c r="M125" s="61">
        <f>$J$125-EFEITO!$K$125*EFEITO!$Y$125</f>
        <v>0</v>
      </c>
      <c r="N125" s="61">
        <f ca="1">$K$125-EFEITO!$M$125*EFEITO!$Z$125</f>
        <v>0</v>
      </c>
      <c r="O125" s="61">
        <f>$L$125-EFEITO!$O$125*EFEITO!$AA$125</f>
        <v>0</v>
      </c>
      <c r="P125" s="45"/>
      <c r="Q125" s="45"/>
      <c r="R125" s="45"/>
      <c r="S125" s="45"/>
      <c r="T125" s="45"/>
      <c r="U125" s="45"/>
      <c r="V125" s="45"/>
      <c r="W125" s="45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41" t="s">
        <v>21</v>
      </c>
      <c r="B126" s="41" t="s">
        <v>34</v>
      </c>
      <c r="C126" s="41" t="s">
        <v>35</v>
      </c>
      <c r="D126" s="41" t="s">
        <v>40</v>
      </c>
      <c r="E126" s="41" t="s">
        <v>25</v>
      </c>
      <c r="F126" s="41" t="s">
        <v>25</v>
      </c>
      <c r="G126" s="41" t="s">
        <v>25</v>
      </c>
      <c r="H126" s="41" t="s">
        <v>36</v>
      </c>
      <c r="I126" s="60">
        <v>44470</v>
      </c>
      <c r="J126" s="61">
        <f>EFEITO!$J$126*EFEITO!$Y$126</f>
        <v>0</v>
      </c>
      <c r="K126" s="61">
        <f ca="1">EFEITO!$L$126*EFEITO!$Z$126</f>
        <v>3975.6638148111047</v>
      </c>
      <c r="L126" s="61">
        <f>EFEITO!$N$126*EFEITO!$AA$126</f>
        <v>1696.7848458945662</v>
      </c>
      <c r="M126" s="61">
        <f>$J$126-EFEITO!$K$126*EFEITO!$Y$126</f>
        <v>0</v>
      </c>
      <c r="N126" s="61">
        <f ca="1">$K$126-EFEITO!$M$126*EFEITO!$Z$126</f>
        <v>0</v>
      </c>
      <c r="O126" s="61">
        <f>$L$126-EFEITO!$O$126*EFEITO!$AA$126</f>
        <v>0</v>
      </c>
      <c r="P126" s="45"/>
      <c r="Q126" s="45"/>
      <c r="R126" s="45"/>
      <c r="S126" s="45"/>
      <c r="T126" s="45"/>
      <c r="U126" s="45"/>
      <c r="V126" s="45"/>
      <c r="W126" s="45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41" t="s">
        <v>27</v>
      </c>
      <c r="B127" s="41" t="s">
        <v>34</v>
      </c>
      <c r="C127" s="41" t="s">
        <v>35</v>
      </c>
      <c r="D127" s="41" t="s">
        <v>40</v>
      </c>
      <c r="E127" s="41" t="s">
        <v>25</v>
      </c>
      <c r="F127" s="41" t="s">
        <v>25</v>
      </c>
      <c r="G127" s="41" t="s">
        <v>25</v>
      </c>
      <c r="H127" s="41" t="s">
        <v>36</v>
      </c>
      <c r="I127" s="60">
        <v>44470</v>
      </c>
      <c r="J127" s="61">
        <f>EFEITO!$J$127*EFEITO!$Y$127</f>
        <v>0</v>
      </c>
      <c r="K127" s="61">
        <f ca="1">EFEITO!$L$127*EFEITO!$Z$127</f>
        <v>872.55070763466165</v>
      </c>
      <c r="L127" s="61">
        <f>EFEITO!$N$127*EFEITO!$AA$127</f>
        <v>372.39839356472811</v>
      </c>
      <c r="M127" s="61">
        <f>$J$127-EFEITO!$K$127*EFEITO!$Y$127</f>
        <v>0</v>
      </c>
      <c r="N127" s="61">
        <f ca="1">$K$127-EFEITO!$M$127*EFEITO!$Z$127</f>
        <v>0</v>
      </c>
      <c r="O127" s="61">
        <f>$L$127-EFEITO!$O$127*EFEITO!$AA$127</f>
        <v>0</v>
      </c>
      <c r="P127" s="45"/>
      <c r="Q127" s="45"/>
      <c r="R127" s="45"/>
      <c r="S127" s="45"/>
      <c r="T127" s="45"/>
      <c r="U127" s="45"/>
      <c r="V127" s="45"/>
      <c r="W127" s="45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41" t="s">
        <v>21</v>
      </c>
      <c r="B128" s="41" t="s">
        <v>34</v>
      </c>
      <c r="C128" s="41" t="s">
        <v>35</v>
      </c>
      <c r="D128" s="41" t="s">
        <v>40</v>
      </c>
      <c r="E128" s="41" t="s">
        <v>25</v>
      </c>
      <c r="F128" s="41" t="s">
        <v>25</v>
      </c>
      <c r="G128" s="41" t="s">
        <v>25</v>
      </c>
      <c r="H128" s="41" t="s">
        <v>36</v>
      </c>
      <c r="I128" s="60">
        <v>44501</v>
      </c>
      <c r="J128" s="61">
        <f>EFEITO!$J$128*EFEITO!$Y$128</f>
        <v>0</v>
      </c>
      <c r="K128" s="61">
        <f ca="1">EFEITO!$L$128*EFEITO!$Z$128</f>
        <v>4478.88477634432</v>
      </c>
      <c r="L128" s="61">
        <f>EFEITO!$N$128*EFEITO!$AA$128</f>
        <v>1911.5559486435095</v>
      </c>
      <c r="M128" s="61">
        <f>$J$128-EFEITO!$K$128*EFEITO!$Y$128</f>
        <v>0</v>
      </c>
      <c r="N128" s="61">
        <f ca="1">$K$128-EFEITO!$M$128*EFEITO!$Z$128</f>
        <v>0</v>
      </c>
      <c r="O128" s="61">
        <f>$L$128-EFEITO!$O$128*EFEITO!$AA$128</f>
        <v>0</v>
      </c>
      <c r="P128" s="45"/>
      <c r="Q128" s="45"/>
      <c r="R128" s="45"/>
      <c r="S128" s="45"/>
      <c r="T128" s="45"/>
      <c r="U128" s="45"/>
      <c r="V128" s="45"/>
      <c r="W128" s="45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41" t="s">
        <v>27</v>
      </c>
      <c r="B129" s="41" t="s">
        <v>34</v>
      </c>
      <c r="C129" s="41" t="s">
        <v>35</v>
      </c>
      <c r="D129" s="41" t="s">
        <v>40</v>
      </c>
      <c r="E129" s="41" t="s">
        <v>25</v>
      </c>
      <c r="F129" s="41" t="s">
        <v>25</v>
      </c>
      <c r="G129" s="41" t="s">
        <v>25</v>
      </c>
      <c r="H129" s="41" t="s">
        <v>36</v>
      </c>
      <c r="I129" s="60">
        <v>44501</v>
      </c>
      <c r="J129" s="61">
        <f>EFEITO!$J$129*EFEITO!$Y$129</f>
        <v>0</v>
      </c>
      <c r="K129" s="61">
        <f ca="1">EFEITO!$L$129*EFEITO!$Z$129</f>
        <v>1052.2030323587476</v>
      </c>
      <c r="L129" s="61">
        <f>EFEITO!$N$129*EFEITO!$AA$129</f>
        <v>449.07271924234885</v>
      </c>
      <c r="M129" s="61">
        <f>$J$129-EFEITO!$K$129*EFEITO!$Y$129</f>
        <v>0</v>
      </c>
      <c r="N129" s="61">
        <f ca="1">$K$129-EFEITO!$M$129*EFEITO!$Z$129</f>
        <v>0</v>
      </c>
      <c r="O129" s="61">
        <f>$L$129-EFEITO!$O$129*EFEITO!$AA$129</f>
        <v>0</v>
      </c>
      <c r="P129" s="45"/>
      <c r="Q129" s="45"/>
      <c r="R129" s="45"/>
      <c r="S129" s="45"/>
      <c r="T129" s="45"/>
      <c r="U129" s="45"/>
      <c r="V129" s="45"/>
      <c r="W129" s="45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41" t="s">
        <v>21</v>
      </c>
      <c r="B130" s="41" t="s">
        <v>34</v>
      </c>
      <c r="C130" s="41" t="s">
        <v>35</v>
      </c>
      <c r="D130" s="41" t="s">
        <v>40</v>
      </c>
      <c r="E130" s="41" t="s">
        <v>25</v>
      </c>
      <c r="F130" s="41" t="s">
        <v>25</v>
      </c>
      <c r="G130" s="41" t="s">
        <v>25</v>
      </c>
      <c r="H130" s="41" t="s">
        <v>36</v>
      </c>
      <c r="I130" s="60">
        <v>44531</v>
      </c>
      <c r="J130" s="61">
        <f>EFEITO!$J$130*EFEITO!$Y$130</f>
        <v>0</v>
      </c>
      <c r="K130" s="61">
        <f ca="1">EFEITO!$L$130*EFEITO!$Z$130</f>
        <v>6052.6629073202412</v>
      </c>
      <c r="L130" s="61">
        <f>EFEITO!$N$130*EFEITO!$AA$130</f>
        <v>2583.2331849057746</v>
      </c>
      <c r="M130" s="61">
        <f>$J$130-EFEITO!$K$130*EFEITO!$Y$130</f>
        <v>0</v>
      </c>
      <c r="N130" s="61">
        <f ca="1">$K$130-EFEITO!$M$130*EFEITO!$Z$130</f>
        <v>0</v>
      </c>
      <c r="O130" s="61">
        <f>$L$130-EFEITO!$O$130*EFEITO!$AA$130</f>
        <v>0</v>
      </c>
      <c r="P130" s="45"/>
      <c r="Q130" s="45"/>
      <c r="R130" s="45"/>
      <c r="S130" s="45"/>
      <c r="T130" s="45"/>
      <c r="U130" s="45"/>
      <c r="V130" s="45"/>
      <c r="W130" s="45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41" t="s">
        <v>27</v>
      </c>
      <c r="B131" s="41" t="s">
        <v>34</v>
      </c>
      <c r="C131" s="41" t="s">
        <v>35</v>
      </c>
      <c r="D131" s="41" t="s">
        <v>40</v>
      </c>
      <c r="E131" s="41" t="s">
        <v>25</v>
      </c>
      <c r="F131" s="41" t="s">
        <v>25</v>
      </c>
      <c r="G131" s="41" t="s">
        <v>25</v>
      </c>
      <c r="H131" s="41" t="s">
        <v>36</v>
      </c>
      <c r="I131" s="60">
        <v>44531</v>
      </c>
      <c r="J131" s="61">
        <f>EFEITO!$J$131*EFEITO!$Y$131</f>
        <v>0</v>
      </c>
      <c r="K131" s="61">
        <f ca="1">EFEITO!$L$131*EFEITO!$Z$131</f>
        <v>1391.4142768768654</v>
      </c>
      <c r="L131" s="61">
        <f>EFEITO!$N$131*EFEITO!$AA$131</f>
        <v>593.84564926503629</v>
      </c>
      <c r="M131" s="61">
        <f>$J$131-EFEITO!$K$131*EFEITO!$Y$131</f>
        <v>0</v>
      </c>
      <c r="N131" s="61">
        <f ca="1">$K$131-EFEITO!$M$131*EFEITO!$Z$131</f>
        <v>0</v>
      </c>
      <c r="O131" s="61">
        <f>$L$131-EFEITO!$O$131*EFEITO!$AA$131</f>
        <v>0</v>
      </c>
      <c r="P131" s="45"/>
      <c r="Q131" s="45"/>
      <c r="R131" s="45"/>
      <c r="S131" s="45"/>
      <c r="T131" s="45"/>
      <c r="U131" s="45"/>
      <c r="V131" s="45"/>
      <c r="W131" s="45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41" t="s">
        <v>21</v>
      </c>
      <c r="B132" s="41" t="s">
        <v>34</v>
      </c>
      <c r="C132" s="41" t="s">
        <v>35</v>
      </c>
      <c r="D132" s="41" t="s">
        <v>40</v>
      </c>
      <c r="E132" s="41" t="s">
        <v>25</v>
      </c>
      <c r="F132" s="41" t="s">
        <v>25</v>
      </c>
      <c r="G132" s="41" t="s">
        <v>25</v>
      </c>
      <c r="H132" s="41" t="s">
        <v>36</v>
      </c>
      <c r="I132" s="60">
        <v>44562</v>
      </c>
      <c r="J132" s="61">
        <f>EFEITO!$J$132*EFEITO!$Y$132</f>
        <v>0</v>
      </c>
      <c r="K132" s="61">
        <f ca="1">EFEITO!$L$132*EFEITO!$Z$132</f>
        <v>6109.0432730890334</v>
      </c>
      <c r="L132" s="61">
        <f>EFEITO!$N$132*EFEITO!$AA$132</f>
        <v>2607.2959212684627</v>
      </c>
      <c r="M132" s="61">
        <f>$J$132-EFEITO!$K$132*EFEITO!$Y$132</f>
        <v>0</v>
      </c>
      <c r="N132" s="61">
        <f ca="1">$K$132-EFEITO!$M$132*EFEITO!$Z$132</f>
        <v>0</v>
      </c>
      <c r="O132" s="61">
        <f>$L$132-EFEITO!$O$132*EFEITO!$AA$132</f>
        <v>0</v>
      </c>
      <c r="P132" s="45"/>
      <c r="Q132" s="45"/>
      <c r="R132" s="45"/>
      <c r="S132" s="45"/>
      <c r="T132" s="45"/>
      <c r="U132" s="45"/>
      <c r="V132" s="45"/>
      <c r="W132" s="45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41" t="s">
        <v>27</v>
      </c>
      <c r="B133" s="41" t="s">
        <v>34</v>
      </c>
      <c r="C133" s="41" t="s">
        <v>35</v>
      </c>
      <c r="D133" s="41" t="s">
        <v>40</v>
      </c>
      <c r="E133" s="41" t="s">
        <v>25</v>
      </c>
      <c r="F133" s="41" t="s">
        <v>25</v>
      </c>
      <c r="G133" s="41" t="s">
        <v>25</v>
      </c>
      <c r="H133" s="41" t="s">
        <v>36</v>
      </c>
      <c r="I133" s="60">
        <v>44562</v>
      </c>
      <c r="J133" s="61">
        <f>EFEITO!$J$133*EFEITO!$Y$133</f>
        <v>0</v>
      </c>
      <c r="K133" s="61">
        <f ca="1">EFEITO!$L$133*EFEITO!$Z$133</f>
        <v>1982.3332283144782</v>
      </c>
      <c r="L133" s="61">
        <f>EFEITO!$N$133*EFEITO!$AA$133</f>
        <v>846.04562608799813</v>
      </c>
      <c r="M133" s="61">
        <f>$J$133-EFEITO!$K$133*EFEITO!$Y$133</f>
        <v>0</v>
      </c>
      <c r="N133" s="61">
        <f ca="1">$K$133-EFEITO!$M$133*EFEITO!$Z$133</f>
        <v>0</v>
      </c>
      <c r="O133" s="61">
        <f>$L$133-EFEITO!$O$133*EFEITO!$AA$133</f>
        <v>0</v>
      </c>
      <c r="P133" s="45"/>
      <c r="Q133" s="45"/>
      <c r="R133" s="45"/>
      <c r="S133" s="45"/>
      <c r="T133" s="45"/>
      <c r="U133" s="45"/>
      <c r="V133" s="45"/>
      <c r="W133" s="45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41" t="s">
        <v>21</v>
      </c>
      <c r="B134" s="41" t="s">
        <v>34</v>
      </c>
      <c r="C134" s="41" t="s">
        <v>35</v>
      </c>
      <c r="D134" s="41" t="s">
        <v>40</v>
      </c>
      <c r="E134" s="41" t="s">
        <v>25</v>
      </c>
      <c r="F134" s="41" t="s">
        <v>25</v>
      </c>
      <c r="G134" s="41" t="s">
        <v>25</v>
      </c>
      <c r="H134" s="41" t="s">
        <v>36</v>
      </c>
      <c r="I134" s="60">
        <v>44593</v>
      </c>
      <c r="J134" s="61">
        <f>EFEITO!$J$134*EFEITO!$Y$134</f>
        <v>0</v>
      </c>
      <c r="K134" s="61">
        <f ca="1">EFEITO!$L$134*EFEITO!$Z$134</f>
        <v>5118.4168042256124</v>
      </c>
      <c r="L134" s="61">
        <f>EFEITO!$N$134*EFEITO!$AA$134</f>
        <v>2184.5036383678121</v>
      </c>
      <c r="M134" s="61">
        <f>$J$134-EFEITO!$K$134*EFEITO!$Y$134</f>
        <v>0</v>
      </c>
      <c r="N134" s="61">
        <f ca="1">$K$134-EFEITO!$M$134*EFEITO!$Z$134</f>
        <v>0</v>
      </c>
      <c r="O134" s="61">
        <f>$L$134-EFEITO!$O$134*EFEITO!$AA$134</f>
        <v>0</v>
      </c>
      <c r="P134" s="45"/>
      <c r="Q134" s="45"/>
      <c r="R134" s="45"/>
      <c r="S134" s="45"/>
      <c r="T134" s="45"/>
      <c r="U134" s="45"/>
      <c r="V134" s="45"/>
      <c r="W134" s="45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41" t="s">
        <v>27</v>
      </c>
      <c r="B135" s="41" t="s">
        <v>34</v>
      </c>
      <c r="C135" s="41" t="s">
        <v>35</v>
      </c>
      <c r="D135" s="41" t="s">
        <v>40</v>
      </c>
      <c r="E135" s="41" t="s">
        <v>25</v>
      </c>
      <c r="F135" s="41" t="s">
        <v>25</v>
      </c>
      <c r="G135" s="41" t="s">
        <v>25</v>
      </c>
      <c r="H135" s="41" t="s">
        <v>36</v>
      </c>
      <c r="I135" s="60">
        <v>44593</v>
      </c>
      <c r="J135" s="61">
        <f>EFEITO!$J$135*EFEITO!$Y$135</f>
        <v>0</v>
      </c>
      <c r="K135" s="61">
        <f ca="1">EFEITO!$L$135*EFEITO!$Z$135</f>
        <v>1906.2591651330586</v>
      </c>
      <c r="L135" s="61">
        <f>EFEITO!$N$135*EFEITO!$AA$135</f>
        <v>813.57776069883369</v>
      </c>
      <c r="M135" s="61">
        <f>$J$135-EFEITO!$K$135*EFEITO!$Y$135</f>
        <v>0</v>
      </c>
      <c r="N135" s="61">
        <f ca="1">$K$135-EFEITO!$M$135*EFEITO!$Z$135</f>
        <v>0</v>
      </c>
      <c r="O135" s="61">
        <f>$L$135-EFEITO!$O$135*EFEITO!$AA$135</f>
        <v>0</v>
      </c>
      <c r="P135" s="45"/>
      <c r="Q135" s="45"/>
      <c r="R135" s="45"/>
      <c r="S135" s="45"/>
      <c r="T135" s="45"/>
      <c r="U135" s="45"/>
      <c r="V135" s="45"/>
      <c r="W135" s="45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41" t="s">
        <v>21</v>
      </c>
      <c r="B136" s="41" t="s">
        <v>34</v>
      </c>
      <c r="C136" s="41" t="s">
        <v>35</v>
      </c>
      <c r="D136" s="41" t="s">
        <v>40</v>
      </c>
      <c r="E136" s="41" t="s">
        <v>25</v>
      </c>
      <c r="F136" s="41" t="s">
        <v>25</v>
      </c>
      <c r="G136" s="41" t="s">
        <v>25</v>
      </c>
      <c r="H136" s="41" t="s">
        <v>36</v>
      </c>
      <c r="I136" s="60">
        <v>44621</v>
      </c>
      <c r="J136" s="61">
        <f>EFEITO!$J$136*EFEITO!$Y$136</f>
        <v>0</v>
      </c>
      <c r="K136" s="61">
        <f ca="1">EFEITO!$L$136*EFEITO!$Z$136</f>
        <v>4889.7516955404208</v>
      </c>
      <c r="L136" s="61">
        <f>EFEITO!$N$136*EFEITO!$AA$136</f>
        <v>2086.9110074827727</v>
      </c>
      <c r="M136" s="61">
        <f>$J$136-EFEITO!$K$136*EFEITO!$Y$136</f>
        <v>0</v>
      </c>
      <c r="N136" s="61">
        <f ca="1">$K$136-EFEITO!$M$136*EFEITO!$Z$136</f>
        <v>0</v>
      </c>
      <c r="O136" s="61">
        <f>$L$136-EFEITO!$O$136*EFEITO!$AA$136</f>
        <v>0</v>
      </c>
      <c r="P136" s="45"/>
      <c r="Q136" s="45"/>
      <c r="R136" s="45"/>
      <c r="S136" s="45"/>
      <c r="T136" s="45"/>
      <c r="U136" s="45"/>
      <c r="V136" s="45"/>
      <c r="W136" s="45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41" t="s">
        <v>27</v>
      </c>
      <c r="B137" s="41" t="s">
        <v>34</v>
      </c>
      <c r="C137" s="41" t="s">
        <v>35</v>
      </c>
      <c r="D137" s="41" t="s">
        <v>40</v>
      </c>
      <c r="E137" s="41" t="s">
        <v>25</v>
      </c>
      <c r="F137" s="41" t="s">
        <v>25</v>
      </c>
      <c r="G137" s="41" t="s">
        <v>25</v>
      </c>
      <c r="H137" s="41" t="s">
        <v>36</v>
      </c>
      <c r="I137" s="60">
        <v>44621</v>
      </c>
      <c r="J137" s="61">
        <f>EFEITO!$J$137*EFEITO!$Y$137</f>
        <v>0</v>
      </c>
      <c r="K137" s="61">
        <f ca="1">EFEITO!$L$137*EFEITO!$Z$137</f>
        <v>1636.1973211296054</v>
      </c>
      <c r="L137" s="61">
        <f>EFEITO!$N$137*EFEITO!$AA$137</f>
        <v>698.31729962758641</v>
      </c>
      <c r="M137" s="61">
        <f>$J$137-EFEITO!$K$137*EFEITO!$Y$137</f>
        <v>0</v>
      </c>
      <c r="N137" s="61">
        <f ca="1">$K$137-EFEITO!$M$137*EFEITO!$Z$137</f>
        <v>0</v>
      </c>
      <c r="O137" s="61">
        <f>$L$137-EFEITO!$O$137*EFEITO!$AA$137</f>
        <v>0</v>
      </c>
      <c r="P137" s="45"/>
      <c r="Q137" s="45"/>
      <c r="R137" s="45"/>
      <c r="S137" s="45"/>
      <c r="T137" s="45"/>
      <c r="U137" s="45"/>
      <c r="V137" s="45"/>
      <c r="W137" s="45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41" t="s">
        <v>21</v>
      </c>
      <c r="B138" s="41" t="s">
        <v>34</v>
      </c>
      <c r="C138" s="41" t="s">
        <v>35</v>
      </c>
      <c r="D138" s="41" t="s">
        <v>40</v>
      </c>
      <c r="E138" s="41" t="s">
        <v>25</v>
      </c>
      <c r="F138" s="41" t="s">
        <v>25</v>
      </c>
      <c r="G138" s="41" t="s">
        <v>25</v>
      </c>
      <c r="H138" s="41" t="s">
        <v>36</v>
      </c>
      <c r="I138" s="60">
        <v>44652</v>
      </c>
      <c r="J138" s="61">
        <f>EFEITO!$J$138*EFEITO!$Y$138</f>
        <v>0</v>
      </c>
      <c r="K138" s="61">
        <f ca="1">EFEITO!$L$138*EFEITO!$Z$138</f>
        <v>3576.1615525969478</v>
      </c>
      <c r="L138" s="61">
        <f>EFEITO!$N$138*EFEITO!$AA$138</f>
        <v>1526.2801412713493</v>
      </c>
      <c r="M138" s="61">
        <f>$J$138-EFEITO!$K$138*EFEITO!$Y$138</f>
        <v>0</v>
      </c>
      <c r="N138" s="61">
        <f ca="1">$K$138-EFEITO!$M$138*EFEITO!$Z$138</f>
        <v>0</v>
      </c>
      <c r="O138" s="61">
        <f>$L$138-EFEITO!$O$138*EFEITO!$AA$138</f>
        <v>0</v>
      </c>
      <c r="P138" s="45"/>
      <c r="Q138" s="45"/>
      <c r="R138" s="45"/>
      <c r="S138" s="45"/>
      <c r="T138" s="45"/>
      <c r="U138" s="45"/>
      <c r="V138" s="45"/>
      <c r="W138" s="45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41" t="s">
        <v>27</v>
      </c>
      <c r="B139" s="41" t="s">
        <v>34</v>
      </c>
      <c r="C139" s="41" t="s">
        <v>35</v>
      </c>
      <c r="D139" s="41" t="s">
        <v>40</v>
      </c>
      <c r="E139" s="41" t="s">
        <v>25</v>
      </c>
      <c r="F139" s="41" t="s">
        <v>25</v>
      </c>
      <c r="G139" s="41" t="s">
        <v>25</v>
      </c>
      <c r="H139" s="41" t="s">
        <v>36</v>
      </c>
      <c r="I139" s="60">
        <v>44652</v>
      </c>
      <c r="J139" s="61">
        <f>EFEITO!$J$139*EFEITO!$Y$139</f>
        <v>0</v>
      </c>
      <c r="K139" s="61">
        <f ca="1">EFEITO!$L$139*EFEITO!$Z$139</f>
        <v>942.01339241974119</v>
      </c>
      <c r="L139" s="61">
        <f>EFEITO!$N$139*EFEITO!$AA$139</f>
        <v>402.04456999931028</v>
      </c>
      <c r="M139" s="61">
        <f>$J$139-EFEITO!$K$139*EFEITO!$Y$139</f>
        <v>0</v>
      </c>
      <c r="N139" s="61">
        <f ca="1">$K$139-EFEITO!$M$139*EFEITO!$Z$139</f>
        <v>0</v>
      </c>
      <c r="O139" s="61">
        <f>$L$139-EFEITO!$O$139*EFEITO!$AA$139</f>
        <v>0</v>
      </c>
      <c r="P139" s="45"/>
      <c r="Q139" s="45"/>
      <c r="R139" s="45"/>
      <c r="S139" s="45"/>
      <c r="T139" s="45"/>
      <c r="U139" s="45"/>
      <c r="V139" s="45"/>
      <c r="W139" s="45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41" t="s">
        <v>21</v>
      </c>
      <c r="B140" s="41" t="s">
        <v>34</v>
      </c>
      <c r="C140" s="41" t="s">
        <v>35</v>
      </c>
      <c r="D140" s="41" t="s">
        <v>40</v>
      </c>
      <c r="E140" s="41" t="s">
        <v>25</v>
      </c>
      <c r="F140" s="41" t="s">
        <v>25</v>
      </c>
      <c r="G140" s="41" t="s">
        <v>25</v>
      </c>
      <c r="H140" s="41" t="s">
        <v>36</v>
      </c>
      <c r="I140" s="60">
        <v>44682</v>
      </c>
      <c r="J140" s="61">
        <f>EFEITO!$J$140*EFEITO!$Y$140</f>
        <v>0</v>
      </c>
      <c r="K140" s="61">
        <f ca="1">EFEITO!$L$140*EFEITO!$Z$140</f>
        <v>3811.9133675370399</v>
      </c>
      <c r="L140" s="61">
        <f>EFEITO!$N$140*EFEITO!$AA$140</f>
        <v>1626.8973276371171</v>
      </c>
      <c r="M140" s="61">
        <f>$J$140-EFEITO!$K$140*EFEITO!$Y$140</f>
        <v>0</v>
      </c>
      <c r="N140" s="61">
        <f ca="1">$K$140-EFEITO!$M$140*EFEITO!$Z$140</f>
        <v>0</v>
      </c>
      <c r="O140" s="61">
        <f>$L$140-EFEITO!$O$140*EFEITO!$AA$140</f>
        <v>0</v>
      </c>
      <c r="P140" s="45"/>
      <c r="Q140" s="45"/>
      <c r="R140" s="45"/>
      <c r="S140" s="45"/>
      <c r="T140" s="45"/>
      <c r="U140" s="45"/>
      <c r="V140" s="45"/>
      <c r="W140" s="45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41" t="s">
        <v>27</v>
      </c>
      <c r="B141" s="41" t="s">
        <v>34</v>
      </c>
      <c r="C141" s="41" t="s">
        <v>35</v>
      </c>
      <c r="D141" s="41" t="s">
        <v>40</v>
      </c>
      <c r="E141" s="41" t="s">
        <v>25</v>
      </c>
      <c r="F141" s="41" t="s">
        <v>25</v>
      </c>
      <c r="G141" s="41" t="s">
        <v>25</v>
      </c>
      <c r="H141" s="41" t="s">
        <v>36</v>
      </c>
      <c r="I141" s="60">
        <v>44682</v>
      </c>
      <c r="J141" s="61">
        <f>EFEITO!$J$141*EFEITO!$Y$141</f>
        <v>0</v>
      </c>
      <c r="K141" s="61">
        <f ca="1">EFEITO!$L$141*EFEITO!$Z$141</f>
        <v>900.2385553958062</v>
      </c>
      <c r="L141" s="61">
        <f>EFEITO!$N$141*EFEITO!$AA$141</f>
        <v>384.21536871275828</v>
      </c>
      <c r="M141" s="61">
        <f>$J$141-EFEITO!$K$141*EFEITO!$Y$141</f>
        <v>0</v>
      </c>
      <c r="N141" s="61">
        <f ca="1">$K$141-EFEITO!$M$141*EFEITO!$Z$141</f>
        <v>0</v>
      </c>
      <c r="O141" s="61">
        <f>$L$141-EFEITO!$O$141*EFEITO!$AA$141</f>
        <v>0</v>
      </c>
      <c r="P141" s="45"/>
      <c r="Q141" s="45"/>
      <c r="R141" s="45"/>
      <c r="S141" s="45"/>
      <c r="T141" s="45"/>
      <c r="U141" s="45"/>
      <c r="V141" s="45"/>
      <c r="W141" s="45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41" t="s">
        <v>21</v>
      </c>
      <c r="B142" s="41" t="s">
        <v>34</v>
      </c>
      <c r="C142" s="41" t="s">
        <v>35</v>
      </c>
      <c r="D142" s="41" t="s">
        <v>40</v>
      </c>
      <c r="E142" s="41" t="s">
        <v>25</v>
      </c>
      <c r="F142" s="41" t="s">
        <v>25</v>
      </c>
      <c r="G142" s="41" t="s">
        <v>25</v>
      </c>
      <c r="H142" s="41" t="s">
        <v>36</v>
      </c>
      <c r="I142" s="60">
        <v>44713</v>
      </c>
      <c r="J142" s="61">
        <f>EFEITO!$J$142*EFEITO!$Y$142</f>
        <v>0</v>
      </c>
      <c r="K142" s="61">
        <f ca="1">EFEITO!$L$142*EFEITO!$Z$142</f>
        <v>3339.4806877514879</v>
      </c>
      <c r="L142" s="61">
        <f>EFEITO!$N$142*EFEITO!$AA$142</f>
        <v>1425.2664430590228</v>
      </c>
      <c r="M142" s="61">
        <f>$J$142-EFEITO!$K$142*EFEITO!$Y$142</f>
        <v>0</v>
      </c>
      <c r="N142" s="61">
        <f ca="1">$K$142-EFEITO!$M$142*EFEITO!$Z$142</f>
        <v>0</v>
      </c>
      <c r="O142" s="61">
        <f>$L$142-EFEITO!$O$142*EFEITO!$AA$142</f>
        <v>0</v>
      </c>
      <c r="P142" s="45"/>
      <c r="Q142" s="45"/>
      <c r="R142" s="45"/>
      <c r="S142" s="45"/>
      <c r="T142" s="45"/>
      <c r="U142" s="45"/>
      <c r="V142" s="45"/>
      <c r="W142" s="45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41" t="s">
        <v>27</v>
      </c>
      <c r="B143" s="41" t="s">
        <v>34</v>
      </c>
      <c r="C143" s="41" t="s">
        <v>35</v>
      </c>
      <c r="D143" s="41" t="s">
        <v>40</v>
      </c>
      <c r="E143" s="41" t="s">
        <v>25</v>
      </c>
      <c r="F143" s="41" t="s">
        <v>25</v>
      </c>
      <c r="G143" s="41" t="s">
        <v>25</v>
      </c>
      <c r="H143" s="41" t="s">
        <v>36</v>
      </c>
      <c r="I143" s="60">
        <v>44713</v>
      </c>
      <c r="J143" s="61">
        <f>EFEITO!$J$143*EFEITO!$Y$143</f>
        <v>0</v>
      </c>
      <c r="K143" s="61">
        <f ca="1">EFEITO!$L$143*EFEITO!$Z$143</f>
        <v>865.31276069749174</v>
      </c>
      <c r="L143" s="61">
        <f>EFEITO!$N$143*EFEITO!$AA$143</f>
        <v>369.30928964386186</v>
      </c>
      <c r="M143" s="61">
        <f>$J$143-EFEITO!$K$143*EFEITO!$Y$143</f>
        <v>0</v>
      </c>
      <c r="N143" s="61">
        <f ca="1">$K$143-EFEITO!$M$143*EFEITO!$Z$143</f>
        <v>0</v>
      </c>
      <c r="O143" s="61">
        <f>$L$143-EFEITO!$O$143*EFEITO!$AA$143</f>
        <v>0</v>
      </c>
      <c r="P143" s="45"/>
      <c r="Q143" s="45"/>
      <c r="R143" s="45"/>
      <c r="S143" s="45"/>
      <c r="T143" s="45"/>
      <c r="U143" s="45"/>
      <c r="V143" s="45"/>
      <c r="W143" s="45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41" t="s">
        <v>21</v>
      </c>
      <c r="B144" s="41" t="s">
        <v>34</v>
      </c>
      <c r="C144" s="41" t="s">
        <v>35</v>
      </c>
      <c r="D144" s="41" t="s">
        <v>40</v>
      </c>
      <c r="E144" s="41" t="s">
        <v>25</v>
      </c>
      <c r="F144" s="41" t="s">
        <v>25</v>
      </c>
      <c r="G144" s="41" t="s">
        <v>25</v>
      </c>
      <c r="H144" s="41" t="s">
        <v>36</v>
      </c>
      <c r="I144" s="60">
        <v>44743</v>
      </c>
      <c r="J144" s="61">
        <f>EFEITO!$J$144*EFEITO!$Y$144</f>
        <v>0</v>
      </c>
      <c r="K144" s="61">
        <f ca="1">EFEITO!$L$144*EFEITO!$Z$144</f>
        <v>3577.9224262547968</v>
      </c>
      <c r="L144" s="61">
        <f>EFEITO!$N$144*EFEITO!$AA$144</f>
        <v>1527.0316695386646</v>
      </c>
      <c r="M144" s="61">
        <f>$J$144-EFEITO!$K$144*EFEITO!$Y$144</f>
        <v>0</v>
      </c>
      <c r="N144" s="61">
        <f ca="1">$K$144-EFEITO!$M$144*EFEITO!$Z$144</f>
        <v>0</v>
      </c>
      <c r="O144" s="61">
        <f>$L$144-EFEITO!$O$144*EFEITO!$AA$144</f>
        <v>0</v>
      </c>
      <c r="P144" s="45"/>
      <c r="Q144" s="45"/>
      <c r="R144" s="45"/>
      <c r="S144" s="45"/>
      <c r="T144" s="45"/>
      <c r="U144" s="45"/>
      <c r="V144" s="45"/>
      <c r="W144" s="45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41" t="s">
        <v>27</v>
      </c>
      <c r="B145" s="41" t="s">
        <v>34</v>
      </c>
      <c r="C145" s="41" t="s">
        <v>35</v>
      </c>
      <c r="D145" s="41" t="s">
        <v>40</v>
      </c>
      <c r="E145" s="41" t="s">
        <v>25</v>
      </c>
      <c r="F145" s="41" t="s">
        <v>25</v>
      </c>
      <c r="G145" s="41" t="s">
        <v>25</v>
      </c>
      <c r="H145" s="41" t="s">
        <v>36</v>
      </c>
      <c r="I145" s="60">
        <v>44743</v>
      </c>
      <c r="J145" s="61">
        <f>EFEITO!$J$145*EFEITO!$Y$145</f>
        <v>0</v>
      </c>
      <c r="K145" s="61">
        <f ca="1">EFEITO!$L$145*EFEITO!$Z$145</f>
        <v>815.92187503071341</v>
      </c>
      <c r="L145" s="61">
        <f>EFEITO!$N$145*EFEITO!$AA$145</f>
        <v>348.22961333609982</v>
      </c>
      <c r="M145" s="61">
        <f>$J$145-EFEITO!$K$145*EFEITO!$Y$145</f>
        <v>0</v>
      </c>
      <c r="N145" s="61">
        <f ca="1">$K$145-EFEITO!$M$145*EFEITO!$Z$145</f>
        <v>0</v>
      </c>
      <c r="O145" s="61">
        <f>$L$145-EFEITO!$O$145*EFEITO!$AA$145</f>
        <v>0</v>
      </c>
      <c r="P145" s="45"/>
      <c r="Q145" s="45"/>
      <c r="R145" s="45"/>
      <c r="S145" s="45"/>
      <c r="T145" s="45"/>
      <c r="U145" s="45"/>
      <c r="V145" s="45"/>
      <c r="W145" s="45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41" t="s">
        <v>21</v>
      </c>
      <c r="B146" s="41" t="s">
        <v>34</v>
      </c>
      <c r="C146" s="41" t="s">
        <v>35</v>
      </c>
      <c r="D146" s="41" t="s">
        <v>33</v>
      </c>
      <c r="E146" s="41" t="s">
        <v>25</v>
      </c>
      <c r="F146" s="41" t="s">
        <v>55</v>
      </c>
      <c r="G146" s="41" t="s">
        <v>25</v>
      </c>
      <c r="H146" s="41" t="s">
        <v>37</v>
      </c>
      <c r="I146" s="60">
        <v>44409</v>
      </c>
      <c r="J146" s="61">
        <f>EFEITO!$J$146*EFEITO!$Y$146</f>
        <v>0</v>
      </c>
      <c r="K146" s="61">
        <f ca="1">EFEITO!$L$146*EFEITO!$Z$146</f>
        <v>415881.99896899826</v>
      </c>
      <c r="L146" s="61">
        <f>EFEITO!$N$146*EFEITO!$AA$146</f>
        <v>0</v>
      </c>
      <c r="M146" s="61">
        <f>$J$146-EFEITO!$K$146*EFEITO!$Y$146</f>
        <v>0</v>
      </c>
      <c r="N146" s="61">
        <f ca="1">$K$146-EFEITO!$M$146*EFEITO!$Z$146</f>
        <v>0</v>
      </c>
      <c r="O146" s="61">
        <f>$L$146-EFEITO!$O$146*EFEITO!$AA$146</f>
        <v>0</v>
      </c>
      <c r="P146" s="45"/>
      <c r="Q146" s="45"/>
      <c r="R146" s="45"/>
      <c r="S146" s="45"/>
      <c r="T146" s="45"/>
      <c r="U146" s="45"/>
      <c r="V146" s="45"/>
      <c r="W146" s="45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41" t="s">
        <v>21</v>
      </c>
      <c r="B147" s="41" t="s">
        <v>34</v>
      </c>
      <c r="C147" s="41" t="s">
        <v>35</v>
      </c>
      <c r="D147" s="41" t="s">
        <v>33</v>
      </c>
      <c r="E147" s="41" t="s">
        <v>25</v>
      </c>
      <c r="F147" s="41" t="s">
        <v>55</v>
      </c>
      <c r="G147" s="41" t="s">
        <v>25</v>
      </c>
      <c r="H147" s="41" t="s">
        <v>37</v>
      </c>
      <c r="I147" s="60">
        <v>44440</v>
      </c>
      <c r="J147" s="61">
        <f>EFEITO!$J$147*EFEITO!$Y$147</f>
        <v>0</v>
      </c>
      <c r="K147" s="61">
        <f ca="1">EFEITO!$L$147*EFEITO!$Z$147</f>
        <v>388680.08499940508</v>
      </c>
      <c r="L147" s="61">
        <f>EFEITO!$N$147*EFEITO!$AA$147</f>
        <v>0</v>
      </c>
      <c r="M147" s="61">
        <f>$J$147-EFEITO!$K$147*EFEITO!$Y$147</f>
        <v>0</v>
      </c>
      <c r="N147" s="61">
        <f ca="1">$K$147-EFEITO!$M$147*EFEITO!$Z$147</f>
        <v>0</v>
      </c>
      <c r="O147" s="61">
        <f>$L$147-EFEITO!$O$147*EFEITO!$AA$147</f>
        <v>0</v>
      </c>
      <c r="P147" s="45"/>
      <c r="Q147" s="45"/>
      <c r="R147" s="45"/>
      <c r="S147" s="45"/>
      <c r="T147" s="45"/>
      <c r="U147" s="45"/>
      <c r="V147" s="45"/>
      <c r="W147" s="45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41" t="s">
        <v>21</v>
      </c>
      <c r="B148" s="41" t="s">
        <v>34</v>
      </c>
      <c r="C148" s="41" t="s">
        <v>35</v>
      </c>
      <c r="D148" s="41" t="s">
        <v>33</v>
      </c>
      <c r="E148" s="41" t="s">
        <v>25</v>
      </c>
      <c r="F148" s="41" t="s">
        <v>55</v>
      </c>
      <c r="G148" s="41" t="s">
        <v>25</v>
      </c>
      <c r="H148" s="41" t="s">
        <v>37</v>
      </c>
      <c r="I148" s="60">
        <v>44470</v>
      </c>
      <c r="J148" s="61">
        <f>EFEITO!$J$148*EFEITO!$Y$148</f>
        <v>0</v>
      </c>
      <c r="K148" s="61">
        <f ca="1">EFEITO!$L$148*EFEITO!$Z$148</f>
        <v>431242.57372796041</v>
      </c>
      <c r="L148" s="61">
        <f>EFEITO!$N$148*EFEITO!$AA$148</f>
        <v>0</v>
      </c>
      <c r="M148" s="61">
        <f>$J$148-EFEITO!$K$148*EFEITO!$Y$148</f>
        <v>0</v>
      </c>
      <c r="N148" s="61">
        <f ca="1">$K$148-EFEITO!$M$148*EFEITO!$Z$148</f>
        <v>0</v>
      </c>
      <c r="O148" s="61">
        <f>$L$148-EFEITO!$O$148*EFEITO!$AA$148</f>
        <v>0</v>
      </c>
      <c r="P148" s="45"/>
      <c r="Q148" s="45"/>
      <c r="R148" s="45"/>
      <c r="S148" s="45"/>
      <c r="T148" s="45"/>
      <c r="U148" s="45"/>
      <c r="V148" s="45"/>
      <c r="W148" s="45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41" t="s">
        <v>21</v>
      </c>
      <c r="B149" s="41" t="s">
        <v>34</v>
      </c>
      <c r="C149" s="41" t="s">
        <v>35</v>
      </c>
      <c r="D149" s="41" t="s">
        <v>33</v>
      </c>
      <c r="E149" s="41" t="s">
        <v>25</v>
      </c>
      <c r="F149" s="41" t="s">
        <v>55</v>
      </c>
      <c r="G149" s="41" t="s">
        <v>25</v>
      </c>
      <c r="H149" s="41" t="s">
        <v>37</v>
      </c>
      <c r="I149" s="60">
        <v>44501</v>
      </c>
      <c r="J149" s="61">
        <f>EFEITO!$J$149*EFEITO!$Y$149</f>
        <v>0</v>
      </c>
      <c r="K149" s="61">
        <f ca="1">EFEITO!$L$149*EFEITO!$Z$149</f>
        <v>450627.33800809184</v>
      </c>
      <c r="L149" s="61">
        <f>EFEITO!$N$149*EFEITO!$AA$149</f>
        <v>0</v>
      </c>
      <c r="M149" s="61">
        <f>$J$149-EFEITO!$K$149*EFEITO!$Y$149</f>
        <v>0</v>
      </c>
      <c r="N149" s="61">
        <f ca="1">$K$149-EFEITO!$M$149*EFEITO!$Z$149</f>
        <v>0</v>
      </c>
      <c r="O149" s="61">
        <f>$L$149-EFEITO!$O$149*EFEITO!$AA$149</f>
        <v>0</v>
      </c>
      <c r="P149" s="45"/>
      <c r="Q149" s="45"/>
      <c r="R149" s="45"/>
      <c r="S149" s="45"/>
      <c r="T149" s="45"/>
      <c r="U149" s="45"/>
      <c r="V149" s="45"/>
      <c r="W149" s="45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41" t="s">
        <v>21</v>
      </c>
      <c r="B150" s="41" t="s">
        <v>34</v>
      </c>
      <c r="C150" s="41" t="s">
        <v>35</v>
      </c>
      <c r="D150" s="41" t="s">
        <v>33</v>
      </c>
      <c r="E150" s="41" t="s">
        <v>25</v>
      </c>
      <c r="F150" s="41" t="s">
        <v>55</v>
      </c>
      <c r="G150" s="41" t="s">
        <v>25</v>
      </c>
      <c r="H150" s="41" t="s">
        <v>37</v>
      </c>
      <c r="I150" s="60">
        <v>44531</v>
      </c>
      <c r="J150" s="61">
        <f>EFEITO!$J$150*EFEITO!$Y$150</f>
        <v>0</v>
      </c>
      <c r="K150" s="61">
        <f ca="1">EFEITO!$L$150*EFEITO!$Z$150</f>
        <v>346621.86569415563</v>
      </c>
      <c r="L150" s="61">
        <f>EFEITO!$N$150*EFEITO!$AA$150</f>
        <v>0</v>
      </c>
      <c r="M150" s="61">
        <f>$J$150-EFEITO!$K$150*EFEITO!$Y$150</f>
        <v>0</v>
      </c>
      <c r="N150" s="61">
        <f ca="1">$K$150-EFEITO!$M$150*EFEITO!$Z$150</f>
        <v>0</v>
      </c>
      <c r="O150" s="61">
        <f>$L$150-EFEITO!$O$150*EFEITO!$AA$150</f>
        <v>0</v>
      </c>
      <c r="P150" s="45"/>
      <c r="Q150" s="45"/>
      <c r="R150" s="45"/>
      <c r="S150" s="45"/>
      <c r="T150" s="45"/>
      <c r="U150" s="45"/>
      <c r="V150" s="45"/>
      <c r="W150" s="45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41" t="s">
        <v>21</v>
      </c>
      <c r="B151" s="41" t="s">
        <v>34</v>
      </c>
      <c r="C151" s="41" t="s">
        <v>35</v>
      </c>
      <c r="D151" s="41" t="s">
        <v>33</v>
      </c>
      <c r="E151" s="41" t="s">
        <v>25</v>
      </c>
      <c r="F151" s="41" t="s">
        <v>55</v>
      </c>
      <c r="G151" s="41" t="s">
        <v>25</v>
      </c>
      <c r="H151" s="41" t="s">
        <v>37</v>
      </c>
      <c r="I151" s="60">
        <v>44562</v>
      </c>
      <c r="J151" s="61">
        <f>EFEITO!$J$151*EFEITO!$Y$151</f>
        <v>0</v>
      </c>
      <c r="K151" s="61">
        <f ca="1">EFEITO!$L$151*EFEITO!$Z$151</f>
        <v>366021.9154473829</v>
      </c>
      <c r="L151" s="61">
        <f>EFEITO!$N$151*EFEITO!$AA$151</f>
        <v>0</v>
      </c>
      <c r="M151" s="61">
        <f>$J$151-EFEITO!$K$151*EFEITO!$Y$151</f>
        <v>0</v>
      </c>
      <c r="N151" s="61">
        <f ca="1">$K$151-EFEITO!$M$151*EFEITO!$Z$151</f>
        <v>0</v>
      </c>
      <c r="O151" s="61">
        <f>$L$151-EFEITO!$O$151*EFEITO!$AA$151</f>
        <v>0</v>
      </c>
      <c r="P151" s="45"/>
      <c r="Q151" s="45"/>
      <c r="R151" s="45"/>
      <c r="S151" s="45"/>
      <c r="T151" s="45"/>
      <c r="U151" s="45"/>
      <c r="V151" s="45"/>
      <c r="W151" s="45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41" t="s">
        <v>21</v>
      </c>
      <c r="B152" s="41" t="s">
        <v>34</v>
      </c>
      <c r="C152" s="41" t="s">
        <v>35</v>
      </c>
      <c r="D152" s="41" t="s">
        <v>33</v>
      </c>
      <c r="E152" s="41" t="s">
        <v>25</v>
      </c>
      <c r="F152" s="41" t="s">
        <v>55</v>
      </c>
      <c r="G152" s="41" t="s">
        <v>25</v>
      </c>
      <c r="H152" s="41" t="s">
        <v>37</v>
      </c>
      <c r="I152" s="60">
        <v>44593</v>
      </c>
      <c r="J152" s="61">
        <f>EFEITO!$J$152*EFEITO!$Y$152</f>
        <v>0</v>
      </c>
      <c r="K152" s="61">
        <f ca="1">EFEITO!$L$152*EFEITO!$Z$152</f>
        <v>376973.86802703951</v>
      </c>
      <c r="L152" s="61">
        <f>EFEITO!$N$152*EFEITO!$AA$152</f>
        <v>0</v>
      </c>
      <c r="M152" s="61">
        <f>$J$152-EFEITO!$K$152*EFEITO!$Y$152</f>
        <v>0</v>
      </c>
      <c r="N152" s="61">
        <f ca="1">$K$152-EFEITO!$M$152*EFEITO!$Z$152</f>
        <v>0</v>
      </c>
      <c r="O152" s="61">
        <f>$L$152-EFEITO!$O$152*EFEITO!$AA$152</f>
        <v>0</v>
      </c>
      <c r="P152" s="45"/>
      <c r="Q152" s="45"/>
      <c r="R152" s="45"/>
      <c r="S152" s="45"/>
      <c r="T152" s="45"/>
      <c r="U152" s="45"/>
      <c r="V152" s="45"/>
      <c r="W152" s="45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41" t="s">
        <v>21</v>
      </c>
      <c r="B153" s="41" t="s">
        <v>34</v>
      </c>
      <c r="C153" s="41" t="s">
        <v>35</v>
      </c>
      <c r="D153" s="41" t="s">
        <v>33</v>
      </c>
      <c r="E153" s="41" t="s">
        <v>25</v>
      </c>
      <c r="F153" s="41" t="s">
        <v>55</v>
      </c>
      <c r="G153" s="41" t="s">
        <v>25</v>
      </c>
      <c r="H153" s="41" t="s">
        <v>37</v>
      </c>
      <c r="I153" s="60">
        <v>44621</v>
      </c>
      <c r="J153" s="61">
        <f>EFEITO!$J$153*EFEITO!$Y$153</f>
        <v>0</v>
      </c>
      <c r="K153" s="61">
        <f ca="1">EFEITO!$L$153*EFEITO!$Z$153</f>
        <v>424648.05330153613</v>
      </c>
      <c r="L153" s="61">
        <f>EFEITO!$N$153*EFEITO!$AA$153</f>
        <v>0</v>
      </c>
      <c r="M153" s="61">
        <f>$J$153-EFEITO!$K$153*EFEITO!$Y$153</f>
        <v>0</v>
      </c>
      <c r="N153" s="61">
        <f ca="1">$K$153-EFEITO!$M$153*EFEITO!$Z$153</f>
        <v>0</v>
      </c>
      <c r="O153" s="61">
        <f>$L$153-EFEITO!$O$153*EFEITO!$AA$153</f>
        <v>0</v>
      </c>
      <c r="P153" s="45"/>
      <c r="Q153" s="45"/>
      <c r="R153" s="45"/>
      <c r="S153" s="45"/>
      <c r="T153" s="45"/>
      <c r="U153" s="45"/>
      <c r="V153" s="45"/>
      <c r="W153" s="45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41" t="s">
        <v>21</v>
      </c>
      <c r="B154" s="41" t="s">
        <v>34</v>
      </c>
      <c r="C154" s="41" t="s">
        <v>35</v>
      </c>
      <c r="D154" s="41" t="s">
        <v>33</v>
      </c>
      <c r="E154" s="41" t="s">
        <v>25</v>
      </c>
      <c r="F154" s="41" t="s">
        <v>55</v>
      </c>
      <c r="G154" s="41" t="s">
        <v>25</v>
      </c>
      <c r="H154" s="41" t="s">
        <v>37</v>
      </c>
      <c r="I154" s="60">
        <v>44652</v>
      </c>
      <c r="J154" s="61">
        <f>EFEITO!$J$154*EFEITO!$Y$154</f>
        <v>0</v>
      </c>
      <c r="K154" s="61">
        <f ca="1">EFEITO!$L$154*EFEITO!$Z$154</f>
        <v>399550.2836062811</v>
      </c>
      <c r="L154" s="61">
        <f>EFEITO!$N$154*EFEITO!$AA$154</f>
        <v>0</v>
      </c>
      <c r="M154" s="61">
        <f>$J$154-EFEITO!$K$154*EFEITO!$Y$154</f>
        <v>0</v>
      </c>
      <c r="N154" s="61">
        <f ca="1">$K$154-EFEITO!$M$154*EFEITO!$Z$154</f>
        <v>0</v>
      </c>
      <c r="O154" s="61">
        <f>$L$154-EFEITO!$O$154*EFEITO!$AA$154</f>
        <v>0</v>
      </c>
      <c r="P154" s="45"/>
      <c r="Q154" s="45"/>
      <c r="R154" s="45"/>
      <c r="S154" s="45"/>
      <c r="T154" s="45"/>
      <c r="U154" s="45"/>
      <c r="V154" s="45"/>
      <c r="W154" s="45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41" t="s">
        <v>21</v>
      </c>
      <c r="B155" s="41" t="s">
        <v>34</v>
      </c>
      <c r="C155" s="41" t="s">
        <v>35</v>
      </c>
      <c r="D155" s="41" t="s">
        <v>33</v>
      </c>
      <c r="E155" s="41" t="s">
        <v>25</v>
      </c>
      <c r="F155" s="41" t="s">
        <v>55</v>
      </c>
      <c r="G155" s="41" t="s">
        <v>25</v>
      </c>
      <c r="H155" s="41" t="s">
        <v>37</v>
      </c>
      <c r="I155" s="60">
        <v>44682</v>
      </c>
      <c r="J155" s="61">
        <f>EFEITO!$J$155*EFEITO!$Y$155</f>
        <v>0</v>
      </c>
      <c r="K155" s="61">
        <f ca="1">EFEITO!$L$155*EFEITO!$Z$155</f>
        <v>407962.12345288217</v>
      </c>
      <c r="L155" s="61">
        <f>EFEITO!$N$155*EFEITO!$AA$155</f>
        <v>0</v>
      </c>
      <c r="M155" s="61">
        <f>$J$155-EFEITO!$K$155*EFEITO!$Y$155</f>
        <v>0</v>
      </c>
      <c r="N155" s="61">
        <f ca="1">$K$155-EFEITO!$M$155*EFEITO!$Z$155</f>
        <v>0</v>
      </c>
      <c r="O155" s="61">
        <f>$L$155-EFEITO!$O$155*EFEITO!$AA$155</f>
        <v>0</v>
      </c>
      <c r="P155" s="45"/>
      <c r="Q155" s="45"/>
      <c r="R155" s="45"/>
      <c r="S155" s="45"/>
      <c r="T155" s="45"/>
      <c r="U155" s="45"/>
      <c r="V155" s="45"/>
      <c r="W155" s="45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41" t="s">
        <v>21</v>
      </c>
      <c r="B156" s="41" t="s">
        <v>34</v>
      </c>
      <c r="C156" s="41" t="s">
        <v>35</v>
      </c>
      <c r="D156" s="41" t="s">
        <v>33</v>
      </c>
      <c r="E156" s="41" t="s">
        <v>25</v>
      </c>
      <c r="F156" s="41" t="s">
        <v>55</v>
      </c>
      <c r="G156" s="41" t="s">
        <v>25</v>
      </c>
      <c r="H156" s="41" t="s">
        <v>37</v>
      </c>
      <c r="I156" s="60">
        <v>44713</v>
      </c>
      <c r="J156" s="61">
        <f>EFEITO!$J$156*EFEITO!$Y$156</f>
        <v>0</v>
      </c>
      <c r="K156" s="61">
        <f ca="1">EFEITO!$L$156*EFEITO!$Z$156</f>
        <v>415131.34910981188</v>
      </c>
      <c r="L156" s="61">
        <f>EFEITO!$N$156*EFEITO!$AA$156</f>
        <v>0</v>
      </c>
      <c r="M156" s="61">
        <f>$J$156-EFEITO!$K$156*EFEITO!$Y$156</f>
        <v>0</v>
      </c>
      <c r="N156" s="61">
        <f ca="1">$K$156-EFEITO!$M$156*EFEITO!$Z$156</f>
        <v>0</v>
      </c>
      <c r="O156" s="61">
        <f>$L$156-EFEITO!$O$156*EFEITO!$AA$156</f>
        <v>0</v>
      </c>
      <c r="P156" s="45"/>
      <c r="Q156" s="45"/>
      <c r="R156" s="45"/>
      <c r="S156" s="45"/>
      <c r="T156" s="45"/>
      <c r="U156" s="45"/>
      <c r="V156" s="45"/>
      <c r="W156" s="45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41" t="s">
        <v>21</v>
      </c>
      <c r="B157" s="41" t="s">
        <v>34</v>
      </c>
      <c r="C157" s="41" t="s">
        <v>35</v>
      </c>
      <c r="D157" s="41" t="s">
        <v>33</v>
      </c>
      <c r="E157" s="41" t="s">
        <v>25</v>
      </c>
      <c r="F157" s="41" t="s">
        <v>55</v>
      </c>
      <c r="G157" s="41" t="s">
        <v>25</v>
      </c>
      <c r="H157" s="41" t="s">
        <v>37</v>
      </c>
      <c r="I157" s="60">
        <v>44743</v>
      </c>
      <c r="J157" s="61">
        <f>EFEITO!$J$157*EFEITO!$Y$157</f>
        <v>0</v>
      </c>
      <c r="K157" s="61">
        <f ca="1">EFEITO!$L$157*EFEITO!$Z$157</f>
        <v>421156.38732066983</v>
      </c>
      <c r="L157" s="61">
        <f>EFEITO!$N$157*EFEITO!$AA$157</f>
        <v>0</v>
      </c>
      <c r="M157" s="61">
        <f>$J$157-EFEITO!$K$157*EFEITO!$Y$157</f>
        <v>0</v>
      </c>
      <c r="N157" s="61">
        <f ca="1">$K$157-EFEITO!$M$157*EFEITO!$Z$157</f>
        <v>0</v>
      </c>
      <c r="O157" s="61">
        <f>$L$157-EFEITO!$O$157*EFEITO!$AA$157</f>
        <v>0</v>
      </c>
      <c r="P157" s="45"/>
      <c r="Q157" s="45"/>
      <c r="R157" s="45"/>
      <c r="S157" s="45"/>
      <c r="T157" s="45"/>
      <c r="U157" s="45"/>
      <c r="V157" s="45"/>
      <c r="W157" s="45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41" t="s">
        <v>21</v>
      </c>
      <c r="B158" s="41" t="s">
        <v>34</v>
      </c>
      <c r="C158" s="41" t="s">
        <v>35</v>
      </c>
      <c r="D158" s="41" t="s">
        <v>33</v>
      </c>
      <c r="E158" s="41" t="s">
        <v>25</v>
      </c>
      <c r="F158" s="41" t="s">
        <v>55</v>
      </c>
      <c r="G158" s="41" t="s">
        <v>25</v>
      </c>
      <c r="H158" s="41" t="s">
        <v>25</v>
      </c>
      <c r="I158" s="60">
        <v>44409</v>
      </c>
      <c r="J158" s="61">
        <f ca="1">EFEITO!$J$158*EFEITO!$Y$158</f>
        <v>256785.38077309338</v>
      </c>
      <c r="K158" s="61">
        <f>EFEITO!$L$158*EFEITO!$Z$158</f>
        <v>0</v>
      </c>
      <c r="L158" s="61">
        <f>EFEITO!$N$158*EFEITO!$AA$158</f>
        <v>0</v>
      </c>
      <c r="M158" s="61">
        <f ca="1">$J$158-EFEITO!$K$158*EFEITO!$Y$158</f>
        <v>126891.04799759276</v>
      </c>
      <c r="N158" s="61">
        <f>$K$158-EFEITO!$M$158*EFEITO!$Z$158</f>
        <v>0</v>
      </c>
      <c r="O158" s="61">
        <f>$L$158-EFEITO!$O$158*EFEITO!$AA$158</f>
        <v>0</v>
      </c>
      <c r="P158" s="45"/>
      <c r="Q158" s="45"/>
      <c r="R158" s="45"/>
      <c r="S158" s="45"/>
      <c r="T158" s="45"/>
      <c r="U158" s="45"/>
      <c r="V158" s="45"/>
      <c r="W158" s="45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41" t="s">
        <v>21</v>
      </c>
      <c r="B159" s="41" t="s">
        <v>34</v>
      </c>
      <c r="C159" s="41" t="s">
        <v>35</v>
      </c>
      <c r="D159" s="41" t="s">
        <v>33</v>
      </c>
      <c r="E159" s="41" t="s">
        <v>25</v>
      </c>
      <c r="F159" s="41" t="s">
        <v>55</v>
      </c>
      <c r="G159" s="41" t="s">
        <v>25</v>
      </c>
      <c r="H159" s="41" t="s">
        <v>25</v>
      </c>
      <c r="I159" s="60">
        <v>44440</v>
      </c>
      <c r="J159" s="61">
        <f ca="1">EFEITO!$J$159*EFEITO!$Y$159</f>
        <v>256370.66699470294</v>
      </c>
      <c r="K159" s="61">
        <f>EFEITO!$L$159*EFEITO!$Z$159</f>
        <v>0</v>
      </c>
      <c r="L159" s="61">
        <f>EFEITO!$N$159*EFEITO!$AA$159</f>
        <v>0</v>
      </c>
      <c r="M159" s="61">
        <f ca="1">$J$159-EFEITO!$K$159*EFEITO!$Y$159</f>
        <v>127030.05548808657</v>
      </c>
      <c r="N159" s="61">
        <f>$K$159-EFEITO!$M$159*EFEITO!$Z$159</f>
        <v>0</v>
      </c>
      <c r="O159" s="61">
        <f>$L$159-EFEITO!$O$159*EFEITO!$AA$159</f>
        <v>0</v>
      </c>
      <c r="P159" s="45"/>
      <c r="Q159" s="45"/>
      <c r="R159" s="45"/>
      <c r="S159" s="45"/>
      <c r="T159" s="45"/>
      <c r="U159" s="45"/>
      <c r="V159" s="45"/>
      <c r="W159" s="45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41" t="s">
        <v>21</v>
      </c>
      <c r="B160" s="41" t="s">
        <v>34</v>
      </c>
      <c r="C160" s="41" t="s">
        <v>35</v>
      </c>
      <c r="D160" s="41" t="s">
        <v>33</v>
      </c>
      <c r="E160" s="41" t="s">
        <v>25</v>
      </c>
      <c r="F160" s="41" t="s">
        <v>55</v>
      </c>
      <c r="G160" s="41" t="s">
        <v>25</v>
      </c>
      <c r="H160" s="41" t="s">
        <v>25</v>
      </c>
      <c r="I160" s="60">
        <v>44470</v>
      </c>
      <c r="J160" s="61">
        <f ca="1">EFEITO!$J$160*EFEITO!$Y$160</f>
        <v>265762.49179813702</v>
      </c>
      <c r="K160" s="61">
        <f>EFEITO!$L$160*EFEITO!$Z$160</f>
        <v>0</v>
      </c>
      <c r="L160" s="61">
        <f>EFEITO!$N$160*EFEITO!$AA$160</f>
        <v>0</v>
      </c>
      <c r="M160" s="61">
        <f ca="1">$J$160-EFEITO!$K$160*EFEITO!$Y$160</f>
        <v>131659.04406366264</v>
      </c>
      <c r="N160" s="61">
        <f>$K$160-EFEITO!$M$160*EFEITO!$Z$160</f>
        <v>0</v>
      </c>
      <c r="O160" s="61">
        <f>$L$160-EFEITO!$O$160*EFEITO!$AA$160</f>
        <v>0</v>
      </c>
      <c r="P160" s="45"/>
      <c r="Q160" s="45"/>
      <c r="R160" s="45"/>
      <c r="S160" s="45"/>
      <c r="T160" s="45"/>
      <c r="U160" s="45"/>
      <c r="V160" s="45"/>
      <c r="W160" s="45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41" t="s">
        <v>21</v>
      </c>
      <c r="B161" s="41" t="s">
        <v>34</v>
      </c>
      <c r="C161" s="41" t="s">
        <v>35</v>
      </c>
      <c r="D161" s="41" t="s">
        <v>33</v>
      </c>
      <c r="E161" s="41" t="s">
        <v>25</v>
      </c>
      <c r="F161" s="41" t="s">
        <v>55</v>
      </c>
      <c r="G161" s="41" t="s">
        <v>25</v>
      </c>
      <c r="H161" s="41" t="s">
        <v>25</v>
      </c>
      <c r="I161" s="60">
        <v>44501</v>
      </c>
      <c r="J161" s="61">
        <f ca="1">EFEITO!$J$161*EFEITO!$Y$161</f>
        <v>270982.58917516284</v>
      </c>
      <c r="K161" s="61">
        <f>EFEITO!$L$161*EFEITO!$Z$161</f>
        <v>0</v>
      </c>
      <c r="L161" s="61">
        <f>EFEITO!$N$161*EFEITO!$AA$161</f>
        <v>0</v>
      </c>
      <c r="M161" s="61">
        <f ca="1">$J$161-EFEITO!$K$161*EFEITO!$Y$161</f>
        <v>133111.92112402534</v>
      </c>
      <c r="N161" s="61">
        <f>$K$161-EFEITO!$M$161*EFEITO!$Z$161</f>
        <v>0</v>
      </c>
      <c r="O161" s="61">
        <f>$L$161-EFEITO!$O$161*EFEITO!$AA$161</f>
        <v>0</v>
      </c>
      <c r="P161" s="45"/>
      <c r="Q161" s="45"/>
      <c r="R161" s="45"/>
      <c r="S161" s="45"/>
      <c r="T161" s="45"/>
      <c r="U161" s="45"/>
      <c r="V161" s="45"/>
      <c r="W161" s="45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41" t="s">
        <v>21</v>
      </c>
      <c r="B162" s="41" t="s">
        <v>34</v>
      </c>
      <c r="C162" s="41" t="s">
        <v>35</v>
      </c>
      <c r="D162" s="41" t="s">
        <v>33</v>
      </c>
      <c r="E162" s="41" t="s">
        <v>25</v>
      </c>
      <c r="F162" s="41" t="s">
        <v>55</v>
      </c>
      <c r="G162" s="41" t="s">
        <v>25</v>
      </c>
      <c r="H162" s="41" t="s">
        <v>25</v>
      </c>
      <c r="I162" s="60">
        <v>44531</v>
      </c>
      <c r="J162" s="61">
        <f ca="1">EFEITO!$J$162*EFEITO!$Y$162</f>
        <v>268405.40548961243</v>
      </c>
      <c r="K162" s="61">
        <f>EFEITO!$L$162*EFEITO!$Z$162</f>
        <v>0</v>
      </c>
      <c r="L162" s="61">
        <f>EFEITO!$N$162*EFEITO!$AA$162</f>
        <v>0</v>
      </c>
      <c r="M162" s="61">
        <f ca="1">$J$162-EFEITO!$K$162*EFEITO!$Y$162</f>
        <v>132365.22617936486</v>
      </c>
      <c r="N162" s="61">
        <f>$K$162-EFEITO!$M$162*EFEITO!$Z$162</f>
        <v>0</v>
      </c>
      <c r="O162" s="61">
        <f>$L$162-EFEITO!$O$162*EFEITO!$AA$162</f>
        <v>0</v>
      </c>
      <c r="P162" s="45"/>
      <c r="Q162" s="45"/>
      <c r="R162" s="45"/>
      <c r="S162" s="45"/>
      <c r="T162" s="45"/>
      <c r="U162" s="45"/>
      <c r="V162" s="45"/>
      <c r="W162" s="45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41" t="s">
        <v>21</v>
      </c>
      <c r="B163" s="41" t="s">
        <v>34</v>
      </c>
      <c r="C163" s="41" t="s">
        <v>35</v>
      </c>
      <c r="D163" s="41" t="s">
        <v>33</v>
      </c>
      <c r="E163" s="41" t="s">
        <v>25</v>
      </c>
      <c r="F163" s="41" t="s">
        <v>55</v>
      </c>
      <c r="G163" s="41" t="s">
        <v>25</v>
      </c>
      <c r="H163" s="41" t="s">
        <v>25</v>
      </c>
      <c r="I163" s="60">
        <v>44562</v>
      </c>
      <c r="J163" s="61">
        <f ca="1">EFEITO!$J$163*EFEITO!$Y$163</f>
        <v>268098.03495830827</v>
      </c>
      <c r="K163" s="61">
        <f>EFEITO!$L$163*EFEITO!$Z$163</f>
        <v>0</v>
      </c>
      <c r="L163" s="61">
        <f>EFEITO!$N$163*EFEITO!$AA$163</f>
        <v>0</v>
      </c>
      <c r="M163" s="61">
        <f ca="1">$J$163-EFEITO!$K$163*EFEITO!$Y$163</f>
        <v>132549.97144550789</v>
      </c>
      <c r="N163" s="61">
        <f>$K$163-EFEITO!$M$163*EFEITO!$Z$163</f>
        <v>0</v>
      </c>
      <c r="O163" s="61">
        <f>$L$163-EFEITO!$O$163*EFEITO!$AA$163</f>
        <v>0</v>
      </c>
      <c r="P163" s="45"/>
      <c r="Q163" s="45"/>
      <c r="R163" s="45"/>
      <c r="S163" s="45"/>
      <c r="T163" s="45"/>
      <c r="U163" s="45"/>
      <c r="V163" s="45"/>
      <c r="W163" s="45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41" t="s">
        <v>21</v>
      </c>
      <c r="B164" s="41" t="s">
        <v>34</v>
      </c>
      <c r="C164" s="41" t="s">
        <v>35</v>
      </c>
      <c r="D164" s="41" t="s">
        <v>33</v>
      </c>
      <c r="E164" s="41" t="s">
        <v>25</v>
      </c>
      <c r="F164" s="41" t="s">
        <v>55</v>
      </c>
      <c r="G164" s="41" t="s">
        <v>25</v>
      </c>
      <c r="H164" s="41" t="s">
        <v>25</v>
      </c>
      <c r="I164" s="60">
        <v>44593</v>
      </c>
      <c r="J164" s="61">
        <f ca="1">EFEITO!$J$164*EFEITO!$Y$164</f>
        <v>264291.36914754123</v>
      </c>
      <c r="K164" s="61">
        <f>EFEITO!$L$164*EFEITO!$Z$164</f>
        <v>0</v>
      </c>
      <c r="L164" s="61">
        <f>EFEITO!$N$164*EFEITO!$AA$164</f>
        <v>0</v>
      </c>
      <c r="M164" s="61">
        <f ca="1">$J$164-EFEITO!$K$164*EFEITO!$Y$164</f>
        <v>130600.98345142769</v>
      </c>
      <c r="N164" s="61">
        <f>$K$164-EFEITO!$M$164*EFEITO!$Z$164</f>
        <v>0</v>
      </c>
      <c r="O164" s="61">
        <f>$L$164-EFEITO!$O$164*EFEITO!$AA$164</f>
        <v>0</v>
      </c>
      <c r="P164" s="45"/>
      <c r="Q164" s="45"/>
      <c r="R164" s="45"/>
      <c r="S164" s="45"/>
      <c r="T164" s="45"/>
      <c r="U164" s="45"/>
      <c r="V164" s="45"/>
      <c r="W164" s="45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41" t="s">
        <v>21</v>
      </c>
      <c r="B165" s="41" t="s">
        <v>34</v>
      </c>
      <c r="C165" s="41" t="s">
        <v>35</v>
      </c>
      <c r="D165" s="41" t="s">
        <v>33</v>
      </c>
      <c r="E165" s="41" t="s">
        <v>25</v>
      </c>
      <c r="F165" s="41" t="s">
        <v>55</v>
      </c>
      <c r="G165" s="41" t="s">
        <v>25</v>
      </c>
      <c r="H165" s="41" t="s">
        <v>25</v>
      </c>
      <c r="I165" s="60">
        <v>44621</v>
      </c>
      <c r="J165" s="61">
        <f ca="1">EFEITO!$J$165*EFEITO!$Y$165</f>
        <v>263463.8331017223</v>
      </c>
      <c r="K165" s="61">
        <f>EFEITO!$L$165*EFEITO!$Z$165</f>
        <v>0</v>
      </c>
      <c r="L165" s="61">
        <f>EFEITO!$N$165*EFEITO!$AA$165</f>
        <v>0</v>
      </c>
      <c r="M165" s="61">
        <f ca="1">$J$165-EFEITO!$K$165*EFEITO!$Y$165</f>
        <v>129470.27714155769</v>
      </c>
      <c r="N165" s="61">
        <f>$K$165-EFEITO!$M$165*EFEITO!$Z$165</f>
        <v>0</v>
      </c>
      <c r="O165" s="61">
        <f>$L$165-EFEITO!$O$165*EFEITO!$AA$165</f>
        <v>0</v>
      </c>
      <c r="P165" s="45"/>
      <c r="Q165" s="45"/>
      <c r="R165" s="45"/>
      <c r="S165" s="45"/>
      <c r="T165" s="45"/>
      <c r="U165" s="45"/>
      <c r="V165" s="45"/>
      <c r="W165" s="45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41" t="s">
        <v>21</v>
      </c>
      <c r="B166" s="41" t="s">
        <v>34</v>
      </c>
      <c r="C166" s="41" t="s">
        <v>35</v>
      </c>
      <c r="D166" s="41" t="s">
        <v>33</v>
      </c>
      <c r="E166" s="41" t="s">
        <v>25</v>
      </c>
      <c r="F166" s="41" t="s">
        <v>55</v>
      </c>
      <c r="G166" s="41" t="s">
        <v>25</v>
      </c>
      <c r="H166" s="41" t="s">
        <v>25</v>
      </c>
      <c r="I166" s="60">
        <v>44652</v>
      </c>
      <c r="J166" s="61">
        <f ca="1">EFEITO!$J$166*EFEITO!$Y$166</f>
        <v>263511.12087576912</v>
      </c>
      <c r="K166" s="61">
        <f>EFEITO!$L$166*EFEITO!$Z$166</f>
        <v>0</v>
      </c>
      <c r="L166" s="61">
        <f>EFEITO!$N$166*EFEITO!$AA$166</f>
        <v>0</v>
      </c>
      <c r="M166" s="61">
        <f ca="1">$J$166-EFEITO!$K$166*EFEITO!$Y$166</f>
        <v>130478.464331005</v>
      </c>
      <c r="N166" s="61">
        <f>$K$166-EFEITO!$M$166*EFEITO!$Z$166</f>
        <v>0</v>
      </c>
      <c r="O166" s="61">
        <f>$L$166-EFEITO!$O$166*EFEITO!$AA$166</f>
        <v>0</v>
      </c>
      <c r="P166" s="45"/>
      <c r="Q166" s="45"/>
      <c r="R166" s="45"/>
      <c r="S166" s="45"/>
      <c r="T166" s="45"/>
      <c r="U166" s="45"/>
      <c r="V166" s="45"/>
      <c r="W166" s="45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41" t="s">
        <v>21</v>
      </c>
      <c r="B167" s="41" t="s">
        <v>34</v>
      </c>
      <c r="C167" s="41" t="s">
        <v>35</v>
      </c>
      <c r="D167" s="41" t="s">
        <v>33</v>
      </c>
      <c r="E167" s="41" t="s">
        <v>25</v>
      </c>
      <c r="F167" s="41" t="s">
        <v>55</v>
      </c>
      <c r="G167" s="41" t="s">
        <v>25</v>
      </c>
      <c r="H167" s="41" t="s">
        <v>25</v>
      </c>
      <c r="I167" s="60">
        <v>44682</v>
      </c>
      <c r="J167" s="61">
        <f ca="1">EFEITO!$J$167*EFEITO!$Y$167</f>
        <v>264622.38356586877</v>
      </c>
      <c r="K167" s="61">
        <f>EFEITO!$L$167*EFEITO!$Z$167</f>
        <v>0</v>
      </c>
      <c r="L167" s="61">
        <f>EFEITO!$N$167*EFEITO!$AA$167</f>
        <v>0</v>
      </c>
      <c r="M167" s="61">
        <f ca="1">$J$167-EFEITO!$K$167*EFEITO!$Y$167</f>
        <v>130710.83764006692</v>
      </c>
      <c r="N167" s="61">
        <f>$K$167-EFEITO!$M$167*EFEITO!$Z$167</f>
        <v>0</v>
      </c>
      <c r="O167" s="61">
        <f>$L$167-EFEITO!$O$167*EFEITO!$AA$167</f>
        <v>0</v>
      </c>
      <c r="P167" s="45"/>
      <c r="Q167" s="45"/>
      <c r="R167" s="45"/>
      <c r="S167" s="45"/>
      <c r="T167" s="45"/>
      <c r="U167" s="45"/>
      <c r="V167" s="45"/>
      <c r="W167" s="45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41" t="s">
        <v>21</v>
      </c>
      <c r="B168" s="41" t="s">
        <v>34</v>
      </c>
      <c r="C168" s="41" t="s">
        <v>35</v>
      </c>
      <c r="D168" s="41" t="s">
        <v>33</v>
      </c>
      <c r="E168" s="41" t="s">
        <v>25</v>
      </c>
      <c r="F168" s="41" t="s">
        <v>55</v>
      </c>
      <c r="G168" s="41" t="s">
        <v>25</v>
      </c>
      <c r="H168" s="41" t="s">
        <v>25</v>
      </c>
      <c r="I168" s="60">
        <v>44713</v>
      </c>
      <c r="J168" s="61">
        <f ca="1">EFEITO!$J$168*EFEITO!$Y$168</f>
        <v>263274.68200553511</v>
      </c>
      <c r="K168" s="61">
        <f>EFEITO!$L$168*EFEITO!$Z$168</f>
        <v>0</v>
      </c>
      <c r="L168" s="61">
        <f>EFEITO!$N$168*EFEITO!$AA$168</f>
        <v>0</v>
      </c>
      <c r="M168" s="61">
        <f ca="1">$J$168-EFEITO!$K$168*EFEITO!$Y$168</f>
        <v>129137.10559565923</v>
      </c>
      <c r="N168" s="61">
        <f>$K$168-EFEITO!$M$168*EFEITO!$Z$168</f>
        <v>0</v>
      </c>
      <c r="O168" s="61">
        <f>$L$168-EFEITO!$O$168*EFEITO!$AA$168</f>
        <v>0</v>
      </c>
      <c r="P168" s="45"/>
      <c r="Q168" s="45"/>
      <c r="R168" s="45"/>
      <c r="S168" s="45"/>
      <c r="T168" s="45"/>
      <c r="U168" s="45"/>
      <c r="V168" s="45"/>
      <c r="W168" s="45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41" t="s">
        <v>21</v>
      </c>
      <c r="B169" s="41" t="s">
        <v>34</v>
      </c>
      <c r="C169" s="41" t="s">
        <v>35</v>
      </c>
      <c r="D169" s="41" t="s">
        <v>33</v>
      </c>
      <c r="E169" s="41" t="s">
        <v>25</v>
      </c>
      <c r="F169" s="41" t="s">
        <v>55</v>
      </c>
      <c r="G169" s="41" t="s">
        <v>25</v>
      </c>
      <c r="H169" s="41" t="s">
        <v>25</v>
      </c>
      <c r="I169" s="60">
        <v>44743</v>
      </c>
      <c r="J169" s="61">
        <f ca="1">EFEITO!$J$169*EFEITO!$Y$169</f>
        <v>263995.34768200829</v>
      </c>
      <c r="K169" s="61">
        <f>EFEITO!$L$169*EFEITO!$Z$169</f>
        <v>0</v>
      </c>
      <c r="L169" s="61">
        <f>EFEITO!$N$169*EFEITO!$AA$169</f>
        <v>0</v>
      </c>
      <c r="M169" s="61">
        <f ca="1">$J$169-EFEITO!$K$169*EFEITO!$Y$169</f>
        <v>131021.45336467127</v>
      </c>
      <c r="N169" s="61">
        <f>$K$169-EFEITO!$M$169*EFEITO!$Z$169</f>
        <v>0</v>
      </c>
      <c r="O169" s="61">
        <f>$L$169-EFEITO!$O$169*EFEITO!$AA$169</f>
        <v>0</v>
      </c>
      <c r="P169" s="45"/>
      <c r="Q169" s="45"/>
      <c r="R169" s="45"/>
      <c r="S169" s="45"/>
      <c r="T169" s="45"/>
      <c r="U169" s="45"/>
      <c r="V169" s="45"/>
      <c r="W169" s="45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41" t="s">
        <v>21</v>
      </c>
      <c r="B170" s="41" t="s">
        <v>34</v>
      </c>
      <c r="C170" s="41" t="s">
        <v>35</v>
      </c>
      <c r="D170" s="41" t="s">
        <v>33</v>
      </c>
      <c r="E170" s="41" t="s">
        <v>25</v>
      </c>
      <c r="F170" s="41" t="s">
        <v>55</v>
      </c>
      <c r="G170" s="41" t="s">
        <v>25</v>
      </c>
      <c r="H170" s="41" t="s">
        <v>36</v>
      </c>
      <c r="I170" s="60">
        <v>44409</v>
      </c>
      <c r="J170" s="61">
        <f>EFEITO!$J$170*EFEITO!$Y$170</f>
        <v>0</v>
      </c>
      <c r="K170" s="61">
        <f ca="1">EFEITO!$L$170*EFEITO!$Z$170</f>
        <v>347152.61186852201</v>
      </c>
      <c r="L170" s="61">
        <f>EFEITO!$N$170*EFEITO!$AA$170</f>
        <v>0</v>
      </c>
      <c r="M170" s="61">
        <f>$J$170-EFEITO!$K$170*EFEITO!$Y$170</f>
        <v>0</v>
      </c>
      <c r="N170" s="61">
        <f ca="1">$K$170-EFEITO!$M$170*EFEITO!$Z$170</f>
        <v>171611.72417385768</v>
      </c>
      <c r="O170" s="61">
        <f>$L$170-EFEITO!$O$170*EFEITO!$AA$170</f>
        <v>0</v>
      </c>
      <c r="P170" s="45"/>
      <c r="Q170" s="45"/>
      <c r="R170" s="45"/>
      <c r="S170" s="45"/>
      <c r="T170" s="45"/>
      <c r="U170" s="45"/>
      <c r="V170" s="45"/>
      <c r="W170" s="45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41" t="s">
        <v>21</v>
      </c>
      <c r="B171" s="41" t="s">
        <v>34</v>
      </c>
      <c r="C171" s="41" t="s">
        <v>35</v>
      </c>
      <c r="D171" s="41" t="s">
        <v>33</v>
      </c>
      <c r="E171" s="41" t="s">
        <v>25</v>
      </c>
      <c r="F171" s="41" t="s">
        <v>55</v>
      </c>
      <c r="G171" s="41" t="s">
        <v>25</v>
      </c>
      <c r="H171" s="41" t="s">
        <v>36</v>
      </c>
      <c r="I171" s="60">
        <v>44440</v>
      </c>
      <c r="J171" s="61">
        <f>EFEITO!$J$171*EFEITO!$Y$171</f>
        <v>0</v>
      </c>
      <c r="K171" s="61">
        <f ca="1">EFEITO!$L$171*EFEITO!$Z$171</f>
        <v>306002.03156355902</v>
      </c>
      <c r="L171" s="61">
        <f>EFEITO!$N$171*EFEITO!$AA$171</f>
        <v>0</v>
      </c>
      <c r="M171" s="61">
        <f>$J$171-EFEITO!$K$171*EFEITO!$Y$171</f>
        <v>0</v>
      </c>
      <c r="N171" s="61">
        <f ca="1">$K$171-EFEITO!$M$171*EFEITO!$Z$171</f>
        <v>151791.53969200424</v>
      </c>
      <c r="O171" s="61">
        <f>$L$171-EFEITO!$O$171*EFEITO!$AA$171</f>
        <v>0</v>
      </c>
      <c r="P171" s="45"/>
      <c r="Q171" s="45"/>
      <c r="R171" s="45"/>
      <c r="S171" s="45"/>
      <c r="T171" s="45"/>
      <c r="U171" s="45"/>
      <c r="V171" s="45"/>
      <c r="W171" s="45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41" t="s">
        <v>21</v>
      </c>
      <c r="B172" s="41" t="s">
        <v>34</v>
      </c>
      <c r="C172" s="41" t="s">
        <v>35</v>
      </c>
      <c r="D172" s="41" t="s">
        <v>33</v>
      </c>
      <c r="E172" s="41" t="s">
        <v>25</v>
      </c>
      <c r="F172" s="41" t="s">
        <v>55</v>
      </c>
      <c r="G172" s="41" t="s">
        <v>25</v>
      </c>
      <c r="H172" s="41" t="s">
        <v>36</v>
      </c>
      <c r="I172" s="60">
        <v>44470</v>
      </c>
      <c r="J172" s="61">
        <f>EFEITO!$J$172*EFEITO!$Y$172</f>
        <v>0</v>
      </c>
      <c r="K172" s="61">
        <f ca="1">EFEITO!$L$172*EFEITO!$Z$172</f>
        <v>329010.38458623493</v>
      </c>
      <c r="L172" s="61">
        <f>EFEITO!$N$172*EFEITO!$AA$172</f>
        <v>0</v>
      </c>
      <c r="M172" s="61">
        <f>$J$172-EFEITO!$K$172*EFEITO!$Y$172</f>
        <v>0</v>
      </c>
      <c r="N172" s="61">
        <f ca="1">$K$172-EFEITO!$M$172*EFEITO!$Z$172</f>
        <v>163203.44954608666</v>
      </c>
      <c r="O172" s="61">
        <f>$L$172-EFEITO!$O$172*EFEITO!$AA$172</f>
        <v>0</v>
      </c>
      <c r="P172" s="45"/>
      <c r="Q172" s="45"/>
      <c r="R172" s="45"/>
      <c r="S172" s="45"/>
      <c r="T172" s="45"/>
      <c r="U172" s="45"/>
      <c r="V172" s="45"/>
      <c r="W172" s="45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41" t="s">
        <v>21</v>
      </c>
      <c r="B173" s="41" t="s">
        <v>34</v>
      </c>
      <c r="C173" s="41" t="s">
        <v>35</v>
      </c>
      <c r="D173" s="41" t="s">
        <v>33</v>
      </c>
      <c r="E173" s="41" t="s">
        <v>25</v>
      </c>
      <c r="F173" s="41" t="s">
        <v>55</v>
      </c>
      <c r="G173" s="41" t="s">
        <v>25</v>
      </c>
      <c r="H173" s="41" t="s">
        <v>36</v>
      </c>
      <c r="I173" s="60">
        <v>44501</v>
      </c>
      <c r="J173" s="61">
        <f>EFEITO!$J$173*EFEITO!$Y$173</f>
        <v>0</v>
      </c>
      <c r="K173" s="61">
        <f ca="1">EFEITO!$L$173*EFEITO!$Z$173</f>
        <v>309764.68368029984</v>
      </c>
      <c r="L173" s="61">
        <f>EFEITO!$N$173*EFEITO!$AA$173</f>
        <v>0</v>
      </c>
      <c r="M173" s="61">
        <f>$J$173-EFEITO!$K$173*EFEITO!$Y$173</f>
        <v>0</v>
      </c>
      <c r="N173" s="61">
        <f ca="1">$K$173-EFEITO!$M$173*EFEITO!$Z$173</f>
        <v>152424.43341867084</v>
      </c>
      <c r="O173" s="61">
        <f>$L$173-EFEITO!$O$173*EFEITO!$AA$173</f>
        <v>0</v>
      </c>
      <c r="P173" s="45"/>
      <c r="Q173" s="45"/>
      <c r="R173" s="45"/>
      <c r="S173" s="45"/>
      <c r="T173" s="45"/>
      <c r="U173" s="45"/>
      <c r="V173" s="45"/>
      <c r="W173" s="45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41" t="s">
        <v>21</v>
      </c>
      <c r="B174" s="41" t="s">
        <v>34</v>
      </c>
      <c r="C174" s="41" t="s">
        <v>35</v>
      </c>
      <c r="D174" s="41" t="s">
        <v>33</v>
      </c>
      <c r="E174" s="41" t="s">
        <v>25</v>
      </c>
      <c r="F174" s="41" t="s">
        <v>55</v>
      </c>
      <c r="G174" s="41" t="s">
        <v>25</v>
      </c>
      <c r="H174" s="41" t="s">
        <v>36</v>
      </c>
      <c r="I174" s="60">
        <v>44531</v>
      </c>
      <c r="J174" s="61">
        <f>EFEITO!$J$174*EFEITO!$Y$174</f>
        <v>0</v>
      </c>
      <c r="K174" s="61">
        <f ca="1">EFEITO!$L$174*EFEITO!$Z$174</f>
        <v>268184.29896213947</v>
      </c>
      <c r="L174" s="61">
        <f>EFEITO!$N$174*EFEITO!$AA$174</f>
        <v>0</v>
      </c>
      <c r="M174" s="61">
        <f>$J$174-EFEITO!$K$174*EFEITO!$Y$174</f>
        <v>0</v>
      </c>
      <c r="N174" s="61">
        <f ca="1">$K$174-EFEITO!$M$174*EFEITO!$Z$174</f>
        <v>132582.5534714268</v>
      </c>
      <c r="O174" s="61">
        <f>$L$174-EFEITO!$O$174*EFEITO!$AA$174</f>
        <v>0</v>
      </c>
      <c r="P174" s="45"/>
      <c r="Q174" s="45"/>
      <c r="R174" s="45"/>
      <c r="S174" s="45"/>
      <c r="T174" s="45"/>
      <c r="U174" s="45"/>
      <c r="V174" s="45"/>
      <c r="W174" s="45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41" t="s">
        <v>21</v>
      </c>
      <c r="B175" s="41" t="s">
        <v>34</v>
      </c>
      <c r="C175" s="41" t="s">
        <v>35</v>
      </c>
      <c r="D175" s="41" t="s">
        <v>33</v>
      </c>
      <c r="E175" s="41" t="s">
        <v>25</v>
      </c>
      <c r="F175" s="41" t="s">
        <v>55</v>
      </c>
      <c r="G175" s="41" t="s">
        <v>25</v>
      </c>
      <c r="H175" s="41" t="s">
        <v>36</v>
      </c>
      <c r="I175" s="60">
        <v>44562</v>
      </c>
      <c r="J175" s="61">
        <f>EFEITO!$J$175*EFEITO!$Y$175</f>
        <v>0</v>
      </c>
      <c r="K175" s="61">
        <f ca="1">EFEITO!$L$175*EFEITO!$Z$175</f>
        <v>248973.49144218501</v>
      </c>
      <c r="L175" s="61">
        <f>EFEITO!$N$175*EFEITO!$AA$175</f>
        <v>0</v>
      </c>
      <c r="M175" s="61">
        <f>$J$175-EFEITO!$K$175*EFEITO!$Y$175</f>
        <v>0</v>
      </c>
      <c r="N175" s="61">
        <f ca="1">$K$175-EFEITO!$M$175*EFEITO!$Z$175</f>
        <v>123193.9583359837</v>
      </c>
      <c r="O175" s="61">
        <f>$L$175-EFEITO!$O$175*EFEITO!$AA$175</f>
        <v>0</v>
      </c>
      <c r="P175" s="45"/>
      <c r="Q175" s="45"/>
      <c r="R175" s="45"/>
      <c r="S175" s="45"/>
      <c r="T175" s="45"/>
      <c r="U175" s="45"/>
      <c r="V175" s="45"/>
      <c r="W175" s="45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41" t="s">
        <v>21</v>
      </c>
      <c r="B176" s="41" t="s">
        <v>34</v>
      </c>
      <c r="C176" s="41" t="s">
        <v>35</v>
      </c>
      <c r="D176" s="41" t="s">
        <v>33</v>
      </c>
      <c r="E176" s="41" t="s">
        <v>25</v>
      </c>
      <c r="F176" s="41" t="s">
        <v>55</v>
      </c>
      <c r="G176" s="41" t="s">
        <v>25</v>
      </c>
      <c r="H176" s="41" t="s">
        <v>36</v>
      </c>
      <c r="I176" s="60">
        <v>44593</v>
      </c>
      <c r="J176" s="61">
        <f>EFEITO!$J$176*EFEITO!$Y$176</f>
        <v>0</v>
      </c>
      <c r="K176" s="61">
        <f ca="1">EFEITO!$L$176*EFEITO!$Z$176</f>
        <v>246320.29775894777</v>
      </c>
      <c r="L176" s="61">
        <f>EFEITO!$N$176*EFEITO!$AA$176</f>
        <v>0</v>
      </c>
      <c r="M176" s="61">
        <f>$J$176-EFEITO!$K$176*EFEITO!$Y$176</f>
        <v>0</v>
      </c>
      <c r="N176" s="61">
        <f ca="1">$K$176-EFEITO!$M$176*EFEITO!$Z$176</f>
        <v>121816.9790750122</v>
      </c>
      <c r="O176" s="61">
        <f>$L$176-EFEITO!$O$176*EFEITO!$AA$176</f>
        <v>0</v>
      </c>
      <c r="P176" s="45"/>
      <c r="Q176" s="45"/>
      <c r="R176" s="45"/>
      <c r="S176" s="45"/>
      <c r="T176" s="45"/>
      <c r="U176" s="45"/>
      <c r="V176" s="45"/>
      <c r="W176" s="45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41" t="s">
        <v>21</v>
      </c>
      <c r="B177" s="41" t="s">
        <v>34</v>
      </c>
      <c r="C177" s="41" t="s">
        <v>35</v>
      </c>
      <c r="D177" s="41" t="s">
        <v>33</v>
      </c>
      <c r="E177" s="41" t="s">
        <v>25</v>
      </c>
      <c r="F177" s="41" t="s">
        <v>55</v>
      </c>
      <c r="G177" s="41" t="s">
        <v>25</v>
      </c>
      <c r="H177" s="41" t="s">
        <v>36</v>
      </c>
      <c r="I177" s="60">
        <v>44621</v>
      </c>
      <c r="J177" s="61">
        <f>EFEITO!$J$177*EFEITO!$Y$177</f>
        <v>0</v>
      </c>
      <c r="K177" s="61">
        <f ca="1">EFEITO!$L$177*EFEITO!$Z$177</f>
        <v>269474.16592377838</v>
      </c>
      <c r="L177" s="61">
        <f>EFEITO!$N$177*EFEITO!$AA$177</f>
        <v>0</v>
      </c>
      <c r="M177" s="61">
        <f>$J$177-EFEITO!$K$177*EFEITO!$Y$177</f>
        <v>0</v>
      </c>
      <c r="N177" s="61">
        <f ca="1">$K$177-EFEITO!$M$177*EFEITO!$Z$177</f>
        <v>132561.3485462206</v>
      </c>
      <c r="O177" s="61">
        <f>$L$177-EFEITO!$O$177*EFEITO!$AA$177</f>
        <v>0</v>
      </c>
      <c r="P177" s="45"/>
      <c r="Q177" s="45"/>
      <c r="R177" s="45"/>
      <c r="S177" s="45"/>
      <c r="T177" s="45"/>
      <c r="U177" s="45"/>
      <c r="V177" s="45"/>
      <c r="W177" s="45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41" t="s">
        <v>21</v>
      </c>
      <c r="B178" s="41" t="s">
        <v>34</v>
      </c>
      <c r="C178" s="41" t="s">
        <v>35</v>
      </c>
      <c r="D178" s="41" t="s">
        <v>33</v>
      </c>
      <c r="E178" s="41" t="s">
        <v>25</v>
      </c>
      <c r="F178" s="41" t="s">
        <v>55</v>
      </c>
      <c r="G178" s="41" t="s">
        <v>25</v>
      </c>
      <c r="H178" s="41" t="s">
        <v>36</v>
      </c>
      <c r="I178" s="60">
        <v>44652</v>
      </c>
      <c r="J178" s="61">
        <f>EFEITO!$J$178*EFEITO!$Y$178</f>
        <v>0</v>
      </c>
      <c r="K178" s="61">
        <f ca="1">EFEITO!$L$178*EFEITO!$Z$178</f>
        <v>231426.33142719205</v>
      </c>
      <c r="L178" s="61">
        <f>EFEITO!$N$178*EFEITO!$AA$178</f>
        <v>0</v>
      </c>
      <c r="M178" s="61">
        <f>$J$178-EFEITO!$K$178*EFEITO!$Y$178</f>
        <v>0</v>
      </c>
      <c r="N178" s="61">
        <f ca="1">$K$178-EFEITO!$M$178*EFEITO!$Z$178</f>
        <v>114592.56238861254</v>
      </c>
      <c r="O178" s="61">
        <f>$L$178-EFEITO!$O$178*EFEITO!$AA$178</f>
        <v>0</v>
      </c>
      <c r="P178" s="45"/>
      <c r="Q178" s="45"/>
      <c r="R178" s="45"/>
      <c r="S178" s="45"/>
      <c r="T178" s="45"/>
      <c r="U178" s="45"/>
      <c r="V178" s="45"/>
      <c r="W178" s="45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41" t="s">
        <v>21</v>
      </c>
      <c r="B179" s="41" t="s">
        <v>34</v>
      </c>
      <c r="C179" s="41" t="s">
        <v>35</v>
      </c>
      <c r="D179" s="41" t="s">
        <v>33</v>
      </c>
      <c r="E179" s="41" t="s">
        <v>25</v>
      </c>
      <c r="F179" s="41" t="s">
        <v>55</v>
      </c>
      <c r="G179" s="41" t="s">
        <v>25</v>
      </c>
      <c r="H179" s="41" t="s">
        <v>36</v>
      </c>
      <c r="I179" s="60">
        <v>44682</v>
      </c>
      <c r="J179" s="61">
        <f>EFEITO!$J$179*EFEITO!$Y$179</f>
        <v>0</v>
      </c>
      <c r="K179" s="61">
        <f ca="1">EFEITO!$L$179*EFEITO!$Z$179</f>
        <v>278035.46883080411</v>
      </c>
      <c r="L179" s="61">
        <f>EFEITO!$N$179*EFEITO!$AA$179</f>
        <v>0</v>
      </c>
      <c r="M179" s="61">
        <f>$J$179-EFEITO!$K$179*EFEITO!$Y$179</f>
        <v>0</v>
      </c>
      <c r="N179" s="61">
        <f ca="1">$K$179-EFEITO!$M$179*EFEITO!$Z$179</f>
        <v>137410.15557745984</v>
      </c>
      <c r="O179" s="61">
        <f>$L$179-EFEITO!$O$179*EFEITO!$AA$179</f>
        <v>0</v>
      </c>
      <c r="P179" s="45"/>
      <c r="Q179" s="45"/>
      <c r="R179" s="45"/>
      <c r="S179" s="45"/>
      <c r="T179" s="45"/>
      <c r="U179" s="45"/>
      <c r="V179" s="45"/>
      <c r="W179" s="45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41" t="s">
        <v>21</v>
      </c>
      <c r="B180" s="41" t="s">
        <v>34</v>
      </c>
      <c r="C180" s="41" t="s">
        <v>35</v>
      </c>
      <c r="D180" s="41" t="s">
        <v>33</v>
      </c>
      <c r="E180" s="41" t="s">
        <v>25</v>
      </c>
      <c r="F180" s="41" t="s">
        <v>55</v>
      </c>
      <c r="G180" s="41" t="s">
        <v>25</v>
      </c>
      <c r="H180" s="41" t="s">
        <v>36</v>
      </c>
      <c r="I180" s="60">
        <v>44713</v>
      </c>
      <c r="J180" s="61">
        <f>EFEITO!$J$180*EFEITO!$Y$180</f>
        <v>0</v>
      </c>
      <c r="K180" s="61">
        <f ca="1">EFEITO!$L$180*EFEITO!$Z$180</f>
        <v>272184.36654132529</v>
      </c>
      <c r="L180" s="61">
        <f>EFEITO!$N$180*EFEITO!$AA$180</f>
        <v>0</v>
      </c>
      <c r="M180" s="61">
        <f>$J$180-EFEITO!$K$180*EFEITO!$Y$180</f>
        <v>0</v>
      </c>
      <c r="N180" s="61">
        <f ca="1">$K$180-EFEITO!$M$180*EFEITO!$Z$180</f>
        <v>133706.97995163169</v>
      </c>
      <c r="O180" s="61">
        <f>$L$180-EFEITO!$O$180*EFEITO!$AA$180</f>
        <v>0</v>
      </c>
      <c r="P180" s="45"/>
      <c r="Q180" s="45"/>
      <c r="R180" s="45"/>
      <c r="S180" s="45"/>
      <c r="T180" s="45"/>
      <c r="U180" s="45"/>
      <c r="V180" s="45"/>
      <c r="W180" s="45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41" t="s">
        <v>21</v>
      </c>
      <c r="B181" s="41" t="s">
        <v>34</v>
      </c>
      <c r="C181" s="41" t="s">
        <v>35</v>
      </c>
      <c r="D181" s="41" t="s">
        <v>33</v>
      </c>
      <c r="E181" s="41" t="s">
        <v>25</v>
      </c>
      <c r="F181" s="41" t="s">
        <v>55</v>
      </c>
      <c r="G181" s="41" t="s">
        <v>25</v>
      </c>
      <c r="H181" s="41" t="s">
        <v>36</v>
      </c>
      <c r="I181" s="60">
        <v>44743</v>
      </c>
      <c r="J181" s="61">
        <f>EFEITO!$J$181*EFEITO!$Y$181</f>
        <v>0</v>
      </c>
      <c r="K181" s="61">
        <f ca="1">EFEITO!$L$181*EFEITO!$Z$181</f>
        <v>266001.20453101845</v>
      </c>
      <c r="L181" s="61">
        <f>EFEITO!$N$181*EFEITO!$AA$181</f>
        <v>0</v>
      </c>
      <c r="M181" s="61">
        <f>$J$181-EFEITO!$K$181*EFEITO!$Y$181</f>
        <v>0</v>
      </c>
      <c r="N181" s="61">
        <f ca="1">$K$181-EFEITO!$M$181*EFEITO!$Z$181</f>
        <v>131868.40005856726</v>
      </c>
      <c r="O181" s="61">
        <f>$L$181-EFEITO!$O$181*EFEITO!$AA$181</f>
        <v>0</v>
      </c>
      <c r="P181" s="45"/>
      <c r="Q181" s="45"/>
      <c r="R181" s="45"/>
      <c r="S181" s="45"/>
      <c r="T181" s="45"/>
      <c r="U181" s="45"/>
      <c r="V181" s="45"/>
      <c r="W181" s="45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41" t="s">
        <v>21</v>
      </c>
      <c r="B182" s="41" t="s">
        <v>34</v>
      </c>
      <c r="C182" s="41" t="s">
        <v>35</v>
      </c>
      <c r="D182" s="41" t="s">
        <v>33</v>
      </c>
      <c r="E182" s="41" t="s">
        <v>25</v>
      </c>
      <c r="F182" s="41" t="s">
        <v>25</v>
      </c>
      <c r="G182" s="41" t="s">
        <v>25</v>
      </c>
      <c r="H182" s="41" t="s">
        <v>37</v>
      </c>
      <c r="I182" s="60">
        <v>44409</v>
      </c>
      <c r="J182" s="61">
        <f>EFEITO!$J$182*EFEITO!$Y$182</f>
        <v>0</v>
      </c>
      <c r="K182" s="61">
        <f ca="1">EFEITO!$L$182*EFEITO!$Z$182</f>
        <v>26285.52892904605</v>
      </c>
      <c r="L182" s="61">
        <f>EFEITO!$N$182*EFEITO!$AA$182</f>
        <v>50951.713825379753</v>
      </c>
      <c r="M182" s="61">
        <f>$J$182-EFEITO!$K$182*EFEITO!$Y$182</f>
        <v>0</v>
      </c>
      <c r="N182" s="61">
        <f ca="1">$K$182-EFEITO!$M$182*EFEITO!$Z$182</f>
        <v>0</v>
      </c>
      <c r="O182" s="61">
        <f>$L$182-EFEITO!$O$182*EFEITO!$AA$182</f>
        <v>0</v>
      </c>
      <c r="P182" s="45"/>
      <c r="Q182" s="45"/>
      <c r="R182" s="45"/>
      <c r="S182" s="45"/>
      <c r="T182" s="45"/>
      <c r="U182" s="45"/>
      <c r="V182" s="45"/>
      <c r="W182" s="45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41" t="s">
        <v>27</v>
      </c>
      <c r="B183" s="41" t="s">
        <v>34</v>
      </c>
      <c r="C183" s="41" t="s">
        <v>35</v>
      </c>
      <c r="D183" s="41" t="s">
        <v>33</v>
      </c>
      <c r="E183" s="41" t="s">
        <v>25</v>
      </c>
      <c r="F183" s="41" t="s">
        <v>25</v>
      </c>
      <c r="G183" s="41" t="s">
        <v>25</v>
      </c>
      <c r="H183" s="41" t="s">
        <v>37</v>
      </c>
      <c r="I183" s="60">
        <v>44409</v>
      </c>
      <c r="J183" s="61">
        <f>EFEITO!$J$183*EFEITO!$Y$183</f>
        <v>0</v>
      </c>
      <c r="K183" s="61">
        <f ca="1">EFEITO!$L$183*EFEITO!$Z$183</f>
        <v>4551.9492126817104</v>
      </c>
      <c r="L183" s="61">
        <f>EFEITO!$N$183*EFEITO!$AA$183</f>
        <v>8823.4714339696711</v>
      </c>
      <c r="M183" s="61">
        <f>$J$183-EFEITO!$K$183*EFEITO!$Y$183</f>
        <v>0</v>
      </c>
      <c r="N183" s="61">
        <f ca="1">$K$183-EFEITO!$M$183*EFEITO!$Z$183</f>
        <v>0</v>
      </c>
      <c r="O183" s="61">
        <f>$L$183-EFEITO!$O$183*EFEITO!$AA$183</f>
        <v>0</v>
      </c>
      <c r="P183" s="45"/>
      <c r="Q183" s="45"/>
      <c r="R183" s="45"/>
      <c r="S183" s="45"/>
      <c r="T183" s="45"/>
      <c r="U183" s="45"/>
      <c r="V183" s="45"/>
      <c r="W183" s="45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41" t="s">
        <v>21</v>
      </c>
      <c r="B184" s="41" t="s">
        <v>34</v>
      </c>
      <c r="C184" s="41" t="s">
        <v>35</v>
      </c>
      <c r="D184" s="41" t="s">
        <v>33</v>
      </c>
      <c r="E184" s="41" t="s">
        <v>25</v>
      </c>
      <c r="F184" s="41" t="s">
        <v>25</v>
      </c>
      <c r="G184" s="41" t="s">
        <v>25</v>
      </c>
      <c r="H184" s="41" t="s">
        <v>37</v>
      </c>
      <c r="I184" s="60">
        <v>44440</v>
      </c>
      <c r="J184" s="61">
        <f>EFEITO!$J$184*EFEITO!$Y$184</f>
        <v>0</v>
      </c>
      <c r="K184" s="61">
        <f ca="1">EFEITO!$L$184*EFEITO!$Z$184</f>
        <v>26165.610969862249</v>
      </c>
      <c r="L184" s="61">
        <f>EFEITO!$N$184*EFEITO!$AA$184</f>
        <v>50719.265562483859</v>
      </c>
      <c r="M184" s="61">
        <f>$J$184-EFEITO!$K$184*EFEITO!$Y$184</f>
        <v>0</v>
      </c>
      <c r="N184" s="61">
        <f ca="1">$K$184-EFEITO!$M$184*EFEITO!$Z$184</f>
        <v>0</v>
      </c>
      <c r="O184" s="61">
        <f>$L$184-EFEITO!$O$184*EFEITO!$AA$184</f>
        <v>0</v>
      </c>
      <c r="P184" s="45"/>
      <c r="Q184" s="45"/>
      <c r="R184" s="45"/>
      <c r="S184" s="45"/>
      <c r="T184" s="45"/>
      <c r="U184" s="45"/>
      <c r="V184" s="45"/>
      <c r="W184" s="45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41" t="s">
        <v>27</v>
      </c>
      <c r="B185" s="41" t="s">
        <v>34</v>
      </c>
      <c r="C185" s="41" t="s">
        <v>35</v>
      </c>
      <c r="D185" s="41" t="s">
        <v>33</v>
      </c>
      <c r="E185" s="41" t="s">
        <v>25</v>
      </c>
      <c r="F185" s="41" t="s">
        <v>25</v>
      </c>
      <c r="G185" s="41" t="s">
        <v>25</v>
      </c>
      <c r="H185" s="41" t="s">
        <v>37</v>
      </c>
      <c r="I185" s="60">
        <v>44440</v>
      </c>
      <c r="J185" s="61">
        <f>EFEITO!$J$185*EFEITO!$Y$185</f>
        <v>0</v>
      </c>
      <c r="K185" s="61">
        <f ca="1">EFEITO!$L$185*EFEITO!$Z$185</f>
        <v>3117.0102019407782</v>
      </c>
      <c r="L185" s="61">
        <f>EFEITO!$N$185*EFEITO!$AA$185</f>
        <v>6041.9941416731253</v>
      </c>
      <c r="M185" s="61">
        <f>$J$185-EFEITO!$K$185*EFEITO!$Y$185</f>
        <v>0</v>
      </c>
      <c r="N185" s="61">
        <f ca="1">$K$185-EFEITO!$M$185*EFEITO!$Z$185</f>
        <v>0</v>
      </c>
      <c r="O185" s="61">
        <f>$L$185-EFEITO!$O$185*EFEITO!$AA$185</f>
        <v>0</v>
      </c>
      <c r="P185" s="45"/>
      <c r="Q185" s="45"/>
      <c r="R185" s="45"/>
      <c r="S185" s="45"/>
      <c r="T185" s="45"/>
      <c r="U185" s="45"/>
      <c r="V185" s="45"/>
      <c r="W185" s="45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41" t="s">
        <v>21</v>
      </c>
      <c r="B186" s="41" t="s">
        <v>34</v>
      </c>
      <c r="C186" s="41" t="s">
        <v>35</v>
      </c>
      <c r="D186" s="41" t="s">
        <v>33</v>
      </c>
      <c r="E186" s="41" t="s">
        <v>25</v>
      </c>
      <c r="F186" s="41" t="s">
        <v>25</v>
      </c>
      <c r="G186" s="41" t="s">
        <v>25</v>
      </c>
      <c r="H186" s="41" t="s">
        <v>37</v>
      </c>
      <c r="I186" s="60">
        <v>44470</v>
      </c>
      <c r="J186" s="61">
        <f>EFEITO!$J$186*EFEITO!$Y$186</f>
        <v>0</v>
      </c>
      <c r="K186" s="61">
        <f ca="1">EFEITO!$L$186*EFEITO!$Z$186</f>
        <v>24907.243741565937</v>
      </c>
      <c r="L186" s="61">
        <f>EFEITO!$N$186*EFEITO!$AA$186</f>
        <v>48280.053969045439</v>
      </c>
      <c r="M186" s="61">
        <f>$J$186-EFEITO!$K$186*EFEITO!$Y$186</f>
        <v>0</v>
      </c>
      <c r="N186" s="61">
        <f ca="1">$K$186-EFEITO!$M$186*EFEITO!$Z$186</f>
        <v>0</v>
      </c>
      <c r="O186" s="61">
        <f>$L$186-EFEITO!$O$186*EFEITO!$AA$186</f>
        <v>0</v>
      </c>
      <c r="P186" s="45"/>
      <c r="Q186" s="45"/>
      <c r="R186" s="45"/>
      <c r="S186" s="45"/>
      <c r="T186" s="45"/>
      <c r="U186" s="45"/>
      <c r="V186" s="45"/>
      <c r="W186" s="45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41" t="s">
        <v>27</v>
      </c>
      <c r="B187" s="41" t="s">
        <v>34</v>
      </c>
      <c r="C187" s="41" t="s">
        <v>35</v>
      </c>
      <c r="D187" s="41" t="s">
        <v>33</v>
      </c>
      <c r="E187" s="41" t="s">
        <v>25</v>
      </c>
      <c r="F187" s="41" t="s">
        <v>25</v>
      </c>
      <c r="G187" s="41" t="s">
        <v>25</v>
      </c>
      <c r="H187" s="41" t="s">
        <v>37</v>
      </c>
      <c r="I187" s="60">
        <v>44470</v>
      </c>
      <c r="J187" s="61">
        <f>EFEITO!$J$187*EFEITO!$Y$187</f>
        <v>0</v>
      </c>
      <c r="K187" s="61">
        <f ca="1">EFEITO!$L$187*EFEITO!$Z$187</f>
        <v>2334.3825002847948</v>
      </c>
      <c r="L187" s="61">
        <f>EFEITO!$N$187*EFEITO!$AA$187</f>
        <v>4524.9532331857818</v>
      </c>
      <c r="M187" s="61">
        <f>$J$187-EFEITO!$K$187*EFEITO!$Y$187</f>
        <v>0</v>
      </c>
      <c r="N187" s="61">
        <f ca="1">$K$187-EFEITO!$M$187*EFEITO!$Z$187</f>
        <v>0</v>
      </c>
      <c r="O187" s="61">
        <f>$L$187-EFEITO!$O$187*EFEITO!$AA$187</f>
        <v>0</v>
      </c>
      <c r="P187" s="45"/>
      <c r="Q187" s="45"/>
      <c r="R187" s="45"/>
      <c r="S187" s="45"/>
      <c r="T187" s="45"/>
      <c r="U187" s="45"/>
      <c r="V187" s="45"/>
      <c r="W187" s="45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41" t="s">
        <v>21</v>
      </c>
      <c r="B188" s="41" t="s">
        <v>34</v>
      </c>
      <c r="C188" s="41" t="s">
        <v>35</v>
      </c>
      <c r="D188" s="41" t="s">
        <v>33</v>
      </c>
      <c r="E188" s="41" t="s">
        <v>25</v>
      </c>
      <c r="F188" s="41" t="s">
        <v>25</v>
      </c>
      <c r="G188" s="41" t="s">
        <v>25</v>
      </c>
      <c r="H188" s="41" t="s">
        <v>37</v>
      </c>
      <c r="I188" s="60">
        <v>44501</v>
      </c>
      <c r="J188" s="61">
        <f>EFEITO!$J$188*EFEITO!$Y$188</f>
        <v>0</v>
      </c>
      <c r="K188" s="61">
        <f ca="1">EFEITO!$L$188*EFEITO!$Z$188</f>
        <v>24788.392503739309</v>
      </c>
      <c r="L188" s="61">
        <f>EFEITO!$N$188*EFEITO!$AA$188</f>
        <v>48049.673432519776</v>
      </c>
      <c r="M188" s="61">
        <f>$J$188-EFEITO!$K$188*EFEITO!$Y$188</f>
        <v>0</v>
      </c>
      <c r="N188" s="61">
        <f ca="1">$K$188-EFEITO!$M$188*EFEITO!$Z$188</f>
        <v>0</v>
      </c>
      <c r="O188" s="61">
        <f>$L$188-EFEITO!$O$188*EFEITO!$AA$188</f>
        <v>0</v>
      </c>
      <c r="P188" s="45"/>
      <c r="Q188" s="45"/>
      <c r="R188" s="45"/>
      <c r="S188" s="45"/>
      <c r="T188" s="45"/>
      <c r="U188" s="45"/>
      <c r="V188" s="45"/>
      <c r="W188" s="45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41" t="s">
        <v>27</v>
      </c>
      <c r="B189" s="41" t="s">
        <v>34</v>
      </c>
      <c r="C189" s="41" t="s">
        <v>35</v>
      </c>
      <c r="D189" s="41" t="s">
        <v>33</v>
      </c>
      <c r="E189" s="41" t="s">
        <v>25</v>
      </c>
      <c r="F189" s="41" t="s">
        <v>25</v>
      </c>
      <c r="G189" s="41" t="s">
        <v>25</v>
      </c>
      <c r="H189" s="41" t="s">
        <v>37</v>
      </c>
      <c r="I189" s="60">
        <v>44501</v>
      </c>
      <c r="J189" s="61">
        <f>EFEITO!$J$189*EFEITO!$Y$189</f>
        <v>0</v>
      </c>
      <c r="K189" s="61">
        <f ca="1">EFEITO!$L$189*EFEITO!$Z$189</f>
        <v>1464.7526127667713</v>
      </c>
      <c r="L189" s="61">
        <f>EFEITO!$N$189*EFEITO!$AA$189</f>
        <v>2839.2678021479833</v>
      </c>
      <c r="M189" s="61">
        <f>$J$189-EFEITO!$K$189*EFEITO!$Y$189</f>
        <v>0</v>
      </c>
      <c r="N189" s="61">
        <f ca="1">$K$189-EFEITO!$M$189*EFEITO!$Z$189</f>
        <v>0</v>
      </c>
      <c r="O189" s="61">
        <f>$L$189-EFEITO!$O$189*EFEITO!$AA$189</f>
        <v>0</v>
      </c>
      <c r="P189" s="45"/>
      <c r="Q189" s="45"/>
      <c r="R189" s="45"/>
      <c r="S189" s="45"/>
      <c r="T189" s="45"/>
      <c r="U189" s="45"/>
      <c r="V189" s="45"/>
      <c r="W189" s="45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41" t="s">
        <v>21</v>
      </c>
      <c r="B190" s="41" t="s">
        <v>34</v>
      </c>
      <c r="C190" s="41" t="s">
        <v>35</v>
      </c>
      <c r="D190" s="41" t="s">
        <v>33</v>
      </c>
      <c r="E190" s="41" t="s">
        <v>25</v>
      </c>
      <c r="F190" s="41" t="s">
        <v>25</v>
      </c>
      <c r="G190" s="41" t="s">
        <v>25</v>
      </c>
      <c r="H190" s="41" t="s">
        <v>37</v>
      </c>
      <c r="I190" s="60">
        <v>44531</v>
      </c>
      <c r="J190" s="61">
        <f>EFEITO!$J$190*EFEITO!$Y$190</f>
        <v>0</v>
      </c>
      <c r="K190" s="61">
        <f ca="1">EFEITO!$L$190*EFEITO!$Z$190</f>
        <v>23659.795708264297</v>
      </c>
      <c r="L190" s="61">
        <f>EFEITO!$N$190*EFEITO!$AA$190</f>
        <v>45862.008078609382</v>
      </c>
      <c r="M190" s="61">
        <f>$J$190-EFEITO!$K$190*EFEITO!$Y$190</f>
        <v>0</v>
      </c>
      <c r="N190" s="61">
        <f ca="1">$K$190-EFEITO!$M$190*EFEITO!$Z$190</f>
        <v>0</v>
      </c>
      <c r="O190" s="61">
        <f>$L$190-EFEITO!$O$190*EFEITO!$AA$190</f>
        <v>0</v>
      </c>
      <c r="P190" s="45"/>
      <c r="Q190" s="45"/>
      <c r="R190" s="45"/>
      <c r="S190" s="45"/>
      <c r="T190" s="45"/>
      <c r="U190" s="45"/>
      <c r="V190" s="45"/>
      <c r="W190" s="45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41" t="s">
        <v>27</v>
      </c>
      <c r="B191" s="41" t="s">
        <v>34</v>
      </c>
      <c r="C191" s="41" t="s">
        <v>35</v>
      </c>
      <c r="D191" s="41" t="s">
        <v>33</v>
      </c>
      <c r="E191" s="41" t="s">
        <v>25</v>
      </c>
      <c r="F191" s="41" t="s">
        <v>25</v>
      </c>
      <c r="G191" s="41" t="s">
        <v>25</v>
      </c>
      <c r="H191" s="41" t="s">
        <v>37</v>
      </c>
      <c r="I191" s="60">
        <v>44531</v>
      </c>
      <c r="J191" s="61">
        <f>EFEITO!$J$191*EFEITO!$Y$191</f>
        <v>0</v>
      </c>
      <c r="K191" s="61">
        <f ca="1">EFEITO!$L$191*EFEITO!$Z$191</f>
        <v>185.3463355505969</v>
      </c>
      <c r="L191" s="61">
        <f>EFEITO!$N$191*EFEITO!$AA$191</f>
        <v>359.27424070669264</v>
      </c>
      <c r="M191" s="61">
        <f>$J$191-EFEITO!$K$191*EFEITO!$Y$191</f>
        <v>0</v>
      </c>
      <c r="N191" s="61">
        <f ca="1">$K$191-EFEITO!$M$191*EFEITO!$Z$191</f>
        <v>0</v>
      </c>
      <c r="O191" s="61">
        <f>$L$191-EFEITO!$O$191*EFEITO!$AA$191</f>
        <v>0</v>
      </c>
      <c r="P191" s="45"/>
      <c r="Q191" s="45"/>
      <c r="R191" s="45"/>
      <c r="S191" s="45"/>
      <c r="T191" s="45"/>
      <c r="U191" s="45"/>
      <c r="V191" s="45"/>
      <c r="W191" s="45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41" t="s">
        <v>21</v>
      </c>
      <c r="B192" s="41" t="s">
        <v>34</v>
      </c>
      <c r="C192" s="41" t="s">
        <v>35</v>
      </c>
      <c r="D192" s="41" t="s">
        <v>33</v>
      </c>
      <c r="E192" s="41" t="s">
        <v>25</v>
      </c>
      <c r="F192" s="41" t="s">
        <v>25</v>
      </c>
      <c r="G192" s="41" t="s">
        <v>25</v>
      </c>
      <c r="H192" s="41" t="s">
        <v>37</v>
      </c>
      <c r="I192" s="60">
        <v>44562</v>
      </c>
      <c r="J192" s="61">
        <f>EFEITO!$J$192*EFEITO!$Y$192</f>
        <v>0</v>
      </c>
      <c r="K192" s="61">
        <f ca="1">EFEITO!$L$192*EFEITO!$Z$192</f>
        <v>24078.644829085584</v>
      </c>
      <c r="L192" s="61">
        <f>EFEITO!$N$192*EFEITO!$AA$192</f>
        <v>46673.902737366501</v>
      </c>
      <c r="M192" s="61">
        <f>$J$192-EFEITO!$K$192*EFEITO!$Y$192</f>
        <v>0</v>
      </c>
      <c r="N192" s="61">
        <f ca="1">$K$192-EFEITO!$M$192*EFEITO!$Z$192</f>
        <v>0</v>
      </c>
      <c r="O192" s="61">
        <f>$L$192-EFEITO!$O$192*EFEITO!$AA$192</f>
        <v>0</v>
      </c>
      <c r="P192" s="45"/>
      <c r="Q192" s="45"/>
      <c r="R192" s="45"/>
      <c r="S192" s="45"/>
      <c r="T192" s="45"/>
      <c r="U192" s="45"/>
      <c r="V192" s="45"/>
      <c r="W192" s="45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41" t="s">
        <v>27</v>
      </c>
      <c r="B193" s="41" t="s">
        <v>34</v>
      </c>
      <c r="C193" s="41" t="s">
        <v>35</v>
      </c>
      <c r="D193" s="41" t="s">
        <v>33</v>
      </c>
      <c r="E193" s="41" t="s">
        <v>25</v>
      </c>
      <c r="F193" s="41" t="s">
        <v>25</v>
      </c>
      <c r="G193" s="41" t="s">
        <v>25</v>
      </c>
      <c r="H193" s="41" t="s">
        <v>37</v>
      </c>
      <c r="I193" s="60">
        <v>44562</v>
      </c>
      <c r="J193" s="61">
        <f>EFEITO!$J$193*EFEITO!$Y$193</f>
        <v>0</v>
      </c>
      <c r="K193" s="61">
        <f ca="1">EFEITO!$L$193*EFEITO!$Z$193</f>
        <v>508.16253629053375</v>
      </c>
      <c r="L193" s="61">
        <f>EFEITO!$N$193*EFEITO!$AA$193</f>
        <v>985.01925510973876</v>
      </c>
      <c r="M193" s="61">
        <f>$J$193-EFEITO!$K$193*EFEITO!$Y$193</f>
        <v>0</v>
      </c>
      <c r="N193" s="61">
        <f ca="1">$K$193-EFEITO!$M$193*EFEITO!$Z$193</f>
        <v>0</v>
      </c>
      <c r="O193" s="61">
        <f>$L$193-EFEITO!$O$193*EFEITO!$AA$193</f>
        <v>0</v>
      </c>
      <c r="P193" s="45"/>
      <c r="Q193" s="45"/>
      <c r="R193" s="45"/>
      <c r="S193" s="45"/>
      <c r="T193" s="45"/>
      <c r="U193" s="45"/>
      <c r="V193" s="45"/>
      <c r="W193" s="45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41" t="s">
        <v>21</v>
      </c>
      <c r="B194" s="41" t="s">
        <v>34</v>
      </c>
      <c r="C194" s="41" t="s">
        <v>35</v>
      </c>
      <c r="D194" s="41" t="s">
        <v>33</v>
      </c>
      <c r="E194" s="41" t="s">
        <v>25</v>
      </c>
      <c r="F194" s="41" t="s">
        <v>25</v>
      </c>
      <c r="G194" s="41" t="s">
        <v>25</v>
      </c>
      <c r="H194" s="41" t="s">
        <v>37</v>
      </c>
      <c r="I194" s="60">
        <v>44593</v>
      </c>
      <c r="J194" s="61">
        <f>EFEITO!$J$194*EFEITO!$Y$194</f>
        <v>0</v>
      </c>
      <c r="K194" s="61">
        <f ca="1">EFEITO!$L$194*EFEITO!$Z$194</f>
        <v>23190.130333813959</v>
      </c>
      <c r="L194" s="61">
        <f>EFEITO!$N$194*EFEITO!$AA$194</f>
        <v>44951.611494341298</v>
      </c>
      <c r="M194" s="61">
        <f>$J$194-EFEITO!$K$194*EFEITO!$Y$194</f>
        <v>0</v>
      </c>
      <c r="N194" s="61">
        <f ca="1">$K$194-EFEITO!$M$194*EFEITO!$Z$194</f>
        <v>0</v>
      </c>
      <c r="O194" s="61">
        <f>$L$194-EFEITO!$O$194*EFEITO!$AA$194</f>
        <v>0</v>
      </c>
      <c r="P194" s="45"/>
      <c r="Q194" s="45"/>
      <c r="R194" s="45"/>
      <c r="S194" s="45"/>
      <c r="T194" s="45"/>
      <c r="U194" s="45"/>
      <c r="V194" s="45"/>
      <c r="W194" s="45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41" t="s">
        <v>27</v>
      </c>
      <c r="B195" s="41" t="s">
        <v>34</v>
      </c>
      <c r="C195" s="41" t="s">
        <v>35</v>
      </c>
      <c r="D195" s="41" t="s">
        <v>33</v>
      </c>
      <c r="E195" s="41" t="s">
        <v>25</v>
      </c>
      <c r="F195" s="41" t="s">
        <v>25</v>
      </c>
      <c r="G195" s="41" t="s">
        <v>25</v>
      </c>
      <c r="H195" s="41" t="s">
        <v>37</v>
      </c>
      <c r="I195" s="60">
        <v>44593</v>
      </c>
      <c r="J195" s="61">
        <f>EFEITO!$J$195*EFEITO!$Y$195</f>
        <v>0</v>
      </c>
      <c r="K195" s="61">
        <f ca="1">EFEITO!$L$195*EFEITO!$Z$195</f>
        <v>1192.8408591539217</v>
      </c>
      <c r="L195" s="61">
        <f>EFEITO!$N$195*EFEITO!$AA$195</f>
        <v>2312.1956670109303</v>
      </c>
      <c r="M195" s="61">
        <f>$J$195-EFEITO!$K$195*EFEITO!$Y$195</f>
        <v>0</v>
      </c>
      <c r="N195" s="61">
        <f ca="1">$K$195-EFEITO!$M$195*EFEITO!$Z$195</f>
        <v>0</v>
      </c>
      <c r="O195" s="61">
        <f>$L$195-EFEITO!$O$195*EFEITO!$AA$195</f>
        <v>0</v>
      </c>
      <c r="P195" s="45"/>
      <c r="Q195" s="45"/>
      <c r="R195" s="45"/>
      <c r="S195" s="45"/>
      <c r="T195" s="45"/>
      <c r="U195" s="45"/>
      <c r="V195" s="45"/>
      <c r="W195" s="45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41" t="s">
        <v>21</v>
      </c>
      <c r="B196" s="41" t="s">
        <v>34</v>
      </c>
      <c r="C196" s="41" t="s">
        <v>35</v>
      </c>
      <c r="D196" s="41" t="s">
        <v>33</v>
      </c>
      <c r="E196" s="41" t="s">
        <v>25</v>
      </c>
      <c r="F196" s="41" t="s">
        <v>25</v>
      </c>
      <c r="G196" s="41" t="s">
        <v>25</v>
      </c>
      <c r="H196" s="41" t="s">
        <v>37</v>
      </c>
      <c r="I196" s="60">
        <v>44621</v>
      </c>
      <c r="J196" s="61">
        <f>EFEITO!$J$196*EFEITO!$Y$196</f>
        <v>0</v>
      </c>
      <c r="K196" s="61">
        <f ca="1">EFEITO!$L$196*EFEITO!$Z$196</f>
        <v>26318.7596791465</v>
      </c>
      <c r="L196" s="61">
        <f>EFEITO!$N$196*EFEITO!$AA$196</f>
        <v>51016.12811485026</v>
      </c>
      <c r="M196" s="61">
        <f>$J$196-EFEITO!$K$196*EFEITO!$Y$196</f>
        <v>0</v>
      </c>
      <c r="N196" s="61">
        <f ca="1">$K$196-EFEITO!$M$196*EFEITO!$Z$196</f>
        <v>0</v>
      </c>
      <c r="O196" s="61">
        <f>$L$196-EFEITO!$O$196*EFEITO!$AA$196</f>
        <v>0</v>
      </c>
      <c r="P196" s="45"/>
      <c r="Q196" s="45"/>
      <c r="R196" s="45"/>
      <c r="S196" s="45"/>
      <c r="T196" s="45"/>
      <c r="U196" s="45"/>
      <c r="V196" s="45"/>
      <c r="W196" s="45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41" t="s">
        <v>27</v>
      </c>
      <c r="B197" s="41" t="s">
        <v>34</v>
      </c>
      <c r="C197" s="41" t="s">
        <v>35</v>
      </c>
      <c r="D197" s="41" t="s">
        <v>33</v>
      </c>
      <c r="E197" s="41" t="s">
        <v>25</v>
      </c>
      <c r="F197" s="41" t="s">
        <v>25</v>
      </c>
      <c r="G197" s="41" t="s">
        <v>25</v>
      </c>
      <c r="H197" s="41" t="s">
        <v>37</v>
      </c>
      <c r="I197" s="60">
        <v>44621</v>
      </c>
      <c r="J197" s="61">
        <f>EFEITO!$J$197*EFEITO!$Y$197</f>
        <v>0</v>
      </c>
      <c r="K197" s="61">
        <f ca="1">EFEITO!$L$197*EFEITO!$Z$197</f>
        <v>2836.5044819084032</v>
      </c>
      <c r="L197" s="61">
        <f>EFEITO!$N$197*EFEITO!$AA$197</f>
        <v>5498.263512852549</v>
      </c>
      <c r="M197" s="61">
        <f>$J$197-EFEITO!$K$197*EFEITO!$Y$197</f>
        <v>0</v>
      </c>
      <c r="N197" s="61">
        <f ca="1">$K$197-EFEITO!$M$197*EFEITO!$Z$197</f>
        <v>0</v>
      </c>
      <c r="O197" s="61">
        <f>$L$197-EFEITO!$O$197*EFEITO!$AA$197</f>
        <v>0</v>
      </c>
      <c r="P197" s="45"/>
      <c r="Q197" s="45"/>
      <c r="R197" s="45"/>
      <c r="S197" s="45"/>
      <c r="T197" s="45"/>
      <c r="U197" s="45"/>
      <c r="V197" s="45"/>
      <c r="W197" s="45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41" t="s">
        <v>21</v>
      </c>
      <c r="B198" s="41" t="s">
        <v>34</v>
      </c>
      <c r="C198" s="41" t="s">
        <v>35</v>
      </c>
      <c r="D198" s="41" t="s">
        <v>33</v>
      </c>
      <c r="E198" s="41" t="s">
        <v>25</v>
      </c>
      <c r="F198" s="41" t="s">
        <v>25</v>
      </c>
      <c r="G198" s="41" t="s">
        <v>25</v>
      </c>
      <c r="H198" s="41" t="s">
        <v>37</v>
      </c>
      <c r="I198" s="60">
        <v>44652</v>
      </c>
      <c r="J198" s="61">
        <f>EFEITO!$J$198*EFEITO!$Y$198</f>
        <v>0</v>
      </c>
      <c r="K198" s="61">
        <f ca="1">EFEITO!$L$198*EFEITO!$Z$198</f>
        <v>22022.896386819339</v>
      </c>
      <c r="L198" s="61">
        <f>EFEITO!$N$198*EFEITO!$AA$198</f>
        <v>42689.052114422564</v>
      </c>
      <c r="M198" s="61">
        <f>$J$198-EFEITO!$K$198*EFEITO!$Y$198</f>
        <v>0</v>
      </c>
      <c r="N198" s="61">
        <f ca="1">$K$198-EFEITO!$M$198*EFEITO!$Z$198</f>
        <v>0</v>
      </c>
      <c r="O198" s="61">
        <f>$L$198-EFEITO!$O$198*EFEITO!$AA$198</f>
        <v>0</v>
      </c>
      <c r="P198" s="45"/>
      <c r="Q198" s="45"/>
      <c r="R198" s="45"/>
      <c r="S198" s="45"/>
      <c r="T198" s="45"/>
      <c r="U198" s="45"/>
      <c r="V198" s="45"/>
      <c r="W198" s="45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41" t="s">
        <v>27</v>
      </c>
      <c r="B199" s="41" t="s">
        <v>34</v>
      </c>
      <c r="C199" s="41" t="s">
        <v>35</v>
      </c>
      <c r="D199" s="41" t="s">
        <v>33</v>
      </c>
      <c r="E199" s="41" t="s">
        <v>25</v>
      </c>
      <c r="F199" s="41" t="s">
        <v>25</v>
      </c>
      <c r="G199" s="41" t="s">
        <v>25</v>
      </c>
      <c r="H199" s="41" t="s">
        <v>37</v>
      </c>
      <c r="I199" s="60">
        <v>44652</v>
      </c>
      <c r="J199" s="61">
        <f>EFEITO!$J$199*EFEITO!$Y$199</f>
        <v>0</v>
      </c>
      <c r="K199" s="61">
        <f ca="1">EFEITO!$L$199*EFEITO!$Z$199</f>
        <v>2459.6662638807211</v>
      </c>
      <c r="L199" s="61">
        <f>EFEITO!$N$199*EFEITO!$AA$199</f>
        <v>4767.8025396211706</v>
      </c>
      <c r="M199" s="61">
        <f>$J$199-EFEITO!$K$199*EFEITO!$Y$199</f>
        <v>0</v>
      </c>
      <c r="N199" s="61">
        <f ca="1">$K$199-EFEITO!$M$199*EFEITO!$Z$199</f>
        <v>0</v>
      </c>
      <c r="O199" s="61">
        <f>$L$199-EFEITO!$O$199*EFEITO!$AA$199</f>
        <v>0</v>
      </c>
      <c r="P199" s="45"/>
      <c r="Q199" s="45"/>
      <c r="R199" s="45"/>
      <c r="S199" s="45"/>
      <c r="T199" s="45"/>
      <c r="U199" s="45"/>
      <c r="V199" s="45"/>
      <c r="W199" s="45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41" t="s">
        <v>21</v>
      </c>
      <c r="B200" s="41" t="s">
        <v>34</v>
      </c>
      <c r="C200" s="41" t="s">
        <v>35</v>
      </c>
      <c r="D200" s="41" t="s">
        <v>33</v>
      </c>
      <c r="E200" s="41" t="s">
        <v>25</v>
      </c>
      <c r="F200" s="41" t="s">
        <v>25</v>
      </c>
      <c r="G200" s="41" t="s">
        <v>25</v>
      </c>
      <c r="H200" s="41" t="s">
        <v>37</v>
      </c>
      <c r="I200" s="60">
        <v>44682</v>
      </c>
      <c r="J200" s="61">
        <f>EFEITO!$J$200*EFEITO!$Y$200</f>
        <v>0</v>
      </c>
      <c r="K200" s="61">
        <f ca="1">EFEITO!$L$200*EFEITO!$Z$200</f>
        <v>24534.311235594043</v>
      </c>
      <c r="L200" s="61">
        <f>EFEITO!$N$200*EFEITO!$AA$200</f>
        <v>47557.163804964912</v>
      </c>
      <c r="M200" s="61">
        <f>$J$200-EFEITO!$K$200*EFEITO!$Y$200</f>
        <v>0</v>
      </c>
      <c r="N200" s="61">
        <f ca="1">$K$200-EFEITO!$M$200*EFEITO!$Z$200</f>
        <v>0</v>
      </c>
      <c r="O200" s="61">
        <f>$L$200-EFEITO!$O$200*EFEITO!$AA$200</f>
        <v>0</v>
      </c>
      <c r="P200" s="45"/>
      <c r="Q200" s="45"/>
      <c r="R200" s="45"/>
      <c r="S200" s="45"/>
      <c r="T200" s="45"/>
      <c r="U200" s="45"/>
      <c r="V200" s="45"/>
      <c r="W200" s="45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41" t="s">
        <v>27</v>
      </c>
      <c r="B201" s="41" t="s">
        <v>34</v>
      </c>
      <c r="C201" s="41" t="s">
        <v>35</v>
      </c>
      <c r="D201" s="41" t="s">
        <v>33</v>
      </c>
      <c r="E201" s="41" t="s">
        <v>25</v>
      </c>
      <c r="F201" s="41" t="s">
        <v>25</v>
      </c>
      <c r="G201" s="41" t="s">
        <v>25</v>
      </c>
      <c r="H201" s="41" t="s">
        <v>37</v>
      </c>
      <c r="I201" s="60">
        <v>44682</v>
      </c>
      <c r="J201" s="61">
        <f>EFEITO!$J$201*EFEITO!$Y$201</f>
        <v>0</v>
      </c>
      <c r="K201" s="61">
        <f ca="1">EFEITO!$L$201*EFEITO!$Z$201</f>
        <v>3479.00951395006</v>
      </c>
      <c r="L201" s="61">
        <f>EFEITO!$N$201*EFEITO!$AA$201</f>
        <v>6743.6914672346338</v>
      </c>
      <c r="M201" s="61">
        <f>$J$201-EFEITO!$K$201*EFEITO!$Y$201</f>
        <v>0</v>
      </c>
      <c r="N201" s="61">
        <f ca="1">$K$201-EFEITO!$M$201*EFEITO!$Z$201</f>
        <v>0</v>
      </c>
      <c r="O201" s="61">
        <f>$L$201-EFEITO!$O$201*EFEITO!$AA$201</f>
        <v>0</v>
      </c>
      <c r="P201" s="45"/>
      <c r="Q201" s="45"/>
      <c r="R201" s="45"/>
      <c r="S201" s="45"/>
      <c r="T201" s="45"/>
      <c r="U201" s="45"/>
      <c r="V201" s="45"/>
      <c r="W201" s="45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41" t="s">
        <v>21</v>
      </c>
      <c r="B202" s="41" t="s">
        <v>34</v>
      </c>
      <c r="C202" s="41" t="s">
        <v>35</v>
      </c>
      <c r="D202" s="41" t="s">
        <v>33</v>
      </c>
      <c r="E202" s="41" t="s">
        <v>25</v>
      </c>
      <c r="F202" s="41" t="s">
        <v>25</v>
      </c>
      <c r="G202" s="41" t="s">
        <v>25</v>
      </c>
      <c r="H202" s="41" t="s">
        <v>37</v>
      </c>
      <c r="I202" s="60">
        <v>44713</v>
      </c>
      <c r="J202" s="61">
        <f>EFEITO!$J$202*EFEITO!$Y$202</f>
        <v>0</v>
      </c>
      <c r="K202" s="61">
        <f ca="1">EFEITO!$L$202*EFEITO!$Z$202</f>
        <v>22107.45015318834</v>
      </c>
      <c r="L202" s="61">
        <f>EFEITO!$N$202*EFEITO!$AA$202</f>
        <v>42852.950635107489</v>
      </c>
      <c r="M202" s="61">
        <f>$J$202-EFEITO!$K$202*EFEITO!$Y$202</f>
        <v>0</v>
      </c>
      <c r="N202" s="61">
        <f ca="1">$K$202-EFEITO!$M$202*EFEITO!$Z$202</f>
        <v>0</v>
      </c>
      <c r="O202" s="61">
        <f>$L$202-EFEITO!$O$202*EFEITO!$AA$202</f>
        <v>0</v>
      </c>
      <c r="P202" s="45"/>
      <c r="Q202" s="45"/>
      <c r="R202" s="45"/>
      <c r="S202" s="45"/>
      <c r="T202" s="45"/>
      <c r="U202" s="45"/>
      <c r="V202" s="45"/>
      <c r="W202" s="45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41" t="s">
        <v>27</v>
      </c>
      <c r="B203" s="41" t="s">
        <v>34</v>
      </c>
      <c r="C203" s="41" t="s">
        <v>35</v>
      </c>
      <c r="D203" s="41" t="s">
        <v>33</v>
      </c>
      <c r="E203" s="41" t="s">
        <v>25</v>
      </c>
      <c r="F203" s="41" t="s">
        <v>25</v>
      </c>
      <c r="G203" s="41" t="s">
        <v>25</v>
      </c>
      <c r="H203" s="41" t="s">
        <v>37</v>
      </c>
      <c r="I203" s="60">
        <v>44713</v>
      </c>
      <c r="J203" s="61">
        <f>EFEITO!$J$203*EFEITO!$Y$203</f>
        <v>0</v>
      </c>
      <c r="K203" s="61">
        <f ca="1">EFEITO!$L$203*EFEITO!$Z$203</f>
        <v>3752.4807525916353</v>
      </c>
      <c r="L203" s="61">
        <f>EFEITO!$N$203*EFEITO!$AA$203</f>
        <v>7273.78649892869</v>
      </c>
      <c r="M203" s="61">
        <f>$J$203-EFEITO!$K$203*EFEITO!$Y$203</f>
        <v>0</v>
      </c>
      <c r="N203" s="61">
        <f ca="1">$K$203-EFEITO!$M$203*EFEITO!$Z$203</f>
        <v>0</v>
      </c>
      <c r="O203" s="61">
        <f>$L$203-EFEITO!$O$203*EFEITO!$AA$203</f>
        <v>0</v>
      </c>
      <c r="P203" s="45"/>
      <c r="Q203" s="45"/>
      <c r="R203" s="45"/>
      <c r="S203" s="45"/>
      <c r="T203" s="45"/>
      <c r="U203" s="45"/>
      <c r="V203" s="45"/>
      <c r="W203" s="45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41" t="s">
        <v>21</v>
      </c>
      <c r="B204" s="41" t="s">
        <v>34</v>
      </c>
      <c r="C204" s="41" t="s">
        <v>35</v>
      </c>
      <c r="D204" s="41" t="s">
        <v>33</v>
      </c>
      <c r="E204" s="41" t="s">
        <v>25</v>
      </c>
      <c r="F204" s="41" t="s">
        <v>25</v>
      </c>
      <c r="G204" s="41" t="s">
        <v>25</v>
      </c>
      <c r="H204" s="41" t="s">
        <v>37</v>
      </c>
      <c r="I204" s="60">
        <v>44743</v>
      </c>
      <c r="J204" s="61">
        <f>EFEITO!$J$204*EFEITO!$Y$204</f>
        <v>0</v>
      </c>
      <c r="K204" s="61">
        <f ca="1">EFEITO!$L$204*EFEITO!$Z$204</f>
        <v>21502.270569370143</v>
      </c>
      <c r="L204" s="61">
        <f>EFEITO!$N$204*EFEITO!$AA$204</f>
        <v>41679.874108821801</v>
      </c>
      <c r="M204" s="61">
        <f>$J$204-EFEITO!$K$204*EFEITO!$Y$204</f>
        <v>0</v>
      </c>
      <c r="N204" s="61">
        <f ca="1">$K$204-EFEITO!$M$204*EFEITO!$Z$204</f>
        <v>0</v>
      </c>
      <c r="O204" s="61">
        <f>$L$204-EFEITO!$O$204*EFEITO!$AA$204</f>
        <v>0</v>
      </c>
      <c r="P204" s="45"/>
      <c r="Q204" s="45"/>
      <c r="R204" s="45"/>
      <c r="S204" s="45"/>
      <c r="T204" s="45"/>
      <c r="U204" s="45"/>
      <c r="V204" s="45"/>
      <c r="W204" s="45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41" t="s">
        <v>27</v>
      </c>
      <c r="B205" s="41" t="s">
        <v>34</v>
      </c>
      <c r="C205" s="41" t="s">
        <v>35</v>
      </c>
      <c r="D205" s="41" t="s">
        <v>33</v>
      </c>
      <c r="E205" s="41" t="s">
        <v>25</v>
      </c>
      <c r="F205" s="41" t="s">
        <v>25</v>
      </c>
      <c r="G205" s="41" t="s">
        <v>25</v>
      </c>
      <c r="H205" s="41" t="s">
        <v>37</v>
      </c>
      <c r="I205" s="60">
        <v>44743</v>
      </c>
      <c r="J205" s="61">
        <f>EFEITO!$J$205*EFEITO!$Y$205</f>
        <v>0</v>
      </c>
      <c r="K205" s="61">
        <f ca="1">EFEITO!$L$205*EFEITO!$Z$205</f>
        <v>5763.6018849559405</v>
      </c>
      <c r="L205" s="61">
        <f>EFEITO!$N$205*EFEITO!$AA$205</f>
        <v>11172.131808281329</v>
      </c>
      <c r="M205" s="61">
        <f>$J$205-EFEITO!$K$205*EFEITO!$Y$205</f>
        <v>0</v>
      </c>
      <c r="N205" s="61">
        <f ca="1">$K$205-EFEITO!$M$205*EFEITO!$Z$205</f>
        <v>0</v>
      </c>
      <c r="O205" s="61">
        <f>$L$205-EFEITO!$O$205*EFEITO!$AA$205</f>
        <v>0</v>
      </c>
      <c r="P205" s="45"/>
      <c r="Q205" s="45"/>
      <c r="R205" s="45"/>
      <c r="S205" s="45"/>
      <c r="T205" s="45"/>
      <c r="U205" s="45"/>
      <c r="V205" s="45"/>
      <c r="W205" s="45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41" t="s">
        <v>21</v>
      </c>
      <c r="B206" s="41" t="s">
        <v>34</v>
      </c>
      <c r="C206" s="41" t="s">
        <v>35</v>
      </c>
      <c r="D206" s="41" t="s">
        <v>33</v>
      </c>
      <c r="E206" s="41" t="s">
        <v>25</v>
      </c>
      <c r="F206" s="41" t="s">
        <v>25</v>
      </c>
      <c r="G206" s="41" t="s">
        <v>25</v>
      </c>
      <c r="H206" s="41" t="s">
        <v>25</v>
      </c>
      <c r="I206" s="60">
        <v>44409</v>
      </c>
      <c r="J206" s="61">
        <f ca="1">EFEITO!$J$206*EFEITO!$Y$206</f>
        <v>32594.75333384558</v>
      </c>
      <c r="K206" s="61">
        <f>EFEITO!$L$206*EFEITO!$Z$206</f>
        <v>0</v>
      </c>
      <c r="L206" s="61">
        <f>EFEITO!$N$206*EFEITO!$AA$206</f>
        <v>0</v>
      </c>
      <c r="M206" s="61">
        <f ca="1">$J$206-EFEITO!$K$206*EFEITO!$Y$206</f>
        <v>0</v>
      </c>
      <c r="N206" s="61">
        <f>$K$206-EFEITO!$M$206*EFEITO!$Z$206</f>
        <v>0</v>
      </c>
      <c r="O206" s="61">
        <f>$L$206-EFEITO!$O$206*EFEITO!$AA$206</f>
        <v>0</v>
      </c>
      <c r="P206" s="45"/>
      <c r="Q206" s="45"/>
      <c r="R206" s="45"/>
      <c r="S206" s="45"/>
      <c r="T206" s="45"/>
      <c r="U206" s="45"/>
      <c r="V206" s="45"/>
      <c r="W206" s="45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41" t="s">
        <v>27</v>
      </c>
      <c r="B207" s="41" t="s">
        <v>34</v>
      </c>
      <c r="C207" s="41" t="s">
        <v>35</v>
      </c>
      <c r="D207" s="41" t="s">
        <v>33</v>
      </c>
      <c r="E207" s="41" t="s">
        <v>25</v>
      </c>
      <c r="F207" s="41" t="s">
        <v>25</v>
      </c>
      <c r="G207" s="41" t="s">
        <v>25</v>
      </c>
      <c r="H207" s="41" t="s">
        <v>25</v>
      </c>
      <c r="I207" s="60">
        <v>44409</v>
      </c>
      <c r="J207" s="61">
        <f ca="1">EFEITO!$J$207*EFEITO!$Y$207</f>
        <v>8275.3604581892487</v>
      </c>
      <c r="K207" s="61">
        <f>EFEITO!$L$207*EFEITO!$Z$207</f>
        <v>0</v>
      </c>
      <c r="L207" s="61">
        <f>EFEITO!$N$207*EFEITO!$AA$207</f>
        <v>0</v>
      </c>
      <c r="M207" s="61">
        <f ca="1">$J$207-EFEITO!$K$207*EFEITO!$Y$207</f>
        <v>0</v>
      </c>
      <c r="N207" s="61">
        <f>$K$207-EFEITO!$M$207*EFEITO!$Z$207</f>
        <v>0</v>
      </c>
      <c r="O207" s="61">
        <f>$L$207-EFEITO!$O$207*EFEITO!$AA$207</f>
        <v>0</v>
      </c>
      <c r="P207" s="45"/>
      <c r="Q207" s="45"/>
      <c r="R207" s="45"/>
      <c r="S207" s="45"/>
      <c r="T207" s="45"/>
      <c r="U207" s="45"/>
      <c r="V207" s="45"/>
      <c r="W207" s="45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41" t="s">
        <v>21</v>
      </c>
      <c r="B208" s="41" t="s">
        <v>34</v>
      </c>
      <c r="C208" s="41" t="s">
        <v>35</v>
      </c>
      <c r="D208" s="41" t="s">
        <v>33</v>
      </c>
      <c r="E208" s="41" t="s">
        <v>25</v>
      </c>
      <c r="F208" s="41" t="s">
        <v>25</v>
      </c>
      <c r="G208" s="41" t="s">
        <v>25</v>
      </c>
      <c r="H208" s="41" t="s">
        <v>25</v>
      </c>
      <c r="I208" s="60">
        <v>44440</v>
      </c>
      <c r="J208" s="61">
        <f ca="1">EFEITO!$J$208*EFEITO!$Y$208</f>
        <v>32368.481335031665</v>
      </c>
      <c r="K208" s="61">
        <f>EFEITO!$L$208*EFEITO!$Z$208</f>
        <v>0</v>
      </c>
      <c r="L208" s="61">
        <f>EFEITO!$N$208*EFEITO!$AA$208</f>
        <v>0</v>
      </c>
      <c r="M208" s="61">
        <f ca="1">$J$208-EFEITO!$K$208*EFEITO!$Y$208</f>
        <v>0</v>
      </c>
      <c r="N208" s="61">
        <f>$K$208-EFEITO!$M$208*EFEITO!$Z$208</f>
        <v>0</v>
      </c>
      <c r="O208" s="61">
        <f>$L$208-EFEITO!$O$208*EFEITO!$AA$208</f>
        <v>0</v>
      </c>
      <c r="P208" s="45"/>
      <c r="Q208" s="45"/>
      <c r="R208" s="45"/>
      <c r="S208" s="45"/>
      <c r="T208" s="45"/>
      <c r="U208" s="45"/>
      <c r="V208" s="45"/>
      <c r="W208" s="45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41" t="s">
        <v>27</v>
      </c>
      <c r="B209" s="41" t="s">
        <v>34</v>
      </c>
      <c r="C209" s="41" t="s">
        <v>35</v>
      </c>
      <c r="D209" s="41" t="s">
        <v>33</v>
      </c>
      <c r="E209" s="41" t="s">
        <v>25</v>
      </c>
      <c r="F209" s="41" t="s">
        <v>25</v>
      </c>
      <c r="G209" s="41" t="s">
        <v>25</v>
      </c>
      <c r="H209" s="41" t="s">
        <v>25</v>
      </c>
      <c r="I209" s="60">
        <v>44440</v>
      </c>
      <c r="J209" s="61">
        <f ca="1">EFEITO!$J$209*EFEITO!$Y$209</f>
        <v>8275.3604581892487</v>
      </c>
      <c r="K209" s="61">
        <f>EFEITO!$L$209*EFEITO!$Z$209</f>
        <v>0</v>
      </c>
      <c r="L209" s="61">
        <f>EFEITO!$N$209*EFEITO!$AA$209</f>
        <v>0</v>
      </c>
      <c r="M209" s="61">
        <f ca="1">$J$209-EFEITO!$K$209*EFEITO!$Y$209</f>
        <v>0</v>
      </c>
      <c r="N209" s="61">
        <f>$K$209-EFEITO!$M$209*EFEITO!$Z$209</f>
        <v>0</v>
      </c>
      <c r="O209" s="61">
        <f>$L$209-EFEITO!$O$209*EFEITO!$AA$209</f>
        <v>0</v>
      </c>
      <c r="P209" s="45"/>
      <c r="Q209" s="45"/>
      <c r="R209" s="45"/>
      <c r="S209" s="45"/>
      <c r="T209" s="45"/>
      <c r="U209" s="45"/>
      <c r="V209" s="45"/>
      <c r="W209" s="45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41" t="s">
        <v>21</v>
      </c>
      <c r="B210" s="41" t="s">
        <v>34</v>
      </c>
      <c r="C210" s="41" t="s">
        <v>35</v>
      </c>
      <c r="D210" s="41" t="s">
        <v>33</v>
      </c>
      <c r="E210" s="41" t="s">
        <v>25</v>
      </c>
      <c r="F210" s="41" t="s">
        <v>25</v>
      </c>
      <c r="G210" s="41" t="s">
        <v>25</v>
      </c>
      <c r="H210" s="41" t="s">
        <v>25</v>
      </c>
      <c r="I210" s="60">
        <v>44470</v>
      </c>
      <c r="J210" s="61">
        <f ca="1">EFEITO!$J$210*EFEITO!$Y$210</f>
        <v>33077.797945733597</v>
      </c>
      <c r="K210" s="61">
        <f>EFEITO!$L$210*EFEITO!$Z$210</f>
        <v>0</v>
      </c>
      <c r="L210" s="61">
        <f>EFEITO!$N$210*EFEITO!$AA$210</f>
        <v>0</v>
      </c>
      <c r="M210" s="61">
        <f ca="1">$J$210-EFEITO!$K$210*EFEITO!$Y$210</f>
        <v>0</v>
      </c>
      <c r="N210" s="61">
        <f>$K$210-EFEITO!$M$210*EFEITO!$Z$210</f>
        <v>0</v>
      </c>
      <c r="O210" s="61">
        <f>$L$210-EFEITO!$O$210*EFEITO!$AA$210</f>
        <v>0</v>
      </c>
      <c r="P210" s="45"/>
      <c r="Q210" s="45"/>
      <c r="R210" s="45"/>
      <c r="S210" s="45"/>
      <c r="T210" s="45"/>
      <c r="U210" s="45"/>
      <c r="V210" s="45"/>
      <c r="W210" s="45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41" t="s">
        <v>27</v>
      </c>
      <c r="B211" s="41" t="s">
        <v>34</v>
      </c>
      <c r="C211" s="41" t="s">
        <v>35</v>
      </c>
      <c r="D211" s="41" t="s">
        <v>33</v>
      </c>
      <c r="E211" s="41" t="s">
        <v>25</v>
      </c>
      <c r="F211" s="41" t="s">
        <v>25</v>
      </c>
      <c r="G211" s="41" t="s">
        <v>25</v>
      </c>
      <c r="H211" s="41" t="s">
        <v>25</v>
      </c>
      <c r="I211" s="60">
        <v>44470</v>
      </c>
      <c r="J211" s="61">
        <f ca="1">EFEITO!$J$211*EFEITO!$Y$211</f>
        <v>8275.3604581892487</v>
      </c>
      <c r="K211" s="61">
        <f>EFEITO!$L$211*EFEITO!$Z$211</f>
        <v>0</v>
      </c>
      <c r="L211" s="61">
        <f>EFEITO!$N$211*EFEITO!$AA$211</f>
        <v>0</v>
      </c>
      <c r="M211" s="61">
        <f ca="1">$J$211-EFEITO!$K$211*EFEITO!$Y$211</f>
        <v>0</v>
      </c>
      <c r="N211" s="61">
        <f>$K$211-EFEITO!$M$211*EFEITO!$Z$211</f>
        <v>0</v>
      </c>
      <c r="O211" s="61">
        <f>$L$211-EFEITO!$O$211*EFEITO!$AA$211</f>
        <v>0</v>
      </c>
      <c r="P211" s="45"/>
      <c r="Q211" s="45"/>
      <c r="R211" s="45"/>
      <c r="S211" s="45"/>
      <c r="T211" s="45"/>
      <c r="U211" s="45"/>
      <c r="V211" s="45"/>
      <c r="W211" s="45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41" t="s">
        <v>21</v>
      </c>
      <c r="B212" s="41" t="s">
        <v>34</v>
      </c>
      <c r="C212" s="41" t="s">
        <v>35</v>
      </c>
      <c r="D212" s="41" t="s">
        <v>33</v>
      </c>
      <c r="E212" s="41" t="s">
        <v>25</v>
      </c>
      <c r="F212" s="41" t="s">
        <v>25</v>
      </c>
      <c r="G212" s="41" t="s">
        <v>25</v>
      </c>
      <c r="H212" s="41" t="s">
        <v>25</v>
      </c>
      <c r="I212" s="60">
        <v>44501</v>
      </c>
      <c r="J212" s="61">
        <f ca="1">EFEITO!$J$212*EFEITO!$Y$212</f>
        <v>33030.510171686801</v>
      </c>
      <c r="K212" s="61">
        <f>EFEITO!$L$212*EFEITO!$Z$212</f>
        <v>0</v>
      </c>
      <c r="L212" s="61">
        <f>EFEITO!$N$212*EFEITO!$AA$212</f>
        <v>0</v>
      </c>
      <c r="M212" s="61">
        <f ca="1">$J$212-EFEITO!$K$212*EFEITO!$Y$212</f>
        <v>0</v>
      </c>
      <c r="N212" s="61">
        <f>$K$212-EFEITO!$M$212*EFEITO!$Z$212</f>
        <v>0</v>
      </c>
      <c r="O212" s="61">
        <f>$L$212-EFEITO!$O$212*EFEITO!$AA$212</f>
        <v>0</v>
      </c>
      <c r="P212" s="45"/>
      <c r="Q212" s="45"/>
      <c r="R212" s="45"/>
      <c r="S212" s="45"/>
      <c r="T212" s="45"/>
      <c r="U212" s="45"/>
      <c r="V212" s="45"/>
      <c r="W212" s="45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41" t="s">
        <v>27</v>
      </c>
      <c r="B213" s="41" t="s">
        <v>34</v>
      </c>
      <c r="C213" s="41" t="s">
        <v>35</v>
      </c>
      <c r="D213" s="41" t="s">
        <v>33</v>
      </c>
      <c r="E213" s="41" t="s">
        <v>25</v>
      </c>
      <c r="F213" s="41" t="s">
        <v>25</v>
      </c>
      <c r="G213" s="41" t="s">
        <v>25</v>
      </c>
      <c r="H213" s="41" t="s">
        <v>25</v>
      </c>
      <c r="I213" s="60">
        <v>44501</v>
      </c>
      <c r="J213" s="61">
        <f ca="1">EFEITO!$J$213*EFEITO!$Y$213</f>
        <v>8275.3604581892487</v>
      </c>
      <c r="K213" s="61">
        <f>EFEITO!$L$213*EFEITO!$Z$213</f>
        <v>0</v>
      </c>
      <c r="L213" s="61">
        <f>EFEITO!$N$213*EFEITO!$AA$213</f>
        <v>0</v>
      </c>
      <c r="M213" s="61">
        <f ca="1">$J$213-EFEITO!$K$213*EFEITO!$Y$213</f>
        <v>0</v>
      </c>
      <c r="N213" s="61">
        <f>$K$213-EFEITO!$M$213*EFEITO!$Z$213</f>
        <v>0</v>
      </c>
      <c r="O213" s="61">
        <f>$L$213-EFEITO!$O$213*EFEITO!$AA$213</f>
        <v>0</v>
      </c>
      <c r="P213" s="45"/>
      <c r="Q213" s="45"/>
      <c r="R213" s="45"/>
      <c r="S213" s="45"/>
      <c r="T213" s="45"/>
      <c r="U213" s="45"/>
      <c r="V213" s="45"/>
      <c r="W213" s="45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41" t="s">
        <v>21</v>
      </c>
      <c r="B214" s="41" t="s">
        <v>34</v>
      </c>
      <c r="C214" s="41" t="s">
        <v>35</v>
      </c>
      <c r="D214" s="41" t="s">
        <v>33</v>
      </c>
      <c r="E214" s="41" t="s">
        <v>25</v>
      </c>
      <c r="F214" s="41" t="s">
        <v>25</v>
      </c>
      <c r="G214" s="41" t="s">
        <v>25</v>
      </c>
      <c r="H214" s="41" t="s">
        <v>25</v>
      </c>
      <c r="I214" s="60">
        <v>44531</v>
      </c>
      <c r="J214" s="61">
        <f ca="1">EFEITO!$J$214*EFEITO!$Y$214</f>
        <v>33361.524590014371</v>
      </c>
      <c r="K214" s="61">
        <f>EFEITO!$L$214*EFEITO!$Z$214</f>
        <v>0</v>
      </c>
      <c r="L214" s="61">
        <f>EFEITO!$N$214*EFEITO!$AA$214</f>
        <v>0</v>
      </c>
      <c r="M214" s="61">
        <f ca="1">$J$214-EFEITO!$K$214*EFEITO!$Y$214</f>
        <v>0</v>
      </c>
      <c r="N214" s="61">
        <f>$K$214-EFEITO!$M$214*EFEITO!$Z$214</f>
        <v>0</v>
      </c>
      <c r="O214" s="61">
        <f>$L$214-EFEITO!$O$214*EFEITO!$AA$214</f>
        <v>0</v>
      </c>
      <c r="P214" s="45"/>
      <c r="Q214" s="45"/>
      <c r="R214" s="45"/>
      <c r="S214" s="45"/>
      <c r="T214" s="45"/>
      <c r="U214" s="45"/>
      <c r="V214" s="45"/>
      <c r="W214" s="45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41" t="s">
        <v>27</v>
      </c>
      <c r="B215" s="41" t="s">
        <v>34</v>
      </c>
      <c r="C215" s="41" t="s">
        <v>35</v>
      </c>
      <c r="D215" s="41" t="s">
        <v>33</v>
      </c>
      <c r="E215" s="41" t="s">
        <v>25</v>
      </c>
      <c r="F215" s="41" t="s">
        <v>25</v>
      </c>
      <c r="G215" s="41" t="s">
        <v>25</v>
      </c>
      <c r="H215" s="41" t="s">
        <v>25</v>
      </c>
      <c r="I215" s="60">
        <v>44531</v>
      </c>
      <c r="J215" s="61">
        <f ca="1">EFEITO!$J$215*EFEITO!$Y$215</f>
        <v>8275.3604581892487</v>
      </c>
      <c r="K215" s="61">
        <f>EFEITO!$L$215*EFEITO!$Z$215</f>
        <v>0</v>
      </c>
      <c r="L215" s="61">
        <f>EFEITO!$N$215*EFEITO!$AA$215</f>
        <v>0</v>
      </c>
      <c r="M215" s="61">
        <f ca="1">$J$215-EFEITO!$K$215*EFEITO!$Y$215</f>
        <v>0</v>
      </c>
      <c r="N215" s="61">
        <f>$K$215-EFEITO!$M$215*EFEITO!$Z$215</f>
        <v>0</v>
      </c>
      <c r="O215" s="61">
        <f>$L$215-EFEITO!$O$215*EFEITO!$AA$215</f>
        <v>0</v>
      </c>
      <c r="P215" s="45"/>
      <c r="Q215" s="45"/>
      <c r="R215" s="45"/>
      <c r="S215" s="45"/>
      <c r="T215" s="45"/>
      <c r="U215" s="45"/>
      <c r="V215" s="45"/>
      <c r="W215" s="45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41" t="s">
        <v>21</v>
      </c>
      <c r="B216" s="41" t="s">
        <v>34</v>
      </c>
      <c r="C216" s="41" t="s">
        <v>35</v>
      </c>
      <c r="D216" s="41" t="s">
        <v>33</v>
      </c>
      <c r="E216" s="41" t="s">
        <v>25</v>
      </c>
      <c r="F216" s="41" t="s">
        <v>25</v>
      </c>
      <c r="G216" s="41" t="s">
        <v>25</v>
      </c>
      <c r="H216" s="41" t="s">
        <v>25</v>
      </c>
      <c r="I216" s="60">
        <v>44562</v>
      </c>
      <c r="J216" s="61">
        <f ca="1">EFEITO!$J$216*EFEITO!$Y$216</f>
        <v>30973.492000651189</v>
      </c>
      <c r="K216" s="61">
        <f>EFEITO!$L$216*EFEITO!$Z$216</f>
        <v>0</v>
      </c>
      <c r="L216" s="61">
        <f>EFEITO!$N$216*EFEITO!$AA$216</f>
        <v>0</v>
      </c>
      <c r="M216" s="61">
        <f ca="1">$J$216-EFEITO!$K$216*EFEITO!$Y$216</f>
        <v>0</v>
      </c>
      <c r="N216" s="61">
        <f>$K$216-EFEITO!$M$216*EFEITO!$Z$216</f>
        <v>0</v>
      </c>
      <c r="O216" s="61">
        <f>$L$216-EFEITO!$O$216*EFEITO!$AA$216</f>
        <v>0</v>
      </c>
      <c r="P216" s="45"/>
      <c r="Q216" s="45"/>
      <c r="R216" s="45"/>
      <c r="S216" s="45"/>
      <c r="T216" s="45"/>
      <c r="U216" s="45"/>
      <c r="V216" s="45"/>
      <c r="W216" s="45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41" t="s">
        <v>27</v>
      </c>
      <c r="B217" s="41" t="s">
        <v>34</v>
      </c>
      <c r="C217" s="41" t="s">
        <v>35</v>
      </c>
      <c r="D217" s="41" t="s">
        <v>33</v>
      </c>
      <c r="E217" s="41" t="s">
        <v>25</v>
      </c>
      <c r="F217" s="41" t="s">
        <v>25</v>
      </c>
      <c r="G217" s="41" t="s">
        <v>25</v>
      </c>
      <c r="H217" s="41" t="s">
        <v>25</v>
      </c>
      <c r="I217" s="60">
        <v>44562</v>
      </c>
      <c r="J217" s="61">
        <f ca="1">EFEITO!$J$217*EFEITO!$Y$217</f>
        <v>8275.3604581892487</v>
      </c>
      <c r="K217" s="61">
        <f>EFEITO!$L$217*EFEITO!$Z$217</f>
        <v>0</v>
      </c>
      <c r="L217" s="61">
        <f>EFEITO!$N$217*EFEITO!$AA$217</f>
        <v>0</v>
      </c>
      <c r="M217" s="61">
        <f ca="1">$J$217-EFEITO!$K$217*EFEITO!$Y$217</f>
        <v>0</v>
      </c>
      <c r="N217" s="61">
        <f>$K$217-EFEITO!$M$217*EFEITO!$Z$217</f>
        <v>0</v>
      </c>
      <c r="O217" s="61">
        <f>$L$217-EFEITO!$O$217*EFEITO!$AA$217</f>
        <v>0</v>
      </c>
      <c r="P217" s="45"/>
      <c r="Q217" s="45"/>
      <c r="R217" s="45"/>
      <c r="S217" s="45"/>
      <c r="T217" s="45"/>
      <c r="U217" s="45"/>
      <c r="V217" s="45"/>
      <c r="W217" s="45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41" t="s">
        <v>21</v>
      </c>
      <c r="B218" s="41" t="s">
        <v>34</v>
      </c>
      <c r="C218" s="41" t="s">
        <v>35</v>
      </c>
      <c r="D218" s="41" t="s">
        <v>33</v>
      </c>
      <c r="E218" s="41" t="s">
        <v>25</v>
      </c>
      <c r="F218" s="41" t="s">
        <v>25</v>
      </c>
      <c r="G218" s="41" t="s">
        <v>25</v>
      </c>
      <c r="H218" s="41" t="s">
        <v>25</v>
      </c>
      <c r="I218" s="60">
        <v>44593</v>
      </c>
      <c r="J218" s="61">
        <f ca="1">EFEITO!$J$218*EFEITO!$Y$218</f>
        <v>31588.233063259537</v>
      </c>
      <c r="K218" s="61">
        <f>EFEITO!$L$218*EFEITO!$Z$218</f>
        <v>0</v>
      </c>
      <c r="L218" s="61">
        <f>EFEITO!$N$218*EFEITO!$AA$218</f>
        <v>0</v>
      </c>
      <c r="M218" s="61">
        <f ca="1">$J$218-EFEITO!$K$218*EFEITO!$Y$218</f>
        <v>0</v>
      </c>
      <c r="N218" s="61">
        <f>$K$218-EFEITO!$M$218*EFEITO!$Z$218</f>
        <v>0</v>
      </c>
      <c r="O218" s="61">
        <f>$L$218-EFEITO!$O$218*EFEITO!$AA$218</f>
        <v>0</v>
      </c>
      <c r="P218" s="45"/>
      <c r="Q218" s="45"/>
      <c r="R218" s="45"/>
      <c r="S218" s="45"/>
      <c r="T218" s="45"/>
      <c r="U218" s="45"/>
      <c r="V218" s="45"/>
      <c r="W218" s="45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41" t="s">
        <v>27</v>
      </c>
      <c r="B219" s="41" t="s">
        <v>34</v>
      </c>
      <c r="C219" s="41" t="s">
        <v>35</v>
      </c>
      <c r="D219" s="41" t="s">
        <v>33</v>
      </c>
      <c r="E219" s="41" t="s">
        <v>25</v>
      </c>
      <c r="F219" s="41" t="s">
        <v>25</v>
      </c>
      <c r="G219" s="41" t="s">
        <v>25</v>
      </c>
      <c r="H219" s="41" t="s">
        <v>25</v>
      </c>
      <c r="I219" s="60">
        <v>44593</v>
      </c>
      <c r="J219" s="61">
        <f ca="1">EFEITO!$J$219*EFEITO!$Y$219</f>
        <v>8275.3604581892487</v>
      </c>
      <c r="K219" s="61">
        <f>EFEITO!$L$219*EFEITO!$Z$219</f>
        <v>0</v>
      </c>
      <c r="L219" s="61">
        <f>EFEITO!$N$219*EFEITO!$AA$219</f>
        <v>0</v>
      </c>
      <c r="M219" s="61">
        <f ca="1">$J$219-EFEITO!$K$219*EFEITO!$Y$219</f>
        <v>0</v>
      </c>
      <c r="N219" s="61">
        <f>$K$219-EFEITO!$M$219*EFEITO!$Z$219</f>
        <v>0</v>
      </c>
      <c r="O219" s="61">
        <f>$L$219-EFEITO!$O$219*EFEITO!$AA$219</f>
        <v>0</v>
      </c>
      <c r="P219" s="45"/>
      <c r="Q219" s="45"/>
      <c r="R219" s="45"/>
      <c r="S219" s="45"/>
      <c r="T219" s="45"/>
      <c r="U219" s="45"/>
      <c r="V219" s="45"/>
      <c r="W219" s="45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41" t="s">
        <v>21</v>
      </c>
      <c r="B220" s="41" t="s">
        <v>34</v>
      </c>
      <c r="C220" s="41" t="s">
        <v>35</v>
      </c>
      <c r="D220" s="41" t="s">
        <v>33</v>
      </c>
      <c r="E220" s="41" t="s">
        <v>25</v>
      </c>
      <c r="F220" s="41" t="s">
        <v>25</v>
      </c>
      <c r="G220" s="41" t="s">
        <v>25</v>
      </c>
      <c r="H220" s="41" t="s">
        <v>25</v>
      </c>
      <c r="I220" s="60">
        <v>44621</v>
      </c>
      <c r="J220" s="61">
        <f ca="1">EFEITO!$J$220*EFEITO!$Y$220</f>
        <v>27876.142800586073</v>
      </c>
      <c r="K220" s="61">
        <f>EFEITO!$L$220*EFEITO!$Z$220</f>
        <v>0</v>
      </c>
      <c r="L220" s="61">
        <f>EFEITO!$N$220*EFEITO!$AA$220</f>
        <v>0</v>
      </c>
      <c r="M220" s="61">
        <f ca="1">$J$220-EFEITO!$K$220*EFEITO!$Y$220</f>
        <v>0</v>
      </c>
      <c r="N220" s="61">
        <f>$K$220-EFEITO!$M$220*EFEITO!$Z$220</f>
        <v>0</v>
      </c>
      <c r="O220" s="61">
        <f>$L$220-EFEITO!$O$220*EFEITO!$AA$220</f>
        <v>0</v>
      </c>
      <c r="P220" s="45"/>
      <c r="Q220" s="45"/>
      <c r="R220" s="45"/>
      <c r="S220" s="45"/>
      <c r="T220" s="45"/>
      <c r="U220" s="45"/>
      <c r="V220" s="45"/>
      <c r="W220" s="45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41" t="s">
        <v>27</v>
      </c>
      <c r="B221" s="41" t="s">
        <v>34</v>
      </c>
      <c r="C221" s="41" t="s">
        <v>35</v>
      </c>
      <c r="D221" s="41" t="s">
        <v>33</v>
      </c>
      <c r="E221" s="41" t="s">
        <v>25</v>
      </c>
      <c r="F221" s="41" t="s">
        <v>25</v>
      </c>
      <c r="G221" s="41" t="s">
        <v>25</v>
      </c>
      <c r="H221" s="41" t="s">
        <v>25</v>
      </c>
      <c r="I221" s="60">
        <v>44621</v>
      </c>
      <c r="J221" s="61">
        <f ca="1">EFEITO!$J$221*EFEITO!$Y$221</f>
        <v>8275.3604581892487</v>
      </c>
      <c r="K221" s="61">
        <f>EFEITO!$L$221*EFEITO!$Z$221</f>
        <v>0</v>
      </c>
      <c r="L221" s="61">
        <f>EFEITO!$N$221*EFEITO!$AA$221</f>
        <v>0</v>
      </c>
      <c r="M221" s="61">
        <f ca="1">$J$221-EFEITO!$K$221*EFEITO!$Y$221</f>
        <v>0</v>
      </c>
      <c r="N221" s="61">
        <f>$K$221-EFEITO!$M$221*EFEITO!$Z$221</f>
        <v>0</v>
      </c>
      <c r="O221" s="61">
        <f>$L$221-EFEITO!$O$221*EFEITO!$AA$221</f>
        <v>0</v>
      </c>
      <c r="P221" s="45"/>
      <c r="Q221" s="45"/>
      <c r="R221" s="45"/>
      <c r="S221" s="45"/>
      <c r="T221" s="45"/>
      <c r="U221" s="45"/>
      <c r="V221" s="45"/>
      <c r="W221" s="45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41" t="s">
        <v>21</v>
      </c>
      <c r="B222" s="41" t="s">
        <v>34</v>
      </c>
      <c r="C222" s="41" t="s">
        <v>35</v>
      </c>
      <c r="D222" s="41" t="s">
        <v>33</v>
      </c>
      <c r="E222" s="41" t="s">
        <v>25</v>
      </c>
      <c r="F222" s="41" t="s">
        <v>25</v>
      </c>
      <c r="G222" s="41" t="s">
        <v>25</v>
      </c>
      <c r="H222" s="41" t="s">
        <v>25</v>
      </c>
      <c r="I222" s="60">
        <v>44652</v>
      </c>
      <c r="J222" s="61">
        <f ca="1">EFEITO!$J$222*EFEITO!$Y$222</f>
        <v>32959.578510616608</v>
      </c>
      <c r="K222" s="61">
        <f>EFEITO!$L$222*EFEITO!$Z$222</f>
        <v>0</v>
      </c>
      <c r="L222" s="61">
        <f>EFEITO!$N$222*EFEITO!$AA$222</f>
        <v>0</v>
      </c>
      <c r="M222" s="61">
        <f ca="1">$J$222-EFEITO!$K$222*EFEITO!$Y$222</f>
        <v>0</v>
      </c>
      <c r="N222" s="61">
        <f>$K$222-EFEITO!$M$222*EFEITO!$Z$222</f>
        <v>0</v>
      </c>
      <c r="O222" s="61">
        <f>$L$222-EFEITO!$O$222*EFEITO!$AA$222</f>
        <v>0</v>
      </c>
      <c r="P222" s="45"/>
      <c r="Q222" s="45"/>
      <c r="R222" s="45"/>
      <c r="S222" s="45"/>
      <c r="T222" s="45"/>
      <c r="U222" s="45"/>
      <c r="V222" s="45"/>
      <c r="W222" s="45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41" t="s">
        <v>27</v>
      </c>
      <c r="B223" s="41" t="s">
        <v>34</v>
      </c>
      <c r="C223" s="41" t="s">
        <v>35</v>
      </c>
      <c r="D223" s="41" t="s">
        <v>33</v>
      </c>
      <c r="E223" s="41" t="s">
        <v>25</v>
      </c>
      <c r="F223" s="41" t="s">
        <v>25</v>
      </c>
      <c r="G223" s="41" t="s">
        <v>25</v>
      </c>
      <c r="H223" s="41" t="s">
        <v>25</v>
      </c>
      <c r="I223" s="60">
        <v>44652</v>
      </c>
      <c r="J223" s="61">
        <f ca="1">EFEITO!$J$223*EFEITO!$Y$223</f>
        <v>8275.3604581892487</v>
      </c>
      <c r="K223" s="61">
        <f>EFEITO!$L$223*EFEITO!$Z$223</f>
        <v>0</v>
      </c>
      <c r="L223" s="61">
        <f>EFEITO!$N$223*EFEITO!$AA$223</f>
        <v>0</v>
      </c>
      <c r="M223" s="61">
        <f ca="1">$J$223-EFEITO!$K$223*EFEITO!$Y$223</f>
        <v>0</v>
      </c>
      <c r="N223" s="61">
        <f>$K$223-EFEITO!$M$223*EFEITO!$Z$223</f>
        <v>0</v>
      </c>
      <c r="O223" s="61">
        <f>$L$223-EFEITO!$O$223*EFEITO!$AA$223</f>
        <v>0</v>
      </c>
      <c r="P223" s="45"/>
      <c r="Q223" s="45"/>
      <c r="R223" s="45"/>
      <c r="S223" s="45"/>
      <c r="T223" s="45"/>
      <c r="U223" s="45"/>
      <c r="V223" s="45"/>
      <c r="W223" s="45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41" t="s">
        <v>21</v>
      </c>
      <c r="B224" s="41" t="s">
        <v>34</v>
      </c>
      <c r="C224" s="41" t="s">
        <v>35</v>
      </c>
      <c r="D224" s="41" t="s">
        <v>33</v>
      </c>
      <c r="E224" s="41" t="s">
        <v>25</v>
      </c>
      <c r="F224" s="41" t="s">
        <v>25</v>
      </c>
      <c r="G224" s="41" t="s">
        <v>25</v>
      </c>
      <c r="H224" s="41" t="s">
        <v>25</v>
      </c>
      <c r="I224" s="60">
        <v>44682</v>
      </c>
      <c r="J224" s="61">
        <f ca="1">EFEITO!$J$224*EFEITO!$Y$224</f>
        <v>32675.851866335837</v>
      </c>
      <c r="K224" s="61">
        <f>EFEITO!$L$224*EFEITO!$Z$224</f>
        <v>0</v>
      </c>
      <c r="L224" s="61">
        <f>EFEITO!$N$224*EFEITO!$AA$224</f>
        <v>0</v>
      </c>
      <c r="M224" s="61">
        <f ca="1">$J$224-EFEITO!$K$224*EFEITO!$Y$224</f>
        <v>0</v>
      </c>
      <c r="N224" s="61">
        <f>$K$224-EFEITO!$M$224*EFEITO!$Z$224</f>
        <v>0</v>
      </c>
      <c r="O224" s="61">
        <f>$L$224-EFEITO!$O$224*EFEITO!$AA$224</f>
        <v>0</v>
      </c>
      <c r="P224" s="45"/>
      <c r="Q224" s="45"/>
      <c r="R224" s="45"/>
      <c r="S224" s="45"/>
      <c r="T224" s="45"/>
      <c r="U224" s="45"/>
      <c r="V224" s="45"/>
      <c r="W224" s="45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41" t="s">
        <v>27</v>
      </c>
      <c r="B225" s="41" t="s">
        <v>34</v>
      </c>
      <c r="C225" s="41" t="s">
        <v>35</v>
      </c>
      <c r="D225" s="41" t="s">
        <v>33</v>
      </c>
      <c r="E225" s="41" t="s">
        <v>25</v>
      </c>
      <c r="F225" s="41" t="s">
        <v>25</v>
      </c>
      <c r="G225" s="41" t="s">
        <v>25</v>
      </c>
      <c r="H225" s="41" t="s">
        <v>25</v>
      </c>
      <c r="I225" s="60">
        <v>44682</v>
      </c>
      <c r="J225" s="61">
        <f ca="1">EFEITO!$J$225*EFEITO!$Y$225</f>
        <v>5910.971755849464</v>
      </c>
      <c r="K225" s="61">
        <f>EFEITO!$L$225*EFEITO!$Z$225</f>
        <v>0</v>
      </c>
      <c r="L225" s="61">
        <f>EFEITO!$N$225*EFEITO!$AA$225</f>
        <v>0</v>
      </c>
      <c r="M225" s="61">
        <f ca="1">$J$225-EFEITO!$K$225*EFEITO!$Y$225</f>
        <v>0</v>
      </c>
      <c r="N225" s="61">
        <f>$K$225-EFEITO!$M$225*EFEITO!$Z$225</f>
        <v>0</v>
      </c>
      <c r="O225" s="61">
        <f>$L$225-EFEITO!$O$225*EFEITO!$AA$225</f>
        <v>0</v>
      </c>
      <c r="P225" s="45"/>
      <c r="Q225" s="45"/>
      <c r="R225" s="45"/>
      <c r="S225" s="45"/>
      <c r="T225" s="45"/>
      <c r="U225" s="45"/>
      <c r="V225" s="45"/>
      <c r="W225" s="45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41" t="s">
        <v>21</v>
      </c>
      <c r="B226" s="41" t="s">
        <v>34</v>
      </c>
      <c r="C226" s="41" t="s">
        <v>35</v>
      </c>
      <c r="D226" s="41" t="s">
        <v>33</v>
      </c>
      <c r="E226" s="41" t="s">
        <v>25</v>
      </c>
      <c r="F226" s="41" t="s">
        <v>25</v>
      </c>
      <c r="G226" s="41" t="s">
        <v>25</v>
      </c>
      <c r="H226" s="41" t="s">
        <v>25</v>
      </c>
      <c r="I226" s="60">
        <v>44713</v>
      </c>
      <c r="J226" s="61">
        <f ca="1">EFEITO!$J$226*EFEITO!$Y$226</f>
        <v>29578.502666270717</v>
      </c>
      <c r="K226" s="61">
        <f>EFEITO!$L$226*EFEITO!$Z$226</f>
        <v>0</v>
      </c>
      <c r="L226" s="61">
        <f>EFEITO!$N$226*EFEITO!$AA$226</f>
        <v>0</v>
      </c>
      <c r="M226" s="61">
        <f ca="1">$J$226-EFEITO!$K$226*EFEITO!$Y$226</f>
        <v>0</v>
      </c>
      <c r="N226" s="61">
        <f>$K$226-EFEITO!$M$226*EFEITO!$Z$226</f>
        <v>0</v>
      </c>
      <c r="O226" s="61">
        <f>$L$226-EFEITO!$O$226*EFEITO!$AA$226</f>
        <v>0</v>
      </c>
      <c r="P226" s="45"/>
      <c r="Q226" s="45"/>
      <c r="R226" s="45"/>
      <c r="S226" s="45"/>
      <c r="T226" s="45"/>
      <c r="U226" s="45"/>
      <c r="V226" s="45"/>
      <c r="W226" s="45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41" t="s">
        <v>27</v>
      </c>
      <c r="B227" s="41" t="s">
        <v>34</v>
      </c>
      <c r="C227" s="41" t="s">
        <v>35</v>
      </c>
      <c r="D227" s="41" t="s">
        <v>33</v>
      </c>
      <c r="E227" s="41" t="s">
        <v>25</v>
      </c>
      <c r="F227" s="41" t="s">
        <v>25</v>
      </c>
      <c r="G227" s="41" t="s">
        <v>25</v>
      </c>
      <c r="H227" s="41" t="s">
        <v>25</v>
      </c>
      <c r="I227" s="60">
        <v>44713</v>
      </c>
      <c r="J227" s="61">
        <f ca="1">EFEITO!$J$227*EFEITO!$Y$227</f>
        <v>8748.2381986572072</v>
      </c>
      <c r="K227" s="61">
        <f>EFEITO!$L$227*EFEITO!$Z$227</f>
        <v>0</v>
      </c>
      <c r="L227" s="61">
        <f>EFEITO!$N$227*EFEITO!$AA$227</f>
        <v>0</v>
      </c>
      <c r="M227" s="61">
        <f ca="1">$J$227-EFEITO!$K$227*EFEITO!$Y$227</f>
        <v>0</v>
      </c>
      <c r="N227" s="61">
        <f>$K$227-EFEITO!$M$227*EFEITO!$Z$227</f>
        <v>0</v>
      </c>
      <c r="O227" s="61">
        <f>$L$227-EFEITO!$O$227*EFEITO!$AA$227</f>
        <v>0</v>
      </c>
      <c r="P227" s="45"/>
      <c r="Q227" s="45"/>
      <c r="R227" s="45"/>
      <c r="S227" s="45"/>
      <c r="T227" s="45"/>
      <c r="U227" s="45"/>
      <c r="V227" s="45"/>
      <c r="W227" s="45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41" t="s">
        <v>21</v>
      </c>
      <c r="B228" s="41" t="s">
        <v>34</v>
      </c>
      <c r="C228" s="41" t="s">
        <v>35</v>
      </c>
      <c r="D228" s="41" t="s">
        <v>33</v>
      </c>
      <c r="E228" s="41" t="s">
        <v>25</v>
      </c>
      <c r="F228" s="41" t="s">
        <v>25</v>
      </c>
      <c r="G228" s="41" t="s">
        <v>25</v>
      </c>
      <c r="H228" s="41" t="s">
        <v>25</v>
      </c>
      <c r="I228" s="60">
        <v>44743</v>
      </c>
      <c r="J228" s="61">
        <f ca="1">EFEITO!$J$228*EFEITO!$Y$228</f>
        <v>29594.107631706163</v>
      </c>
      <c r="K228" s="61">
        <f>EFEITO!$L$228*EFEITO!$Z$228</f>
        <v>0</v>
      </c>
      <c r="L228" s="61">
        <f>EFEITO!$N$228*EFEITO!$AA$228</f>
        <v>0</v>
      </c>
      <c r="M228" s="61">
        <f ca="1">$J$228-EFEITO!$K$228*EFEITO!$Y$228</f>
        <v>0</v>
      </c>
      <c r="N228" s="61">
        <f>$K$228-EFEITO!$M$228*EFEITO!$Z$228</f>
        <v>0</v>
      </c>
      <c r="O228" s="61">
        <f>$L$228-EFEITO!$O$228*EFEITO!$AA$228</f>
        <v>0</v>
      </c>
      <c r="P228" s="45"/>
      <c r="Q228" s="45"/>
      <c r="R228" s="45"/>
      <c r="S228" s="45"/>
      <c r="T228" s="45"/>
      <c r="U228" s="45"/>
      <c r="V228" s="45"/>
      <c r="W228" s="45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41" t="s">
        <v>27</v>
      </c>
      <c r="B229" s="41" t="s">
        <v>34</v>
      </c>
      <c r="C229" s="41" t="s">
        <v>35</v>
      </c>
      <c r="D229" s="41" t="s">
        <v>33</v>
      </c>
      <c r="E229" s="41" t="s">
        <v>25</v>
      </c>
      <c r="F229" s="41" t="s">
        <v>25</v>
      </c>
      <c r="G229" s="41" t="s">
        <v>25</v>
      </c>
      <c r="H229" s="41" t="s">
        <v>25</v>
      </c>
      <c r="I229" s="60">
        <v>44743</v>
      </c>
      <c r="J229" s="61">
        <f ca="1">EFEITO!$J$229*EFEITO!$Y$229</f>
        <v>8748.2381986572072</v>
      </c>
      <c r="K229" s="61">
        <f>EFEITO!$L$229*EFEITO!$Z$229</f>
        <v>0</v>
      </c>
      <c r="L229" s="61">
        <f>EFEITO!$N$229*EFEITO!$AA$229</f>
        <v>0</v>
      </c>
      <c r="M229" s="61">
        <f ca="1">$J$229-EFEITO!$K$229*EFEITO!$Y$229</f>
        <v>0</v>
      </c>
      <c r="N229" s="61">
        <f>$K$229-EFEITO!$M$229*EFEITO!$Z$229</f>
        <v>0</v>
      </c>
      <c r="O229" s="61">
        <f>$L$229-EFEITO!$O$229*EFEITO!$AA$229</f>
        <v>0</v>
      </c>
      <c r="P229" s="45"/>
      <c r="Q229" s="45"/>
      <c r="R229" s="45"/>
      <c r="S229" s="45"/>
      <c r="T229" s="45"/>
      <c r="U229" s="45"/>
      <c r="V229" s="45"/>
      <c r="W229" s="45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41" t="s">
        <v>21</v>
      </c>
      <c r="B230" s="41" t="s">
        <v>34</v>
      </c>
      <c r="C230" s="41" t="s">
        <v>35</v>
      </c>
      <c r="D230" s="41" t="s">
        <v>33</v>
      </c>
      <c r="E230" s="41" t="s">
        <v>25</v>
      </c>
      <c r="F230" s="41" t="s">
        <v>25</v>
      </c>
      <c r="G230" s="41" t="s">
        <v>25</v>
      </c>
      <c r="H230" s="41" t="s">
        <v>36</v>
      </c>
      <c r="I230" s="60">
        <v>44409</v>
      </c>
      <c r="J230" s="61">
        <f>EFEITO!$J$230*EFEITO!$Y$230</f>
        <v>0</v>
      </c>
      <c r="K230" s="61">
        <f ca="1">EFEITO!$L$230*EFEITO!$Z$230</f>
        <v>19236.334786540294</v>
      </c>
      <c r="L230" s="61">
        <f>EFEITO!$N$230*EFEITO!$AA$230</f>
        <v>8209.9299328977268</v>
      </c>
      <c r="M230" s="61">
        <f>$J$230-EFEITO!$K$230*EFEITO!$Y$230</f>
        <v>0</v>
      </c>
      <c r="N230" s="61">
        <f ca="1">$K$230-EFEITO!$M$230*EFEITO!$Z$230</f>
        <v>0</v>
      </c>
      <c r="O230" s="61">
        <f>$L$230-EFEITO!$O$230*EFEITO!$AA$230</f>
        <v>0</v>
      </c>
      <c r="P230" s="45"/>
      <c r="Q230" s="45"/>
      <c r="R230" s="45"/>
      <c r="S230" s="45"/>
      <c r="T230" s="45"/>
      <c r="U230" s="45"/>
      <c r="V230" s="45"/>
      <c r="W230" s="45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41" t="s">
        <v>27</v>
      </c>
      <c r="B231" s="41" t="s">
        <v>34</v>
      </c>
      <c r="C231" s="41" t="s">
        <v>35</v>
      </c>
      <c r="D231" s="41" t="s">
        <v>33</v>
      </c>
      <c r="E231" s="41" t="s">
        <v>25</v>
      </c>
      <c r="F231" s="41" t="s">
        <v>25</v>
      </c>
      <c r="G231" s="41" t="s">
        <v>25</v>
      </c>
      <c r="H231" s="41" t="s">
        <v>36</v>
      </c>
      <c r="I231" s="60">
        <v>44409</v>
      </c>
      <c r="J231" s="61">
        <f>EFEITO!$J$231*EFEITO!$Y$231</f>
        <v>0</v>
      </c>
      <c r="K231" s="61">
        <f ca="1">EFEITO!$L$231*EFEITO!$Z$231</f>
        <v>629.90663874544373</v>
      </c>
      <c r="L231" s="61">
        <f>EFEITO!$N$231*EFEITO!$AA$231</f>
        <v>268.83964256983694</v>
      </c>
      <c r="M231" s="61">
        <f>$J$231-EFEITO!$K$231*EFEITO!$Y$231</f>
        <v>0</v>
      </c>
      <c r="N231" s="61">
        <f ca="1">$K$231-EFEITO!$M$231*EFEITO!$Z$231</f>
        <v>0</v>
      </c>
      <c r="O231" s="61">
        <f>$L$231-EFEITO!$O$231*EFEITO!$AA$231</f>
        <v>0</v>
      </c>
      <c r="P231" s="45"/>
      <c r="Q231" s="45"/>
      <c r="R231" s="45"/>
      <c r="S231" s="45"/>
      <c r="T231" s="45"/>
      <c r="U231" s="45"/>
      <c r="V231" s="45"/>
      <c r="W231" s="45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41" t="s">
        <v>21</v>
      </c>
      <c r="B232" s="41" t="s">
        <v>34</v>
      </c>
      <c r="C232" s="41" t="s">
        <v>35</v>
      </c>
      <c r="D232" s="41" t="s">
        <v>33</v>
      </c>
      <c r="E232" s="41" t="s">
        <v>25</v>
      </c>
      <c r="F232" s="41" t="s">
        <v>25</v>
      </c>
      <c r="G232" s="41" t="s">
        <v>25</v>
      </c>
      <c r="H232" s="41" t="s">
        <v>36</v>
      </c>
      <c r="I232" s="60">
        <v>44440</v>
      </c>
      <c r="J232" s="61">
        <f>EFEITO!$J$232*EFEITO!$Y$232</f>
        <v>0</v>
      </c>
      <c r="K232" s="61">
        <f ca="1">EFEITO!$L$232*EFEITO!$Z$232</f>
        <v>18443.801202731927</v>
      </c>
      <c r="L232" s="61">
        <f>EFEITO!$N$232*EFEITO!$AA$232</f>
        <v>7871.6822747686056</v>
      </c>
      <c r="M232" s="61">
        <f>$J$232-EFEITO!$K$232*EFEITO!$Y$232</f>
        <v>0</v>
      </c>
      <c r="N232" s="61">
        <f ca="1">$K$232-EFEITO!$M$232*EFEITO!$Z$232</f>
        <v>0</v>
      </c>
      <c r="O232" s="61">
        <f>$L$232-EFEITO!$O$232*EFEITO!$AA$232</f>
        <v>0</v>
      </c>
      <c r="P232" s="45"/>
      <c r="Q232" s="45"/>
      <c r="R232" s="45"/>
      <c r="S232" s="45"/>
      <c r="T232" s="45"/>
      <c r="U232" s="45"/>
      <c r="V232" s="45"/>
      <c r="W232" s="45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41" t="s">
        <v>27</v>
      </c>
      <c r="B233" s="41" t="s">
        <v>34</v>
      </c>
      <c r="C233" s="41" t="s">
        <v>35</v>
      </c>
      <c r="D233" s="41" t="s">
        <v>33</v>
      </c>
      <c r="E233" s="41" t="s">
        <v>25</v>
      </c>
      <c r="F233" s="41" t="s">
        <v>25</v>
      </c>
      <c r="G233" s="41" t="s">
        <v>25</v>
      </c>
      <c r="H233" s="41" t="s">
        <v>36</v>
      </c>
      <c r="I233" s="60">
        <v>44440</v>
      </c>
      <c r="J233" s="61">
        <f>EFEITO!$J$233*EFEITO!$Y$233</f>
        <v>0</v>
      </c>
      <c r="K233" s="61">
        <f ca="1">EFEITO!$L$233*EFEITO!$Z$233</f>
        <v>421.313329178554</v>
      </c>
      <c r="L233" s="61">
        <f>EFEITO!$N$233*EFEITO!$AA$233</f>
        <v>179.81351181161813</v>
      </c>
      <c r="M233" s="61">
        <f>$J$233-EFEITO!$K$233*EFEITO!$Y$233</f>
        <v>0</v>
      </c>
      <c r="N233" s="61">
        <f ca="1">$K$233-EFEITO!$M$233*EFEITO!$Z$233</f>
        <v>0</v>
      </c>
      <c r="O233" s="61">
        <f>$L$233-EFEITO!$O$233*EFEITO!$AA$233</f>
        <v>0</v>
      </c>
      <c r="P233" s="45"/>
      <c r="Q233" s="45"/>
      <c r="R233" s="45"/>
      <c r="S233" s="45"/>
      <c r="T233" s="45"/>
      <c r="U233" s="45"/>
      <c r="V233" s="45"/>
      <c r="W233" s="45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41" t="s">
        <v>21</v>
      </c>
      <c r="B234" s="41" t="s">
        <v>34</v>
      </c>
      <c r="C234" s="41" t="s">
        <v>35</v>
      </c>
      <c r="D234" s="41" t="s">
        <v>33</v>
      </c>
      <c r="E234" s="41" t="s">
        <v>25</v>
      </c>
      <c r="F234" s="41" t="s">
        <v>25</v>
      </c>
      <c r="G234" s="41" t="s">
        <v>25</v>
      </c>
      <c r="H234" s="41" t="s">
        <v>36</v>
      </c>
      <c r="I234" s="60">
        <v>44470</v>
      </c>
      <c r="J234" s="61">
        <f>EFEITO!$J$234*EFEITO!$Y$234</f>
        <v>0</v>
      </c>
      <c r="K234" s="61">
        <f ca="1">EFEITO!$L$234*EFEITO!$Z$234</f>
        <v>16931.394380039685</v>
      </c>
      <c r="L234" s="61">
        <f>EFEITO!$N$234*EFEITO!$AA$234</f>
        <v>7226.1978733935666</v>
      </c>
      <c r="M234" s="61">
        <f>$J$234-EFEITO!$K$234*EFEITO!$Y$234</f>
        <v>0</v>
      </c>
      <c r="N234" s="61">
        <f ca="1">$K$234-EFEITO!$M$234*EFEITO!$Z$234</f>
        <v>0</v>
      </c>
      <c r="O234" s="61">
        <f>$L$234-EFEITO!$O$234*EFEITO!$AA$234</f>
        <v>0</v>
      </c>
      <c r="P234" s="45"/>
      <c r="Q234" s="45"/>
      <c r="R234" s="45"/>
      <c r="S234" s="45"/>
      <c r="T234" s="45"/>
      <c r="U234" s="45"/>
      <c r="V234" s="45"/>
      <c r="W234" s="45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41" t="s">
        <v>27</v>
      </c>
      <c r="B235" s="41" t="s">
        <v>34</v>
      </c>
      <c r="C235" s="41" t="s">
        <v>35</v>
      </c>
      <c r="D235" s="41" t="s">
        <v>33</v>
      </c>
      <c r="E235" s="41" t="s">
        <v>25</v>
      </c>
      <c r="F235" s="41" t="s">
        <v>25</v>
      </c>
      <c r="G235" s="41" t="s">
        <v>25</v>
      </c>
      <c r="H235" s="41" t="s">
        <v>36</v>
      </c>
      <c r="I235" s="60">
        <v>44470</v>
      </c>
      <c r="J235" s="61">
        <f>EFEITO!$J$235*EFEITO!$Y$235</f>
        <v>0</v>
      </c>
      <c r="K235" s="61">
        <f ca="1">EFEITO!$L$235*EFEITO!$Z$235</f>
        <v>455.2236507244894</v>
      </c>
      <c r="L235" s="61">
        <f>EFEITO!$N$235*EFEITO!$AA$235</f>
        <v>194.2861942110199</v>
      </c>
      <c r="M235" s="61">
        <f>$J$235-EFEITO!$K$235*EFEITO!$Y$235</f>
        <v>0</v>
      </c>
      <c r="N235" s="61">
        <f ca="1">$K$235-EFEITO!$M$235*EFEITO!$Z$235</f>
        <v>0</v>
      </c>
      <c r="O235" s="61">
        <f>$L$235-EFEITO!$O$235*EFEITO!$AA$235</f>
        <v>0</v>
      </c>
      <c r="P235" s="45"/>
      <c r="Q235" s="45"/>
      <c r="R235" s="45"/>
      <c r="S235" s="45"/>
      <c r="T235" s="45"/>
      <c r="U235" s="45"/>
      <c r="V235" s="45"/>
      <c r="W235" s="45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41" t="s">
        <v>21</v>
      </c>
      <c r="B236" s="41" t="s">
        <v>34</v>
      </c>
      <c r="C236" s="41" t="s">
        <v>35</v>
      </c>
      <c r="D236" s="41" t="s">
        <v>33</v>
      </c>
      <c r="E236" s="41" t="s">
        <v>25</v>
      </c>
      <c r="F236" s="41" t="s">
        <v>25</v>
      </c>
      <c r="G236" s="41" t="s">
        <v>25</v>
      </c>
      <c r="H236" s="41" t="s">
        <v>36</v>
      </c>
      <c r="I236" s="60">
        <v>44501</v>
      </c>
      <c r="J236" s="61">
        <f>EFEITO!$J$236*EFEITO!$Y$236</f>
        <v>0</v>
      </c>
      <c r="K236" s="61">
        <f ca="1">EFEITO!$L$236*EFEITO!$Z$236</f>
        <v>16407.453445035586</v>
      </c>
      <c r="L236" s="61">
        <f>EFEITO!$N$236*EFEITO!$AA$236</f>
        <v>7002.583634345785</v>
      </c>
      <c r="M236" s="61">
        <f>$J$236-EFEITO!$K$236*EFEITO!$Y$236</f>
        <v>0</v>
      </c>
      <c r="N236" s="61">
        <f ca="1">$K$236-EFEITO!$M$236*EFEITO!$Z$236</f>
        <v>0</v>
      </c>
      <c r="O236" s="61">
        <f>$L$236-EFEITO!$O$236*EFEITO!$AA$236</f>
        <v>0</v>
      </c>
      <c r="P236" s="45"/>
      <c r="Q236" s="45"/>
      <c r="R236" s="45"/>
      <c r="S236" s="45"/>
      <c r="T236" s="45"/>
      <c r="U236" s="45"/>
      <c r="V236" s="45"/>
      <c r="W236" s="45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41" t="s">
        <v>27</v>
      </c>
      <c r="B237" s="41" t="s">
        <v>34</v>
      </c>
      <c r="C237" s="41" t="s">
        <v>35</v>
      </c>
      <c r="D237" s="41" t="s">
        <v>33</v>
      </c>
      <c r="E237" s="41" t="s">
        <v>25</v>
      </c>
      <c r="F237" s="41" t="s">
        <v>25</v>
      </c>
      <c r="G237" s="41" t="s">
        <v>25</v>
      </c>
      <c r="H237" s="41" t="s">
        <v>36</v>
      </c>
      <c r="I237" s="60">
        <v>44501</v>
      </c>
      <c r="J237" s="61">
        <f>EFEITO!$J$237*EFEITO!$Y$237</f>
        <v>0</v>
      </c>
      <c r="K237" s="61">
        <f ca="1">EFEITO!$L$237*EFEITO!$Z$237</f>
        <v>469.82917946934595</v>
      </c>
      <c r="L237" s="61">
        <f>EFEITO!$N$237*EFEITO!$AA$237</f>
        <v>200.519729287156</v>
      </c>
      <c r="M237" s="61">
        <f>$J$237-EFEITO!$K$237*EFEITO!$Y$237</f>
        <v>0</v>
      </c>
      <c r="N237" s="61">
        <f ca="1">$K$237-EFEITO!$M$237*EFEITO!$Z$237</f>
        <v>0</v>
      </c>
      <c r="O237" s="61">
        <f>$L$237-EFEITO!$O$237*EFEITO!$AA$237</f>
        <v>0</v>
      </c>
      <c r="P237" s="45"/>
      <c r="Q237" s="45"/>
      <c r="R237" s="45"/>
      <c r="S237" s="45"/>
      <c r="T237" s="45"/>
      <c r="U237" s="45"/>
      <c r="V237" s="45"/>
      <c r="W237" s="45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41" t="s">
        <v>21</v>
      </c>
      <c r="B238" s="41" t="s">
        <v>34</v>
      </c>
      <c r="C238" s="41" t="s">
        <v>35</v>
      </c>
      <c r="D238" s="41" t="s">
        <v>33</v>
      </c>
      <c r="E238" s="41" t="s">
        <v>25</v>
      </c>
      <c r="F238" s="41" t="s">
        <v>25</v>
      </c>
      <c r="G238" s="41" t="s">
        <v>25</v>
      </c>
      <c r="H238" s="41" t="s">
        <v>36</v>
      </c>
      <c r="I238" s="60">
        <v>44531</v>
      </c>
      <c r="J238" s="61">
        <f>EFEITO!$J$238*EFEITO!$Y$238</f>
        <v>0</v>
      </c>
      <c r="K238" s="61">
        <f ca="1">EFEITO!$L$238*EFEITO!$Z$238</f>
        <v>15470.84150555403</v>
      </c>
      <c r="L238" s="61">
        <f>EFEITO!$N$238*EFEITO!$AA$238</f>
        <v>6602.8443657799571</v>
      </c>
      <c r="M238" s="61">
        <f>$J$238-EFEITO!$K$238*EFEITO!$Y$238</f>
        <v>0</v>
      </c>
      <c r="N238" s="61">
        <f ca="1">$K$238-EFEITO!$M$238*EFEITO!$Z$238</f>
        <v>0</v>
      </c>
      <c r="O238" s="61">
        <f>$L$238-EFEITO!$O$238*EFEITO!$AA$238</f>
        <v>0</v>
      </c>
      <c r="P238" s="45"/>
      <c r="Q238" s="45"/>
      <c r="R238" s="45"/>
      <c r="S238" s="45"/>
      <c r="T238" s="45"/>
      <c r="U238" s="45"/>
      <c r="V238" s="45"/>
      <c r="W238" s="45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41" t="s">
        <v>27</v>
      </c>
      <c r="B239" s="41" t="s">
        <v>34</v>
      </c>
      <c r="C239" s="41" t="s">
        <v>35</v>
      </c>
      <c r="D239" s="41" t="s">
        <v>33</v>
      </c>
      <c r="E239" s="41" t="s">
        <v>25</v>
      </c>
      <c r="F239" s="41" t="s">
        <v>25</v>
      </c>
      <c r="G239" s="41" t="s">
        <v>25</v>
      </c>
      <c r="H239" s="41" t="s">
        <v>36</v>
      </c>
      <c r="I239" s="60">
        <v>44531</v>
      </c>
      <c r="J239" s="61">
        <f>EFEITO!$J$239*EFEITO!$Y$239</f>
        <v>0</v>
      </c>
      <c r="K239" s="61">
        <f ca="1">EFEITO!$L$239*EFEITO!$Z$239</f>
        <v>346.77327863157905</v>
      </c>
      <c r="L239" s="61">
        <f>EFEITO!$N$239*EFEITO!$AA$239</f>
        <v>148.00035202956261</v>
      </c>
      <c r="M239" s="61">
        <f>$J$239-EFEITO!$K$239*EFEITO!$Y$239</f>
        <v>0</v>
      </c>
      <c r="N239" s="61">
        <f ca="1">$K$239-EFEITO!$M$239*EFEITO!$Z$239</f>
        <v>0</v>
      </c>
      <c r="O239" s="61">
        <f>$L$239-EFEITO!$O$239*EFEITO!$AA$239</f>
        <v>0</v>
      </c>
      <c r="P239" s="45"/>
      <c r="Q239" s="45"/>
      <c r="R239" s="45"/>
      <c r="S239" s="45"/>
      <c r="T239" s="45"/>
      <c r="U239" s="45"/>
      <c r="V239" s="45"/>
      <c r="W239" s="45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41" t="s">
        <v>21</v>
      </c>
      <c r="B240" s="41" t="s">
        <v>34</v>
      </c>
      <c r="C240" s="41" t="s">
        <v>35</v>
      </c>
      <c r="D240" s="41" t="s">
        <v>33</v>
      </c>
      <c r="E240" s="41" t="s">
        <v>25</v>
      </c>
      <c r="F240" s="41" t="s">
        <v>25</v>
      </c>
      <c r="G240" s="41" t="s">
        <v>25</v>
      </c>
      <c r="H240" s="41" t="s">
        <v>36</v>
      </c>
      <c r="I240" s="60">
        <v>44562</v>
      </c>
      <c r="J240" s="61">
        <f>EFEITO!$J$240*EFEITO!$Y$240</f>
        <v>0</v>
      </c>
      <c r="K240" s="61">
        <f ca="1">EFEITO!$L$240*EFEITO!$Z$240</f>
        <v>15433.031334986723</v>
      </c>
      <c r="L240" s="61">
        <f>EFEITO!$N$240*EFEITO!$AA$240</f>
        <v>6586.7072557455804</v>
      </c>
      <c r="M240" s="61">
        <f>$J$240-EFEITO!$K$240*EFEITO!$Y$240</f>
        <v>0</v>
      </c>
      <c r="N240" s="61">
        <f ca="1">$K$240-EFEITO!$M$240*EFEITO!$Z$240</f>
        <v>0</v>
      </c>
      <c r="O240" s="61">
        <f>$L$240-EFEITO!$O$240*EFEITO!$AA$240</f>
        <v>0</v>
      </c>
      <c r="P240" s="45"/>
      <c r="Q240" s="45"/>
      <c r="R240" s="45"/>
      <c r="S240" s="45"/>
      <c r="T240" s="45"/>
      <c r="U240" s="45"/>
      <c r="V240" s="45"/>
      <c r="W240" s="45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41" t="s">
        <v>27</v>
      </c>
      <c r="B241" s="41" t="s">
        <v>34</v>
      </c>
      <c r="C241" s="41" t="s">
        <v>35</v>
      </c>
      <c r="D241" s="41" t="s">
        <v>33</v>
      </c>
      <c r="E241" s="41" t="s">
        <v>25</v>
      </c>
      <c r="F241" s="41" t="s">
        <v>25</v>
      </c>
      <c r="G241" s="41" t="s">
        <v>25</v>
      </c>
      <c r="H241" s="41" t="s">
        <v>36</v>
      </c>
      <c r="I241" s="60">
        <v>44562</v>
      </c>
      <c r="J241" s="61">
        <f>EFEITO!$J$241*EFEITO!$Y$241</f>
        <v>0</v>
      </c>
      <c r="K241" s="61">
        <f ca="1">EFEITO!$L$241*EFEITO!$Z$241</f>
        <v>323.00688570355805</v>
      </c>
      <c r="L241" s="61">
        <f>EFEITO!$N$241*EFEITO!$AA$241</f>
        <v>137.85702572224056</v>
      </c>
      <c r="M241" s="61">
        <f>$J$241-EFEITO!$K$241*EFEITO!$Y$241</f>
        <v>0</v>
      </c>
      <c r="N241" s="61">
        <f ca="1">$K$241-EFEITO!$M$241*EFEITO!$Z$241</f>
        <v>0</v>
      </c>
      <c r="O241" s="61">
        <f>$L$241-EFEITO!$O$241*EFEITO!$AA$241</f>
        <v>0</v>
      </c>
      <c r="P241" s="45"/>
      <c r="Q241" s="45"/>
      <c r="R241" s="45"/>
      <c r="S241" s="45"/>
      <c r="T241" s="45"/>
      <c r="U241" s="45"/>
      <c r="V241" s="45"/>
      <c r="W241" s="45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41" t="s">
        <v>21</v>
      </c>
      <c r="B242" s="41" t="s">
        <v>34</v>
      </c>
      <c r="C242" s="41" t="s">
        <v>35</v>
      </c>
      <c r="D242" s="41" t="s">
        <v>33</v>
      </c>
      <c r="E242" s="41" t="s">
        <v>25</v>
      </c>
      <c r="F242" s="41" t="s">
        <v>25</v>
      </c>
      <c r="G242" s="41" t="s">
        <v>25</v>
      </c>
      <c r="H242" s="41" t="s">
        <v>36</v>
      </c>
      <c r="I242" s="60">
        <v>44593</v>
      </c>
      <c r="J242" s="61">
        <f>EFEITO!$J$242*EFEITO!$Y$242</f>
        <v>0</v>
      </c>
      <c r="K242" s="61">
        <f ca="1">EFEITO!$L$242*EFEITO!$Z$242</f>
        <v>15179.163046891954</v>
      </c>
      <c r="L242" s="61">
        <f>EFEITO!$N$242*EFEITO!$AA$242</f>
        <v>6478.3580883719133</v>
      </c>
      <c r="M242" s="61">
        <f>$J$242-EFEITO!$K$242*EFEITO!$Y$242</f>
        <v>0</v>
      </c>
      <c r="N242" s="61">
        <f ca="1">$K$242-EFEITO!$M$242*EFEITO!$Z$242</f>
        <v>0</v>
      </c>
      <c r="O242" s="61">
        <f>$L$242-EFEITO!$O$242*EFEITO!$AA$242</f>
        <v>0</v>
      </c>
      <c r="P242" s="45"/>
      <c r="Q242" s="45"/>
      <c r="R242" s="45"/>
      <c r="S242" s="45"/>
      <c r="T242" s="45"/>
      <c r="U242" s="45"/>
      <c r="V242" s="45"/>
      <c r="W242" s="45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41" t="s">
        <v>27</v>
      </c>
      <c r="B243" s="41" t="s">
        <v>34</v>
      </c>
      <c r="C243" s="41" t="s">
        <v>35</v>
      </c>
      <c r="D243" s="41" t="s">
        <v>33</v>
      </c>
      <c r="E243" s="41" t="s">
        <v>25</v>
      </c>
      <c r="F243" s="41" t="s">
        <v>25</v>
      </c>
      <c r="G243" s="41" t="s">
        <v>25</v>
      </c>
      <c r="H243" s="41" t="s">
        <v>36</v>
      </c>
      <c r="I243" s="60">
        <v>44593</v>
      </c>
      <c r="J243" s="61">
        <f>EFEITO!$J$243*EFEITO!$Y$243</f>
        <v>0</v>
      </c>
      <c r="K243" s="61">
        <f ca="1">EFEITO!$L$243*EFEITO!$Z$243</f>
        <v>424.46777769445492</v>
      </c>
      <c r="L243" s="61">
        <f>EFEITO!$N$243*EFEITO!$AA$243</f>
        <v>181.15980784877178</v>
      </c>
      <c r="M243" s="61">
        <f>$J$243-EFEITO!$K$243*EFEITO!$Y$243</f>
        <v>0</v>
      </c>
      <c r="N243" s="61">
        <f ca="1">$K$243-EFEITO!$M$243*EFEITO!$Z$243</f>
        <v>0</v>
      </c>
      <c r="O243" s="61">
        <f>$L$243-EFEITO!$O$243*EFEITO!$AA$243</f>
        <v>0</v>
      </c>
      <c r="P243" s="45"/>
      <c r="Q243" s="45"/>
      <c r="R243" s="45"/>
      <c r="S243" s="45"/>
      <c r="T243" s="45"/>
      <c r="U243" s="45"/>
      <c r="V243" s="45"/>
      <c r="W243" s="45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41" t="s">
        <v>21</v>
      </c>
      <c r="B244" s="41" t="s">
        <v>34</v>
      </c>
      <c r="C244" s="41" t="s">
        <v>35</v>
      </c>
      <c r="D244" s="41" t="s">
        <v>33</v>
      </c>
      <c r="E244" s="41" t="s">
        <v>25</v>
      </c>
      <c r="F244" s="41" t="s">
        <v>25</v>
      </c>
      <c r="G244" s="41" t="s">
        <v>25</v>
      </c>
      <c r="H244" s="41" t="s">
        <v>36</v>
      </c>
      <c r="I244" s="60">
        <v>44621</v>
      </c>
      <c r="J244" s="61">
        <f>EFEITO!$J$244*EFEITO!$Y$244</f>
        <v>0</v>
      </c>
      <c r="K244" s="61">
        <f ca="1">EFEITO!$L$244*EFEITO!$Z$244</f>
        <v>15735.512699525174</v>
      </c>
      <c r="L244" s="61">
        <f>EFEITO!$N$244*EFEITO!$AA$244</f>
        <v>6715.8041360205889</v>
      </c>
      <c r="M244" s="61">
        <f>$J$244-EFEITO!$K$244*EFEITO!$Y$244</f>
        <v>0</v>
      </c>
      <c r="N244" s="61">
        <f ca="1">$K$244-EFEITO!$M$244*EFEITO!$Z$244</f>
        <v>0</v>
      </c>
      <c r="O244" s="61">
        <f>$L$244-EFEITO!$O$244*EFEITO!$AA$244</f>
        <v>0</v>
      </c>
      <c r="P244" s="45"/>
      <c r="Q244" s="45"/>
      <c r="R244" s="45"/>
      <c r="S244" s="45"/>
      <c r="T244" s="45"/>
      <c r="U244" s="45"/>
      <c r="V244" s="45"/>
      <c r="W244" s="45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41" t="s">
        <v>27</v>
      </c>
      <c r="B245" s="41" t="s">
        <v>34</v>
      </c>
      <c r="C245" s="41" t="s">
        <v>35</v>
      </c>
      <c r="D245" s="41" t="s">
        <v>33</v>
      </c>
      <c r="E245" s="41" t="s">
        <v>25</v>
      </c>
      <c r="F245" s="41" t="s">
        <v>25</v>
      </c>
      <c r="G245" s="41" t="s">
        <v>25</v>
      </c>
      <c r="H245" s="41" t="s">
        <v>36</v>
      </c>
      <c r="I245" s="60">
        <v>44621</v>
      </c>
      <c r="J245" s="61">
        <f>EFEITO!$J$245*EFEITO!$Y$245</f>
        <v>0</v>
      </c>
      <c r="K245" s="61">
        <f ca="1">EFEITO!$L$245*EFEITO!$Z$245</f>
        <v>440.73695394427295</v>
      </c>
      <c r="L245" s="61">
        <f>EFEITO!$N$245*EFEITO!$AA$245</f>
        <v>188.10337576642041</v>
      </c>
      <c r="M245" s="61">
        <f>$J$245-EFEITO!$K$245*EFEITO!$Y$245</f>
        <v>0</v>
      </c>
      <c r="N245" s="61">
        <f ca="1">$K$245-EFEITO!$M$245*EFEITO!$Z$245</f>
        <v>0</v>
      </c>
      <c r="O245" s="61">
        <f>$L$245-EFEITO!$O$245*EFEITO!$AA$245</f>
        <v>0</v>
      </c>
      <c r="P245" s="45"/>
      <c r="Q245" s="45"/>
      <c r="R245" s="45"/>
      <c r="S245" s="45"/>
      <c r="T245" s="45"/>
      <c r="U245" s="45"/>
      <c r="V245" s="45"/>
      <c r="W245" s="45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41" t="s">
        <v>21</v>
      </c>
      <c r="B246" s="41" t="s">
        <v>34</v>
      </c>
      <c r="C246" s="41" t="s">
        <v>35</v>
      </c>
      <c r="D246" s="41" t="s">
        <v>33</v>
      </c>
      <c r="E246" s="41" t="s">
        <v>25</v>
      </c>
      <c r="F246" s="41" t="s">
        <v>25</v>
      </c>
      <c r="G246" s="41" t="s">
        <v>25</v>
      </c>
      <c r="H246" s="41" t="s">
        <v>36</v>
      </c>
      <c r="I246" s="60">
        <v>44652</v>
      </c>
      <c r="J246" s="61">
        <f>EFEITO!$J$246*EFEITO!$Y$246</f>
        <v>0</v>
      </c>
      <c r="K246" s="61">
        <f ca="1">EFEITO!$L$246*EFEITO!$Z$246</f>
        <v>11996.626975712416</v>
      </c>
      <c r="L246" s="61">
        <f>EFEITO!$N$246*EFEITO!$AA$246</f>
        <v>5120.0744837641523</v>
      </c>
      <c r="M246" s="61">
        <f>$J$246-EFEITO!$K$246*EFEITO!$Y$246</f>
        <v>0</v>
      </c>
      <c r="N246" s="61">
        <f ca="1">$K$246-EFEITO!$M$246*EFEITO!$Z$246</f>
        <v>0</v>
      </c>
      <c r="O246" s="61">
        <f>$L$246-EFEITO!$O$246*EFEITO!$AA$246</f>
        <v>0</v>
      </c>
      <c r="P246" s="45"/>
      <c r="Q246" s="45"/>
      <c r="R246" s="45"/>
      <c r="S246" s="45"/>
      <c r="T246" s="45"/>
      <c r="U246" s="45"/>
      <c r="V246" s="45"/>
      <c r="W246" s="45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41" t="s">
        <v>27</v>
      </c>
      <c r="B247" s="41" t="s">
        <v>34</v>
      </c>
      <c r="C247" s="41" t="s">
        <v>35</v>
      </c>
      <c r="D247" s="41" t="s">
        <v>33</v>
      </c>
      <c r="E247" s="41" t="s">
        <v>25</v>
      </c>
      <c r="F247" s="41" t="s">
        <v>25</v>
      </c>
      <c r="G247" s="41" t="s">
        <v>25</v>
      </c>
      <c r="H247" s="41" t="s">
        <v>36</v>
      </c>
      <c r="I247" s="60">
        <v>44652</v>
      </c>
      <c r="J247" s="61">
        <f>EFEITO!$J$247*EFEITO!$Y$247</f>
        <v>0</v>
      </c>
      <c r="K247" s="61">
        <f ca="1">EFEITO!$L$247*EFEITO!$Z$247</f>
        <v>420.04938919101835</v>
      </c>
      <c r="L247" s="61">
        <f>EFEITO!$N$247*EFEITO!$AA$247</f>
        <v>179.27407127618326</v>
      </c>
      <c r="M247" s="61">
        <f>$J$247-EFEITO!$K$247*EFEITO!$Y$247</f>
        <v>0</v>
      </c>
      <c r="N247" s="61">
        <f ca="1">$K$247-EFEITO!$M$247*EFEITO!$Z$247</f>
        <v>0</v>
      </c>
      <c r="O247" s="61">
        <f>$L$247-EFEITO!$O$247*EFEITO!$AA$247</f>
        <v>0</v>
      </c>
      <c r="P247" s="45"/>
      <c r="Q247" s="45"/>
      <c r="R247" s="45"/>
      <c r="S247" s="45"/>
      <c r="T247" s="45"/>
      <c r="U247" s="45"/>
      <c r="V247" s="45"/>
      <c r="W247" s="45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41" t="s">
        <v>21</v>
      </c>
      <c r="B248" s="41" t="s">
        <v>34</v>
      </c>
      <c r="C248" s="41" t="s">
        <v>35</v>
      </c>
      <c r="D248" s="41" t="s">
        <v>33</v>
      </c>
      <c r="E248" s="41" t="s">
        <v>25</v>
      </c>
      <c r="F248" s="41" t="s">
        <v>25</v>
      </c>
      <c r="G248" s="41" t="s">
        <v>25</v>
      </c>
      <c r="H248" s="41" t="s">
        <v>36</v>
      </c>
      <c r="I248" s="60">
        <v>44682</v>
      </c>
      <c r="J248" s="61">
        <f>EFEITO!$J$248*EFEITO!$Y$248</f>
        <v>0</v>
      </c>
      <c r="K248" s="61">
        <f ca="1">EFEITO!$L$248*EFEITO!$Z$248</f>
        <v>16856.854329492708</v>
      </c>
      <c r="L248" s="61">
        <f>EFEITO!$N$248*EFEITO!$AA$248</f>
        <v>7194.3847136115101</v>
      </c>
      <c r="M248" s="61">
        <f>$J$248-EFEITO!$K$248*EFEITO!$Y$248</f>
        <v>0</v>
      </c>
      <c r="N248" s="61">
        <f ca="1">$K$248-EFEITO!$M$248*EFEITO!$Z$248</f>
        <v>0</v>
      </c>
      <c r="O248" s="61">
        <f>$L$248-EFEITO!$O$248*EFEITO!$AA$248</f>
        <v>0</v>
      </c>
      <c r="P248" s="45"/>
      <c r="Q248" s="45"/>
      <c r="R248" s="45"/>
      <c r="S248" s="45"/>
      <c r="T248" s="45"/>
      <c r="U248" s="45"/>
      <c r="V248" s="45"/>
      <c r="W248" s="45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41" t="s">
        <v>27</v>
      </c>
      <c r="B249" s="41" t="s">
        <v>34</v>
      </c>
      <c r="C249" s="41" t="s">
        <v>35</v>
      </c>
      <c r="D249" s="41" t="s">
        <v>33</v>
      </c>
      <c r="E249" s="41" t="s">
        <v>25</v>
      </c>
      <c r="F249" s="41" t="s">
        <v>25</v>
      </c>
      <c r="G249" s="41" t="s">
        <v>25</v>
      </c>
      <c r="H249" s="41" t="s">
        <v>36</v>
      </c>
      <c r="I249" s="60">
        <v>44682</v>
      </c>
      <c r="J249" s="61">
        <f>EFEITO!$J$249*EFEITO!$Y$249</f>
        <v>0</v>
      </c>
      <c r="K249" s="61">
        <f ca="1">EFEITO!$L$249*EFEITO!$Z$249</f>
        <v>531.84866210560438</v>
      </c>
      <c r="L249" s="61">
        <f>EFEITO!$N$249*EFEITO!$AA$249</f>
        <v>226.98920034639957</v>
      </c>
      <c r="M249" s="61">
        <f>$J$249-EFEITO!$K$249*EFEITO!$Y$249</f>
        <v>0</v>
      </c>
      <c r="N249" s="61">
        <f ca="1">$K$249-EFEITO!$M$249*EFEITO!$Z$249</f>
        <v>0</v>
      </c>
      <c r="O249" s="61">
        <f>$L$249-EFEITO!$O$249*EFEITO!$AA$249</f>
        <v>0</v>
      </c>
      <c r="P249" s="45"/>
      <c r="Q249" s="45"/>
      <c r="R249" s="45"/>
      <c r="S249" s="45"/>
      <c r="T249" s="45"/>
      <c r="U249" s="45"/>
      <c r="V249" s="45"/>
      <c r="W249" s="45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41" t="s">
        <v>21</v>
      </c>
      <c r="B250" s="41" t="s">
        <v>34</v>
      </c>
      <c r="C250" s="41" t="s">
        <v>35</v>
      </c>
      <c r="D250" s="41" t="s">
        <v>33</v>
      </c>
      <c r="E250" s="41" t="s">
        <v>25</v>
      </c>
      <c r="F250" s="41" t="s">
        <v>25</v>
      </c>
      <c r="G250" s="41" t="s">
        <v>25</v>
      </c>
      <c r="H250" s="41" t="s">
        <v>36</v>
      </c>
      <c r="I250" s="60">
        <v>44713</v>
      </c>
      <c r="J250" s="61">
        <f>EFEITO!$J$250*EFEITO!$Y$250</f>
        <v>0</v>
      </c>
      <c r="K250" s="61">
        <f ca="1">EFEITO!$L$250*EFEITO!$Z$250</f>
        <v>15408.184651471065</v>
      </c>
      <c r="L250" s="61">
        <f>EFEITO!$N$250*EFEITO!$AA$250</f>
        <v>6576.1028691515621</v>
      </c>
      <c r="M250" s="61">
        <f>$J$250-EFEITO!$K$250*EFEITO!$Y$250</f>
        <v>0</v>
      </c>
      <c r="N250" s="61">
        <f ca="1">$K$250-EFEITO!$M$250*EFEITO!$Z$250</f>
        <v>0</v>
      </c>
      <c r="O250" s="61">
        <f>$L$250-EFEITO!$O$250*EFEITO!$AA$250</f>
        <v>0</v>
      </c>
      <c r="P250" s="45"/>
      <c r="Q250" s="45"/>
      <c r="R250" s="45"/>
      <c r="S250" s="45"/>
      <c r="T250" s="45"/>
      <c r="U250" s="45"/>
      <c r="V250" s="45"/>
      <c r="W250" s="45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41" t="s">
        <v>27</v>
      </c>
      <c r="B251" s="41" t="s">
        <v>34</v>
      </c>
      <c r="C251" s="41" t="s">
        <v>35</v>
      </c>
      <c r="D251" s="41" t="s">
        <v>33</v>
      </c>
      <c r="E251" s="41" t="s">
        <v>25</v>
      </c>
      <c r="F251" s="41" t="s">
        <v>25</v>
      </c>
      <c r="G251" s="41" t="s">
        <v>25</v>
      </c>
      <c r="H251" s="41" t="s">
        <v>36</v>
      </c>
      <c r="I251" s="60">
        <v>44713</v>
      </c>
      <c r="J251" s="61">
        <f>EFEITO!$J$251*EFEITO!$Y$251</f>
        <v>0</v>
      </c>
      <c r="K251" s="61">
        <f ca="1">EFEITO!$L$251*EFEITO!$Z$251</f>
        <v>864.79422121542575</v>
      </c>
      <c r="L251" s="61">
        <f>EFEITO!$N$251*EFEITO!$AA$251</f>
        <v>369.08798070624755</v>
      </c>
      <c r="M251" s="61">
        <f>$J$251-EFEITO!$K$251*EFEITO!$Y$251</f>
        <v>0</v>
      </c>
      <c r="N251" s="61">
        <f ca="1">$K$251-EFEITO!$M$251*EFEITO!$Z$251</f>
        <v>0</v>
      </c>
      <c r="O251" s="61">
        <f>$L$251-EFEITO!$O$251*EFEITO!$AA$251</f>
        <v>0</v>
      </c>
      <c r="P251" s="45"/>
      <c r="Q251" s="45"/>
      <c r="R251" s="45"/>
      <c r="S251" s="45"/>
      <c r="T251" s="45"/>
      <c r="U251" s="45"/>
      <c r="V251" s="45"/>
      <c r="W251" s="45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41" t="s">
        <v>21</v>
      </c>
      <c r="B252" s="41" t="s">
        <v>34</v>
      </c>
      <c r="C252" s="41" t="s">
        <v>35</v>
      </c>
      <c r="D252" s="41" t="s">
        <v>33</v>
      </c>
      <c r="E252" s="41" t="s">
        <v>25</v>
      </c>
      <c r="F252" s="41" t="s">
        <v>25</v>
      </c>
      <c r="G252" s="41" t="s">
        <v>25</v>
      </c>
      <c r="H252" s="41" t="s">
        <v>36</v>
      </c>
      <c r="I252" s="60">
        <v>44743</v>
      </c>
      <c r="J252" s="61">
        <f>EFEITO!$J$252*EFEITO!$Y$252</f>
        <v>0</v>
      </c>
      <c r="K252" s="61">
        <f ca="1">EFEITO!$L$252*EFEITO!$Z$252</f>
        <v>14988.318911679946</v>
      </c>
      <c r="L252" s="61">
        <f>EFEITO!$N$252*EFEITO!$AA$252</f>
        <v>6396.9071781241173</v>
      </c>
      <c r="M252" s="61">
        <f>$J$252-EFEITO!$K$252*EFEITO!$Y$252</f>
        <v>0</v>
      </c>
      <c r="N252" s="61">
        <f ca="1">$K$252-EFEITO!$M$252*EFEITO!$Z$252</f>
        <v>0</v>
      </c>
      <c r="O252" s="61">
        <f>$L$252-EFEITO!$O$252*EFEITO!$AA$252</f>
        <v>0</v>
      </c>
      <c r="P252" s="45"/>
      <c r="Q252" s="45"/>
      <c r="R252" s="45"/>
      <c r="S252" s="45"/>
      <c r="T252" s="45"/>
      <c r="U252" s="45"/>
      <c r="V252" s="45"/>
      <c r="W252" s="45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41" t="s">
        <v>27</v>
      </c>
      <c r="B253" s="41" t="s">
        <v>34</v>
      </c>
      <c r="C253" s="41" t="s">
        <v>35</v>
      </c>
      <c r="D253" s="41" t="s">
        <v>33</v>
      </c>
      <c r="E253" s="41" t="s">
        <v>25</v>
      </c>
      <c r="F253" s="41" t="s">
        <v>25</v>
      </c>
      <c r="G253" s="41" t="s">
        <v>25</v>
      </c>
      <c r="H253" s="41" t="s">
        <v>36</v>
      </c>
      <c r="I253" s="60">
        <v>44743</v>
      </c>
      <c r="J253" s="61">
        <f>EFEITO!$J$253*EFEITO!$Y$253</f>
        <v>0</v>
      </c>
      <c r="K253" s="61">
        <f ca="1">EFEITO!$L$253*EFEITO!$Z$253</f>
        <v>1321.8219572212693</v>
      </c>
      <c r="L253" s="61">
        <f>EFEITO!$N$253*EFEITO!$AA$253</f>
        <v>564.14414559605052</v>
      </c>
      <c r="M253" s="61">
        <f>$J$253-EFEITO!$K$253*EFEITO!$Y$253</f>
        <v>0</v>
      </c>
      <c r="N253" s="61">
        <f ca="1">$K$253-EFEITO!$M$253*EFEITO!$Z$253</f>
        <v>0</v>
      </c>
      <c r="O253" s="61">
        <f>$L$253-EFEITO!$O$253*EFEITO!$AA$253</f>
        <v>0</v>
      </c>
      <c r="P253" s="45"/>
      <c r="Q253" s="45"/>
      <c r="R253" s="45"/>
      <c r="S253" s="45"/>
      <c r="T253" s="45"/>
      <c r="U253" s="45"/>
      <c r="V253" s="45"/>
      <c r="W253" s="45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41" t="s">
        <v>21</v>
      </c>
      <c r="B254" s="41" t="s">
        <v>34</v>
      </c>
      <c r="C254" s="41" t="s">
        <v>35</v>
      </c>
      <c r="D254" s="41" t="s">
        <v>43</v>
      </c>
      <c r="E254" s="41" t="s">
        <v>25</v>
      </c>
      <c r="F254" s="41" t="s">
        <v>25</v>
      </c>
      <c r="G254" s="41" t="s">
        <v>25</v>
      </c>
      <c r="H254" s="41" t="s">
        <v>37</v>
      </c>
      <c r="I254" s="60">
        <v>44409</v>
      </c>
      <c r="J254" s="61">
        <f>EFEITO!$J$254*EFEITO!$Y$254</f>
        <v>0</v>
      </c>
      <c r="K254" s="61">
        <f ca="1">EFEITO!$L$254*EFEITO!$Z$254</f>
        <v>1383.5180016967893</v>
      </c>
      <c r="L254" s="61">
        <f>EFEITO!$N$254*EFEITO!$AA$254</f>
        <v>2681.8031124654403</v>
      </c>
      <c r="M254" s="61">
        <f>$J$254-EFEITO!$K$254*EFEITO!$Y$254</f>
        <v>0</v>
      </c>
      <c r="N254" s="61">
        <f ca="1">$K$254-EFEITO!$M$254*EFEITO!$Z$254</f>
        <v>0</v>
      </c>
      <c r="O254" s="61">
        <f>$L$254-EFEITO!$O$254*EFEITO!$AA$254</f>
        <v>0</v>
      </c>
      <c r="P254" s="45"/>
      <c r="Q254" s="45"/>
      <c r="R254" s="45"/>
      <c r="S254" s="45"/>
      <c r="T254" s="45"/>
      <c r="U254" s="45"/>
      <c r="V254" s="45"/>
      <c r="W254" s="45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41" t="s">
        <v>21</v>
      </c>
      <c r="B255" s="41" t="s">
        <v>34</v>
      </c>
      <c r="C255" s="41" t="s">
        <v>35</v>
      </c>
      <c r="D255" s="41" t="s">
        <v>43</v>
      </c>
      <c r="E255" s="41" t="s">
        <v>25</v>
      </c>
      <c r="F255" s="41" t="s">
        <v>25</v>
      </c>
      <c r="G255" s="41" t="s">
        <v>25</v>
      </c>
      <c r="H255" s="41" t="s">
        <v>37</v>
      </c>
      <c r="I255" s="60">
        <v>44440</v>
      </c>
      <c r="J255" s="61">
        <f>EFEITO!$J$255*EFEITO!$Y$255</f>
        <v>0</v>
      </c>
      <c r="K255" s="61">
        <f ca="1">EFEITO!$L$255*EFEITO!$Z$255</f>
        <v>1549.3777738722781</v>
      </c>
      <c r="L255" s="61">
        <f>EFEITO!$N$255*EFEITO!$AA$255</f>
        <v>3003.3047139679252</v>
      </c>
      <c r="M255" s="61">
        <f>$J$255-EFEITO!$K$255*EFEITO!$Y$255</f>
        <v>0</v>
      </c>
      <c r="N255" s="61">
        <f ca="1">$K$255-EFEITO!$M$255*EFEITO!$Z$255</f>
        <v>0</v>
      </c>
      <c r="O255" s="61">
        <f>$L$255-EFEITO!$O$255*EFEITO!$AA$255</f>
        <v>0</v>
      </c>
      <c r="P255" s="45"/>
      <c r="Q255" s="45"/>
      <c r="R255" s="45"/>
      <c r="S255" s="45"/>
      <c r="T255" s="45"/>
      <c r="U255" s="45"/>
      <c r="V255" s="45"/>
      <c r="W255" s="45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41" t="s">
        <v>21</v>
      </c>
      <c r="B256" s="41" t="s">
        <v>34</v>
      </c>
      <c r="C256" s="41" t="s">
        <v>35</v>
      </c>
      <c r="D256" s="41" t="s">
        <v>43</v>
      </c>
      <c r="E256" s="41" t="s">
        <v>25</v>
      </c>
      <c r="F256" s="41" t="s">
        <v>25</v>
      </c>
      <c r="G256" s="41" t="s">
        <v>25</v>
      </c>
      <c r="H256" s="41" t="s">
        <v>37</v>
      </c>
      <c r="I256" s="60">
        <v>44470</v>
      </c>
      <c r="J256" s="61">
        <f>EFEITO!$J$256*EFEITO!$Y$256</f>
        <v>0</v>
      </c>
      <c r="K256" s="61">
        <f ca="1">EFEITO!$L$256*EFEITO!$Z$256</f>
        <v>1622.9003535030738</v>
      </c>
      <c r="L256" s="61">
        <f>EFEITO!$N$256*EFEITO!$AA$256</f>
        <v>3145.8204475171356</v>
      </c>
      <c r="M256" s="61">
        <f>$J$256-EFEITO!$K$256*EFEITO!$Y$256</f>
        <v>0</v>
      </c>
      <c r="N256" s="61">
        <f ca="1">$K$256-EFEITO!$M$256*EFEITO!$Z$256</f>
        <v>0</v>
      </c>
      <c r="O256" s="61">
        <f>$L$256-EFEITO!$O$256*EFEITO!$AA$256</f>
        <v>0</v>
      </c>
      <c r="P256" s="45"/>
      <c r="Q256" s="45"/>
      <c r="R256" s="45"/>
      <c r="S256" s="45"/>
      <c r="T256" s="45"/>
      <c r="U256" s="45"/>
      <c r="V256" s="45"/>
      <c r="W256" s="45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41" t="s">
        <v>21</v>
      </c>
      <c r="B257" s="41" t="s">
        <v>34</v>
      </c>
      <c r="C257" s="41" t="s">
        <v>35</v>
      </c>
      <c r="D257" s="41" t="s">
        <v>43</v>
      </c>
      <c r="E257" s="41" t="s">
        <v>25</v>
      </c>
      <c r="F257" s="41" t="s">
        <v>25</v>
      </c>
      <c r="G257" s="41" t="s">
        <v>25</v>
      </c>
      <c r="H257" s="41" t="s">
        <v>37</v>
      </c>
      <c r="I257" s="60">
        <v>44501</v>
      </c>
      <c r="J257" s="61">
        <f>EFEITO!$J$257*EFEITO!$Y$257</f>
        <v>0</v>
      </c>
      <c r="K257" s="61">
        <f ca="1">EFEITO!$L$257*EFEITO!$Z$257</f>
        <v>1958.1672363305258</v>
      </c>
      <c r="L257" s="61">
        <f>EFEITO!$N$257*EFEITO!$AA$257</f>
        <v>3795.6997904462041</v>
      </c>
      <c r="M257" s="61">
        <f>$J$257-EFEITO!$K$257*EFEITO!$Y$257</f>
        <v>0</v>
      </c>
      <c r="N257" s="61">
        <f ca="1">$K$257-EFEITO!$M$257*EFEITO!$Z$257</f>
        <v>0</v>
      </c>
      <c r="O257" s="61">
        <f>$L$257-EFEITO!$O$257*EFEITO!$AA$257</f>
        <v>0</v>
      </c>
      <c r="P257" s="45"/>
      <c r="Q257" s="45"/>
      <c r="R257" s="45"/>
      <c r="S257" s="45"/>
      <c r="T257" s="45"/>
      <c r="U257" s="45"/>
      <c r="V257" s="45"/>
      <c r="W257" s="45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41" t="s">
        <v>21</v>
      </c>
      <c r="B258" s="41" t="s">
        <v>34</v>
      </c>
      <c r="C258" s="41" t="s">
        <v>35</v>
      </c>
      <c r="D258" s="41" t="s">
        <v>43</v>
      </c>
      <c r="E258" s="41" t="s">
        <v>25</v>
      </c>
      <c r="F258" s="41" t="s">
        <v>25</v>
      </c>
      <c r="G258" s="41" t="s">
        <v>25</v>
      </c>
      <c r="H258" s="41" t="s">
        <v>37</v>
      </c>
      <c r="I258" s="60">
        <v>44531</v>
      </c>
      <c r="J258" s="61">
        <f>EFEITO!$J$258*EFEITO!$Y$258</f>
        <v>0</v>
      </c>
      <c r="K258" s="61">
        <f ca="1">EFEITO!$L$258*EFEITO!$Z$258</f>
        <v>2308.5306061865099</v>
      </c>
      <c r="L258" s="61">
        <f>EFEITO!$N$258*EFEITO!$AA$258</f>
        <v>4474.8420745518661</v>
      </c>
      <c r="M258" s="61">
        <f>$J$258-EFEITO!$K$258*EFEITO!$Y$258</f>
        <v>0</v>
      </c>
      <c r="N258" s="61">
        <f ca="1">$K$258-EFEITO!$M$258*EFEITO!$Z$258</f>
        <v>0</v>
      </c>
      <c r="O258" s="61">
        <f>$L$258-EFEITO!$O$258*EFEITO!$AA$258</f>
        <v>0</v>
      </c>
      <c r="P258" s="45"/>
      <c r="Q258" s="45"/>
      <c r="R258" s="45"/>
      <c r="S258" s="45"/>
      <c r="T258" s="45"/>
      <c r="U258" s="45"/>
      <c r="V258" s="45"/>
      <c r="W258" s="45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41" t="s">
        <v>21</v>
      </c>
      <c r="B259" s="41" t="s">
        <v>34</v>
      </c>
      <c r="C259" s="41" t="s">
        <v>35</v>
      </c>
      <c r="D259" s="41" t="s">
        <v>43</v>
      </c>
      <c r="E259" s="41" t="s">
        <v>25</v>
      </c>
      <c r="F259" s="41" t="s">
        <v>25</v>
      </c>
      <c r="G259" s="41" t="s">
        <v>25</v>
      </c>
      <c r="H259" s="41" t="s">
        <v>37</v>
      </c>
      <c r="I259" s="60">
        <v>44562</v>
      </c>
      <c r="J259" s="61">
        <f>EFEITO!$J$259*EFEITO!$Y$259</f>
        <v>0</v>
      </c>
      <c r="K259" s="61">
        <f ca="1">EFEITO!$L$259*EFEITO!$Z$259</f>
        <v>2834.0490629313967</v>
      </c>
      <c r="L259" s="61">
        <f>EFEITO!$N$259*EFEITO!$AA$259</f>
        <v>5493.5039432286867</v>
      </c>
      <c r="M259" s="61">
        <f>$J$259-EFEITO!$K$259*EFEITO!$Y$259</f>
        <v>0</v>
      </c>
      <c r="N259" s="61">
        <f ca="1">$K$259-EFEITO!$M$259*EFEITO!$Z$259</f>
        <v>0</v>
      </c>
      <c r="O259" s="61">
        <f>$L$259-EFEITO!$O$259*EFEITO!$AA$259</f>
        <v>0</v>
      </c>
      <c r="P259" s="45"/>
      <c r="Q259" s="45"/>
      <c r="R259" s="45"/>
      <c r="S259" s="45"/>
      <c r="T259" s="45"/>
      <c r="U259" s="45"/>
      <c r="V259" s="45"/>
      <c r="W259" s="45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41" t="s">
        <v>21</v>
      </c>
      <c r="B260" s="41" t="s">
        <v>34</v>
      </c>
      <c r="C260" s="41" t="s">
        <v>35</v>
      </c>
      <c r="D260" s="41" t="s">
        <v>43</v>
      </c>
      <c r="E260" s="41" t="s">
        <v>25</v>
      </c>
      <c r="F260" s="41" t="s">
        <v>25</v>
      </c>
      <c r="G260" s="41" t="s">
        <v>25</v>
      </c>
      <c r="H260" s="41" t="s">
        <v>37</v>
      </c>
      <c r="I260" s="60">
        <v>44593</v>
      </c>
      <c r="J260" s="61">
        <f>EFEITO!$J$260*EFEITO!$Y$260</f>
        <v>0</v>
      </c>
      <c r="K260" s="61">
        <f ca="1">EFEITO!$L$260*EFEITO!$Z$260</f>
        <v>2481.3170676996451</v>
      </c>
      <c r="L260" s="61">
        <f>EFEITO!$N$260*EFEITO!$AA$260</f>
        <v>4809.7703297025128</v>
      </c>
      <c r="M260" s="61">
        <f>$J$260-EFEITO!$K$260*EFEITO!$Y$260</f>
        <v>0</v>
      </c>
      <c r="N260" s="61">
        <f ca="1">$K$260-EFEITO!$M$260*EFEITO!$Z$260</f>
        <v>0</v>
      </c>
      <c r="O260" s="61">
        <f>$L$260-EFEITO!$O$260*EFEITO!$AA$260</f>
        <v>0</v>
      </c>
      <c r="P260" s="45"/>
      <c r="Q260" s="45"/>
      <c r="R260" s="45"/>
      <c r="S260" s="45"/>
      <c r="T260" s="45"/>
      <c r="U260" s="45"/>
      <c r="V260" s="45"/>
      <c r="W260" s="45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41" t="s">
        <v>21</v>
      </c>
      <c r="B261" s="41" t="s">
        <v>34</v>
      </c>
      <c r="C261" s="41" t="s">
        <v>35</v>
      </c>
      <c r="D261" s="41" t="s">
        <v>43</v>
      </c>
      <c r="E261" s="41" t="s">
        <v>25</v>
      </c>
      <c r="F261" s="41" t="s">
        <v>25</v>
      </c>
      <c r="G261" s="41" t="s">
        <v>25</v>
      </c>
      <c r="H261" s="41" t="s">
        <v>37</v>
      </c>
      <c r="I261" s="60">
        <v>44621</v>
      </c>
      <c r="J261" s="61">
        <f>EFEITO!$J$261*EFEITO!$Y$261</f>
        <v>0</v>
      </c>
      <c r="K261" s="61">
        <f ca="1">EFEITO!$L$261*EFEITO!$Z$261</f>
        <v>2469.2331585722072</v>
      </c>
      <c r="L261" s="61">
        <f>EFEITO!$N$261*EFEITO!$AA$261</f>
        <v>4786.3469517132371</v>
      </c>
      <c r="M261" s="61">
        <f>$J$261-EFEITO!$K$261*EFEITO!$Y$261</f>
        <v>0</v>
      </c>
      <c r="N261" s="61">
        <f ca="1">$K$261-EFEITO!$M$261*EFEITO!$Z$261</f>
        <v>0</v>
      </c>
      <c r="O261" s="61">
        <f>$L$261-EFEITO!$O$261*EFEITO!$AA$261</f>
        <v>0</v>
      </c>
      <c r="P261" s="45"/>
      <c r="Q261" s="45"/>
      <c r="R261" s="45"/>
      <c r="S261" s="45"/>
      <c r="T261" s="45"/>
      <c r="U261" s="45"/>
      <c r="V261" s="45"/>
      <c r="W261" s="45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41" t="s">
        <v>21</v>
      </c>
      <c r="B262" s="41" t="s">
        <v>34</v>
      </c>
      <c r="C262" s="41" t="s">
        <v>35</v>
      </c>
      <c r="D262" s="41" t="s">
        <v>43</v>
      </c>
      <c r="E262" s="41" t="s">
        <v>25</v>
      </c>
      <c r="F262" s="41" t="s">
        <v>25</v>
      </c>
      <c r="G262" s="41" t="s">
        <v>25</v>
      </c>
      <c r="H262" s="41" t="s">
        <v>37</v>
      </c>
      <c r="I262" s="60">
        <v>44652</v>
      </c>
      <c r="J262" s="61">
        <f>EFEITO!$J$262*EFEITO!$Y$262</f>
        <v>0</v>
      </c>
      <c r="K262" s="61">
        <f ca="1">EFEITO!$L$262*EFEITO!$Z$262</f>
        <v>1761.8121123904284</v>
      </c>
      <c r="L262" s="61">
        <f>EFEITO!$N$262*EFEITO!$AA$262</f>
        <v>3415.0861794304674</v>
      </c>
      <c r="M262" s="61">
        <f>$J$262-EFEITO!$K$262*EFEITO!$Y$262</f>
        <v>0</v>
      </c>
      <c r="N262" s="61">
        <f ca="1">$K$262-EFEITO!$M$262*EFEITO!$Z$262</f>
        <v>0</v>
      </c>
      <c r="O262" s="61">
        <f>$L$262-EFEITO!$O$262*EFEITO!$AA$262</f>
        <v>0</v>
      </c>
      <c r="P262" s="45"/>
      <c r="Q262" s="45"/>
      <c r="R262" s="45"/>
      <c r="S262" s="45"/>
      <c r="T262" s="45"/>
      <c r="U262" s="45"/>
      <c r="V262" s="45"/>
      <c r="W262" s="45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41" t="s">
        <v>21</v>
      </c>
      <c r="B263" s="41" t="s">
        <v>34</v>
      </c>
      <c r="C263" s="41" t="s">
        <v>35</v>
      </c>
      <c r="D263" s="41" t="s">
        <v>43</v>
      </c>
      <c r="E263" s="41" t="s">
        <v>25</v>
      </c>
      <c r="F263" s="41" t="s">
        <v>25</v>
      </c>
      <c r="G263" s="41" t="s">
        <v>25</v>
      </c>
      <c r="H263" s="41" t="s">
        <v>37</v>
      </c>
      <c r="I263" s="60">
        <v>44682</v>
      </c>
      <c r="J263" s="61">
        <f>EFEITO!$J$263*EFEITO!$Y$263</f>
        <v>0</v>
      </c>
      <c r="K263" s="61">
        <f ca="1">EFEITO!$L$263*EFEITO!$Z$263</f>
        <v>1370.0481947431049</v>
      </c>
      <c r="L263" s="61">
        <f>EFEITO!$N$263*EFEITO!$AA$263</f>
        <v>2655.6933183258652</v>
      </c>
      <c r="M263" s="61">
        <f>$J$263-EFEITO!$K$263*EFEITO!$Y$263</f>
        <v>0</v>
      </c>
      <c r="N263" s="61">
        <f ca="1">$K$263-EFEITO!$M$263*EFEITO!$Z$263</f>
        <v>0</v>
      </c>
      <c r="O263" s="61">
        <f>$L$263-EFEITO!$O$263*EFEITO!$AA$263</f>
        <v>0</v>
      </c>
      <c r="P263" s="45"/>
      <c r="Q263" s="45"/>
      <c r="R263" s="45"/>
      <c r="S263" s="45"/>
      <c r="T263" s="45"/>
      <c r="U263" s="45"/>
      <c r="V263" s="45"/>
      <c r="W263" s="45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41" t="s">
        <v>21</v>
      </c>
      <c r="B264" s="41" t="s">
        <v>34</v>
      </c>
      <c r="C264" s="41" t="s">
        <v>35</v>
      </c>
      <c r="D264" s="41" t="s">
        <v>43</v>
      </c>
      <c r="E264" s="41" t="s">
        <v>25</v>
      </c>
      <c r="F264" s="41" t="s">
        <v>25</v>
      </c>
      <c r="G264" s="41" t="s">
        <v>25</v>
      </c>
      <c r="H264" s="41" t="s">
        <v>37</v>
      </c>
      <c r="I264" s="60">
        <v>44713</v>
      </c>
      <c r="J264" s="61">
        <f>EFEITO!$J$264*EFEITO!$Y$264</f>
        <v>0</v>
      </c>
      <c r="K264" s="61">
        <f ca="1">EFEITO!$L$264*EFEITO!$Z$264</f>
        <v>1198.3662518005847</v>
      </c>
      <c r="L264" s="61">
        <f>EFEITO!$N$264*EFEITO!$AA$264</f>
        <v>2322.9060554404564</v>
      </c>
      <c r="M264" s="61">
        <f>$J$264-EFEITO!$K$264*EFEITO!$Y$264</f>
        <v>0</v>
      </c>
      <c r="N264" s="61">
        <f ca="1">$K$264-EFEITO!$M$264*EFEITO!$Z$264</f>
        <v>0</v>
      </c>
      <c r="O264" s="61">
        <f>$L$264-EFEITO!$O$264*EFEITO!$AA$264</f>
        <v>0</v>
      </c>
      <c r="P264" s="45"/>
      <c r="Q264" s="45"/>
      <c r="R264" s="45"/>
      <c r="S264" s="45"/>
      <c r="T264" s="45"/>
      <c r="U264" s="45"/>
      <c r="V264" s="45"/>
      <c r="W264" s="45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41" t="s">
        <v>21</v>
      </c>
      <c r="B265" s="41" t="s">
        <v>34</v>
      </c>
      <c r="C265" s="41" t="s">
        <v>35</v>
      </c>
      <c r="D265" s="41" t="s">
        <v>43</v>
      </c>
      <c r="E265" s="41" t="s">
        <v>25</v>
      </c>
      <c r="F265" s="41" t="s">
        <v>25</v>
      </c>
      <c r="G265" s="41" t="s">
        <v>25</v>
      </c>
      <c r="H265" s="41" t="s">
        <v>37</v>
      </c>
      <c r="I265" s="60">
        <v>44743</v>
      </c>
      <c r="J265" s="61">
        <f>EFEITO!$J$265*EFEITO!$Y$265</f>
        <v>0</v>
      </c>
      <c r="K265" s="61">
        <f ca="1">EFEITO!$L$265*EFEITO!$Z$265</f>
        <v>1438.3547589187531</v>
      </c>
      <c r="L265" s="61">
        <f>EFEITO!$N$265*EFEITO!$AA$265</f>
        <v>2788.0983583639495</v>
      </c>
      <c r="M265" s="61">
        <f>$J$265-EFEITO!$K$265*EFEITO!$Y$265</f>
        <v>0</v>
      </c>
      <c r="N265" s="61">
        <f ca="1">$K$265-EFEITO!$M$265*EFEITO!$Z$265</f>
        <v>0</v>
      </c>
      <c r="O265" s="61">
        <f>$L$265-EFEITO!$O$265*EFEITO!$AA$265</f>
        <v>0</v>
      </c>
      <c r="P265" s="45"/>
      <c r="Q265" s="45"/>
      <c r="R265" s="45"/>
      <c r="S265" s="45"/>
      <c r="T265" s="45"/>
      <c r="U265" s="45"/>
      <c r="V265" s="45"/>
      <c r="W265" s="45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41" t="s">
        <v>21</v>
      </c>
      <c r="B266" s="41" t="s">
        <v>34</v>
      </c>
      <c r="C266" s="41" t="s">
        <v>35</v>
      </c>
      <c r="D266" s="41" t="s">
        <v>43</v>
      </c>
      <c r="E266" s="41" t="s">
        <v>25</v>
      </c>
      <c r="F266" s="41" t="s">
        <v>25</v>
      </c>
      <c r="G266" s="41" t="s">
        <v>25</v>
      </c>
      <c r="H266" s="41" t="s">
        <v>25</v>
      </c>
      <c r="I266" s="60">
        <v>44409</v>
      </c>
      <c r="J266" s="61">
        <f ca="1">EFEITO!$J$266*EFEITO!$Y$266</f>
        <v>2719.0470076907532</v>
      </c>
      <c r="K266" s="61">
        <f>EFEITO!$L$266*EFEITO!$Z$266</f>
        <v>0</v>
      </c>
      <c r="L266" s="61">
        <f>EFEITO!$N$266*EFEITO!$AA$266</f>
        <v>0</v>
      </c>
      <c r="M266" s="61">
        <f ca="1">$J$266-EFEITO!$K$266*EFEITO!$Y$266</f>
        <v>0</v>
      </c>
      <c r="N266" s="61">
        <f>$K$266-EFEITO!$M$266*EFEITO!$Z$266</f>
        <v>0</v>
      </c>
      <c r="O266" s="61">
        <f>$L$266-EFEITO!$O$266*EFEITO!$AA$266</f>
        <v>0</v>
      </c>
      <c r="P266" s="45"/>
      <c r="Q266" s="45"/>
      <c r="R266" s="45"/>
      <c r="S266" s="45"/>
      <c r="T266" s="45"/>
      <c r="U266" s="45"/>
      <c r="V266" s="45"/>
      <c r="W266" s="45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41" t="s">
        <v>21</v>
      </c>
      <c r="B267" s="41" t="s">
        <v>34</v>
      </c>
      <c r="C267" s="41" t="s">
        <v>35</v>
      </c>
      <c r="D267" s="41" t="s">
        <v>43</v>
      </c>
      <c r="E267" s="41" t="s">
        <v>25</v>
      </c>
      <c r="F267" s="41" t="s">
        <v>25</v>
      </c>
      <c r="G267" s="41" t="s">
        <v>25</v>
      </c>
      <c r="H267" s="41" t="s">
        <v>25</v>
      </c>
      <c r="I267" s="60">
        <v>44440</v>
      </c>
      <c r="J267" s="61">
        <f ca="1">EFEITO!$J$267*EFEITO!$Y$267</f>
        <v>2719.0470076907532</v>
      </c>
      <c r="K267" s="61">
        <f>EFEITO!$L$267*EFEITO!$Z$267</f>
        <v>0</v>
      </c>
      <c r="L267" s="61">
        <f>EFEITO!$N$267*EFEITO!$AA$267</f>
        <v>0</v>
      </c>
      <c r="M267" s="61">
        <f ca="1">$J$267-EFEITO!$K$267*EFEITO!$Y$267</f>
        <v>0</v>
      </c>
      <c r="N267" s="61">
        <f>$K$267-EFEITO!$M$267*EFEITO!$Z$267</f>
        <v>0</v>
      </c>
      <c r="O267" s="61">
        <f>$L$267-EFEITO!$O$267*EFEITO!$AA$267</f>
        <v>0</v>
      </c>
      <c r="P267" s="45"/>
      <c r="Q267" s="45"/>
      <c r="R267" s="45"/>
      <c r="S267" s="45"/>
      <c r="T267" s="45"/>
      <c r="U267" s="45"/>
      <c r="V267" s="45"/>
      <c r="W267" s="45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41" t="s">
        <v>21</v>
      </c>
      <c r="B268" s="41" t="s">
        <v>34</v>
      </c>
      <c r="C268" s="41" t="s">
        <v>35</v>
      </c>
      <c r="D268" s="41" t="s">
        <v>43</v>
      </c>
      <c r="E268" s="41" t="s">
        <v>25</v>
      </c>
      <c r="F268" s="41" t="s">
        <v>25</v>
      </c>
      <c r="G268" s="41" t="s">
        <v>25</v>
      </c>
      <c r="H268" s="41" t="s">
        <v>25</v>
      </c>
      <c r="I268" s="60">
        <v>44470</v>
      </c>
      <c r="J268" s="61">
        <f ca="1">EFEITO!$J$268*EFEITO!$Y$268</f>
        <v>2719.0470076907532</v>
      </c>
      <c r="K268" s="61">
        <f>EFEITO!$L$268*EFEITO!$Z$268</f>
        <v>0</v>
      </c>
      <c r="L268" s="61">
        <f>EFEITO!$N$268*EFEITO!$AA$268</f>
        <v>0</v>
      </c>
      <c r="M268" s="61">
        <f ca="1">$J$268-EFEITO!$K$268*EFEITO!$Y$268</f>
        <v>0</v>
      </c>
      <c r="N268" s="61">
        <f>$K$268-EFEITO!$M$268*EFEITO!$Z$268</f>
        <v>0</v>
      </c>
      <c r="O268" s="61">
        <f>$L$268-EFEITO!$O$268*EFEITO!$AA$268</f>
        <v>0</v>
      </c>
      <c r="P268" s="45"/>
      <c r="Q268" s="45"/>
      <c r="R268" s="45"/>
      <c r="S268" s="45"/>
      <c r="T268" s="45"/>
      <c r="U268" s="45"/>
      <c r="V268" s="45"/>
      <c r="W268" s="45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41" t="s">
        <v>21</v>
      </c>
      <c r="B269" s="41" t="s">
        <v>34</v>
      </c>
      <c r="C269" s="41" t="s">
        <v>35</v>
      </c>
      <c r="D269" s="41" t="s">
        <v>43</v>
      </c>
      <c r="E269" s="41" t="s">
        <v>25</v>
      </c>
      <c r="F269" s="41" t="s">
        <v>25</v>
      </c>
      <c r="G269" s="41" t="s">
        <v>25</v>
      </c>
      <c r="H269" s="41" t="s">
        <v>25</v>
      </c>
      <c r="I269" s="60">
        <v>44501</v>
      </c>
      <c r="J269" s="61">
        <f ca="1">EFEITO!$J$269*EFEITO!$Y$269</f>
        <v>2719.2834465609876</v>
      </c>
      <c r="K269" s="61">
        <f>EFEITO!$L$269*EFEITO!$Z$269</f>
        <v>0</v>
      </c>
      <c r="L269" s="61">
        <f>EFEITO!$N$269*EFEITO!$AA$269</f>
        <v>0</v>
      </c>
      <c r="M269" s="61">
        <f ca="1">$J$269-EFEITO!$K$269*EFEITO!$Y$269</f>
        <v>0</v>
      </c>
      <c r="N269" s="61">
        <f>$K$269-EFEITO!$M$269*EFEITO!$Z$269</f>
        <v>0</v>
      </c>
      <c r="O269" s="61">
        <f>$L$269-EFEITO!$O$269*EFEITO!$AA$269</f>
        <v>0</v>
      </c>
      <c r="P269" s="45"/>
      <c r="Q269" s="45"/>
      <c r="R269" s="45"/>
      <c r="S269" s="45"/>
      <c r="T269" s="45"/>
      <c r="U269" s="45"/>
      <c r="V269" s="45"/>
      <c r="W269" s="45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41" t="s">
        <v>21</v>
      </c>
      <c r="B270" s="41" t="s">
        <v>34</v>
      </c>
      <c r="C270" s="41" t="s">
        <v>35</v>
      </c>
      <c r="D270" s="41" t="s">
        <v>43</v>
      </c>
      <c r="E270" s="41" t="s">
        <v>25</v>
      </c>
      <c r="F270" s="41" t="s">
        <v>25</v>
      </c>
      <c r="G270" s="41" t="s">
        <v>25</v>
      </c>
      <c r="H270" s="41" t="s">
        <v>25</v>
      </c>
      <c r="I270" s="60">
        <v>44531</v>
      </c>
      <c r="J270" s="61">
        <f ca="1">EFEITO!$J$270*EFEITO!$Y$270</f>
        <v>2719.0470076907532</v>
      </c>
      <c r="K270" s="61">
        <f>EFEITO!$L$270*EFEITO!$Z$270</f>
        <v>0</v>
      </c>
      <c r="L270" s="61">
        <f>EFEITO!$N$270*EFEITO!$AA$270</f>
        <v>0</v>
      </c>
      <c r="M270" s="61">
        <f ca="1">$J$270-EFEITO!$K$270*EFEITO!$Y$270</f>
        <v>0</v>
      </c>
      <c r="N270" s="61">
        <f>$K$270-EFEITO!$M$270*EFEITO!$Z$270</f>
        <v>0</v>
      </c>
      <c r="O270" s="61">
        <f>$L$270-EFEITO!$O$270*EFEITO!$AA$270</f>
        <v>0</v>
      </c>
      <c r="P270" s="45"/>
      <c r="Q270" s="45"/>
      <c r="R270" s="45"/>
      <c r="S270" s="45"/>
      <c r="T270" s="45"/>
      <c r="U270" s="45"/>
      <c r="V270" s="45"/>
      <c r="W270" s="45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41" t="s">
        <v>21</v>
      </c>
      <c r="B271" s="41" t="s">
        <v>34</v>
      </c>
      <c r="C271" s="41" t="s">
        <v>35</v>
      </c>
      <c r="D271" s="41" t="s">
        <v>43</v>
      </c>
      <c r="E271" s="41" t="s">
        <v>25</v>
      </c>
      <c r="F271" s="41" t="s">
        <v>25</v>
      </c>
      <c r="G271" s="41" t="s">
        <v>25</v>
      </c>
      <c r="H271" s="41" t="s">
        <v>25</v>
      </c>
      <c r="I271" s="60">
        <v>44562</v>
      </c>
      <c r="J271" s="61">
        <f ca="1">EFEITO!$J$271*EFEITO!$Y$271</f>
        <v>2719.0470076907532</v>
      </c>
      <c r="K271" s="61">
        <f>EFEITO!$L$271*EFEITO!$Z$271</f>
        <v>0</v>
      </c>
      <c r="L271" s="61">
        <f>EFEITO!$N$271*EFEITO!$AA$271</f>
        <v>0</v>
      </c>
      <c r="M271" s="61">
        <f ca="1">$J$271-EFEITO!$K$271*EFEITO!$Y$271</f>
        <v>0</v>
      </c>
      <c r="N271" s="61">
        <f>$K$271-EFEITO!$M$271*EFEITO!$Z$271</f>
        <v>0</v>
      </c>
      <c r="O271" s="61">
        <f>$L$271-EFEITO!$O$271*EFEITO!$AA$271</f>
        <v>0</v>
      </c>
      <c r="P271" s="45"/>
      <c r="Q271" s="45"/>
      <c r="R271" s="45"/>
      <c r="S271" s="45"/>
      <c r="T271" s="45"/>
      <c r="U271" s="45"/>
      <c r="V271" s="45"/>
      <c r="W271" s="45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41" t="s">
        <v>21</v>
      </c>
      <c r="B272" s="41" t="s">
        <v>34</v>
      </c>
      <c r="C272" s="41" t="s">
        <v>35</v>
      </c>
      <c r="D272" s="41" t="s">
        <v>43</v>
      </c>
      <c r="E272" s="41" t="s">
        <v>25</v>
      </c>
      <c r="F272" s="41" t="s">
        <v>25</v>
      </c>
      <c r="G272" s="41" t="s">
        <v>25</v>
      </c>
      <c r="H272" s="41" t="s">
        <v>25</v>
      </c>
      <c r="I272" s="60">
        <v>44593</v>
      </c>
      <c r="J272" s="61">
        <f ca="1">EFEITO!$J$272*EFEITO!$Y$272</f>
        <v>2719.0470076907532</v>
      </c>
      <c r="K272" s="61">
        <f>EFEITO!$L$272*EFEITO!$Z$272</f>
        <v>0</v>
      </c>
      <c r="L272" s="61">
        <f>EFEITO!$N$272*EFEITO!$AA$272</f>
        <v>0</v>
      </c>
      <c r="M272" s="61">
        <f ca="1">$J$272-EFEITO!$K$272*EFEITO!$Y$272</f>
        <v>0</v>
      </c>
      <c r="N272" s="61">
        <f>$K$272-EFEITO!$M$272*EFEITO!$Z$272</f>
        <v>0</v>
      </c>
      <c r="O272" s="61">
        <f>$L$272-EFEITO!$O$272*EFEITO!$AA$272</f>
        <v>0</v>
      </c>
      <c r="P272" s="45"/>
      <c r="Q272" s="45"/>
      <c r="R272" s="45"/>
      <c r="S272" s="45"/>
      <c r="T272" s="45"/>
      <c r="U272" s="45"/>
      <c r="V272" s="45"/>
      <c r="W272" s="45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41" t="s">
        <v>21</v>
      </c>
      <c r="B273" s="41" t="s">
        <v>34</v>
      </c>
      <c r="C273" s="41" t="s">
        <v>35</v>
      </c>
      <c r="D273" s="41" t="s">
        <v>43</v>
      </c>
      <c r="E273" s="41" t="s">
        <v>25</v>
      </c>
      <c r="F273" s="41" t="s">
        <v>25</v>
      </c>
      <c r="G273" s="41" t="s">
        <v>25</v>
      </c>
      <c r="H273" s="41" t="s">
        <v>25</v>
      </c>
      <c r="I273" s="60">
        <v>44621</v>
      </c>
      <c r="J273" s="61">
        <f ca="1">EFEITO!$J$273*EFEITO!$Y$273</f>
        <v>2719.0470076907532</v>
      </c>
      <c r="K273" s="61">
        <f>EFEITO!$L$273*EFEITO!$Z$273</f>
        <v>0</v>
      </c>
      <c r="L273" s="61">
        <f>EFEITO!$N$273*EFEITO!$AA$273</f>
        <v>0</v>
      </c>
      <c r="M273" s="61">
        <f ca="1">$J$273-EFEITO!$K$273*EFEITO!$Y$273</f>
        <v>0</v>
      </c>
      <c r="N273" s="61">
        <f>$K$273-EFEITO!$M$273*EFEITO!$Z$273</f>
        <v>0</v>
      </c>
      <c r="O273" s="61">
        <f>$L$273-EFEITO!$O$273*EFEITO!$AA$273</f>
        <v>0</v>
      </c>
      <c r="P273" s="45"/>
      <c r="Q273" s="45"/>
      <c r="R273" s="45"/>
      <c r="S273" s="45"/>
      <c r="T273" s="45"/>
      <c r="U273" s="45"/>
      <c r="V273" s="45"/>
      <c r="W273" s="45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41" t="s">
        <v>21</v>
      </c>
      <c r="B274" s="41" t="s">
        <v>34</v>
      </c>
      <c r="C274" s="41" t="s">
        <v>35</v>
      </c>
      <c r="D274" s="41" t="s">
        <v>43</v>
      </c>
      <c r="E274" s="41" t="s">
        <v>25</v>
      </c>
      <c r="F274" s="41" t="s">
        <v>25</v>
      </c>
      <c r="G274" s="41" t="s">
        <v>25</v>
      </c>
      <c r="H274" s="41" t="s">
        <v>25</v>
      </c>
      <c r="I274" s="60">
        <v>44652</v>
      </c>
      <c r="J274" s="61">
        <f ca="1">EFEITO!$J$274*EFEITO!$Y$274</f>
        <v>2719.0470076907532</v>
      </c>
      <c r="K274" s="61">
        <f>EFEITO!$L$274*EFEITO!$Z$274</f>
        <v>0</v>
      </c>
      <c r="L274" s="61">
        <f>EFEITO!$N$274*EFEITO!$AA$274</f>
        <v>0</v>
      </c>
      <c r="M274" s="61">
        <f ca="1">$J$274-EFEITO!$K$274*EFEITO!$Y$274</f>
        <v>0</v>
      </c>
      <c r="N274" s="61">
        <f>$K$274-EFEITO!$M$274*EFEITO!$Z$274</f>
        <v>0</v>
      </c>
      <c r="O274" s="61">
        <f>$L$274-EFEITO!$O$274*EFEITO!$AA$274</f>
        <v>0</v>
      </c>
      <c r="P274" s="45"/>
      <c r="Q274" s="45"/>
      <c r="R274" s="45"/>
      <c r="S274" s="45"/>
      <c r="T274" s="45"/>
      <c r="U274" s="45"/>
      <c r="V274" s="45"/>
      <c r="W274" s="45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41" t="s">
        <v>21</v>
      </c>
      <c r="B275" s="41" t="s">
        <v>34</v>
      </c>
      <c r="C275" s="41" t="s">
        <v>35</v>
      </c>
      <c r="D275" s="41" t="s">
        <v>43</v>
      </c>
      <c r="E275" s="41" t="s">
        <v>25</v>
      </c>
      <c r="F275" s="41" t="s">
        <v>25</v>
      </c>
      <c r="G275" s="41" t="s">
        <v>25</v>
      </c>
      <c r="H275" s="41" t="s">
        <v>25</v>
      </c>
      <c r="I275" s="60">
        <v>44682</v>
      </c>
      <c r="J275" s="61">
        <f ca="1">EFEITO!$J$275*EFEITO!$Y$275</f>
        <v>2719.0470076907532</v>
      </c>
      <c r="K275" s="61">
        <f>EFEITO!$L$275*EFEITO!$Z$275</f>
        <v>0</v>
      </c>
      <c r="L275" s="61">
        <f>EFEITO!$N$275*EFEITO!$AA$275</f>
        <v>0</v>
      </c>
      <c r="M275" s="61">
        <f ca="1">$J$275-EFEITO!$K$275*EFEITO!$Y$275</f>
        <v>0</v>
      </c>
      <c r="N275" s="61">
        <f>$K$275-EFEITO!$M$275*EFEITO!$Z$275</f>
        <v>0</v>
      </c>
      <c r="O275" s="61">
        <f>$L$275-EFEITO!$O$275*EFEITO!$AA$275</f>
        <v>0</v>
      </c>
      <c r="P275" s="45"/>
      <c r="Q275" s="45"/>
      <c r="R275" s="45"/>
      <c r="S275" s="45"/>
      <c r="T275" s="45"/>
      <c r="U275" s="45"/>
      <c r="V275" s="45"/>
      <c r="W275" s="45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41" t="s">
        <v>21</v>
      </c>
      <c r="B276" s="41" t="s">
        <v>34</v>
      </c>
      <c r="C276" s="41" t="s">
        <v>35</v>
      </c>
      <c r="D276" s="41" t="s">
        <v>43</v>
      </c>
      <c r="E276" s="41" t="s">
        <v>25</v>
      </c>
      <c r="F276" s="41" t="s">
        <v>25</v>
      </c>
      <c r="G276" s="41" t="s">
        <v>25</v>
      </c>
      <c r="H276" s="41" t="s">
        <v>25</v>
      </c>
      <c r="I276" s="60">
        <v>44713</v>
      </c>
      <c r="J276" s="61">
        <f ca="1">EFEITO!$J$276*EFEITO!$Y$276</f>
        <v>2719.0470076907532</v>
      </c>
      <c r="K276" s="61">
        <f>EFEITO!$L$276*EFEITO!$Z$276</f>
        <v>0</v>
      </c>
      <c r="L276" s="61">
        <f>EFEITO!$N$276*EFEITO!$AA$276</f>
        <v>0</v>
      </c>
      <c r="M276" s="61">
        <f ca="1">$J$276-EFEITO!$K$276*EFEITO!$Y$276</f>
        <v>0</v>
      </c>
      <c r="N276" s="61">
        <f>$K$276-EFEITO!$M$276*EFEITO!$Z$276</f>
        <v>0</v>
      </c>
      <c r="O276" s="61">
        <f>$L$276-EFEITO!$O$276*EFEITO!$AA$276</f>
        <v>0</v>
      </c>
      <c r="P276" s="45"/>
      <c r="Q276" s="45"/>
      <c r="R276" s="45"/>
      <c r="S276" s="45"/>
      <c r="T276" s="45"/>
      <c r="U276" s="45"/>
      <c r="V276" s="45"/>
      <c r="W276" s="45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41" t="s">
        <v>21</v>
      </c>
      <c r="B277" s="41" t="s">
        <v>34</v>
      </c>
      <c r="C277" s="41" t="s">
        <v>35</v>
      </c>
      <c r="D277" s="41" t="s">
        <v>43</v>
      </c>
      <c r="E277" s="41" t="s">
        <v>25</v>
      </c>
      <c r="F277" s="41" t="s">
        <v>25</v>
      </c>
      <c r="G277" s="41" t="s">
        <v>25</v>
      </c>
      <c r="H277" s="41" t="s">
        <v>25</v>
      </c>
      <c r="I277" s="60">
        <v>44743</v>
      </c>
      <c r="J277" s="61">
        <f ca="1">EFEITO!$J$277*EFEITO!$Y$277</f>
        <v>2719.0470076907532</v>
      </c>
      <c r="K277" s="61">
        <f>EFEITO!$L$277*EFEITO!$Z$277</f>
        <v>0</v>
      </c>
      <c r="L277" s="61">
        <f>EFEITO!$N$277*EFEITO!$AA$277</f>
        <v>0</v>
      </c>
      <c r="M277" s="61">
        <f ca="1">$J$277-EFEITO!$K$277*EFEITO!$Y$277</f>
        <v>0</v>
      </c>
      <c r="N277" s="61">
        <f>$K$277-EFEITO!$M$277*EFEITO!$Z$277</f>
        <v>0</v>
      </c>
      <c r="O277" s="61">
        <f>$L$277-EFEITO!$O$277*EFEITO!$AA$277</f>
        <v>0</v>
      </c>
      <c r="P277" s="45"/>
      <c r="Q277" s="45"/>
      <c r="R277" s="45"/>
      <c r="S277" s="45"/>
      <c r="T277" s="45"/>
      <c r="U277" s="45"/>
      <c r="V277" s="45"/>
      <c r="W277" s="45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41" t="s">
        <v>21</v>
      </c>
      <c r="B278" s="41" t="s">
        <v>34</v>
      </c>
      <c r="C278" s="41" t="s">
        <v>35</v>
      </c>
      <c r="D278" s="41" t="s">
        <v>43</v>
      </c>
      <c r="E278" s="41" t="s">
        <v>25</v>
      </c>
      <c r="F278" s="41" t="s">
        <v>25</v>
      </c>
      <c r="G278" s="41" t="s">
        <v>25</v>
      </c>
      <c r="H278" s="41" t="s">
        <v>36</v>
      </c>
      <c r="I278" s="60">
        <v>44409</v>
      </c>
      <c r="J278" s="61">
        <f>EFEITO!$J$278*EFEITO!$Y$278</f>
        <v>0</v>
      </c>
      <c r="K278" s="61">
        <f ca="1">EFEITO!$L$278*EFEITO!$Z$278</f>
        <v>882.59741009968866</v>
      </c>
      <c r="L278" s="61">
        <f>EFEITO!$N$278*EFEITO!$AA$278</f>
        <v>376.68625423100514</v>
      </c>
      <c r="M278" s="61">
        <f>$J$278-EFEITO!$K$278*EFEITO!$Y$278</f>
        <v>0</v>
      </c>
      <c r="N278" s="61">
        <f ca="1">$K$278-EFEITO!$M$278*EFEITO!$Z$278</f>
        <v>0</v>
      </c>
      <c r="O278" s="61">
        <f>$L$278-EFEITO!$O$278*EFEITO!$AA$278</f>
        <v>0</v>
      </c>
      <c r="P278" s="45"/>
      <c r="Q278" s="45"/>
      <c r="R278" s="45"/>
      <c r="S278" s="45"/>
      <c r="T278" s="45"/>
      <c r="U278" s="45"/>
      <c r="V278" s="45"/>
      <c r="W278" s="45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41" t="s">
        <v>21</v>
      </c>
      <c r="B279" s="41" t="s">
        <v>34</v>
      </c>
      <c r="C279" s="41" t="s">
        <v>35</v>
      </c>
      <c r="D279" s="41" t="s">
        <v>43</v>
      </c>
      <c r="E279" s="41" t="s">
        <v>25</v>
      </c>
      <c r="F279" s="41" t="s">
        <v>25</v>
      </c>
      <c r="G279" s="41" t="s">
        <v>25</v>
      </c>
      <c r="H279" s="41" t="s">
        <v>36</v>
      </c>
      <c r="I279" s="60">
        <v>44440</v>
      </c>
      <c r="J279" s="61">
        <f>EFEITO!$J$279*EFEITO!$Y$279</f>
        <v>0</v>
      </c>
      <c r="K279" s="61">
        <f ca="1">EFEITO!$L$279*EFEITO!$Z$279</f>
        <v>889.14397106077092</v>
      </c>
      <c r="L279" s="61">
        <f>EFEITO!$N$279*EFEITO!$AA$279</f>
        <v>379.4802795683857</v>
      </c>
      <c r="M279" s="61">
        <f>$J$279-EFEITO!$K$279*EFEITO!$Y$279</f>
        <v>0</v>
      </c>
      <c r="N279" s="61">
        <f ca="1">$K$279-EFEITO!$M$279*EFEITO!$Z$279</f>
        <v>0</v>
      </c>
      <c r="O279" s="61">
        <f>$L$279-EFEITO!$O$279*EFEITO!$AA$279</f>
        <v>0</v>
      </c>
      <c r="P279" s="45"/>
      <c r="Q279" s="45"/>
      <c r="R279" s="45"/>
      <c r="S279" s="45"/>
      <c r="T279" s="45"/>
      <c r="U279" s="45"/>
      <c r="V279" s="45"/>
      <c r="W279" s="45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41" t="s">
        <v>21</v>
      </c>
      <c r="B280" s="41" t="s">
        <v>34</v>
      </c>
      <c r="C280" s="41" t="s">
        <v>35</v>
      </c>
      <c r="D280" s="41" t="s">
        <v>43</v>
      </c>
      <c r="E280" s="41" t="s">
        <v>25</v>
      </c>
      <c r="F280" s="41" t="s">
        <v>25</v>
      </c>
      <c r="G280" s="41" t="s">
        <v>25</v>
      </c>
      <c r="H280" s="41" t="s">
        <v>36</v>
      </c>
      <c r="I280" s="60">
        <v>44470</v>
      </c>
      <c r="J280" s="61">
        <f>EFEITO!$J$280*EFEITO!$Y$280</f>
        <v>0</v>
      </c>
      <c r="K280" s="61">
        <f ca="1">EFEITO!$L$280*EFEITO!$Z$280</f>
        <v>827.50259013018558</v>
      </c>
      <c r="L280" s="61">
        <f>EFEITO!$N$280*EFEITO!$AA$280</f>
        <v>353.17217960948585</v>
      </c>
      <c r="M280" s="61">
        <f>$J$280-EFEITO!$K$280*EFEITO!$Y$280</f>
        <v>0</v>
      </c>
      <c r="N280" s="61">
        <f ca="1">$K$280-EFEITO!$M$280*EFEITO!$Z$280</f>
        <v>0</v>
      </c>
      <c r="O280" s="61">
        <f>$L$280-EFEITO!$O$280*EFEITO!$AA$280</f>
        <v>0</v>
      </c>
      <c r="P280" s="45"/>
      <c r="Q280" s="45"/>
      <c r="R280" s="45"/>
      <c r="S280" s="45"/>
      <c r="T280" s="45"/>
      <c r="U280" s="45"/>
      <c r="V280" s="45"/>
      <c r="W280" s="45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41" t="s">
        <v>21</v>
      </c>
      <c r="B281" s="41" t="s">
        <v>34</v>
      </c>
      <c r="C281" s="41" t="s">
        <v>35</v>
      </c>
      <c r="D281" s="41" t="s">
        <v>43</v>
      </c>
      <c r="E281" s="41" t="s">
        <v>25</v>
      </c>
      <c r="F281" s="41" t="s">
        <v>25</v>
      </c>
      <c r="G281" s="41" t="s">
        <v>25</v>
      </c>
      <c r="H281" s="41" t="s">
        <v>36</v>
      </c>
      <c r="I281" s="60">
        <v>44501</v>
      </c>
      <c r="J281" s="61">
        <f>EFEITO!$J$281*EFEITO!$Y$281</f>
        <v>0</v>
      </c>
      <c r="K281" s="61">
        <f ca="1">EFEITO!$L$281*EFEITO!$Z$281</f>
        <v>872.17260592898867</v>
      </c>
      <c r="L281" s="61">
        <f>EFEITO!$N$281*EFEITO!$AA$281</f>
        <v>372.23702246438432</v>
      </c>
      <c r="M281" s="61">
        <f>$J$281-EFEITO!$K$281*EFEITO!$Y$281</f>
        <v>0</v>
      </c>
      <c r="N281" s="61">
        <f ca="1">$K$281-EFEITO!$M$281*EFEITO!$Z$281</f>
        <v>0</v>
      </c>
      <c r="O281" s="61">
        <f>$L$281-EFEITO!$O$281*EFEITO!$AA$281</f>
        <v>0</v>
      </c>
      <c r="P281" s="45"/>
      <c r="Q281" s="45"/>
      <c r="R281" s="45"/>
      <c r="S281" s="45"/>
      <c r="T281" s="45"/>
      <c r="U281" s="45"/>
      <c r="V281" s="45"/>
      <c r="W281" s="45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41" t="s">
        <v>21</v>
      </c>
      <c r="B282" s="41" t="s">
        <v>34</v>
      </c>
      <c r="C282" s="41" t="s">
        <v>35</v>
      </c>
      <c r="D282" s="41" t="s">
        <v>43</v>
      </c>
      <c r="E282" s="41" t="s">
        <v>25</v>
      </c>
      <c r="F282" s="41" t="s">
        <v>25</v>
      </c>
      <c r="G282" s="41" t="s">
        <v>25</v>
      </c>
      <c r="H282" s="41" t="s">
        <v>36</v>
      </c>
      <c r="I282" s="60">
        <v>44531</v>
      </c>
      <c r="J282" s="61">
        <f>EFEITO!$J$282*EFEITO!$Y$282</f>
        <v>0</v>
      </c>
      <c r="K282" s="61">
        <f ca="1">EFEITO!$L$282*EFEITO!$Z$282</f>
        <v>1055.2926634393903</v>
      </c>
      <c r="L282" s="61">
        <f>EFEITO!$N$282*EFEITO!$AA$282</f>
        <v>450.39135166230068</v>
      </c>
      <c r="M282" s="61">
        <f>$J$282-EFEITO!$K$282*EFEITO!$Y$282</f>
        <v>0</v>
      </c>
      <c r="N282" s="61">
        <f ca="1">$K$282-EFEITO!$M$282*EFEITO!$Z$282</f>
        <v>0</v>
      </c>
      <c r="O282" s="61">
        <f>$L$282-EFEITO!$O$282*EFEITO!$AA$282</f>
        <v>0</v>
      </c>
      <c r="P282" s="45"/>
      <c r="Q282" s="45"/>
      <c r="R282" s="45"/>
      <c r="S282" s="45"/>
      <c r="T282" s="45"/>
      <c r="U282" s="45"/>
      <c r="V282" s="45"/>
      <c r="W282" s="45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41" t="s">
        <v>21</v>
      </c>
      <c r="B283" s="41" t="s">
        <v>34</v>
      </c>
      <c r="C283" s="41" t="s">
        <v>35</v>
      </c>
      <c r="D283" s="41" t="s">
        <v>43</v>
      </c>
      <c r="E283" s="41" t="s">
        <v>25</v>
      </c>
      <c r="F283" s="41" t="s">
        <v>25</v>
      </c>
      <c r="G283" s="41" t="s">
        <v>25</v>
      </c>
      <c r="H283" s="41" t="s">
        <v>36</v>
      </c>
      <c r="I283" s="60">
        <v>44562</v>
      </c>
      <c r="J283" s="61">
        <f>EFEITO!$J$283*EFEITO!$Y$283</f>
        <v>0</v>
      </c>
      <c r="K283" s="61">
        <f ca="1">EFEITO!$L$283*EFEITO!$Z$283</f>
        <v>1153.9231940906775</v>
      </c>
      <c r="L283" s="61">
        <f>EFEITO!$N$283*EFEITO!$AA$283</f>
        <v>492.48615583768719</v>
      </c>
      <c r="M283" s="61">
        <f>$J$283-EFEITO!$K$283*EFEITO!$Y$283</f>
        <v>0</v>
      </c>
      <c r="N283" s="61">
        <f ca="1">$K$283-EFEITO!$M$283*EFEITO!$Z$283</f>
        <v>0</v>
      </c>
      <c r="O283" s="61">
        <f>$L$283-EFEITO!$O$283*EFEITO!$AA$283</f>
        <v>0</v>
      </c>
      <c r="P283" s="45"/>
      <c r="Q283" s="45"/>
      <c r="R283" s="45"/>
      <c r="S283" s="45"/>
      <c r="T283" s="45"/>
      <c r="U283" s="45"/>
      <c r="V283" s="45"/>
      <c r="W283" s="45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41" t="s">
        <v>21</v>
      </c>
      <c r="B284" s="41" t="s">
        <v>34</v>
      </c>
      <c r="C284" s="41" t="s">
        <v>35</v>
      </c>
      <c r="D284" s="41" t="s">
        <v>43</v>
      </c>
      <c r="E284" s="41" t="s">
        <v>25</v>
      </c>
      <c r="F284" s="41" t="s">
        <v>25</v>
      </c>
      <c r="G284" s="41" t="s">
        <v>25</v>
      </c>
      <c r="H284" s="41" t="s">
        <v>36</v>
      </c>
      <c r="I284" s="60">
        <v>44593</v>
      </c>
      <c r="J284" s="61">
        <f>EFEITO!$J$284*EFEITO!$Y$284</f>
        <v>0</v>
      </c>
      <c r="K284" s="61">
        <f ca="1">EFEITO!$L$284*EFEITO!$Z$284</f>
        <v>1078.1300064620432</v>
      </c>
      <c r="L284" s="61">
        <f>EFEITO!$N$284*EFEITO!$AA$284</f>
        <v>460.1381661230638</v>
      </c>
      <c r="M284" s="61">
        <f>$J$284-EFEITO!$K$284*EFEITO!$Y$284</f>
        <v>0</v>
      </c>
      <c r="N284" s="61">
        <f ca="1">$K$284-EFEITO!$M$284*EFEITO!$Z$284</f>
        <v>0</v>
      </c>
      <c r="O284" s="61">
        <f>$L$284-EFEITO!$O$284*EFEITO!$AA$284</f>
        <v>0</v>
      </c>
      <c r="P284" s="45"/>
      <c r="Q284" s="45"/>
      <c r="R284" s="45"/>
      <c r="S284" s="45"/>
      <c r="T284" s="45"/>
      <c r="U284" s="45"/>
      <c r="V284" s="45"/>
      <c r="W284" s="45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41" t="s">
        <v>21</v>
      </c>
      <c r="B285" s="41" t="s">
        <v>34</v>
      </c>
      <c r="C285" s="41" t="s">
        <v>35</v>
      </c>
      <c r="D285" s="41" t="s">
        <v>43</v>
      </c>
      <c r="E285" s="41" t="s">
        <v>25</v>
      </c>
      <c r="F285" s="41" t="s">
        <v>25</v>
      </c>
      <c r="G285" s="41" t="s">
        <v>25</v>
      </c>
      <c r="H285" s="41" t="s">
        <v>36</v>
      </c>
      <c r="I285" s="60">
        <v>44621</v>
      </c>
      <c r="J285" s="61">
        <f>EFEITO!$J$285*EFEITO!$Y$285</f>
        <v>0</v>
      </c>
      <c r="K285" s="61">
        <f ca="1">EFEITO!$L$285*EFEITO!$Z$285</f>
        <v>1130.7509609858571</v>
      </c>
      <c r="L285" s="61">
        <f>EFEITO!$N$285*EFEITO!$AA$285</f>
        <v>482.59641268804825</v>
      </c>
      <c r="M285" s="61">
        <f>$J$285-EFEITO!$K$285*EFEITO!$Y$285</f>
        <v>0</v>
      </c>
      <c r="N285" s="61">
        <f ca="1">$K$285-EFEITO!$M$285*EFEITO!$Z$285</f>
        <v>0</v>
      </c>
      <c r="O285" s="61">
        <f>$L$285-EFEITO!$O$285*EFEITO!$AA$285</f>
        <v>0</v>
      </c>
      <c r="P285" s="45"/>
      <c r="Q285" s="45"/>
      <c r="R285" s="45"/>
      <c r="S285" s="45"/>
      <c r="T285" s="45"/>
      <c r="U285" s="45"/>
      <c r="V285" s="45"/>
      <c r="W285" s="45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41" t="s">
        <v>21</v>
      </c>
      <c r="B286" s="41" t="s">
        <v>34</v>
      </c>
      <c r="C286" s="41" t="s">
        <v>35</v>
      </c>
      <c r="D286" s="41" t="s">
        <v>43</v>
      </c>
      <c r="E286" s="41" t="s">
        <v>25</v>
      </c>
      <c r="F286" s="41" t="s">
        <v>25</v>
      </c>
      <c r="G286" s="41" t="s">
        <v>25</v>
      </c>
      <c r="H286" s="41" t="s">
        <v>36</v>
      </c>
      <c r="I286" s="60">
        <v>44652</v>
      </c>
      <c r="J286" s="61">
        <f>EFEITO!$J$286*EFEITO!$Y$286</f>
        <v>0</v>
      </c>
      <c r="K286" s="61">
        <f ca="1">EFEITO!$L$286*EFEITO!$Z$286</f>
        <v>834.18958886766052</v>
      </c>
      <c r="L286" s="61">
        <f>EFEITO!$N$286*EFEITO!$AA$286</f>
        <v>356.02614278413694</v>
      </c>
      <c r="M286" s="61">
        <f>$J$286-EFEITO!$K$286*EFEITO!$Y$286</f>
        <v>0</v>
      </c>
      <c r="N286" s="61">
        <f ca="1">$K$286-EFEITO!$M$286*EFEITO!$Z$286</f>
        <v>0</v>
      </c>
      <c r="O286" s="61">
        <f>$L$286-EFEITO!$O$286*EFEITO!$AA$286</f>
        <v>0</v>
      </c>
      <c r="P286" s="45"/>
      <c r="Q286" s="45"/>
      <c r="R286" s="45"/>
      <c r="S286" s="45"/>
      <c r="T286" s="45"/>
      <c r="U286" s="45"/>
      <c r="V286" s="45"/>
      <c r="W286" s="45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41" t="s">
        <v>21</v>
      </c>
      <c r="B287" s="41" t="s">
        <v>34</v>
      </c>
      <c r="C287" s="41" t="s">
        <v>35</v>
      </c>
      <c r="D287" s="41" t="s">
        <v>43</v>
      </c>
      <c r="E287" s="41" t="s">
        <v>25</v>
      </c>
      <c r="F287" s="41" t="s">
        <v>25</v>
      </c>
      <c r="G287" s="41" t="s">
        <v>25</v>
      </c>
      <c r="H287" s="41" t="s">
        <v>36</v>
      </c>
      <c r="I287" s="60">
        <v>44682</v>
      </c>
      <c r="J287" s="61">
        <f>EFEITO!$J$287*EFEITO!$Y$287</f>
        <v>0</v>
      </c>
      <c r="K287" s="61">
        <f ca="1">EFEITO!$L$287*EFEITO!$Z$287</f>
        <v>860.88356928817871</v>
      </c>
      <c r="L287" s="61">
        <f>EFEITO!$N$287*EFEITO!$AA$287</f>
        <v>367.41894246840639</v>
      </c>
      <c r="M287" s="61">
        <f>$J$287-EFEITO!$K$287*EFEITO!$Y$287</f>
        <v>0</v>
      </c>
      <c r="N287" s="61">
        <f ca="1">$K$287-EFEITO!$M$287*EFEITO!$Z$287</f>
        <v>0</v>
      </c>
      <c r="O287" s="61">
        <f>$L$287-EFEITO!$O$287*EFEITO!$AA$287</f>
        <v>0</v>
      </c>
      <c r="P287" s="45"/>
      <c r="Q287" s="45"/>
      <c r="R287" s="45"/>
      <c r="S287" s="45"/>
      <c r="T287" s="45"/>
      <c r="U287" s="45"/>
      <c r="V287" s="45"/>
      <c r="W287" s="45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41" t="s">
        <v>21</v>
      </c>
      <c r="B288" s="41" t="s">
        <v>34</v>
      </c>
      <c r="C288" s="41" t="s">
        <v>35</v>
      </c>
      <c r="D288" s="41" t="s">
        <v>43</v>
      </c>
      <c r="E288" s="41" t="s">
        <v>25</v>
      </c>
      <c r="F288" s="41" t="s">
        <v>25</v>
      </c>
      <c r="G288" s="41" t="s">
        <v>25</v>
      </c>
      <c r="H288" s="41" t="s">
        <v>36</v>
      </c>
      <c r="I288" s="60">
        <v>44713</v>
      </c>
      <c r="J288" s="61">
        <f>EFEITO!$J$288*EFEITO!$Y$288</f>
        <v>0</v>
      </c>
      <c r="K288" s="61">
        <f ca="1">EFEITO!$L$288*EFEITO!$Z$288</f>
        <v>786.92687565852782</v>
      </c>
      <c r="L288" s="61">
        <f>EFEITO!$N$288*EFEITO!$AA$288</f>
        <v>335.85475524116691</v>
      </c>
      <c r="M288" s="61">
        <f>$J$288-EFEITO!$K$288*EFEITO!$Y$288</f>
        <v>0</v>
      </c>
      <c r="N288" s="61">
        <f ca="1">$K$288-EFEITO!$M$288*EFEITO!$Z$288</f>
        <v>0</v>
      </c>
      <c r="O288" s="61">
        <f>$L$288-EFEITO!$O$288*EFEITO!$AA$288</f>
        <v>0</v>
      </c>
      <c r="P288" s="45"/>
      <c r="Q288" s="45"/>
      <c r="R288" s="45"/>
      <c r="S288" s="45"/>
      <c r="T288" s="45"/>
      <c r="U288" s="45"/>
      <c r="V288" s="45"/>
      <c r="W288" s="45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41" t="s">
        <v>21</v>
      </c>
      <c r="B289" s="41" t="s">
        <v>34</v>
      </c>
      <c r="C289" s="41" t="s">
        <v>35</v>
      </c>
      <c r="D289" s="41" t="s">
        <v>43</v>
      </c>
      <c r="E289" s="41" t="s">
        <v>25</v>
      </c>
      <c r="F289" s="41" t="s">
        <v>25</v>
      </c>
      <c r="G289" s="41" t="s">
        <v>25</v>
      </c>
      <c r="H289" s="41" t="s">
        <v>36</v>
      </c>
      <c r="I289" s="60">
        <v>44743</v>
      </c>
      <c r="J289" s="61">
        <f>EFEITO!$J$289*EFEITO!$Y$289</f>
        <v>0</v>
      </c>
      <c r="K289" s="61">
        <f ca="1">EFEITO!$L$289*EFEITO!$Z$289</f>
        <v>860.79714604116759</v>
      </c>
      <c r="L289" s="61">
        <f>EFEITO!$N$289*EFEITO!$AA$289</f>
        <v>367.38205764547064</v>
      </c>
      <c r="M289" s="61">
        <f>$J$289-EFEITO!$K$289*EFEITO!$Y$289</f>
        <v>0</v>
      </c>
      <c r="N289" s="61">
        <f ca="1">$K$289-EFEITO!$M$289*EFEITO!$Z$289</f>
        <v>0</v>
      </c>
      <c r="O289" s="61">
        <f>$L$289-EFEITO!$O$289*EFEITO!$AA$289</f>
        <v>0</v>
      </c>
      <c r="P289" s="45"/>
      <c r="Q289" s="45"/>
      <c r="R289" s="45"/>
      <c r="S289" s="45"/>
      <c r="T289" s="45"/>
      <c r="U289" s="45"/>
      <c r="V289" s="45"/>
      <c r="W289" s="45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41" t="s">
        <v>21</v>
      </c>
      <c r="B290" s="41" t="s">
        <v>22</v>
      </c>
      <c r="C290" s="41" t="s">
        <v>23</v>
      </c>
      <c r="D290" s="41" t="s">
        <v>24</v>
      </c>
      <c r="E290" s="41" t="s">
        <v>24</v>
      </c>
      <c r="F290" s="41" t="s">
        <v>25</v>
      </c>
      <c r="G290" s="41" t="s">
        <v>25</v>
      </c>
      <c r="H290" s="41" t="s">
        <v>25</v>
      </c>
      <c r="I290" s="60">
        <v>44409</v>
      </c>
      <c r="J290" s="61">
        <f>EFEITO!$J$290*EFEITO!$Y$290</f>
        <v>0</v>
      </c>
      <c r="K290" s="61">
        <f ca="1">EFEITO!$L$290*EFEITO!$Z$290</f>
        <v>427376.59205396875</v>
      </c>
      <c r="L290" s="61">
        <f>EFEITO!$N$290*EFEITO!$AA$290</f>
        <v>260135.7707522258</v>
      </c>
      <c r="M290" s="61">
        <f>$J$290-EFEITO!$K$290*EFEITO!$Y$290</f>
        <v>0</v>
      </c>
      <c r="N290" s="61">
        <f ca="1">$K$290-EFEITO!$M$290*EFEITO!$Z$290</f>
        <v>0</v>
      </c>
      <c r="O290" s="61">
        <f>$L$290-EFEITO!$O$290*EFEITO!$AA$290</f>
        <v>0</v>
      </c>
      <c r="P290" s="45"/>
      <c r="Q290" s="45"/>
      <c r="R290" s="45"/>
      <c r="S290" s="45"/>
      <c r="T290" s="45"/>
      <c r="U290" s="45"/>
      <c r="V290" s="45"/>
      <c r="W290" s="45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41" t="s">
        <v>27</v>
      </c>
      <c r="B291" s="41" t="s">
        <v>22</v>
      </c>
      <c r="C291" s="41" t="s">
        <v>23</v>
      </c>
      <c r="D291" s="41" t="s">
        <v>24</v>
      </c>
      <c r="E291" s="41" t="s">
        <v>24</v>
      </c>
      <c r="F291" s="41" t="s">
        <v>25</v>
      </c>
      <c r="G291" s="41" t="s">
        <v>25</v>
      </c>
      <c r="H291" s="41" t="s">
        <v>25</v>
      </c>
      <c r="I291" s="60">
        <v>44409</v>
      </c>
      <c r="J291" s="61">
        <f>EFEITO!$J$291*EFEITO!$Y$291</f>
        <v>0</v>
      </c>
      <c r="K291" s="61">
        <f ca="1">EFEITO!$L$291*EFEITO!$Z$291</f>
        <v>3937.4850695097502</v>
      </c>
      <c r="L291" s="61">
        <f>EFEITO!$N$291*EFEITO!$AA$291</f>
        <v>2396.670132212002</v>
      </c>
      <c r="M291" s="61">
        <f>$J$291-EFEITO!$K$291*EFEITO!$Y$291</f>
        <v>0</v>
      </c>
      <c r="N291" s="61">
        <f ca="1">$K$291-EFEITO!$M$291*EFEITO!$Z$291</f>
        <v>0</v>
      </c>
      <c r="O291" s="61">
        <f>$L$291-EFEITO!$O$291*EFEITO!$AA$291</f>
        <v>0</v>
      </c>
      <c r="P291" s="45"/>
      <c r="Q291" s="45"/>
      <c r="R291" s="45"/>
      <c r="S291" s="45"/>
      <c r="T291" s="45"/>
      <c r="U291" s="45"/>
      <c r="V291" s="45"/>
      <c r="W291" s="45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41" t="s">
        <v>21</v>
      </c>
      <c r="B292" s="41" t="s">
        <v>22</v>
      </c>
      <c r="C292" s="41" t="s">
        <v>23</v>
      </c>
      <c r="D292" s="41" t="s">
        <v>24</v>
      </c>
      <c r="E292" s="41" t="s">
        <v>24</v>
      </c>
      <c r="F292" s="41" t="s">
        <v>25</v>
      </c>
      <c r="G292" s="41" t="s">
        <v>25</v>
      </c>
      <c r="H292" s="41" t="s">
        <v>25</v>
      </c>
      <c r="I292" s="60">
        <v>44440</v>
      </c>
      <c r="J292" s="61">
        <f>EFEITO!$J$292*EFEITO!$Y$292</f>
        <v>0</v>
      </c>
      <c r="K292" s="61">
        <f ca="1">EFEITO!$L$292*EFEITO!$Z$292</f>
        <v>455441.90619427495</v>
      </c>
      <c r="L292" s="61">
        <f>EFEITO!$N$292*EFEITO!$AA$292</f>
        <v>277218.57842356863</v>
      </c>
      <c r="M292" s="61">
        <f>$J$292-EFEITO!$K$292*EFEITO!$Y$292</f>
        <v>0</v>
      </c>
      <c r="N292" s="61">
        <f ca="1">$K$292-EFEITO!$M$292*EFEITO!$Z$292</f>
        <v>0</v>
      </c>
      <c r="O292" s="61">
        <f>$L$292-EFEITO!$O$292*EFEITO!$AA$292</f>
        <v>0</v>
      </c>
      <c r="P292" s="45"/>
      <c r="Q292" s="45"/>
      <c r="R292" s="45"/>
      <c r="S292" s="45"/>
      <c r="T292" s="45"/>
      <c r="U292" s="45"/>
      <c r="V292" s="45"/>
      <c r="W292" s="45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41" t="s">
        <v>27</v>
      </c>
      <c r="B293" s="41" t="s">
        <v>22</v>
      </c>
      <c r="C293" s="41" t="s">
        <v>23</v>
      </c>
      <c r="D293" s="41" t="s">
        <v>24</v>
      </c>
      <c r="E293" s="41" t="s">
        <v>24</v>
      </c>
      <c r="F293" s="41" t="s">
        <v>25</v>
      </c>
      <c r="G293" s="41" t="s">
        <v>25</v>
      </c>
      <c r="H293" s="41" t="s">
        <v>25</v>
      </c>
      <c r="I293" s="60">
        <v>44440</v>
      </c>
      <c r="J293" s="61">
        <f>EFEITO!$J$293*EFEITO!$Y$293</f>
        <v>0</v>
      </c>
      <c r="K293" s="61">
        <f ca="1">EFEITO!$L$293*EFEITO!$Z$293</f>
        <v>4198.3800184001038</v>
      </c>
      <c r="L293" s="61">
        <f>EFEITO!$N$293*EFEITO!$AA$293</f>
        <v>2555.4717836753662</v>
      </c>
      <c r="M293" s="61">
        <f>$J$293-EFEITO!$K$293*EFEITO!$Y$293</f>
        <v>0</v>
      </c>
      <c r="N293" s="61">
        <f ca="1">$K$293-EFEITO!$M$293*EFEITO!$Z$293</f>
        <v>0</v>
      </c>
      <c r="O293" s="61">
        <f>$L$293-EFEITO!$O$293*EFEITO!$AA$293</f>
        <v>0</v>
      </c>
      <c r="P293" s="45"/>
      <c r="Q293" s="45"/>
      <c r="R293" s="45"/>
      <c r="S293" s="45"/>
      <c r="T293" s="45"/>
      <c r="U293" s="45"/>
      <c r="V293" s="45"/>
      <c r="W293" s="45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41" t="s">
        <v>21</v>
      </c>
      <c r="B294" s="41" t="s">
        <v>22</v>
      </c>
      <c r="C294" s="41" t="s">
        <v>23</v>
      </c>
      <c r="D294" s="41" t="s">
        <v>24</v>
      </c>
      <c r="E294" s="41" t="s">
        <v>24</v>
      </c>
      <c r="F294" s="41" t="s">
        <v>25</v>
      </c>
      <c r="G294" s="41" t="s">
        <v>25</v>
      </c>
      <c r="H294" s="41" t="s">
        <v>25</v>
      </c>
      <c r="I294" s="60">
        <v>44470</v>
      </c>
      <c r="J294" s="61">
        <f>EFEITO!$J$294*EFEITO!$Y$294</f>
        <v>0</v>
      </c>
      <c r="K294" s="61">
        <f ca="1">EFEITO!$L$294*EFEITO!$Z$294</f>
        <v>404689.11068473145</v>
      </c>
      <c r="L294" s="61">
        <f>EFEITO!$N$294*EFEITO!$AA$294</f>
        <v>246326.34468130043</v>
      </c>
      <c r="M294" s="61">
        <f>$J$294-EFEITO!$K$294*EFEITO!$Y$294</f>
        <v>0</v>
      </c>
      <c r="N294" s="61">
        <f ca="1">$K$294-EFEITO!$M$294*EFEITO!$Z$294</f>
        <v>0</v>
      </c>
      <c r="O294" s="61">
        <f>$L$294-EFEITO!$O$294*EFEITO!$AA$294</f>
        <v>0</v>
      </c>
      <c r="P294" s="45"/>
      <c r="Q294" s="45"/>
      <c r="R294" s="45"/>
      <c r="S294" s="45"/>
      <c r="T294" s="45"/>
      <c r="U294" s="45"/>
      <c r="V294" s="45"/>
      <c r="W294" s="45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41" t="s">
        <v>27</v>
      </c>
      <c r="B295" s="41" t="s">
        <v>22</v>
      </c>
      <c r="C295" s="41" t="s">
        <v>23</v>
      </c>
      <c r="D295" s="41" t="s">
        <v>24</v>
      </c>
      <c r="E295" s="41" t="s">
        <v>24</v>
      </c>
      <c r="F295" s="41" t="s">
        <v>25</v>
      </c>
      <c r="G295" s="41" t="s">
        <v>25</v>
      </c>
      <c r="H295" s="41" t="s">
        <v>25</v>
      </c>
      <c r="I295" s="60">
        <v>44470</v>
      </c>
      <c r="J295" s="61">
        <f>EFEITO!$J$295*EFEITO!$Y$295</f>
        <v>0</v>
      </c>
      <c r="K295" s="61">
        <f ca="1">EFEITO!$L$295*EFEITO!$Z$295</f>
        <v>3661.0213442841673</v>
      </c>
      <c r="L295" s="61">
        <f>EFEITO!$N$295*EFEITO!$AA$295</f>
        <v>2228.3920711676415</v>
      </c>
      <c r="M295" s="61">
        <f>$J$295-EFEITO!$K$295*EFEITO!$Y$295</f>
        <v>0</v>
      </c>
      <c r="N295" s="61">
        <f ca="1">$K$295-EFEITO!$M$295*EFEITO!$Z$295</f>
        <v>0</v>
      </c>
      <c r="O295" s="61">
        <f>$L$295-EFEITO!$O$295*EFEITO!$AA$295</f>
        <v>0</v>
      </c>
      <c r="P295" s="45"/>
      <c r="Q295" s="45"/>
      <c r="R295" s="45"/>
      <c r="S295" s="45"/>
      <c r="T295" s="45"/>
      <c r="U295" s="45"/>
      <c r="V295" s="45"/>
      <c r="W295" s="45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41" t="s">
        <v>21</v>
      </c>
      <c r="B296" s="41" t="s">
        <v>22</v>
      </c>
      <c r="C296" s="41" t="s">
        <v>23</v>
      </c>
      <c r="D296" s="41" t="s">
        <v>24</v>
      </c>
      <c r="E296" s="41" t="s">
        <v>24</v>
      </c>
      <c r="F296" s="41" t="s">
        <v>25</v>
      </c>
      <c r="G296" s="41" t="s">
        <v>25</v>
      </c>
      <c r="H296" s="41" t="s">
        <v>25</v>
      </c>
      <c r="I296" s="60">
        <v>44501</v>
      </c>
      <c r="J296" s="61">
        <f>EFEITO!$J$296*EFEITO!$Y$296</f>
        <v>0</v>
      </c>
      <c r="K296" s="61">
        <f ca="1">EFEITO!$L$296*EFEITO!$Z$296</f>
        <v>401081.4006048679</v>
      </c>
      <c r="L296" s="61">
        <f>EFEITO!$N$296*EFEITO!$AA$296</f>
        <v>244130.40213384954</v>
      </c>
      <c r="M296" s="61">
        <f>$J$296-EFEITO!$K$296*EFEITO!$Y$296</f>
        <v>0</v>
      </c>
      <c r="N296" s="61">
        <f ca="1">$K$296-EFEITO!$M$296*EFEITO!$Z$296</f>
        <v>0</v>
      </c>
      <c r="O296" s="61">
        <f>$L$296-EFEITO!$O$296*EFEITO!$AA$296</f>
        <v>0</v>
      </c>
      <c r="P296" s="45"/>
      <c r="Q296" s="45"/>
      <c r="R296" s="45"/>
      <c r="S296" s="45"/>
      <c r="T296" s="45"/>
      <c r="U296" s="45"/>
      <c r="V296" s="45"/>
      <c r="W296" s="45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41" t="s">
        <v>27</v>
      </c>
      <c r="B297" s="41" t="s">
        <v>22</v>
      </c>
      <c r="C297" s="41" t="s">
        <v>23</v>
      </c>
      <c r="D297" s="41" t="s">
        <v>24</v>
      </c>
      <c r="E297" s="41" t="s">
        <v>24</v>
      </c>
      <c r="F297" s="41" t="s">
        <v>25</v>
      </c>
      <c r="G297" s="41" t="s">
        <v>25</v>
      </c>
      <c r="H297" s="41" t="s">
        <v>25</v>
      </c>
      <c r="I297" s="60">
        <v>44501</v>
      </c>
      <c r="J297" s="61">
        <f>EFEITO!$J$297*EFEITO!$Y$297</f>
        <v>0</v>
      </c>
      <c r="K297" s="61">
        <f ca="1">EFEITO!$L$297*EFEITO!$Z$297</f>
        <v>3157.1591283440271</v>
      </c>
      <c r="L297" s="61">
        <f>EFEITO!$N$297*EFEITO!$AA$297</f>
        <v>1921.7009974553941</v>
      </c>
      <c r="M297" s="61">
        <f>$J$297-EFEITO!$K$297*EFEITO!$Y$297</f>
        <v>0</v>
      </c>
      <c r="N297" s="61">
        <f ca="1">$K$297-EFEITO!$M$297*EFEITO!$Z$297</f>
        <v>0</v>
      </c>
      <c r="O297" s="61">
        <f>$L$297-EFEITO!$O$297*EFEITO!$AA$297</f>
        <v>0</v>
      </c>
      <c r="P297" s="45"/>
      <c r="Q297" s="45"/>
      <c r="R297" s="45"/>
      <c r="S297" s="45"/>
      <c r="T297" s="45"/>
      <c r="U297" s="45"/>
      <c r="V297" s="45"/>
      <c r="W297" s="45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41" t="s">
        <v>21</v>
      </c>
      <c r="B298" s="41" t="s">
        <v>22</v>
      </c>
      <c r="C298" s="41" t="s">
        <v>23</v>
      </c>
      <c r="D298" s="41" t="s">
        <v>24</v>
      </c>
      <c r="E298" s="41" t="s">
        <v>24</v>
      </c>
      <c r="F298" s="41" t="s">
        <v>25</v>
      </c>
      <c r="G298" s="41" t="s">
        <v>25</v>
      </c>
      <c r="H298" s="41" t="s">
        <v>25</v>
      </c>
      <c r="I298" s="60">
        <v>44531</v>
      </c>
      <c r="J298" s="61">
        <f>EFEITO!$J$298*EFEITO!$Y$298</f>
        <v>0</v>
      </c>
      <c r="K298" s="61">
        <f ca="1">EFEITO!$L$298*EFEITO!$Z$298</f>
        <v>453241.04735779489</v>
      </c>
      <c r="L298" s="61">
        <f>EFEITO!$N$298*EFEITO!$AA$298</f>
        <v>275878.95870552777</v>
      </c>
      <c r="M298" s="61">
        <f>$J$298-EFEITO!$K$298*EFEITO!$Y$298</f>
        <v>0</v>
      </c>
      <c r="N298" s="61">
        <f ca="1">$K$298-EFEITO!$M$298*EFEITO!$Z$298</f>
        <v>0</v>
      </c>
      <c r="O298" s="61">
        <f>$L$298-EFEITO!$O$298*EFEITO!$AA$298</f>
        <v>0</v>
      </c>
      <c r="P298" s="45"/>
      <c r="Q298" s="45"/>
      <c r="R298" s="45"/>
      <c r="S298" s="45"/>
      <c r="T298" s="45"/>
      <c r="U298" s="45"/>
      <c r="V298" s="45"/>
      <c r="W298" s="45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41" t="s">
        <v>27</v>
      </c>
      <c r="B299" s="41" t="s">
        <v>22</v>
      </c>
      <c r="C299" s="41" t="s">
        <v>23</v>
      </c>
      <c r="D299" s="41" t="s">
        <v>24</v>
      </c>
      <c r="E299" s="41" t="s">
        <v>24</v>
      </c>
      <c r="F299" s="41" t="s">
        <v>25</v>
      </c>
      <c r="G299" s="41" t="s">
        <v>25</v>
      </c>
      <c r="H299" s="41" t="s">
        <v>25</v>
      </c>
      <c r="I299" s="60">
        <v>44531</v>
      </c>
      <c r="J299" s="61">
        <f>EFEITO!$J$299*EFEITO!$Y$299</f>
        <v>0</v>
      </c>
      <c r="K299" s="61">
        <f ca="1">EFEITO!$L$299*EFEITO!$Z$299</f>
        <v>3682.251493832207</v>
      </c>
      <c r="L299" s="61">
        <f>EFEITO!$N$299*EFEITO!$AA$299</f>
        <v>2241.3144478690006</v>
      </c>
      <c r="M299" s="61">
        <f>$J$299-EFEITO!$K$299*EFEITO!$Y$299</f>
        <v>0</v>
      </c>
      <c r="N299" s="61">
        <f ca="1">$K$299-EFEITO!$M$299*EFEITO!$Z$299</f>
        <v>0</v>
      </c>
      <c r="O299" s="61">
        <f>$L$299-EFEITO!$O$299*EFEITO!$AA$299</f>
        <v>0</v>
      </c>
      <c r="P299" s="45"/>
      <c r="Q299" s="45"/>
      <c r="R299" s="45"/>
      <c r="S299" s="45"/>
      <c r="T299" s="45"/>
      <c r="U299" s="45"/>
      <c r="V299" s="45"/>
      <c r="W299" s="45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41" t="s">
        <v>21</v>
      </c>
      <c r="B300" s="41" t="s">
        <v>22</v>
      </c>
      <c r="C300" s="41" t="s">
        <v>23</v>
      </c>
      <c r="D300" s="41" t="s">
        <v>24</v>
      </c>
      <c r="E300" s="41" t="s">
        <v>24</v>
      </c>
      <c r="F300" s="41" t="s">
        <v>25</v>
      </c>
      <c r="G300" s="41" t="s">
        <v>25</v>
      </c>
      <c r="H300" s="41" t="s">
        <v>25</v>
      </c>
      <c r="I300" s="60">
        <v>44562</v>
      </c>
      <c r="J300" s="61">
        <f>EFEITO!$J$300*EFEITO!$Y$300</f>
        <v>0</v>
      </c>
      <c r="K300" s="61">
        <f ca="1">EFEITO!$L$300*EFEITO!$Z$300</f>
        <v>441330.93346134463</v>
      </c>
      <c r="L300" s="61">
        <f>EFEITO!$N$300*EFEITO!$AA$300</f>
        <v>268629.50537606556</v>
      </c>
      <c r="M300" s="61">
        <f>$J$300-EFEITO!$K$300*EFEITO!$Y$300</f>
        <v>0</v>
      </c>
      <c r="N300" s="61">
        <f ca="1">$K$300-EFEITO!$M$300*EFEITO!$Z$300</f>
        <v>0</v>
      </c>
      <c r="O300" s="61">
        <f>$L$300-EFEITO!$O$300*EFEITO!$AA$300</f>
        <v>0</v>
      </c>
      <c r="P300" s="45"/>
      <c r="Q300" s="45"/>
      <c r="R300" s="45"/>
      <c r="S300" s="45"/>
      <c r="T300" s="45"/>
      <c r="U300" s="45"/>
      <c r="V300" s="45"/>
      <c r="W300" s="45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41" t="s">
        <v>27</v>
      </c>
      <c r="B301" s="41" t="s">
        <v>22</v>
      </c>
      <c r="C301" s="41" t="s">
        <v>23</v>
      </c>
      <c r="D301" s="41" t="s">
        <v>24</v>
      </c>
      <c r="E301" s="41" t="s">
        <v>24</v>
      </c>
      <c r="F301" s="41" t="s">
        <v>25</v>
      </c>
      <c r="G301" s="41" t="s">
        <v>25</v>
      </c>
      <c r="H301" s="41" t="s">
        <v>25</v>
      </c>
      <c r="I301" s="60">
        <v>44562</v>
      </c>
      <c r="J301" s="61">
        <f>EFEITO!$J$301*EFEITO!$Y$301</f>
        <v>0</v>
      </c>
      <c r="K301" s="61">
        <f ca="1">EFEITO!$L$301*EFEITO!$Z$301</f>
        <v>4184.6983664691443</v>
      </c>
      <c r="L301" s="61">
        <f>EFEITO!$N$301*EFEITO!$AA$301</f>
        <v>2547.1440298011571</v>
      </c>
      <c r="M301" s="61">
        <f>$J$301-EFEITO!$K$301*EFEITO!$Y$301</f>
        <v>0</v>
      </c>
      <c r="N301" s="61">
        <f ca="1">$K$301-EFEITO!$M$301*EFEITO!$Z$301</f>
        <v>0</v>
      </c>
      <c r="O301" s="61">
        <f>$L$301-EFEITO!$O$301*EFEITO!$AA$301</f>
        <v>0</v>
      </c>
      <c r="P301" s="45"/>
      <c r="Q301" s="45"/>
      <c r="R301" s="45"/>
      <c r="S301" s="45"/>
      <c r="T301" s="45"/>
      <c r="U301" s="45"/>
      <c r="V301" s="45"/>
      <c r="W301" s="45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41" t="s">
        <v>21</v>
      </c>
      <c r="B302" s="41" t="s">
        <v>22</v>
      </c>
      <c r="C302" s="41" t="s">
        <v>23</v>
      </c>
      <c r="D302" s="41" t="s">
        <v>24</v>
      </c>
      <c r="E302" s="41" t="s">
        <v>24</v>
      </c>
      <c r="F302" s="41" t="s">
        <v>25</v>
      </c>
      <c r="G302" s="41" t="s">
        <v>25</v>
      </c>
      <c r="H302" s="41" t="s">
        <v>25</v>
      </c>
      <c r="I302" s="60">
        <v>44593</v>
      </c>
      <c r="J302" s="61">
        <f>EFEITO!$J$302*EFEITO!$Y$302</f>
        <v>0</v>
      </c>
      <c r="K302" s="61">
        <f ca="1">EFEITO!$L$302*EFEITO!$Z$302</f>
        <v>571021.19923930813</v>
      </c>
      <c r="L302" s="61">
        <f>EFEITO!$N$302*EFEITO!$AA$302</f>
        <v>347569.43300539919</v>
      </c>
      <c r="M302" s="61">
        <f>$J$302-EFEITO!$K$302*EFEITO!$Y$302</f>
        <v>0</v>
      </c>
      <c r="N302" s="61">
        <f ca="1">$K$302-EFEITO!$M$302*EFEITO!$Z$302</f>
        <v>0</v>
      </c>
      <c r="O302" s="61">
        <f>$L$302-EFEITO!$O$302*EFEITO!$AA$302</f>
        <v>0</v>
      </c>
      <c r="P302" s="45"/>
      <c r="Q302" s="45"/>
      <c r="R302" s="45"/>
      <c r="S302" s="45"/>
      <c r="T302" s="45"/>
      <c r="U302" s="45"/>
      <c r="V302" s="45"/>
      <c r="W302" s="45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41" t="s">
        <v>27</v>
      </c>
      <c r="B303" s="41" t="s">
        <v>22</v>
      </c>
      <c r="C303" s="41" t="s">
        <v>23</v>
      </c>
      <c r="D303" s="41" t="s">
        <v>24</v>
      </c>
      <c r="E303" s="41" t="s">
        <v>24</v>
      </c>
      <c r="F303" s="41" t="s">
        <v>25</v>
      </c>
      <c r="G303" s="41" t="s">
        <v>25</v>
      </c>
      <c r="H303" s="41" t="s">
        <v>25</v>
      </c>
      <c r="I303" s="60">
        <v>44593</v>
      </c>
      <c r="J303" s="61">
        <f>EFEITO!$J$303*EFEITO!$Y$303</f>
        <v>0</v>
      </c>
      <c r="K303" s="61">
        <f ca="1">EFEITO!$L$303*EFEITO!$Z$303</f>
        <v>5832.6297524980873</v>
      </c>
      <c r="L303" s="61">
        <f>EFEITO!$N$303*EFEITO!$AA$303</f>
        <v>3550.2076257532931</v>
      </c>
      <c r="M303" s="61">
        <f>$J$303-EFEITO!$K$303*EFEITO!$Y$303</f>
        <v>0</v>
      </c>
      <c r="N303" s="61">
        <f ca="1">$K$303-EFEITO!$M$303*EFEITO!$Z$303</f>
        <v>0</v>
      </c>
      <c r="O303" s="61">
        <f>$L$303-EFEITO!$O$303*EFEITO!$AA$303</f>
        <v>0</v>
      </c>
      <c r="P303" s="45"/>
      <c r="Q303" s="45"/>
      <c r="R303" s="45"/>
      <c r="S303" s="45"/>
      <c r="T303" s="45"/>
      <c r="U303" s="45"/>
      <c r="V303" s="45"/>
      <c r="W303" s="45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41" t="s">
        <v>21</v>
      </c>
      <c r="B304" s="41" t="s">
        <v>22</v>
      </c>
      <c r="C304" s="41" t="s">
        <v>23</v>
      </c>
      <c r="D304" s="41" t="s">
        <v>24</v>
      </c>
      <c r="E304" s="41" t="s">
        <v>24</v>
      </c>
      <c r="F304" s="41" t="s">
        <v>25</v>
      </c>
      <c r="G304" s="41" t="s">
        <v>25</v>
      </c>
      <c r="H304" s="41" t="s">
        <v>25</v>
      </c>
      <c r="I304" s="60">
        <v>44621</v>
      </c>
      <c r="J304" s="61">
        <f>EFEITO!$J$304*EFEITO!$Y$304</f>
        <v>0</v>
      </c>
      <c r="K304" s="61">
        <f ca="1">EFEITO!$L$304*EFEITO!$Z$304</f>
        <v>502086.90365682344</v>
      </c>
      <c r="L304" s="61">
        <f>EFEITO!$N$304*EFEITO!$AA$304</f>
        <v>305610.47585608735</v>
      </c>
      <c r="M304" s="61">
        <f>$J$304-EFEITO!$K$304*EFEITO!$Y$304</f>
        <v>0</v>
      </c>
      <c r="N304" s="61">
        <f ca="1">$K$304-EFEITO!$M$304*EFEITO!$Z$304</f>
        <v>0</v>
      </c>
      <c r="O304" s="61">
        <f>$L$304-EFEITO!$O$304*EFEITO!$AA$304</f>
        <v>0</v>
      </c>
      <c r="P304" s="45"/>
      <c r="Q304" s="45"/>
      <c r="R304" s="45"/>
      <c r="S304" s="45"/>
      <c r="T304" s="45"/>
      <c r="U304" s="45"/>
      <c r="V304" s="45"/>
      <c r="W304" s="45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41" t="s">
        <v>27</v>
      </c>
      <c r="B305" s="41" t="s">
        <v>22</v>
      </c>
      <c r="C305" s="41" t="s">
        <v>23</v>
      </c>
      <c r="D305" s="41" t="s">
        <v>24</v>
      </c>
      <c r="E305" s="41" t="s">
        <v>24</v>
      </c>
      <c r="F305" s="41" t="s">
        <v>25</v>
      </c>
      <c r="G305" s="41" t="s">
        <v>25</v>
      </c>
      <c r="H305" s="41" t="s">
        <v>25</v>
      </c>
      <c r="I305" s="60">
        <v>44621</v>
      </c>
      <c r="J305" s="61">
        <f>EFEITO!$J$305*EFEITO!$Y$305</f>
        <v>0</v>
      </c>
      <c r="K305" s="61">
        <f ca="1">EFEITO!$L$305*EFEITO!$Z$305</f>
        <v>5385.8530497871207</v>
      </c>
      <c r="L305" s="61">
        <f>EFEITO!$N$305*EFEITO!$AA$305</f>
        <v>3278.2633871713656</v>
      </c>
      <c r="M305" s="61">
        <f>$J$305-EFEITO!$K$305*EFEITO!$Y$305</f>
        <v>0</v>
      </c>
      <c r="N305" s="61">
        <f ca="1">$K$305-EFEITO!$M$305*EFEITO!$Z$305</f>
        <v>0</v>
      </c>
      <c r="O305" s="61">
        <f>$L$305-EFEITO!$O$305*EFEITO!$AA$305</f>
        <v>0</v>
      </c>
      <c r="P305" s="45"/>
      <c r="Q305" s="45"/>
      <c r="R305" s="45"/>
      <c r="S305" s="45"/>
      <c r="T305" s="45"/>
      <c r="U305" s="45"/>
      <c r="V305" s="45"/>
      <c r="W305" s="45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41" t="s">
        <v>21</v>
      </c>
      <c r="B306" s="41" t="s">
        <v>22</v>
      </c>
      <c r="C306" s="41" t="s">
        <v>23</v>
      </c>
      <c r="D306" s="41" t="s">
        <v>24</v>
      </c>
      <c r="E306" s="41" t="s">
        <v>24</v>
      </c>
      <c r="F306" s="41" t="s">
        <v>25</v>
      </c>
      <c r="G306" s="41" t="s">
        <v>25</v>
      </c>
      <c r="H306" s="41" t="s">
        <v>25</v>
      </c>
      <c r="I306" s="60">
        <v>44652</v>
      </c>
      <c r="J306" s="61">
        <f>EFEITO!$J$306*EFEITO!$Y$306</f>
        <v>0</v>
      </c>
      <c r="K306" s="61">
        <f ca="1">EFEITO!$L$306*EFEITO!$Z$306</f>
        <v>442828.83845723409</v>
      </c>
      <c r="L306" s="61">
        <f>EFEITO!$N$306*EFEITO!$AA$306</f>
        <v>269541.25084332807</v>
      </c>
      <c r="M306" s="61">
        <f>$J$306-EFEITO!$K$306*EFEITO!$Y$306</f>
        <v>0</v>
      </c>
      <c r="N306" s="61">
        <f ca="1">$K$306-EFEITO!$M$306*EFEITO!$Z$306</f>
        <v>0</v>
      </c>
      <c r="O306" s="61">
        <f>$L$306-EFEITO!$O$306*EFEITO!$AA$306</f>
        <v>0</v>
      </c>
      <c r="P306" s="45"/>
      <c r="Q306" s="45"/>
      <c r="R306" s="45"/>
      <c r="S306" s="45"/>
      <c r="T306" s="45"/>
      <c r="U306" s="45"/>
      <c r="V306" s="45"/>
      <c r="W306" s="45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41" t="s">
        <v>27</v>
      </c>
      <c r="B307" s="41" t="s">
        <v>22</v>
      </c>
      <c r="C307" s="41" t="s">
        <v>23</v>
      </c>
      <c r="D307" s="41" t="s">
        <v>24</v>
      </c>
      <c r="E307" s="41" t="s">
        <v>24</v>
      </c>
      <c r="F307" s="41" t="s">
        <v>25</v>
      </c>
      <c r="G307" s="41" t="s">
        <v>25</v>
      </c>
      <c r="H307" s="41" t="s">
        <v>25</v>
      </c>
      <c r="I307" s="60">
        <v>44652</v>
      </c>
      <c r="J307" s="61">
        <f>EFEITO!$J$307*EFEITO!$Y$307</f>
        <v>0</v>
      </c>
      <c r="K307" s="61">
        <f ca="1">EFEITO!$L$307*EFEITO!$Z$307</f>
        <v>5253.7543414882066</v>
      </c>
      <c r="L307" s="61">
        <f>EFEITO!$N$307*EFEITO!$AA$307</f>
        <v>3197.8574876962443</v>
      </c>
      <c r="M307" s="61">
        <f>$J$307-EFEITO!$K$307*EFEITO!$Y$307</f>
        <v>0</v>
      </c>
      <c r="N307" s="61">
        <f ca="1">$K$307-EFEITO!$M$307*EFEITO!$Z$307</f>
        <v>0</v>
      </c>
      <c r="O307" s="61">
        <f>$L$307-EFEITO!$O$307*EFEITO!$AA$307</f>
        <v>0</v>
      </c>
      <c r="P307" s="45"/>
      <c r="Q307" s="45"/>
      <c r="R307" s="45"/>
      <c r="S307" s="45"/>
      <c r="T307" s="45"/>
      <c r="U307" s="45"/>
      <c r="V307" s="45"/>
      <c r="W307" s="45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41" t="s">
        <v>21</v>
      </c>
      <c r="B308" s="41" t="s">
        <v>22</v>
      </c>
      <c r="C308" s="41" t="s">
        <v>23</v>
      </c>
      <c r="D308" s="41" t="s">
        <v>24</v>
      </c>
      <c r="E308" s="41" t="s">
        <v>24</v>
      </c>
      <c r="F308" s="41" t="s">
        <v>25</v>
      </c>
      <c r="G308" s="41" t="s">
        <v>25</v>
      </c>
      <c r="H308" s="41" t="s">
        <v>25</v>
      </c>
      <c r="I308" s="60">
        <v>44682</v>
      </c>
      <c r="J308" s="61">
        <f>EFEITO!$J$308*EFEITO!$Y$308</f>
        <v>0</v>
      </c>
      <c r="K308" s="61">
        <f ca="1">EFEITO!$L$308*EFEITO!$Z$308</f>
        <v>389424.16137858987</v>
      </c>
      <c r="L308" s="61">
        <f>EFEITO!$N$308*EFEITO!$AA$308</f>
        <v>237034.86866909679</v>
      </c>
      <c r="M308" s="61">
        <f>$J$308-EFEITO!$K$308*EFEITO!$Y$308</f>
        <v>0</v>
      </c>
      <c r="N308" s="61">
        <f ca="1">$K$308-EFEITO!$M$308*EFEITO!$Z$308</f>
        <v>0</v>
      </c>
      <c r="O308" s="61">
        <f>$L$308-EFEITO!$O$308*EFEITO!$AA$308</f>
        <v>0</v>
      </c>
      <c r="P308" s="45"/>
      <c r="Q308" s="45"/>
      <c r="R308" s="45"/>
      <c r="S308" s="45"/>
      <c r="T308" s="45"/>
      <c r="U308" s="45"/>
      <c r="V308" s="45"/>
      <c r="W308" s="45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41" t="s">
        <v>27</v>
      </c>
      <c r="B309" s="41" t="s">
        <v>22</v>
      </c>
      <c r="C309" s="41" t="s">
        <v>23</v>
      </c>
      <c r="D309" s="41" t="s">
        <v>24</v>
      </c>
      <c r="E309" s="41" t="s">
        <v>24</v>
      </c>
      <c r="F309" s="41" t="s">
        <v>25</v>
      </c>
      <c r="G309" s="41" t="s">
        <v>25</v>
      </c>
      <c r="H309" s="41" t="s">
        <v>25</v>
      </c>
      <c r="I309" s="60">
        <v>44682</v>
      </c>
      <c r="J309" s="61">
        <f>EFEITO!$J$309*EFEITO!$Y$309</f>
        <v>0</v>
      </c>
      <c r="K309" s="61">
        <f ca="1">EFEITO!$L$309*EFEITO!$Z$309</f>
        <v>3918.6138254670477</v>
      </c>
      <c r="L309" s="61">
        <f>EFEITO!$N$309*EFEITO!$AA$309</f>
        <v>2385.1835751441276</v>
      </c>
      <c r="M309" s="61">
        <f>$J$309-EFEITO!$K$309*EFEITO!$Y$309</f>
        <v>0</v>
      </c>
      <c r="N309" s="61">
        <f ca="1">$K$309-EFEITO!$M$309*EFEITO!$Z$309</f>
        <v>0</v>
      </c>
      <c r="O309" s="61">
        <f>$L$309-EFEITO!$O$309*EFEITO!$AA$309</f>
        <v>0</v>
      </c>
      <c r="P309" s="45"/>
      <c r="Q309" s="45"/>
      <c r="R309" s="45"/>
      <c r="S309" s="45"/>
      <c r="T309" s="45"/>
      <c r="U309" s="45"/>
      <c r="V309" s="45"/>
      <c r="W309" s="45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41" t="s">
        <v>21</v>
      </c>
      <c r="B310" s="41" t="s">
        <v>22</v>
      </c>
      <c r="C310" s="41" t="s">
        <v>23</v>
      </c>
      <c r="D310" s="41" t="s">
        <v>24</v>
      </c>
      <c r="E310" s="41" t="s">
        <v>24</v>
      </c>
      <c r="F310" s="41" t="s">
        <v>25</v>
      </c>
      <c r="G310" s="41" t="s">
        <v>25</v>
      </c>
      <c r="H310" s="41" t="s">
        <v>25</v>
      </c>
      <c r="I310" s="60">
        <v>44713</v>
      </c>
      <c r="J310" s="61">
        <f>EFEITO!$J$310*EFEITO!$Y$310</f>
        <v>0</v>
      </c>
      <c r="K310" s="61">
        <f ca="1">EFEITO!$L$310*EFEITO!$Z$310</f>
        <v>443447.81526183471</v>
      </c>
      <c r="L310" s="61">
        <f>EFEITO!$N$310*EFEITO!$AA$310</f>
        <v>269918.00991515437</v>
      </c>
      <c r="M310" s="61">
        <f>$J$310-EFEITO!$K$310*EFEITO!$Y$310</f>
        <v>0</v>
      </c>
      <c r="N310" s="61">
        <f ca="1">$K$310-EFEITO!$M$310*EFEITO!$Z$310</f>
        <v>0</v>
      </c>
      <c r="O310" s="61">
        <f>$L$310-EFEITO!$O$310*EFEITO!$AA$310</f>
        <v>0</v>
      </c>
      <c r="P310" s="45"/>
      <c r="Q310" s="45"/>
      <c r="R310" s="45"/>
      <c r="S310" s="45"/>
      <c r="T310" s="45"/>
      <c r="U310" s="45"/>
      <c r="V310" s="45"/>
      <c r="W310" s="45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41" t="s">
        <v>27</v>
      </c>
      <c r="B311" s="41" t="s">
        <v>22</v>
      </c>
      <c r="C311" s="41" t="s">
        <v>23</v>
      </c>
      <c r="D311" s="41" t="s">
        <v>24</v>
      </c>
      <c r="E311" s="41" t="s">
        <v>24</v>
      </c>
      <c r="F311" s="41" t="s">
        <v>25</v>
      </c>
      <c r="G311" s="41" t="s">
        <v>25</v>
      </c>
      <c r="H311" s="41" t="s">
        <v>25</v>
      </c>
      <c r="I311" s="60">
        <v>44713</v>
      </c>
      <c r="J311" s="61">
        <f>EFEITO!$J$311*EFEITO!$Y$311</f>
        <v>0</v>
      </c>
      <c r="K311" s="61">
        <f ca="1">EFEITO!$L$311*EFEITO!$Z$311</f>
        <v>5947.2725600575022</v>
      </c>
      <c r="L311" s="61">
        <f>EFEITO!$N$311*EFEITO!$AA$311</f>
        <v>3619.98845994063</v>
      </c>
      <c r="M311" s="61">
        <f>$J$311-EFEITO!$K$311*EFEITO!$Y$311</f>
        <v>0</v>
      </c>
      <c r="N311" s="61">
        <f ca="1">$K$311-EFEITO!$M$311*EFEITO!$Z$311</f>
        <v>0</v>
      </c>
      <c r="O311" s="61">
        <f>$L$311-EFEITO!$O$311*EFEITO!$AA$311</f>
        <v>0</v>
      </c>
      <c r="P311" s="45"/>
      <c r="Q311" s="45"/>
      <c r="R311" s="45"/>
      <c r="S311" s="45"/>
      <c r="T311" s="45"/>
      <c r="U311" s="45"/>
      <c r="V311" s="45"/>
      <c r="W311" s="45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41" t="s">
        <v>21</v>
      </c>
      <c r="B312" s="41" t="s">
        <v>22</v>
      </c>
      <c r="C312" s="41" t="s">
        <v>23</v>
      </c>
      <c r="D312" s="41" t="s">
        <v>24</v>
      </c>
      <c r="E312" s="41" t="s">
        <v>24</v>
      </c>
      <c r="F312" s="41" t="s">
        <v>25</v>
      </c>
      <c r="G312" s="41" t="s">
        <v>25</v>
      </c>
      <c r="H312" s="41" t="s">
        <v>25</v>
      </c>
      <c r="I312" s="60">
        <v>44743</v>
      </c>
      <c r="J312" s="61">
        <f>EFEITO!$J$312*EFEITO!$Y$312</f>
        <v>0</v>
      </c>
      <c r="K312" s="61">
        <f ca="1">EFEITO!$L$312*EFEITO!$Z$312</f>
        <v>450422.62706001732</v>
      </c>
      <c r="L312" s="61">
        <f>EFEITO!$N$312*EFEITO!$AA$312</f>
        <v>274163.44140744075</v>
      </c>
      <c r="M312" s="61">
        <f>$J$312-EFEITO!$K$312*EFEITO!$Y$312</f>
        <v>0</v>
      </c>
      <c r="N312" s="61">
        <f ca="1">$K$312-EFEITO!$M$312*EFEITO!$Z$312</f>
        <v>0</v>
      </c>
      <c r="O312" s="61">
        <f>$L$312-EFEITO!$O$312*EFEITO!$AA$312</f>
        <v>0</v>
      </c>
      <c r="P312" s="45"/>
      <c r="Q312" s="45"/>
      <c r="R312" s="45"/>
      <c r="S312" s="45"/>
      <c r="T312" s="45"/>
      <c r="U312" s="45"/>
      <c r="V312" s="45"/>
      <c r="W312" s="45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41" t="s">
        <v>27</v>
      </c>
      <c r="B313" s="41" t="s">
        <v>22</v>
      </c>
      <c r="C313" s="41" t="s">
        <v>23</v>
      </c>
      <c r="D313" s="41" t="s">
        <v>24</v>
      </c>
      <c r="E313" s="41" t="s">
        <v>24</v>
      </c>
      <c r="F313" s="41" t="s">
        <v>25</v>
      </c>
      <c r="G313" s="41" t="s">
        <v>25</v>
      </c>
      <c r="H313" s="41" t="s">
        <v>25</v>
      </c>
      <c r="I313" s="60">
        <v>44743</v>
      </c>
      <c r="J313" s="61">
        <f>EFEITO!$J$313*EFEITO!$Y$313</f>
        <v>0</v>
      </c>
      <c r="K313" s="61">
        <f ca="1">EFEITO!$L$313*EFEITO!$Z$313</f>
        <v>8295.7988811717532</v>
      </c>
      <c r="L313" s="61">
        <f>EFEITO!$N$313*EFEITO!$AA$313</f>
        <v>5049.490487037604</v>
      </c>
      <c r="M313" s="61">
        <f>$J$313-EFEITO!$K$313*EFEITO!$Y$313</f>
        <v>0</v>
      </c>
      <c r="N313" s="61">
        <f ca="1">$K$313-EFEITO!$M$313*EFEITO!$Z$313</f>
        <v>0</v>
      </c>
      <c r="O313" s="61">
        <f>$L$313-EFEITO!$O$313*EFEITO!$AA$313</f>
        <v>0</v>
      </c>
      <c r="P313" s="45"/>
      <c r="Q313" s="45"/>
      <c r="R313" s="45"/>
      <c r="S313" s="45"/>
      <c r="T313" s="45"/>
      <c r="U313" s="45"/>
      <c r="V313" s="45"/>
      <c r="W313" s="45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41" t="s">
        <v>21</v>
      </c>
      <c r="B314" s="41" t="s">
        <v>22</v>
      </c>
      <c r="C314" s="41" t="s">
        <v>23</v>
      </c>
      <c r="D314" s="41" t="s">
        <v>24</v>
      </c>
      <c r="E314" s="41" t="s">
        <v>28</v>
      </c>
      <c r="F314" s="41" t="s">
        <v>25</v>
      </c>
      <c r="G314" s="41" t="s">
        <v>25</v>
      </c>
      <c r="H314" s="41" t="s">
        <v>25</v>
      </c>
      <c r="I314" s="60">
        <v>44409</v>
      </c>
      <c r="J314" s="61">
        <f>EFEITO!$J$314*EFEITO!$Y$290</f>
        <v>0</v>
      </c>
      <c r="K314" s="61">
        <f ca="1">EFEITO!$L$314*EFEITO!$Z$350</f>
        <v>2868.930070702288</v>
      </c>
      <c r="L314" s="61">
        <f>EFEITO!$N$314*EFEITO!$AA$350</f>
        <v>2575.8604224708438</v>
      </c>
      <c r="M314" s="61">
        <f>$J$314-EFEITO!$K$314*EFEITO!$Y$314</f>
        <v>0</v>
      </c>
      <c r="N314" s="61">
        <f ca="1">$K$314-EFEITO!$M$314*EFEITO!$Z$314</f>
        <v>1864.8045459564873</v>
      </c>
      <c r="O314" s="61">
        <f>$L$314-EFEITO!$O$314*EFEITO!$AA$314</f>
        <v>1674.3092746060483</v>
      </c>
      <c r="P314" s="45"/>
      <c r="Q314" s="45"/>
      <c r="R314" s="45"/>
      <c r="S314" s="45"/>
      <c r="T314" s="45"/>
      <c r="U314" s="45"/>
      <c r="V314" s="45"/>
      <c r="W314" s="45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41" t="s">
        <v>21</v>
      </c>
      <c r="B315" s="41" t="s">
        <v>22</v>
      </c>
      <c r="C315" s="41" t="s">
        <v>23</v>
      </c>
      <c r="D315" s="41" t="s">
        <v>24</v>
      </c>
      <c r="E315" s="41" t="s">
        <v>28</v>
      </c>
      <c r="F315" s="41" t="s">
        <v>25</v>
      </c>
      <c r="G315" s="41" t="s">
        <v>25</v>
      </c>
      <c r="H315" s="41" t="s">
        <v>25</v>
      </c>
      <c r="I315" s="60">
        <v>44440</v>
      </c>
      <c r="J315" s="61">
        <f>EFEITO!$J$315*EFEITO!$Y$290</f>
        <v>0</v>
      </c>
      <c r="K315" s="61">
        <f ca="1">EFEITO!$L$315*EFEITO!$Z$350</f>
        <v>2945.6907414903089</v>
      </c>
      <c r="L315" s="61">
        <f>EFEITO!$N$315*EFEITO!$AA$350</f>
        <v>2644.7797648780906</v>
      </c>
      <c r="M315" s="61">
        <f>$J$315-EFEITO!$K$315*EFEITO!$Y$315</f>
        <v>0</v>
      </c>
      <c r="N315" s="61">
        <f ca="1">$K$315-EFEITO!$M$315*EFEITO!$Z$315</f>
        <v>1914.698981968701</v>
      </c>
      <c r="O315" s="61">
        <f>$L$315-EFEITO!$O$315*EFEITO!$AA$315</f>
        <v>1719.106847170759</v>
      </c>
      <c r="P315" s="45"/>
      <c r="Q315" s="45"/>
      <c r="R315" s="45"/>
      <c r="S315" s="45"/>
      <c r="T315" s="45"/>
      <c r="U315" s="45"/>
      <c r="V315" s="45"/>
      <c r="W315" s="45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41" t="s">
        <v>21</v>
      </c>
      <c r="B316" s="41" t="s">
        <v>22</v>
      </c>
      <c r="C316" s="41" t="s">
        <v>23</v>
      </c>
      <c r="D316" s="41" t="s">
        <v>24</v>
      </c>
      <c r="E316" s="41" t="s">
        <v>28</v>
      </c>
      <c r="F316" s="41" t="s">
        <v>25</v>
      </c>
      <c r="G316" s="41" t="s">
        <v>25</v>
      </c>
      <c r="H316" s="41" t="s">
        <v>25</v>
      </c>
      <c r="I316" s="60">
        <v>44470</v>
      </c>
      <c r="J316" s="61">
        <f>EFEITO!$J$316*EFEITO!$Y$290</f>
        <v>0</v>
      </c>
      <c r="K316" s="61">
        <f ca="1">EFEITO!$L$316*EFEITO!$Z$350</f>
        <v>2907.3104060962983</v>
      </c>
      <c r="L316" s="61">
        <f>EFEITO!$N$316*EFEITO!$AA$350</f>
        <v>2610.320093674467</v>
      </c>
      <c r="M316" s="61">
        <f>$J$316-EFEITO!$K$316*EFEITO!$Y$316</f>
        <v>0</v>
      </c>
      <c r="N316" s="61">
        <f ca="1">$K$316-EFEITO!$M$316*EFEITO!$Z$316</f>
        <v>1889.7517639625939</v>
      </c>
      <c r="O316" s="61">
        <f>$L$316-EFEITO!$O$316*EFEITO!$AA$316</f>
        <v>1696.7080608884037</v>
      </c>
      <c r="P316" s="45"/>
      <c r="Q316" s="45"/>
      <c r="R316" s="45"/>
      <c r="S316" s="45"/>
      <c r="T316" s="45"/>
      <c r="U316" s="45"/>
      <c r="V316" s="45"/>
      <c r="W316" s="45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41" t="s">
        <v>21</v>
      </c>
      <c r="B317" s="41" t="s">
        <v>22</v>
      </c>
      <c r="C317" s="41" t="s">
        <v>23</v>
      </c>
      <c r="D317" s="41" t="s">
        <v>24</v>
      </c>
      <c r="E317" s="41" t="s">
        <v>28</v>
      </c>
      <c r="F317" s="41" t="s">
        <v>25</v>
      </c>
      <c r="G317" s="41" t="s">
        <v>25</v>
      </c>
      <c r="H317" s="41" t="s">
        <v>25</v>
      </c>
      <c r="I317" s="60">
        <v>44501</v>
      </c>
      <c r="J317" s="61">
        <f>EFEITO!$J$317*EFEITO!$Y$290</f>
        <v>0</v>
      </c>
      <c r="K317" s="61">
        <f ca="1">EFEITO!$L$317*EFEITO!$Z$350</f>
        <v>2964.880909187314</v>
      </c>
      <c r="L317" s="61">
        <f>EFEITO!$N$317*EFEITO!$AA$350</f>
        <v>2662.0096004799016</v>
      </c>
      <c r="M317" s="61">
        <f>$J$317-EFEITO!$K$317*EFEITO!$Y$317</f>
        <v>0</v>
      </c>
      <c r="N317" s="61">
        <f ca="1">$K$317-EFEITO!$M$317*EFEITO!$Z$317</f>
        <v>1927.1725909717543</v>
      </c>
      <c r="O317" s="61">
        <f>$L$317-EFEITO!$O$317*EFEITO!$AA$317</f>
        <v>1730.3062403119361</v>
      </c>
      <c r="P317" s="45"/>
      <c r="Q317" s="45"/>
      <c r="R317" s="45"/>
      <c r="S317" s="45"/>
      <c r="T317" s="45"/>
      <c r="U317" s="45"/>
      <c r="V317" s="45"/>
      <c r="W317" s="45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41" t="s">
        <v>21</v>
      </c>
      <c r="B318" s="41" t="s">
        <v>22</v>
      </c>
      <c r="C318" s="41" t="s">
        <v>23</v>
      </c>
      <c r="D318" s="41" t="s">
        <v>24</v>
      </c>
      <c r="E318" s="41" t="s">
        <v>28</v>
      </c>
      <c r="F318" s="41" t="s">
        <v>25</v>
      </c>
      <c r="G318" s="41" t="s">
        <v>25</v>
      </c>
      <c r="H318" s="41" t="s">
        <v>25</v>
      </c>
      <c r="I318" s="60">
        <v>44531</v>
      </c>
      <c r="J318" s="61">
        <f>EFEITO!$J$318*EFEITO!$Y$290</f>
        <v>0</v>
      </c>
      <c r="K318" s="61">
        <f ca="1">EFEITO!$L$318*EFEITO!$Z$350</f>
        <v>3032.0464961268326</v>
      </c>
      <c r="L318" s="61">
        <f>EFEITO!$N$318*EFEITO!$AA$350</f>
        <v>2722.314025086243</v>
      </c>
      <c r="M318" s="61">
        <f>$J$318-EFEITO!$K$318*EFEITO!$Y$318</f>
        <v>0</v>
      </c>
      <c r="N318" s="61">
        <f ca="1">$K$318-EFEITO!$M$318*EFEITO!$Z$318</f>
        <v>1970.8302224824413</v>
      </c>
      <c r="O318" s="61">
        <f>$L$318-EFEITO!$O$318*EFEITO!$AA$318</f>
        <v>1769.504116306058</v>
      </c>
      <c r="P318" s="45"/>
      <c r="Q318" s="45"/>
      <c r="R318" s="45"/>
      <c r="S318" s="45"/>
      <c r="T318" s="45"/>
      <c r="U318" s="45"/>
      <c r="V318" s="45"/>
      <c r="W318" s="45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41" t="s">
        <v>21</v>
      </c>
      <c r="B319" s="41" t="s">
        <v>22</v>
      </c>
      <c r="C319" s="41" t="s">
        <v>23</v>
      </c>
      <c r="D319" s="41" t="s">
        <v>24</v>
      </c>
      <c r="E319" s="41" t="s">
        <v>28</v>
      </c>
      <c r="F319" s="41" t="s">
        <v>25</v>
      </c>
      <c r="G319" s="41" t="s">
        <v>25</v>
      </c>
      <c r="H319" s="41" t="s">
        <v>25</v>
      </c>
      <c r="I319" s="60">
        <v>44562</v>
      </c>
      <c r="J319" s="61">
        <f>EFEITO!$J$319*EFEITO!$Y$290</f>
        <v>0</v>
      </c>
      <c r="K319" s="61">
        <f ca="1">EFEITO!$L$319*EFEITO!$Z$350</f>
        <v>3099.2120830663507</v>
      </c>
      <c r="L319" s="61">
        <f>EFEITO!$N$319*EFEITO!$AA$350</f>
        <v>2782.6184496925835</v>
      </c>
      <c r="M319" s="61">
        <f>$J$319-EFEITO!$K$319*EFEITO!$Y$319</f>
        <v>0</v>
      </c>
      <c r="N319" s="61">
        <f ca="1">$K$319-EFEITO!$M$319*EFEITO!$Z$319</f>
        <v>2014.4878539931281</v>
      </c>
      <c r="O319" s="61">
        <f>$L$319-EFEITO!$O$319*EFEITO!$AA$319</f>
        <v>1808.7019923001794</v>
      </c>
      <c r="P319" s="45"/>
      <c r="Q319" s="45"/>
      <c r="R319" s="45"/>
      <c r="S319" s="45"/>
      <c r="T319" s="45"/>
      <c r="U319" s="45"/>
      <c r="V319" s="45"/>
      <c r="W319" s="45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41" t="s">
        <v>21</v>
      </c>
      <c r="B320" s="41" t="s">
        <v>22</v>
      </c>
      <c r="C320" s="41" t="s">
        <v>23</v>
      </c>
      <c r="D320" s="41" t="s">
        <v>24</v>
      </c>
      <c r="E320" s="41" t="s">
        <v>28</v>
      </c>
      <c r="F320" s="41" t="s">
        <v>25</v>
      </c>
      <c r="G320" s="41" t="s">
        <v>25</v>
      </c>
      <c r="H320" s="41" t="s">
        <v>25</v>
      </c>
      <c r="I320" s="60">
        <v>44593</v>
      </c>
      <c r="J320" s="61">
        <f>EFEITO!$J$320*EFEITO!$Y$290</f>
        <v>0</v>
      </c>
      <c r="K320" s="61">
        <f ca="1">EFEITO!$L$320*EFEITO!$Z$350</f>
        <v>3377.4695146729273</v>
      </c>
      <c r="L320" s="61">
        <f>EFEITO!$N$320*EFEITO!$AA$350</f>
        <v>3032.4510659188527</v>
      </c>
      <c r="M320" s="61">
        <f>$J$320-EFEITO!$K$320*EFEITO!$Y$320</f>
        <v>0</v>
      </c>
      <c r="N320" s="61">
        <f ca="1">$K$320-EFEITO!$M$320*EFEITO!$Z$320</f>
        <v>2195.3551845374027</v>
      </c>
      <c r="O320" s="61">
        <f>$L$320-EFEITO!$O$320*EFEITO!$AA$320</f>
        <v>1971.0931928472542</v>
      </c>
      <c r="P320" s="45"/>
      <c r="Q320" s="45"/>
      <c r="R320" s="45"/>
      <c r="S320" s="45"/>
      <c r="T320" s="45"/>
      <c r="U320" s="45"/>
      <c r="V320" s="45"/>
      <c r="W320" s="45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41" t="s">
        <v>21</v>
      </c>
      <c r="B321" s="41" t="s">
        <v>22</v>
      </c>
      <c r="C321" s="41" t="s">
        <v>23</v>
      </c>
      <c r="D321" s="41" t="s">
        <v>24</v>
      </c>
      <c r="E321" s="41" t="s">
        <v>28</v>
      </c>
      <c r="F321" s="41" t="s">
        <v>25</v>
      </c>
      <c r="G321" s="41" t="s">
        <v>25</v>
      </c>
      <c r="H321" s="41" t="s">
        <v>25</v>
      </c>
      <c r="I321" s="60">
        <v>44621</v>
      </c>
      <c r="J321" s="61">
        <f>EFEITO!$J$321*EFEITO!$Y$290</f>
        <v>0</v>
      </c>
      <c r="K321" s="61">
        <f ca="1">EFEITO!$L$321*EFEITO!$Z$350</f>
        <v>3588.5613593399853</v>
      </c>
      <c r="L321" s="61">
        <f>EFEITO!$N$321*EFEITO!$AA$350</f>
        <v>3221.979257538781</v>
      </c>
      <c r="M321" s="61">
        <f>$J$321-EFEITO!$K$321*EFEITO!$Y$321</f>
        <v>0</v>
      </c>
      <c r="N321" s="61">
        <f ca="1">$K$321-EFEITO!$M$321*EFEITO!$Z$321</f>
        <v>2332.5648835709908</v>
      </c>
      <c r="O321" s="61">
        <f>$L$321-EFEITO!$O$321*EFEITO!$AA$321</f>
        <v>2094.2865174002077</v>
      </c>
      <c r="P321" s="45"/>
      <c r="Q321" s="45"/>
      <c r="R321" s="45"/>
      <c r="S321" s="45"/>
      <c r="T321" s="45"/>
      <c r="U321" s="45"/>
      <c r="V321" s="45"/>
      <c r="W321" s="45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41" t="s">
        <v>21</v>
      </c>
      <c r="B322" s="41" t="s">
        <v>22</v>
      </c>
      <c r="C322" s="41" t="s">
        <v>23</v>
      </c>
      <c r="D322" s="41" t="s">
        <v>24</v>
      </c>
      <c r="E322" s="41" t="s">
        <v>28</v>
      </c>
      <c r="F322" s="41" t="s">
        <v>25</v>
      </c>
      <c r="G322" s="41" t="s">
        <v>25</v>
      </c>
      <c r="H322" s="41" t="s">
        <v>25</v>
      </c>
      <c r="I322" s="60">
        <v>44652</v>
      </c>
      <c r="J322" s="61">
        <f>EFEITO!$J$322*EFEITO!$Y$290</f>
        <v>0</v>
      </c>
      <c r="K322" s="61">
        <f ca="1">EFEITO!$L$322*EFEITO!$Z$350</f>
        <v>3636.5367785824983</v>
      </c>
      <c r="L322" s="61">
        <f>EFEITO!$N$322*EFEITO!$AA$350</f>
        <v>3265.0538465433096</v>
      </c>
      <c r="M322" s="61">
        <f>$J$322-EFEITO!$K$322*EFEITO!$Y$322</f>
        <v>0</v>
      </c>
      <c r="N322" s="61">
        <f ca="1">$K$322-EFEITO!$M$322*EFEITO!$Z$322</f>
        <v>2363.7489060786238</v>
      </c>
      <c r="O322" s="61">
        <f>$L$322-EFEITO!$O$322*EFEITO!$AA$322</f>
        <v>2122.2850002531513</v>
      </c>
      <c r="P322" s="45"/>
      <c r="Q322" s="45"/>
      <c r="R322" s="45"/>
      <c r="S322" s="45"/>
      <c r="T322" s="45"/>
      <c r="U322" s="45"/>
      <c r="V322" s="45"/>
      <c r="W322" s="45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41" t="s">
        <v>21</v>
      </c>
      <c r="B323" s="41" t="s">
        <v>22</v>
      </c>
      <c r="C323" s="41" t="s">
        <v>23</v>
      </c>
      <c r="D323" s="41" t="s">
        <v>24</v>
      </c>
      <c r="E323" s="41" t="s">
        <v>28</v>
      </c>
      <c r="F323" s="41" t="s">
        <v>25</v>
      </c>
      <c r="G323" s="41" t="s">
        <v>25</v>
      </c>
      <c r="H323" s="41" t="s">
        <v>25</v>
      </c>
      <c r="I323" s="60">
        <v>44682</v>
      </c>
      <c r="J323" s="61">
        <f>EFEITO!$J$323*EFEITO!$Y$290</f>
        <v>0</v>
      </c>
      <c r="K323" s="61">
        <f ca="1">EFEITO!$L$323*EFEITO!$Z$350</f>
        <v>3780.4630363100382</v>
      </c>
      <c r="L323" s="61">
        <f>EFEITO!$N$323*EFEITO!$AA$350</f>
        <v>3394.2776135568974</v>
      </c>
      <c r="M323" s="61">
        <f>$J$323-EFEITO!$K$323*EFEITO!$Y$323</f>
        <v>0</v>
      </c>
      <c r="N323" s="61">
        <f ca="1">$K$323-EFEITO!$M$323*EFEITO!$Z$323</f>
        <v>2457.3009736015251</v>
      </c>
      <c r="O323" s="61">
        <f>$L$323-EFEITO!$O$323*EFEITO!$AA$323</f>
        <v>2206.2804488119837</v>
      </c>
      <c r="P323" s="45"/>
      <c r="Q323" s="45"/>
      <c r="R323" s="45"/>
      <c r="S323" s="45"/>
      <c r="T323" s="45"/>
      <c r="U323" s="45"/>
      <c r="V323" s="45"/>
      <c r="W323" s="45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41" t="s">
        <v>21</v>
      </c>
      <c r="B324" s="41" t="s">
        <v>22</v>
      </c>
      <c r="C324" s="41" t="s">
        <v>23</v>
      </c>
      <c r="D324" s="41" t="s">
        <v>24</v>
      </c>
      <c r="E324" s="41" t="s">
        <v>28</v>
      </c>
      <c r="F324" s="41" t="s">
        <v>25</v>
      </c>
      <c r="G324" s="41" t="s">
        <v>25</v>
      </c>
      <c r="H324" s="41" t="s">
        <v>25</v>
      </c>
      <c r="I324" s="60">
        <v>44713</v>
      </c>
      <c r="J324" s="61">
        <f>EFEITO!$J$324*EFEITO!$Y$290</f>
        <v>0</v>
      </c>
      <c r="K324" s="61">
        <f ca="1">EFEITO!$L$324*EFEITO!$Z$350</f>
        <v>3080.0219153693461</v>
      </c>
      <c r="L324" s="61">
        <f>EFEITO!$N$324*EFEITO!$AA$350</f>
        <v>2765.3886140907721</v>
      </c>
      <c r="M324" s="61">
        <f>$J$324-EFEITO!$K$324*EFEITO!$Y$324</f>
        <v>0</v>
      </c>
      <c r="N324" s="61">
        <f ca="1">$K$324-EFEITO!$M$324*EFEITO!$Z$324</f>
        <v>2002.0142449900752</v>
      </c>
      <c r="O324" s="61">
        <f>$L$324-EFEITO!$O$324*EFEITO!$AA$324</f>
        <v>1797.5025991590019</v>
      </c>
      <c r="P324" s="45"/>
      <c r="Q324" s="45"/>
      <c r="R324" s="45"/>
      <c r="S324" s="45"/>
      <c r="T324" s="45"/>
      <c r="U324" s="45"/>
      <c r="V324" s="45"/>
      <c r="W324" s="45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41" t="s">
        <v>21</v>
      </c>
      <c r="B325" s="41" t="s">
        <v>22</v>
      </c>
      <c r="C325" s="41" t="s">
        <v>23</v>
      </c>
      <c r="D325" s="41" t="s">
        <v>24</v>
      </c>
      <c r="E325" s="41" t="s">
        <v>28</v>
      </c>
      <c r="F325" s="41" t="s">
        <v>25</v>
      </c>
      <c r="G325" s="41" t="s">
        <v>25</v>
      </c>
      <c r="H325" s="41" t="s">
        <v>25</v>
      </c>
      <c r="I325" s="60">
        <v>44743</v>
      </c>
      <c r="J325" s="61">
        <f>EFEITO!$J$325*EFEITO!$Y$290</f>
        <v>0</v>
      </c>
      <c r="K325" s="61">
        <f ca="1">EFEITO!$L$325*EFEITO!$Z$350</f>
        <v>3502.2056047034612</v>
      </c>
      <c r="L325" s="61">
        <f>EFEITO!$N$325*EFEITO!$AA$350</f>
        <v>3144.4449973306282</v>
      </c>
      <c r="M325" s="61">
        <f>$J$325-EFEITO!$K$325*EFEITO!$Y$325</f>
        <v>0</v>
      </c>
      <c r="N325" s="61">
        <f ca="1">$K$325-EFEITO!$M$325*EFEITO!$Z$325</f>
        <v>2276.4336430572498</v>
      </c>
      <c r="O325" s="61">
        <f>$L$325-EFEITO!$O$325*EFEITO!$AA$325</f>
        <v>2043.8892482649085</v>
      </c>
      <c r="P325" s="45"/>
      <c r="Q325" s="45"/>
      <c r="R325" s="45"/>
      <c r="S325" s="45"/>
      <c r="T325" s="45"/>
      <c r="U325" s="45"/>
      <c r="V325" s="45"/>
      <c r="W325" s="45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41" t="s">
        <v>21</v>
      </c>
      <c r="B326" s="41" t="s">
        <v>22</v>
      </c>
      <c r="C326" s="41" t="s">
        <v>23</v>
      </c>
      <c r="D326" s="41" t="s">
        <v>24</v>
      </c>
      <c r="E326" s="41" t="s">
        <v>29</v>
      </c>
      <c r="F326" s="41" t="s">
        <v>25</v>
      </c>
      <c r="G326" s="41" t="s">
        <v>25</v>
      </c>
      <c r="H326" s="41" t="s">
        <v>25</v>
      </c>
      <c r="I326" s="60">
        <v>44409</v>
      </c>
      <c r="J326" s="61">
        <f>EFEITO!$J$326*EFEITO!$Y$290</f>
        <v>0</v>
      </c>
      <c r="K326" s="61">
        <f ca="1">EFEITO!$L$326*EFEITO!$Z$350</f>
        <v>5875.7095126947297</v>
      </c>
      <c r="L326" s="61">
        <f>EFEITO!$N$326*EFEITO!$AA$350</f>
        <v>5275.4884973480339</v>
      </c>
      <c r="M326" s="61">
        <f>$J$326-EFEITO!$K$326*EFEITO!$Y$326</f>
        <v>0</v>
      </c>
      <c r="N326" s="61">
        <f ca="1">$K$326-EFEITO!$M$326*EFEITO!$Z$326</f>
        <v>2350.2838050778923</v>
      </c>
      <c r="O326" s="61">
        <f>$L$326-EFEITO!$O$326*EFEITO!$AA$326</f>
        <v>2110.1953989392141</v>
      </c>
      <c r="P326" s="45"/>
      <c r="Q326" s="45"/>
      <c r="R326" s="45"/>
      <c r="S326" s="45"/>
      <c r="T326" s="45"/>
      <c r="U326" s="45"/>
      <c r="V326" s="45"/>
      <c r="W326" s="45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41" t="s">
        <v>21</v>
      </c>
      <c r="B327" s="41" t="s">
        <v>22</v>
      </c>
      <c r="C327" s="41" t="s">
        <v>23</v>
      </c>
      <c r="D327" s="41" t="s">
        <v>24</v>
      </c>
      <c r="E327" s="41" t="s">
        <v>29</v>
      </c>
      <c r="F327" s="41" t="s">
        <v>25</v>
      </c>
      <c r="G327" s="41" t="s">
        <v>25</v>
      </c>
      <c r="H327" s="41" t="s">
        <v>25</v>
      </c>
      <c r="I327" s="60">
        <v>44440</v>
      </c>
      <c r="J327" s="61">
        <f>EFEITO!$J$327*EFEITO!$Y$290</f>
        <v>0</v>
      </c>
      <c r="K327" s="61">
        <f ca="1">EFEITO!$L$327*EFEITO!$Z$350</f>
        <v>6236.8045015267126</v>
      </c>
      <c r="L327" s="61">
        <f>EFEITO!$N$327*EFEITO!$AA$350</f>
        <v>5599.6965705887906</v>
      </c>
      <c r="M327" s="61">
        <f>$J$327-EFEITO!$K$327*EFEITO!$Y$327</f>
        <v>0</v>
      </c>
      <c r="N327" s="61">
        <f ca="1">$K$327-EFEITO!$M$327*EFEITO!$Z$327</f>
        <v>2494.7218006106855</v>
      </c>
      <c r="O327" s="61">
        <f>$L$327-EFEITO!$O$327*EFEITO!$AA$327</f>
        <v>2239.8786282355168</v>
      </c>
      <c r="P327" s="45"/>
      <c r="Q327" s="45"/>
      <c r="R327" s="45"/>
      <c r="S327" s="45"/>
      <c r="T327" s="45"/>
      <c r="U327" s="45"/>
      <c r="V327" s="45"/>
      <c r="W327" s="45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41" t="s">
        <v>21</v>
      </c>
      <c r="B328" s="41" t="s">
        <v>22</v>
      </c>
      <c r="C328" s="41" t="s">
        <v>23</v>
      </c>
      <c r="D328" s="41" t="s">
        <v>24</v>
      </c>
      <c r="E328" s="41" t="s">
        <v>29</v>
      </c>
      <c r="F328" s="41" t="s">
        <v>25</v>
      </c>
      <c r="G328" s="41" t="s">
        <v>25</v>
      </c>
      <c r="H328" s="41" t="s">
        <v>25</v>
      </c>
      <c r="I328" s="60">
        <v>44470</v>
      </c>
      <c r="J328" s="61">
        <f>EFEITO!$J$328*EFEITO!$Y$290</f>
        <v>0</v>
      </c>
      <c r="K328" s="61">
        <f ca="1">EFEITO!$L$328*EFEITO!$Z$350</f>
        <v>6103.7526721608092</v>
      </c>
      <c r="L328" s="61">
        <f>EFEITO!$N$328*EFEITO!$AA$350</f>
        <v>5480.2363770828961</v>
      </c>
      <c r="M328" s="61">
        <f>$J$328-EFEITO!$K$328*EFEITO!$Y$328</f>
        <v>0</v>
      </c>
      <c r="N328" s="61">
        <f ca="1">$K$328-EFEITO!$M$328*EFEITO!$Z$328</f>
        <v>2441.5010688643238</v>
      </c>
      <c r="O328" s="61">
        <f>$L$328-EFEITO!$O$328*EFEITO!$AA$328</f>
        <v>2192.0945508331588</v>
      </c>
      <c r="P328" s="45"/>
      <c r="Q328" s="45"/>
      <c r="R328" s="45"/>
      <c r="S328" s="45"/>
      <c r="T328" s="45"/>
      <c r="U328" s="45"/>
      <c r="V328" s="45"/>
      <c r="W328" s="45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41" t="s">
        <v>21</v>
      </c>
      <c r="B329" s="41" t="s">
        <v>22</v>
      </c>
      <c r="C329" s="41" t="s">
        <v>23</v>
      </c>
      <c r="D329" s="41" t="s">
        <v>24</v>
      </c>
      <c r="E329" s="41" t="s">
        <v>29</v>
      </c>
      <c r="F329" s="41" t="s">
        <v>25</v>
      </c>
      <c r="G329" s="41" t="s">
        <v>25</v>
      </c>
      <c r="H329" s="41" t="s">
        <v>25</v>
      </c>
      <c r="I329" s="60">
        <v>44501</v>
      </c>
      <c r="J329" s="61">
        <f>EFEITO!$J$329*EFEITO!$Y$290</f>
        <v>0</v>
      </c>
      <c r="K329" s="61">
        <f ca="1">EFEITO!$L$329*EFEITO!$Z$350</f>
        <v>6074.6475844870174</v>
      </c>
      <c r="L329" s="61">
        <f>EFEITO!$N$329*EFEITO!$AA$350</f>
        <v>5454.104459753481</v>
      </c>
      <c r="M329" s="61">
        <f>$J$329-EFEITO!$K$329*EFEITO!$Y$329</f>
        <v>0</v>
      </c>
      <c r="N329" s="61">
        <f ca="1">$K$329-EFEITO!$M$329*EFEITO!$Z$329</f>
        <v>2429.8590337948071</v>
      </c>
      <c r="O329" s="61">
        <f>$L$329-EFEITO!$O$329*EFEITO!$AA$329</f>
        <v>2181.6417839013925</v>
      </c>
      <c r="P329" s="45"/>
      <c r="Q329" s="45"/>
      <c r="R329" s="45"/>
      <c r="S329" s="45"/>
      <c r="T329" s="45"/>
      <c r="U329" s="45"/>
      <c r="V329" s="45"/>
      <c r="W329" s="45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41" t="s">
        <v>21</v>
      </c>
      <c r="B330" s="41" t="s">
        <v>22</v>
      </c>
      <c r="C330" s="41" t="s">
        <v>23</v>
      </c>
      <c r="D330" s="41" t="s">
        <v>24</v>
      </c>
      <c r="E330" s="41" t="s">
        <v>29</v>
      </c>
      <c r="F330" s="41" t="s">
        <v>25</v>
      </c>
      <c r="G330" s="41" t="s">
        <v>25</v>
      </c>
      <c r="H330" s="41" t="s">
        <v>25</v>
      </c>
      <c r="I330" s="60">
        <v>44531</v>
      </c>
      <c r="J330" s="61">
        <f>EFEITO!$J$330*EFEITO!$Y$290</f>
        <v>0</v>
      </c>
      <c r="K330" s="61">
        <f ca="1">EFEITO!$L$330*EFEITO!$Z$350</f>
        <v>6494.9122570514328</v>
      </c>
      <c r="L330" s="61">
        <f>EFEITO!$N$330*EFEITO!$AA$350</f>
        <v>5831.4378594331565</v>
      </c>
      <c r="M330" s="61">
        <f>$J$330-EFEITO!$K$330*EFEITO!$Y$330</f>
        <v>0</v>
      </c>
      <c r="N330" s="61">
        <f ca="1">$K$330-EFEITO!$M$330*EFEITO!$Z$330</f>
        <v>2597.9649028205736</v>
      </c>
      <c r="O330" s="61">
        <f>$L$330-EFEITO!$O$330*EFEITO!$AA$330</f>
        <v>2332.5751437732629</v>
      </c>
      <c r="P330" s="45"/>
      <c r="Q330" s="45"/>
      <c r="R330" s="45"/>
      <c r="S330" s="45"/>
      <c r="T330" s="45"/>
      <c r="U330" s="45"/>
      <c r="V330" s="45"/>
      <c r="W330" s="45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41" t="s">
        <v>21</v>
      </c>
      <c r="B331" s="41" t="s">
        <v>22</v>
      </c>
      <c r="C331" s="41" t="s">
        <v>23</v>
      </c>
      <c r="D331" s="41" t="s">
        <v>24</v>
      </c>
      <c r="E331" s="41" t="s">
        <v>29</v>
      </c>
      <c r="F331" s="41" t="s">
        <v>25</v>
      </c>
      <c r="G331" s="41" t="s">
        <v>25</v>
      </c>
      <c r="H331" s="41" t="s">
        <v>25</v>
      </c>
      <c r="I331" s="60">
        <v>44562</v>
      </c>
      <c r="J331" s="61">
        <f>EFEITO!$J$331*EFEITO!$Y$290</f>
        <v>0</v>
      </c>
      <c r="K331" s="61">
        <f ca="1">EFEITO!$L$331*EFEITO!$Z$350</f>
        <v>6575.8307975071384</v>
      </c>
      <c r="L331" s="61">
        <f>EFEITO!$N$331*EFEITO!$AA$350</f>
        <v>5904.0903328874629</v>
      </c>
      <c r="M331" s="61">
        <f>$J$331-EFEITO!$K$331*EFEITO!$Y$331</f>
        <v>0</v>
      </c>
      <c r="N331" s="61">
        <f ca="1">$K$331-EFEITO!$M$331*EFEITO!$Z$331</f>
        <v>2630.3323190028555</v>
      </c>
      <c r="O331" s="61">
        <f>$L$331-EFEITO!$O$331*EFEITO!$AA$331</f>
        <v>2361.6361331549856</v>
      </c>
      <c r="P331" s="45"/>
      <c r="Q331" s="45"/>
      <c r="R331" s="45"/>
      <c r="S331" s="45"/>
      <c r="T331" s="45"/>
      <c r="U331" s="45"/>
      <c r="V331" s="45"/>
      <c r="W331" s="45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41" t="s">
        <v>21</v>
      </c>
      <c r="B332" s="41" t="s">
        <v>22</v>
      </c>
      <c r="C332" s="41" t="s">
        <v>23</v>
      </c>
      <c r="D332" s="41" t="s">
        <v>24</v>
      </c>
      <c r="E332" s="41" t="s">
        <v>29</v>
      </c>
      <c r="F332" s="41" t="s">
        <v>25</v>
      </c>
      <c r="G332" s="41" t="s">
        <v>25</v>
      </c>
      <c r="H332" s="41" t="s">
        <v>25</v>
      </c>
      <c r="I332" s="60">
        <v>44593</v>
      </c>
      <c r="J332" s="61">
        <f>EFEITO!$J$332*EFEITO!$Y$290</f>
        <v>0</v>
      </c>
      <c r="K332" s="61">
        <f ca="1">EFEITO!$L$332*EFEITO!$Z$350</f>
        <v>7361.3483285712209</v>
      </c>
      <c r="L332" s="61">
        <f>EFEITO!$N$332*EFEITO!$AA$350</f>
        <v>6609.3649368549532</v>
      </c>
      <c r="M332" s="61">
        <f>$J$332-EFEITO!$K$332*EFEITO!$Y$332</f>
        <v>0</v>
      </c>
      <c r="N332" s="61">
        <f ca="1">$K$332-EFEITO!$M$332*EFEITO!$Z$332</f>
        <v>2944.5393314284893</v>
      </c>
      <c r="O332" s="61">
        <f>$L$332-EFEITO!$O$332*EFEITO!$AA$332</f>
        <v>2643.7459747419816</v>
      </c>
      <c r="P332" s="45"/>
      <c r="Q332" s="45"/>
      <c r="R332" s="45"/>
      <c r="S332" s="45"/>
      <c r="T332" s="45"/>
      <c r="U332" s="45"/>
      <c r="V332" s="45"/>
      <c r="W332" s="45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41" t="s">
        <v>21</v>
      </c>
      <c r="B333" s="41" t="s">
        <v>22</v>
      </c>
      <c r="C333" s="41" t="s">
        <v>23</v>
      </c>
      <c r="D333" s="41" t="s">
        <v>24</v>
      </c>
      <c r="E333" s="41" t="s">
        <v>29</v>
      </c>
      <c r="F333" s="41" t="s">
        <v>25</v>
      </c>
      <c r="G333" s="41" t="s">
        <v>25</v>
      </c>
      <c r="H333" s="41" t="s">
        <v>25</v>
      </c>
      <c r="I333" s="60">
        <v>44621</v>
      </c>
      <c r="J333" s="61">
        <f>EFEITO!$J$333*EFEITO!$Y$290</f>
        <v>0</v>
      </c>
      <c r="K333" s="61">
        <f ca="1">EFEITO!$L$333*EFEITO!$Z$350</f>
        <v>7676.0670788021071</v>
      </c>
      <c r="L333" s="61">
        <f>EFEITO!$N$333*EFEITO!$AA$350</f>
        <v>6891.934240724665</v>
      </c>
      <c r="M333" s="61">
        <f>$J$333-EFEITO!$K$333*EFEITO!$Y$333</f>
        <v>0</v>
      </c>
      <c r="N333" s="61">
        <f ca="1">$K$333-EFEITO!$M$333*EFEITO!$Z$333</f>
        <v>3070.4268315208428</v>
      </c>
      <c r="O333" s="61">
        <f>$L$333-EFEITO!$O$333*EFEITO!$AA$333</f>
        <v>2756.7736962898662</v>
      </c>
      <c r="P333" s="45"/>
      <c r="Q333" s="45"/>
      <c r="R333" s="45"/>
      <c r="S333" s="45"/>
      <c r="T333" s="45"/>
      <c r="U333" s="45"/>
      <c r="V333" s="45"/>
      <c r="W333" s="45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41" t="s">
        <v>21</v>
      </c>
      <c r="B334" s="41" t="s">
        <v>22</v>
      </c>
      <c r="C334" s="41" t="s">
        <v>23</v>
      </c>
      <c r="D334" s="41" t="s">
        <v>24</v>
      </c>
      <c r="E334" s="41" t="s">
        <v>29</v>
      </c>
      <c r="F334" s="41" t="s">
        <v>25</v>
      </c>
      <c r="G334" s="41" t="s">
        <v>25</v>
      </c>
      <c r="H334" s="41" t="s">
        <v>25</v>
      </c>
      <c r="I334" s="60">
        <v>44652</v>
      </c>
      <c r="J334" s="61">
        <f>EFEITO!$J$334*EFEITO!$Y$290</f>
        <v>0</v>
      </c>
      <c r="K334" s="61">
        <f ca="1">EFEITO!$L$334*EFEITO!$Z$350</f>
        <v>7666.1521588253217</v>
      </c>
      <c r="L334" s="61">
        <f>EFEITO!$N$334*EFEITO!$AA$350</f>
        <v>6883.0321589970627</v>
      </c>
      <c r="M334" s="61">
        <f>$J$334-EFEITO!$K$334*EFEITO!$Y$334</f>
        <v>0</v>
      </c>
      <c r="N334" s="61">
        <f ca="1">$K$334-EFEITO!$M$334*EFEITO!$Z$334</f>
        <v>3066.4608635301292</v>
      </c>
      <c r="O334" s="61">
        <f>$L$334-EFEITO!$O$334*EFEITO!$AA$334</f>
        <v>2753.2128635988256</v>
      </c>
      <c r="P334" s="45"/>
      <c r="Q334" s="45"/>
      <c r="R334" s="45"/>
      <c r="S334" s="45"/>
      <c r="T334" s="45"/>
      <c r="U334" s="45"/>
      <c r="V334" s="45"/>
      <c r="W334" s="45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41" t="s">
        <v>21</v>
      </c>
      <c r="B335" s="41" t="s">
        <v>22</v>
      </c>
      <c r="C335" s="41" t="s">
        <v>23</v>
      </c>
      <c r="D335" s="41" t="s">
        <v>24</v>
      </c>
      <c r="E335" s="41" t="s">
        <v>29</v>
      </c>
      <c r="F335" s="41" t="s">
        <v>25</v>
      </c>
      <c r="G335" s="41" t="s">
        <v>25</v>
      </c>
      <c r="H335" s="41" t="s">
        <v>25</v>
      </c>
      <c r="I335" s="60">
        <v>44682</v>
      </c>
      <c r="J335" s="61">
        <f>EFEITO!$J$335*EFEITO!$Y$290</f>
        <v>0</v>
      </c>
      <c r="K335" s="61">
        <f ca="1">EFEITO!$L$335*EFEITO!$Z$350</f>
        <v>7815.5156307336792</v>
      </c>
      <c r="L335" s="61">
        <f>EFEITO!$N$335*EFEITO!$AA$350</f>
        <v>7017.1377127644964</v>
      </c>
      <c r="M335" s="61">
        <f>$J$335-EFEITO!$K$335*EFEITO!$Y$335</f>
        <v>0</v>
      </c>
      <c r="N335" s="61">
        <f ca="1">$K$335-EFEITO!$M$335*EFEITO!$Z$335</f>
        <v>3126.2062522934721</v>
      </c>
      <c r="O335" s="61">
        <f>$L$335-EFEITO!$O$335*EFEITO!$AA$335</f>
        <v>2806.8550851057989</v>
      </c>
      <c r="P335" s="45"/>
      <c r="Q335" s="45"/>
      <c r="R335" s="45"/>
      <c r="S335" s="45"/>
      <c r="T335" s="45"/>
      <c r="U335" s="45"/>
      <c r="V335" s="45"/>
      <c r="W335" s="45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41" t="s">
        <v>21</v>
      </c>
      <c r="B336" s="41" t="s">
        <v>22</v>
      </c>
      <c r="C336" s="41" t="s">
        <v>23</v>
      </c>
      <c r="D336" s="41" t="s">
        <v>24</v>
      </c>
      <c r="E336" s="41" t="s">
        <v>29</v>
      </c>
      <c r="F336" s="41" t="s">
        <v>25</v>
      </c>
      <c r="G336" s="41" t="s">
        <v>25</v>
      </c>
      <c r="H336" s="41" t="s">
        <v>25</v>
      </c>
      <c r="I336" s="60">
        <v>44713</v>
      </c>
      <c r="J336" s="61">
        <f>EFEITO!$J$336*EFEITO!$Y$290</f>
        <v>0</v>
      </c>
      <c r="K336" s="61">
        <f ca="1">EFEITO!$L$336*EFEITO!$Z$350</f>
        <v>6394.4837127704386</v>
      </c>
      <c r="L336" s="61">
        <f>EFEITO!$N$336*EFEITO!$AA$350</f>
        <v>5741.2683864503424</v>
      </c>
      <c r="M336" s="61">
        <f>$J$336-EFEITO!$K$336*EFEITO!$Y$336</f>
        <v>0</v>
      </c>
      <c r="N336" s="61">
        <f ca="1">$K$336-EFEITO!$M$336*EFEITO!$Z$336</f>
        <v>2557.7934851081759</v>
      </c>
      <c r="O336" s="61">
        <f>$L$336-EFEITO!$O$336*EFEITO!$AA$336</f>
        <v>2296.5073545801374</v>
      </c>
      <c r="P336" s="45"/>
      <c r="Q336" s="45"/>
      <c r="R336" s="45"/>
      <c r="S336" s="45"/>
      <c r="T336" s="45"/>
      <c r="U336" s="45"/>
      <c r="V336" s="45"/>
      <c r="W336" s="45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41" t="s">
        <v>21</v>
      </c>
      <c r="B337" s="41" t="s">
        <v>22</v>
      </c>
      <c r="C337" s="41" t="s">
        <v>23</v>
      </c>
      <c r="D337" s="41" t="s">
        <v>24</v>
      </c>
      <c r="E337" s="41" t="s">
        <v>29</v>
      </c>
      <c r="F337" s="41" t="s">
        <v>25</v>
      </c>
      <c r="G337" s="41" t="s">
        <v>25</v>
      </c>
      <c r="H337" s="41" t="s">
        <v>25</v>
      </c>
      <c r="I337" s="60">
        <v>44743</v>
      </c>
      <c r="J337" s="61">
        <f>EFEITO!$J$337*EFEITO!$Y$290</f>
        <v>0</v>
      </c>
      <c r="K337" s="61">
        <f ca="1">EFEITO!$L$337*EFEITO!$Z$350</f>
        <v>7065.4999099090564</v>
      </c>
      <c r="L337" s="61">
        <f>EFEITO!$N$337*EFEITO!$AA$350</f>
        <v>6343.7383046603572</v>
      </c>
      <c r="M337" s="61">
        <f>$J$337-EFEITO!$K$337*EFEITO!$Y$337</f>
        <v>0</v>
      </c>
      <c r="N337" s="61">
        <f ca="1">$K$337-EFEITO!$M$337*EFEITO!$Z$337</f>
        <v>2826.1999639636224</v>
      </c>
      <c r="O337" s="61">
        <f>$L$337-EFEITO!$O$337*EFEITO!$AA$337</f>
        <v>2537.4953218641431</v>
      </c>
      <c r="P337" s="45"/>
      <c r="Q337" s="45"/>
      <c r="R337" s="45"/>
      <c r="S337" s="45"/>
      <c r="T337" s="45"/>
      <c r="U337" s="45"/>
      <c r="V337" s="45"/>
      <c r="W337" s="45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41" t="s">
        <v>21</v>
      </c>
      <c r="B338" s="41" t="s">
        <v>22</v>
      </c>
      <c r="C338" s="41" t="s">
        <v>23</v>
      </c>
      <c r="D338" s="41" t="s">
        <v>24</v>
      </c>
      <c r="E338" s="41" t="s">
        <v>30</v>
      </c>
      <c r="F338" s="41" t="s">
        <v>25</v>
      </c>
      <c r="G338" s="41" t="s">
        <v>25</v>
      </c>
      <c r="H338" s="41" t="s">
        <v>25</v>
      </c>
      <c r="I338" s="60">
        <v>44409</v>
      </c>
      <c r="J338" s="61">
        <f>EFEITO!$J$338*EFEITO!$Y$290</f>
        <v>0</v>
      </c>
      <c r="K338" s="61">
        <f ca="1">EFEITO!$L$338*EFEITO!$Z$350</f>
        <v>5724.1071878883877</v>
      </c>
      <c r="L338" s="61">
        <f>EFEITO!$N$338*EFEITO!$AA$350</f>
        <v>5139.3727960937213</v>
      </c>
      <c r="M338" s="61">
        <f>$J$338-EFEITO!$K$338*EFEITO!$Y$338</f>
        <v>0</v>
      </c>
      <c r="N338" s="61">
        <f ca="1">$K$338-EFEITO!$M$338*EFEITO!$Z$338</f>
        <v>572.4107187888394</v>
      </c>
      <c r="O338" s="61">
        <f>$L$338-EFEITO!$O$338*EFEITO!$AA$338</f>
        <v>513.93727960937213</v>
      </c>
      <c r="P338" s="45"/>
      <c r="Q338" s="45"/>
      <c r="R338" s="45"/>
      <c r="S338" s="45"/>
      <c r="T338" s="45"/>
      <c r="U338" s="45"/>
      <c r="V338" s="45"/>
      <c r="W338" s="45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41" t="s">
        <v>21</v>
      </c>
      <c r="B339" s="41" t="s">
        <v>22</v>
      </c>
      <c r="C339" s="41" t="s">
        <v>23</v>
      </c>
      <c r="D339" s="41" t="s">
        <v>24</v>
      </c>
      <c r="E339" s="41" t="s">
        <v>30</v>
      </c>
      <c r="F339" s="41" t="s">
        <v>25</v>
      </c>
      <c r="G339" s="41" t="s">
        <v>25</v>
      </c>
      <c r="H339" s="41" t="s">
        <v>25</v>
      </c>
      <c r="I339" s="60">
        <v>44440</v>
      </c>
      <c r="J339" s="61">
        <f>EFEITO!$J$339*EFEITO!$Y$290</f>
        <v>0</v>
      </c>
      <c r="K339" s="61">
        <f ca="1">EFEITO!$L$339*EFEITO!$Z$350</f>
        <v>6649.3931070123253</v>
      </c>
      <c r="L339" s="61">
        <f>EFEITO!$N$339*EFEITO!$AA$350</f>
        <v>5970.1380360277408</v>
      </c>
      <c r="M339" s="61">
        <f>$J$339-EFEITO!$K$339*EFEITO!$Y$339</f>
        <v>0</v>
      </c>
      <c r="N339" s="61">
        <f ca="1">$K$339-EFEITO!$M$339*EFEITO!$Z$339</f>
        <v>664.9393107012329</v>
      </c>
      <c r="O339" s="61">
        <f>$L$339-EFEITO!$O$339*EFEITO!$AA$339</f>
        <v>597.01380360277471</v>
      </c>
      <c r="P339" s="45"/>
      <c r="Q339" s="45"/>
      <c r="R339" s="45"/>
      <c r="S339" s="45"/>
      <c r="T339" s="45"/>
      <c r="U339" s="45"/>
      <c r="V339" s="45"/>
      <c r="W339" s="45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41" t="s">
        <v>21</v>
      </c>
      <c r="B340" s="41" t="s">
        <v>22</v>
      </c>
      <c r="C340" s="41" t="s">
        <v>23</v>
      </c>
      <c r="D340" s="41" t="s">
        <v>24</v>
      </c>
      <c r="E340" s="41" t="s">
        <v>30</v>
      </c>
      <c r="F340" s="41" t="s">
        <v>25</v>
      </c>
      <c r="G340" s="41" t="s">
        <v>25</v>
      </c>
      <c r="H340" s="41" t="s">
        <v>25</v>
      </c>
      <c r="I340" s="60">
        <v>44470</v>
      </c>
      <c r="J340" s="61">
        <f>EFEITO!$J$340*EFEITO!$Y$290</f>
        <v>0</v>
      </c>
      <c r="K340" s="61">
        <f ca="1">EFEITO!$L$340*EFEITO!$Z$350</f>
        <v>5602.2496230124043</v>
      </c>
      <c r="L340" s="61">
        <f>EFEITO!$N$340*EFEITO!$AA$350</f>
        <v>5029.9633400222174</v>
      </c>
      <c r="M340" s="61">
        <f>$J$340-EFEITO!$K$340*EFEITO!$Y$340</f>
        <v>0</v>
      </c>
      <c r="N340" s="61">
        <f ca="1">$K$340-EFEITO!$M$340*EFEITO!$Z$340</f>
        <v>560.22496230124034</v>
      </c>
      <c r="O340" s="61">
        <f>$L$340-EFEITO!$O$340*EFEITO!$AA$340</f>
        <v>502.99633400222228</v>
      </c>
      <c r="P340" s="45"/>
      <c r="Q340" s="45"/>
      <c r="R340" s="45"/>
      <c r="S340" s="45"/>
      <c r="T340" s="45"/>
      <c r="U340" s="45"/>
      <c r="V340" s="45"/>
      <c r="W340" s="45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41" t="s">
        <v>21</v>
      </c>
      <c r="B341" s="41" t="s">
        <v>22</v>
      </c>
      <c r="C341" s="41" t="s">
        <v>23</v>
      </c>
      <c r="D341" s="41" t="s">
        <v>24</v>
      </c>
      <c r="E341" s="41" t="s">
        <v>30</v>
      </c>
      <c r="F341" s="41" t="s">
        <v>25</v>
      </c>
      <c r="G341" s="41" t="s">
        <v>25</v>
      </c>
      <c r="H341" s="41" t="s">
        <v>25</v>
      </c>
      <c r="I341" s="60">
        <v>44501</v>
      </c>
      <c r="J341" s="61">
        <f>EFEITO!$J$341*EFEITO!$Y$290</f>
        <v>0</v>
      </c>
      <c r="K341" s="61">
        <f ca="1">EFEITO!$L$341*EFEITO!$Z$350</f>
        <v>5303.8425153239723</v>
      </c>
      <c r="L341" s="61">
        <f>EFEITO!$N$341*EFEITO!$AA$350</f>
        <v>4762.0393964140458</v>
      </c>
      <c r="M341" s="61">
        <f>$J$341-EFEITO!$K$341*EFEITO!$Y$341</f>
        <v>0</v>
      </c>
      <c r="N341" s="61">
        <f ca="1">$K$341-EFEITO!$M$341*EFEITO!$Z$341</f>
        <v>530.38425153239768</v>
      </c>
      <c r="O341" s="61">
        <f>$L$341-EFEITO!$O$341*EFEITO!$AA$341</f>
        <v>476.20393964140476</v>
      </c>
      <c r="P341" s="45"/>
      <c r="Q341" s="45"/>
      <c r="R341" s="45"/>
      <c r="S341" s="45"/>
      <c r="T341" s="45"/>
      <c r="U341" s="45"/>
      <c r="V341" s="45"/>
      <c r="W341" s="45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41" t="s">
        <v>21</v>
      </c>
      <c r="B342" s="41" t="s">
        <v>22</v>
      </c>
      <c r="C342" s="41" t="s">
        <v>23</v>
      </c>
      <c r="D342" s="41" t="s">
        <v>24</v>
      </c>
      <c r="E342" s="41" t="s">
        <v>30</v>
      </c>
      <c r="F342" s="41" t="s">
        <v>25</v>
      </c>
      <c r="G342" s="41" t="s">
        <v>25</v>
      </c>
      <c r="H342" s="41" t="s">
        <v>25</v>
      </c>
      <c r="I342" s="60">
        <v>44531</v>
      </c>
      <c r="J342" s="61">
        <f>EFEITO!$J$342*EFEITO!$Y$290</f>
        <v>0</v>
      </c>
      <c r="K342" s="61">
        <f ca="1">EFEITO!$L$342*EFEITO!$Z$350</f>
        <v>6601.0978516415289</v>
      </c>
      <c r="L342" s="61">
        <f>EFEITO!$N$342*EFEITO!$AA$350</f>
        <v>5926.7762830965148</v>
      </c>
      <c r="M342" s="61">
        <f>$J$342-EFEITO!$K$342*EFEITO!$Y$342</f>
        <v>0</v>
      </c>
      <c r="N342" s="61">
        <f ca="1">$K$342-EFEITO!$M$342*EFEITO!$Z$342</f>
        <v>660.10978516415344</v>
      </c>
      <c r="O342" s="61">
        <f>$L$342-EFEITO!$O$342*EFEITO!$AA$342</f>
        <v>592.67762830965148</v>
      </c>
      <c r="P342" s="45"/>
      <c r="Q342" s="45"/>
      <c r="R342" s="45"/>
      <c r="S342" s="45"/>
      <c r="T342" s="45"/>
      <c r="U342" s="45"/>
      <c r="V342" s="45"/>
      <c r="W342" s="45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41" t="s">
        <v>21</v>
      </c>
      <c r="B343" s="41" t="s">
        <v>22</v>
      </c>
      <c r="C343" s="41" t="s">
        <v>23</v>
      </c>
      <c r="D343" s="41" t="s">
        <v>24</v>
      </c>
      <c r="E343" s="41" t="s">
        <v>30</v>
      </c>
      <c r="F343" s="41" t="s">
        <v>25</v>
      </c>
      <c r="G343" s="41" t="s">
        <v>25</v>
      </c>
      <c r="H343" s="41" t="s">
        <v>25</v>
      </c>
      <c r="I343" s="60">
        <v>44562</v>
      </c>
      <c r="J343" s="61">
        <f>EFEITO!$J$343*EFEITO!$Y$290</f>
        <v>0</v>
      </c>
      <c r="K343" s="61">
        <f ca="1">EFEITO!$L$343*EFEITO!$Z$350</f>
        <v>6266.8690975853542</v>
      </c>
      <c r="L343" s="61">
        <f>EFEITO!$N$343*EFEITO!$AA$350</f>
        <v>5626.6899796982952</v>
      </c>
      <c r="M343" s="61">
        <f>$J$343-EFEITO!$K$343*EFEITO!$Y$343</f>
        <v>0</v>
      </c>
      <c r="N343" s="61">
        <f ca="1">$K$343-EFEITO!$M$343*EFEITO!$Z$343</f>
        <v>626.68690975853588</v>
      </c>
      <c r="O343" s="61">
        <f>$L$343-EFEITO!$O$343*EFEITO!$AA$343</f>
        <v>562.66899796982943</v>
      </c>
      <c r="P343" s="45"/>
      <c r="Q343" s="45"/>
      <c r="R343" s="45"/>
      <c r="S343" s="45"/>
      <c r="T343" s="45"/>
      <c r="U343" s="45"/>
      <c r="V343" s="45"/>
      <c r="W343" s="45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41" t="s">
        <v>21</v>
      </c>
      <c r="B344" s="41" t="s">
        <v>22</v>
      </c>
      <c r="C344" s="41" t="s">
        <v>23</v>
      </c>
      <c r="D344" s="41" t="s">
        <v>24</v>
      </c>
      <c r="E344" s="41" t="s">
        <v>30</v>
      </c>
      <c r="F344" s="41" t="s">
        <v>25</v>
      </c>
      <c r="G344" s="41" t="s">
        <v>25</v>
      </c>
      <c r="H344" s="41" t="s">
        <v>25</v>
      </c>
      <c r="I344" s="60">
        <v>44593</v>
      </c>
      <c r="J344" s="61">
        <f>EFEITO!$J$344*EFEITO!$Y$290</f>
        <v>0</v>
      </c>
      <c r="K344" s="61">
        <f ca="1">EFEITO!$L$344*EFEITO!$Z$350</f>
        <v>8555.6164315815149</v>
      </c>
      <c r="L344" s="61">
        <f>EFEITO!$N$344*EFEITO!$AA$350</f>
        <v>7681.6350391410324</v>
      </c>
      <c r="M344" s="61">
        <f>$J$344-EFEITO!$K$344*EFEITO!$Y$344</f>
        <v>0</v>
      </c>
      <c r="N344" s="61">
        <f ca="1">$K$344-EFEITO!$M$344*EFEITO!$Z$344</f>
        <v>855.56164315815113</v>
      </c>
      <c r="O344" s="61">
        <f>$L$344-EFEITO!$O$344*EFEITO!$AA$344</f>
        <v>768.16350391410288</v>
      </c>
      <c r="P344" s="45"/>
      <c r="Q344" s="45"/>
      <c r="R344" s="45"/>
      <c r="S344" s="45"/>
      <c r="T344" s="45"/>
      <c r="U344" s="45"/>
      <c r="V344" s="45"/>
      <c r="W344" s="45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41" t="s">
        <v>21</v>
      </c>
      <c r="B345" s="41" t="s">
        <v>22</v>
      </c>
      <c r="C345" s="41" t="s">
        <v>23</v>
      </c>
      <c r="D345" s="41" t="s">
        <v>24</v>
      </c>
      <c r="E345" s="41" t="s">
        <v>30</v>
      </c>
      <c r="F345" s="41" t="s">
        <v>25</v>
      </c>
      <c r="G345" s="41" t="s">
        <v>25</v>
      </c>
      <c r="H345" s="41" t="s">
        <v>25</v>
      </c>
      <c r="I345" s="60">
        <v>44621</v>
      </c>
      <c r="J345" s="61">
        <f>EFEITO!$J$345*EFEITO!$Y$290</f>
        <v>0</v>
      </c>
      <c r="K345" s="61">
        <f ca="1">EFEITO!$L$345*EFEITO!$Z$350</f>
        <v>8225.5455471930254</v>
      </c>
      <c r="L345" s="61">
        <f>EFEITO!$N$345*EFEITO!$AA$350</f>
        <v>7385.2818667898719</v>
      </c>
      <c r="M345" s="61">
        <f>$J$345-EFEITO!$K$345*EFEITO!$Y$345</f>
        <v>0</v>
      </c>
      <c r="N345" s="61">
        <f ca="1">$K$345-EFEITO!$M$345*EFEITO!$Z$345</f>
        <v>822.55455471930327</v>
      </c>
      <c r="O345" s="61">
        <f>$L$345-EFEITO!$O$345*EFEITO!$AA$345</f>
        <v>738.52818667898737</v>
      </c>
      <c r="P345" s="45"/>
      <c r="Q345" s="45"/>
      <c r="R345" s="45"/>
      <c r="S345" s="45"/>
      <c r="T345" s="45"/>
      <c r="U345" s="45"/>
      <c r="V345" s="45"/>
      <c r="W345" s="45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41" t="s">
        <v>21</v>
      </c>
      <c r="B346" s="41" t="s">
        <v>22</v>
      </c>
      <c r="C346" s="41" t="s">
        <v>23</v>
      </c>
      <c r="D346" s="41" t="s">
        <v>24</v>
      </c>
      <c r="E346" s="41" t="s">
        <v>30</v>
      </c>
      <c r="F346" s="41" t="s">
        <v>25</v>
      </c>
      <c r="G346" s="41" t="s">
        <v>25</v>
      </c>
      <c r="H346" s="41" t="s">
        <v>25</v>
      </c>
      <c r="I346" s="60">
        <v>44652</v>
      </c>
      <c r="J346" s="61">
        <f>EFEITO!$J$346*EFEITO!$Y$290</f>
        <v>0</v>
      </c>
      <c r="K346" s="61">
        <f ca="1">EFEITO!$L$346*EFEITO!$Z$350</f>
        <v>7270.5148681387291</v>
      </c>
      <c r="L346" s="61">
        <f>EFEITO!$N$346*EFEITO!$AA$350</f>
        <v>6527.8103816730454</v>
      </c>
      <c r="M346" s="61">
        <f>$J$346-EFEITO!$K$346*EFEITO!$Y$346</f>
        <v>0</v>
      </c>
      <c r="N346" s="61">
        <f ca="1">$K$346-EFEITO!$M$346*EFEITO!$Z$346</f>
        <v>727.05148681387345</v>
      </c>
      <c r="O346" s="61">
        <f>$L$346-EFEITO!$O$346*EFEITO!$AA$346</f>
        <v>652.78103816730527</v>
      </c>
      <c r="P346" s="45"/>
      <c r="Q346" s="45"/>
      <c r="R346" s="45"/>
      <c r="S346" s="45"/>
      <c r="T346" s="45"/>
      <c r="U346" s="45"/>
      <c r="V346" s="45"/>
      <c r="W346" s="45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41" t="s">
        <v>21</v>
      </c>
      <c r="B347" s="41" t="s">
        <v>22</v>
      </c>
      <c r="C347" s="41" t="s">
        <v>23</v>
      </c>
      <c r="D347" s="41" t="s">
        <v>24</v>
      </c>
      <c r="E347" s="41" t="s">
        <v>30</v>
      </c>
      <c r="F347" s="41" t="s">
        <v>25</v>
      </c>
      <c r="G347" s="41" t="s">
        <v>25</v>
      </c>
      <c r="H347" s="41" t="s">
        <v>25</v>
      </c>
      <c r="I347" s="60">
        <v>44682</v>
      </c>
      <c r="J347" s="61">
        <f>EFEITO!$J$347*EFEITO!$Y$290</f>
        <v>0</v>
      </c>
      <c r="K347" s="61">
        <f ca="1">EFEITO!$L$347*EFEITO!$Z$350</f>
        <v>6787.8821505590467</v>
      </c>
      <c r="L347" s="61">
        <f>EFEITO!$N$347*EFEITO!$AA$350</f>
        <v>6094.4800162874817</v>
      </c>
      <c r="M347" s="61">
        <f>$J$347-EFEITO!$K$347*EFEITO!$Y$347</f>
        <v>0</v>
      </c>
      <c r="N347" s="61">
        <f ca="1">$K$347-EFEITO!$M$347*EFEITO!$Z$347</f>
        <v>678.78821505590531</v>
      </c>
      <c r="O347" s="61">
        <f>$L$347-EFEITO!$O$347*EFEITO!$AA$347</f>
        <v>609.4480016287489</v>
      </c>
      <c r="P347" s="45"/>
      <c r="Q347" s="45"/>
      <c r="R347" s="45"/>
      <c r="S347" s="45"/>
      <c r="T347" s="45"/>
      <c r="U347" s="45"/>
      <c r="V347" s="45"/>
      <c r="W347" s="45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41" t="s">
        <v>21</v>
      </c>
      <c r="B348" s="41" t="s">
        <v>22</v>
      </c>
      <c r="C348" s="41" t="s">
        <v>23</v>
      </c>
      <c r="D348" s="41" t="s">
        <v>24</v>
      </c>
      <c r="E348" s="41" t="s">
        <v>30</v>
      </c>
      <c r="F348" s="41" t="s">
        <v>25</v>
      </c>
      <c r="G348" s="41" t="s">
        <v>25</v>
      </c>
      <c r="H348" s="41" t="s">
        <v>25</v>
      </c>
      <c r="I348" s="60">
        <v>44713</v>
      </c>
      <c r="J348" s="61">
        <f>EFEITO!$J$348*EFEITO!$Y$290</f>
        <v>0</v>
      </c>
      <c r="K348" s="61">
        <f ca="1">EFEITO!$L$348*EFEITO!$Z$350</f>
        <v>5889.1426300826333</v>
      </c>
      <c r="L348" s="61">
        <f>EFEITO!$N$348*EFEITO!$AA$350</f>
        <v>5287.5493822693024</v>
      </c>
      <c r="M348" s="61">
        <f>$J$348-EFEITO!$K$348*EFEITO!$Y$348</f>
        <v>0</v>
      </c>
      <c r="N348" s="61">
        <f ca="1">$K$348-EFEITO!$M$348*EFEITO!$Z$348</f>
        <v>588.91426300826333</v>
      </c>
      <c r="O348" s="61">
        <f>$L$348-EFEITO!$O$348*EFEITO!$AA$348</f>
        <v>528.75493822693079</v>
      </c>
      <c r="P348" s="45"/>
      <c r="Q348" s="45"/>
      <c r="R348" s="45"/>
      <c r="S348" s="45"/>
      <c r="T348" s="45"/>
      <c r="U348" s="45"/>
      <c r="V348" s="45"/>
      <c r="W348" s="45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41" t="s">
        <v>21</v>
      </c>
      <c r="B349" s="41" t="s">
        <v>22</v>
      </c>
      <c r="C349" s="41" t="s">
        <v>23</v>
      </c>
      <c r="D349" s="41" t="s">
        <v>24</v>
      </c>
      <c r="E349" s="41" t="s">
        <v>30</v>
      </c>
      <c r="F349" s="41" t="s">
        <v>25</v>
      </c>
      <c r="G349" s="41" t="s">
        <v>25</v>
      </c>
      <c r="H349" s="41" t="s">
        <v>25</v>
      </c>
      <c r="I349" s="60">
        <v>44743</v>
      </c>
      <c r="J349" s="61">
        <f>EFEITO!$J$349*EFEITO!$Y$290</f>
        <v>0</v>
      </c>
      <c r="K349" s="61">
        <f ca="1">EFEITO!$L$349*EFEITO!$Z$350</f>
        <v>6609.7334271051814</v>
      </c>
      <c r="L349" s="61">
        <f>EFEITO!$N$349*EFEITO!$AA$350</f>
        <v>5934.5297091173306</v>
      </c>
      <c r="M349" s="61">
        <f>$J$349-EFEITO!$K$349*EFEITO!$Y$349</f>
        <v>0</v>
      </c>
      <c r="N349" s="61">
        <f ca="1">$K$349-EFEITO!$M$349*EFEITO!$Z$349</f>
        <v>660.97334271051841</v>
      </c>
      <c r="O349" s="61">
        <f>$L$349-EFEITO!$O$349*EFEITO!$AA$349</f>
        <v>593.45297091173325</v>
      </c>
      <c r="P349" s="45"/>
      <c r="Q349" s="45"/>
      <c r="R349" s="45"/>
      <c r="S349" s="45"/>
      <c r="T349" s="45"/>
      <c r="U349" s="45"/>
      <c r="V349" s="45"/>
      <c r="W349" s="45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41" t="s">
        <v>21</v>
      </c>
      <c r="B350" s="41" t="s">
        <v>22</v>
      </c>
      <c r="C350" s="41" t="s">
        <v>23</v>
      </c>
      <c r="D350" s="41" t="s">
        <v>24</v>
      </c>
      <c r="E350" s="41" t="s">
        <v>31</v>
      </c>
      <c r="F350" s="41" t="s">
        <v>25</v>
      </c>
      <c r="G350" s="41" t="s">
        <v>25</v>
      </c>
      <c r="H350" s="41" t="s">
        <v>25</v>
      </c>
      <c r="I350" s="60">
        <v>44409</v>
      </c>
      <c r="J350" s="61">
        <f>EFEITO!$J$350*EFEITO!$Y$290</f>
        <v>0</v>
      </c>
      <c r="K350" s="61">
        <f ca="1">EFEITO!$L$350*EFEITO!$Z$350</f>
        <v>1913.5795555197087</v>
      </c>
      <c r="L350" s="61">
        <f>EFEITO!$N$350*EFEITO!$AA$350</f>
        <v>1718.1017734273196</v>
      </c>
      <c r="M350" s="61">
        <f>$J$350-EFEITO!$K$350*EFEITO!$Y$350</f>
        <v>0</v>
      </c>
      <c r="N350" s="61">
        <f ca="1">$K$350-EFEITO!$M$350*EFEITO!$Z$350</f>
        <v>0</v>
      </c>
      <c r="O350" s="61">
        <f>$L$350-EFEITO!$O$350*EFEITO!$AA$350</f>
        <v>0</v>
      </c>
      <c r="P350" s="45"/>
      <c r="Q350" s="45"/>
      <c r="R350" s="45"/>
      <c r="S350" s="45"/>
      <c r="T350" s="45"/>
      <c r="U350" s="45"/>
      <c r="V350" s="45"/>
      <c r="W350" s="45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41" t="s">
        <v>21</v>
      </c>
      <c r="B351" s="41" t="s">
        <v>22</v>
      </c>
      <c r="C351" s="41" t="s">
        <v>23</v>
      </c>
      <c r="D351" s="41" t="s">
        <v>24</v>
      </c>
      <c r="E351" s="41" t="s">
        <v>31</v>
      </c>
      <c r="F351" s="41" t="s">
        <v>25</v>
      </c>
      <c r="G351" s="41" t="s">
        <v>25</v>
      </c>
      <c r="H351" s="41" t="s">
        <v>25</v>
      </c>
      <c r="I351" s="60">
        <v>44440</v>
      </c>
      <c r="J351" s="61">
        <f>EFEITO!$J$351*EFEITO!$Y$290</f>
        <v>0</v>
      </c>
      <c r="K351" s="61">
        <f ca="1">EFEITO!$L$351*EFEITO!$Z$350</f>
        <v>2431.3942472105678</v>
      </c>
      <c r="L351" s="61">
        <f>EFEITO!$N$351*EFEITO!$AA$350</f>
        <v>2183.0201707495376</v>
      </c>
      <c r="M351" s="61">
        <f>$J$351-EFEITO!$K$351*EFEITO!$Y$351</f>
        <v>0</v>
      </c>
      <c r="N351" s="61">
        <f ca="1">$K$351-EFEITO!$M$351*EFEITO!$Z$351</f>
        <v>0</v>
      </c>
      <c r="O351" s="61">
        <f>$L$351-EFEITO!$O$351*EFEITO!$AA$351</f>
        <v>0</v>
      </c>
      <c r="P351" s="45"/>
      <c r="Q351" s="45"/>
      <c r="R351" s="45"/>
      <c r="S351" s="45"/>
      <c r="T351" s="45"/>
      <c r="U351" s="45"/>
      <c r="V351" s="45"/>
      <c r="W351" s="45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41" t="s">
        <v>21</v>
      </c>
      <c r="B352" s="41" t="s">
        <v>22</v>
      </c>
      <c r="C352" s="41" t="s">
        <v>23</v>
      </c>
      <c r="D352" s="41" t="s">
        <v>24</v>
      </c>
      <c r="E352" s="41" t="s">
        <v>31</v>
      </c>
      <c r="F352" s="41" t="s">
        <v>25</v>
      </c>
      <c r="G352" s="41" t="s">
        <v>25</v>
      </c>
      <c r="H352" s="41" t="s">
        <v>25</v>
      </c>
      <c r="I352" s="60">
        <v>44470</v>
      </c>
      <c r="J352" s="61">
        <f>EFEITO!$J$352*EFEITO!$Y$290</f>
        <v>0</v>
      </c>
      <c r="K352" s="61">
        <f ca="1">EFEITO!$L$352*EFEITO!$Z$350</f>
        <v>1467.7279926926199</v>
      </c>
      <c r="L352" s="61">
        <f>EFEITO!$N$352*EFEITO!$AA$350</f>
        <v>1317.7952596118955</v>
      </c>
      <c r="M352" s="61">
        <f>$J$352-EFEITO!$K$352*EFEITO!$Y$352</f>
        <v>0</v>
      </c>
      <c r="N352" s="61">
        <f ca="1">$K$352-EFEITO!$M$352*EFEITO!$Z$352</f>
        <v>0</v>
      </c>
      <c r="O352" s="61">
        <f>$L$352-EFEITO!$O$352*EFEITO!$AA$352</f>
        <v>0</v>
      </c>
      <c r="P352" s="45"/>
      <c r="Q352" s="45"/>
      <c r="R352" s="45"/>
      <c r="S352" s="45"/>
      <c r="T352" s="45"/>
      <c r="U352" s="45"/>
      <c r="V352" s="45"/>
      <c r="W352" s="45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41" t="s">
        <v>21</v>
      </c>
      <c r="B353" s="41" t="s">
        <v>22</v>
      </c>
      <c r="C353" s="41" t="s">
        <v>23</v>
      </c>
      <c r="D353" s="41" t="s">
        <v>24</v>
      </c>
      <c r="E353" s="41" t="s">
        <v>31</v>
      </c>
      <c r="F353" s="41" t="s">
        <v>25</v>
      </c>
      <c r="G353" s="41" t="s">
        <v>25</v>
      </c>
      <c r="H353" s="41" t="s">
        <v>25</v>
      </c>
      <c r="I353" s="60">
        <v>44501</v>
      </c>
      <c r="J353" s="61">
        <f>EFEITO!$J$353*EFEITO!$Y$290</f>
        <v>0</v>
      </c>
      <c r="K353" s="61">
        <f ca="1">EFEITO!$L$353*EFEITO!$Z$350</f>
        <v>1199.7053171911127</v>
      </c>
      <c r="L353" s="61">
        <f>EFEITO!$N$353*EFEITO!$AA$350</f>
        <v>1077.1518890399257</v>
      </c>
      <c r="M353" s="61">
        <f>$J$353-EFEITO!$K$353*EFEITO!$Y$353</f>
        <v>0</v>
      </c>
      <c r="N353" s="61">
        <f ca="1">$K$353-EFEITO!$M$353*EFEITO!$Z$353</f>
        <v>0</v>
      </c>
      <c r="O353" s="61">
        <f>$L$353-EFEITO!$O$353*EFEITO!$AA$353</f>
        <v>0</v>
      </c>
      <c r="P353" s="45"/>
      <c r="Q353" s="45"/>
      <c r="R353" s="45"/>
      <c r="S353" s="45"/>
      <c r="T353" s="45"/>
      <c r="U353" s="45"/>
      <c r="V353" s="45"/>
      <c r="W353" s="45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41" t="s">
        <v>21</v>
      </c>
      <c r="B354" s="41" t="s">
        <v>22</v>
      </c>
      <c r="C354" s="41" t="s">
        <v>23</v>
      </c>
      <c r="D354" s="41" t="s">
        <v>24</v>
      </c>
      <c r="E354" s="41" t="s">
        <v>31</v>
      </c>
      <c r="F354" s="41" t="s">
        <v>25</v>
      </c>
      <c r="G354" s="41" t="s">
        <v>25</v>
      </c>
      <c r="H354" s="41" t="s">
        <v>25</v>
      </c>
      <c r="I354" s="60">
        <v>44531</v>
      </c>
      <c r="J354" s="61">
        <f>EFEITO!$J$354*EFEITO!$Y$290</f>
        <v>0</v>
      </c>
      <c r="K354" s="61">
        <f ca="1">EFEITO!$L$354*EFEITO!$Z$350</f>
        <v>2419.2404743357974</v>
      </c>
      <c r="L354" s="61">
        <f>EFEITO!$N$354*EFEITO!$AA$350</f>
        <v>2172.1079415350569</v>
      </c>
      <c r="M354" s="61">
        <f>$J$354-EFEITO!$K$354*EFEITO!$Y$354</f>
        <v>0</v>
      </c>
      <c r="N354" s="61">
        <f ca="1">$K$354-EFEITO!$M$354*EFEITO!$Z$354</f>
        <v>0</v>
      </c>
      <c r="O354" s="61">
        <f>$L$354-EFEITO!$O$354*EFEITO!$AA$354</f>
        <v>0</v>
      </c>
      <c r="P354" s="45"/>
      <c r="Q354" s="45"/>
      <c r="R354" s="45"/>
      <c r="S354" s="45"/>
      <c r="T354" s="45"/>
      <c r="U354" s="45"/>
      <c r="V354" s="45"/>
      <c r="W354" s="45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41" t="s">
        <v>21</v>
      </c>
      <c r="B355" s="41" t="s">
        <v>22</v>
      </c>
      <c r="C355" s="41" t="s">
        <v>23</v>
      </c>
      <c r="D355" s="41" t="s">
        <v>24</v>
      </c>
      <c r="E355" s="41" t="s">
        <v>31</v>
      </c>
      <c r="F355" s="41" t="s">
        <v>25</v>
      </c>
      <c r="G355" s="41" t="s">
        <v>25</v>
      </c>
      <c r="H355" s="41" t="s">
        <v>25</v>
      </c>
      <c r="I355" s="60">
        <v>44562</v>
      </c>
      <c r="J355" s="61">
        <f>EFEITO!$J$355*EFEITO!$Y$290</f>
        <v>0</v>
      </c>
      <c r="K355" s="61">
        <f ca="1">EFEITO!$L$355*EFEITO!$Z$350</f>
        <v>2140.3433704726544</v>
      </c>
      <c r="L355" s="61">
        <f>EFEITO!$N$355*EFEITO!$AA$350</f>
        <v>1921.7009974553941</v>
      </c>
      <c r="M355" s="61">
        <f>$J$355-EFEITO!$K$355*EFEITO!$Y$355</f>
        <v>0</v>
      </c>
      <c r="N355" s="61">
        <f ca="1">$K$355-EFEITO!$M$355*EFEITO!$Z$355</f>
        <v>0</v>
      </c>
      <c r="O355" s="61">
        <f>$L$355-EFEITO!$O$355*EFEITO!$AA$355</f>
        <v>0</v>
      </c>
      <c r="P355" s="45"/>
      <c r="Q355" s="45"/>
      <c r="R355" s="45"/>
      <c r="S355" s="45"/>
      <c r="T355" s="45"/>
      <c r="U355" s="45"/>
      <c r="V355" s="45"/>
      <c r="W355" s="45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41" t="s">
        <v>21</v>
      </c>
      <c r="B356" s="41" t="s">
        <v>22</v>
      </c>
      <c r="C356" s="41" t="s">
        <v>23</v>
      </c>
      <c r="D356" s="41" t="s">
        <v>24</v>
      </c>
      <c r="E356" s="41" t="s">
        <v>31</v>
      </c>
      <c r="F356" s="41" t="s">
        <v>25</v>
      </c>
      <c r="G356" s="41" t="s">
        <v>25</v>
      </c>
      <c r="H356" s="41" t="s">
        <v>25</v>
      </c>
      <c r="I356" s="60">
        <v>44593</v>
      </c>
      <c r="J356" s="61">
        <f>EFEITO!$J$356*EFEITO!$Y$290</f>
        <v>0</v>
      </c>
      <c r="K356" s="61">
        <f ca="1">EFEITO!$L$356*EFEITO!$Z$350</f>
        <v>5094.9895235548984</v>
      </c>
      <c r="L356" s="61">
        <f>EFEITO!$N$356*EFEITO!$AA$350</f>
        <v>4574.5213522809963</v>
      </c>
      <c r="M356" s="61">
        <f>$J$356-EFEITO!$K$356*EFEITO!$Y$356</f>
        <v>0</v>
      </c>
      <c r="N356" s="61">
        <f ca="1">$K$356-EFEITO!$M$356*EFEITO!$Z$356</f>
        <v>0</v>
      </c>
      <c r="O356" s="61">
        <f>$L$356-EFEITO!$O$356*EFEITO!$AA$356</f>
        <v>0</v>
      </c>
      <c r="P356" s="45"/>
      <c r="Q356" s="45"/>
      <c r="R356" s="45"/>
      <c r="S356" s="45"/>
      <c r="T356" s="45"/>
      <c r="U356" s="45"/>
      <c r="V356" s="45"/>
      <c r="W356" s="45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41" t="s">
        <v>21</v>
      </c>
      <c r="B357" s="41" t="s">
        <v>22</v>
      </c>
      <c r="C357" s="41" t="s">
        <v>23</v>
      </c>
      <c r="D357" s="41" t="s">
        <v>24</v>
      </c>
      <c r="E357" s="41" t="s">
        <v>31</v>
      </c>
      <c r="F357" s="41" t="s">
        <v>25</v>
      </c>
      <c r="G357" s="41" t="s">
        <v>25</v>
      </c>
      <c r="H357" s="41" t="s">
        <v>25</v>
      </c>
      <c r="I357" s="60">
        <v>44621</v>
      </c>
      <c r="J357" s="61">
        <f>EFEITO!$J$357*EFEITO!$Y$290</f>
        <v>0</v>
      </c>
      <c r="K357" s="61">
        <f ca="1">EFEITO!$L$357*EFEITO!$Z$350</f>
        <v>3978.761435845759</v>
      </c>
      <c r="L357" s="61">
        <f>EFEITO!$N$357*EFEITO!$AA$350</f>
        <v>3572.3192481089513</v>
      </c>
      <c r="M357" s="61">
        <f>$J$357-EFEITO!$K$357*EFEITO!$Y$357</f>
        <v>0</v>
      </c>
      <c r="N357" s="61">
        <f ca="1">$K$357-EFEITO!$M$357*EFEITO!$Z$357</f>
        <v>0</v>
      </c>
      <c r="O357" s="61">
        <f>$L$357-EFEITO!$O$357*EFEITO!$AA$357</f>
        <v>0</v>
      </c>
      <c r="P357" s="45"/>
      <c r="Q357" s="45"/>
      <c r="R357" s="45"/>
      <c r="S357" s="45"/>
      <c r="T357" s="45"/>
      <c r="U357" s="45"/>
      <c r="V357" s="45"/>
      <c r="W357" s="45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41" t="s">
        <v>21</v>
      </c>
      <c r="B358" s="41" t="s">
        <v>22</v>
      </c>
      <c r="C358" s="41" t="s">
        <v>23</v>
      </c>
      <c r="D358" s="41" t="s">
        <v>24</v>
      </c>
      <c r="E358" s="41" t="s">
        <v>31</v>
      </c>
      <c r="F358" s="41" t="s">
        <v>25</v>
      </c>
      <c r="G358" s="41" t="s">
        <v>25</v>
      </c>
      <c r="H358" s="41" t="s">
        <v>25</v>
      </c>
      <c r="I358" s="60">
        <v>44652</v>
      </c>
      <c r="J358" s="61">
        <f>EFEITO!$J$358*EFEITO!$Y$290</f>
        <v>0</v>
      </c>
      <c r="K358" s="61">
        <f ca="1">EFEITO!$L$358*EFEITO!$Z$350</f>
        <v>2283.9497920719105</v>
      </c>
      <c r="L358" s="61">
        <f>EFEITO!$N$358*EFEITO!$AA$350</f>
        <v>2050.6376005422849</v>
      </c>
      <c r="M358" s="61">
        <f>$J$358-EFEITO!$K$358*EFEITO!$Y$358</f>
        <v>0</v>
      </c>
      <c r="N358" s="61">
        <f ca="1">$K$358-EFEITO!$M$358*EFEITO!$Z$358</f>
        <v>0</v>
      </c>
      <c r="O358" s="61">
        <f>$L$358-EFEITO!$O$358*EFEITO!$AA$358</f>
        <v>0</v>
      </c>
      <c r="P358" s="45"/>
      <c r="Q358" s="45"/>
      <c r="R358" s="45"/>
      <c r="S358" s="45"/>
      <c r="T358" s="45"/>
      <c r="U358" s="45"/>
      <c r="V358" s="45"/>
      <c r="W358" s="45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41" t="s">
        <v>21</v>
      </c>
      <c r="B359" s="41" t="s">
        <v>22</v>
      </c>
      <c r="C359" s="41" t="s">
        <v>23</v>
      </c>
      <c r="D359" s="41" t="s">
        <v>24</v>
      </c>
      <c r="E359" s="41" t="s">
        <v>31</v>
      </c>
      <c r="F359" s="41" t="s">
        <v>25</v>
      </c>
      <c r="G359" s="41" t="s">
        <v>25</v>
      </c>
      <c r="H359" s="41" t="s">
        <v>25</v>
      </c>
      <c r="I359" s="60">
        <v>44682</v>
      </c>
      <c r="J359" s="61">
        <f>EFEITO!$J$359*EFEITO!$Y$290</f>
        <v>0</v>
      </c>
      <c r="K359" s="61">
        <f ca="1">EFEITO!$L$359*EFEITO!$Z$350</f>
        <v>1731.2729623981588</v>
      </c>
      <c r="L359" s="61">
        <f>EFEITO!$N$359*EFEITO!$AA$350</f>
        <v>1554.4183352101088</v>
      </c>
      <c r="M359" s="61">
        <f>$J$359-EFEITO!$K$359*EFEITO!$Y$359</f>
        <v>0</v>
      </c>
      <c r="N359" s="61">
        <f ca="1">$K$359-EFEITO!$M$359*EFEITO!$Z$359</f>
        <v>0</v>
      </c>
      <c r="O359" s="61">
        <f>$L$359-EFEITO!$O$359*EFEITO!$AA$359</f>
        <v>0</v>
      </c>
      <c r="P359" s="45"/>
      <c r="Q359" s="45"/>
      <c r="R359" s="45"/>
      <c r="S359" s="45"/>
      <c r="T359" s="45"/>
      <c r="U359" s="45"/>
      <c r="V359" s="45"/>
      <c r="W359" s="45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41" t="s">
        <v>21</v>
      </c>
      <c r="B360" s="41" t="s">
        <v>22</v>
      </c>
      <c r="C360" s="41" t="s">
        <v>23</v>
      </c>
      <c r="D360" s="41" t="s">
        <v>24</v>
      </c>
      <c r="E360" s="41" t="s">
        <v>31</v>
      </c>
      <c r="F360" s="41" t="s">
        <v>25</v>
      </c>
      <c r="G360" s="41" t="s">
        <v>25</v>
      </c>
      <c r="H360" s="41" t="s">
        <v>25</v>
      </c>
      <c r="I360" s="60">
        <v>44713</v>
      </c>
      <c r="J360" s="61">
        <f>EFEITO!$J$360*EFEITO!$Y$290</f>
        <v>0</v>
      </c>
      <c r="K360" s="61">
        <f ca="1">EFEITO!$L$360*EFEITO!$Z$350</f>
        <v>1956.7574328379708</v>
      </c>
      <c r="L360" s="61">
        <f>EFEITO!$N$360*EFEITO!$AA$350</f>
        <v>1756.868903531396</v>
      </c>
      <c r="M360" s="61">
        <f>$J$360-EFEITO!$K$360*EFEITO!$Y$360</f>
        <v>0</v>
      </c>
      <c r="N360" s="61">
        <f ca="1">$K$360-EFEITO!$M$360*EFEITO!$Z$360</f>
        <v>0</v>
      </c>
      <c r="O360" s="61">
        <f>$L$360-EFEITO!$O$360*EFEITO!$AA$360</f>
        <v>0</v>
      </c>
      <c r="P360" s="45"/>
      <c r="Q360" s="45"/>
      <c r="R360" s="45"/>
      <c r="S360" s="45"/>
      <c r="T360" s="45"/>
      <c r="U360" s="45"/>
      <c r="V360" s="45"/>
      <c r="W360" s="45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41" t="s">
        <v>21</v>
      </c>
      <c r="B361" s="41" t="s">
        <v>22</v>
      </c>
      <c r="C361" s="41" t="s">
        <v>23</v>
      </c>
      <c r="D361" s="41" t="s">
        <v>24</v>
      </c>
      <c r="E361" s="41" t="s">
        <v>31</v>
      </c>
      <c r="F361" s="41" t="s">
        <v>25</v>
      </c>
      <c r="G361" s="41" t="s">
        <v>25</v>
      </c>
      <c r="H361" s="41" t="s">
        <v>25</v>
      </c>
      <c r="I361" s="60">
        <v>44743</v>
      </c>
      <c r="J361" s="61">
        <f>EFEITO!$J$361*EFEITO!$Y$290</f>
        <v>0</v>
      </c>
      <c r="K361" s="61">
        <f ca="1">EFEITO!$L$361*EFEITO!$Z$350</f>
        <v>2804.9628450456034</v>
      </c>
      <c r="L361" s="61">
        <f>EFEITO!$N$361*EFEITO!$AA$350</f>
        <v>2518.4276371314713</v>
      </c>
      <c r="M361" s="61">
        <f>$J$361-EFEITO!$K$361*EFEITO!$Y$361</f>
        <v>0</v>
      </c>
      <c r="N361" s="61">
        <f ca="1">$K$361-EFEITO!$M$361*EFEITO!$Z$361</f>
        <v>0</v>
      </c>
      <c r="O361" s="61">
        <f>$L$361-EFEITO!$O$361*EFEITO!$AA$361</f>
        <v>0</v>
      </c>
      <c r="P361" s="45"/>
      <c r="Q361" s="45"/>
      <c r="R361" s="45"/>
      <c r="S361" s="45"/>
      <c r="T361" s="45"/>
      <c r="U361" s="45"/>
      <c r="V361" s="45"/>
      <c r="W361" s="45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41" t="s">
        <v>21</v>
      </c>
      <c r="B362" s="41" t="s">
        <v>41</v>
      </c>
      <c r="C362" s="41" t="s">
        <v>23</v>
      </c>
      <c r="D362" s="41" t="s">
        <v>42</v>
      </c>
      <c r="E362" s="41" t="s">
        <v>50</v>
      </c>
      <c r="F362" s="41" t="s">
        <v>51</v>
      </c>
      <c r="G362" s="41" t="s">
        <v>25</v>
      </c>
      <c r="H362" s="41" t="s">
        <v>25</v>
      </c>
      <c r="I362" s="60">
        <v>44409</v>
      </c>
      <c r="J362" s="61">
        <f>EFEITO!$J$362*EFEITO!$Y$290</f>
        <v>0</v>
      </c>
      <c r="K362" s="61">
        <f ca="1">EFEITO!$L$362*EFEITO!$Z$290</f>
        <v>47.178110106754737</v>
      </c>
      <c r="L362" s="61">
        <f>EFEITO!$N$362*EFEITO!$AA$290</f>
        <v>28.716392669686105</v>
      </c>
      <c r="M362" s="61">
        <f>$J$362-EFEITO!$K$362*EFEITO!$Y$362</f>
        <v>0</v>
      </c>
      <c r="N362" s="61">
        <f ca="1">$K$362-EFEITO!$M$362*EFEITO!$Z$362</f>
        <v>2.8306866064052869</v>
      </c>
      <c r="O362" s="61">
        <f>$L$362-EFEITO!$O$362*EFEITO!$AA$362</f>
        <v>1.7229835601811665</v>
      </c>
      <c r="P362" s="45"/>
      <c r="Q362" s="45"/>
      <c r="R362" s="45"/>
      <c r="S362" s="45"/>
      <c r="T362" s="45"/>
      <c r="U362" s="45"/>
      <c r="V362" s="45"/>
      <c r="W362" s="45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41" t="s">
        <v>21</v>
      </c>
      <c r="B363" s="41" t="s">
        <v>41</v>
      </c>
      <c r="C363" s="41" t="s">
        <v>23</v>
      </c>
      <c r="D363" s="41" t="s">
        <v>42</v>
      </c>
      <c r="E363" s="41" t="s">
        <v>50</v>
      </c>
      <c r="F363" s="41" t="s">
        <v>51</v>
      </c>
      <c r="G363" s="41" t="s">
        <v>25</v>
      </c>
      <c r="H363" s="41" t="s">
        <v>25</v>
      </c>
      <c r="I363" s="60">
        <v>44440</v>
      </c>
      <c r="J363" s="61">
        <f>EFEITO!$J$363*EFEITO!$Y$290</f>
        <v>0</v>
      </c>
      <c r="K363" s="61">
        <f ca="1">EFEITO!$L$363*EFEITO!$Z$290</f>
        <v>47.178110106754737</v>
      </c>
      <c r="L363" s="61">
        <f>EFEITO!$N$363*EFEITO!$AA$290</f>
        <v>28.716392669686105</v>
      </c>
      <c r="M363" s="61">
        <f>$J$363-EFEITO!$K$363*EFEITO!$Y$363</f>
        <v>0</v>
      </c>
      <c r="N363" s="61">
        <f ca="1">$K$363-EFEITO!$M$363*EFEITO!$Z$363</f>
        <v>2.8306866064052869</v>
      </c>
      <c r="O363" s="61">
        <f>$L$363-EFEITO!$O$363*EFEITO!$AA$363</f>
        <v>1.7229835601811665</v>
      </c>
      <c r="P363" s="45"/>
      <c r="Q363" s="45"/>
      <c r="R363" s="45"/>
      <c r="S363" s="45"/>
      <c r="T363" s="45"/>
      <c r="U363" s="45"/>
      <c r="V363" s="45"/>
      <c r="W363" s="45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41" t="s">
        <v>21</v>
      </c>
      <c r="B364" s="41" t="s">
        <v>41</v>
      </c>
      <c r="C364" s="41" t="s">
        <v>23</v>
      </c>
      <c r="D364" s="41" t="s">
        <v>42</v>
      </c>
      <c r="E364" s="41" t="s">
        <v>50</v>
      </c>
      <c r="F364" s="41" t="s">
        <v>51</v>
      </c>
      <c r="G364" s="41" t="s">
        <v>25</v>
      </c>
      <c r="H364" s="41" t="s">
        <v>25</v>
      </c>
      <c r="I364" s="60">
        <v>44470</v>
      </c>
      <c r="J364" s="61">
        <f>EFEITO!$J$364*EFEITO!$Y$290</f>
        <v>0</v>
      </c>
      <c r="K364" s="61">
        <f ca="1">EFEITO!$L$364*EFEITO!$Z$290</f>
        <v>104.26362333592796</v>
      </c>
      <c r="L364" s="61">
        <f>EFEITO!$N$364*EFEITO!$AA$290</f>
        <v>63.463227800006294</v>
      </c>
      <c r="M364" s="61">
        <f>$J$364-EFEITO!$K$364*EFEITO!$Y$364</f>
        <v>0</v>
      </c>
      <c r="N364" s="61">
        <f ca="1">$K$364-EFEITO!$M$364*EFEITO!$Z$364</f>
        <v>6.2558174001556779</v>
      </c>
      <c r="O364" s="61">
        <f>$L$364-EFEITO!$O$364*EFEITO!$AA$364</f>
        <v>3.8077936680003788</v>
      </c>
      <c r="P364" s="45"/>
      <c r="Q364" s="45"/>
      <c r="R364" s="45"/>
      <c r="S364" s="45"/>
      <c r="T364" s="45"/>
      <c r="U364" s="45"/>
      <c r="V364" s="45"/>
      <c r="W364" s="45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41" t="s">
        <v>21</v>
      </c>
      <c r="B365" s="41" t="s">
        <v>41</v>
      </c>
      <c r="C365" s="41" t="s">
        <v>23</v>
      </c>
      <c r="D365" s="41" t="s">
        <v>42</v>
      </c>
      <c r="E365" s="41" t="s">
        <v>50</v>
      </c>
      <c r="F365" s="41" t="s">
        <v>51</v>
      </c>
      <c r="G365" s="41" t="s">
        <v>25</v>
      </c>
      <c r="H365" s="41" t="s">
        <v>25</v>
      </c>
      <c r="I365" s="60">
        <v>44501</v>
      </c>
      <c r="J365" s="61">
        <f>EFEITO!$J$365*EFEITO!$Y$290</f>
        <v>0</v>
      </c>
      <c r="K365" s="61">
        <f ca="1">EFEITO!$L$365*EFEITO!$Z$290</f>
        <v>76.428538372942668</v>
      </c>
      <c r="L365" s="61">
        <f>EFEITO!$N$365*EFEITO!$AA$290</f>
        <v>46.520556124891492</v>
      </c>
      <c r="M365" s="61">
        <f>$J$365-EFEITO!$K$365*EFEITO!$Y$365</f>
        <v>0</v>
      </c>
      <c r="N365" s="61">
        <f ca="1">$K$365-EFEITO!$M$365*EFEITO!$Z$365</f>
        <v>4.5857123023765638</v>
      </c>
      <c r="O365" s="61">
        <f>$L$365-EFEITO!$O$365*EFEITO!$AA$365</f>
        <v>2.7912333674934899</v>
      </c>
      <c r="P365" s="45"/>
      <c r="Q365" s="45"/>
      <c r="R365" s="45"/>
      <c r="S365" s="45"/>
      <c r="T365" s="45"/>
      <c r="U365" s="45"/>
      <c r="V365" s="45"/>
      <c r="W365" s="45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41" t="s">
        <v>21</v>
      </c>
      <c r="B366" s="41" t="s">
        <v>41</v>
      </c>
      <c r="C366" s="41" t="s">
        <v>23</v>
      </c>
      <c r="D366" s="41" t="s">
        <v>42</v>
      </c>
      <c r="E366" s="41" t="s">
        <v>50</v>
      </c>
      <c r="F366" s="41" t="s">
        <v>51</v>
      </c>
      <c r="G366" s="41" t="s">
        <v>25</v>
      </c>
      <c r="H366" s="41" t="s">
        <v>25</v>
      </c>
      <c r="I366" s="60">
        <v>44531</v>
      </c>
      <c r="J366" s="61">
        <f>EFEITO!$J$366*EFEITO!$Y$290</f>
        <v>0</v>
      </c>
      <c r="K366" s="61">
        <f ca="1">EFEITO!$L$366*EFEITO!$Z$290</f>
        <v>97.186906819914753</v>
      </c>
      <c r="L366" s="61">
        <f>EFEITO!$N$366*EFEITO!$AA$290</f>
        <v>59.155768899553372</v>
      </c>
      <c r="M366" s="61">
        <f>$J$366-EFEITO!$K$366*EFEITO!$Y$366</f>
        <v>0</v>
      </c>
      <c r="N366" s="61">
        <f ca="1">$K$366-EFEITO!$M$366*EFEITO!$Z$366</f>
        <v>5.8312144091948994</v>
      </c>
      <c r="O366" s="61">
        <f>$L$366-EFEITO!$O$366*EFEITO!$AA$366</f>
        <v>3.5493461339732022</v>
      </c>
      <c r="P366" s="45"/>
      <c r="Q366" s="45"/>
      <c r="R366" s="45"/>
      <c r="S366" s="45"/>
      <c r="T366" s="45"/>
      <c r="U366" s="45"/>
      <c r="V366" s="45"/>
      <c r="W366" s="45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41" t="s">
        <v>21</v>
      </c>
      <c r="B367" s="41" t="s">
        <v>41</v>
      </c>
      <c r="C367" s="41" t="s">
        <v>23</v>
      </c>
      <c r="D367" s="41" t="s">
        <v>42</v>
      </c>
      <c r="E367" s="41" t="s">
        <v>50</v>
      </c>
      <c r="F367" s="41" t="s">
        <v>51</v>
      </c>
      <c r="G367" s="41" t="s">
        <v>25</v>
      </c>
      <c r="H367" s="41" t="s">
        <v>25</v>
      </c>
      <c r="I367" s="60">
        <v>44562</v>
      </c>
      <c r="J367" s="61">
        <f>EFEITO!$J$367*EFEITO!$Y$290</f>
        <v>0</v>
      </c>
      <c r="K367" s="61">
        <f ca="1">EFEITO!$L$367*EFEITO!$Z$290</f>
        <v>47.178110106754737</v>
      </c>
      <c r="L367" s="61">
        <f>EFEITO!$N$367*EFEITO!$AA$290</f>
        <v>28.716392669686105</v>
      </c>
      <c r="M367" s="61">
        <f>$J$367-EFEITO!$K$367*EFEITO!$Y$367</f>
        <v>0</v>
      </c>
      <c r="N367" s="61">
        <f ca="1">$K$367-EFEITO!$M$367*EFEITO!$Z$367</f>
        <v>2.8306866064052869</v>
      </c>
      <c r="O367" s="61">
        <f>$L$367-EFEITO!$O$367*EFEITO!$AA$367</f>
        <v>1.7229835601811665</v>
      </c>
      <c r="P367" s="45"/>
      <c r="Q367" s="45"/>
      <c r="R367" s="45"/>
      <c r="S367" s="45"/>
      <c r="T367" s="45"/>
      <c r="U367" s="45"/>
      <c r="V367" s="45"/>
      <c r="W367" s="45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41" t="s">
        <v>21</v>
      </c>
      <c r="B368" s="41" t="s">
        <v>41</v>
      </c>
      <c r="C368" s="41" t="s">
        <v>23</v>
      </c>
      <c r="D368" s="41" t="s">
        <v>42</v>
      </c>
      <c r="E368" s="41" t="s">
        <v>50</v>
      </c>
      <c r="F368" s="41" t="s">
        <v>51</v>
      </c>
      <c r="G368" s="41" t="s">
        <v>25</v>
      </c>
      <c r="H368" s="41" t="s">
        <v>25</v>
      </c>
      <c r="I368" s="60">
        <v>44593</v>
      </c>
      <c r="J368" s="61">
        <f>EFEITO!$J$368*EFEITO!$Y$290</f>
        <v>0</v>
      </c>
      <c r="K368" s="61">
        <f ca="1">EFEITO!$L$368*EFEITO!$Z$290</f>
        <v>235.89055053377368</v>
      </c>
      <c r="L368" s="61">
        <f>EFEITO!$N$368*EFEITO!$AA$290</f>
        <v>143.58196334843052</v>
      </c>
      <c r="M368" s="61">
        <f>$J$368-EFEITO!$K$368*EFEITO!$Y$368</f>
        <v>0</v>
      </c>
      <c r="N368" s="61">
        <f ca="1">$K$368-EFEITO!$M$368*EFEITO!$Z$368</f>
        <v>14.153433032026442</v>
      </c>
      <c r="O368" s="61">
        <f>$L$368-EFEITO!$O$368*EFEITO!$AA$368</f>
        <v>8.6149178009058289</v>
      </c>
      <c r="P368" s="45"/>
      <c r="Q368" s="45"/>
      <c r="R368" s="45"/>
      <c r="S368" s="45"/>
      <c r="T368" s="45"/>
      <c r="U368" s="45"/>
      <c r="V368" s="45"/>
      <c r="W368" s="45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41" t="s">
        <v>21</v>
      </c>
      <c r="B369" s="41" t="s">
        <v>41</v>
      </c>
      <c r="C369" s="41" t="s">
        <v>23</v>
      </c>
      <c r="D369" s="41" t="s">
        <v>42</v>
      </c>
      <c r="E369" s="41" t="s">
        <v>50</v>
      </c>
      <c r="F369" s="41" t="s">
        <v>51</v>
      </c>
      <c r="G369" s="41" t="s">
        <v>25</v>
      </c>
      <c r="H369" s="41" t="s">
        <v>25</v>
      </c>
      <c r="I369" s="60">
        <v>44621</v>
      </c>
      <c r="J369" s="61">
        <f>EFEITO!$J$369*EFEITO!$Y$290</f>
        <v>0</v>
      </c>
      <c r="K369" s="61">
        <f ca="1">EFEITO!$L$369*EFEITO!$Z$290</f>
        <v>147.66748463414231</v>
      </c>
      <c r="L369" s="61">
        <f>EFEITO!$N$369*EFEITO!$AA$290</f>
        <v>89.882309056117506</v>
      </c>
      <c r="M369" s="61">
        <f>$J$369-EFEITO!$K$369*EFEITO!$Y$369</f>
        <v>0</v>
      </c>
      <c r="N369" s="61">
        <f ca="1">$K$369-EFEITO!$M$369*EFEITO!$Z$369</f>
        <v>8.8600490780485472</v>
      </c>
      <c r="O369" s="61">
        <f>$L$369-EFEITO!$O$369*EFEITO!$AA$369</f>
        <v>5.3929385433670518</v>
      </c>
      <c r="P369" s="45"/>
      <c r="Q369" s="45"/>
      <c r="R369" s="45"/>
      <c r="S369" s="45"/>
      <c r="T369" s="45"/>
      <c r="U369" s="45"/>
      <c r="V369" s="45"/>
      <c r="W369" s="45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41" t="s">
        <v>21</v>
      </c>
      <c r="B370" s="41" t="s">
        <v>41</v>
      </c>
      <c r="C370" s="41" t="s">
        <v>23</v>
      </c>
      <c r="D370" s="41" t="s">
        <v>42</v>
      </c>
      <c r="E370" s="41" t="s">
        <v>50</v>
      </c>
      <c r="F370" s="41" t="s">
        <v>51</v>
      </c>
      <c r="G370" s="41" t="s">
        <v>25</v>
      </c>
      <c r="H370" s="41" t="s">
        <v>25</v>
      </c>
      <c r="I370" s="60">
        <v>44652</v>
      </c>
      <c r="J370" s="61">
        <f>EFEITO!$J$370*EFEITO!$Y$290</f>
        <v>0</v>
      </c>
      <c r="K370" s="61">
        <f ca="1">EFEITO!$L$370*EFEITO!$Z$290</f>
        <v>114.64280755941401</v>
      </c>
      <c r="L370" s="61">
        <f>EFEITO!$N$370*EFEITO!$AA$290</f>
        <v>69.780834187337234</v>
      </c>
      <c r="M370" s="61">
        <f>$J$370-EFEITO!$K$370*EFEITO!$Y$370</f>
        <v>0</v>
      </c>
      <c r="N370" s="61">
        <f ca="1">$K$370-EFEITO!$M$370*EFEITO!$Z$370</f>
        <v>6.8785684535648528</v>
      </c>
      <c r="O370" s="61">
        <f>$L$370-EFEITO!$O$370*EFEITO!$AA$370</f>
        <v>4.186850051240242</v>
      </c>
      <c r="P370" s="45"/>
      <c r="Q370" s="45"/>
      <c r="R370" s="45"/>
      <c r="S370" s="45"/>
      <c r="T370" s="45"/>
      <c r="U370" s="45"/>
      <c r="V370" s="45"/>
      <c r="W370" s="45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41" t="s">
        <v>21</v>
      </c>
      <c r="B371" s="41" t="s">
        <v>41</v>
      </c>
      <c r="C371" s="41" t="s">
        <v>23</v>
      </c>
      <c r="D371" s="41" t="s">
        <v>42</v>
      </c>
      <c r="E371" s="41" t="s">
        <v>50</v>
      </c>
      <c r="F371" s="41" t="s">
        <v>51</v>
      </c>
      <c r="G371" s="41" t="s">
        <v>25</v>
      </c>
      <c r="H371" s="41" t="s">
        <v>25</v>
      </c>
      <c r="I371" s="60">
        <v>44682</v>
      </c>
      <c r="J371" s="61">
        <f>EFEITO!$J$371*EFEITO!$Y$290</f>
        <v>0</v>
      </c>
      <c r="K371" s="61">
        <f ca="1">EFEITO!$L$371*EFEITO!$Z$290</f>
        <v>145.78036022987214</v>
      </c>
      <c r="L371" s="61">
        <f>EFEITO!$N$371*EFEITO!$AA$290</f>
        <v>88.733653349330055</v>
      </c>
      <c r="M371" s="61">
        <f>$J$371-EFEITO!$K$371*EFEITO!$Y$371</f>
        <v>0</v>
      </c>
      <c r="N371" s="61">
        <f ca="1">$K$371-EFEITO!$M$371*EFEITO!$Z$371</f>
        <v>8.7468216137923491</v>
      </c>
      <c r="O371" s="61">
        <f>$L$371-EFEITO!$O$371*EFEITO!$AA$371</f>
        <v>5.3240192009597962</v>
      </c>
      <c r="P371" s="45"/>
      <c r="Q371" s="45"/>
      <c r="R371" s="45"/>
      <c r="S371" s="45"/>
      <c r="T371" s="45"/>
      <c r="U371" s="45"/>
      <c r="V371" s="45"/>
      <c r="W371" s="45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41" t="s">
        <v>21</v>
      </c>
      <c r="B372" s="41" t="s">
        <v>41</v>
      </c>
      <c r="C372" s="41" t="s">
        <v>23</v>
      </c>
      <c r="D372" s="41" t="s">
        <v>42</v>
      </c>
      <c r="E372" s="41" t="s">
        <v>50</v>
      </c>
      <c r="F372" s="41" t="s">
        <v>51</v>
      </c>
      <c r="G372" s="41" t="s">
        <v>25</v>
      </c>
      <c r="H372" s="41" t="s">
        <v>25</v>
      </c>
      <c r="I372" s="60">
        <v>44713</v>
      </c>
      <c r="J372" s="61">
        <f>EFEITO!$J$372*EFEITO!$Y$290</f>
        <v>0</v>
      </c>
      <c r="K372" s="61">
        <f ca="1">EFEITO!$L$372*EFEITO!$Z$290</f>
        <v>94.356220213509474</v>
      </c>
      <c r="L372" s="61">
        <f>EFEITO!$N$372*EFEITO!$AA$290</f>
        <v>57.432785339372209</v>
      </c>
      <c r="M372" s="61">
        <f>$J$372-EFEITO!$K$372*EFEITO!$Y$372</f>
        <v>0</v>
      </c>
      <c r="N372" s="61">
        <f ca="1">$K$372-EFEITO!$M$372*EFEITO!$Z$372</f>
        <v>5.6613732128105738</v>
      </c>
      <c r="O372" s="61">
        <f>$L$372-EFEITO!$O$372*EFEITO!$AA$372</f>
        <v>3.445967120362333</v>
      </c>
      <c r="P372" s="45"/>
      <c r="Q372" s="45"/>
      <c r="R372" s="45"/>
      <c r="S372" s="45"/>
      <c r="T372" s="45"/>
      <c r="U372" s="45"/>
      <c r="V372" s="45"/>
      <c r="W372" s="45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41" t="s">
        <v>21</v>
      </c>
      <c r="B373" s="41" t="s">
        <v>41</v>
      </c>
      <c r="C373" s="41" t="s">
        <v>23</v>
      </c>
      <c r="D373" s="41" t="s">
        <v>42</v>
      </c>
      <c r="E373" s="41" t="s">
        <v>50</v>
      </c>
      <c r="F373" s="41" t="s">
        <v>51</v>
      </c>
      <c r="G373" s="41" t="s">
        <v>25</v>
      </c>
      <c r="H373" s="41" t="s">
        <v>25</v>
      </c>
      <c r="I373" s="60">
        <v>44743</v>
      </c>
      <c r="J373" s="61">
        <f>EFEITO!$J$373*EFEITO!$Y$290</f>
        <v>0</v>
      </c>
      <c r="K373" s="61">
        <f ca="1">EFEITO!$L$373*EFEITO!$Z$290</f>
        <v>106.15074774019816</v>
      </c>
      <c r="L373" s="61">
        <f>EFEITO!$N$373*EFEITO!$AA$290</f>
        <v>64.611883506793731</v>
      </c>
      <c r="M373" s="61">
        <f>$J$373-EFEITO!$K$373*EFEITO!$Y$373</f>
        <v>0</v>
      </c>
      <c r="N373" s="61">
        <f ca="1">$K$373-EFEITO!$M$373*EFEITO!$Z$373</f>
        <v>6.3690448644119044</v>
      </c>
      <c r="O373" s="61">
        <f>$L$373-EFEITO!$O$373*EFEITO!$AA$373</f>
        <v>3.8767130104076202</v>
      </c>
      <c r="P373" s="45"/>
      <c r="Q373" s="45"/>
      <c r="R373" s="45"/>
      <c r="S373" s="45"/>
      <c r="T373" s="45"/>
      <c r="U373" s="45"/>
      <c r="V373" s="45"/>
      <c r="W373" s="45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41" t="s">
        <v>21</v>
      </c>
      <c r="B374" s="41" t="s">
        <v>41</v>
      </c>
      <c r="C374" s="41" t="s">
        <v>23</v>
      </c>
      <c r="D374" s="41" t="s">
        <v>42</v>
      </c>
      <c r="E374" s="41" t="s">
        <v>50</v>
      </c>
      <c r="F374" s="41" t="s">
        <v>53</v>
      </c>
      <c r="G374" s="41" t="s">
        <v>25</v>
      </c>
      <c r="H374" s="41" t="s">
        <v>25</v>
      </c>
      <c r="I374" s="60">
        <v>44501</v>
      </c>
      <c r="J374" s="61">
        <f>EFEITO!$J$374*EFEITO!$Y$290</f>
        <v>0</v>
      </c>
      <c r="K374" s="61">
        <f ca="1">EFEITO!$L$374*EFEITO!$Z$290</f>
        <v>8.9638409202833991</v>
      </c>
      <c r="L374" s="61">
        <f>EFEITO!$N$374*EFEITO!$AA$290</f>
        <v>5.4561146072403597</v>
      </c>
      <c r="M374" s="61">
        <f>$J$374-EFEITO!$K$374*EFEITO!$Y$374</f>
        <v>0</v>
      </c>
      <c r="N374" s="61">
        <f ca="1">$K$374-EFEITO!$M$374*EFEITO!$Z$374</f>
        <v>5.5934367342568407</v>
      </c>
      <c r="O374" s="61">
        <f>$L$374-EFEITO!$O$374*EFEITO!$AA$374</f>
        <v>3.4046155149179844</v>
      </c>
      <c r="P374" s="45"/>
      <c r="Q374" s="45"/>
      <c r="R374" s="45"/>
      <c r="S374" s="45"/>
      <c r="T374" s="45"/>
      <c r="U374" s="45"/>
      <c r="V374" s="45"/>
      <c r="W374" s="45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41" t="s">
        <v>21</v>
      </c>
      <c r="B375" s="41" t="s">
        <v>41</v>
      </c>
      <c r="C375" s="41" t="s">
        <v>23</v>
      </c>
      <c r="D375" s="41" t="s">
        <v>42</v>
      </c>
      <c r="E375" s="41" t="s">
        <v>50</v>
      </c>
      <c r="F375" s="41" t="s">
        <v>53</v>
      </c>
      <c r="G375" s="41" t="s">
        <v>25</v>
      </c>
      <c r="H375" s="41" t="s">
        <v>25</v>
      </c>
      <c r="I375" s="60">
        <v>44621</v>
      </c>
      <c r="J375" s="61">
        <f>EFEITO!$J$375*EFEITO!$Y$290</f>
        <v>0</v>
      </c>
      <c r="K375" s="61">
        <f ca="1">EFEITO!$L$375*EFEITO!$Z$290</f>
        <v>442.5306728013594</v>
      </c>
      <c r="L375" s="61">
        <f>EFEITO!$N$375*EFEITO!$AA$290</f>
        <v>269.35976324165563</v>
      </c>
      <c r="M375" s="61">
        <f>$J$375-EFEITO!$K$375*EFEITO!$Y$375</f>
        <v>0</v>
      </c>
      <c r="N375" s="61">
        <f ca="1">$K$375-EFEITO!$M$375*EFEITO!$Z$375</f>
        <v>276.13913982804831</v>
      </c>
      <c r="O375" s="61">
        <f>$L$375-EFEITO!$O$375*EFEITO!$AA$375</f>
        <v>168.08049226279309</v>
      </c>
      <c r="P375" s="45"/>
      <c r="Q375" s="45"/>
      <c r="R375" s="45"/>
      <c r="S375" s="45"/>
      <c r="T375" s="45"/>
      <c r="U375" s="45"/>
      <c r="V375" s="45"/>
      <c r="W375" s="45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41" t="s">
        <v>21</v>
      </c>
      <c r="B376" s="41" t="s">
        <v>41</v>
      </c>
      <c r="C376" s="41" t="s">
        <v>23</v>
      </c>
      <c r="D376" s="41" t="s">
        <v>42</v>
      </c>
      <c r="E376" s="41" t="s">
        <v>50</v>
      </c>
      <c r="F376" s="41" t="s">
        <v>53</v>
      </c>
      <c r="G376" s="41" t="s">
        <v>25</v>
      </c>
      <c r="H376" s="41" t="s">
        <v>25</v>
      </c>
      <c r="I376" s="60">
        <v>44652</v>
      </c>
      <c r="J376" s="61">
        <f>EFEITO!$J$376*EFEITO!$Y$290</f>
        <v>0</v>
      </c>
      <c r="K376" s="61">
        <f ca="1">EFEITO!$L$376*EFEITO!$Z$290</f>
        <v>145.78036022987214</v>
      </c>
      <c r="L376" s="61">
        <f>EFEITO!$N$376*EFEITO!$AA$290</f>
        <v>88.733653349330055</v>
      </c>
      <c r="M376" s="61">
        <f>$J$376-EFEITO!$K$376*EFEITO!$Y$376</f>
        <v>0</v>
      </c>
      <c r="N376" s="61">
        <f ca="1">$K$376-EFEITO!$M$376*EFEITO!$Z$376</f>
        <v>90.966944783440226</v>
      </c>
      <c r="O376" s="61">
        <f>$L$376-EFEITO!$O$376*EFEITO!$AA$376</f>
        <v>55.369799689981953</v>
      </c>
      <c r="P376" s="45"/>
      <c r="Q376" s="45"/>
      <c r="R376" s="45"/>
      <c r="S376" s="45"/>
      <c r="T376" s="45"/>
      <c r="U376" s="45"/>
      <c r="V376" s="45"/>
      <c r="W376" s="45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41" t="s">
        <v>21</v>
      </c>
      <c r="B377" s="41" t="s">
        <v>41</v>
      </c>
      <c r="C377" s="41" t="s">
        <v>23</v>
      </c>
      <c r="D377" s="41" t="s">
        <v>42</v>
      </c>
      <c r="E377" s="41" t="s">
        <v>52</v>
      </c>
      <c r="F377" s="41" t="s">
        <v>51</v>
      </c>
      <c r="G377" s="41" t="s">
        <v>25</v>
      </c>
      <c r="H377" s="41" t="s">
        <v>25</v>
      </c>
      <c r="I377" s="60">
        <v>44409</v>
      </c>
      <c r="J377" s="61">
        <f>EFEITO!$J$377*EFEITO!$Y$290</f>
        <v>0</v>
      </c>
      <c r="K377" s="61">
        <f ca="1">EFEITO!$L$377*EFEITO!$Z$290</f>
        <v>456.68410583338584</v>
      </c>
      <c r="L377" s="61">
        <f>EFEITO!$N$377*EFEITO!$AA$290</f>
        <v>277.97468104256149</v>
      </c>
      <c r="M377" s="61">
        <f>$J$377-EFEITO!$K$377*EFEITO!$Y$377</f>
        <v>0</v>
      </c>
      <c r="N377" s="61">
        <f ca="1">$K$377-EFEITO!$M$377*EFEITO!$Z$377</f>
        <v>27.401046350003185</v>
      </c>
      <c r="O377" s="61">
        <f>$L$377-EFEITO!$O$377*EFEITO!$AA$377</f>
        <v>16.67848086255367</v>
      </c>
      <c r="P377" s="45"/>
      <c r="Q377" s="45"/>
      <c r="R377" s="45"/>
      <c r="S377" s="45"/>
      <c r="T377" s="45"/>
      <c r="U377" s="45"/>
      <c r="V377" s="45"/>
      <c r="W377" s="45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41" t="s">
        <v>21</v>
      </c>
      <c r="B378" s="41" t="s">
        <v>41</v>
      </c>
      <c r="C378" s="41" t="s">
        <v>23</v>
      </c>
      <c r="D378" s="41" t="s">
        <v>42</v>
      </c>
      <c r="E378" s="41" t="s">
        <v>52</v>
      </c>
      <c r="F378" s="41" t="s">
        <v>51</v>
      </c>
      <c r="G378" s="41" t="s">
        <v>25</v>
      </c>
      <c r="H378" s="41" t="s">
        <v>25</v>
      </c>
      <c r="I378" s="60">
        <v>44440</v>
      </c>
      <c r="J378" s="61">
        <f>EFEITO!$J$378*EFEITO!$Y$290</f>
        <v>0</v>
      </c>
      <c r="K378" s="61">
        <f ca="1">EFEITO!$L$378*EFEITO!$Z$290</f>
        <v>401.95749810955033</v>
      </c>
      <c r="L378" s="61">
        <f>EFEITO!$N$378*EFEITO!$AA$290</f>
        <v>244.66366554572559</v>
      </c>
      <c r="M378" s="61">
        <f>$J$378-EFEITO!$K$378*EFEITO!$Y$378</f>
        <v>0</v>
      </c>
      <c r="N378" s="61">
        <f ca="1">$K$378-EFEITO!$M$378*EFEITO!$Z$378</f>
        <v>24.11744988657307</v>
      </c>
      <c r="O378" s="61">
        <f>$L$378-EFEITO!$O$378*EFEITO!$AA$378</f>
        <v>14.679819932743527</v>
      </c>
      <c r="P378" s="45"/>
      <c r="Q378" s="45"/>
      <c r="R378" s="45"/>
      <c r="S378" s="45"/>
      <c r="T378" s="45"/>
      <c r="U378" s="45"/>
      <c r="V378" s="45"/>
      <c r="W378" s="45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41" t="s">
        <v>21</v>
      </c>
      <c r="B379" s="41" t="s">
        <v>41</v>
      </c>
      <c r="C379" s="41" t="s">
        <v>23</v>
      </c>
      <c r="D379" s="41" t="s">
        <v>42</v>
      </c>
      <c r="E379" s="41" t="s">
        <v>52</v>
      </c>
      <c r="F379" s="41" t="s">
        <v>51</v>
      </c>
      <c r="G379" s="41" t="s">
        <v>25</v>
      </c>
      <c r="H379" s="41" t="s">
        <v>25</v>
      </c>
      <c r="I379" s="60">
        <v>44470</v>
      </c>
      <c r="J379" s="61">
        <f>EFEITO!$J$379*EFEITO!$Y$290</f>
        <v>0</v>
      </c>
      <c r="K379" s="61">
        <f ca="1">EFEITO!$L$379*EFEITO!$Z$290</f>
        <v>660.49354149456622</v>
      </c>
      <c r="L379" s="61">
        <f>EFEITO!$N$379*EFEITO!$AA$290</f>
        <v>402.02949737560544</v>
      </c>
      <c r="M379" s="61">
        <f>$J$379-EFEITO!$K$379*EFEITO!$Y$379</f>
        <v>0</v>
      </c>
      <c r="N379" s="61">
        <f ca="1">$K$379-EFEITO!$M$379*EFEITO!$Z$379</f>
        <v>39.629612489673946</v>
      </c>
      <c r="O379" s="61">
        <f>$L$379-EFEITO!$O$379*EFEITO!$AA$379</f>
        <v>24.12176984253631</v>
      </c>
      <c r="P379" s="45"/>
      <c r="Q379" s="45"/>
      <c r="R379" s="45"/>
      <c r="S379" s="45"/>
      <c r="T379" s="45"/>
      <c r="U379" s="45"/>
      <c r="V379" s="45"/>
      <c r="W379" s="45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41" t="s">
        <v>21</v>
      </c>
      <c r="B380" s="41" t="s">
        <v>41</v>
      </c>
      <c r="C380" s="41" t="s">
        <v>23</v>
      </c>
      <c r="D380" s="41" t="s">
        <v>42</v>
      </c>
      <c r="E380" s="41" t="s">
        <v>52</v>
      </c>
      <c r="F380" s="41" t="s">
        <v>51</v>
      </c>
      <c r="G380" s="41" t="s">
        <v>25</v>
      </c>
      <c r="H380" s="41" t="s">
        <v>25</v>
      </c>
      <c r="I380" s="60">
        <v>44501</v>
      </c>
      <c r="J380" s="61">
        <f>EFEITO!$J$380*EFEITO!$Y$290</f>
        <v>0</v>
      </c>
      <c r="K380" s="61">
        <f ca="1">EFEITO!$L$380*EFEITO!$Z$290</f>
        <v>245.79795365619219</v>
      </c>
      <c r="L380" s="61">
        <f>EFEITO!$N$380*EFEITO!$AA$290</f>
        <v>149.6124058090646</v>
      </c>
      <c r="M380" s="61">
        <f>$J$380-EFEITO!$K$380*EFEITO!$Y$380</f>
        <v>0</v>
      </c>
      <c r="N380" s="61">
        <f ca="1">$K$380-EFEITO!$M$380*EFEITO!$Z$380</f>
        <v>14.74787721937156</v>
      </c>
      <c r="O380" s="61">
        <f>$L$380-EFEITO!$O$380*EFEITO!$AA$380</f>
        <v>8.9767443485438605</v>
      </c>
      <c r="P380" s="45"/>
      <c r="Q380" s="45"/>
      <c r="R380" s="45"/>
      <c r="S380" s="45"/>
      <c r="T380" s="45"/>
      <c r="U380" s="45"/>
      <c r="V380" s="45"/>
      <c r="W380" s="45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41" t="s">
        <v>21</v>
      </c>
      <c r="B381" s="41" t="s">
        <v>41</v>
      </c>
      <c r="C381" s="41" t="s">
        <v>23</v>
      </c>
      <c r="D381" s="41" t="s">
        <v>42</v>
      </c>
      <c r="E381" s="41" t="s">
        <v>52</v>
      </c>
      <c r="F381" s="41" t="s">
        <v>51</v>
      </c>
      <c r="G381" s="41" t="s">
        <v>25</v>
      </c>
      <c r="H381" s="41" t="s">
        <v>25</v>
      </c>
      <c r="I381" s="60">
        <v>44531</v>
      </c>
      <c r="J381" s="61">
        <f>EFEITO!$J$381*EFEITO!$Y$290</f>
        <v>0</v>
      </c>
      <c r="K381" s="61">
        <f ca="1">EFEITO!$L$381*EFEITO!$Z$290</f>
        <v>606.23871487179827</v>
      </c>
      <c r="L381" s="61">
        <f>EFEITO!$N$381*EFEITO!$AA$290</f>
        <v>369.00564580546643</v>
      </c>
      <c r="M381" s="61">
        <f>$J$381-EFEITO!$K$381*EFEITO!$Y$381</f>
        <v>0</v>
      </c>
      <c r="N381" s="61">
        <f ca="1">$K$381-EFEITO!$M$381*EFEITO!$Z$381</f>
        <v>36.374322892307873</v>
      </c>
      <c r="O381" s="61">
        <f>$L$381-EFEITO!$O$381*EFEITO!$AA$381</f>
        <v>22.14033874832802</v>
      </c>
      <c r="P381" s="45"/>
      <c r="Q381" s="45"/>
      <c r="R381" s="45"/>
      <c r="S381" s="45"/>
      <c r="T381" s="45"/>
      <c r="U381" s="45"/>
      <c r="V381" s="45"/>
      <c r="W381" s="45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41" t="s">
        <v>21</v>
      </c>
      <c r="B382" s="41" t="s">
        <v>41</v>
      </c>
      <c r="C382" s="41" t="s">
        <v>23</v>
      </c>
      <c r="D382" s="41" t="s">
        <v>42</v>
      </c>
      <c r="E382" s="41" t="s">
        <v>52</v>
      </c>
      <c r="F382" s="41" t="s">
        <v>51</v>
      </c>
      <c r="G382" s="41" t="s">
        <v>25</v>
      </c>
      <c r="H382" s="41" t="s">
        <v>25</v>
      </c>
      <c r="I382" s="60">
        <v>44562</v>
      </c>
      <c r="J382" s="61">
        <f>EFEITO!$J$382*EFEITO!$Y$290</f>
        <v>0</v>
      </c>
      <c r="K382" s="61">
        <f ca="1">EFEITO!$L$382*EFEITO!$Z$290</f>
        <v>740.69632867604935</v>
      </c>
      <c r="L382" s="61">
        <f>EFEITO!$N$382*EFEITO!$AA$290</f>
        <v>450.84736491407187</v>
      </c>
      <c r="M382" s="61">
        <f>$J$382-EFEITO!$K$382*EFEITO!$Y$382</f>
        <v>0</v>
      </c>
      <c r="N382" s="61">
        <f ca="1">$K$382-EFEITO!$M$382*EFEITO!$Z$382</f>
        <v>44.441779720562977</v>
      </c>
      <c r="O382" s="61">
        <f>$L$382-EFEITO!$O$382*EFEITO!$AA$382</f>
        <v>27.050841894844325</v>
      </c>
      <c r="P382" s="45"/>
      <c r="Q382" s="45"/>
      <c r="R382" s="45"/>
      <c r="S382" s="45"/>
      <c r="T382" s="45"/>
      <c r="U382" s="45"/>
      <c r="V382" s="45"/>
      <c r="W382" s="45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41" t="s">
        <v>21</v>
      </c>
      <c r="B383" s="41" t="s">
        <v>41</v>
      </c>
      <c r="C383" s="41" t="s">
        <v>23</v>
      </c>
      <c r="D383" s="41" t="s">
        <v>42</v>
      </c>
      <c r="E383" s="41" t="s">
        <v>52</v>
      </c>
      <c r="F383" s="41" t="s">
        <v>51</v>
      </c>
      <c r="G383" s="41" t="s">
        <v>25</v>
      </c>
      <c r="H383" s="41" t="s">
        <v>25</v>
      </c>
      <c r="I383" s="60">
        <v>44593</v>
      </c>
      <c r="J383" s="61">
        <f>EFEITO!$J$383*EFEITO!$Y$290</f>
        <v>0</v>
      </c>
      <c r="K383" s="61">
        <f ca="1">EFEITO!$L$383*EFEITO!$Z$290</f>
        <v>764.75716483049428</v>
      </c>
      <c r="L383" s="61">
        <f>EFEITO!$N$383*EFEITO!$AA$290</f>
        <v>465.49272517561172</v>
      </c>
      <c r="M383" s="61">
        <f>$J$383-EFEITO!$K$383*EFEITO!$Y$383</f>
        <v>0</v>
      </c>
      <c r="N383" s="61">
        <f ca="1">$K$383-EFEITO!$M$383*EFEITO!$Z$383</f>
        <v>45.885429889829766</v>
      </c>
      <c r="O383" s="61">
        <f>$L$383-EFEITO!$O$383*EFEITO!$AA$383</f>
        <v>27.929563510536696</v>
      </c>
      <c r="P383" s="45"/>
      <c r="Q383" s="45"/>
      <c r="R383" s="45"/>
      <c r="S383" s="45"/>
      <c r="T383" s="45"/>
      <c r="U383" s="45"/>
      <c r="V383" s="45"/>
      <c r="W383" s="45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41" t="s">
        <v>21</v>
      </c>
      <c r="B384" s="41" t="s">
        <v>41</v>
      </c>
      <c r="C384" s="41" t="s">
        <v>23</v>
      </c>
      <c r="D384" s="41" t="s">
        <v>42</v>
      </c>
      <c r="E384" s="41" t="s">
        <v>52</v>
      </c>
      <c r="F384" s="41" t="s">
        <v>51</v>
      </c>
      <c r="G384" s="41" t="s">
        <v>25</v>
      </c>
      <c r="H384" s="41" t="s">
        <v>25</v>
      </c>
      <c r="I384" s="60">
        <v>44621</v>
      </c>
      <c r="J384" s="61">
        <f>EFEITO!$J$384*EFEITO!$Y$290</f>
        <v>0</v>
      </c>
      <c r="K384" s="61">
        <f ca="1">EFEITO!$L$384*EFEITO!$Z$290</f>
        <v>427.90545866826545</v>
      </c>
      <c r="L384" s="61">
        <f>EFEITO!$N$384*EFEITO!$AA$290</f>
        <v>260.45768151405298</v>
      </c>
      <c r="M384" s="61">
        <f>$J$384-EFEITO!$K$384*EFEITO!$Y$384</f>
        <v>0</v>
      </c>
      <c r="N384" s="61">
        <f ca="1">$K$384-EFEITO!$M$384*EFEITO!$Z$384</f>
        <v>25.674327520095972</v>
      </c>
      <c r="O384" s="61">
        <f>$L$384-EFEITO!$O$384*EFEITO!$AA$384</f>
        <v>15.627460890843167</v>
      </c>
      <c r="P384" s="45"/>
      <c r="Q384" s="45"/>
      <c r="R384" s="45"/>
      <c r="S384" s="45"/>
      <c r="T384" s="45"/>
      <c r="U384" s="45"/>
      <c r="V384" s="45"/>
      <c r="W384" s="45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41" t="s">
        <v>21</v>
      </c>
      <c r="B385" s="41" t="s">
        <v>41</v>
      </c>
      <c r="C385" s="41" t="s">
        <v>23</v>
      </c>
      <c r="D385" s="41" t="s">
        <v>42</v>
      </c>
      <c r="E385" s="41" t="s">
        <v>52</v>
      </c>
      <c r="F385" s="41" t="s">
        <v>51</v>
      </c>
      <c r="G385" s="41" t="s">
        <v>25</v>
      </c>
      <c r="H385" s="41" t="s">
        <v>25</v>
      </c>
      <c r="I385" s="60">
        <v>44652</v>
      </c>
      <c r="J385" s="61">
        <f>EFEITO!$J$385*EFEITO!$Y$290</f>
        <v>0</v>
      </c>
      <c r="K385" s="61">
        <f ca="1">EFEITO!$L$385*EFEITO!$Z$290</f>
        <v>509.99537025401867</v>
      </c>
      <c r="L385" s="61">
        <f>EFEITO!$N$385*EFEITO!$AA$290</f>
        <v>310.42420475930675</v>
      </c>
      <c r="M385" s="61">
        <f>$J$385-EFEITO!$K$385*EFEITO!$Y$385</f>
        <v>0</v>
      </c>
      <c r="N385" s="61">
        <f ca="1">$K$385-EFEITO!$M$385*EFEITO!$Z$385</f>
        <v>30.599722215241172</v>
      </c>
      <c r="O385" s="61">
        <f>$L$385-EFEITO!$O$385*EFEITO!$AA$385</f>
        <v>18.625452285558367</v>
      </c>
      <c r="P385" s="45"/>
      <c r="Q385" s="45"/>
      <c r="R385" s="45"/>
      <c r="S385" s="45"/>
      <c r="T385" s="45"/>
      <c r="U385" s="45"/>
      <c r="V385" s="45"/>
      <c r="W385" s="45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41" t="s">
        <v>21</v>
      </c>
      <c r="B386" s="41" t="s">
        <v>41</v>
      </c>
      <c r="C386" s="41" t="s">
        <v>23</v>
      </c>
      <c r="D386" s="41" t="s">
        <v>42</v>
      </c>
      <c r="E386" s="41" t="s">
        <v>52</v>
      </c>
      <c r="F386" s="41" t="s">
        <v>51</v>
      </c>
      <c r="G386" s="41" t="s">
        <v>25</v>
      </c>
      <c r="H386" s="41" t="s">
        <v>25</v>
      </c>
      <c r="I386" s="60">
        <v>44682</v>
      </c>
      <c r="J386" s="61">
        <f>EFEITO!$J$386*EFEITO!$Y$290</f>
        <v>0</v>
      </c>
      <c r="K386" s="61">
        <f ca="1">EFEITO!$L$386*EFEITO!$Z$290</f>
        <v>553.39923155223312</v>
      </c>
      <c r="L386" s="61">
        <f>EFEITO!$N$386*EFEITO!$AA$290</f>
        <v>336.84328601541802</v>
      </c>
      <c r="M386" s="61">
        <f>$J$386-EFEITO!$K$386*EFEITO!$Y$386</f>
        <v>0</v>
      </c>
      <c r="N386" s="61">
        <f ca="1">$K$386-EFEITO!$M$386*EFEITO!$Z$386</f>
        <v>33.203953893134099</v>
      </c>
      <c r="O386" s="61">
        <f>$L$386-EFEITO!$O$386*EFEITO!$AA$386</f>
        <v>20.21059716092509</v>
      </c>
      <c r="P386" s="45"/>
      <c r="Q386" s="45"/>
      <c r="R386" s="45"/>
      <c r="S386" s="45"/>
      <c r="T386" s="45"/>
      <c r="U386" s="45"/>
      <c r="V386" s="45"/>
      <c r="W386" s="45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41" t="s">
        <v>21</v>
      </c>
      <c r="B387" s="41" t="s">
        <v>41</v>
      </c>
      <c r="C387" s="41" t="s">
        <v>23</v>
      </c>
      <c r="D387" s="41" t="s">
        <v>42</v>
      </c>
      <c r="E387" s="41" t="s">
        <v>52</v>
      </c>
      <c r="F387" s="41" t="s">
        <v>51</v>
      </c>
      <c r="G387" s="41" t="s">
        <v>25</v>
      </c>
      <c r="H387" s="41" t="s">
        <v>25</v>
      </c>
      <c r="I387" s="60">
        <v>44713</v>
      </c>
      <c r="J387" s="61">
        <f>EFEITO!$J$387*EFEITO!$Y$290</f>
        <v>0</v>
      </c>
      <c r="K387" s="61">
        <f ca="1">EFEITO!$L$387*EFEITO!$Z$290</f>
        <v>449.60738931737262</v>
      </c>
      <c r="L387" s="61">
        <f>EFEITO!$N$387*EFEITO!$AA$290</f>
        <v>273.66722214210859</v>
      </c>
      <c r="M387" s="61">
        <f>$J$387-EFEITO!$K$387*EFEITO!$Y$387</f>
        <v>0</v>
      </c>
      <c r="N387" s="61">
        <f ca="1">$K$387-EFEITO!$M$387*EFEITO!$Z$387</f>
        <v>26.976443359042435</v>
      </c>
      <c r="O387" s="61">
        <f>$L$387-EFEITO!$O$387*EFEITO!$AA$387</f>
        <v>16.420033328526529</v>
      </c>
      <c r="P387" s="45"/>
      <c r="Q387" s="45"/>
      <c r="R387" s="45"/>
      <c r="S387" s="45"/>
      <c r="T387" s="45"/>
      <c r="U387" s="45"/>
      <c r="V387" s="45"/>
      <c r="W387" s="45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41" t="s">
        <v>21</v>
      </c>
      <c r="B388" s="41" t="s">
        <v>41</v>
      </c>
      <c r="C388" s="41" t="s">
        <v>23</v>
      </c>
      <c r="D388" s="41" t="s">
        <v>42</v>
      </c>
      <c r="E388" s="41" t="s">
        <v>52</v>
      </c>
      <c r="F388" s="41" t="s">
        <v>51</v>
      </c>
      <c r="G388" s="41" t="s">
        <v>25</v>
      </c>
      <c r="H388" s="41" t="s">
        <v>25</v>
      </c>
      <c r="I388" s="60">
        <v>44743</v>
      </c>
      <c r="J388" s="61">
        <f>EFEITO!$J$388*EFEITO!$Y$290</f>
        <v>0</v>
      </c>
      <c r="K388" s="61">
        <f ca="1">EFEITO!$L$388*EFEITO!$Z$290</f>
        <v>347.70267148678238</v>
      </c>
      <c r="L388" s="61">
        <f>EFEITO!$N$388*EFEITO!$AA$290</f>
        <v>211.63981397558658</v>
      </c>
      <c r="M388" s="61">
        <f>$J$388-EFEITO!$K$388*EFEITO!$Y$388</f>
        <v>0</v>
      </c>
      <c r="N388" s="61">
        <f ca="1">$K$388-EFEITO!$M$388*EFEITO!$Z$388</f>
        <v>20.86216028920694</v>
      </c>
      <c r="O388" s="61">
        <f>$L$388-EFEITO!$O$388*EFEITO!$AA$388</f>
        <v>12.69838883853518</v>
      </c>
      <c r="P388" s="45"/>
      <c r="Q388" s="45"/>
      <c r="R388" s="45"/>
      <c r="S388" s="45"/>
      <c r="T388" s="45"/>
      <c r="U388" s="45"/>
      <c r="V388" s="45"/>
      <c r="W388" s="45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41" t="s">
        <v>21</v>
      </c>
      <c r="B389" s="41" t="s">
        <v>41</v>
      </c>
      <c r="C389" s="41" t="s">
        <v>23</v>
      </c>
      <c r="D389" s="41" t="s">
        <v>42</v>
      </c>
      <c r="E389" s="41" t="s">
        <v>52</v>
      </c>
      <c r="F389" s="41" t="s">
        <v>53</v>
      </c>
      <c r="G389" s="41" t="s">
        <v>25</v>
      </c>
      <c r="H389" s="41" t="s">
        <v>25</v>
      </c>
      <c r="I389" s="60">
        <v>44409</v>
      </c>
      <c r="J389" s="61">
        <f>EFEITO!$J$389*EFEITO!$Y$290</f>
        <v>0</v>
      </c>
      <c r="K389" s="61">
        <f ca="1">EFEITO!$L$389*EFEITO!$Z$290</f>
        <v>939.78795332655432</v>
      </c>
      <c r="L389" s="61">
        <f>EFEITO!$N$389*EFEITO!$AA$290</f>
        <v>572.03054198014718</v>
      </c>
      <c r="M389" s="61">
        <f>$J$389-EFEITO!$K$389*EFEITO!$Y$389</f>
        <v>0</v>
      </c>
      <c r="N389" s="61">
        <f ca="1">$K$389-EFEITO!$M$389*EFEITO!$Z$389</f>
        <v>586.42768287576996</v>
      </c>
      <c r="O389" s="61">
        <f>$L$389-EFEITO!$O$389*EFEITO!$AA$389</f>
        <v>356.94705819561182</v>
      </c>
      <c r="P389" s="45"/>
      <c r="Q389" s="45"/>
      <c r="R389" s="45"/>
      <c r="S389" s="45"/>
      <c r="T389" s="45"/>
      <c r="U389" s="45"/>
      <c r="V389" s="45"/>
      <c r="W389" s="45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41" t="s">
        <v>21</v>
      </c>
      <c r="B390" s="41" t="s">
        <v>41</v>
      </c>
      <c r="C390" s="41" t="s">
        <v>23</v>
      </c>
      <c r="D390" s="41" t="s">
        <v>42</v>
      </c>
      <c r="E390" s="41" t="s">
        <v>52</v>
      </c>
      <c r="F390" s="41" t="s">
        <v>53</v>
      </c>
      <c r="G390" s="41" t="s">
        <v>25</v>
      </c>
      <c r="H390" s="41" t="s">
        <v>25</v>
      </c>
      <c r="I390" s="60">
        <v>44440</v>
      </c>
      <c r="J390" s="61">
        <f>EFEITO!$J$390*EFEITO!$Y$290</f>
        <v>0</v>
      </c>
      <c r="K390" s="61">
        <f ca="1">EFEITO!$L$390*EFEITO!$Z$290</f>
        <v>949.22357534790524</v>
      </c>
      <c r="L390" s="61">
        <f>EFEITO!$N$390*EFEITO!$AA$290</f>
        <v>577.77382051408438</v>
      </c>
      <c r="M390" s="61">
        <f>$J$390-EFEITO!$K$390*EFEITO!$Y$390</f>
        <v>0</v>
      </c>
      <c r="N390" s="61">
        <f ca="1">$K$390-EFEITO!$M$390*EFEITO!$Z$390</f>
        <v>592.31551101709283</v>
      </c>
      <c r="O390" s="61">
        <f>$L$390-EFEITO!$O$390*EFEITO!$AA$390</f>
        <v>360.53086400078865</v>
      </c>
      <c r="P390" s="45"/>
      <c r="Q390" s="45"/>
      <c r="R390" s="45"/>
      <c r="S390" s="45"/>
      <c r="T390" s="45"/>
      <c r="U390" s="45"/>
      <c r="V390" s="45"/>
      <c r="W390" s="45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41" t="s">
        <v>21</v>
      </c>
      <c r="B391" s="41" t="s">
        <v>41</v>
      </c>
      <c r="C391" s="41" t="s">
        <v>23</v>
      </c>
      <c r="D391" s="41" t="s">
        <v>42</v>
      </c>
      <c r="E391" s="41" t="s">
        <v>52</v>
      </c>
      <c r="F391" s="41" t="s">
        <v>53</v>
      </c>
      <c r="G391" s="41" t="s">
        <v>25</v>
      </c>
      <c r="H391" s="41" t="s">
        <v>25</v>
      </c>
      <c r="I391" s="60">
        <v>44470</v>
      </c>
      <c r="J391" s="61">
        <f>EFEITO!$J$391*EFEITO!$Y$290</f>
        <v>0</v>
      </c>
      <c r="K391" s="61">
        <f ca="1">EFEITO!$L$391*EFEITO!$Z$290</f>
        <v>815.7095237457894</v>
      </c>
      <c r="L391" s="61">
        <f>EFEITO!$N$391*EFEITO!$AA$290</f>
        <v>496.50642925887274</v>
      </c>
      <c r="M391" s="61">
        <f>$J$391-EFEITO!$K$391*EFEITO!$Y$391</f>
        <v>0</v>
      </c>
      <c r="N391" s="61">
        <f ca="1">$K$391-EFEITO!$M$391*EFEITO!$Z$391</f>
        <v>509.00274281737262</v>
      </c>
      <c r="O391" s="61">
        <f>$L$391-EFEITO!$O$391*EFEITO!$AA$391</f>
        <v>309.8200118575366</v>
      </c>
      <c r="P391" s="45"/>
      <c r="Q391" s="45"/>
      <c r="R391" s="45"/>
      <c r="S391" s="45"/>
      <c r="T391" s="45"/>
      <c r="U391" s="45"/>
      <c r="V391" s="45"/>
      <c r="W391" s="45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41" t="s">
        <v>21</v>
      </c>
      <c r="B392" s="41" t="s">
        <v>41</v>
      </c>
      <c r="C392" s="41" t="s">
        <v>23</v>
      </c>
      <c r="D392" s="41" t="s">
        <v>42</v>
      </c>
      <c r="E392" s="41" t="s">
        <v>52</v>
      </c>
      <c r="F392" s="41" t="s">
        <v>53</v>
      </c>
      <c r="G392" s="41" t="s">
        <v>25</v>
      </c>
      <c r="H392" s="41" t="s">
        <v>25</v>
      </c>
      <c r="I392" s="60">
        <v>44501</v>
      </c>
      <c r="J392" s="61">
        <f>EFEITO!$J$392*EFEITO!$Y$290</f>
        <v>0</v>
      </c>
      <c r="K392" s="61">
        <f ca="1">EFEITO!$L$392*EFEITO!$Z$290</f>
        <v>430.26436417360321</v>
      </c>
      <c r="L392" s="61">
        <f>EFEITO!$N$392*EFEITO!$AA$290</f>
        <v>261.89350114753728</v>
      </c>
      <c r="M392" s="61">
        <f>$J$392-EFEITO!$K$392*EFEITO!$Y$392</f>
        <v>0</v>
      </c>
      <c r="N392" s="61">
        <f ca="1">$K$392-EFEITO!$M$392*EFEITO!$Z$392</f>
        <v>268.48496324432841</v>
      </c>
      <c r="O392" s="61">
        <f>$L$392-EFEITO!$O$392*EFEITO!$AA$392</f>
        <v>163.42154471606327</v>
      </c>
      <c r="P392" s="45"/>
      <c r="Q392" s="45"/>
      <c r="R392" s="45"/>
      <c r="S392" s="45"/>
      <c r="T392" s="45"/>
      <c r="U392" s="45"/>
      <c r="V392" s="45"/>
      <c r="W392" s="45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41" t="s">
        <v>21</v>
      </c>
      <c r="B393" s="41" t="s">
        <v>41</v>
      </c>
      <c r="C393" s="41" t="s">
        <v>23</v>
      </c>
      <c r="D393" s="41" t="s">
        <v>42</v>
      </c>
      <c r="E393" s="41" t="s">
        <v>52</v>
      </c>
      <c r="F393" s="41" t="s">
        <v>53</v>
      </c>
      <c r="G393" s="41" t="s">
        <v>25</v>
      </c>
      <c r="H393" s="41" t="s">
        <v>25</v>
      </c>
      <c r="I393" s="60">
        <v>44531</v>
      </c>
      <c r="J393" s="61">
        <f>EFEITO!$J$393*EFEITO!$Y$290</f>
        <v>0</v>
      </c>
      <c r="K393" s="61">
        <f ca="1">EFEITO!$L$393*EFEITO!$Z$290</f>
        <v>722.29686573441495</v>
      </c>
      <c r="L393" s="61">
        <f>EFEITO!$N$393*EFEITO!$AA$290</f>
        <v>439.64797177289421</v>
      </c>
      <c r="M393" s="61">
        <f>$J$393-EFEITO!$K$393*EFEITO!$Y$393</f>
        <v>0</v>
      </c>
      <c r="N393" s="61">
        <f ca="1">$K$393-EFEITO!$M$393*EFEITO!$Z$393</f>
        <v>450.71324421827489</v>
      </c>
      <c r="O393" s="61">
        <f>$L$393-EFEITO!$O$393*EFEITO!$AA$393</f>
        <v>274.34033438628592</v>
      </c>
      <c r="P393" s="45"/>
      <c r="Q393" s="45"/>
      <c r="R393" s="45"/>
      <c r="S393" s="45"/>
      <c r="T393" s="45"/>
      <c r="U393" s="45"/>
      <c r="V393" s="45"/>
      <c r="W393" s="45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41" t="s">
        <v>21</v>
      </c>
      <c r="B394" s="41" t="s">
        <v>41</v>
      </c>
      <c r="C394" s="41" t="s">
        <v>23</v>
      </c>
      <c r="D394" s="41" t="s">
        <v>42</v>
      </c>
      <c r="E394" s="41" t="s">
        <v>52</v>
      </c>
      <c r="F394" s="41" t="s">
        <v>53</v>
      </c>
      <c r="G394" s="41" t="s">
        <v>25</v>
      </c>
      <c r="H394" s="41" t="s">
        <v>25</v>
      </c>
      <c r="I394" s="60">
        <v>44562</v>
      </c>
      <c r="J394" s="61">
        <f>EFEITO!$J$394*EFEITO!$Y$290</f>
        <v>0</v>
      </c>
      <c r="K394" s="61">
        <f ca="1">EFEITO!$L$394*EFEITO!$Z$290</f>
        <v>614.25899358994673</v>
      </c>
      <c r="L394" s="61">
        <f>EFEITO!$N$394*EFEITO!$AA$290</f>
        <v>373.88743255931308</v>
      </c>
      <c r="M394" s="61">
        <f>$J$394-EFEITO!$K$394*EFEITO!$Y$394</f>
        <v>0</v>
      </c>
      <c r="N394" s="61">
        <f ca="1">$K$394-EFEITO!$M$394*EFEITO!$Z$394</f>
        <v>383.29761200012678</v>
      </c>
      <c r="O394" s="61">
        <f>$L$394-EFEITO!$O$394*EFEITO!$AA$394</f>
        <v>233.30575791701136</v>
      </c>
      <c r="P394" s="45"/>
      <c r="Q394" s="45"/>
      <c r="R394" s="45"/>
      <c r="S394" s="45"/>
      <c r="T394" s="45"/>
      <c r="U394" s="45"/>
      <c r="V394" s="45"/>
      <c r="W394" s="45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41" t="s">
        <v>21</v>
      </c>
      <c r="B395" s="41" t="s">
        <v>41</v>
      </c>
      <c r="C395" s="41" t="s">
        <v>23</v>
      </c>
      <c r="D395" s="41" t="s">
        <v>42</v>
      </c>
      <c r="E395" s="41" t="s">
        <v>52</v>
      </c>
      <c r="F395" s="41" t="s">
        <v>53</v>
      </c>
      <c r="G395" s="41" t="s">
        <v>25</v>
      </c>
      <c r="H395" s="41" t="s">
        <v>25</v>
      </c>
      <c r="I395" s="60">
        <v>44593</v>
      </c>
      <c r="J395" s="61">
        <f>EFEITO!$J$395*EFEITO!$Y$290</f>
        <v>0</v>
      </c>
      <c r="K395" s="61">
        <f ca="1">EFEITO!$L$395*EFEITO!$Z$290</f>
        <v>541.60470402554427</v>
      </c>
      <c r="L395" s="61">
        <f>EFEITO!$N$395*EFEITO!$AA$290</f>
        <v>329.66418784799646</v>
      </c>
      <c r="M395" s="61">
        <f>$J$395-EFEITO!$K$395*EFEITO!$Y$395</f>
        <v>0</v>
      </c>
      <c r="N395" s="61">
        <f ca="1">$K$395-EFEITO!$M$395*EFEITO!$Z$395</f>
        <v>337.96133531193959</v>
      </c>
      <c r="O395" s="61">
        <f>$L$395-EFEITO!$O$395*EFEITO!$AA$395</f>
        <v>205.71045321714979</v>
      </c>
      <c r="P395" s="45"/>
      <c r="Q395" s="45"/>
      <c r="R395" s="45"/>
      <c r="S395" s="45"/>
      <c r="T395" s="45"/>
      <c r="U395" s="45"/>
      <c r="V395" s="45"/>
      <c r="W395" s="45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41" t="s">
        <v>21</v>
      </c>
      <c r="B396" s="41" t="s">
        <v>41</v>
      </c>
      <c r="C396" s="41" t="s">
        <v>23</v>
      </c>
      <c r="D396" s="41" t="s">
        <v>42</v>
      </c>
      <c r="E396" s="41" t="s">
        <v>52</v>
      </c>
      <c r="F396" s="41" t="s">
        <v>53</v>
      </c>
      <c r="G396" s="41" t="s">
        <v>25</v>
      </c>
      <c r="H396" s="41" t="s">
        <v>25</v>
      </c>
      <c r="I396" s="60">
        <v>44621</v>
      </c>
      <c r="J396" s="61">
        <f>EFEITO!$J$396*EFEITO!$Y$290</f>
        <v>0</v>
      </c>
      <c r="K396" s="61">
        <f ca="1">EFEITO!$L$396*EFEITO!$Z$290</f>
        <v>346.28732818357975</v>
      </c>
      <c r="L396" s="61">
        <f>EFEITO!$N$396*EFEITO!$AA$290</f>
        <v>210.778322195496</v>
      </c>
      <c r="M396" s="61">
        <f>$J$396-EFEITO!$K$396*EFEITO!$Y$396</f>
        <v>0</v>
      </c>
      <c r="N396" s="61">
        <f ca="1">$K$396-EFEITO!$M$396*EFEITO!$Z$396</f>
        <v>216.08329278655376</v>
      </c>
      <c r="O396" s="61">
        <f>$L$396-EFEITO!$O$396*EFEITO!$AA$396</f>
        <v>131.52567304998951</v>
      </c>
      <c r="P396" s="45"/>
      <c r="Q396" s="45"/>
      <c r="R396" s="45"/>
      <c r="S396" s="45"/>
      <c r="T396" s="45"/>
      <c r="U396" s="45"/>
      <c r="V396" s="45"/>
      <c r="W396" s="45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41" t="s">
        <v>21</v>
      </c>
      <c r="B397" s="41" t="s">
        <v>41</v>
      </c>
      <c r="C397" s="41" t="s">
        <v>23</v>
      </c>
      <c r="D397" s="41" t="s">
        <v>42</v>
      </c>
      <c r="E397" s="41" t="s">
        <v>52</v>
      </c>
      <c r="F397" s="41" t="s">
        <v>53</v>
      </c>
      <c r="G397" s="41" t="s">
        <v>25</v>
      </c>
      <c r="H397" s="41" t="s">
        <v>25</v>
      </c>
      <c r="I397" s="60">
        <v>44652</v>
      </c>
      <c r="J397" s="61">
        <f>EFEITO!$J$397*EFEITO!$Y$290</f>
        <v>0</v>
      </c>
      <c r="K397" s="61">
        <f ca="1">EFEITO!$L$397*EFEITO!$Z$290</f>
        <v>421.3005232533198</v>
      </c>
      <c r="L397" s="61">
        <f>EFEITO!$N$397*EFEITO!$AA$290</f>
        <v>256.43738654029693</v>
      </c>
      <c r="M397" s="61">
        <f>$J$397-EFEITO!$K$397*EFEITO!$Y$397</f>
        <v>0</v>
      </c>
      <c r="N397" s="61">
        <f ca="1">$K$397-EFEITO!$M$397*EFEITO!$Z$397</f>
        <v>262.89152651007157</v>
      </c>
      <c r="O397" s="61">
        <f>$L$397-EFEITO!$O$397*EFEITO!$AA$397</f>
        <v>160.01692920114527</v>
      </c>
      <c r="P397" s="45"/>
      <c r="Q397" s="45"/>
      <c r="R397" s="45"/>
      <c r="S397" s="45"/>
      <c r="T397" s="45"/>
      <c r="U397" s="45"/>
      <c r="V397" s="45"/>
      <c r="W397" s="45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41" t="s">
        <v>21</v>
      </c>
      <c r="B398" s="41" t="s">
        <v>41</v>
      </c>
      <c r="C398" s="41" t="s">
        <v>23</v>
      </c>
      <c r="D398" s="41" t="s">
        <v>42</v>
      </c>
      <c r="E398" s="41" t="s">
        <v>52</v>
      </c>
      <c r="F398" s="41" t="s">
        <v>53</v>
      </c>
      <c r="G398" s="41" t="s">
        <v>25</v>
      </c>
      <c r="H398" s="41" t="s">
        <v>25</v>
      </c>
      <c r="I398" s="60">
        <v>44682</v>
      </c>
      <c r="J398" s="61">
        <f>EFEITO!$J$398*EFEITO!$Y$290</f>
        <v>0</v>
      </c>
      <c r="K398" s="61">
        <f ca="1">EFEITO!$L$398*EFEITO!$Z$290</f>
        <v>723.71220903761764</v>
      </c>
      <c r="L398" s="61">
        <f>EFEITO!$N$398*EFEITO!$AA$290</f>
        <v>440.50946355298487</v>
      </c>
      <c r="M398" s="61">
        <f>$J$398-EFEITO!$K$398*EFEITO!$Y$398</f>
        <v>0</v>
      </c>
      <c r="N398" s="61">
        <f ca="1">$K$398-EFEITO!$M$398*EFEITO!$Z$398</f>
        <v>451.59641843947344</v>
      </c>
      <c r="O398" s="61">
        <f>$L$398-EFEITO!$O$398*EFEITO!$AA$398</f>
        <v>274.87790525706259</v>
      </c>
      <c r="P398" s="45"/>
      <c r="Q398" s="45"/>
      <c r="R398" s="45"/>
      <c r="S398" s="45"/>
      <c r="T398" s="45"/>
      <c r="U398" s="45"/>
      <c r="V398" s="45"/>
      <c r="W398" s="45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41" t="s">
        <v>21</v>
      </c>
      <c r="B399" s="41" t="s">
        <v>41</v>
      </c>
      <c r="C399" s="41" t="s">
        <v>23</v>
      </c>
      <c r="D399" s="41" t="s">
        <v>42</v>
      </c>
      <c r="E399" s="41" t="s">
        <v>52</v>
      </c>
      <c r="F399" s="41" t="s">
        <v>53</v>
      </c>
      <c r="G399" s="41" t="s">
        <v>25</v>
      </c>
      <c r="H399" s="41" t="s">
        <v>25</v>
      </c>
      <c r="I399" s="60">
        <v>44713</v>
      </c>
      <c r="J399" s="61">
        <f>EFEITO!$J$399*EFEITO!$Y$290</f>
        <v>0</v>
      </c>
      <c r="K399" s="61">
        <f ca="1">EFEITO!$L$399*EFEITO!$Z$290</f>
        <v>694.93356187249731</v>
      </c>
      <c r="L399" s="61">
        <f>EFEITO!$N$399*EFEITO!$AA$290</f>
        <v>422.99246402447636</v>
      </c>
      <c r="M399" s="61">
        <f>$J$399-EFEITO!$K$399*EFEITO!$Y$399</f>
        <v>0</v>
      </c>
      <c r="N399" s="61">
        <f ca="1">$K$399-EFEITO!$M$399*EFEITO!$Z$399</f>
        <v>433.6385426084384</v>
      </c>
      <c r="O399" s="61">
        <f>$L$399-EFEITO!$O$399*EFEITO!$AA$399</f>
        <v>263.94729755127332</v>
      </c>
      <c r="P399" s="45"/>
      <c r="Q399" s="45"/>
      <c r="R399" s="45"/>
      <c r="S399" s="45"/>
      <c r="T399" s="45"/>
      <c r="U399" s="45"/>
      <c r="V399" s="45"/>
      <c r="W399" s="45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41" t="s">
        <v>21</v>
      </c>
      <c r="B400" s="41" t="s">
        <v>41</v>
      </c>
      <c r="C400" s="41" t="s">
        <v>23</v>
      </c>
      <c r="D400" s="41" t="s">
        <v>42</v>
      </c>
      <c r="E400" s="41" t="s">
        <v>52</v>
      </c>
      <c r="F400" s="41" t="s">
        <v>53</v>
      </c>
      <c r="G400" s="41" t="s">
        <v>25</v>
      </c>
      <c r="H400" s="41" t="s">
        <v>25</v>
      </c>
      <c r="I400" s="60">
        <v>44743</v>
      </c>
      <c r="J400" s="61">
        <f>EFEITO!$J$400*EFEITO!$Y$290</f>
        <v>0</v>
      </c>
      <c r="K400" s="61">
        <f ca="1">EFEITO!$L$400*EFEITO!$Z$290</f>
        <v>422.24408545545487</v>
      </c>
      <c r="L400" s="61">
        <f>EFEITO!$N$400*EFEITO!$AA$290</f>
        <v>257.01171439369062</v>
      </c>
      <c r="M400" s="61">
        <f>$J$400-EFEITO!$K$400*EFEITO!$Y$400</f>
        <v>0</v>
      </c>
      <c r="N400" s="61">
        <f ca="1">$K$400-EFEITO!$M$400*EFEITO!$Z$400</f>
        <v>263.48030932420386</v>
      </c>
      <c r="O400" s="61">
        <f>$L$400-EFEITO!$O$400*EFEITO!$AA$400</f>
        <v>160.37530978166296</v>
      </c>
      <c r="P400" s="45"/>
      <c r="Q400" s="45"/>
      <c r="R400" s="45"/>
      <c r="S400" s="45"/>
      <c r="T400" s="45"/>
      <c r="U400" s="45"/>
      <c r="V400" s="45"/>
      <c r="W400" s="45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41" t="s">
        <v>21</v>
      </c>
      <c r="B401" s="41" t="s">
        <v>41</v>
      </c>
      <c r="C401" s="41" t="s">
        <v>23</v>
      </c>
      <c r="D401" s="41" t="s">
        <v>42</v>
      </c>
      <c r="E401" s="41" t="s">
        <v>25</v>
      </c>
      <c r="F401" s="41" t="s">
        <v>25</v>
      </c>
      <c r="G401" s="41" t="s">
        <v>25</v>
      </c>
      <c r="H401" s="41" t="s">
        <v>25</v>
      </c>
      <c r="I401" s="60">
        <v>44409</v>
      </c>
      <c r="J401" s="61">
        <f>EFEITO!$J$401*EFEITO!$Y$290</f>
        <v>0</v>
      </c>
      <c r="K401" s="61">
        <f ca="1">EFEITO!$L$401*EFEITO!$Z$290</f>
        <v>94941.228778833232</v>
      </c>
      <c r="L401" s="61">
        <f>EFEITO!$N$401*EFEITO!$AA$290</f>
        <v>57788.868608476318</v>
      </c>
      <c r="M401" s="61">
        <f>$J$401-EFEITO!$K$401*EFEITO!$Y$401</f>
        <v>0</v>
      </c>
      <c r="N401" s="61">
        <f ca="1">$K$401-EFEITO!$M$401*EFEITO!$Z$401</f>
        <v>5696.4737267300079</v>
      </c>
      <c r="O401" s="61">
        <f>$L$401-EFEITO!$O$401*EFEITO!$AA$401</f>
        <v>3467.3321165085799</v>
      </c>
      <c r="P401" s="45"/>
      <c r="Q401" s="45"/>
      <c r="R401" s="45"/>
      <c r="S401" s="45"/>
      <c r="T401" s="45"/>
      <c r="U401" s="45"/>
      <c r="V401" s="45"/>
      <c r="W401" s="45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41" t="s">
        <v>27</v>
      </c>
      <c r="B402" s="41" t="s">
        <v>41</v>
      </c>
      <c r="C402" s="41" t="s">
        <v>23</v>
      </c>
      <c r="D402" s="41" t="s">
        <v>42</v>
      </c>
      <c r="E402" s="41" t="s">
        <v>25</v>
      </c>
      <c r="F402" s="41" t="s">
        <v>25</v>
      </c>
      <c r="G402" s="41" t="s">
        <v>25</v>
      </c>
      <c r="H402" s="41" t="s">
        <v>25</v>
      </c>
      <c r="I402" s="60">
        <v>44409</v>
      </c>
      <c r="J402" s="61">
        <f>EFEITO!$J$402*EFEITO!$Y$290</f>
        <v>0</v>
      </c>
      <c r="K402" s="61">
        <f ca="1">EFEITO!$L$402*EFEITO!$Z$290</f>
        <v>2127.7327658146382</v>
      </c>
      <c r="L402" s="61">
        <f>EFEITO!$N$402*EFEITO!$AA$290</f>
        <v>1295.1093094028433</v>
      </c>
      <c r="M402" s="61">
        <f>$J$402-EFEITO!$K$402*EFEITO!$Y$402</f>
        <v>0</v>
      </c>
      <c r="N402" s="61">
        <f ca="1">$K$402-EFEITO!$M$402*EFEITO!$Z$402</f>
        <v>127.66396594887829</v>
      </c>
      <c r="O402" s="61">
        <f>$L$402-EFEITO!$O$402*EFEITO!$AA$402</f>
        <v>77.706558564170791</v>
      </c>
      <c r="P402" s="45"/>
      <c r="Q402" s="45"/>
      <c r="R402" s="45"/>
      <c r="S402" s="45"/>
      <c r="T402" s="45"/>
      <c r="U402" s="45"/>
      <c r="V402" s="45"/>
      <c r="W402" s="45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41" t="s">
        <v>21</v>
      </c>
      <c r="B403" s="41" t="s">
        <v>41</v>
      </c>
      <c r="C403" s="41" t="s">
        <v>23</v>
      </c>
      <c r="D403" s="41" t="s">
        <v>42</v>
      </c>
      <c r="E403" s="41" t="s">
        <v>25</v>
      </c>
      <c r="F403" s="41" t="s">
        <v>25</v>
      </c>
      <c r="G403" s="41" t="s">
        <v>25</v>
      </c>
      <c r="H403" s="41" t="s">
        <v>25</v>
      </c>
      <c r="I403" s="60">
        <v>44440</v>
      </c>
      <c r="J403" s="61">
        <f>EFEITO!$J$403*EFEITO!$Y$290</f>
        <v>0</v>
      </c>
      <c r="K403" s="61">
        <f ca="1">EFEITO!$L$403*EFEITO!$Z$290</f>
        <v>107618.4587456193</v>
      </c>
      <c r="L403" s="61">
        <f>EFEITO!$N$403*EFEITO!$AA$290</f>
        <v>65505.250482747666</v>
      </c>
      <c r="M403" s="61">
        <f>$J$403-EFEITO!$K$403*EFEITO!$Y$403</f>
        <v>0</v>
      </c>
      <c r="N403" s="61">
        <f ca="1">$K$403-EFEITO!$M$403*EFEITO!$Z$403</f>
        <v>6457.1075247371773</v>
      </c>
      <c r="O403" s="61">
        <f>$L$403-EFEITO!$O$403*EFEITO!$AA$403</f>
        <v>3930.315028964862</v>
      </c>
      <c r="P403" s="45"/>
      <c r="Q403" s="45"/>
      <c r="R403" s="45"/>
      <c r="S403" s="45"/>
      <c r="T403" s="45"/>
      <c r="U403" s="45"/>
      <c r="V403" s="45"/>
      <c r="W403" s="45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41" t="s">
        <v>27</v>
      </c>
      <c r="B404" s="41" t="s">
        <v>41</v>
      </c>
      <c r="C404" s="41" t="s">
        <v>23</v>
      </c>
      <c r="D404" s="41" t="s">
        <v>42</v>
      </c>
      <c r="E404" s="41" t="s">
        <v>25</v>
      </c>
      <c r="F404" s="41" t="s">
        <v>25</v>
      </c>
      <c r="G404" s="41" t="s">
        <v>25</v>
      </c>
      <c r="H404" s="41" t="s">
        <v>25</v>
      </c>
      <c r="I404" s="60">
        <v>44440</v>
      </c>
      <c r="J404" s="61">
        <f>EFEITO!$J$404*EFEITO!$Y$290</f>
        <v>0</v>
      </c>
      <c r="K404" s="61">
        <f ca="1">EFEITO!$L$404*EFEITO!$Z$290</f>
        <v>3425.1307937503939</v>
      </c>
      <c r="L404" s="61">
        <f>EFEITO!$N$404*EFEITO!$AA$290</f>
        <v>2084.8101078192112</v>
      </c>
      <c r="M404" s="61">
        <f>$J$404-EFEITO!$K$404*EFEITO!$Y$404</f>
        <v>0</v>
      </c>
      <c r="N404" s="61">
        <f ca="1">$K$404-EFEITO!$M$404*EFEITO!$Z$404</f>
        <v>205.50784762502417</v>
      </c>
      <c r="O404" s="61">
        <f>$L$404-EFEITO!$O$404*EFEITO!$AA$404</f>
        <v>125.08860646915286</v>
      </c>
      <c r="P404" s="45"/>
      <c r="Q404" s="45"/>
      <c r="R404" s="45"/>
      <c r="S404" s="45"/>
      <c r="T404" s="45"/>
      <c r="U404" s="45"/>
      <c r="V404" s="45"/>
      <c r="W404" s="45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41" t="s">
        <v>21</v>
      </c>
      <c r="B405" s="41" t="s">
        <v>41</v>
      </c>
      <c r="C405" s="41" t="s">
        <v>23</v>
      </c>
      <c r="D405" s="41" t="s">
        <v>42</v>
      </c>
      <c r="E405" s="41" t="s">
        <v>25</v>
      </c>
      <c r="F405" s="41" t="s">
        <v>25</v>
      </c>
      <c r="G405" s="41" t="s">
        <v>25</v>
      </c>
      <c r="H405" s="41" t="s">
        <v>25</v>
      </c>
      <c r="I405" s="60">
        <v>44470</v>
      </c>
      <c r="J405" s="61">
        <f>EFEITO!$J$405*EFEITO!$Y$290</f>
        <v>0</v>
      </c>
      <c r="K405" s="61">
        <f ca="1">EFEITO!$L$405*EFEITO!$Z$290</f>
        <v>105230.77459311644</v>
      </c>
      <c r="L405" s="61">
        <f>EFEITO!$N$405*EFEITO!$AA$290</f>
        <v>64051.913849734861</v>
      </c>
      <c r="M405" s="61">
        <f>$J$405-EFEITO!$K$405*EFEITO!$Y$405</f>
        <v>0</v>
      </c>
      <c r="N405" s="61">
        <f ca="1">$K$405-EFEITO!$M$405*EFEITO!$Z$405</f>
        <v>6313.8464755869936</v>
      </c>
      <c r="O405" s="61">
        <f>$L$405-EFEITO!$O$405*EFEITO!$AA$405</f>
        <v>3843.1148309840937</v>
      </c>
      <c r="P405" s="45"/>
      <c r="Q405" s="45"/>
      <c r="R405" s="45"/>
      <c r="S405" s="45"/>
      <c r="T405" s="45"/>
      <c r="U405" s="45"/>
      <c r="V405" s="45"/>
      <c r="W405" s="45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41" t="s">
        <v>27</v>
      </c>
      <c r="B406" s="41" t="s">
        <v>41</v>
      </c>
      <c r="C406" s="41" t="s">
        <v>23</v>
      </c>
      <c r="D406" s="41" t="s">
        <v>42</v>
      </c>
      <c r="E406" s="41" t="s">
        <v>25</v>
      </c>
      <c r="F406" s="41" t="s">
        <v>25</v>
      </c>
      <c r="G406" s="41" t="s">
        <v>25</v>
      </c>
      <c r="H406" s="41" t="s">
        <v>25</v>
      </c>
      <c r="I406" s="60">
        <v>44470</v>
      </c>
      <c r="J406" s="61">
        <f>EFEITO!$J$406*EFEITO!$Y$290</f>
        <v>0</v>
      </c>
      <c r="K406" s="61">
        <f ca="1">EFEITO!$L$406*EFEITO!$Z$290</f>
        <v>5106.5586379551323</v>
      </c>
      <c r="L406" s="61">
        <f>EFEITO!$N$406*EFEITO!$AA$290</f>
        <v>3108.2623425668239</v>
      </c>
      <c r="M406" s="61">
        <f>$J$406-EFEITO!$K$406*EFEITO!$Y$406</f>
        <v>0</v>
      </c>
      <c r="N406" s="61">
        <f ca="1">$K$406-EFEITO!$M$406*EFEITO!$Z$406</f>
        <v>306.39351827730843</v>
      </c>
      <c r="O406" s="61">
        <f>$L$406-EFEITO!$O$406*EFEITO!$AA$406</f>
        <v>186.49574055400944</v>
      </c>
      <c r="P406" s="45"/>
      <c r="Q406" s="45"/>
      <c r="R406" s="45"/>
      <c r="S406" s="45"/>
      <c r="T406" s="45"/>
      <c r="U406" s="45"/>
      <c r="V406" s="45"/>
      <c r="W406" s="45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41" t="s">
        <v>21</v>
      </c>
      <c r="B407" s="41" t="s">
        <v>41</v>
      </c>
      <c r="C407" s="41" t="s">
        <v>23</v>
      </c>
      <c r="D407" s="41" t="s">
        <v>42</v>
      </c>
      <c r="E407" s="41" t="s">
        <v>25</v>
      </c>
      <c r="F407" s="41" t="s">
        <v>25</v>
      </c>
      <c r="G407" s="41" t="s">
        <v>25</v>
      </c>
      <c r="H407" s="41" t="s">
        <v>25</v>
      </c>
      <c r="I407" s="60">
        <v>44501</v>
      </c>
      <c r="J407" s="61">
        <f>EFEITO!$J$407*EFEITO!$Y$290</f>
        <v>0</v>
      </c>
      <c r="K407" s="61">
        <f ca="1">EFEITO!$L$407*EFEITO!$Z$290</f>
        <v>134201.4366663713</v>
      </c>
      <c r="L407" s="61">
        <f>EFEITO!$N$407*EFEITO!$AA$290</f>
        <v>81685.789096409004</v>
      </c>
      <c r="M407" s="61">
        <f>$J$407-EFEITO!$K$407*EFEITO!$Y$407</f>
        <v>0</v>
      </c>
      <c r="N407" s="61">
        <f ca="1">$K$407-EFEITO!$M$407*EFEITO!$Z$407</f>
        <v>8052.086199982281</v>
      </c>
      <c r="O407" s="61">
        <f>$L$407-EFEITO!$O$407*EFEITO!$AA$407</f>
        <v>4901.1473457845423</v>
      </c>
      <c r="P407" s="45"/>
      <c r="Q407" s="45"/>
      <c r="R407" s="45"/>
      <c r="S407" s="45"/>
      <c r="T407" s="45"/>
      <c r="U407" s="45"/>
      <c r="V407" s="45"/>
      <c r="W407" s="45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41" t="s">
        <v>27</v>
      </c>
      <c r="B408" s="41" t="s">
        <v>41</v>
      </c>
      <c r="C408" s="41" t="s">
        <v>23</v>
      </c>
      <c r="D408" s="41" t="s">
        <v>42</v>
      </c>
      <c r="E408" s="41" t="s">
        <v>25</v>
      </c>
      <c r="F408" s="41" t="s">
        <v>25</v>
      </c>
      <c r="G408" s="41" t="s">
        <v>25</v>
      </c>
      <c r="H408" s="41" t="s">
        <v>25</v>
      </c>
      <c r="I408" s="60">
        <v>44501</v>
      </c>
      <c r="J408" s="61">
        <f>EFEITO!$J$408*EFEITO!$Y$290</f>
        <v>0</v>
      </c>
      <c r="K408" s="61">
        <f ca="1">EFEITO!$L$408*EFEITO!$Z$290</f>
        <v>8000.4639119034673</v>
      </c>
      <c r="L408" s="61">
        <f>EFEITO!$N$408*EFEITO!$AA$290</f>
        <v>4869.7258689253695</v>
      </c>
      <c r="M408" s="61">
        <f>$J$408-EFEITO!$K$408*EFEITO!$Y$408</f>
        <v>0</v>
      </c>
      <c r="N408" s="61">
        <f ca="1">$K$408-EFEITO!$M$408*EFEITO!$Z$408</f>
        <v>480.02783471420844</v>
      </c>
      <c r="O408" s="61">
        <f>$L$408-EFEITO!$O$408*EFEITO!$AA$408</f>
        <v>292.1835521355224</v>
      </c>
      <c r="P408" s="45"/>
      <c r="Q408" s="45"/>
      <c r="R408" s="45"/>
      <c r="S408" s="45"/>
      <c r="T408" s="45"/>
      <c r="U408" s="45"/>
      <c r="V408" s="45"/>
      <c r="W408" s="45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41" t="s">
        <v>21</v>
      </c>
      <c r="B409" s="41" t="s">
        <v>41</v>
      </c>
      <c r="C409" s="41" t="s">
        <v>23</v>
      </c>
      <c r="D409" s="41" t="s">
        <v>42</v>
      </c>
      <c r="E409" s="41" t="s">
        <v>25</v>
      </c>
      <c r="F409" s="41" t="s">
        <v>25</v>
      </c>
      <c r="G409" s="41" t="s">
        <v>25</v>
      </c>
      <c r="H409" s="41" t="s">
        <v>25</v>
      </c>
      <c r="I409" s="60">
        <v>44531</v>
      </c>
      <c r="J409" s="61">
        <f>EFEITO!$J$409*EFEITO!$Y$290</f>
        <v>0</v>
      </c>
      <c r="K409" s="61">
        <f ca="1">EFEITO!$L$409*EFEITO!$Z$290</f>
        <v>163213.61547652015</v>
      </c>
      <c r="L409" s="61">
        <f>EFEITO!$N$409*EFEITO!$AA$290</f>
        <v>99344.934768632476</v>
      </c>
      <c r="M409" s="61">
        <f>$J$409-EFEITO!$K$409*EFEITO!$Y$409</f>
        <v>0</v>
      </c>
      <c r="N409" s="61">
        <f ca="1">$K$409-EFEITO!$M$409*EFEITO!$Z$409</f>
        <v>9792.81692859123</v>
      </c>
      <c r="O409" s="61">
        <f>$L$409-EFEITO!$O$409*EFEITO!$AA$409</f>
        <v>5960.6960861179541</v>
      </c>
      <c r="P409" s="45"/>
      <c r="Q409" s="45"/>
      <c r="R409" s="45"/>
      <c r="S409" s="45"/>
      <c r="T409" s="45"/>
      <c r="U409" s="45"/>
      <c r="V409" s="45"/>
      <c r="W409" s="45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41" t="s">
        <v>27</v>
      </c>
      <c r="B410" s="41" t="s">
        <v>41</v>
      </c>
      <c r="C410" s="41" t="s">
        <v>23</v>
      </c>
      <c r="D410" s="41" t="s">
        <v>42</v>
      </c>
      <c r="E410" s="41" t="s">
        <v>25</v>
      </c>
      <c r="F410" s="41" t="s">
        <v>25</v>
      </c>
      <c r="G410" s="41" t="s">
        <v>25</v>
      </c>
      <c r="H410" s="41" t="s">
        <v>25</v>
      </c>
      <c r="I410" s="60">
        <v>44531</v>
      </c>
      <c r="J410" s="61">
        <f>EFEITO!$J$410*EFEITO!$Y$290</f>
        <v>0</v>
      </c>
      <c r="K410" s="61">
        <f ca="1">EFEITO!$L$410*EFEITO!$Z$290</f>
        <v>17259.639801455152</v>
      </c>
      <c r="L410" s="61">
        <f>EFEITO!$N$410*EFEITO!$AA$290</f>
        <v>10505.605094277966</v>
      </c>
      <c r="M410" s="61">
        <f>$J$410-EFEITO!$K$410*EFEITO!$Y$410</f>
        <v>0</v>
      </c>
      <c r="N410" s="61">
        <f ca="1">$K$410-EFEITO!$M$410*EFEITO!$Z$410</f>
        <v>1035.5783880873096</v>
      </c>
      <c r="O410" s="61">
        <f>$L$410-EFEITO!$O$410*EFEITO!$AA$410</f>
        <v>630.33630565667772</v>
      </c>
      <c r="P410" s="45"/>
      <c r="Q410" s="45"/>
      <c r="R410" s="45"/>
      <c r="S410" s="45"/>
      <c r="T410" s="45"/>
      <c r="U410" s="45"/>
      <c r="V410" s="45"/>
      <c r="W410" s="45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41" t="s">
        <v>21</v>
      </c>
      <c r="B411" s="41" t="s">
        <v>41</v>
      </c>
      <c r="C411" s="41" t="s">
        <v>23</v>
      </c>
      <c r="D411" s="41" t="s">
        <v>42</v>
      </c>
      <c r="E411" s="41" t="s">
        <v>25</v>
      </c>
      <c r="F411" s="41" t="s">
        <v>25</v>
      </c>
      <c r="G411" s="41" t="s">
        <v>25</v>
      </c>
      <c r="H411" s="41" t="s">
        <v>25</v>
      </c>
      <c r="I411" s="60">
        <v>44562</v>
      </c>
      <c r="J411" s="61">
        <f>EFEITO!$J$411*EFEITO!$Y$290</f>
        <v>0</v>
      </c>
      <c r="K411" s="61">
        <f ca="1">EFEITO!$L$411*EFEITO!$Z$290</f>
        <v>142516.57857268685</v>
      </c>
      <c r="L411" s="61">
        <f>EFEITO!$N$411*EFEITO!$AA$290</f>
        <v>86747.053304441171</v>
      </c>
      <c r="M411" s="61">
        <f>$J$411-EFEITO!$K$411*EFEITO!$Y$411</f>
        <v>0</v>
      </c>
      <c r="N411" s="61">
        <f ca="1">$K$411-EFEITO!$M$411*EFEITO!$Z$411</f>
        <v>8550.9947143612371</v>
      </c>
      <c r="O411" s="61">
        <f>$L$411-EFEITO!$O$411*EFEITO!$AA$411</f>
        <v>5204.8231982664583</v>
      </c>
      <c r="P411" s="45"/>
      <c r="Q411" s="45"/>
      <c r="R411" s="45"/>
      <c r="S411" s="45"/>
      <c r="T411" s="45"/>
      <c r="U411" s="45"/>
      <c r="V411" s="45"/>
      <c r="W411" s="45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41" t="s">
        <v>27</v>
      </c>
      <c r="B412" s="41" t="s">
        <v>41</v>
      </c>
      <c r="C412" s="41" t="s">
        <v>23</v>
      </c>
      <c r="D412" s="41" t="s">
        <v>42</v>
      </c>
      <c r="E412" s="41" t="s">
        <v>25</v>
      </c>
      <c r="F412" s="41" t="s">
        <v>25</v>
      </c>
      <c r="G412" s="41" t="s">
        <v>25</v>
      </c>
      <c r="H412" s="41" t="s">
        <v>25</v>
      </c>
      <c r="I412" s="60">
        <v>44562</v>
      </c>
      <c r="J412" s="61">
        <f>EFEITO!$J$412*EFEITO!$Y$290</f>
        <v>0</v>
      </c>
      <c r="K412" s="61">
        <f ca="1">EFEITO!$L$412*EFEITO!$Z$290</f>
        <v>12572.966343450136</v>
      </c>
      <c r="L412" s="61">
        <f>EFEITO!$N$412*EFEITO!$AA$290</f>
        <v>7652.9186464713466</v>
      </c>
      <c r="M412" s="61">
        <f>$J$412-EFEITO!$K$412*EFEITO!$Y$412</f>
        <v>0</v>
      </c>
      <c r="N412" s="61">
        <f ca="1">$K$412-EFEITO!$M$412*EFEITO!$Z$412</f>
        <v>754.37798060700879</v>
      </c>
      <c r="O412" s="61">
        <f>$L$412-EFEITO!$O$412*EFEITO!$AA$412</f>
        <v>459.175118788281</v>
      </c>
      <c r="P412" s="45"/>
      <c r="Q412" s="45"/>
      <c r="R412" s="45"/>
      <c r="S412" s="45"/>
      <c r="T412" s="45"/>
      <c r="U412" s="45"/>
      <c r="V412" s="45"/>
      <c r="W412" s="45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41" t="s">
        <v>21</v>
      </c>
      <c r="B413" s="41" t="s">
        <v>41</v>
      </c>
      <c r="C413" s="41" t="s">
        <v>23</v>
      </c>
      <c r="D413" s="41" t="s">
        <v>42</v>
      </c>
      <c r="E413" s="41" t="s">
        <v>25</v>
      </c>
      <c r="F413" s="41" t="s">
        <v>25</v>
      </c>
      <c r="G413" s="41" t="s">
        <v>25</v>
      </c>
      <c r="H413" s="41" t="s">
        <v>25</v>
      </c>
      <c r="I413" s="60">
        <v>44593</v>
      </c>
      <c r="J413" s="61">
        <f>EFEITO!$J$413*EFEITO!$Y$290</f>
        <v>0</v>
      </c>
      <c r="K413" s="61">
        <f ca="1">EFEITO!$L$413*EFEITO!$Z$290</f>
        <v>130398.40921066582</v>
      </c>
      <c r="L413" s="61">
        <f>EFEITO!$N$413*EFEITO!$AA$290</f>
        <v>79370.960683305602</v>
      </c>
      <c r="M413" s="61">
        <f>$J$413-EFEITO!$K$413*EFEITO!$Y$413</f>
        <v>0</v>
      </c>
      <c r="N413" s="61">
        <f ca="1">$K$413-EFEITO!$M$413*EFEITO!$Z$413</f>
        <v>7823.9045526399568</v>
      </c>
      <c r="O413" s="61">
        <f>$L$413-EFEITO!$O$413*EFEITO!$AA$413</f>
        <v>4762.2576409983303</v>
      </c>
      <c r="P413" s="45"/>
      <c r="Q413" s="45"/>
      <c r="R413" s="45"/>
      <c r="S413" s="45"/>
      <c r="T413" s="45"/>
      <c r="U413" s="45"/>
      <c r="V413" s="45"/>
      <c r="W413" s="45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41" t="s">
        <v>27</v>
      </c>
      <c r="B414" s="41" t="s">
        <v>41</v>
      </c>
      <c r="C414" s="41" t="s">
        <v>23</v>
      </c>
      <c r="D414" s="41" t="s">
        <v>42</v>
      </c>
      <c r="E414" s="41" t="s">
        <v>25</v>
      </c>
      <c r="F414" s="41" t="s">
        <v>25</v>
      </c>
      <c r="G414" s="41" t="s">
        <v>25</v>
      </c>
      <c r="H414" s="41" t="s">
        <v>25</v>
      </c>
      <c r="I414" s="60">
        <v>44593</v>
      </c>
      <c r="J414" s="61">
        <f>EFEITO!$J$414*EFEITO!$Y$290</f>
        <v>0</v>
      </c>
      <c r="K414" s="61">
        <f ca="1">EFEITO!$L$414*EFEITO!$Z$290</f>
        <v>18048.929583541158</v>
      </c>
      <c r="L414" s="61">
        <f>EFEITO!$N$414*EFEITO!$AA$290</f>
        <v>10986.030343641813</v>
      </c>
      <c r="M414" s="61">
        <f>$J$414-EFEITO!$K$414*EFEITO!$Y$414</f>
        <v>0</v>
      </c>
      <c r="N414" s="61">
        <f ca="1">$K$414-EFEITO!$M$414*EFEITO!$Z$414</f>
        <v>1082.9357750124691</v>
      </c>
      <c r="O414" s="61">
        <f>$L$414-EFEITO!$O$414*EFEITO!$AA$414</f>
        <v>659.1618206185085</v>
      </c>
      <c r="P414" s="45"/>
      <c r="Q414" s="45"/>
      <c r="R414" s="45"/>
      <c r="S414" s="45"/>
      <c r="T414" s="45"/>
      <c r="U414" s="45"/>
      <c r="V414" s="45"/>
      <c r="W414" s="45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41" t="s">
        <v>21</v>
      </c>
      <c r="B415" s="41" t="s">
        <v>41</v>
      </c>
      <c r="C415" s="41" t="s">
        <v>23</v>
      </c>
      <c r="D415" s="41" t="s">
        <v>42</v>
      </c>
      <c r="E415" s="41" t="s">
        <v>25</v>
      </c>
      <c r="F415" s="41" t="s">
        <v>25</v>
      </c>
      <c r="G415" s="41" t="s">
        <v>25</v>
      </c>
      <c r="H415" s="41" t="s">
        <v>25</v>
      </c>
      <c r="I415" s="60">
        <v>44621</v>
      </c>
      <c r="J415" s="61">
        <f>EFEITO!$J$415*EFEITO!$Y$290</f>
        <v>0</v>
      </c>
      <c r="K415" s="61">
        <f ca="1">EFEITO!$L$415*EFEITO!$Z$290</f>
        <v>107839.25230091892</v>
      </c>
      <c r="L415" s="61">
        <f>EFEITO!$N$415*EFEITO!$AA$290</f>
        <v>65639.643200441802</v>
      </c>
      <c r="M415" s="61">
        <f>$J$415-EFEITO!$K$415*EFEITO!$Y$415</f>
        <v>0</v>
      </c>
      <c r="N415" s="61">
        <f ca="1">$K$415-EFEITO!$M$415*EFEITO!$Z$415</f>
        <v>6470.3551380551507</v>
      </c>
      <c r="O415" s="61">
        <f>$L$415-EFEITO!$O$415*EFEITO!$AA$415</f>
        <v>3938.3785920265072</v>
      </c>
      <c r="P415" s="45"/>
      <c r="Q415" s="45"/>
      <c r="R415" s="45"/>
      <c r="S415" s="45"/>
      <c r="T415" s="45"/>
      <c r="U415" s="45"/>
      <c r="V415" s="45"/>
      <c r="W415" s="45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41" t="s">
        <v>27</v>
      </c>
      <c r="B416" s="41" t="s">
        <v>41</v>
      </c>
      <c r="C416" s="41" t="s">
        <v>23</v>
      </c>
      <c r="D416" s="41" t="s">
        <v>42</v>
      </c>
      <c r="E416" s="41" t="s">
        <v>25</v>
      </c>
      <c r="F416" s="41" t="s">
        <v>25</v>
      </c>
      <c r="G416" s="41" t="s">
        <v>25</v>
      </c>
      <c r="H416" s="41" t="s">
        <v>25</v>
      </c>
      <c r="I416" s="60">
        <v>44621</v>
      </c>
      <c r="J416" s="61">
        <f>EFEITO!$J$416*EFEITO!$Y$290</f>
        <v>0</v>
      </c>
      <c r="K416" s="61">
        <f ca="1">EFEITO!$L$416*EFEITO!$Z$290</f>
        <v>4144.1251917773361</v>
      </c>
      <c r="L416" s="61">
        <f>EFEITO!$N$416*EFEITO!$AA$290</f>
        <v>2522.4479321052277</v>
      </c>
      <c r="M416" s="61">
        <f>$J$416-EFEITO!$K$416*EFEITO!$Y$416</f>
        <v>0</v>
      </c>
      <c r="N416" s="61">
        <f ca="1">$K$416-EFEITO!$M$416*EFEITO!$Z$416</f>
        <v>248.64751150664051</v>
      </c>
      <c r="O416" s="61">
        <f>$L$416-EFEITO!$O$416*EFEITO!$AA$416</f>
        <v>151.34687592631371</v>
      </c>
      <c r="P416" s="45"/>
      <c r="Q416" s="45"/>
      <c r="R416" s="45"/>
      <c r="S416" s="45"/>
      <c r="T416" s="45"/>
      <c r="U416" s="45"/>
      <c r="V416" s="45"/>
      <c r="W416" s="45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41" t="s">
        <v>21</v>
      </c>
      <c r="B417" s="41" t="s">
        <v>41</v>
      </c>
      <c r="C417" s="41" t="s">
        <v>23</v>
      </c>
      <c r="D417" s="41" t="s">
        <v>42</v>
      </c>
      <c r="E417" s="41" t="s">
        <v>25</v>
      </c>
      <c r="F417" s="41" t="s">
        <v>25</v>
      </c>
      <c r="G417" s="41" t="s">
        <v>25</v>
      </c>
      <c r="H417" s="41" t="s">
        <v>25</v>
      </c>
      <c r="I417" s="60">
        <v>44652</v>
      </c>
      <c r="J417" s="61">
        <f>EFEITO!$J$417*EFEITO!$Y$290</f>
        <v>0</v>
      </c>
      <c r="K417" s="61">
        <f ca="1">EFEITO!$L$417*EFEITO!$Z$290</f>
        <v>92965.40952756234</v>
      </c>
      <c r="L417" s="61">
        <f>EFEITO!$N$417*EFEITO!$AA$290</f>
        <v>56586.226083469861</v>
      </c>
      <c r="M417" s="61">
        <f>$J$417-EFEITO!$K$417*EFEITO!$Y$417</f>
        <v>0</v>
      </c>
      <c r="N417" s="61">
        <f ca="1">$K$417-EFEITO!$M$417*EFEITO!$Z$417</f>
        <v>5577.9245716537553</v>
      </c>
      <c r="O417" s="61">
        <f>$L$417-EFEITO!$O$417*EFEITO!$AA$417</f>
        <v>3395.1735650081901</v>
      </c>
      <c r="P417" s="45"/>
      <c r="Q417" s="45"/>
      <c r="R417" s="45"/>
      <c r="S417" s="45"/>
      <c r="T417" s="45"/>
      <c r="U417" s="45"/>
      <c r="V417" s="45"/>
      <c r="W417" s="45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41" t="s">
        <v>27</v>
      </c>
      <c r="B418" s="41" t="s">
        <v>41</v>
      </c>
      <c r="C418" s="41" t="s">
        <v>23</v>
      </c>
      <c r="D418" s="41" t="s">
        <v>42</v>
      </c>
      <c r="E418" s="41" t="s">
        <v>25</v>
      </c>
      <c r="F418" s="41" t="s">
        <v>25</v>
      </c>
      <c r="G418" s="41" t="s">
        <v>25</v>
      </c>
      <c r="H418" s="41" t="s">
        <v>25</v>
      </c>
      <c r="I418" s="60">
        <v>44652</v>
      </c>
      <c r="J418" s="61">
        <f>EFEITO!$J$418*EFEITO!$Y$290</f>
        <v>0</v>
      </c>
      <c r="K418" s="61">
        <f ca="1">EFEITO!$L$418*EFEITO!$Z$290</f>
        <v>6588.8948575093664</v>
      </c>
      <c r="L418" s="61">
        <f>EFEITO!$N$418*EFEITO!$AA$290</f>
        <v>4010.531400248361</v>
      </c>
      <c r="M418" s="61">
        <f>$J$418-EFEITO!$K$418*EFEITO!$Y$418</f>
        <v>0</v>
      </c>
      <c r="N418" s="61">
        <f ca="1">$K$418-EFEITO!$M$418*EFEITO!$Z$418</f>
        <v>395.33369145056258</v>
      </c>
      <c r="O418" s="61">
        <f>$L$418-EFEITO!$O$418*EFEITO!$AA$418</f>
        <v>240.63188401490152</v>
      </c>
      <c r="P418" s="45"/>
      <c r="Q418" s="45"/>
      <c r="R418" s="45"/>
      <c r="S418" s="45"/>
      <c r="T418" s="45"/>
      <c r="U418" s="45"/>
      <c r="V418" s="45"/>
      <c r="W418" s="45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41" t="s">
        <v>21</v>
      </c>
      <c r="B419" s="41" t="s">
        <v>41</v>
      </c>
      <c r="C419" s="41" t="s">
        <v>23</v>
      </c>
      <c r="D419" s="41" t="s">
        <v>42</v>
      </c>
      <c r="E419" s="41" t="s">
        <v>25</v>
      </c>
      <c r="F419" s="41" t="s">
        <v>25</v>
      </c>
      <c r="G419" s="41" t="s">
        <v>25</v>
      </c>
      <c r="H419" s="41" t="s">
        <v>25</v>
      </c>
      <c r="I419" s="60">
        <v>44682</v>
      </c>
      <c r="J419" s="61">
        <f>EFEITO!$J$419*EFEITO!$Y$290</f>
        <v>0</v>
      </c>
      <c r="K419" s="61">
        <f ca="1">EFEITO!$L$419*EFEITO!$Z$290</f>
        <v>87836.205396755977</v>
      </c>
      <c r="L419" s="61">
        <f>EFEITO!$N$419*EFEITO!$AA$290</f>
        <v>53464.179872421591</v>
      </c>
      <c r="M419" s="61">
        <f>$J$419-EFEITO!$K$419*EFEITO!$Y$419</f>
        <v>0</v>
      </c>
      <c r="N419" s="61">
        <f ca="1">$K$419-EFEITO!$M$419*EFEITO!$Z$419</f>
        <v>5270.1723238053673</v>
      </c>
      <c r="O419" s="61">
        <f>$L$419-EFEITO!$O$419*EFEITO!$AA$419</f>
        <v>3207.8507923452926</v>
      </c>
      <c r="P419" s="45"/>
      <c r="Q419" s="45"/>
      <c r="R419" s="45"/>
      <c r="S419" s="45"/>
      <c r="T419" s="45"/>
      <c r="U419" s="45"/>
      <c r="V419" s="45"/>
      <c r="W419" s="45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41" t="s">
        <v>27</v>
      </c>
      <c r="B420" s="41" t="s">
        <v>41</v>
      </c>
      <c r="C420" s="41" t="s">
        <v>23</v>
      </c>
      <c r="D420" s="41" t="s">
        <v>42</v>
      </c>
      <c r="E420" s="41" t="s">
        <v>25</v>
      </c>
      <c r="F420" s="41" t="s">
        <v>25</v>
      </c>
      <c r="G420" s="41" t="s">
        <v>25</v>
      </c>
      <c r="H420" s="41" t="s">
        <v>25</v>
      </c>
      <c r="I420" s="60">
        <v>44682</v>
      </c>
      <c r="J420" s="61">
        <f>EFEITO!$J$420*EFEITO!$Y$290</f>
        <v>0</v>
      </c>
      <c r="K420" s="61">
        <f ca="1">EFEITO!$L$420*EFEITO!$Z$290</f>
        <v>4148.8430027880113</v>
      </c>
      <c r="L420" s="61">
        <f>EFEITO!$N$420*EFEITO!$AA$290</f>
        <v>2525.3195713721962</v>
      </c>
      <c r="M420" s="61">
        <f>$J$420-EFEITO!$K$420*EFEITO!$Y$420</f>
        <v>0</v>
      </c>
      <c r="N420" s="61">
        <f ca="1">$K$420-EFEITO!$M$420*EFEITO!$Z$420</f>
        <v>248.93058016728082</v>
      </c>
      <c r="O420" s="61">
        <f>$L$420-EFEITO!$O$420*EFEITO!$AA$420</f>
        <v>151.51917428233173</v>
      </c>
      <c r="P420" s="45"/>
      <c r="Q420" s="45"/>
      <c r="R420" s="45"/>
      <c r="S420" s="45"/>
      <c r="T420" s="45"/>
      <c r="U420" s="45"/>
      <c r="V420" s="45"/>
      <c r="W420" s="45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41" t="s">
        <v>21</v>
      </c>
      <c r="B421" s="41" t="s">
        <v>41</v>
      </c>
      <c r="C421" s="41" t="s">
        <v>23</v>
      </c>
      <c r="D421" s="41" t="s">
        <v>42</v>
      </c>
      <c r="E421" s="41" t="s">
        <v>25</v>
      </c>
      <c r="F421" s="41" t="s">
        <v>25</v>
      </c>
      <c r="G421" s="41" t="s">
        <v>25</v>
      </c>
      <c r="H421" s="41" t="s">
        <v>25</v>
      </c>
      <c r="I421" s="60">
        <v>44713</v>
      </c>
      <c r="J421" s="61">
        <f>EFEITO!$J$421*EFEITO!$Y$290</f>
        <v>0</v>
      </c>
      <c r="K421" s="61">
        <f ca="1">EFEITO!$L$421*EFEITO!$Z$290</f>
        <v>95516.329941034564</v>
      </c>
      <c r="L421" s="61">
        <f>EFEITO!$N$421*EFEITO!$AA$290</f>
        <v>58138.921435119788</v>
      </c>
      <c r="M421" s="61">
        <f>$J$421-EFEITO!$K$421*EFEITO!$Y$421</f>
        <v>0</v>
      </c>
      <c r="N421" s="61">
        <f ca="1">$K$421-EFEITO!$M$421*EFEITO!$Z$421</f>
        <v>5730.9797964620811</v>
      </c>
      <c r="O421" s="61">
        <f>$L$421-EFEITO!$O$421*EFEITO!$AA$421</f>
        <v>3488.3352861071835</v>
      </c>
      <c r="P421" s="45"/>
      <c r="Q421" s="45"/>
      <c r="R421" s="45"/>
      <c r="S421" s="45"/>
      <c r="T421" s="45"/>
      <c r="U421" s="45"/>
      <c r="V421" s="45"/>
      <c r="W421" s="45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41" t="s">
        <v>27</v>
      </c>
      <c r="B422" s="41" t="s">
        <v>41</v>
      </c>
      <c r="C422" s="41" t="s">
        <v>23</v>
      </c>
      <c r="D422" s="41" t="s">
        <v>42</v>
      </c>
      <c r="E422" s="41" t="s">
        <v>25</v>
      </c>
      <c r="F422" s="41" t="s">
        <v>25</v>
      </c>
      <c r="G422" s="41" t="s">
        <v>25</v>
      </c>
      <c r="H422" s="41" t="s">
        <v>25</v>
      </c>
      <c r="I422" s="60">
        <v>44713</v>
      </c>
      <c r="J422" s="61">
        <f>EFEITO!$J$422*EFEITO!$Y$290</f>
        <v>0</v>
      </c>
      <c r="K422" s="61">
        <f ca="1">EFEITO!$L$422*EFEITO!$Z$290</f>
        <v>5701.002825300242</v>
      </c>
      <c r="L422" s="61">
        <f>EFEITO!$N$422*EFEITO!$AA$290</f>
        <v>3470.0888902048687</v>
      </c>
      <c r="M422" s="61">
        <f>$J$422-EFEITO!$K$422*EFEITO!$Y$422</f>
        <v>0</v>
      </c>
      <c r="N422" s="61">
        <f ca="1">$K$422-EFEITO!$M$422*EFEITO!$Z$422</f>
        <v>342.06016951801485</v>
      </c>
      <c r="O422" s="61">
        <f>$L$422-EFEITO!$O$422*EFEITO!$AA$422</f>
        <v>208.20533341229202</v>
      </c>
      <c r="P422" s="45"/>
      <c r="Q422" s="45"/>
      <c r="R422" s="45"/>
      <c r="S422" s="45"/>
      <c r="T422" s="45"/>
      <c r="U422" s="45"/>
      <c r="V422" s="45"/>
      <c r="W422" s="45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41" t="s">
        <v>21</v>
      </c>
      <c r="B423" s="41" t="s">
        <v>41</v>
      </c>
      <c r="C423" s="41" t="s">
        <v>23</v>
      </c>
      <c r="D423" s="41" t="s">
        <v>42</v>
      </c>
      <c r="E423" s="41" t="s">
        <v>25</v>
      </c>
      <c r="F423" s="41" t="s">
        <v>25</v>
      </c>
      <c r="G423" s="41" t="s">
        <v>25</v>
      </c>
      <c r="H423" s="41" t="s">
        <v>25</v>
      </c>
      <c r="I423" s="60">
        <v>44743</v>
      </c>
      <c r="J423" s="61">
        <f>EFEITO!$J$423*EFEITO!$Y$290</f>
        <v>0</v>
      </c>
      <c r="K423" s="61">
        <f ca="1">EFEITO!$L$423*EFEITO!$Z$290</f>
        <v>97662.933950891907</v>
      </c>
      <c r="L423" s="61">
        <f>EFEITO!$N$423*EFEITO!$AA$290</f>
        <v>59445.517301590502</v>
      </c>
      <c r="M423" s="61">
        <f>$J$423-EFEITO!$K$423*EFEITO!$Y$423</f>
        <v>0</v>
      </c>
      <c r="N423" s="61">
        <f ca="1">$K$423-EFEITO!$M$423*EFEITO!$Z$423</f>
        <v>5859.7760370535252</v>
      </c>
      <c r="O423" s="61">
        <f>$L$423-EFEITO!$O$423*EFEITO!$AA$423</f>
        <v>3566.7310380954295</v>
      </c>
      <c r="P423" s="45"/>
      <c r="Q423" s="45"/>
      <c r="R423" s="45"/>
      <c r="S423" s="45"/>
      <c r="T423" s="45"/>
      <c r="U423" s="45"/>
      <c r="V423" s="45"/>
      <c r="W423" s="45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41" t="s">
        <v>27</v>
      </c>
      <c r="B424" s="41" t="s">
        <v>41</v>
      </c>
      <c r="C424" s="41" t="s">
        <v>23</v>
      </c>
      <c r="D424" s="41" t="s">
        <v>42</v>
      </c>
      <c r="E424" s="41" t="s">
        <v>25</v>
      </c>
      <c r="F424" s="41" t="s">
        <v>25</v>
      </c>
      <c r="G424" s="41" t="s">
        <v>25</v>
      </c>
      <c r="H424" s="41" t="s">
        <v>25</v>
      </c>
      <c r="I424" s="60">
        <v>44743</v>
      </c>
      <c r="J424" s="61">
        <f>EFEITO!$J$424*EFEITO!$Y$290</f>
        <v>0</v>
      </c>
      <c r="K424" s="61">
        <f ca="1">EFEITO!$L$424*EFEITO!$Z$290</f>
        <v>5876.0336137963022</v>
      </c>
      <c r="L424" s="61">
        <f>EFEITO!$N$424*EFEITO!$AA$290</f>
        <v>3576.6267070094041</v>
      </c>
      <c r="M424" s="61">
        <f>$J$424-EFEITO!$K$424*EFEITO!$Y$424</f>
        <v>0</v>
      </c>
      <c r="N424" s="61">
        <f ca="1">$K$424-EFEITO!$M$424*EFEITO!$Z$424</f>
        <v>352.56201682777828</v>
      </c>
      <c r="O424" s="61">
        <f>$L$424-EFEITO!$O$424*EFEITO!$AA$424</f>
        <v>214.59760242056382</v>
      </c>
      <c r="P424" s="45"/>
      <c r="Q424" s="45"/>
      <c r="R424" s="45"/>
      <c r="S424" s="45"/>
      <c r="T424" s="45"/>
      <c r="U424" s="45"/>
      <c r="V424" s="45"/>
      <c r="W424" s="45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41" t="s">
        <v>21</v>
      </c>
      <c r="B425" s="41" t="s">
        <v>32</v>
      </c>
      <c r="C425" s="41" t="s">
        <v>38</v>
      </c>
      <c r="D425" s="41" t="s">
        <v>40</v>
      </c>
      <c r="E425" s="41" t="s">
        <v>25</v>
      </c>
      <c r="F425" s="41" t="s">
        <v>25</v>
      </c>
      <c r="G425" s="41" t="s">
        <v>25</v>
      </c>
      <c r="H425" s="41" t="s">
        <v>37</v>
      </c>
      <c r="I425" s="60">
        <v>44409</v>
      </c>
      <c r="J425" s="61">
        <f>EFEITO!$J$425*EFEITO!$Y$425</f>
        <v>0</v>
      </c>
      <c r="K425" s="61">
        <f ca="1">EFEITO!$L$425*EFEITO!$Z$425</f>
        <v>1498.1564732055785</v>
      </c>
      <c r="L425" s="61">
        <f>EFEITO!$N$425*EFEITO!$AA$425</f>
        <v>1231.4097464705221</v>
      </c>
      <c r="M425" s="61">
        <f>$J$425-EFEITO!$K$425*EFEITO!$Y$425</f>
        <v>0</v>
      </c>
      <c r="N425" s="61">
        <f ca="1">$K$425-EFEITO!$M$425*EFEITO!$Z$425</f>
        <v>0</v>
      </c>
      <c r="O425" s="61">
        <f>$L$425-EFEITO!$O$425*EFEITO!$AA$425</f>
        <v>0</v>
      </c>
      <c r="P425" s="45"/>
      <c r="Q425" s="45"/>
      <c r="R425" s="45"/>
      <c r="S425" s="45"/>
      <c r="T425" s="45"/>
      <c r="U425" s="45"/>
      <c r="V425" s="45"/>
      <c r="W425" s="45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41" t="s">
        <v>21</v>
      </c>
      <c r="B426" s="41" t="s">
        <v>32</v>
      </c>
      <c r="C426" s="41" t="s">
        <v>38</v>
      </c>
      <c r="D426" s="41" t="s">
        <v>40</v>
      </c>
      <c r="E426" s="41" t="s">
        <v>25</v>
      </c>
      <c r="F426" s="41" t="s">
        <v>25</v>
      </c>
      <c r="G426" s="41" t="s">
        <v>25</v>
      </c>
      <c r="H426" s="41" t="s">
        <v>37</v>
      </c>
      <c r="I426" s="60">
        <v>44440</v>
      </c>
      <c r="J426" s="61">
        <f>EFEITO!$J$426*EFEITO!$Y$426</f>
        <v>0</v>
      </c>
      <c r="K426" s="61">
        <f ca="1">EFEITO!$L$426*EFEITO!$Z$426</f>
        <v>1325.1652894330525</v>
      </c>
      <c r="L426" s="61">
        <f>EFEITO!$N$426*EFEITO!$AA$426</f>
        <v>1089.2196391213477</v>
      </c>
      <c r="M426" s="61">
        <f>$J$426-EFEITO!$K$426*EFEITO!$Y$426</f>
        <v>0</v>
      </c>
      <c r="N426" s="61">
        <f ca="1">$K$426-EFEITO!$M$426*EFEITO!$Z$426</f>
        <v>0</v>
      </c>
      <c r="O426" s="61">
        <f>$L$426-EFEITO!$O$426*EFEITO!$AA$426</f>
        <v>0</v>
      </c>
      <c r="P426" s="45"/>
      <c r="Q426" s="45"/>
      <c r="R426" s="45"/>
      <c r="S426" s="45"/>
      <c r="T426" s="45"/>
      <c r="U426" s="45"/>
      <c r="V426" s="45"/>
      <c r="W426" s="45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41" t="s">
        <v>21</v>
      </c>
      <c r="B427" s="41" t="s">
        <v>32</v>
      </c>
      <c r="C427" s="41" t="s">
        <v>38</v>
      </c>
      <c r="D427" s="41" t="s">
        <v>40</v>
      </c>
      <c r="E427" s="41" t="s">
        <v>25</v>
      </c>
      <c r="F427" s="41" t="s">
        <v>25</v>
      </c>
      <c r="G427" s="41" t="s">
        <v>25</v>
      </c>
      <c r="H427" s="41" t="s">
        <v>37</v>
      </c>
      <c r="I427" s="60">
        <v>44470</v>
      </c>
      <c r="J427" s="61">
        <f>EFEITO!$J$427*EFEITO!$Y$427</f>
        <v>0</v>
      </c>
      <c r="K427" s="61">
        <f ca="1">EFEITO!$L$427*EFEITO!$Z$427</f>
        <v>1402.4170776062797</v>
      </c>
      <c r="L427" s="61">
        <f>EFEITO!$N$427*EFEITO!$AA$427</f>
        <v>1152.7167481284216</v>
      </c>
      <c r="M427" s="61">
        <f>$J$427-EFEITO!$K$427*EFEITO!$Y$427</f>
        <v>0</v>
      </c>
      <c r="N427" s="61">
        <f ca="1">$K$427-EFEITO!$M$427*EFEITO!$Z$427</f>
        <v>0</v>
      </c>
      <c r="O427" s="61">
        <f>$L$427-EFEITO!$O$427*EFEITO!$AA$427</f>
        <v>0</v>
      </c>
      <c r="P427" s="45"/>
      <c r="Q427" s="45"/>
      <c r="R427" s="45"/>
      <c r="S427" s="45"/>
      <c r="T427" s="45"/>
      <c r="U427" s="45"/>
      <c r="V427" s="45"/>
      <c r="W427" s="45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41" t="s">
        <v>21</v>
      </c>
      <c r="B428" s="41" t="s">
        <v>32</v>
      </c>
      <c r="C428" s="41" t="s">
        <v>38</v>
      </c>
      <c r="D428" s="41" t="s">
        <v>40</v>
      </c>
      <c r="E428" s="41" t="s">
        <v>25</v>
      </c>
      <c r="F428" s="41" t="s">
        <v>25</v>
      </c>
      <c r="G428" s="41" t="s">
        <v>25</v>
      </c>
      <c r="H428" s="41" t="s">
        <v>37</v>
      </c>
      <c r="I428" s="60">
        <v>44501</v>
      </c>
      <c r="J428" s="61">
        <f>EFEITO!$J$428*EFEITO!$Y$428</f>
        <v>0</v>
      </c>
      <c r="K428" s="61">
        <f ca="1">EFEITO!$L$428*EFEITO!$Z$428</f>
        <v>1423.5457718075043</v>
      </c>
      <c r="L428" s="61">
        <f>EFEITO!$N$428*EFEITO!$AA$428</f>
        <v>1170.0834787970232</v>
      </c>
      <c r="M428" s="61">
        <f>$J$428-EFEITO!$K$428*EFEITO!$Y$428</f>
        <v>0</v>
      </c>
      <c r="N428" s="61">
        <f ca="1">$K$428-EFEITO!$M$428*EFEITO!$Z$428</f>
        <v>0</v>
      </c>
      <c r="O428" s="61">
        <f>$L$428-EFEITO!$O$428*EFEITO!$AA$428</f>
        <v>0</v>
      </c>
      <c r="P428" s="45"/>
      <c r="Q428" s="45"/>
      <c r="R428" s="45"/>
      <c r="S428" s="45"/>
      <c r="T428" s="45"/>
      <c r="U428" s="45"/>
      <c r="V428" s="45"/>
      <c r="W428" s="45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41" t="s">
        <v>21</v>
      </c>
      <c r="B429" s="41" t="s">
        <v>32</v>
      </c>
      <c r="C429" s="41" t="s">
        <v>38</v>
      </c>
      <c r="D429" s="41" t="s">
        <v>40</v>
      </c>
      <c r="E429" s="41" t="s">
        <v>25</v>
      </c>
      <c r="F429" s="41" t="s">
        <v>25</v>
      </c>
      <c r="G429" s="41" t="s">
        <v>25</v>
      </c>
      <c r="H429" s="41" t="s">
        <v>37</v>
      </c>
      <c r="I429" s="60">
        <v>44531</v>
      </c>
      <c r="J429" s="61">
        <f>EFEITO!$J$429*EFEITO!$Y$429</f>
        <v>0</v>
      </c>
      <c r="K429" s="61">
        <f ca="1">EFEITO!$L$429*EFEITO!$Z$429</f>
        <v>1626.2491818005024</v>
      </c>
      <c r="L429" s="61">
        <f>EFEITO!$N$429*EFEITO!$AA$429</f>
        <v>1336.6955511489184</v>
      </c>
      <c r="M429" s="61">
        <f>$J$429-EFEITO!$K$429*EFEITO!$Y$429</f>
        <v>0</v>
      </c>
      <c r="N429" s="61">
        <f ca="1">$K$429-EFEITO!$M$429*EFEITO!$Z$429</f>
        <v>0</v>
      </c>
      <c r="O429" s="61">
        <f>$L$429-EFEITO!$O$429*EFEITO!$AA$429</f>
        <v>0</v>
      </c>
      <c r="P429" s="45"/>
      <c r="Q429" s="45"/>
      <c r="R429" s="45"/>
      <c r="S429" s="45"/>
      <c r="T429" s="45"/>
      <c r="U429" s="45"/>
      <c r="V429" s="45"/>
      <c r="W429" s="45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41" t="s">
        <v>21</v>
      </c>
      <c r="B430" s="41" t="s">
        <v>32</v>
      </c>
      <c r="C430" s="41" t="s">
        <v>38</v>
      </c>
      <c r="D430" s="41" t="s">
        <v>40</v>
      </c>
      <c r="E430" s="41" t="s">
        <v>25</v>
      </c>
      <c r="F430" s="41" t="s">
        <v>25</v>
      </c>
      <c r="G430" s="41" t="s">
        <v>25</v>
      </c>
      <c r="H430" s="41" t="s">
        <v>37</v>
      </c>
      <c r="I430" s="60">
        <v>44562</v>
      </c>
      <c r="J430" s="61">
        <f>EFEITO!$J$430*EFEITO!$Y$430</f>
        <v>0</v>
      </c>
      <c r="K430" s="61">
        <f ca="1">EFEITO!$L$430*EFEITO!$Z$430</f>
        <v>2018.120432063839</v>
      </c>
      <c r="L430" s="61">
        <f>EFEITO!$N$430*EFEITO!$AA$430</f>
        <v>1658.794134018136</v>
      </c>
      <c r="M430" s="61">
        <f>$J$430-EFEITO!$K$430*EFEITO!$Y$430</f>
        <v>0</v>
      </c>
      <c r="N430" s="61">
        <f ca="1">$K$430-EFEITO!$M$430*EFEITO!$Z$430</f>
        <v>0</v>
      </c>
      <c r="O430" s="61">
        <f>$L$430-EFEITO!$O$430*EFEITO!$AA$430</f>
        <v>0</v>
      </c>
      <c r="P430" s="45"/>
      <c r="Q430" s="45"/>
      <c r="R430" s="45"/>
      <c r="S430" s="45"/>
      <c r="T430" s="45"/>
      <c r="U430" s="45"/>
      <c r="V430" s="45"/>
      <c r="W430" s="45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41" t="s">
        <v>21</v>
      </c>
      <c r="B431" s="41" t="s">
        <v>32</v>
      </c>
      <c r="C431" s="41" t="s">
        <v>38</v>
      </c>
      <c r="D431" s="41" t="s">
        <v>40</v>
      </c>
      <c r="E431" s="41" t="s">
        <v>25</v>
      </c>
      <c r="F431" s="41" t="s">
        <v>25</v>
      </c>
      <c r="G431" s="41" t="s">
        <v>25</v>
      </c>
      <c r="H431" s="41" t="s">
        <v>37</v>
      </c>
      <c r="I431" s="60">
        <v>44593</v>
      </c>
      <c r="J431" s="61">
        <f>EFEITO!$J$431*EFEITO!$Y$431</f>
        <v>0</v>
      </c>
      <c r="K431" s="61">
        <f ca="1">EFEITO!$L$431*EFEITO!$Z$431</f>
        <v>2452.9093424234129</v>
      </c>
      <c r="L431" s="61">
        <f>EFEITO!$N$431*EFEITO!$AA$431</f>
        <v>2016.1688885579501</v>
      </c>
      <c r="M431" s="61">
        <f>$J$431-EFEITO!$K$431*EFEITO!$Y$431</f>
        <v>0</v>
      </c>
      <c r="N431" s="61">
        <f ca="1">$K$431-EFEITO!$M$431*EFEITO!$Z$431</f>
        <v>0</v>
      </c>
      <c r="O431" s="61">
        <f>$L$431-EFEITO!$O$431*EFEITO!$AA$431</f>
        <v>0</v>
      </c>
      <c r="P431" s="45"/>
      <c r="Q431" s="45"/>
      <c r="R431" s="45"/>
      <c r="S431" s="45"/>
      <c r="T431" s="45"/>
      <c r="U431" s="45"/>
      <c r="V431" s="45"/>
      <c r="W431" s="45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41" t="s">
        <v>21</v>
      </c>
      <c r="B432" s="41" t="s">
        <v>32</v>
      </c>
      <c r="C432" s="41" t="s">
        <v>38</v>
      </c>
      <c r="D432" s="41" t="s">
        <v>40</v>
      </c>
      <c r="E432" s="41" t="s">
        <v>25</v>
      </c>
      <c r="F432" s="41" t="s">
        <v>25</v>
      </c>
      <c r="G432" s="41" t="s">
        <v>25</v>
      </c>
      <c r="H432" s="41" t="s">
        <v>37</v>
      </c>
      <c r="I432" s="60">
        <v>44621</v>
      </c>
      <c r="J432" s="61">
        <f>EFEITO!$J$432*EFEITO!$Y$432</f>
        <v>0</v>
      </c>
      <c r="K432" s="61">
        <f ca="1">EFEITO!$L$432*EFEITO!$Z$432</f>
        <v>2102.3050730218429</v>
      </c>
      <c r="L432" s="61">
        <f>EFEITO!$N$432*EFEITO!$AA$432</f>
        <v>1727.989701525845</v>
      </c>
      <c r="M432" s="61">
        <f>$J$432-EFEITO!$K$432*EFEITO!$Y$432</f>
        <v>0</v>
      </c>
      <c r="N432" s="61">
        <f ca="1">$K$432-EFEITO!$M$432*EFEITO!$Z$432</f>
        <v>0</v>
      </c>
      <c r="O432" s="61">
        <f>$L$432-EFEITO!$O$432*EFEITO!$AA$432</f>
        <v>0</v>
      </c>
      <c r="P432" s="45"/>
      <c r="Q432" s="45"/>
      <c r="R432" s="45"/>
      <c r="S432" s="45"/>
      <c r="T432" s="45"/>
      <c r="U432" s="45"/>
      <c r="V432" s="45"/>
      <c r="W432" s="45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41" t="s">
        <v>21</v>
      </c>
      <c r="B433" s="41" t="s">
        <v>32</v>
      </c>
      <c r="C433" s="41" t="s">
        <v>38</v>
      </c>
      <c r="D433" s="41" t="s">
        <v>40</v>
      </c>
      <c r="E433" s="41" t="s">
        <v>25</v>
      </c>
      <c r="F433" s="41" t="s">
        <v>25</v>
      </c>
      <c r="G433" s="41" t="s">
        <v>25</v>
      </c>
      <c r="H433" s="41" t="s">
        <v>37</v>
      </c>
      <c r="I433" s="60">
        <v>44652</v>
      </c>
      <c r="J433" s="61">
        <f>EFEITO!$J$433*EFEITO!$Y$433</f>
        <v>0</v>
      </c>
      <c r="K433" s="61">
        <f ca="1">EFEITO!$L$433*EFEITO!$Z$433</f>
        <v>1919.0796779955988</v>
      </c>
      <c r="L433" s="61">
        <f>EFEITO!$N$433*EFEITO!$AA$433</f>
        <v>1577.3875840090666</v>
      </c>
      <c r="M433" s="61">
        <f>$J$433-EFEITO!$K$433*EFEITO!$Y$433</f>
        <v>0</v>
      </c>
      <c r="N433" s="61">
        <f ca="1">$K$433-EFEITO!$M$433*EFEITO!$Z$433</f>
        <v>0</v>
      </c>
      <c r="O433" s="61">
        <f>$L$433-EFEITO!$O$433*EFEITO!$AA$433</f>
        <v>0</v>
      </c>
      <c r="P433" s="45"/>
      <c r="Q433" s="45"/>
      <c r="R433" s="45"/>
      <c r="S433" s="45"/>
      <c r="T433" s="45"/>
      <c r="U433" s="45"/>
      <c r="V433" s="45"/>
      <c r="W433" s="45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41" t="s">
        <v>21</v>
      </c>
      <c r="B434" s="41" t="s">
        <v>32</v>
      </c>
      <c r="C434" s="41" t="s">
        <v>38</v>
      </c>
      <c r="D434" s="41" t="s">
        <v>40</v>
      </c>
      <c r="E434" s="41" t="s">
        <v>25</v>
      </c>
      <c r="F434" s="41" t="s">
        <v>25</v>
      </c>
      <c r="G434" s="41" t="s">
        <v>25</v>
      </c>
      <c r="H434" s="41" t="s">
        <v>37</v>
      </c>
      <c r="I434" s="60">
        <v>44682</v>
      </c>
      <c r="J434" s="61">
        <f>EFEITO!$J$434*EFEITO!$Y$434</f>
        <v>0</v>
      </c>
      <c r="K434" s="61">
        <f ca="1">EFEITO!$L$434*EFEITO!$Z$434</f>
        <v>1584.6520650918415</v>
      </c>
      <c r="L434" s="61">
        <f>EFEITO!$N$434*EFEITO!$AA$434</f>
        <v>1302.5048001451091</v>
      </c>
      <c r="M434" s="61">
        <f>$J$434-EFEITO!$K$434*EFEITO!$Y$434</f>
        <v>0</v>
      </c>
      <c r="N434" s="61">
        <f ca="1">$K$434-EFEITO!$M$434*EFEITO!$Z$434</f>
        <v>0</v>
      </c>
      <c r="O434" s="61">
        <f>$L$434-EFEITO!$O$434*EFEITO!$AA$434</f>
        <v>0</v>
      </c>
      <c r="P434" s="45"/>
      <c r="Q434" s="45"/>
      <c r="R434" s="45"/>
      <c r="S434" s="45"/>
      <c r="T434" s="45"/>
      <c r="U434" s="45"/>
      <c r="V434" s="45"/>
      <c r="W434" s="45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41" t="s">
        <v>21</v>
      </c>
      <c r="B435" s="41" t="s">
        <v>32</v>
      </c>
      <c r="C435" s="41" t="s">
        <v>38</v>
      </c>
      <c r="D435" s="41" t="s">
        <v>40</v>
      </c>
      <c r="E435" s="41" t="s">
        <v>25</v>
      </c>
      <c r="F435" s="41" t="s">
        <v>25</v>
      </c>
      <c r="G435" s="41" t="s">
        <v>25</v>
      </c>
      <c r="H435" s="41" t="s">
        <v>37</v>
      </c>
      <c r="I435" s="60">
        <v>44713</v>
      </c>
      <c r="J435" s="61">
        <f>EFEITO!$J$435*EFEITO!$Y$435</f>
        <v>0</v>
      </c>
      <c r="K435" s="61">
        <f ca="1">EFEITO!$L$435*EFEITO!$Z$435</f>
        <v>1671.8079286718928</v>
      </c>
      <c r="L435" s="61">
        <f>EFEITO!$N$435*EFEITO!$AA$435</f>
        <v>1374.1425641530902</v>
      </c>
      <c r="M435" s="61">
        <f>$J$435-EFEITO!$K$435*EFEITO!$Y$435</f>
        <v>0</v>
      </c>
      <c r="N435" s="61">
        <f ca="1">$K$435-EFEITO!$M$435*EFEITO!$Z$435</f>
        <v>0</v>
      </c>
      <c r="O435" s="61">
        <f>$L$435-EFEITO!$O$435*EFEITO!$AA$435</f>
        <v>0</v>
      </c>
      <c r="P435" s="45"/>
      <c r="Q435" s="45"/>
      <c r="R435" s="45"/>
      <c r="S435" s="45"/>
      <c r="T435" s="45"/>
      <c r="U435" s="45"/>
      <c r="V435" s="45"/>
      <c r="W435" s="45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41" t="s">
        <v>21</v>
      </c>
      <c r="B436" s="41" t="s">
        <v>32</v>
      </c>
      <c r="C436" s="41" t="s">
        <v>38</v>
      </c>
      <c r="D436" s="41" t="s">
        <v>40</v>
      </c>
      <c r="E436" s="41" t="s">
        <v>25</v>
      </c>
      <c r="F436" s="41" t="s">
        <v>25</v>
      </c>
      <c r="G436" s="41" t="s">
        <v>25</v>
      </c>
      <c r="H436" s="41" t="s">
        <v>37</v>
      </c>
      <c r="I436" s="60">
        <v>44743</v>
      </c>
      <c r="J436" s="61">
        <f>EFEITO!$J$436*EFEITO!$Y$436</f>
        <v>0</v>
      </c>
      <c r="K436" s="61">
        <f ca="1">EFEITO!$L$436*EFEITO!$Z$436</f>
        <v>1655.9614080209744</v>
      </c>
      <c r="L436" s="61">
        <f>EFEITO!$N$436*EFEITO!$AA$436</f>
        <v>1361.1175161516392</v>
      </c>
      <c r="M436" s="61">
        <f>$J$436-EFEITO!$K$436*EFEITO!$Y$436</f>
        <v>0</v>
      </c>
      <c r="N436" s="61">
        <f ca="1">$K$436-EFEITO!$M$436*EFEITO!$Z$436</f>
        <v>0</v>
      </c>
      <c r="O436" s="61">
        <f>$L$436-EFEITO!$O$436*EFEITO!$AA$436</f>
        <v>0</v>
      </c>
      <c r="P436" s="45"/>
      <c r="Q436" s="45"/>
      <c r="R436" s="45"/>
      <c r="S436" s="45"/>
      <c r="T436" s="45"/>
      <c r="U436" s="45"/>
      <c r="V436" s="45"/>
      <c r="W436" s="45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41" t="s">
        <v>21</v>
      </c>
      <c r="B437" s="41" t="s">
        <v>32</v>
      </c>
      <c r="C437" s="41" t="s">
        <v>38</v>
      </c>
      <c r="D437" s="41" t="s">
        <v>40</v>
      </c>
      <c r="E437" s="41" t="s">
        <v>25</v>
      </c>
      <c r="F437" s="41" t="s">
        <v>25</v>
      </c>
      <c r="G437" s="41" t="s">
        <v>25</v>
      </c>
      <c r="H437" s="41" t="s">
        <v>39</v>
      </c>
      <c r="I437" s="60">
        <v>44409</v>
      </c>
      <c r="J437" s="61">
        <f>EFEITO!$J$437*EFEITO!$Y$437</f>
        <v>0</v>
      </c>
      <c r="K437" s="61">
        <f ca="1">EFEITO!$L$437*EFEITO!$Z$437</f>
        <v>225.77506748187909</v>
      </c>
      <c r="L437" s="61">
        <f>EFEITO!$N$437*EFEITO!$AA$437</f>
        <v>86.019587842916593</v>
      </c>
      <c r="M437" s="61">
        <f>$J$437-EFEITO!$K$437*EFEITO!$Y$437</f>
        <v>0</v>
      </c>
      <c r="N437" s="61">
        <f ca="1">$K$437-EFEITO!$M$437*EFEITO!$Z$437</f>
        <v>0</v>
      </c>
      <c r="O437" s="61">
        <f>$L$437-EFEITO!$O$437*EFEITO!$AA$437</f>
        <v>0</v>
      </c>
      <c r="P437" s="45"/>
      <c r="Q437" s="45"/>
      <c r="R437" s="45"/>
      <c r="S437" s="45"/>
      <c r="T437" s="45"/>
      <c r="U437" s="45"/>
      <c r="V437" s="45"/>
      <c r="W437" s="45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41" t="s">
        <v>21</v>
      </c>
      <c r="B438" s="41" t="s">
        <v>32</v>
      </c>
      <c r="C438" s="41" t="s">
        <v>38</v>
      </c>
      <c r="D438" s="41" t="s">
        <v>40</v>
      </c>
      <c r="E438" s="41" t="s">
        <v>25</v>
      </c>
      <c r="F438" s="41" t="s">
        <v>25</v>
      </c>
      <c r="G438" s="41" t="s">
        <v>25</v>
      </c>
      <c r="H438" s="41" t="s">
        <v>39</v>
      </c>
      <c r="I438" s="60">
        <v>44440</v>
      </c>
      <c r="J438" s="61">
        <f>EFEITO!$J$438*EFEITO!$Y$438</f>
        <v>0</v>
      </c>
      <c r="K438" s="61">
        <f ca="1">EFEITO!$L$438*EFEITO!$Z$438</f>
        <v>198.71054835155923</v>
      </c>
      <c r="L438" s="61">
        <f>EFEITO!$N$438*EFEITO!$AA$438</f>
        <v>75.708091508434478</v>
      </c>
      <c r="M438" s="61">
        <f>$J$438-EFEITO!$K$438*EFEITO!$Y$438</f>
        <v>0</v>
      </c>
      <c r="N438" s="61">
        <f ca="1">$K$438-EFEITO!$M$438*EFEITO!$Z$438</f>
        <v>0</v>
      </c>
      <c r="O438" s="61">
        <f>$L$438-EFEITO!$O$438*EFEITO!$AA$438</f>
        <v>0</v>
      </c>
      <c r="P438" s="45"/>
      <c r="Q438" s="45"/>
      <c r="R438" s="45"/>
      <c r="S438" s="45"/>
      <c r="T438" s="45"/>
      <c r="U438" s="45"/>
      <c r="V438" s="45"/>
      <c r="W438" s="45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41" t="s">
        <v>21</v>
      </c>
      <c r="B439" s="41" t="s">
        <v>32</v>
      </c>
      <c r="C439" s="41" t="s">
        <v>38</v>
      </c>
      <c r="D439" s="41" t="s">
        <v>40</v>
      </c>
      <c r="E439" s="41" t="s">
        <v>25</v>
      </c>
      <c r="F439" s="41" t="s">
        <v>25</v>
      </c>
      <c r="G439" s="41" t="s">
        <v>25</v>
      </c>
      <c r="H439" s="41" t="s">
        <v>39</v>
      </c>
      <c r="I439" s="60">
        <v>44470</v>
      </c>
      <c r="J439" s="61">
        <f>EFEITO!$J$439*EFEITO!$Y$439</f>
        <v>0</v>
      </c>
      <c r="K439" s="61">
        <f ca="1">EFEITO!$L$439*EFEITO!$Z$439</f>
        <v>196.57387578863921</v>
      </c>
      <c r="L439" s="61">
        <f>EFEITO!$N$439*EFEITO!$AA$439</f>
        <v>74.894026008343786</v>
      </c>
      <c r="M439" s="61">
        <f>$J$439-EFEITO!$K$439*EFEITO!$Y$439</f>
        <v>0</v>
      </c>
      <c r="N439" s="61">
        <f ca="1">$K$439-EFEITO!$M$439*EFEITO!$Z$439</f>
        <v>0</v>
      </c>
      <c r="O439" s="61">
        <f>$L$439-EFEITO!$O$439*EFEITO!$AA$439</f>
        <v>0</v>
      </c>
      <c r="P439" s="45"/>
      <c r="Q439" s="45"/>
      <c r="R439" s="45"/>
      <c r="S439" s="45"/>
      <c r="T439" s="45"/>
      <c r="U439" s="45"/>
      <c r="V439" s="45"/>
      <c r="W439" s="45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41" t="s">
        <v>21</v>
      </c>
      <c r="B440" s="41" t="s">
        <v>32</v>
      </c>
      <c r="C440" s="41" t="s">
        <v>38</v>
      </c>
      <c r="D440" s="41" t="s">
        <v>40</v>
      </c>
      <c r="E440" s="41" t="s">
        <v>25</v>
      </c>
      <c r="F440" s="41" t="s">
        <v>25</v>
      </c>
      <c r="G440" s="41" t="s">
        <v>25</v>
      </c>
      <c r="H440" s="41" t="s">
        <v>39</v>
      </c>
      <c r="I440" s="60">
        <v>44501</v>
      </c>
      <c r="J440" s="61">
        <f>EFEITO!$J$440*EFEITO!$Y$440</f>
        <v>0</v>
      </c>
      <c r="K440" s="61">
        <f ca="1">EFEITO!$L$440*EFEITO!$Z$440</f>
        <v>188.73940972459926</v>
      </c>
      <c r="L440" s="61">
        <f>EFEITO!$N$440*EFEITO!$AA$440</f>
        <v>71.909119174677912</v>
      </c>
      <c r="M440" s="61">
        <f>$J$440-EFEITO!$K$440*EFEITO!$Y$440</f>
        <v>0</v>
      </c>
      <c r="N440" s="61">
        <f ca="1">$K$440-EFEITO!$M$440*EFEITO!$Z$440</f>
        <v>0</v>
      </c>
      <c r="O440" s="61">
        <f>$L$440-EFEITO!$O$440*EFEITO!$AA$440</f>
        <v>0</v>
      </c>
      <c r="P440" s="45"/>
      <c r="Q440" s="45"/>
      <c r="R440" s="45"/>
      <c r="S440" s="45"/>
      <c r="T440" s="45"/>
      <c r="U440" s="45"/>
      <c r="V440" s="45"/>
      <c r="W440" s="45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41" t="s">
        <v>21</v>
      </c>
      <c r="B441" s="41" t="s">
        <v>32</v>
      </c>
      <c r="C441" s="41" t="s">
        <v>38</v>
      </c>
      <c r="D441" s="41" t="s">
        <v>40</v>
      </c>
      <c r="E441" s="41" t="s">
        <v>25</v>
      </c>
      <c r="F441" s="41" t="s">
        <v>25</v>
      </c>
      <c r="G441" s="41" t="s">
        <v>25</v>
      </c>
      <c r="H441" s="41" t="s">
        <v>39</v>
      </c>
      <c r="I441" s="60">
        <v>44531</v>
      </c>
      <c r="J441" s="61">
        <f>EFEITO!$J$441*EFEITO!$Y$441</f>
        <v>0</v>
      </c>
      <c r="K441" s="61">
        <f ca="1">EFEITO!$L$441*EFEITO!$Z$441</f>
        <v>197.99832416391922</v>
      </c>
      <c r="L441" s="61">
        <f>EFEITO!$N$441*EFEITO!$AA$441</f>
        <v>75.436736341737586</v>
      </c>
      <c r="M441" s="61">
        <f>$J$441-EFEITO!$K$441*EFEITO!$Y$441</f>
        <v>0</v>
      </c>
      <c r="N441" s="61">
        <f ca="1">$K$441-EFEITO!$M$441*EFEITO!$Z$441</f>
        <v>0</v>
      </c>
      <c r="O441" s="61">
        <f>$L$441-EFEITO!$O$441*EFEITO!$AA$441</f>
        <v>0</v>
      </c>
      <c r="P441" s="45"/>
      <c r="Q441" s="45"/>
      <c r="R441" s="45"/>
      <c r="S441" s="45"/>
      <c r="T441" s="45"/>
      <c r="U441" s="45"/>
      <c r="V441" s="45"/>
      <c r="W441" s="45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41" t="s">
        <v>21</v>
      </c>
      <c r="B442" s="41" t="s">
        <v>32</v>
      </c>
      <c r="C442" s="41" t="s">
        <v>38</v>
      </c>
      <c r="D442" s="41" t="s">
        <v>40</v>
      </c>
      <c r="E442" s="41" t="s">
        <v>25</v>
      </c>
      <c r="F442" s="41" t="s">
        <v>25</v>
      </c>
      <c r="G442" s="41" t="s">
        <v>25</v>
      </c>
      <c r="H442" s="41" t="s">
        <v>39</v>
      </c>
      <c r="I442" s="60">
        <v>44562</v>
      </c>
      <c r="J442" s="61">
        <f>EFEITO!$J$442*EFEITO!$Y$442</f>
        <v>0</v>
      </c>
      <c r="K442" s="61">
        <f ca="1">EFEITO!$L$442*EFEITO!$Z$442</f>
        <v>220.07727398075912</v>
      </c>
      <c r="L442" s="61">
        <f>EFEITO!$N$442*EFEITO!$AA$442</f>
        <v>83.84874650934141</v>
      </c>
      <c r="M442" s="61">
        <f>$J$442-EFEITO!$K$442*EFEITO!$Y$442</f>
        <v>0</v>
      </c>
      <c r="N442" s="61">
        <f ca="1">$K$442-EFEITO!$M$442*EFEITO!$Z$442</f>
        <v>0</v>
      </c>
      <c r="O442" s="61">
        <f>$L$442-EFEITO!$O$442*EFEITO!$AA$442</f>
        <v>0</v>
      </c>
      <c r="P442" s="45"/>
      <c r="Q442" s="45"/>
      <c r="R442" s="45"/>
      <c r="S442" s="45"/>
      <c r="T442" s="45"/>
      <c r="U442" s="45"/>
      <c r="V442" s="45"/>
      <c r="W442" s="45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41" t="s">
        <v>21</v>
      </c>
      <c r="B443" s="41" t="s">
        <v>32</v>
      </c>
      <c r="C443" s="41" t="s">
        <v>38</v>
      </c>
      <c r="D443" s="41" t="s">
        <v>40</v>
      </c>
      <c r="E443" s="41" t="s">
        <v>25</v>
      </c>
      <c r="F443" s="41" t="s">
        <v>25</v>
      </c>
      <c r="G443" s="41" t="s">
        <v>25</v>
      </c>
      <c r="H443" s="41" t="s">
        <v>39</v>
      </c>
      <c r="I443" s="60">
        <v>44593</v>
      </c>
      <c r="J443" s="61">
        <f>EFEITO!$J$443*EFEITO!$Y$443</f>
        <v>0</v>
      </c>
      <c r="K443" s="61">
        <f ca="1">EFEITO!$L$443*EFEITO!$Z$443</f>
        <v>273.4940880537589</v>
      </c>
      <c r="L443" s="61">
        <f>EFEITO!$N$443*EFEITO!$AA$443</f>
        <v>104.20038401160873</v>
      </c>
      <c r="M443" s="61">
        <f>$J$443-EFEITO!$K$443*EFEITO!$Y$443</f>
        <v>0</v>
      </c>
      <c r="N443" s="61">
        <f ca="1">$K$443-EFEITO!$M$443*EFEITO!$Z$443</f>
        <v>0</v>
      </c>
      <c r="O443" s="61">
        <f>$L$443-EFEITO!$O$443*EFEITO!$AA$443</f>
        <v>0</v>
      </c>
      <c r="P443" s="45"/>
      <c r="Q443" s="45"/>
      <c r="R443" s="45"/>
      <c r="S443" s="45"/>
      <c r="T443" s="45"/>
      <c r="U443" s="45"/>
      <c r="V443" s="45"/>
      <c r="W443" s="45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41" t="s">
        <v>21</v>
      </c>
      <c r="B444" s="41" t="s">
        <v>32</v>
      </c>
      <c r="C444" s="41" t="s">
        <v>38</v>
      </c>
      <c r="D444" s="41" t="s">
        <v>40</v>
      </c>
      <c r="E444" s="41" t="s">
        <v>25</v>
      </c>
      <c r="F444" s="41" t="s">
        <v>25</v>
      </c>
      <c r="G444" s="41" t="s">
        <v>25</v>
      </c>
      <c r="H444" s="41" t="s">
        <v>39</v>
      </c>
      <c r="I444" s="60">
        <v>44621</v>
      </c>
      <c r="J444" s="61">
        <f>EFEITO!$J$444*EFEITO!$Y$444</f>
        <v>0</v>
      </c>
      <c r="K444" s="61">
        <f ca="1">EFEITO!$L$444*EFEITO!$Z$444</f>
        <v>210.81835954143915</v>
      </c>
      <c r="L444" s="61">
        <f>EFEITO!$N$444*EFEITO!$AA$444</f>
        <v>80.321129342281736</v>
      </c>
      <c r="M444" s="61">
        <f>$J$444-EFEITO!$K$444*EFEITO!$Y$444</f>
        <v>0</v>
      </c>
      <c r="N444" s="61">
        <f ca="1">$K$444-EFEITO!$M$444*EFEITO!$Z$444</f>
        <v>0</v>
      </c>
      <c r="O444" s="61">
        <f>$L$444-EFEITO!$O$444*EFEITO!$AA$444</f>
        <v>0</v>
      </c>
      <c r="P444" s="45"/>
      <c r="Q444" s="45"/>
      <c r="R444" s="45"/>
      <c r="S444" s="45"/>
      <c r="T444" s="45"/>
      <c r="U444" s="45"/>
      <c r="V444" s="45"/>
      <c r="W444" s="45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41" t="s">
        <v>21</v>
      </c>
      <c r="B445" s="41" t="s">
        <v>32</v>
      </c>
      <c r="C445" s="41" t="s">
        <v>38</v>
      </c>
      <c r="D445" s="41" t="s">
        <v>40</v>
      </c>
      <c r="E445" s="41" t="s">
        <v>25</v>
      </c>
      <c r="F445" s="41" t="s">
        <v>25</v>
      </c>
      <c r="G445" s="41" t="s">
        <v>25</v>
      </c>
      <c r="H445" s="41" t="s">
        <v>39</v>
      </c>
      <c r="I445" s="60">
        <v>44652</v>
      </c>
      <c r="J445" s="61">
        <f>EFEITO!$J$445*EFEITO!$Y$445</f>
        <v>0</v>
      </c>
      <c r="K445" s="61">
        <f ca="1">EFEITO!$L$445*EFEITO!$Z$445</f>
        <v>225.77506748187909</v>
      </c>
      <c r="L445" s="61">
        <f>EFEITO!$N$445*EFEITO!$AA$445</f>
        <v>86.019587842916593</v>
      </c>
      <c r="M445" s="61">
        <f>$J$445-EFEITO!$K$445*EFEITO!$Y$445</f>
        <v>0</v>
      </c>
      <c r="N445" s="61">
        <f ca="1">$K$445-EFEITO!$M$445*EFEITO!$Z$445</f>
        <v>0</v>
      </c>
      <c r="O445" s="61">
        <f>$L$445-EFEITO!$O$445*EFEITO!$AA$445</f>
        <v>0</v>
      </c>
      <c r="P445" s="45"/>
      <c r="Q445" s="45"/>
      <c r="R445" s="45"/>
      <c r="S445" s="45"/>
      <c r="T445" s="45"/>
      <c r="U445" s="45"/>
      <c r="V445" s="45"/>
      <c r="W445" s="45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41" t="s">
        <v>21</v>
      </c>
      <c r="B446" s="41" t="s">
        <v>32</v>
      </c>
      <c r="C446" s="41" t="s">
        <v>38</v>
      </c>
      <c r="D446" s="41" t="s">
        <v>40</v>
      </c>
      <c r="E446" s="41" t="s">
        <v>25</v>
      </c>
      <c r="F446" s="41" t="s">
        <v>25</v>
      </c>
      <c r="G446" s="41" t="s">
        <v>25</v>
      </c>
      <c r="H446" s="41" t="s">
        <v>39</v>
      </c>
      <c r="I446" s="60">
        <v>44682</v>
      </c>
      <c r="J446" s="61">
        <f>EFEITO!$J$446*EFEITO!$Y$446</f>
        <v>0</v>
      </c>
      <c r="K446" s="61">
        <f ca="1">EFEITO!$L$446*EFEITO!$Z$446</f>
        <v>228.62396423243908</v>
      </c>
      <c r="L446" s="61">
        <f>EFEITO!$N$446*EFEITO!$AA$446</f>
        <v>87.105008509704177</v>
      </c>
      <c r="M446" s="61">
        <f>$J$446-EFEITO!$K$446*EFEITO!$Y$446</f>
        <v>0</v>
      </c>
      <c r="N446" s="61">
        <f ca="1">$K$446-EFEITO!$M$446*EFEITO!$Z$446</f>
        <v>0</v>
      </c>
      <c r="O446" s="61">
        <f>$L$446-EFEITO!$O$446*EFEITO!$AA$446</f>
        <v>0</v>
      </c>
      <c r="P446" s="45"/>
      <c r="Q446" s="45"/>
      <c r="R446" s="45"/>
      <c r="S446" s="45"/>
      <c r="T446" s="45"/>
      <c r="U446" s="45"/>
      <c r="V446" s="45"/>
      <c r="W446" s="45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41" t="s">
        <v>21</v>
      </c>
      <c r="B447" s="41" t="s">
        <v>32</v>
      </c>
      <c r="C447" s="41" t="s">
        <v>38</v>
      </c>
      <c r="D447" s="41" t="s">
        <v>40</v>
      </c>
      <c r="E447" s="41" t="s">
        <v>25</v>
      </c>
      <c r="F447" s="41" t="s">
        <v>25</v>
      </c>
      <c r="G447" s="41" t="s">
        <v>25</v>
      </c>
      <c r="H447" s="41" t="s">
        <v>39</v>
      </c>
      <c r="I447" s="60">
        <v>44713</v>
      </c>
      <c r="J447" s="61">
        <f>EFEITO!$J$447*EFEITO!$Y$447</f>
        <v>0</v>
      </c>
      <c r="K447" s="61">
        <f ca="1">EFEITO!$L$447*EFEITO!$Z$447</f>
        <v>249.27846567399897</v>
      </c>
      <c r="L447" s="61">
        <f>EFEITO!$N$447*EFEITO!$AA$447</f>
        <v>94.974308343914203</v>
      </c>
      <c r="M447" s="61">
        <f>$J$447-EFEITO!$K$447*EFEITO!$Y$447</f>
        <v>0</v>
      </c>
      <c r="N447" s="61">
        <f ca="1">$K$447-EFEITO!$M$447*EFEITO!$Z$447</f>
        <v>0</v>
      </c>
      <c r="O447" s="61">
        <f>$L$447-EFEITO!$O$447*EFEITO!$AA$447</f>
        <v>0</v>
      </c>
      <c r="P447" s="45"/>
      <c r="Q447" s="45"/>
      <c r="R447" s="45"/>
      <c r="S447" s="45"/>
      <c r="T447" s="45"/>
      <c r="U447" s="45"/>
      <c r="V447" s="45"/>
      <c r="W447" s="45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41" t="s">
        <v>21</v>
      </c>
      <c r="B448" s="41" t="s">
        <v>32</v>
      </c>
      <c r="C448" s="41" t="s">
        <v>38</v>
      </c>
      <c r="D448" s="41" t="s">
        <v>40</v>
      </c>
      <c r="E448" s="41" t="s">
        <v>25</v>
      </c>
      <c r="F448" s="41" t="s">
        <v>25</v>
      </c>
      <c r="G448" s="41" t="s">
        <v>25</v>
      </c>
      <c r="H448" s="41" t="s">
        <v>39</v>
      </c>
      <c r="I448" s="60">
        <v>44743</v>
      </c>
      <c r="J448" s="61">
        <f>EFEITO!$J$448*EFEITO!$Y$448</f>
        <v>0</v>
      </c>
      <c r="K448" s="61">
        <f ca="1">EFEITO!$L$448*EFEITO!$Z$448</f>
        <v>260.67405267623894</v>
      </c>
      <c r="L448" s="61">
        <f>EFEITO!$N$448*EFEITO!$AA$448</f>
        <v>99.315991011064582</v>
      </c>
      <c r="M448" s="61">
        <f>$J$448-EFEITO!$K$448*EFEITO!$Y$448</f>
        <v>0</v>
      </c>
      <c r="N448" s="61">
        <f ca="1">$K$448-EFEITO!$M$448*EFEITO!$Z$448</f>
        <v>0</v>
      </c>
      <c r="O448" s="61">
        <f>$L$448-EFEITO!$O$448*EFEITO!$AA$448</f>
        <v>0</v>
      </c>
      <c r="P448" s="45"/>
      <c r="Q448" s="45"/>
      <c r="R448" s="45"/>
      <c r="S448" s="45"/>
      <c r="T448" s="45"/>
      <c r="U448" s="45"/>
      <c r="V448" s="45"/>
      <c r="W448" s="45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41" t="s">
        <v>21</v>
      </c>
      <c r="B449" s="41" t="s">
        <v>32</v>
      </c>
      <c r="C449" s="41" t="s">
        <v>38</v>
      </c>
      <c r="D449" s="41" t="s">
        <v>40</v>
      </c>
      <c r="E449" s="41" t="s">
        <v>25</v>
      </c>
      <c r="F449" s="41" t="s">
        <v>25</v>
      </c>
      <c r="G449" s="41" t="s">
        <v>25</v>
      </c>
      <c r="H449" s="41" t="s">
        <v>36</v>
      </c>
      <c r="I449" s="60">
        <v>44409</v>
      </c>
      <c r="J449" s="61">
        <f>EFEITO!$J$449*EFEITO!$Y$449</f>
        <v>0</v>
      </c>
      <c r="K449" s="61">
        <f ca="1">EFEITO!$L$449*EFEITO!$Z$449</f>
        <v>761.743838376849</v>
      </c>
      <c r="L449" s="61">
        <f>EFEITO!$N$449*EFEITO!$AA$449</f>
        <v>149.38353288965197</v>
      </c>
      <c r="M449" s="61">
        <f>$J$449-EFEITO!$K$449*EFEITO!$Y$449</f>
        <v>0</v>
      </c>
      <c r="N449" s="61">
        <f ca="1">$K$449-EFEITO!$M$449*EFEITO!$Z$449</f>
        <v>0</v>
      </c>
      <c r="O449" s="61">
        <f>$L$449-EFEITO!$O$449*EFEITO!$AA$449</f>
        <v>0</v>
      </c>
      <c r="P449" s="45"/>
      <c r="Q449" s="45"/>
      <c r="R449" s="45"/>
      <c r="S449" s="45"/>
      <c r="T449" s="45"/>
      <c r="U449" s="45"/>
      <c r="V449" s="45"/>
      <c r="W449" s="45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41" t="s">
        <v>21</v>
      </c>
      <c r="B450" s="41" t="s">
        <v>32</v>
      </c>
      <c r="C450" s="41" t="s">
        <v>38</v>
      </c>
      <c r="D450" s="41" t="s">
        <v>40</v>
      </c>
      <c r="E450" s="41" t="s">
        <v>25</v>
      </c>
      <c r="F450" s="41" t="s">
        <v>25</v>
      </c>
      <c r="G450" s="41" t="s">
        <v>25</v>
      </c>
      <c r="H450" s="41" t="s">
        <v>36</v>
      </c>
      <c r="I450" s="60">
        <v>44440</v>
      </c>
      <c r="J450" s="61">
        <f>EFEITO!$J$450*EFEITO!$Y$450</f>
        <v>0</v>
      </c>
      <c r="K450" s="61">
        <f ca="1">EFEITO!$L$450*EFEITO!$Z$450</f>
        <v>740.5842873108254</v>
      </c>
      <c r="L450" s="61">
        <f>EFEITO!$N$450*EFEITO!$AA$450</f>
        <v>145.23399030938387</v>
      </c>
      <c r="M450" s="61">
        <f>$J$450-EFEITO!$K$450*EFEITO!$Y$450</f>
        <v>0</v>
      </c>
      <c r="N450" s="61">
        <f ca="1">$K$450-EFEITO!$M$450*EFEITO!$Z$450</f>
        <v>0</v>
      </c>
      <c r="O450" s="61">
        <f>$L$450-EFEITO!$O$450*EFEITO!$AA$450</f>
        <v>0</v>
      </c>
      <c r="P450" s="45"/>
      <c r="Q450" s="45"/>
      <c r="R450" s="45"/>
      <c r="S450" s="45"/>
      <c r="T450" s="45"/>
      <c r="U450" s="45"/>
      <c r="V450" s="45"/>
      <c r="W450" s="45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41" t="s">
        <v>21</v>
      </c>
      <c r="B451" s="41" t="s">
        <v>32</v>
      </c>
      <c r="C451" s="41" t="s">
        <v>38</v>
      </c>
      <c r="D451" s="41" t="s">
        <v>40</v>
      </c>
      <c r="E451" s="41" t="s">
        <v>25</v>
      </c>
      <c r="F451" s="41" t="s">
        <v>25</v>
      </c>
      <c r="G451" s="41" t="s">
        <v>25</v>
      </c>
      <c r="H451" s="41" t="s">
        <v>36</v>
      </c>
      <c r="I451" s="60">
        <v>44470</v>
      </c>
      <c r="J451" s="61">
        <f>EFEITO!$J$451*EFEITO!$Y$451</f>
        <v>0</v>
      </c>
      <c r="K451" s="61">
        <f ca="1">EFEITO!$L$451*EFEITO!$Z$451</f>
        <v>731.18004239259267</v>
      </c>
      <c r="L451" s="61">
        <f>EFEITO!$N$451*EFEITO!$AA$451</f>
        <v>143.38974916259804</v>
      </c>
      <c r="M451" s="61">
        <f>$J$451-EFEITO!$K$451*EFEITO!$Y$451</f>
        <v>0</v>
      </c>
      <c r="N451" s="61">
        <f ca="1">$K$451-EFEITO!$M$451*EFEITO!$Z$451</f>
        <v>0</v>
      </c>
      <c r="O451" s="61">
        <f>$L$451-EFEITO!$O$451*EFEITO!$AA$451</f>
        <v>0</v>
      </c>
      <c r="P451" s="45"/>
      <c r="Q451" s="45"/>
      <c r="R451" s="45"/>
      <c r="S451" s="45"/>
      <c r="T451" s="45"/>
      <c r="U451" s="45"/>
      <c r="V451" s="45"/>
      <c r="W451" s="45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41" t="s">
        <v>21</v>
      </c>
      <c r="B452" s="41" t="s">
        <v>32</v>
      </c>
      <c r="C452" s="41" t="s">
        <v>38</v>
      </c>
      <c r="D452" s="41" t="s">
        <v>40</v>
      </c>
      <c r="E452" s="41" t="s">
        <v>25</v>
      </c>
      <c r="F452" s="41" t="s">
        <v>25</v>
      </c>
      <c r="G452" s="41" t="s">
        <v>25</v>
      </c>
      <c r="H452" s="41" t="s">
        <v>36</v>
      </c>
      <c r="I452" s="60">
        <v>44501</v>
      </c>
      <c r="J452" s="61">
        <f>EFEITO!$J$452*EFEITO!$Y$452</f>
        <v>0</v>
      </c>
      <c r="K452" s="61">
        <f ca="1">EFEITO!$L$452*EFEITO!$Z$452</f>
        <v>691.21200149010372</v>
      </c>
      <c r="L452" s="61">
        <f>EFEITO!$N$452*EFEITO!$AA$452</f>
        <v>135.55172428875827</v>
      </c>
      <c r="M452" s="61">
        <f>$J$452-EFEITO!$K$452*EFEITO!$Y$452</f>
        <v>0</v>
      </c>
      <c r="N452" s="61">
        <f ca="1">$K$452-EFEITO!$M$452*EFEITO!$Z$452</f>
        <v>0</v>
      </c>
      <c r="O452" s="61">
        <f>$L$452-EFEITO!$O$452*EFEITO!$AA$452</f>
        <v>0</v>
      </c>
      <c r="P452" s="45"/>
      <c r="Q452" s="45"/>
      <c r="R452" s="45"/>
      <c r="S452" s="45"/>
      <c r="T452" s="45"/>
      <c r="U452" s="45"/>
      <c r="V452" s="45"/>
      <c r="W452" s="45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41" t="s">
        <v>21</v>
      </c>
      <c r="B453" s="41" t="s">
        <v>32</v>
      </c>
      <c r="C453" s="41" t="s">
        <v>38</v>
      </c>
      <c r="D453" s="41" t="s">
        <v>40</v>
      </c>
      <c r="E453" s="41" t="s">
        <v>25</v>
      </c>
      <c r="F453" s="41" t="s">
        <v>25</v>
      </c>
      <c r="G453" s="41" t="s">
        <v>25</v>
      </c>
      <c r="H453" s="41" t="s">
        <v>36</v>
      </c>
      <c r="I453" s="60">
        <v>44531</v>
      </c>
      <c r="J453" s="61">
        <f>EFEITO!$J$453*EFEITO!$Y$453</f>
        <v>0</v>
      </c>
      <c r="K453" s="61">
        <f ca="1">EFEITO!$L$453*EFEITO!$Z$453</f>
        <v>653.59502181717301</v>
      </c>
      <c r="L453" s="61">
        <f>EFEITO!$N$453*EFEITO!$AA$453</f>
        <v>128.17475970161499</v>
      </c>
      <c r="M453" s="61">
        <f>$J$453-EFEITO!$K$453*EFEITO!$Y$453</f>
        <v>0</v>
      </c>
      <c r="N453" s="61">
        <f ca="1">$K$453-EFEITO!$M$453*EFEITO!$Z$453</f>
        <v>0</v>
      </c>
      <c r="O453" s="61">
        <f>$L$453-EFEITO!$O$453*EFEITO!$AA$453</f>
        <v>0</v>
      </c>
      <c r="P453" s="45"/>
      <c r="Q453" s="45"/>
      <c r="R453" s="45"/>
      <c r="S453" s="45"/>
      <c r="T453" s="45"/>
      <c r="U453" s="45"/>
      <c r="V453" s="45"/>
      <c r="W453" s="45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41" t="s">
        <v>21</v>
      </c>
      <c r="B454" s="41" t="s">
        <v>32</v>
      </c>
      <c r="C454" s="41" t="s">
        <v>38</v>
      </c>
      <c r="D454" s="41" t="s">
        <v>40</v>
      </c>
      <c r="E454" s="41" t="s">
        <v>25</v>
      </c>
      <c r="F454" s="41" t="s">
        <v>25</v>
      </c>
      <c r="G454" s="41" t="s">
        <v>25</v>
      </c>
      <c r="H454" s="41" t="s">
        <v>36</v>
      </c>
      <c r="I454" s="60">
        <v>44562</v>
      </c>
      <c r="J454" s="61">
        <f>EFEITO!$J$454*EFEITO!$Y$454</f>
        <v>0</v>
      </c>
      <c r="K454" s="61">
        <f ca="1">EFEITO!$L$454*EFEITO!$Z$454</f>
        <v>952.17979797106136</v>
      </c>
      <c r="L454" s="61">
        <f>EFEITO!$N$454*EFEITO!$AA$454</f>
        <v>186.729416112065</v>
      </c>
      <c r="M454" s="61">
        <f>$J$454-EFEITO!$K$454*EFEITO!$Y$454</f>
        <v>0</v>
      </c>
      <c r="N454" s="61">
        <f ca="1">$K$454-EFEITO!$M$454*EFEITO!$Z$454</f>
        <v>0</v>
      </c>
      <c r="O454" s="61">
        <f>$L$454-EFEITO!$O$454*EFEITO!$AA$454</f>
        <v>0</v>
      </c>
      <c r="P454" s="45"/>
      <c r="Q454" s="45"/>
      <c r="R454" s="45"/>
      <c r="S454" s="45"/>
      <c r="T454" s="45"/>
      <c r="U454" s="45"/>
      <c r="V454" s="45"/>
      <c r="W454" s="45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41" t="s">
        <v>21</v>
      </c>
      <c r="B455" s="41" t="s">
        <v>32</v>
      </c>
      <c r="C455" s="41" t="s">
        <v>38</v>
      </c>
      <c r="D455" s="41" t="s">
        <v>40</v>
      </c>
      <c r="E455" s="41" t="s">
        <v>25</v>
      </c>
      <c r="F455" s="41" t="s">
        <v>25</v>
      </c>
      <c r="G455" s="41" t="s">
        <v>25</v>
      </c>
      <c r="H455" s="41" t="s">
        <v>36</v>
      </c>
      <c r="I455" s="60">
        <v>44593</v>
      </c>
      <c r="J455" s="61">
        <f>EFEITO!$J$455*EFEITO!$Y$455</f>
        <v>0</v>
      </c>
      <c r="K455" s="61">
        <f ca="1">EFEITO!$L$455*EFEITO!$Z$455</f>
        <v>867.54159370696686</v>
      </c>
      <c r="L455" s="61">
        <f>EFEITO!$N$455*EFEITO!$AA$455</f>
        <v>170.13124579099252</v>
      </c>
      <c r="M455" s="61">
        <f>$J$455-EFEITO!$K$455*EFEITO!$Y$455</f>
        <v>0</v>
      </c>
      <c r="N455" s="61">
        <f ca="1">$K$455-EFEITO!$M$455*EFEITO!$Z$455</f>
        <v>0</v>
      </c>
      <c r="O455" s="61">
        <f>$L$455-EFEITO!$O$455*EFEITO!$AA$455</f>
        <v>0</v>
      </c>
      <c r="P455" s="45"/>
      <c r="Q455" s="45"/>
      <c r="R455" s="45"/>
      <c r="S455" s="45"/>
      <c r="T455" s="45"/>
      <c r="U455" s="45"/>
      <c r="V455" s="45"/>
      <c r="W455" s="45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41" t="s">
        <v>21</v>
      </c>
      <c r="B456" s="41" t="s">
        <v>32</v>
      </c>
      <c r="C456" s="41" t="s">
        <v>38</v>
      </c>
      <c r="D456" s="41" t="s">
        <v>40</v>
      </c>
      <c r="E456" s="41" t="s">
        <v>25</v>
      </c>
      <c r="F456" s="41" t="s">
        <v>25</v>
      </c>
      <c r="G456" s="41" t="s">
        <v>25</v>
      </c>
      <c r="H456" s="41" t="s">
        <v>36</v>
      </c>
      <c r="I456" s="60">
        <v>44621</v>
      </c>
      <c r="J456" s="61">
        <f>EFEITO!$J$456*EFEITO!$Y$456</f>
        <v>0</v>
      </c>
      <c r="K456" s="61">
        <f ca="1">EFEITO!$L$456*EFEITO!$Z$456</f>
        <v>698.26518517877821</v>
      </c>
      <c r="L456" s="61">
        <f>EFEITO!$N$456*EFEITO!$AA$456</f>
        <v>136.93490514884763</v>
      </c>
      <c r="M456" s="61">
        <f>$J$456-EFEITO!$K$456*EFEITO!$Y$456</f>
        <v>0</v>
      </c>
      <c r="N456" s="61">
        <f ca="1">$K$456-EFEITO!$M$456*EFEITO!$Z$456</f>
        <v>0</v>
      </c>
      <c r="O456" s="61">
        <f>$L$456-EFEITO!$O$456*EFEITO!$AA$456</f>
        <v>0</v>
      </c>
      <c r="P456" s="45"/>
      <c r="Q456" s="45"/>
      <c r="R456" s="45"/>
      <c r="S456" s="45"/>
      <c r="T456" s="45"/>
      <c r="U456" s="45"/>
      <c r="V456" s="45"/>
      <c r="W456" s="45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41" t="s">
        <v>21</v>
      </c>
      <c r="B457" s="41" t="s">
        <v>32</v>
      </c>
      <c r="C457" s="41" t="s">
        <v>38</v>
      </c>
      <c r="D457" s="41" t="s">
        <v>40</v>
      </c>
      <c r="E457" s="41" t="s">
        <v>25</v>
      </c>
      <c r="F457" s="41" t="s">
        <v>25</v>
      </c>
      <c r="G457" s="41" t="s">
        <v>25</v>
      </c>
      <c r="H457" s="41" t="s">
        <v>36</v>
      </c>
      <c r="I457" s="60">
        <v>44652</v>
      </c>
      <c r="J457" s="61">
        <f>EFEITO!$J$457*EFEITO!$Y$457</f>
        <v>0</v>
      </c>
      <c r="K457" s="61">
        <f ca="1">EFEITO!$L$457*EFEITO!$Z$457</f>
        <v>754.6906546881745</v>
      </c>
      <c r="L457" s="61">
        <f>EFEITO!$N$457*EFEITO!$AA$457</f>
        <v>148.00035202956261</v>
      </c>
      <c r="M457" s="61">
        <f>$J$457-EFEITO!$K$457*EFEITO!$Y$457</f>
        <v>0</v>
      </c>
      <c r="N457" s="61">
        <f ca="1">$K$457-EFEITO!$M$457*EFEITO!$Z$457</f>
        <v>0</v>
      </c>
      <c r="O457" s="61">
        <f>$L$457-EFEITO!$O$457*EFEITO!$AA$457</f>
        <v>0</v>
      </c>
      <c r="P457" s="45"/>
      <c r="Q457" s="45"/>
      <c r="R457" s="45"/>
      <c r="S457" s="45"/>
      <c r="T457" s="45"/>
      <c r="U457" s="45"/>
      <c r="V457" s="45"/>
      <c r="W457" s="45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41" t="s">
        <v>21</v>
      </c>
      <c r="B458" s="41" t="s">
        <v>32</v>
      </c>
      <c r="C458" s="41" t="s">
        <v>38</v>
      </c>
      <c r="D458" s="41" t="s">
        <v>40</v>
      </c>
      <c r="E458" s="41" t="s">
        <v>25</v>
      </c>
      <c r="F458" s="41" t="s">
        <v>25</v>
      </c>
      <c r="G458" s="41" t="s">
        <v>25</v>
      </c>
      <c r="H458" s="41" t="s">
        <v>36</v>
      </c>
      <c r="I458" s="60">
        <v>44682</v>
      </c>
      <c r="J458" s="61">
        <f>EFEITO!$J$458*EFEITO!$Y$458</f>
        <v>0</v>
      </c>
      <c r="K458" s="61">
        <f ca="1">EFEITO!$L$458*EFEITO!$Z$458</f>
        <v>829.92461403403604</v>
      </c>
      <c r="L458" s="61">
        <f>EFEITO!$N$458*EFEITO!$AA$458</f>
        <v>162.75428120384922</v>
      </c>
      <c r="M458" s="61">
        <f>$J$458-EFEITO!$K$458*EFEITO!$Y$458</f>
        <v>0</v>
      </c>
      <c r="N458" s="61">
        <f ca="1">$K$458-EFEITO!$M$458*EFEITO!$Z$458</f>
        <v>0</v>
      </c>
      <c r="O458" s="61">
        <f>$L$458-EFEITO!$O$458*EFEITO!$AA$458</f>
        <v>0</v>
      </c>
      <c r="P458" s="45"/>
      <c r="Q458" s="45"/>
      <c r="R458" s="45"/>
      <c r="S458" s="45"/>
      <c r="T458" s="45"/>
      <c r="U458" s="45"/>
      <c r="V458" s="45"/>
      <c r="W458" s="45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41" t="s">
        <v>21</v>
      </c>
      <c r="B459" s="41" t="s">
        <v>32</v>
      </c>
      <c r="C459" s="41" t="s">
        <v>38</v>
      </c>
      <c r="D459" s="41" t="s">
        <v>40</v>
      </c>
      <c r="E459" s="41" t="s">
        <v>25</v>
      </c>
      <c r="F459" s="41" t="s">
        <v>25</v>
      </c>
      <c r="G459" s="41" t="s">
        <v>25</v>
      </c>
      <c r="H459" s="41" t="s">
        <v>36</v>
      </c>
      <c r="I459" s="60">
        <v>44713</v>
      </c>
      <c r="J459" s="61">
        <f>EFEITO!$J$459*EFEITO!$Y$459</f>
        <v>0</v>
      </c>
      <c r="K459" s="61">
        <f ca="1">EFEITO!$L$459*EFEITO!$Z$459</f>
        <v>855.786287559176</v>
      </c>
      <c r="L459" s="61">
        <f>EFEITO!$N$459*EFEITO!$AA$459</f>
        <v>167.82594435751025</v>
      </c>
      <c r="M459" s="61">
        <f>$J$459-EFEITO!$K$459*EFEITO!$Y$459</f>
        <v>0</v>
      </c>
      <c r="N459" s="61">
        <f ca="1">$K$459-EFEITO!$M$459*EFEITO!$Z$459</f>
        <v>0</v>
      </c>
      <c r="O459" s="61">
        <f>$L$459-EFEITO!$O$459*EFEITO!$AA$459</f>
        <v>0</v>
      </c>
      <c r="P459" s="45"/>
      <c r="Q459" s="45"/>
      <c r="R459" s="45"/>
      <c r="S459" s="45"/>
      <c r="T459" s="45"/>
      <c r="U459" s="45"/>
      <c r="V459" s="45"/>
      <c r="W459" s="45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41" t="s">
        <v>21</v>
      </c>
      <c r="B460" s="41" t="s">
        <v>32</v>
      </c>
      <c r="C460" s="41" t="s">
        <v>38</v>
      </c>
      <c r="D460" s="41" t="s">
        <v>40</v>
      </c>
      <c r="E460" s="41" t="s">
        <v>25</v>
      </c>
      <c r="F460" s="41" t="s">
        <v>25</v>
      </c>
      <c r="G460" s="41" t="s">
        <v>25</v>
      </c>
      <c r="H460" s="41" t="s">
        <v>36</v>
      </c>
      <c r="I460" s="60">
        <v>44743</v>
      </c>
      <c r="J460" s="61">
        <f>EFEITO!$J$460*EFEITO!$Y$460</f>
        <v>0</v>
      </c>
      <c r="K460" s="61">
        <f ca="1">EFEITO!$L$460*EFEITO!$Z$460</f>
        <v>818.16930788624518</v>
      </c>
      <c r="L460" s="61">
        <f>EFEITO!$N$460*EFEITO!$AA$460</f>
        <v>160.44897977036692</v>
      </c>
      <c r="M460" s="61">
        <f>$J$460-EFEITO!$K$460*EFEITO!$Y$460</f>
        <v>0</v>
      </c>
      <c r="N460" s="61">
        <f ca="1">$K$460-EFEITO!$M$460*EFEITO!$Z$460</f>
        <v>0</v>
      </c>
      <c r="O460" s="61">
        <f>$L$460-EFEITO!$O$460*EFEITO!$AA$460</f>
        <v>0</v>
      </c>
      <c r="P460" s="45"/>
      <c r="Q460" s="45"/>
      <c r="R460" s="45"/>
      <c r="S460" s="45"/>
      <c r="T460" s="45"/>
      <c r="U460" s="45"/>
      <c r="V460" s="45"/>
      <c r="W460" s="45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41" t="s">
        <v>21</v>
      </c>
      <c r="B461" s="41" t="s">
        <v>32</v>
      </c>
      <c r="C461" s="41" t="s">
        <v>38</v>
      </c>
      <c r="D461" s="41" t="s">
        <v>33</v>
      </c>
      <c r="E461" s="41" t="s">
        <v>25</v>
      </c>
      <c r="F461" s="41" t="s">
        <v>25</v>
      </c>
      <c r="G461" s="41" t="s">
        <v>25</v>
      </c>
      <c r="H461" s="41" t="s">
        <v>37</v>
      </c>
      <c r="I461" s="60">
        <v>44409</v>
      </c>
      <c r="J461" s="61">
        <f>EFEITO!$J$461*EFEITO!$Y$461</f>
        <v>0</v>
      </c>
      <c r="K461" s="61">
        <f ca="1">EFEITO!$L$461*EFEITO!$Z$461</f>
        <v>2310.6207924120413</v>
      </c>
      <c r="L461" s="61">
        <f>EFEITO!$N$461*EFEITO!$AA$461</f>
        <v>1899.2148117115873</v>
      </c>
      <c r="M461" s="61">
        <f>$J$461-EFEITO!$K$461*EFEITO!$Y$461</f>
        <v>0</v>
      </c>
      <c r="N461" s="61">
        <f ca="1">$K$461-EFEITO!$M$461*EFEITO!$Z$461</f>
        <v>0</v>
      </c>
      <c r="O461" s="61">
        <f>$L$461-EFEITO!$O$461*EFEITO!$AA$461</f>
        <v>0</v>
      </c>
      <c r="P461" s="45"/>
      <c r="Q461" s="45"/>
      <c r="R461" s="45"/>
      <c r="S461" s="45"/>
      <c r="T461" s="45"/>
      <c r="U461" s="45"/>
      <c r="V461" s="45"/>
      <c r="W461" s="45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41" t="s">
        <v>21</v>
      </c>
      <c r="B462" s="41" t="s">
        <v>32</v>
      </c>
      <c r="C462" s="41" t="s">
        <v>38</v>
      </c>
      <c r="D462" s="41" t="s">
        <v>33</v>
      </c>
      <c r="E462" s="41" t="s">
        <v>25</v>
      </c>
      <c r="F462" s="41" t="s">
        <v>25</v>
      </c>
      <c r="G462" s="41" t="s">
        <v>25</v>
      </c>
      <c r="H462" s="41" t="s">
        <v>37</v>
      </c>
      <c r="I462" s="60">
        <v>44440</v>
      </c>
      <c r="J462" s="61">
        <f>EFEITO!$J$462*EFEITO!$Y$462</f>
        <v>0</v>
      </c>
      <c r="K462" s="61">
        <f ca="1">EFEITO!$L$462*EFEITO!$Z$462</f>
        <v>2582.9828660997014</v>
      </c>
      <c r="L462" s="61">
        <f>EFEITO!$N$462*EFEITO!$AA$462</f>
        <v>2123.0828242365278</v>
      </c>
      <c r="M462" s="61">
        <f>$J$462-EFEITO!$K$462*EFEITO!$Y$462</f>
        <v>0</v>
      </c>
      <c r="N462" s="61">
        <f ca="1">$K$462-EFEITO!$M$462*EFEITO!$Z$462</f>
        <v>0</v>
      </c>
      <c r="O462" s="61">
        <f>$L$462-EFEITO!$O$462*EFEITO!$AA$462</f>
        <v>0</v>
      </c>
      <c r="P462" s="45"/>
      <c r="Q462" s="45"/>
      <c r="R462" s="45"/>
      <c r="S462" s="45"/>
      <c r="T462" s="45"/>
      <c r="U462" s="45"/>
      <c r="V462" s="45"/>
      <c r="W462" s="45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41" t="s">
        <v>21</v>
      </c>
      <c r="B463" s="41" t="s">
        <v>32</v>
      </c>
      <c r="C463" s="41" t="s">
        <v>38</v>
      </c>
      <c r="D463" s="41" t="s">
        <v>33</v>
      </c>
      <c r="E463" s="41" t="s">
        <v>25</v>
      </c>
      <c r="F463" s="41" t="s">
        <v>25</v>
      </c>
      <c r="G463" s="41" t="s">
        <v>25</v>
      </c>
      <c r="H463" s="41" t="s">
        <v>37</v>
      </c>
      <c r="I463" s="60">
        <v>44470</v>
      </c>
      <c r="J463" s="61">
        <f>EFEITO!$J$463*EFEITO!$Y$463</f>
        <v>0</v>
      </c>
      <c r="K463" s="61">
        <f ca="1">EFEITO!$L$463*EFEITO!$Z$463</f>
        <v>2746.4001103122978</v>
      </c>
      <c r="L463" s="61">
        <f>EFEITO!$N$463*EFEITO!$AA$463</f>
        <v>2257.4036317514929</v>
      </c>
      <c r="M463" s="61">
        <f>$J$463-EFEITO!$K$463*EFEITO!$Y$463</f>
        <v>0</v>
      </c>
      <c r="N463" s="61">
        <f ca="1">$K$463-EFEITO!$M$463*EFEITO!$Z$463</f>
        <v>0</v>
      </c>
      <c r="O463" s="61">
        <f>$L$463-EFEITO!$O$463*EFEITO!$AA$463</f>
        <v>0</v>
      </c>
      <c r="P463" s="45"/>
      <c r="Q463" s="45"/>
      <c r="R463" s="45"/>
      <c r="S463" s="45"/>
      <c r="T463" s="45"/>
      <c r="U463" s="45"/>
      <c r="V463" s="45"/>
      <c r="W463" s="45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41" t="s">
        <v>21</v>
      </c>
      <c r="B464" s="41" t="s">
        <v>32</v>
      </c>
      <c r="C464" s="41" t="s">
        <v>38</v>
      </c>
      <c r="D464" s="41" t="s">
        <v>33</v>
      </c>
      <c r="E464" s="41" t="s">
        <v>25</v>
      </c>
      <c r="F464" s="41" t="s">
        <v>25</v>
      </c>
      <c r="G464" s="41" t="s">
        <v>25</v>
      </c>
      <c r="H464" s="41" t="s">
        <v>37</v>
      </c>
      <c r="I464" s="60">
        <v>44501</v>
      </c>
      <c r="J464" s="61">
        <f>EFEITO!$J$464*EFEITO!$Y$464</f>
        <v>0</v>
      </c>
      <c r="K464" s="61">
        <f ca="1">EFEITO!$L$464*EFEITO!$Z$464</f>
        <v>2319.8645961250772</v>
      </c>
      <c r="L464" s="61">
        <f>EFEITO!$N$464*EFEITO!$AA$464</f>
        <v>1906.8127563791006</v>
      </c>
      <c r="M464" s="61">
        <f>$J$464-EFEITO!$K$464*EFEITO!$Y$464</f>
        <v>0</v>
      </c>
      <c r="N464" s="61">
        <f ca="1">$K$464-EFEITO!$M$464*EFEITO!$Z$464</f>
        <v>0</v>
      </c>
      <c r="O464" s="61">
        <f>$L$464-EFEITO!$O$464*EFEITO!$AA$464</f>
        <v>0</v>
      </c>
      <c r="P464" s="45"/>
      <c r="Q464" s="45"/>
      <c r="R464" s="45"/>
      <c r="S464" s="45"/>
      <c r="T464" s="45"/>
      <c r="U464" s="45"/>
      <c r="V464" s="45"/>
      <c r="W464" s="45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41" t="s">
        <v>21</v>
      </c>
      <c r="B465" s="41" t="s">
        <v>32</v>
      </c>
      <c r="C465" s="41" t="s">
        <v>38</v>
      </c>
      <c r="D465" s="41" t="s">
        <v>33</v>
      </c>
      <c r="E465" s="41" t="s">
        <v>25</v>
      </c>
      <c r="F465" s="41" t="s">
        <v>25</v>
      </c>
      <c r="G465" s="41" t="s">
        <v>25</v>
      </c>
      <c r="H465" s="41" t="s">
        <v>37</v>
      </c>
      <c r="I465" s="60">
        <v>44531</v>
      </c>
      <c r="J465" s="61">
        <f>EFEITO!$J$465*EFEITO!$Y$465</f>
        <v>0</v>
      </c>
      <c r="K465" s="61">
        <f ca="1">EFEITO!$L$465*EFEITO!$Z$465</f>
        <v>2198.3746044680356</v>
      </c>
      <c r="L465" s="61">
        <f>EFEITO!$N$465*EFEITO!$AA$465</f>
        <v>1806.9540550346421</v>
      </c>
      <c r="M465" s="61">
        <f>$J$465-EFEITO!$K$465*EFEITO!$Y$465</f>
        <v>0</v>
      </c>
      <c r="N465" s="61">
        <f ca="1">$K$465-EFEITO!$M$465*EFEITO!$Z$465</f>
        <v>0</v>
      </c>
      <c r="O465" s="61">
        <f>$L$465-EFEITO!$O$465*EFEITO!$AA$465</f>
        <v>0</v>
      </c>
      <c r="P465" s="45"/>
      <c r="Q465" s="45"/>
      <c r="R465" s="45"/>
      <c r="S465" s="45"/>
      <c r="T465" s="45"/>
      <c r="U465" s="45"/>
      <c r="V465" s="45"/>
      <c r="W465" s="45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41" t="s">
        <v>21</v>
      </c>
      <c r="B466" s="41" t="s">
        <v>32</v>
      </c>
      <c r="C466" s="41" t="s">
        <v>38</v>
      </c>
      <c r="D466" s="41" t="s">
        <v>33</v>
      </c>
      <c r="E466" s="41" t="s">
        <v>25</v>
      </c>
      <c r="F466" s="41" t="s">
        <v>25</v>
      </c>
      <c r="G466" s="41" t="s">
        <v>25</v>
      </c>
      <c r="H466" s="41" t="s">
        <v>37</v>
      </c>
      <c r="I466" s="60">
        <v>44562</v>
      </c>
      <c r="J466" s="61">
        <f>EFEITO!$J$466*EFEITO!$Y$466</f>
        <v>0</v>
      </c>
      <c r="K466" s="61">
        <f ca="1">EFEITO!$L$466*EFEITO!$Z$466</f>
        <v>2479.6503460218378</v>
      </c>
      <c r="L466" s="61">
        <f>EFEITO!$N$466*EFEITO!$AA$466</f>
        <v>2038.148657060399</v>
      </c>
      <c r="M466" s="61">
        <f>$J$466-EFEITO!$K$466*EFEITO!$Y$466</f>
        <v>0</v>
      </c>
      <c r="N466" s="61">
        <f ca="1">$K$466-EFEITO!$M$466*EFEITO!$Z$466</f>
        <v>0</v>
      </c>
      <c r="O466" s="61">
        <f>$L$466-EFEITO!$O$466*EFEITO!$AA$466</f>
        <v>0</v>
      </c>
      <c r="P466" s="45"/>
      <c r="Q466" s="45"/>
      <c r="R466" s="45"/>
      <c r="S466" s="45"/>
      <c r="T466" s="45"/>
      <c r="U466" s="45"/>
      <c r="V466" s="45"/>
      <c r="W466" s="45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41" t="s">
        <v>21</v>
      </c>
      <c r="B467" s="41" t="s">
        <v>32</v>
      </c>
      <c r="C467" s="41" t="s">
        <v>38</v>
      </c>
      <c r="D467" s="41" t="s">
        <v>33</v>
      </c>
      <c r="E467" s="41" t="s">
        <v>25</v>
      </c>
      <c r="F467" s="41" t="s">
        <v>25</v>
      </c>
      <c r="G467" s="41" t="s">
        <v>25</v>
      </c>
      <c r="H467" s="41" t="s">
        <v>37</v>
      </c>
      <c r="I467" s="60">
        <v>44593</v>
      </c>
      <c r="J467" s="61">
        <f>EFEITO!$J$467*EFEITO!$Y$467</f>
        <v>0</v>
      </c>
      <c r="K467" s="61">
        <f ca="1">EFEITO!$L$467*EFEITO!$Z$467</f>
        <v>2710.4153030008374</v>
      </c>
      <c r="L467" s="61">
        <f>EFEITO!$N$467*EFEITO!$AA$467</f>
        <v>2227.8259185815309</v>
      </c>
      <c r="M467" s="61">
        <f>$J$467-EFEITO!$K$467*EFEITO!$Y$467</f>
        <v>0</v>
      </c>
      <c r="N467" s="61">
        <f ca="1">$K$467-EFEITO!$M$467*EFEITO!$Z$467</f>
        <v>0</v>
      </c>
      <c r="O467" s="61">
        <f>$L$467-EFEITO!$O$467*EFEITO!$AA$467</f>
        <v>0</v>
      </c>
      <c r="P467" s="45"/>
      <c r="Q467" s="45"/>
      <c r="R467" s="45"/>
      <c r="S467" s="45"/>
      <c r="T467" s="45"/>
      <c r="U467" s="45"/>
      <c r="V467" s="45"/>
      <c r="W467" s="45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41" t="s">
        <v>21</v>
      </c>
      <c r="B468" s="41" t="s">
        <v>32</v>
      </c>
      <c r="C468" s="41" t="s">
        <v>38</v>
      </c>
      <c r="D468" s="41" t="s">
        <v>33</v>
      </c>
      <c r="E468" s="41" t="s">
        <v>25</v>
      </c>
      <c r="F468" s="41" t="s">
        <v>25</v>
      </c>
      <c r="G468" s="41" t="s">
        <v>25</v>
      </c>
      <c r="H468" s="41" t="s">
        <v>37</v>
      </c>
      <c r="I468" s="60">
        <v>44621</v>
      </c>
      <c r="J468" s="61">
        <f>EFEITO!$J$468*EFEITO!$Y$468</f>
        <v>0</v>
      </c>
      <c r="K468" s="61">
        <f ca="1">EFEITO!$L$468*EFEITO!$Z$468</f>
        <v>2186.1595781329529</v>
      </c>
      <c r="L468" s="61">
        <f>EFEITO!$N$468*EFEITO!$AA$468</f>
        <v>1796.913913866857</v>
      </c>
      <c r="M468" s="61">
        <f>$J$468-EFEITO!$K$468*EFEITO!$Y$468</f>
        <v>0</v>
      </c>
      <c r="N468" s="61">
        <f ca="1">$K$468-EFEITO!$M$468*EFEITO!$Z$468</f>
        <v>0</v>
      </c>
      <c r="O468" s="61">
        <f>$L$468-EFEITO!$O$468*EFEITO!$AA$468</f>
        <v>0</v>
      </c>
      <c r="P468" s="45"/>
      <c r="Q468" s="45"/>
      <c r="R468" s="45"/>
      <c r="S468" s="45"/>
      <c r="T468" s="45"/>
      <c r="U468" s="45"/>
      <c r="V468" s="45"/>
      <c r="W468" s="45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41" t="s">
        <v>21</v>
      </c>
      <c r="B469" s="41" t="s">
        <v>32</v>
      </c>
      <c r="C469" s="41" t="s">
        <v>38</v>
      </c>
      <c r="D469" s="41" t="s">
        <v>33</v>
      </c>
      <c r="E469" s="41" t="s">
        <v>25</v>
      </c>
      <c r="F469" s="41" t="s">
        <v>25</v>
      </c>
      <c r="G469" s="41" t="s">
        <v>25</v>
      </c>
      <c r="H469" s="41" t="s">
        <v>37</v>
      </c>
      <c r="I469" s="60">
        <v>44652</v>
      </c>
      <c r="J469" s="61">
        <f>EFEITO!$J$469*EFEITO!$Y$469</f>
        <v>0</v>
      </c>
      <c r="K469" s="61">
        <f ca="1">EFEITO!$L$469*EFEITO!$Z$469</f>
        <v>2149.18436328081</v>
      </c>
      <c r="L469" s="61">
        <f>EFEITO!$N$469*EFEITO!$AA$469</f>
        <v>1766.5221351968044</v>
      </c>
      <c r="M469" s="61">
        <f>$J$469-EFEITO!$K$469*EFEITO!$Y$469</f>
        <v>0</v>
      </c>
      <c r="N469" s="61">
        <f ca="1">$K$469-EFEITO!$M$469*EFEITO!$Z$469</f>
        <v>0</v>
      </c>
      <c r="O469" s="61">
        <f>$L$469-EFEITO!$O$469*EFEITO!$AA$469</f>
        <v>0</v>
      </c>
      <c r="P469" s="45"/>
      <c r="Q469" s="45"/>
      <c r="R469" s="45"/>
      <c r="S469" s="45"/>
      <c r="T469" s="45"/>
      <c r="U469" s="45"/>
      <c r="V469" s="45"/>
      <c r="W469" s="45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41" t="s">
        <v>21</v>
      </c>
      <c r="B470" s="41" t="s">
        <v>32</v>
      </c>
      <c r="C470" s="41" t="s">
        <v>38</v>
      </c>
      <c r="D470" s="41" t="s">
        <v>33</v>
      </c>
      <c r="E470" s="41" t="s">
        <v>25</v>
      </c>
      <c r="F470" s="41" t="s">
        <v>25</v>
      </c>
      <c r="G470" s="41" t="s">
        <v>25</v>
      </c>
      <c r="H470" s="41" t="s">
        <v>37</v>
      </c>
      <c r="I470" s="60">
        <v>44682</v>
      </c>
      <c r="J470" s="61">
        <f>EFEITO!$J$470*EFEITO!$Y$470</f>
        <v>0</v>
      </c>
      <c r="K470" s="61">
        <f ca="1">EFEITO!$L$470*EFEITO!$Z$470</f>
        <v>2542.7062927786174</v>
      </c>
      <c r="L470" s="61">
        <f>EFEITO!$N$470*EFEITO!$AA$470</f>
        <v>2089.9774938995065</v>
      </c>
      <c r="M470" s="61">
        <f>$J$470-EFEITO!$K$470*EFEITO!$Y$470</f>
        <v>0</v>
      </c>
      <c r="N470" s="61">
        <f ca="1">$K$470-EFEITO!$M$470*EFEITO!$Z$470</f>
        <v>0</v>
      </c>
      <c r="O470" s="61">
        <f>$L$470-EFEITO!$O$470*EFEITO!$AA$470</f>
        <v>0</v>
      </c>
      <c r="P470" s="45"/>
      <c r="Q470" s="45"/>
      <c r="R470" s="45"/>
      <c r="S470" s="45"/>
      <c r="T470" s="45"/>
      <c r="U470" s="45"/>
      <c r="V470" s="45"/>
      <c r="W470" s="45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41" t="s">
        <v>21</v>
      </c>
      <c r="B471" s="41" t="s">
        <v>32</v>
      </c>
      <c r="C471" s="41" t="s">
        <v>38</v>
      </c>
      <c r="D471" s="41" t="s">
        <v>33</v>
      </c>
      <c r="E471" s="41" t="s">
        <v>25</v>
      </c>
      <c r="F471" s="41" t="s">
        <v>25</v>
      </c>
      <c r="G471" s="41" t="s">
        <v>25</v>
      </c>
      <c r="H471" s="41" t="s">
        <v>37</v>
      </c>
      <c r="I471" s="60">
        <v>44713</v>
      </c>
      <c r="J471" s="61">
        <f>EFEITO!$J$471*EFEITO!$Y$471</f>
        <v>0</v>
      </c>
      <c r="K471" s="61">
        <f ca="1">EFEITO!$L$471*EFEITO!$Z$471</f>
        <v>2900.9036866587526</v>
      </c>
      <c r="L471" s="61">
        <f>EFEITO!$N$471*EFEITO!$AA$471</f>
        <v>2384.3978497656408</v>
      </c>
      <c r="M471" s="61">
        <f>$J$471-EFEITO!$K$471*EFEITO!$Y$471</f>
        <v>0</v>
      </c>
      <c r="N471" s="61">
        <f ca="1">$K$471-EFEITO!$M$471*EFEITO!$Z$471</f>
        <v>0</v>
      </c>
      <c r="O471" s="61">
        <f>$L$471-EFEITO!$O$471*EFEITO!$AA$471</f>
        <v>0</v>
      </c>
      <c r="P471" s="45"/>
      <c r="Q471" s="45"/>
      <c r="R471" s="45"/>
      <c r="S471" s="45"/>
      <c r="T471" s="45"/>
      <c r="U471" s="45"/>
      <c r="V471" s="45"/>
      <c r="W471" s="45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41" t="s">
        <v>21</v>
      </c>
      <c r="B472" s="41" t="s">
        <v>32</v>
      </c>
      <c r="C472" s="41" t="s">
        <v>38</v>
      </c>
      <c r="D472" s="41" t="s">
        <v>33</v>
      </c>
      <c r="E472" s="41" t="s">
        <v>25</v>
      </c>
      <c r="F472" s="41" t="s">
        <v>25</v>
      </c>
      <c r="G472" s="41" t="s">
        <v>25</v>
      </c>
      <c r="H472" s="41" t="s">
        <v>37</v>
      </c>
      <c r="I472" s="60">
        <v>44743</v>
      </c>
      <c r="J472" s="61">
        <f>EFEITO!$J$472*EFEITO!$Y$472</f>
        <v>0</v>
      </c>
      <c r="K472" s="61">
        <f ca="1">EFEITO!$L$472*EFEITO!$Z$472</f>
        <v>2912.4584413000466</v>
      </c>
      <c r="L472" s="61">
        <f>EFEITO!$N$472*EFEITO!$AA$472</f>
        <v>2393.8952806000316</v>
      </c>
      <c r="M472" s="61">
        <f>$J$472-EFEITO!$K$472*EFEITO!$Y$472</f>
        <v>0</v>
      </c>
      <c r="N472" s="61">
        <f ca="1">$K$472-EFEITO!$M$472*EFEITO!$Z$472</f>
        <v>0</v>
      </c>
      <c r="O472" s="61">
        <f>$L$472-EFEITO!$O$472*EFEITO!$AA$472</f>
        <v>0</v>
      </c>
      <c r="P472" s="45"/>
      <c r="Q472" s="45"/>
      <c r="R472" s="45"/>
      <c r="S472" s="45"/>
      <c r="T472" s="45"/>
      <c r="U472" s="45"/>
      <c r="V472" s="45"/>
      <c r="W472" s="45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41" t="s">
        <v>21</v>
      </c>
      <c r="B473" s="41" t="s">
        <v>32</v>
      </c>
      <c r="C473" s="41" t="s">
        <v>38</v>
      </c>
      <c r="D473" s="41" t="s">
        <v>33</v>
      </c>
      <c r="E473" s="41" t="s">
        <v>25</v>
      </c>
      <c r="F473" s="41" t="s">
        <v>25</v>
      </c>
      <c r="G473" s="41" t="s">
        <v>25</v>
      </c>
      <c r="H473" s="41" t="s">
        <v>39</v>
      </c>
      <c r="I473" s="60">
        <v>44409</v>
      </c>
      <c r="J473" s="61">
        <f>EFEITO!$J$473*EFEITO!$Y$473</f>
        <v>0</v>
      </c>
      <c r="K473" s="61">
        <f ca="1">EFEITO!$L$473*EFEITO!$Z$473</f>
        <v>86.179126704439653</v>
      </c>
      <c r="L473" s="61">
        <f>EFEITO!$N$473*EFEITO!$AA$473</f>
        <v>32.833975170324628</v>
      </c>
      <c r="M473" s="61">
        <f>$J$473-EFEITO!$K$473*EFEITO!$Y$473</f>
        <v>0</v>
      </c>
      <c r="N473" s="61">
        <f ca="1">$K$473-EFEITO!$M$473*EFEITO!$Z$473</f>
        <v>0</v>
      </c>
      <c r="O473" s="61">
        <f>$L$473-EFEITO!$O$473*EFEITO!$AA$473</f>
        <v>0</v>
      </c>
      <c r="P473" s="45"/>
      <c r="Q473" s="45"/>
      <c r="R473" s="45"/>
      <c r="S473" s="45"/>
      <c r="T473" s="45"/>
      <c r="U473" s="45"/>
      <c r="V473" s="45"/>
      <c r="W473" s="45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41" t="s">
        <v>21</v>
      </c>
      <c r="B474" s="41" t="s">
        <v>32</v>
      </c>
      <c r="C474" s="41" t="s">
        <v>38</v>
      </c>
      <c r="D474" s="41" t="s">
        <v>33</v>
      </c>
      <c r="E474" s="41" t="s">
        <v>25</v>
      </c>
      <c r="F474" s="41" t="s">
        <v>25</v>
      </c>
      <c r="G474" s="41" t="s">
        <v>25</v>
      </c>
      <c r="H474" s="41" t="s">
        <v>39</v>
      </c>
      <c r="I474" s="60">
        <v>44440</v>
      </c>
      <c r="J474" s="61">
        <f>EFEITO!$J$474*EFEITO!$Y$474</f>
        <v>0</v>
      </c>
      <c r="K474" s="61">
        <f ca="1">EFEITO!$L$474*EFEITO!$Z$474</f>
        <v>70.510194576359723</v>
      </c>
      <c r="L474" s="61">
        <f>EFEITO!$N$474*EFEITO!$AA$474</f>
        <v>26.864161502992879</v>
      </c>
      <c r="M474" s="61">
        <f>$J$474-EFEITO!$K$474*EFEITO!$Y$474</f>
        <v>0</v>
      </c>
      <c r="N474" s="61">
        <f ca="1">$K$474-EFEITO!$M$474*EFEITO!$Z$474</f>
        <v>0</v>
      </c>
      <c r="O474" s="61">
        <f>$L$474-EFEITO!$O$474*EFEITO!$AA$474</f>
        <v>0</v>
      </c>
      <c r="P474" s="45"/>
      <c r="Q474" s="45"/>
      <c r="R474" s="45"/>
      <c r="S474" s="45"/>
      <c r="T474" s="45"/>
      <c r="U474" s="45"/>
      <c r="V474" s="45"/>
      <c r="W474" s="45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41" t="s">
        <v>21</v>
      </c>
      <c r="B475" s="41" t="s">
        <v>32</v>
      </c>
      <c r="C475" s="41" t="s">
        <v>38</v>
      </c>
      <c r="D475" s="41" t="s">
        <v>33</v>
      </c>
      <c r="E475" s="41" t="s">
        <v>25</v>
      </c>
      <c r="F475" s="41" t="s">
        <v>25</v>
      </c>
      <c r="G475" s="41" t="s">
        <v>25</v>
      </c>
      <c r="H475" s="41" t="s">
        <v>39</v>
      </c>
      <c r="I475" s="60">
        <v>44470</v>
      </c>
      <c r="J475" s="61">
        <f>EFEITO!$J$475*EFEITO!$Y$475</f>
        <v>0</v>
      </c>
      <c r="K475" s="61">
        <f ca="1">EFEITO!$L$475*EFEITO!$Z$475</f>
        <v>79.769109015679675</v>
      </c>
      <c r="L475" s="61">
        <f>EFEITO!$N$475*EFEITO!$AA$475</f>
        <v>30.391778670052549</v>
      </c>
      <c r="M475" s="61">
        <f>$J$475-EFEITO!$K$475*EFEITO!$Y$475</f>
        <v>0</v>
      </c>
      <c r="N475" s="61">
        <f ca="1">$K$475-EFEITO!$M$475*EFEITO!$Z$475</f>
        <v>0</v>
      </c>
      <c r="O475" s="61">
        <f>$L$475-EFEITO!$O$475*EFEITO!$AA$475</f>
        <v>0</v>
      </c>
      <c r="P475" s="45"/>
      <c r="Q475" s="45"/>
      <c r="R475" s="45"/>
      <c r="S475" s="45"/>
      <c r="T475" s="45"/>
      <c r="U475" s="45"/>
      <c r="V475" s="45"/>
      <c r="W475" s="45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41" t="s">
        <v>21</v>
      </c>
      <c r="B476" s="41" t="s">
        <v>32</v>
      </c>
      <c r="C476" s="41" t="s">
        <v>38</v>
      </c>
      <c r="D476" s="41" t="s">
        <v>33</v>
      </c>
      <c r="E476" s="41" t="s">
        <v>25</v>
      </c>
      <c r="F476" s="41" t="s">
        <v>25</v>
      </c>
      <c r="G476" s="41" t="s">
        <v>25</v>
      </c>
      <c r="H476" s="41" t="s">
        <v>39</v>
      </c>
      <c r="I476" s="60">
        <v>44501</v>
      </c>
      <c r="J476" s="61">
        <f>EFEITO!$J$476*EFEITO!$Y$476</f>
        <v>0</v>
      </c>
      <c r="K476" s="61">
        <f ca="1">EFEITO!$L$476*EFEITO!$Z$476</f>
        <v>54.129038260639781</v>
      </c>
      <c r="L476" s="61">
        <f>EFEITO!$N$476*EFEITO!$AA$476</f>
        <v>20.62299266896423</v>
      </c>
      <c r="M476" s="61">
        <f>$J$476-EFEITO!$K$476*EFEITO!$Y$476</f>
        <v>0</v>
      </c>
      <c r="N476" s="61">
        <f ca="1">$K$476-EFEITO!$M$476*EFEITO!$Z$476</f>
        <v>0</v>
      </c>
      <c r="O476" s="61">
        <f>$L$476-EFEITO!$O$476*EFEITO!$AA$476</f>
        <v>0</v>
      </c>
      <c r="P476" s="45"/>
      <c r="Q476" s="45"/>
      <c r="R476" s="45"/>
      <c r="S476" s="45"/>
      <c r="T476" s="45"/>
      <c r="U476" s="45"/>
      <c r="V476" s="45"/>
      <c r="W476" s="45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41" t="s">
        <v>21</v>
      </c>
      <c r="B477" s="41" t="s">
        <v>32</v>
      </c>
      <c r="C477" s="41" t="s">
        <v>38</v>
      </c>
      <c r="D477" s="41" t="s">
        <v>33</v>
      </c>
      <c r="E477" s="41" t="s">
        <v>25</v>
      </c>
      <c r="F477" s="41" t="s">
        <v>25</v>
      </c>
      <c r="G477" s="41" t="s">
        <v>25</v>
      </c>
      <c r="H477" s="41" t="s">
        <v>39</v>
      </c>
      <c r="I477" s="60">
        <v>44531</v>
      </c>
      <c r="J477" s="61">
        <f>EFEITO!$J$477*EFEITO!$Y$477</f>
        <v>0</v>
      </c>
      <c r="K477" s="61">
        <f ca="1">EFEITO!$L$477*EFEITO!$Z$477</f>
        <v>60.53905594939976</v>
      </c>
      <c r="L477" s="61">
        <f>EFEITO!$N$477*EFEITO!$AA$477</f>
        <v>23.065189169236312</v>
      </c>
      <c r="M477" s="61">
        <f>$J$477-EFEITO!$K$477*EFEITO!$Y$477</f>
        <v>0</v>
      </c>
      <c r="N477" s="61">
        <f ca="1">$K$477-EFEITO!$M$477*EFEITO!$Z$477</f>
        <v>0</v>
      </c>
      <c r="O477" s="61">
        <f>$L$477-EFEITO!$O$477*EFEITO!$AA$477</f>
        <v>0</v>
      </c>
      <c r="P477" s="45"/>
      <c r="Q477" s="45"/>
      <c r="R477" s="45"/>
      <c r="S477" s="45"/>
      <c r="T477" s="45"/>
      <c r="U477" s="45"/>
      <c r="V477" s="45"/>
      <c r="W477" s="45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41" t="s">
        <v>21</v>
      </c>
      <c r="B478" s="41" t="s">
        <v>32</v>
      </c>
      <c r="C478" s="41" t="s">
        <v>38</v>
      </c>
      <c r="D478" s="41" t="s">
        <v>33</v>
      </c>
      <c r="E478" s="41" t="s">
        <v>25</v>
      </c>
      <c r="F478" s="41" t="s">
        <v>25</v>
      </c>
      <c r="G478" s="41" t="s">
        <v>25</v>
      </c>
      <c r="H478" s="41" t="s">
        <v>39</v>
      </c>
      <c r="I478" s="60">
        <v>44562</v>
      </c>
      <c r="J478" s="61">
        <f>EFEITO!$J$478*EFEITO!$Y$478</f>
        <v>0</v>
      </c>
      <c r="K478" s="61">
        <f ca="1">EFEITO!$L$478*EFEITO!$Z$478</f>
        <v>56.265710823559772</v>
      </c>
      <c r="L478" s="61">
        <f>EFEITO!$N$478*EFEITO!$AA$478</f>
        <v>21.437058169054922</v>
      </c>
      <c r="M478" s="61">
        <f>$J$478-EFEITO!$K$478*EFEITO!$Y$478</f>
        <v>0</v>
      </c>
      <c r="N478" s="61">
        <f ca="1">$K$478-EFEITO!$M$478*EFEITO!$Z$478</f>
        <v>0</v>
      </c>
      <c r="O478" s="61">
        <f>$L$478-EFEITO!$O$478*EFEITO!$AA$478</f>
        <v>0</v>
      </c>
      <c r="P478" s="45"/>
      <c r="Q478" s="45"/>
      <c r="R478" s="45"/>
      <c r="S478" s="45"/>
      <c r="T478" s="45"/>
      <c r="U478" s="45"/>
      <c r="V478" s="45"/>
      <c r="W478" s="45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41" t="s">
        <v>21</v>
      </c>
      <c r="B479" s="41" t="s">
        <v>32</v>
      </c>
      <c r="C479" s="41" t="s">
        <v>38</v>
      </c>
      <c r="D479" s="41" t="s">
        <v>33</v>
      </c>
      <c r="E479" s="41" t="s">
        <v>25</v>
      </c>
      <c r="F479" s="41" t="s">
        <v>25</v>
      </c>
      <c r="G479" s="41" t="s">
        <v>25</v>
      </c>
      <c r="H479" s="41" t="s">
        <v>39</v>
      </c>
      <c r="I479" s="60">
        <v>44593</v>
      </c>
      <c r="J479" s="61">
        <f>EFEITO!$J$479*EFEITO!$Y$479</f>
        <v>0</v>
      </c>
      <c r="K479" s="61">
        <f ca="1">EFEITO!$L$479*EFEITO!$Z$479</f>
        <v>64.812401075239734</v>
      </c>
      <c r="L479" s="61">
        <f>EFEITO!$N$479*EFEITO!$AA$479</f>
        <v>24.693320169417696</v>
      </c>
      <c r="M479" s="61">
        <f>$J$479-EFEITO!$K$479*EFEITO!$Y$479</f>
        <v>0</v>
      </c>
      <c r="N479" s="61">
        <f ca="1">$K$479-EFEITO!$M$479*EFEITO!$Z$479</f>
        <v>0</v>
      </c>
      <c r="O479" s="61">
        <f>$L$479-EFEITO!$O$479*EFEITO!$AA$479</f>
        <v>0</v>
      </c>
      <c r="P479" s="45"/>
      <c r="Q479" s="45"/>
      <c r="R479" s="45"/>
      <c r="S479" s="45"/>
      <c r="T479" s="45"/>
      <c r="U479" s="45"/>
      <c r="V479" s="45"/>
      <c r="W479" s="45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41" t="s">
        <v>21</v>
      </c>
      <c r="B480" s="41" t="s">
        <v>32</v>
      </c>
      <c r="C480" s="41" t="s">
        <v>38</v>
      </c>
      <c r="D480" s="41" t="s">
        <v>33</v>
      </c>
      <c r="E480" s="41" t="s">
        <v>25</v>
      </c>
      <c r="F480" s="41" t="s">
        <v>25</v>
      </c>
      <c r="G480" s="41" t="s">
        <v>25</v>
      </c>
      <c r="H480" s="41" t="s">
        <v>39</v>
      </c>
      <c r="I480" s="60">
        <v>44621</v>
      </c>
      <c r="J480" s="61">
        <f>EFEITO!$J$480*EFEITO!$Y$480</f>
        <v>0</v>
      </c>
      <c r="K480" s="61">
        <f ca="1">EFEITO!$L$480*EFEITO!$Z$480</f>
        <v>39.884554507839837</v>
      </c>
      <c r="L480" s="61">
        <f>EFEITO!$N$480*EFEITO!$AA$480</f>
        <v>15.195889335026274</v>
      </c>
      <c r="M480" s="61">
        <f>$J$480-EFEITO!$K$480*EFEITO!$Y$480</f>
        <v>0</v>
      </c>
      <c r="N480" s="61">
        <f ca="1">$K$480-EFEITO!$M$480*EFEITO!$Z$480</f>
        <v>0</v>
      </c>
      <c r="O480" s="61">
        <f>$L$480-EFEITO!$O$480*EFEITO!$AA$480</f>
        <v>0</v>
      </c>
      <c r="P480" s="45"/>
      <c r="Q480" s="45"/>
      <c r="R480" s="45"/>
      <c r="S480" s="45"/>
      <c r="T480" s="45"/>
      <c r="U480" s="45"/>
      <c r="V480" s="45"/>
      <c r="W480" s="45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41" t="s">
        <v>21</v>
      </c>
      <c r="B481" s="41" t="s">
        <v>32</v>
      </c>
      <c r="C481" s="41" t="s">
        <v>38</v>
      </c>
      <c r="D481" s="41" t="s">
        <v>33</v>
      </c>
      <c r="E481" s="41" t="s">
        <v>25</v>
      </c>
      <c r="F481" s="41" t="s">
        <v>25</v>
      </c>
      <c r="G481" s="41" t="s">
        <v>25</v>
      </c>
      <c r="H481" s="41" t="s">
        <v>39</v>
      </c>
      <c r="I481" s="60">
        <v>44652</v>
      </c>
      <c r="J481" s="61">
        <f>EFEITO!$J$481*EFEITO!$Y$481</f>
        <v>0</v>
      </c>
      <c r="K481" s="61">
        <f ca="1">EFEITO!$L$481*EFEITO!$Z$481</f>
        <v>64.812401075239734</v>
      </c>
      <c r="L481" s="61">
        <f>EFEITO!$N$481*EFEITO!$AA$481</f>
        <v>24.693320169417696</v>
      </c>
      <c r="M481" s="61">
        <f>$J$481-EFEITO!$K$481*EFEITO!$Y$481</f>
        <v>0</v>
      </c>
      <c r="N481" s="61">
        <f ca="1">$K$481-EFEITO!$M$481*EFEITO!$Z$481</f>
        <v>0</v>
      </c>
      <c r="O481" s="61">
        <f>$L$481-EFEITO!$O$481*EFEITO!$AA$481</f>
        <v>0</v>
      </c>
      <c r="P481" s="45"/>
      <c r="Q481" s="45"/>
      <c r="R481" s="45"/>
      <c r="S481" s="45"/>
      <c r="T481" s="45"/>
      <c r="U481" s="45"/>
      <c r="V481" s="45"/>
      <c r="W481" s="45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41" t="s">
        <v>21</v>
      </c>
      <c r="B482" s="41" t="s">
        <v>32</v>
      </c>
      <c r="C482" s="41" t="s">
        <v>38</v>
      </c>
      <c r="D482" s="41" t="s">
        <v>33</v>
      </c>
      <c r="E482" s="41" t="s">
        <v>25</v>
      </c>
      <c r="F482" s="41" t="s">
        <v>25</v>
      </c>
      <c r="G482" s="41" t="s">
        <v>25</v>
      </c>
      <c r="H482" s="41" t="s">
        <v>39</v>
      </c>
      <c r="I482" s="60">
        <v>44682</v>
      </c>
      <c r="J482" s="61">
        <f>EFEITO!$J$482*EFEITO!$Y$482</f>
        <v>0</v>
      </c>
      <c r="K482" s="61">
        <f ca="1">EFEITO!$L$482*EFEITO!$Z$482</f>
        <v>38.460106132559844</v>
      </c>
      <c r="L482" s="61">
        <f>EFEITO!$N$482*EFEITO!$AA$482</f>
        <v>14.653179001632479</v>
      </c>
      <c r="M482" s="61">
        <f>$J$482-EFEITO!$K$482*EFEITO!$Y$482</f>
        <v>0</v>
      </c>
      <c r="N482" s="61">
        <f ca="1">$K$482-EFEITO!$M$482*EFEITO!$Z$482</f>
        <v>0</v>
      </c>
      <c r="O482" s="61">
        <f>$L$482-EFEITO!$O$482*EFEITO!$AA$482</f>
        <v>0</v>
      </c>
      <c r="P482" s="45"/>
      <c r="Q482" s="45"/>
      <c r="R482" s="45"/>
      <c r="S482" s="45"/>
      <c r="T482" s="45"/>
      <c r="U482" s="45"/>
      <c r="V482" s="45"/>
      <c r="W482" s="45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41" t="s">
        <v>21</v>
      </c>
      <c r="B483" s="41" t="s">
        <v>32</v>
      </c>
      <c r="C483" s="41" t="s">
        <v>38</v>
      </c>
      <c r="D483" s="41" t="s">
        <v>33</v>
      </c>
      <c r="E483" s="41" t="s">
        <v>25</v>
      </c>
      <c r="F483" s="41" t="s">
        <v>25</v>
      </c>
      <c r="G483" s="41" t="s">
        <v>25</v>
      </c>
      <c r="H483" s="41" t="s">
        <v>39</v>
      </c>
      <c r="I483" s="60">
        <v>44713</v>
      </c>
      <c r="J483" s="61">
        <f>EFEITO!$J$483*EFEITO!$Y$483</f>
        <v>0</v>
      </c>
      <c r="K483" s="61">
        <f ca="1">EFEITO!$L$483*EFEITO!$Z$483</f>
        <v>62.675728512319743</v>
      </c>
      <c r="L483" s="61">
        <f>EFEITO!$N$483*EFEITO!$AA$483</f>
        <v>23.879254669327</v>
      </c>
      <c r="M483" s="61">
        <f>$J$483-EFEITO!$K$483*EFEITO!$Y$483</f>
        <v>0</v>
      </c>
      <c r="N483" s="61">
        <f ca="1">$K$483-EFEITO!$M$483*EFEITO!$Z$483</f>
        <v>0</v>
      </c>
      <c r="O483" s="61">
        <f>$L$483-EFEITO!$O$483*EFEITO!$AA$483</f>
        <v>0</v>
      </c>
      <c r="P483" s="45"/>
      <c r="Q483" s="45"/>
      <c r="R483" s="45"/>
      <c r="S483" s="45"/>
      <c r="T483" s="45"/>
      <c r="U483" s="45"/>
      <c r="V483" s="45"/>
      <c r="W483" s="45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41" t="s">
        <v>21</v>
      </c>
      <c r="B484" s="41" t="s">
        <v>32</v>
      </c>
      <c r="C484" s="41" t="s">
        <v>38</v>
      </c>
      <c r="D484" s="41" t="s">
        <v>33</v>
      </c>
      <c r="E484" s="41" t="s">
        <v>25</v>
      </c>
      <c r="F484" s="41" t="s">
        <v>25</v>
      </c>
      <c r="G484" s="41" t="s">
        <v>25</v>
      </c>
      <c r="H484" s="41" t="s">
        <v>39</v>
      </c>
      <c r="I484" s="60">
        <v>44743</v>
      </c>
      <c r="J484" s="61">
        <f>EFEITO!$J$484*EFEITO!$Y$484</f>
        <v>0</v>
      </c>
      <c r="K484" s="61">
        <f ca="1">EFEITO!$L$484*EFEITO!$Z$484</f>
        <v>54.129038260639781</v>
      </c>
      <c r="L484" s="61">
        <f>EFEITO!$N$484*EFEITO!$AA$484</f>
        <v>20.62299266896423</v>
      </c>
      <c r="M484" s="61">
        <f>$J$484-EFEITO!$K$484*EFEITO!$Y$484</f>
        <v>0</v>
      </c>
      <c r="N484" s="61">
        <f ca="1">$K$484-EFEITO!$M$484*EFEITO!$Z$484</f>
        <v>0</v>
      </c>
      <c r="O484" s="61">
        <f>$L$484-EFEITO!$O$484*EFEITO!$AA$484</f>
        <v>0</v>
      </c>
      <c r="P484" s="45"/>
      <c r="Q484" s="45"/>
      <c r="R484" s="45"/>
      <c r="S484" s="45"/>
      <c r="T484" s="45"/>
      <c r="U484" s="45"/>
      <c r="V484" s="45"/>
      <c r="W484" s="45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41" t="s">
        <v>21</v>
      </c>
      <c r="B485" s="41" t="s">
        <v>32</v>
      </c>
      <c r="C485" s="41" t="s">
        <v>38</v>
      </c>
      <c r="D485" s="41" t="s">
        <v>33</v>
      </c>
      <c r="E485" s="41" t="s">
        <v>25</v>
      </c>
      <c r="F485" s="41" t="s">
        <v>25</v>
      </c>
      <c r="G485" s="41" t="s">
        <v>25</v>
      </c>
      <c r="H485" s="41" t="s">
        <v>36</v>
      </c>
      <c r="I485" s="60">
        <v>44409</v>
      </c>
      <c r="J485" s="61">
        <f>EFEITO!$J$485*EFEITO!$Y$485</f>
        <v>0</v>
      </c>
      <c r="K485" s="61">
        <f ca="1">EFEITO!$L$485*EFEITO!$Z$485</f>
        <v>37.616979672930817</v>
      </c>
      <c r="L485" s="61">
        <f>EFEITO!$N$485*EFEITO!$AA$485</f>
        <v>7.3769645871433074</v>
      </c>
      <c r="M485" s="61">
        <f>$J$485-EFEITO!$K$485*EFEITO!$Y$485</f>
        <v>0</v>
      </c>
      <c r="N485" s="61">
        <f ca="1">$K$485-EFEITO!$M$485*EFEITO!$Z$485</f>
        <v>0</v>
      </c>
      <c r="O485" s="61">
        <f>$L$485-EFEITO!$O$485*EFEITO!$AA$485</f>
        <v>0</v>
      </c>
      <c r="P485" s="45"/>
      <c r="Q485" s="45"/>
      <c r="R485" s="45"/>
      <c r="S485" s="45"/>
      <c r="T485" s="45"/>
      <c r="U485" s="45"/>
      <c r="V485" s="45"/>
      <c r="W485" s="45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41" t="s">
        <v>21</v>
      </c>
      <c r="B486" s="41" t="s">
        <v>32</v>
      </c>
      <c r="C486" s="41" t="s">
        <v>38</v>
      </c>
      <c r="D486" s="41" t="s">
        <v>33</v>
      </c>
      <c r="E486" s="41" t="s">
        <v>25</v>
      </c>
      <c r="F486" s="41" t="s">
        <v>25</v>
      </c>
      <c r="G486" s="41" t="s">
        <v>25</v>
      </c>
      <c r="H486" s="41" t="s">
        <v>36</v>
      </c>
      <c r="I486" s="60">
        <v>44440</v>
      </c>
      <c r="J486" s="61">
        <f>EFEITO!$J$486*EFEITO!$Y$486</f>
        <v>0</v>
      </c>
      <c r="K486" s="61">
        <f ca="1">EFEITO!$L$486*EFEITO!$Z$486</f>
        <v>49.3722858207217</v>
      </c>
      <c r="L486" s="61">
        <f>EFEITO!$N$486*EFEITO!$AA$486</f>
        <v>9.6822660206255922</v>
      </c>
      <c r="M486" s="61">
        <f>$J$486-EFEITO!$K$486*EFEITO!$Y$486</f>
        <v>0</v>
      </c>
      <c r="N486" s="61">
        <f ca="1">$K$486-EFEITO!$M$486*EFEITO!$Z$486</f>
        <v>0</v>
      </c>
      <c r="O486" s="61">
        <f>$L$486-EFEITO!$O$486*EFEITO!$AA$486</f>
        <v>0</v>
      </c>
      <c r="P486" s="45"/>
      <c r="Q486" s="45"/>
      <c r="R486" s="45"/>
      <c r="S486" s="45"/>
      <c r="T486" s="45"/>
      <c r="U486" s="45"/>
      <c r="V486" s="45"/>
      <c r="W486" s="45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41" t="s">
        <v>21</v>
      </c>
      <c r="B487" s="41" t="s">
        <v>32</v>
      </c>
      <c r="C487" s="41" t="s">
        <v>38</v>
      </c>
      <c r="D487" s="41" t="s">
        <v>33</v>
      </c>
      <c r="E487" s="41" t="s">
        <v>25</v>
      </c>
      <c r="F487" s="41" t="s">
        <v>25</v>
      </c>
      <c r="G487" s="41" t="s">
        <v>25</v>
      </c>
      <c r="H487" s="41" t="s">
        <v>36</v>
      </c>
      <c r="I487" s="60">
        <v>44470</v>
      </c>
      <c r="J487" s="61">
        <f>EFEITO!$J$487*EFEITO!$Y$487</f>
        <v>0</v>
      </c>
      <c r="K487" s="61">
        <f ca="1">EFEITO!$L$487*EFEITO!$Z$487</f>
        <v>70.531836886745268</v>
      </c>
      <c r="L487" s="61">
        <f>EFEITO!$N$487*EFEITO!$AA$487</f>
        <v>13.831808600893702</v>
      </c>
      <c r="M487" s="61">
        <f>$J$487-EFEITO!$K$487*EFEITO!$Y$487</f>
        <v>0</v>
      </c>
      <c r="N487" s="61">
        <f ca="1">$K$487-EFEITO!$M$487*EFEITO!$Z$487</f>
        <v>0</v>
      </c>
      <c r="O487" s="61">
        <f>$L$487-EFEITO!$O$487*EFEITO!$AA$487</f>
        <v>0</v>
      </c>
      <c r="P487" s="45"/>
      <c r="Q487" s="45"/>
      <c r="R487" s="45"/>
      <c r="S487" s="45"/>
      <c r="T487" s="45"/>
      <c r="U487" s="45"/>
      <c r="V487" s="45"/>
      <c r="W487" s="45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41" t="s">
        <v>21</v>
      </c>
      <c r="B488" s="41" t="s">
        <v>32</v>
      </c>
      <c r="C488" s="41" t="s">
        <v>38</v>
      </c>
      <c r="D488" s="41" t="s">
        <v>33</v>
      </c>
      <c r="E488" s="41" t="s">
        <v>25</v>
      </c>
      <c r="F488" s="41" t="s">
        <v>25</v>
      </c>
      <c r="G488" s="41" t="s">
        <v>25</v>
      </c>
      <c r="H488" s="41" t="s">
        <v>36</v>
      </c>
      <c r="I488" s="60">
        <v>44501</v>
      </c>
      <c r="J488" s="61">
        <f>EFEITO!$J$488*EFEITO!$Y$488</f>
        <v>0</v>
      </c>
      <c r="K488" s="61">
        <f ca="1">EFEITO!$L$488*EFEITO!$Z$488</f>
        <v>68.180775657187098</v>
      </c>
      <c r="L488" s="61">
        <f>EFEITO!$N$488*EFEITO!$AA$488</f>
        <v>13.370748314197245</v>
      </c>
      <c r="M488" s="61">
        <f>$J$488-EFEITO!$K$488*EFEITO!$Y$488</f>
        <v>0</v>
      </c>
      <c r="N488" s="61">
        <f ca="1">$K$488-EFEITO!$M$488*EFEITO!$Z$488</f>
        <v>0</v>
      </c>
      <c r="O488" s="61">
        <f>$L$488-EFEITO!$O$488*EFEITO!$AA$488</f>
        <v>0</v>
      </c>
      <c r="P488" s="45"/>
      <c r="Q488" s="45"/>
      <c r="R488" s="45"/>
      <c r="S488" s="45"/>
      <c r="T488" s="45"/>
      <c r="U488" s="45"/>
      <c r="V488" s="45"/>
      <c r="W488" s="45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41" t="s">
        <v>21</v>
      </c>
      <c r="B489" s="41" t="s">
        <v>32</v>
      </c>
      <c r="C489" s="41" t="s">
        <v>38</v>
      </c>
      <c r="D489" s="41" t="s">
        <v>33</v>
      </c>
      <c r="E489" s="41" t="s">
        <v>25</v>
      </c>
      <c r="F489" s="41" t="s">
        <v>25</v>
      </c>
      <c r="G489" s="41" t="s">
        <v>25</v>
      </c>
      <c r="H489" s="41" t="s">
        <v>36</v>
      </c>
      <c r="I489" s="60">
        <v>44531</v>
      </c>
      <c r="J489" s="61">
        <f>EFEITO!$J$489*EFEITO!$Y$489</f>
        <v>0</v>
      </c>
      <c r="K489" s="61">
        <f ca="1">EFEITO!$L$489*EFEITO!$Z$489</f>
        <v>72.882898116303451</v>
      </c>
      <c r="L489" s="61">
        <f>EFEITO!$N$489*EFEITO!$AA$489</f>
        <v>14.292868887590158</v>
      </c>
      <c r="M489" s="61">
        <f>$J$489-EFEITO!$K$489*EFEITO!$Y$489</f>
        <v>0</v>
      </c>
      <c r="N489" s="61">
        <f ca="1">$K$489-EFEITO!$M$489*EFEITO!$Z$489</f>
        <v>0</v>
      </c>
      <c r="O489" s="61">
        <f>$L$489-EFEITO!$O$489*EFEITO!$AA$489</f>
        <v>0</v>
      </c>
      <c r="P489" s="45"/>
      <c r="Q489" s="45"/>
      <c r="R489" s="45"/>
      <c r="S489" s="45"/>
      <c r="T489" s="45"/>
      <c r="U489" s="45"/>
      <c r="V489" s="45"/>
      <c r="W489" s="45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41" t="s">
        <v>21</v>
      </c>
      <c r="B490" s="41" t="s">
        <v>32</v>
      </c>
      <c r="C490" s="41" t="s">
        <v>38</v>
      </c>
      <c r="D490" s="41" t="s">
        <v>33</v>
      </c>
      <c r="E490" s="41" t="s">
        <v>25</v>
      </c>
      <c r="F490" s="41" t="s">
        <v>25</v>
      </c>
      <c r="G490" s="41" t="s">
        <v>25</v>
      </c>
      <c r="H490" s="41" t="s">
        <v>36</v>
      </c>
      <c r="I490" s="60">
        <v>44562</v>
      </c>
      <c r="J490" s="61">
        <f>EFEITO!$J$490*EFEITO!$Y$490</f>
        <v>0</v>
      </c>
      <c r="K490" s="61">
        <f ca="1">EFEITO!$L$490*EFEITO!$Z$490</f>
        <v>98.7445716414434</v>
      </c>
      <c r="L490" s="61">
        <f>EFEITO!$N$490*EFEITO!$AA$490</f>
        <v>19.364532041251184</v>
      </c>
      <c r="M490" s="61">
        <f>$J$490-EFEITO!$K$490*EFEITO!$Y$490</f>
        <v>0</v>
      </c>
      <c r="N490" s="61">
        <f ca="1">$K$490-EFEITO!$M$490*EFEITO!$Z$490</f>
        <v>0</v>
      </c>
      <c r="O490" s="61">
        <f>$L$490-EFEITO!$O$490*EFEITO!$AA$490</f>
        <v>0</v>
      </c>
      <c r="P490" s="45"/>
      <c r="Q490" s="45"/>
      <c r="R490" s="45"/>
      <c r="S490" s="45"/>
      <c r="T490" s="45"/>
      <c r="U490" s="45"/>
      <c r="V490" s="45"/>
      <c r="W490" s="45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41" t="s">
        <v>21</v>
      </c>
      <c r="B491" s="41" t="s">
        <v>32</v>
      </c>
      <c r="C491" s="41" t="s">
        <v>38</v>
      </c>
      <c r="D491" s="41" t="s">
        <v>33</v>
      </c>
      <c r="E491" s="41" t="s">
        <v>25</v>
      </c>
      <c r="F491" s="41" t="s">
        <v>25</v>
      </c>
      <c r="G491" s="41" t="s">
        <v>25</v>
      </c>
      <c r="H491" s="41" t="s">
        <v>36</v>
      </c>
      <c r="I491" s="60">
        <v>44593</v>
      </c>
      <c r="J491" s="61">
        <f>EFEITO!$J$491*EFEITO!$Y$491</f>
        <v>0</v>
      </c>
      <c r="K491" s="61">
        <f ca="1">EFEITO!$L$491*EFEITO!$Z$491</f>
        <v>84.638204264094327</v>
      </c>
      <c r="L491" s="61">
        <f>EFEITO!$N$491*EFEITO!$AA$491</f>
        <v>16.598170321072441</v>
      </c>
      <c r="M491" s="61">
        <f>$J$491-EFEITO!$K$491*EFEITO!$Y$491</f>
        <v>0</v>
      </c>
      <c r="N491" s="61">
        <f ca="1">$K$491-EFEITO!$M$491*EFEITO!$Z$491</f>
        <v>0</v>
      </c>
      <c r="O491" s="61">
        <f>$L$491-EFEITO!$O$491*EFEITO!$AA$491</f>
        <v>0</v>
      </c>
      <c r="P491" s="45"/>
      <c r="Q491" s="45"/>
      <c r="R491" s="45"/>
      <c r="S491" s="45"/>
      <c r="T491" s="45"/>
      <c r="U491" s="45"/>
      <c r="V491" s="45"/>
      <c r="W491" s="45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41" t="s">
        <v>21</v>
      </c>
      <c r="B492" s="41" t="s">
        <v>32</v>
      </c>
      <c r="C492" s="41" t="s">
        <v>38</v>
      </c>
      <c r="D492" s="41" t="s">
        <v>33</v>
      </c>
      <c r="E492" s="41" t="s">
        <v>25</v>
      </c>
      <c r="F492" s="41" t="s">
        <v>25</v>
      </c>
      <c r="G492" s="41" t="s">
        <v>25</v>
      </c>
      <c r="H492" s="41" t="s">
        <v>36</v>
      </c>
      <c r="I492" s="60">
        <v>44621</v>
      </c>
      <c r="J492" s="61">
        <f>EFEITO!$J$492*EFEITO!$Y$492</f>
        <v>0</v>
      </c>
      <c r="K492" s="61">
        <f ca="1">EFEITO!$L$492*EFEITO!$Z$492</f>
        <v>103.44669410055974</v>
      </c>
      <c r="L492" s="61">
        <f>EFEITO!$N$492*EFEITO!$AA$492</f>
        <v>20.286652614644094</v>
      </c>
      <c r="M492" s="61">
        <f>$J$492-EFEITO!$K$492*EFEITO!$Y$492</f>
        <v>0</v>
      </c>
      <c r="N492" s="61">
        <f ca="1">$K$492-EFEITO!$M$492*EFEITO!$Z$492</f>
        <v>0</v>
      </c>
      <c r="O492" s="61">
        <f>$L$492-EFEITO!$O$492*EFEITO!$AA$492</f>
        <v>0</v>
      </c>
      <c r="P492" s="45"/>
      <c r="Q492" s="45"/>
      <c r="R492" s="45"/>
      <c r="S492" s="45"/>
      <c r="T492" s="45"/>
      <c r="U492" s="45"/>
      <c r="V492" s="45"/>
      <c r="W492" s="45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41" t="s">
        <v>21</v>
      </c>
      <c r="B493" s="41" t="s">
        <v>32</v>
      </c>
      <c r="C493" s="41" t="s">
        <v>38</v>
      </c>
      <c r="D493" s="41" t="s">
        <v>33</v>
      </c>
      <c r="E493" s="41" t="s">
        <v>25</v>
      </c>
      <c r="F493" s="41" t="s">
        <v>25</v>
      </c>
      <c r="G493" s="41" t="s">
        <v>25</v>
      </c>
      <c r="H493" s="41" t="s">
        <v>36</v>
      </c>
      <c r="I493" s="60">
        <v>44652</v>
      </c>
      <c r="J493" s="61">
        <f>EFEITO!$J$493*EFEITO!$Y$493</f>
        <v>0</v>
      </c>
      <c r="K493" s="61">
        <f ca="1">EFEITO!$L$493*EFEITO!$Z$493</f>
        <v>124.60624516658332</v>
      </c>
      <c r="L493" s="61">
        <f>EFEITO!$N$493*EFEITO!$AA$493</f>
        <v>24.436195194912205</v>
      </c>
      <c r="M493" s="61">
        <f>$J$493-EFEITO!$K$493*EFEITO!$Y$493</f>
        <v>0</v>
      </c>
      <c r="N493" s="61">
        <f ca="1">$K$493-EFEITO!$M$493*EFEITO!$Z$493</f>
        <v>0</v>
      </c>
      <c r="O493" s="61">
        <f>$L$493-EFEITO!$O$493*EFEITO!$AA$493</f>
        <v>0</v>
      </c>
      <c r="P493" s="45"/>
      <c r="Q493" s="45"/>
      <c r="R493" s="45"/>
      <c r="S493" s="45"/>
      <c r="T493" s="45"/>
      <c r="U493" s="45"/>
      <c r="V493" s="45"/>
      <c r="W493" s="45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41" t="s">
        <v>21</v>
      </c>
      <c r="B494" s="41" t="s">
        <v>32</v>
      </c>
      <c r="C494" s="41" t="s">
        <v>38</v>
      </c>
      <c r="D494" s="41" t="s">
        <v>33</v>
      </c>
      <c r="E494" s="41" t="s">
        <v>25</v>
      </c>
      <c r="F494" s="41" t="s">
        <v>25</v>
      </c>
      <c r="G494" s="41" t="s">
        <v>25</v>
      </c>
      <c r="H494" s="41" t="s">
        <v>36</v>
      </c>
      <c r="I494" s="60">
        <v>44682</v>
      </c>
      <c r="J494" s="61">
        <f>EFEITO!$J$494*EFEITO!$Y$494</f>
        <v>0</v>
      </c>
      <c r="K494" s="61">
        <f ca="1">EFEITO!$L$494*EFEITO!$Z$494</f>
        <v>94.042449182327033</v>
      </c>
      <c r="L494" s="61">
        <f>EFEITO!$N$494*EFEITO!$AA$494</f>
        <v>18.442411467858271</v>
      </c>
      <c r="M494" s="61">
        <f>$J$494-EFEITO!$K$494*EFEITO!$Y$494</f>
        <v>0</v>
      </c>
      <c r="N494" s="61">
        <f ca="1">$K$494-EFEITO!$M$494*EFEITO!$Z$494</f>
        <v>0</v>
      </c>
      <c r="O494" s="61">
        <f>$L$494-EFEITO!$O$494*EFEITO!$AA$494</f>
        <v>0</v>
      </c>
      <c r="P494" s="45"/>
      <c r="Q494" s="45"/>
      <c r="R494" s="45"/>
      <c r="S494" s="45"/>
      <c r="T494" s="45"/>
      <c r="U494" s="45"/>
      <c r="V494" s="45"/>
      <c r="W494" s="45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41" t="s">
        <v>21</v>
      </c>
      <c r="B495" s="41" t="s">
        <v>32</v>
      </c>
      <c r="C495" s="41" t="s">
        <v>38</v>
      </c>
      <c r="D495" s="41" t="s">
        <v>33</v>
      </c>
      <c r="E495" s="41" t="s">
        <v>25</v>
      </c>
      <c r="F495" s="41" t="s">
        <v>25</v>
      </c>
      <c r="G495" s="41" t="s">
        <v>25</v>
      </c>
      <c r="H495" s="41" t="s">
        <v>36</v>
      </c>
      <c r="I495" s="60">
        <v>44713</v>
      </c>
      <c r="J495" s="61">
        <f>EFEITO!$J$495*EFEITO!$Y$495</f>
        <v>0</v>
      </c>
      <c r="K495" s="61">
        <f ca="1">EFEITO!$L$495*EFEITO!$Z$495</f>
        <v>216.29763311935218</v>
      </c>
      <c r="L495" s="61">
        <f>EFEITO!$N$495*EFEITO!$AA$495</f>
        <v>42.417546376074021</v>
      </c>
      <c r="M495" s="61">
        <f>$J$495-EFEITO!$K$495*EFEITO!$Y$495</f>
        <v>0</v>
      </c>
      <c r="N495" s="61">
        <f ca="1">$K$495-EFEITO!$M$495*EFEITO!$Z$495</f>
        <v>0</v>
      </c>
      <c r="O495" s="61">
        <f>$L$495-EFEITO!$O$495*EFEITO!$AA$495</f>
        <v>0</v>
      </c>
      <c r="P495" s="45"/>
      <c r="Q495" s="45"/>
      <c r="R495" s="45"/>
      <c r="S495" s="45"/>
      <c r="T495" s="45"/>
      <c r="U495" s="45"/>
      <c r="V495" s="45"/>
      <c r="W495" s="45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41" t="s">
        <v>21</v>
      </c>
      <c r="B496" s="41" t="s">
        <v>32</v>
      </c>
      <c r="C496" s="41" t="s">
        <v>38</v>
      </c>
      <c r="D496" s="41" t="s">
        <v>33</v>
      </c>
      <c r="E496" s="41" t="s">
        <v>25</v>
      </c>
      <c r="F496" s="41" t="s">
        <v>25</v>
      </c>
      <c r="G496" s="41" t="s">
        <v>25</v>
      </c>
      <c r="H496" s="41" t="s">
        <v>36</v>
      </c>
      <c r="I496" s="60">
        <v>44743</v>
      </c>
      <c r="J496" s="61">
        <f>EFEITO!$J$496*EFEITO!$Y$496</f>
        <v>0</v>
      </c>
      <c r="K496" s="61">
        <f ca="1">EFEITO!$L$496*EFEITO!$Z$496</f>
        <v>129.30836762569967</v>
      </c>
      <c r="L496" s="61">
        <f>EFEITO!$N$496*EFEITO!$AA$496</f>
        <v>25.358315768305122</v>
      </c>
      <c r="M496" s="61">
        <f>$J$496-EFEITO!$K$496*EFEITO!$Y$496</f>
        <v>0</v>
      </c>
      <c r="N496" s="61">
        <f ca="1">$K$496-EFEITO!$M$496*EFEITO!$Z$496</f>
        <v>0</v>
      </c>
      <c r="O496" s="61">
        <f>$L$496-EFEITO!$O$496*EFEITO!$AA$496</f>
        <v>0</v>
      </c>
      <c r="P496" s="45"/>
      <c r="Q496" s="45"/>
      <c r="R496" s="45"/>
      <c r="S496" s="45"/>
      <c r="T496" s="45"/>
      <c r="U496" s="45"/>
      <c r="V496" s="45"/>
      <c r="W496" s="45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41" t="s">
        <v>21</v>
      </c>
      <c r="B497" s="41" t="s">
        <v>32</v>
      </c>
      <c r="C497" s="41" t="s">
        <v>23</v>
      </c>
      <c r="D497" s="41" t="s">
        <v>40</v>
      </c>
      <c r="E497" s="41" t="s">
        <v>25</v>
      </c>
      <c r="F497" s="41" t="s">
        <v>25</v>
      </c>
      <c r="G497" s="41" t="s">
        <v>25</v>
      </c>
      <c r="H497" s="41" t="s">
        <v>25</v>
      </c>
      <c r="I497" s="60">
        <v>44409</v>
      </c>
      <c r="J497" s="61">
        <f>EFEITO!$J$497*EFEITO!$Y$497</f>
        <v>0</v>
      </c>
      <c r="K497" s="61">
        <f ca="1">EFEITO!$L$497*EFEITO!$Z$497</f>
        <v>119640.8565441236</v>
      </c>
      <c r="L497" s="61">
        <f>EFEITO!$N$497*EFEITO!$AA$497</f>
        <v>72823.04882676377</v>
      </c>
      <c r="M497" s="61">
        <f>$J$497-EFEITO!$K$497*EFEITO!$Y$497</f>
        <v>0</v>
      </c>
      <c r="N497" s="61">
        <f ca="1">$K$497-EFEITO!$M$497*EFEITO!$Z$497</f>
        <v>0</v>
      </c>
      <c r="O497" s="61">
        <f>$L$497-EFEITO!$O$497*EFEITO!$AA$497</f>
        <v>0</v>
      </c>
      <c r="P497" s="45"/>
      <c r="Q497" s="45"/>
      <c r="R497" s="45"/>
      <c r="S497" s="45"/>
      <c r="T497" s="45"/>
      <c r="U497" s="45"/>
      <c r="V497" s="45"/>
      <c r="W497" s="45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41" t="s">
        <v>27</v>
      </c>
      <c r="B498" s="41" t="s">
        <v>32</v>
      </c>
      <c r="C498" s="41" t="s">
        <v>23</v>
      </c>
      <c r="D498" s="41" t="s">
        <v>40</v>
      </c>
      <c r="E498" s="41" t="s">
        <v>25</v>
      </c>
      <c r="F498" s="41" t="s">
        <v>25</v>
      </c>
      <c r="G498" s="41" t="s">
        <v>25</v>
      </c>
      <c r="H498" s="41" t="s">
        <v>25</v>
      </c>
      <c r="I498" s="60">
        <v>44409</v>
      </c>
      <c r="J498" s="61">
        <f>EFEITO!$J$498*EFEITO!$Y$498</f>
        <v>0</v>
      </c>
      <c r="K498" s="61">
        <f ca="1">EFEITO!$L$498*EFEITO!$Z$498</f>
        <v>3706.312329986652</v>
      </c>
      <c r="L498" s="61">
        <f>EFEITO!$N$498*EFEITO!$AA$498</f>
        <v>2255.9598081305403</v>
      </c>
      <c r="M498" s="61">
        <f>$J$498-EFEITO!$K$498*EFEITO!$Y$498</f>
        <v>0</v>
      </c>
      <c r="N498" s="61">
        <f ca="1">$K$498-EFEITO!$M$498*EFEITO!$Z$498</f>
        <v>0</v>
      </c>
      <c r="O498" s="61">
        <f>$L$498-EFEITO!$O$498*EFEITO!$AA$498</f>
        <v>0</v>
      </c>
      <c r="P498" s="45"/>
      <c r="Q498" s="45"/>
      <c r="R498" s="45"/>
      <c r="S498" s="45"/>
      <c r="T498" s="45"/>
      <c r="U498" s="45"/>
      <c r="V498" s="45"/>
      <c r="W498" s="45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41" t="s">
        <v>21</v>
      </c>
      <c r="B499" s="41" t="s">
        <v>32</v>
      </c>
      <c r="C499" s="41" t="s">
        <v>23</v>
      </c>
      <c r="D499" s="41" t="s">
        <v>40</v>
      </c>
      <c r="E499" s="41" t="s">
        <v>25</v>
      </c>
      <c r="F499" s="41" t="s">
        <v>25</v>
      </c>
      <c r="G499" s="41" t="s">
        <v>25</v>
      </c>
      <c r="H499" s="41" t="s">
        <v>25</v>
      </c>
      <c r="I499" s="60">
        <v>44440</v>
      </c>
      <c r="J499" s="61">
        <f>EFEITO!$J$499*EFEITO!$Y$499</f>
        <v>0</v>
      </c>
      <c r="K499" s="61">
        <f ca="1">EFEITO!$L$499*EFEITO!$Z$499</f>
        <v>129000.05002710162</v>
      </c>
      <c r="L499" s="61">
        <f>EFEITO!$N$499*EFEITO!$AA$499</f>
        <v>78519.806804576117</v>
      </c>
      <c r="M499" s="61">
        <f>$J$499-EFEITO!$K$499*EFEITO!$Y$499</f>
        <v>0</v>
      </c>
      <c r="N499" s="61">
        <f ca="1">$K$499-EFEITO!$M$499*EFEITO!$Z$499</f>
        <v>0</v>
      </c>
      <c r="O499" s="61">
        <f>$L$499-EFEITO!$O$499*EFEITO!$AA$499</f>
        <v>0</v>
      </c>
      <c r="P499" s="45"/>
      <c r="Q499" s="45"/>
      <c r="R499" s="45"/>
      <c r="S499" s="45"/>
      <c r="T499" s="45"/>
      <c r="U499" s="45"/>
      <c r="V499" s="45"/>
      <c r="W499" s="45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41" t="s">
        <v>27</v>
      </c>
      <c r="B500" s="41" t="s">
        <v>32</v>
      </c>
      <c r="C500" s="41" t="s">
        <v>23</v>
      </c>
      <c r="D500" s="41" t="s">
        <v>40</v>
      </c>
      <c r="E500" s="41" t="s">
        <v>25</v>
      </c>
      <c r="F500" s="41" t="s">
        <v>25</v>
      </c>
      <c r="G500" s="41" t="s">
        <v>25</v>
      </c>
      <c r="H500" s="41" t="s">
        <v>25</v>
      </c>
      <c r="I500" s="60">
        <v>44440</v>
      </c>
      <c r="J500" s="61">
        <f>EFEITO!$J$500*EFEITO!$Y$500</f>
        <v>0</v>
      </c>
      <c r="K500" s="61">
        <f ca="1">EFEITO!$L$500*EFEITO!$Z$500</f>
        <v>5177.7975842163323</v>
      </c>
      <c r="L500" s="61">
        <f>EFEITO!$N$500*EFEITO!$AA$500</f>
        <v>3151.6240954980499</v>
      </c>
      <c r="M500" s="61">
        <f>$J$500-EFEITO!$K$500*EFEITO!$Y$500</f>
        <v>0</v>
      </c>
      <c r="N500" s="61">
        <f ca="1">$K$500-EFEITO!$M$500*EFEITO!$Z$500</f>
        <v>0</v>
      </c>
      <c r="O500" s="61">
        <f>$L$500-EFEITO!$O$500*EFEITO!$AA$500</f>
        <v>0</v>
      </c>
      <c r="P500" s="45"/>
      <c r="Q500" s="45"/>
      <c r="R500" s="45"/>
      <c r="S500" s="45"/>
      <c r="T500" s="45"/>
      <c r="U500" s="45"/>
      <c r="V500" s="45"/>
      <c r="W500" s="45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41" t="s">
        <v>21</v>
      </c>
      <c r="B501" s="41" t="s">
        <v>32</v>
      </c>
      <c r="C501" s="41" t="s">
        <v>23</v>
      </c>
      <c r="D501" s="41" t="s">
        <v>40</v>
      </c>
      <c r="E501" s="41" t="s">
        <v>25</v>
      </c>
      <c r="F501" s="41" t="s">
        <v>25</v>
      </c>
      <c r="G501" s="41" t="s">
        <v>25</v>
      </c>
      <c r="H501" s="41" t="s">
        <v>25</v>
      </c>
      <c r="I501" s="60">
        <v>44470</v>
      </c>
      <c r="J501" s="61">
        <f>EFEITO!$J$501*EFEITO!$Y$501</f>
        <v>0</v>
      </c>
      <c r="K501" s="61">
        <f ca="1">EFEITO!$L$501*EFEITO!$Z$501</f>
        <v>121091.11164880525</v>
      </c>
      <c r="L501" s="61">
        <f>EFEITO!$N$501*EFEITO!$AA$501</f>
        <v>73705.790737429925</v>
      </c>
      <c r="M501" s="61">
        <f>$J$501-EFEITO!$K$501*EFEITO!$Y$501</f>
        <v>0</v>
      </c>
      <c r="N501" s="61">
        <f ca="1">$K$501-EFEITO!$M$501*EFEITO!$Z$501</f>
        <v>0</v>
      </c>
      <c r="O501" s="61">
        <f>$L$501-EFEITO!$O$501*EFEITO!$AA$501</f>
        <v>0</v>
      </c>
      <c r="P501" s="45"/>
      <c r="Q501" s="45"/>
      <c r="R501" s="45"/>
      <c r="S501" s="45"/>
      <c r="T501" s="45"/>
      <c r="U501" s="45"/>
      <c r="V501" s="45"/>
      <c r="W501" s="45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41" t="s">
        <v>27</v>
      </c>
      <c r="B502" s="41" t="s">
        <v>32</v>
      </c>
      <c r="C502" s="41" t="s">
        <v>23</v>
      </c>
      <c r="D502" s="41" t="s">
        <v>40</v>
      </c>
      <c r="E502" s="41" t="s">
        <v>25</v>
      </c>
      <c r="F502" s="41" t="s">
        <v>25</v>
      </c>
      <c r="G502" s="41" t="s">
        <v>25</v>
      </c>
      <c r="H502" s="41" t="s">
        <v>25</v>
      </c>
      <c r="I502" s="60">
        <v>44470</v>
      </c>
      <c r="J502" s="61">
        <f>EFEITO!$J$502*EFEITO!$Y$502</f>
        <v>0</v>
      </c>
      <c r="K502" s="61">
        <f ca="1">EFEITO!$L$502*EFEITO!$Z$502</f>
        <v>5806.6817919393725</v>
      </c>
      <c r="L502" s="61">
        <f>EFEITO!$N$502*EFEITO!$AA$502</f>
        <v>3534.4136097849655</v>
      </c>
      <c r="M502" s="61">
        <f>$J$502-EFEITO!$K$502*EFEITO!$Y$502</f>
        <v>0</v>
      </c>
      <c r="N502" s="61">
        <f ca="1">$K$502-EFEITO!$M$502*EFEITO!$Z$502</f>
        <v>0</v>
      </c>
      <c r="O502" s="61">
        <f>$L$502-EFEITO!$O$502*EFEITO!$AA$502</f>
        <v>0</v>
      </c>
      <c r="P502" s="45"/>
      <c r="Q502" s="45"/>
      <c r="R502" s="45"/>
      <c r="S502" s="45"/>
      <c r="T502" s="45"/>
      <c r="U502" s="45"/>
      <c r="V502" s="45"/>
      <c r="W502" s="45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41" t="s">
        <v>21</v>
      </c>
      <c r="B503" s="41" t="s">
        <v>32</v>
      </c>
      <c r="C503" s="41" t="s">
        <v>23</v>
      </c>
      <c r="D503" s="41" t="s">
        <v>40</v>
      </c>
      <c r="E503" s="41" t="s">
        <v>25</v>
      </c>
      <c r="F503" s="41" t="s">
        <v>25</v>
      </c>
      <c r="G503" s="41" t="s">
        <v>25</v>
      </c>
      <c r="H503" s="41" t="s">
        <v>25</v>
      </c>
      <c r="I503" s="60">
        <v>44501</v>
      </c>
      <c r="J503" s="61">
        <f>EFEITO!$J$503*EFEITO!$Y$503</f>
        <v>0</v>
      </c>
      <c r="K503" s="61">
        <f ca="1">EFEITO!$L$503*EFEITO!$Z$503</f>
        <v>122672.52189958365</v>
      </c>
      <c r="L503" s="61">
        <f>EFEITO!$N$503*EFEITO!$AA$503</f>
        <v>74668.364219717798</v>
      </c>
      <c r="M503" s="61">
        <f>$J$503-EFEITO!$K$503*EFEITO!$Y$503</f>
        <v>0</v>
      </c>
      <c r="N503" s="61">
        <f ca="1">$K$503-EFEITO!$M$503*EFEITO!$Z$503</f>
        <v>0</v>
      </c>
      <c r="O503" s="61">
        <f>$L$503-EFEITO!$O$503*EFEITO!$AA$503</f>
        <v>0</v>
      </c>
      <c r="P503" s="45"/>
      <c r="Q503" s="45"/>
      <c r="R503" s="45"/>
      <c r="S503" s="45"/>
      <c r="T503" s="45"/>
      <c r="U503" s="45"/>
      <c r="V503" s="45"/>
      <c r="W503" s="45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41" t="s">
        <v>27</v>
      </c>
      <c r="B504" s="41" t="s">
        <v>32</v>
      </c>
      <c r="C504" s="41" t="s">
        <v>23</v>
      </c>
      <c r="D504" s="41" t="s">
        <v>40</v>
      </c>
      <c r="E504" s="41" t="s">
        <v>25</v>
      </c>
      <c r="F504" s="41" t="s">
        <v>25</v>
      </c>
      <c r="G504" s="41" t="s">
        <v>25</v>
      </c>
      <c r="H504" s="41" t="s">
        <v>25</v>
      </c>
      <c r="I504" s="60">
        <v>44501</v>
      </c>
      <c r="J504" s="61">
        <f>EFEITO!$J$504*EFEITO!$Y$504</f>
        <v>0</v>
      </c>
      <c r="K504" s="61">
        <f ca="1">EFEITO!$L$504*EFEITO!$Z$504</f>
        <v>4975.4034918583538</v>
      </c>
      <c r="L504" s="61">
        <f>EFEITO!$N$504*EFEITO!$AA$504</f>
        <v>3028.4307709450964</v>
      </c>
      <c r="M504" s="61">
        <f>$J$504-EFEITO!$K$504*EFEITO!$Y$504</f>
        <v>0</v>
      </c>
      <c r="N504" s="61">
        <f ca="1">$K$504-EFEITO!$M$504*EFEITO!$Z$504</f>
        <v>0</v>
      </c>
      <c r="O504" s="61">
        <f>$L$504-EFEITO!$O$504*EFEITO!$AA$504</f>
        <v>0</v>
      </c>
      <c r="P504" s="45"/>
      <c r="Q504" s="45"/>
      <c r="R504" s="45"/>
      <c r="S504" s="45"/>
      <c r="T504" s="45"/>
      <c r="U504" s="45"/>
      <c r="V504" s="45"/>
      <c r="W504" s="45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41" t="s">
        <v>21</v>
      </c>
      <c r="B505" s="41" t="s">
        <v>32</v>
      </c>
      <c r="C505" s="41" t="s">
        <v>23</v>
      </c>
      <c r="D505" s="41" t="s">
        <v>40</v>
      </c>
      <c r="E505" s="41" t="s">
        <v>25</v>
      </c>
      <c r="F505" s="41" t="s">
        <v>25</v>
      </c>
      <c r="G505" s="41" t="s">
        <v>25</v>
      </c>
      <c r="H505" s="41" t="s">
        <v>25</v>
      </c>
      <c r="I505" s="60">
        <v>44531</v>
      </c>
      <c r="J505" s="61">
        <f>EFEITO!$J$505*EFEITO!$Y$505</f>
        <v>0</v>
      </c>
      <c r="K505" s="61">
        <f ca="1">EFEITO!$L$505*EFEITO!$Z$505</f>
        <v>146373.86085501511</v>
      </c>
      <c r="L505" s="61">
        <f>EFEITO!$N$505*EFEITO!$AA$505</f>
        <v>89094.905569114708</v>
      </c>
      <c r="M505" s="61">
        <f>$J$505-EFEITO!$K$505*EFEITO!$Y$505</f>
        <v>0</v>
      </c>
      <c r="N505" s="61">
        <f ca="1">$K$505-EFEITO!$M$505*EFEITO!$Z$505</f>
        <v>0</v>
      </c>
      <c r="O505" s="61">
        <f>$L$505-EFEITO!$O$505*EFEITO!$AA$505</f>
        <v>0</v>
      </c>
      <c r="P505" s="45"/>
      <c r="Q505" s="45"/>
      <c r="R505" s="45"/>
      <c r="S505" s="45"/>
      <c r="T505" s="45"/>
      <c r="U505" s="45"/>
      <c r="V505" s="45"/>
      <c r="W505" s="45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41" t="s">
        <v>27</v>
      </c>
      <c r="B506" s="41" t="s">
        <v>32</v>
      </c>
      <c r="C506" s="41" t="s">
        <v>23</v>
      </c>
      <c r="D506" s="41" t="s">
        <v>40</v>
      </c>
      <c r="E506" s="41" t="s">
        <v>25</v>
      </c>
      <c r="F506" s="41" t="s">
        <v>25</v>
      </c>
      <c r="G506" s="41" t="s">
        <v>25</v>
      </c>
      <c r="H506" s="41" t="s">
        <v>25</v>
      </c>
      <c r="I506" s="60">
        <v>44531</v>
      </c>
      <c r="J506" s="61">
        <f>EFEITO!$J$506*EFEITO!$Y$506</f>
        <v>0</v>
      </c>
      <c r="K506" s="61">
        <f ca="1">EFEITO!$L$506*EFEITO!$Z$506</f>
        <v>5528.8027234105875</v>
      </c>
      <c r="L506" s="61">
        <f>EFEITO!$N$506*EFEITO!$AA$506</f>
        <v>3365.2740569605144</v>
      </c>
      <c r="M506" s="61">
        <f>$J$506-EFEITO!$K$506*EFEITO!$Y$506</f>
        <v>0</v>
      </c>
      <c r="N506" s="61">
        <f ca="1">$K$506-EFEITO!$M$506*EFEITO!$Z$506</f>
        <v>0</v>
      </c>
      <c r="O506" s="61">
        <f>$L$506-EFEITO!$O$506*EFEITO!$AA$506</f>
        <v>0</v>
      </c>
      <c r="P506" s="45"/>
      <c r="Q506" s="45"/>
      <c r="R506" s="45"/>
      <c r="S506" s="45"/>
      <c r="T506" s="45"/>
      <c r="U506" s="45"/>
      <c r="V506" s="45"/>
      <c r="W506" s="45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41" t="s">
        <v>21</v>
      </c>
      <c r="B507" s="41" t="s">
        <v>32</v>
      </c>
      <c r="C507" s="41" t="s">
        <v>23</v>
      </c>
      <c r="D507" s="41" t="s">
        <v>40</v>
      </c>
      <c r="E507" s="41" t="s">
        <v>25</v>
      </c>
      <c r="F507" s="41" t="s">
        <v>25</v>
      </c>
      <c r="G507" s="41" t="s">
        <v>25</v>
      </c>
      <c r="H507" s="41" t="s">
        <v>25</v>
      </c>
      <c r="I507" s="60">
        <v>44562</v>
      </c>
      <c r="J507" s="61">
        <f>EFEITO!$J$507*EFEITO!$Y$507</f>
        <v>0</v>
      </c>
      <c r="K507" s="61">
        <f ca="1">EFEITO!$L$507*EFEITO!$Z$507</f>
        <v>157205.48315442493</v>
      </c>
      <c r="L507" s="61">
        <f>EFEITO!$N$507*EFEITO!$AA$507</f>
        <v>95687.902162147948</v>
      </c>
      <c r="M507" s="61">
        <f>$J$507-EFEITO!$K$507*EFEITO!$Y$507</f>
        <v>0</v>
      </c>
      <c r="N507" s="61">
        <f ca="1">$K$507-EFEITO!$M$507*EFEITO!$Z$507</f>
        <v>0</v>
      </c>
      <c r="O507" s="61">
        <f>$L$507-EFEITO!$O$507*EFEITO!$AA$507</f>
        <v>0</v>
      </c>
      <c r="P507" s="45"/>
      <c r="Q507" s="45"/>
      <c r="R507" s="45"/>
      <c r="S507" s="45"/>
      <c r="T507" s="45"/>
      <c r="U507" s="45"/>
      <c r="V507" s="45"/>
      <c r="W507" s="45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41" t="s">
        <v>27</v>
      </c>
      <c r="B508" s="41" t="s">
        <v>32</v>
      </c>
      <c r="C508" s="41" t="s">
        <v>23</v>
      </c>
      <c r="D508" s="41" t="s">
        <v>40</v>
      </c>
      <c r="E508" s="41" t="s">
        <v>25</v>
      </c>
      <c r="F508" s="41" t="s">
        <v>25</v>
      </c>
      <c r="G508" s="41" t="s">
        <v>25</v>
      </c>
      <c r="H508" s="41" t="s">
        <v>25</v>
      </c>
      <c r="I508" s="60">
        <v>44562</v>
      </c>
      <c r="J508" s="61">
        <f>EFEITO!$J$508*EFEITO!$Y$508</f>
        <v>0</v>
      </c>
      <c r="K508" s="61">
        <f ca="1">EFEITO!$L$508*EFEITO!$Z$508</f>
        <v>6140.7028114951963</v>
      </c>
      <c r="L508" s="61">
        <f>EFEITO!$N$508*EFEITO!$AA$508</f>
        <v>3737.7256698863434</v>
      </c>
      <c r="M508" s="61">
        <f>$J$508-EFEITO!$K$508*EFEITO!$Y$508</f>
        <v>0</v>
      </c>
      <c r="N508" s="61">
        <f ca="1">$K$508-EFEITO!$M$508*EFEITO!$Z$508</f>
        <v>0</v>
      </c>
      <c r="O508" s="61">
        <f>$L$508-EFEITO!$O$508*EFEITO!$AA$508</f>
        <v>0</v>
      </c>
      <c r="P508" s="45"/>
      <c r="Q508" s="45"/>
      <c r="R508" s="45"/>
      <c r="S508" s="45"/>
      <c r="T508" s="45"/>
      <c r="U508" s="45"/>
      <c r="V508" s="45"/>
      <c r="W508" s="45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41" t="s">
        <v>21</v>
      </c>
      <c r="B509" s="41" t="s">
        <v>32</v>
      </c>
      <c r="C509" s="41" t="s">
        <v>23</v>
      </c>
      <c r="D509" s="41" t="s">
        <v>40</v>
      </c>
      <c r="E509" s="41" t="s">
        <v>25</v>
      </c>
      <c r="F509" s="41" t="s">
        <v>25</v>
      </c>
      <c r="G509" s="41" t="s">
        <v>25</v>
      </c>
      <c r="H509" s="41" t="s">
        <v>25</v>
      </c>
      <c r="I509" s="60">
        <v>44593</v>
      </c>
      <c r="J509" s="61">
        <f>EFEITO!$J$509*EFEITO!$Y$509</f>
        <v>0</v>
      </c>
      <c r="K509" s="61">
        <f ca="1">EFEITO!$L$509*EFEITO!$Z$509</f>
        <v>184749.00739695047</v>
      </c>
      <c r="L509" s="61">
        <f>EFEITO!$N$509*EFEITO!$AA$509</f>
        <v>112453.10653056408</v>
      </c>
      <c r="M509" s="61">
        <f>$J$509-EFEITO!$K$509*EFEITO!$Y$509</f>
        <v>0</v>
      </c>
      <c r="N509" s="61">
        <f ca="1">$K$509-EFEITO!$M$509*EFEITO!$Z$509</f>
        <v>0</v>
      </c>
      <c r="O509" s="61">
        <f>$L$509-EFEITO!$O$509*EFEITO!$AA$509</f>
        <v>0</v>
      </c>
      <c r="P509" s="45"/>
      <c r="Q509" s="45"/>
      <c r="R509" s="45"/>
      <c r="S509" s="45"/>
      <c r="T509" s="45"/>
      <c r="U509" s="45"/>
      <c r="V509" s="45"/>
      <c r="W509" s="45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41" t="s">
        <v>27</v>
      </c>
      <c r="B510" s="41" t="s">
        <v>32</v>
      </c>
      <c r="C510" s="41" t="s">
        <v>23</v>
      </c>
      <c r="D510" s="41" t="s">
        <v>40</v>
      </c>
      <c r="E510" s="41" t="s">
        <v>25</v>
      </c>
      <c r="F510" s="41" t="s">
        <v>25</v>
      </c>
      <c r="G510" s="41" t="s">
        <v>25</v>
      </c>
      <c r="H510" s="41" t="s">
        <v>25</v>
      </c>
      <c r="I510" s="60">
        <v>44593</v>
      </c>
      <c r="J510" s="61">
        <f>EFEITO!$J$510*EFEITO!$Y$510</f>
        <v>0</v>
      </c>
      <c r="K510" s="61">
        <f ca="1">EFEITO!$L$510*EFEITO!$Z$510</f>
        <v>5847.7267477322494</v>
      </c>
      <c r="L510" s="61">
        <f>EFEITO!$N$510*EFEITO!$AA$510</f>
        <v>3559.3968714075922</v>
      </c>
      <c r="M510" s="61">
        <f>$J$510-EFEITO!$K$510*EFEITO!$Y$510</f>
        <v>0</v>
      </c>
      <c r="N510" s="61">
        <f ca="1">$K$510-EFEITO!$M$510*EFEITO!$Z$510</f>
        <v>0</v>
      </c>
      <c r="O510" s="61">
        <f>$L$510-EFEITO!$O$510*EFEITO!$AA$510</f>
        <v>0</v>
      </c>
      <c r="P510" s="45"/>
      <c r="Q510" s="45"/>
      <c r="R510" s="45"/>
      <c r="S510" s="45"/>
      <c r="T510" s="45"/>
      <c r="U510" s="45"/>
      <c r="V510" s="45"/>
      <c r="W510" s="45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41" t="s">
        <v>21</v>
      </c>
      <c r="B511" s="41" t="s">
        <v>32</v>
      </c>
      <c r="C511" s="41" t="s">
        <v>23</v>
      </c>
      <c r="D511" s="41" t="s">
        <v>40</v>
      </c>
      <c r="E511" s="41" t="s">
        <v>25</v>
      </c>
      <c r="F511" s="41" t="s">
        <v>25</v>
      </c>
      <c r="G511" s="41" t="s">
        <v>25</v>
      </c>
      <c r="H511" s="41" t="s">
        <v>25</v>
      </c>
      <c r="I511" s="60">
        <v>44621</v>
      </c>
      <c r="J511" s="61">
        <f>EFEITO!$J$511*EFEITO!$Y$511</f>
        <v>0</v>
      </c>
      <c r="K511" s="61">
        <f ca="1">EFEITO!$L$511*EFEITO!$Z$511</f>
        <v>173792.83488685882</v>
      </c>
      <c r="L511" s="61">
        <f>EFEITO!$N$511*EFEITO!$AA$511</f>
        <v>105784.29866088288</v>
      </c>
      <c r="M511" s="61">
        <f>$J$511-EFEITO!$K$511*EFEITO!$Y$511</f>
        <v>0</v>
      </c>
      <c r="N511" s="61">
        <f ca="1">$K$511-EFEITO!$M$511*EFEITO!$Z$511</f>
        <v>0</v>
      </c>
      <c r="O511" s="61">
        <f>$L$511-EFEITO!$O$511*EFEITO!$AA$511</f>
        <v>0</v>
      </c>
      <c r="P511" s="45"/>
      <c r="Q511" s="45"/>
      <c r="R511" s="45"/>
      <c r="S511" s="45"/>
      <c r="T511" s="45"/>
      <c r="U511" s="45"/>
      <c r="V511" s="45"/>
      <c r="W511" s="45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41" t="s">
        <v>27</v>
      </c>
      <c r="B512" s="41" t="s">
        <v>32</v>
      </c>
      <c r="C512" s="41" t="s">
        <v>23</v>
      </c>
      <c r="D512" s="41" t="s">
        <v>40</v>
      </c>
      <c r="E512" s="41" t="s">
        <v>25</v>
      </c>
      <c r="F512" s="41" t="s">
        <v>25</v>
      </c>
      <c r="G512" s="41" t="s">
        <v>25</v>
      </c>
      <c r="H512" s="41" t="s">
        <v>25</v>
      </c>
      <c r="I512" s="60">
        <v>44621</v>
      </c>
      <c r="J512" s="61">
        <f>EFEITO!$J$512*EFEITO!$Y$512</f>
        <v>0</v>
      </c>
      <c r="K512" s="61">
        <f ca="1">EFEITO!$L$512*EFEITO!$Z$512</f>
        <v>5567.0169925970595</v>
      </c>
      <c r="L512" s="61">
        <f>EFEITO!$N$512*EFEITO!$AA$512</f>
        <v>3388.5343350229605</v>
      </c>
      <c r="M512" s="61">
        <f>$J$512-EFEITO!$K$512*EFEITO!$Y$512</f>
        <v>0</v>
      </c>
      <c r="N512" s="61">
        <f ca="1">$K$512-EFEITO!$M$512*EFEITO!$Z$512</f>
        <v>0</v>
      </c>
      <c r="O512" s="61">
        <f>$L$512-EFEITO!$O$512*EFEITO!$AA$512</f>
        <v>0</v>
      </c>
      <c r="P512" s="45"/>
      <c r="Q512" s="45"/>
      <c r="R512" s="45"/>
      <c r="S512" s="45"/>
      <c r="T512" s="45"/>
      <c r="U512" s="45"/>
      <c r="V512" s="45"/>
      <c r="W512" s="45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41" t="s">
        <v>21</v>
      </c>
      <c r="B513" s="41" t="s">
        <v>32</v>
      </c>
      <c r="C513" s="41" t="s">
        <v>23</v>
      </c>
      <c r="D513" s="41" t="s">
        <v>40</v>
      </c>
      <c r="E513" s="41" t="s">
        <v>25</v>
      </c>
      <c r="F513" s="41" t="s">
        <v>25</v>
      </c>
      <c r="G513" s="41" t="s">
        <v>25</v>
      </c>
      <c r="H513" s="41" t="s">
        <v>25</v>
      </c>
      <c r="I513" s="60">
        <v>44652</v>
      </c>
      <c r="J513" s="61">
        <f>EFEITO!$J$513*EFEITO!$Y$513</f>
        <v>0</v>
      </c>
      <c r="K513" s="61">
        <f ca="1">EFEITO!$L$513*EFEITO!$Z$513</f>
        <v>154104.46597710793</v>
      </c>
      <c r="L513" s="61">
        <f>EFEITO!$N$513*EFEITO!$AA$513</f>
        <v>93800.373671969486</v>
      </c>
      <c r="M513" s="61">
        <f>$J$513-EFEITO!$K$513*EFEITO!$Y$513</f>
        <v>0</v>
      </c>
      <c r="N513" s="61">
        <f ca="1">$K$513-EFEITO!$M$513*EFEITO!$Z$513</f>
        <v>0</v>
      </c>
      <c r="O513" s="61">
        <f>$L$513-EFEITO!$O$513*EFEITO!$AA$513</f>
        <v>0</v>
      </c>
      <c r="P513" s="45"/>
      <c r="Q513" s="45"/>
      <c r="R513" s="45"/>
      <c r="S513" s="45"/>
      <c r="T513" s="45"/>
      <c r="U513" s="45"/>
      <c r="V513" s="45"/>
      <c r="W513" s="45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41" t="s">
        <v>27</v>
      </c>
      <c r="B514" s="41" t="s">
        <v>32</v>
      </c>
      <c r="C514" s="41" t="s">
        <v>23</v>
      </c>
      <c r="D514" s="41" t="s">
        <v>40</v>
      </c>
      <c r="E514" s="41" t="s">
        <v>25</v>
      </c>
      <c r="F514" s="41" t="s">
        <v>25</v>
      </c>
      <c r="G514" s="41" t="s">
        <v>25</v>
      </c>
      <c r="H514" s="41" t="s">
        <v>25</v>
      </c>
      <c r="I514" s="60">
        <v>44652</v>
      </c>
      <c r="J514" s="61">
        <f>EFEITO!$J$514*EFEITO!$Y$514</f>
        <v>0</v>
      </c>
      <c r="K514" s="61">
        <f ca="1">EFEITO!$L$514*EFEITO!$Z$514</f>
        <v>8146.24427213334</v>
      </c>
      <c r="L514" s="61">
        <f>EFEITO!$N$514*EFEITO!$AA$514</f>
        <v>4958.4595222746993</v>
      </c>
      <c r="M514" s="61">
        <f>$J$514-EFEITO!$K$514*EFEITO!$Y$514</f>
        <v>0</v>
      </c>
      <c r="N514" s="61">
        <f ca="1">$K$514-EFEITO!$M$514*EFEITO!$Z$514</f>
        <v>0</v>
      </c>
      <c r="O514" s="61">
        <f>$L$514-EFEITO!$O$514*EFEITO!$AA$514</f>
        <v>0</v>
      </c>
      <c r="P514" s="45"/>
      <c r="Q514" s="45"/>
      <c r="R514" s="45"/>
      <c r="S514" s="45"/>
      <c r="T514" s="45"/>
      <c r="U514" s="45"/>
      <c r="V514" s="45"/>
      <c r="W514" s="45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41" t="s">
        <v>21</v>
      </c>
      <c r="B515" s="41" t="s">
        <v>32</v>
      </c>
      <c r="C515" s="41" t="s">
        <v>23</v>
      </c>
      <c r="D515" s="41" t="s">
        <v>40</v>
      </c>
      <c r="E515" s="41" t="s">
        <v>25</v>
      </c>
      <c r="F515" s="41" t="s">
        <v>25</v>
      </c>
      <c r="G515" s="41" t="s">
        <v>25</v>
      </c>
      <c r="H515" s="41" t="s">
        <v>25</v>
      </c>
      <c r="I515" s="60">
        <v>44682</v>
      </c>
      <c r="J515" s="61">
        <f>EFEITO!$J$515*EFEITO!$Y$515</f>
        <v>0</v>
      </c>
      <c r="K515" s="61">
        <f ca="1">EFEITO!$L$515*EFEITO!$Z$515</f>
        <v>120799.5509283455</v>
      </c>
      <c r="L515" s="61">
        <f>EFEITO!$N$515*EFEITO!$AA$515</f>
        <v>73528.323430731267</v>
      </c>
      <c r="M515" s="61">
        <f>$J$515-EFEITO!$K$515*EFEITO!$Y$515</f>
        <v>0</v>
      </c>
      <c r="N515" s="61">
        <f ca="1">$K$515-EFEITO!$M$515*EFEITO!$Z$515</f>
        <v>0</v>
      </c>
      <c r="O515" s="61">
        <f>$L$515-EFEITO!$O$515*EFEITO!$AA$515</f>
        <v>0</v>
      </c>
      <c r="P515" s="45"/>
      <c r="Q515" s="45"/>
      <c r="R515" s="45"/>
      <c r="S515" s="45"/>
      <c r="T515" s="45"/>
      <c r="U515" s="45"/>
      <c r="V515" s="45"/>
      <c r="W515" s="45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41" t="s">
        <v>27</v>
      </c>
      <c r="B516" s="41" t="s">
        <v>32</v>
      </c>
      <c r="C516" s="41" t="s">
        <v>23</v>
      </c>
      <c r="D516" s="41" t="s">
        <v>40</v>
      </c>
      <c r="E516" s="41" t="s">
        <v>25</v>
      </c>
      <c r="F516" s="41" t="s">
        <v>25</v>
      </c>
      <c r="G516" s="41" t="s">
        <v>25</v>
      </c>
      <c r="H516" s="41" t="s">
        <v>25</v>
      </c>
      <c r="I516" s="60">
        <v>44682</v>
      </c>
      <c r="J516" s="61">
        <f>EFEITO!$J$516*EFEITO!$Y$516</f>
        <v>0</v>
      </c>
      <c r="K516" s="61">
        <f ca="1">EFEITO!$L$516*EFEITO!$Z$516</f>
        <v>5307.5373870099074</v>
      </c>
      <c r="L516" s="61">
        <f>EFEITO!$N$516*EFEITO!$AA$516</f>
        <v>3230.5941753396869</v>
      </c>
      <c r="M516" s="61">
        <f>$J$516-EFEITO!$K$516*EFEITO!$Y$516</f>
        <v>0</v>
      </c>
      <c r="N516" s="61">
        <f ca="1">$K$516-EFEITO!$M$516*EFEITO!$Z$516</f>
        <v>0</v>
      </c>
      <c r="O516" s="61">
        <f>$L$516-EFEITO!$O$516*EFEITO!$AA$516</f>
        <v>0</v>
      </c>
      <c r="P516" s="45"/>
      <c r="Q516" s="45"/>
      <c r="R516" s="45"/>
      <c r="S516" s="45"/>
      <c r="T516" s="45"/>
      <c r="U516" s="45"/>
      <c r="V516" s="45"/>
      <c r="W516" s="45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41" t="s">
        <v>21</v>
      </c>
      <c r="B517" s="41" t="s">
        <v>32</v>
      </c>
      <c r="C517" s="41" t="s">
        <v>23</v>
      </c>
      <c r="D517" s="41" t="s">
        <v>40</v>
      </c>
      <c r="E517" s="41" t="s">
        <v>25</v>
      </c>
      <c r="F517" s="41" t="s">
        <v>25</v>
      </c>
      <c r="G517" s="41" t="s">
        <v>25</v>
      </c>
      <c r="H517" s="41" t="s">
        <v>25</v>
      </c>
      <c r="I517" s="60">
        <v>44713</v>
      </c>
      <c r="J517" s="61">
        <f>EFEITO!$J$517*EFEITO!$Y$517</f>
        <v>0</v>
      </c>
      <c r="K517" s="61">
        <f ca="1">EFEITO!$L$517*EFEITO!$Z$517</f>
        <v>121815.767420045</v>
      </c>
      <c r="L517" s="61">
        <f>EFEITO!$N$517*EFEITO!$AA$517</f>
        <v>74146.874528836313</v>
      </c>
      <c r="M517" s="61">
        <f>$J$517-EFEITO!$K$517*EFEITO!$Y$517</f>
        <v>0</v>
      </c>
      <c r="N517" s="61">
        <f ca="1">$K$517-EFEITO!$M$517*EFEITO!$Z$517</f>
        <v>0</v>
      </c>
      <c r="O517" s="61">
        <f>$L$517-EFEITO!$O$517*EFEITO!$AA$517</f>
        <v>0</v>
      </c>
      <c r="P517" s="45"/>
      <c r="Q517" s="45"/>
      <c r="R517" s="45"/>
      <c r="S517" s="45"/>
      <c r="T517" s="45"/>
      <c r="U517" s="45"/>
      <c r="V517" s="45"/>
      <c r="W517" s="45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41" t="s">
        <v>27</v>
      </c>
      <c r="B518" s="41" t="s">
        <v>32</v>
      </c>
      <c r="C518" s="41" t="s">
        <v>23</v>
      </c>
      <c r="D518" s="41" t="s">
        <v>40</v>
      </c>
      <c r="E518" s="41" t="s">
        <v>25</v>
      </c>
      <c r="F518" s="41" t="s">
        <v>25</v>
      </c>
      <c r="G518" s="41" t="s">
        <v>25</v>
      </c>
      <c r="H518" s="41" t="s">
        <v>25</v>
      </c>
      <c r="I518" s="60">
        <v>44713</v>
      </c>
      <c r="J518" s="61">
        <f>EFEITO!$J$518*EFEITO!$Y$518</f>
        <v>0</v>
      </c>
      <c r="K518" s="61">
        <f ca="1">EFEITO!$L$518*EFEITO!$Z$518</f>
        <v>7681.0681064807377</v>
      </c>
      <c r="L518" s="61">
        <f>EFEITO!$N$518*EFEITO!$AA$518</f>
        <v>4675.3158905515938</v>
      </c>
      <c r="M518" s="61">
        <f>$J$518-EFEITO!$K$518*EFEITO!$Y$518</f>
        <v>0</v>
      </c>
      <c r="N518" s="61">
        <f ca="1">$K$518-EFEITO!$M$518*EFEITO!$Z$518</f>
        <v>0</v>
      </c>
      <c r="O518" s="61">
        <f>$L$518-EFEITO!$O$518*EFEITO!$AA$518</f>
        <v>0</v>
      </c>
      <c r="P518" s="45"/>
      <c r="Q518" s="45"/>
      <c r="R518" s="45"/>
      <c r="S518" s="45"/>
      <c r="T518" s="45"/>
      <c r="U518" s="45"/>
      <c r="V518" s="45"/>
      <c r="W518" s="45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41" t="s">
        <v>21</v>
      </c>
      <c r="B519" s="41" t="s">
        <v>32</v>
      </c>
      <c r="C519" s="41" t="s">
        <v>23</v>
      </c>
      <c r="D519" s="41" t="s">
        <v>40</v>
      </c>
      <c r="E519" s="41" t="s">
        <v>25</v>
      </c>
      <c r="F519" s="41" t="s">
        <v>25</v>
      </c>
      <c r="G519" s="41" t="s">
        <v>25</v>
      </c>
      <c r="H519" s="41" t="s">
        <v>25</v>
      </c>
      <c r="I519" s="60">
        <v>44743</v>
      </c>
      <c r="J519" s="61">
        <f>EFEITO!$J$519*EFEITO!$Y$519</f>
        <v>0</v>
      </c>
      <c r="K519" s="61">
        <f ca="1">EFEITO!$L$519*EFEITO!$Z$519</f>
        <v>115389.16526130287</v>
      </c>
      <c r="L519" s="61">
        <f>EFEITO!$N$519*EFEITO!$AA$519</f>
        <v>70235.127519371672</v>
      </c>
      <c r="M519" s="61">
        <f>$J$519-EFEITO!$K$519*EFEITO!$Y$519</f>
        <v>0</v>
      </c>
      <c r="N519" s="61">
        <f ca="1">$K$519-EFEITO!$M$519*EFEITO!$Z$519</f>
        <v>0</v>
      </c>
      <c r="O519" s="61">
        <f>$L$519-EFEITO!$O$519*EFEITO!$AA$519</f>
        <v>0</v>
      </c>
      <c r="P519" s="45"/>
      <c r="Q519" s="45"/>
      <c r="R519" s="45"/>
      <c r="S519" s="45"/>
      <c r="T519" s="45"/>
      <c r="U519" s="45"/>
      <c r="V519" s="45"/>
      <c r="W519" s="45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41" t="s">
        <v>27</v>
      </c>
      <c r="B520" s="41" t="s">
        <v>32</v>
      </c>
      <c r="C520" s="41" t="s">
        <v>23</v>
      </c>
      <c r="D520" s="41" t="s">
        <v>40</v>
      </c>
      <c r="E520" s="41" t="s">
        <v>25</v>
      </c>
      <c r="F520" s="41" t="s">
        <v>25</v>
      </c>
      <c r="G520" s="41" t="s">
        <v>25</v>
      </c>
      <c r="H520" s="41" t="s">
        <v>25</v>
      </c>
      <c r="I520" s="60">
        <v>44743</v>
      </c>
      <c r="J520" s="61">
        <f>EFEITO!$J$520*EFEITO!$Y$520</f>
        <v>0</v>
      </c>
      <c r="K520" s="61">
        <f ca="1">EFEITO!$L$520*EFEITO!$Z$520</f>
        <v>7805.6183171625717</v>
      </c>
      <c r="L520" s="61">
        <f>EFEITO!$N$520*EFEITO!$AA$520</f>
        <v>4751.1271671995664</v>
      </c>
      <c r="M520" s="61">
        <f>$J$520-EFEITO!$K$520*EFEITO!$Y$520</f>
        <v>0</v>
      </c>
      <c r="N520" s="61">
        <f ca="1">$K$520-EFEITO!$M$520*EFEITO!$Z$520</f>
        <v>0</v>
      </c>
      <c r="O520" s="61">
        <f>$L$520-EFEITO!$O$520*EFEITO!$AA$520</f>
        <v>0</v>
      </c>
      <c r="P520" s="45"/>
      <c r="Q520" s="45"/>
      <c r="R520" s="45"/>
      <c r="S520" s="45"/>
      <c r="T520" s="45"/>
      <c r="U520" s="45"/>
      <c r="V520" s="45"/>
      <c r="W520" s="45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41" t="s">
        <v>21</v>
      </c>
      <c r="B521" s="41" t="s">
        <v>32</v>
      </c>
      <c r="C521" s="41" t="s">
        <v>23</v>
      </c>
      <c r="D521" s="41" t="s">
        <v>49</v>
      </c>
      <c r="E521" s="41" t="s">
        <v>25</v>
      </c>
      <c r="F521" s="41" t="s">
        <v>25</v>
      </c>
      <c r="G521" s="41" t="s">
        <v>25</v>
      </c>
      <c r="H521" s="41" t="s">
        <v>25</v>
      </c>
      <c r="I521" s="60">
        <v>44409</v>
      </c>
      <c r="J521" s="61">
        <f>EFEITO!$J$521*EFEITO!$Y$521</f>
        <v>0</v>
      </c>
      <c r="K521" s="61">
        <f ca="1">EFEITO!$L$521*EFEITO!$Z$521</f>
        <v>1136.9924535727891</v>
      </c>
      <c r="L521" s="61">
        <f>EFEITO!$N$521*EFEITO!$AA$521</f>
        <v>692.06506333943514</v>
      </c>
      <c r="M521" s="61">
        <f>$J$521-EFEITO!$K$521*EFEITO!$Y$521</f>
        <v>0</v>
      </c>
      <c r="N521" s="61">
        <f ca="1">$K$521-EFEITO!$M$521*EFEITO!$Z$521</f>
        <v>0</v>
      </c>
      <c r="O521" s="61">
        <f>$L$521-EFEITO!$O$521*EFEITO!$AA$521</f>
        <v>0</v>
      </c>
      <c r="P521" s="45"/>
      <c r="Q521" s="45"/>
      <c r="R521" s="45"/>
      <c r="S521" s="45"/>
      <c r="T521" s="45"/>
      <c r="U521" s="45"/>
      <c r="V521" s="45"/>
      <c r="W521" s="45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41" t="s">
        <v>21</v>
      </c>
      <c r="B522" s="41" t="s">
        <v>32</v>
      </c>
      <c r="C522" s="41" t="s">
        <v>23</v>
      </c>
      <c r="D522" s="41" t="s">
        <v>49</v>
      </c>
      <c r="E522" s="41" t="s">
        <v>25</v>
      </c>
      <c r="F522" s="41" t="s">
        <v>25</v>
      </c>
      <c r="G522" s="41" t="s">
        <v>25</v>
      </c>
      <c r="H522" s="41" t="s">
        <v>25</v>
      </c>
      <c r="I522" s="60">
        <v>44440</v>
      </c>
      <c r="J522" s="61">
        <f>EFEITO!$J$522*EFEITO!$Y$522</f>
        <v>0</v>
      </c>
      <c r="K522" s="61">
        <f ca="1">EFEITO!$L$522*EFEITO!$Z$522</f>
        <v>1363.447382085212</v>
      </c>
      <c r="L522" s="61">
        <f>EFEITO!$N$522*EFEITO!$AA$522</f>
        <v>829.9037481539284</v>
      </c>
      <c r="M522" s="61">
        <f>$J$522-EFEITO!$K$522*EFEITO!$Y$522</f>
        <v>0</v>
      </c>
      <c r="N522" s="61">
        <f ca="1">$K$522-EFEITO!$M$522*EFEITO!$Z$522</f>
        <v>0</v>
      </c>
      <c r="O522" s="61">
        <f>$L$522-EFEITO!$O$522*EFEITO!$AA$522</f>
        <v>0</v>
      </c>
      <c r="P522" s="45"/>
      <c r="Q522" s="45"/>
      <c r="R522" s="45"/>
      <c r="S522" s="45"/>
      <c r="T522" s="45"/>
      <c r="U522" s="45"/>
      <c r="V522" s="45"/>
      <c r="W522" s="45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41" t="s">
        <v>21</v>
      </c>
      <c r="B523" s="41" t="s">
        <v>32</v>
      </c>
      <c r="C523" s="41" t="s">
        <v>23</v>
      </c>
      <c r="D523" s="41" t="s">
        <v>49</v>
      </c>
      <c r="E523" s="41" t="s">
        <v>25</v>
      </c>
      <c r="F523" s="41" t="s">
        <v>25</v>
      </c>
      <c r="G523" s="41" t="s">
        <v>25</v>
      </c>
      <c r="H523" s="41" t="s">
        <v>25</v>
      </c>
      <c r="I523" s="60">
        <v>44470</v>
      </c>
      <c r="J523" s="61">
        <f>EFEITO!$J$523*EFEITO!$Y$523</f>
        <v>0</v>
      </c>
      <c r="K523" s="61">
        <f ca="1">EFEITO!$L$523*EFEITO!$Z$523</f>
        <v>1335.1405160211591</v>
      </c>
      <c r="L523" s="61">
        <f>EFEITO!$N$523*EFEITO!$AA$523</f>
        <v>812.6739125521168</v>
      </c>
      <c r="M523" s="61">
        <f>$J$523-EFEITO!$K$523*EFEITO!$Y$523</f>
        <v>0</v>
      </c>
      <c r="N523" s="61">
        <f ca="1">$K$523-EFEITO!$M$523*EFEITO!$Z$523</f>
        <v>0</v>
      </c>
      <c r="O523" s="61">
        <f>$L$523-EFEITO!$O$523*EFEITO!$AA$523</f>
        <v>0</v>
      </c>
      <c r="P523" s="45"/>
      <c r="Q523" s="45"/>
      <c r="R523" s="45"/>
      <c r="S523" s="45"/>
      <c r="T523" s="45"/>
      <c r="U523" s="45"/>
      <c r="V523" s="45"/>
      <c r="W523" s="45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41" t="s">
        <v>21</v>
      </c>
      <c r="B524" s="41" t="s">
        <v>32</v>
      </c>
      <c r="C524" s="41" t="s">
        <v>23</v>
      </c>
      <c r="D524" s="41" t="s">
        <v>49</v>
      </c>
      <c r="E524" s="41" t="s">
        <v>25</v>
      </c>
      <c r="F524" s="41" t="s">
        <v>25</v>
      </c>
      <c r="G524" s="41" t="s">
        <v>25</v>
      </c>
      <c r="H524" s="41" t="s">
        <v>25</v>
      </c>
      <c r="I524" s="60">
        <v>44501</v>
      </c>
      <c r="J524" s="61">
        <f>EFEITO!$J$524*EFEITO!$Y$524</f>
        <v>0</v>
      </c>
      <c r="K524" s="61">
        <f ca="1">EFEITO!$L$524*EFEITO!$Z$524</f>
        <v>1632.3626096937139</v>
      </c>
      <c r="L524" s="61">
        <f>EFEITO!$N$524*EFEITO!$AA$524</f>
        <v>993.58718637113918</v>
      </c>
      <c r="M524" s="61">
        <f>$J$524-EFEITO!$K$524*EFEITO!$Y$524</f>
        <v>0</v>
      </c>
      <c r="N524" s="61">
        <f ca="1">$K$524-EFEITO!$M$524*EFEITO!$Z$524</f>
        <v>0</v>
      </c>
      <c r="O524" s="61">
        <f>$L$524-EFEITO!$O$524*EFEITO!$AA$524</f>
        <v>0</v>
      </c>
      <c r="P524" s="45"/>
      <c r="Q524" s="45"/>
      <c r="R524" s="45"/>
      <c r="S524" s="45"/>
      <c r="T524" s="45"/>
      <c r="U524" s="45"/>
      <c r="V524" s="45"/>
      <c r="W524" s="45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41" t="s">
        <v>21</v>
      </c>
      <c r="B525" s="41" t="s">
        <v>32</v>
      </c>
      <c r="C525" s="41" t="s">
        <v>23</v>
      </c>
      <c r="D525" s="41" t="s">
        <v>49</v>
      </c>
      <c r="E525" s="41" t="s">
        <v>25</v>
      </c>
      <c r="F525" s="41" t="s">
        <v>25</v>
      </c>
      <c r="G525" s="41" t="s">
        <v>25</v>
      </c>
      <c r="H525" s="41" t="s">
        <v>25</v>
      </c>
      <c r="I525" s="60">
        <v>44531</v>
      </c>
      <c r="J525" s="61">
        <f>EFEITO!$J$525*EFEITO!$Y$525</f>
        <v>0</v>
      </c>
      <c r="K525" s="61">
        <f ca="1">EFEITO!$L$525*EFEITO!$Z$525</f>
        <v>1943.7381363982952</v>
      </c>
      <c r="L525" s="61">
        <f>EFEITO!$N$525*EFEITO!$AA$525</f>
        <v>1183.1153779910676</v>
      </c>
      <c r="M525" s="61">
        <f>$J$525-EFEITO!$K$525*EFEITO!$Y$525</f>
        <v>0</v>
      </c>
      <c r="N525" s="61">
        <f ca="1">$K$525-EFEITO!$M$525*EFEITO!$Z$525</f>
        <v>0</v>
      </c>
      <c r="O525" s="61">
        <f>$L$525-EFEITO!$O$525*EFEITO!$AA$525</f>
        <v>0</v>
      </c>
      <c r="P525" s="45"/>
      <c r="Q525" s="45"/>
      <c r="R525" s="45"/>
      <c r="S525" s="45"/>
      <c r="T525" s="45"/>
      <c r="U525" s="45"/>
      <c r="V525" s="45"/>
      <c r="W525" s="45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41" t="s">
        <v>21</v>
      </c>
      <c r="B526" s="41" t="s">
        <v>32</v>
      </c>
      <c r="C526" s="41" t="s">
        <v>23</v>
      </c>
      <c r="D526" s="41" t="s">
        <v>49</v>
      </c>
      <c r="E526" s="41" t="s">
        <v>25</v>
      </c>
      <c r="F526" s="41" t="s">
        <v>25</v>
      </c>
      <c r="G526" s="41" t="s">
        <v>25</v>
      </c>
      <c r="H526" s="41" t="s">
        <v>25</v>
      </c>
      <c r="I526" s="60">
        <v>44562</v>
      </c>
      <c r="J526" s="61">
        <f>EFEITO!$J$526*EFEITO!$Y$526</f>
        <v>0</v>
      </c>
      <c r="K526" s="61">
        <f ca="1">EFEITO!$L$526*EFEITO!$Z$526</f>
        <v>2184.346497942744</v>
      </c>
      <c r="L526" s="61">
        <f>EFEITO!$N$526*EFEITO!$AA$526</f>
        <v>1329.5689806064665</v>
      </c>
      <c r="M526" s="61">
        <f>$J$526-EFEITO!$K$526*EFEITO!$Y$526</f>
        <v>0</v>
      </c>
      <c r="N526" s="61">
        <f ca="1">$K$526-EFEITO!$M$526*EFEITO!$Z$526</f>
        <v>0</v>
      </c>
      <c r="O526" s="61">
        <f>$L$526-EFEITO!$O$526*EFEITO!$AA$526</f>
        <v>0</v>
      </c>
      <c r="P526" s="45"/>
      <c r="Q526" s="45"/>
      <c r="R526" s="45"/>
      <c r="S526" s="45"/>
      <c r="T526" s="45"/>
      <c r="U526" s="45"/>
      <c r="V526" s="45"/>
      <c r="W526" s="45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41" t="s">
        <v>21</v>
      </c>
      <c r="B527" s="41" t="s">
        <v>32</v>
      </c>
      <c r="C527" s="41" t="s">
        <v>23</v>
      </c>
      <c r="D527" s="41" t="s">
        <v>49</v>
      </c>
      <c r="E527" s="41" t="s">
        <v>25</v>
      </c>
      <c r="F527" s="41" t="s">
        <v>25</v>
      </c>
      <c r="G527" s="41" t="s">
        <v>25</v>
      </c>
      <c r="H527" s="41" t="s">
        <v>25</v>
      </c>
      <c r="I527" s="60">
        <v>44593</v>
      </c>
      <c r="J527" s="61">
        <f>EFEITO!$J$527*EFEITO!$Y$527</f>
        <v>0</v>
      </c>
      <c r="K527" s="61">
        <f ca="1">EFEITO!$L$527*EFEITO!$Z$527</f>
        <v>3061.8593459283825</v>
      </c>
      <c r="L527" s="61">
        <f>EFEITO!$N$527*EFEITO!$AA$527</f>
        <v>1863.6938842626282</v>
      </c>
      <c r="M527" s="61">
        <f>$J$527-EFEITO!$K$527*EFEITO!$Y$527</f>
        <v>0</v>
      </c>
      <c r="N527" s="61">
        <f ca="1">$K$527-EFEITO!$M$527*EFEITO!$Z$527</f>
        <v>0</v>
      </c>
      <c r="O527" s="61">
        <f>$L$527-EFEITO!$O$527*EFEITO!$AA$527</f>
        <v>0</v>
      </c>
      <c r="P527" s="45"/>
      <c r="Q527" s="45"/>
      <c r="R527" s="45"/>
      <c r="S527" s="45"/>
      <c r="T527" s="45"/>
      <c r="U527" s="45"/>
      <c r="V527" s="45"/>
      <c r="W527" s="45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41" t="s">
        <v>21</v>
      </c>
      <c r="B528" s="41" t="s">
        <v>32</v>
      </c>
      <c r="C528" s="41" t="s">
        <v>23</v>
      </c>
      <c r="D528" s="41" t="s">
        <v>49</v>
      </c>
      <c r="E528" s="41" t="s">
        <v>25</v>
      </c>
      <c r="F528" s="41" t="s">
        <v>25</v>
      </c>
      <c r="G528" s="41" t="s">
        <v>25</v>
      </c>
      <c r="H528" s="41" t="s">
        <v>25</v>
      </c>
      <c r="I528" s="60">
        <v>44621</v>
      </c>
      <c r="J528" s="61">
        <f>EFEITO!$J$528*EFEITO!$Y$528</f>
        <v>0</v>
      </c>
      <c r="K528" s="61">
        <f ca="1">EFEITO!$L$528*EFEITO!$Z$528</f>
        <v>2424.9548594871931</v>
      </c>
      <c r="L528" s="61">
        <f>EFEITO!$N$528*EFEITO!$AA$528</f>
        <v>1476.0225832218657</v>
      </c>
      <c r="M528" s="61">
        <f>$J$528-EFEITO!$K$528*EFEITO!$Y$528</f>
        <v>0</v>
      </c>
      <c r="N528" s="61">
        <f ca="1">$K$528-EFEITO!$M$528*EFEITO!$Z$528</f>
        <v>0</v>
      </c>
      <c r="O528" s="61">
        <f>$L$528-EFEITO!$O$528*EFEITO!$AA$528</f>
        <v>0</v>
      </c>
      <c r="P528" s="45"/>
      <c r="Q528" s="45"/>
      <c r="R528" s="45"/>
      <c r="S528" s="45"/>
      <c r="T528" s="45"/>
      <c r="U528" s="45"/>
      <c r="V528" s="45"/>
      <c r="W528" s="45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41" t="s">
        <v>21</v>
      </c>
      <c r="B529" s="41" t="s">
        <v>32</v>
      </c>
      <c r="C529" s="41" t="s">
        <v>23</v>
      </c>
      <c r="D529" s="41" t="s">
        <v>49</v>
      </c>
      <c r="E529" s="41" t="s">
        <v>25</v>
      </c>
      <c r="F529" s="41" t="s">
        <v>25</v>
      </c>
      <c r="G529" s="41" t="s">
        <v>25</v>
      </c>
      <c r="H529" s="41" t="s">
        <v>25</v>
      </c>
      <c r="I529" s="60">
        <v>44652</v>
      </c>
      <c r="J529" s="61">
        <f>EFEITO!$J$529*EFEITO!$Y$529</f>
        <v>0</v>
      </c>
      <c r="K529" s="61">
        <f ca="1">EFEITO!$L$529*EFEITO!$Z$529</f>
        <v>2156.0396318786916</v>
      </c>
      <c r="L529" s="61">
        <f>EFEITO!$N$529*EFEITO!$AA$529</f>
        <v>1312.3391450046549</v>
      </c>
      <c r="M529" s="61">
        <f>$J$529-EFEITO!$K$529*EFEITO!$Y$529</f>
        <v>0</v>
      </c>
      <c r="N529" s="61">
        <f ca="1">$K$529-EFEITO!$M$529*EFEITO!$Z$529</f>
        <v>0</v>
      </c>
      <c r="O529" s="61">
        <f>$L$529-EFEITO!$O$529*EFEITO!$AA$529</f>
        <v>0</v>
      </c>
      <c r="P529" s="45"/>
      <c r="Q529" s="45"/>
      <c r="R529" s="45"/>
      <c r="S529" s="45"/>
      <c r="T529" s="45"/>
      <c r="U529" s="45"/>
      <c r="V529" s="45"/>
      <c r="W529" s="45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41" t="s">
        <v>21</v>
      </c>
      <c r="B530" s="41" t="s">
        <v>32</v>
      </c>
      <c r="C530" s="41" t="s">
        <v>23</v>
      </c>
      <c r="D530" s="41" t="s">
        <v>49</v>
      </c>
      <c r="E530" s="41" t="s">
        <v>25</v>
      </c>
      <c r="F530" s="41" t="s">
        <v>25</v>
      </c>
      <c r="G530" s="41" t="s">
        <v>25</v>
      </c>
      <c r="H530" s="41" t="s">
        <v>25</v>
      </c>
      <c r="I530" s="60">
        <v>44682</v>
      </c>
      <c r="J530" s="61">
        <f>EFEITO!$J$530*EFEITO!$Y$530</f>
        <v>0</v>
      </c>
      <c r="K530" s="61">
        <f ca="1">EFEITO!$L$530*EFEITO!$Z$530</f>
        <v>1264.3733508610269</v>
      </c>
      <c r="L530" s="61">
        <f>EFEITO!$N$530*EFEITO!$AA$530</f>
        <v>769.59932354758769</v>
      </c>
      <c r="M530" s="61">
        <f>$J$530-EFEITO!$K$530*EFEITO!$Y$530</f>
        <v>0</v>
      </c>
      <c r="N530" s="61">
        <f ca="1">$K$530-EFEITO!$M$530*EFEITO!$Z$530</f>
        <v>0</v>
      </c>
      <c r="O530" s="61">
        <f>$L$530-EFEITO!$O$530*EFEITO!$AA$530</f>
        <v>0</v>
      </c>
      <c r="P530" s="45"/>
      <c r="Q530" s="45"/>
      <c r="R530" s="45"/>
      <c r="S530" s="45"/>
      <c r="T530" s="45"/>
      <c r="U530" s="45"/>
      <c r="V530" s="45"/>
      <c r="W530" s="45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41" t="s">
        <v>21</v>
      </c>
      <c r="B531" s="41" t="s">
        <v>32</v>
      </c>
      <c r="C531" s="41" t="s">
        <v>23</v>
      </c>
      <c r="D531" s="41" t="s">
        <v>49</v>
      </c>
      <c r="E531" s="41" t="s">
        <v>25</v>
      </c>
      <c r="F531" s="41" t="s">
        <v>25</v>
      </c>
      <c r="G531" s="41" t="s">
        <v>25</v>
      </c>
      <c r="H531" s="41" t="s">
        <v>25</v>
      </c>
      <c r="I531" s="60">
        <v>44713</v>
      </c>
      <c r="J531" s="61">
        <f>EFEITO!$J$531*EFEITO!$Y$531</f>
        <v>0</v>
      </c>
      <c r="K531" s="61">
        <f ca="1">EFEITO!$L$531*EFEITO!$Z$531</f>
        <v>1264.3733508610269</v>
      </c>
      <c r="L531" s="61">
        <f>EFEITO!$N$531*EFEITO!$AA$531</f>
        <v>769.59932354758769</v>
      </c>
      <c r="M531" s="61">
        <f>$J$531-EFEITO!$K$531*EFEITO!$Y$531</f>
        <v>0</v>
      </c>
      <c r="N531" s="61">
        <f ca="1">$K$531-EFEITO!$M$531*EFEITO!$Z$531</f>
        <v>0</v>
      </c>
      <c r="O531" s="61">
        <f>$L$531-EFEITO!$O$531*EFEITO!$AA$531</f>
        <v>0</v>
      </c>
      <c r="P531" s="45"/>
      <c r="Q531" s="45"/>
      <c r="R531" s="45"/>
      <c r="S531" s="45"/>
      <c r="T531" s="45"/>
      <c r="U531" s="45"/>
      <c r="V531" s="45"/>
      <c r="W531" s="45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41" t="s">
        <v>21</v>
      </c>
      <c r="B532" s="41" t="s">
        <v>32</v>
      </c>
      <c r="C532" s="41" t="s">
        <v>23</v>
      </c>
      <c r="D532" s="41" t="s">
        <v>49</v>
      </c>
      <c r="E532" s="41" t="s">
        <v>25</v>
      </c>
      <c r="F532" s="41" t="s">
        <v>25</v>
      </c>
      <c r="G532" s="41" t="s">
        <v>25</v>
      </c>
      <c r="H532" s="41" t="s">
        <v>25</v>
      </c>
      <c r="I532" s="60">
        <v>44743</v>
      </c>
      <c r="J532" s="61">
        <f>EFEITO!$J$532*EFEITO!$Y$532</f>
        <v>0</v>
      </c>
      <c r="K532" s="61">
        <f ca="1">EFEITO!$L$532*EFEITO!$Z$532</f>
        <v>1122.8390205407627</v>
      </c>
      <c r="L532" s="61">
        <f>EFEITO!$N$532*EFEITO!$AA$532</f>
        <v>683.45014553852923</v>
      </c>
      <c r="M532" s="61">
        <f>$J$532-EFEITO!$K$532*EFEITO!$Y$532</f>
        <v>0</v>
      </c>
      <c r="N532" s="61">
        <f ca="1">$K$532-EFEITO!$M$532*EFEITO!$Z$532</f>
        <v>0</v>
      </c>
      <c r="O532" s="61">
        <f>$L$532-EFEITO!$O$532*EFEITO!$AA$532</f>
        <v>0</v>
      </c>
      <c r="P532" s="45"/>
      <c r="Q532" s="45"/>
      <c r="R532" s="45"/>
      <c r="S532" s="45"/>
      <c r="T532" s="45"/>
      <c r="U532" s="45"/>
      <c r="V532" s="45"/>
      <c r="W532" s="45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41" t="s">
        <v>21</v>
      </c>
      <c r="B533" s="41" t="s">
        <v>32</v>
      </c>
      <c r="C533" s="41" t="s">
        <v>23</v>
      </c>
      <c r="D533" s="41" t="s">
        <v>33</v>
      </c>
      <c r="E533" s="41" t="s">
        <v>25</v>
      </c>
      <c r="F533" s="41" t="s">
        <v>25</v>
      </c>
      <c r="G533" s="41" t="s">
        <v>25</v>
      </c>
      <c r="H533" s="41" t="s">
        <v>25</v>
      </c>
      <c r="I533" s="60">
        <v>44409</v>
      </c>
      <c r="J533" s="61">
        <f>EFEITO!$J$533*EFEITO!$Y$533</f>
        <v>0</v>
      </c>
      <c r="K533" s="61">
        <f ca="1">EFEITO!$L$533*EFEITO!$Z$533</f>
        <v>46495.442853509994</v>
      </c>
      <c r="L533" s="61">
        <f>EFEITO!$N$533*EFEITO!$AA$533</f>
        <v>28300.866467755746</v>
      </c>
      <c r="M533" s="61">
        <f>$J$533-EFEITO!$K$533*EFEITO!$Y$533</f>
        <v>0</v>
      </c>
      <c r="N533" s="61">
        <f ca="1">$K$533-EFEITO!$M$533*EFEITO!$Z$533</f>
        <v>0</v>
      </c>
      <c r="O533" s="61">
        <f>$L$533-EFEITO!$O$533*EFEITO!$AA$533</f>
        <v>0</v>
      </c>
      <c r="P533" s="45"/>
      <c r="Q533" s="45"/>
      <c r="R533" s="45"/>
      <c r="S533" s="45"/>
      <c r="T533" s="45"/>
      <c r="U533" s="45"/>
      <c r="V533" s="45"/>
      <c r="W533" s="45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41" t="s">
        <v>27</v>
      </c>
      <c r="B534" s="41" t="s">
        <v>32</v>
      </c>
      <c r="C534" s="41" t="s">
        <v>23</v>
      </c>
      <c r="D534" s="41" t="s">
        <v>33</v>
      </c>
      <c r="E534" s="41" t="s">
        <v>25</v>
      </c>
      <c r="F534" s="41" t="s">
        <v>25</v>
      </c>
      <c r="G534" s="41" t="s">
        <v>25</v>
      </c>
      <c r="H534" s="41" t="s">
        <v>25</v>
      </c>
      <c r="I534" s="60">
        <v>44409</v>
      </c>
      <c r="J534" s="61">
        <f>EFEITO!$J$534*EFEITO!$Y$534</f>
        <v>0</v>
      </c>
      <c r="K534" s="61">
        <f ca="1">EFEITO!$L$534*EFEITO!$Z$534</f>
        <v>214.66040098573404</v>
      </c>
      <c r="L534" s="61">
        <f>EFEITO!$N$534*EFEITO!$AA$534</f>
        <v>130.65958664707179</v>
      </c>
      <c r="M534" s="61">
        <f>$J$534-EFEITO!$K$534*EFEITO!$Y$534</f>
        <v>0</v>
      </c>
      <c r="N534" s="61">
        <f ca="1">$K$534-EFEITO!$M$534*EFEITO!$Z$534</f>
        <v>0</v>
      </c>
      <c r="O534" s="61">
        <f>$L$534-EFEITO!$O$534*EFEITO!$AA$534</f>
        <v>0</v>
      </c>
      <c r="P534" s="45"/>
      <c r="Q534" s="45"/>
      <c r="R534" s="45"/>
      <c r="S534" s="45"/>
      <c r="T534" s="45"/>
      <c r="U534" s="45"/>
      <c r="V534" s="45"/>
      <c r="W534" s="45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41" t="s">
        <v>21</v>
      </c>
      <c r="B535" s="41" t="s">
        <v>32</v>
      </c>
      <c r="C535" s="41" t="s">
        <v>23</v>
      </c>
      <c r="D535" s="41" t="s">
        <v>33</v>
      </c>
      <c r="E535" s="41" t="s">
        <v>25</v>
      </c>
      <c r="F535" s="41" t="s">
        <v>25</v>
      </c>
      <c r="G535" s="41" t="s">
        <v>25</v>
      </c>
      <c r="H535" s="41" t="s">
        <v>25</v>
      </c>
      <c r="I535" s="60">
        <v>44440</v>
      </c>
      <c r="J535" s="61">
        <f>EFEITO!$J$535*EFEITO!$Y$535</f>
        <v>0</v>
      </c>
      <c r="K535" s="61">
        <f ca="1">EFEITO!$L$535*EFEITO!$Z$535</f>
        <v>49916.327617350784</v>
      </c>
      <c r="L535" s="61">
        <f>EFEITO!$N$535*EFEITO!$AA$535</f>
        <v>30383.092100234688</v>
      </c>
      <c r="M535" s="61">
        <f>$J$535-EFEITO!$K$535*EFEITO!$Y$535</f>
        <v>0</v>
      </c>
      <c r="N535" s="61">
        <f ca="1">$K$535-EFEITO!$M$535*EFEITO!$Z$535</f>
        <v>0</v>
      </c>
      <c r="O535" s="61">
        <f>$L$535-EFEITO!$O$535*EFEITO!$AA$535</f>
        <v>0</v>
      </c>
      <c r="P535" s="45"/>
      <c r="Q535" s="45"/>
      <c r="R535" s="45"/>
      <c r="S535" s="45"/>
      <c r="T535" s="45"/>
      <c r="U535" s="45"/>
      <c r="V535" s="45"/>
      <c r="W535" s="45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41" t="s">
        <v>27</v>
      </c>
      <c r="B536" s="41" t="s">
        <v>32</v>
      </c>
      <c r="C536" s="41" t="s">
        <v>23</v>
      </c>
      <c r="D536" s="41" t="s">
        <v>33</v>
      </c>
      <c r="E536" s="41" t="s">
        <v>25</v>
      </c>
      <c r="F536" s="41" t="s">
        <v>25</v>
      </c>
      <c r="G536" s="41" t="s">
        <v>25</v>
      </c>
      <c r="H536" s="41" t="s">
        <v>25</v>
      </c>
      <c r="I536" s="60">
        <v>44440</v>
      </c>
      <c r="J536" s="61">
        <f>EFEITO!$J$536*EFEITO!$Y$536</f>
        <v>0</v>
      </c>
      <c r="K536" s="61">
        <f ca="1">EFEITO!$L$536*EFEITO!$Z$536</f>
        <v>461.87369794512887</v>
      </c>
      <c r="L536" s="61">
        <f>EFEITO!$N$536*EFEITO!$AA$536</f>
        <v>281.13348423622693</v>
      </c>
      <c r="M536" s="61">
        <f>$J$536-EFEITO!$K$536*EFEITO!$Y$536</f>
        <v>0</v>
      </c>
      <c r="N536" s="61">
        <f ca="1">$K$536-EFEITO!$M$536*EFEITO!$Z$536</f>
        <v>0</v>
      </c>
      <c r="O536" s="61">
        <f>$L$536-EFEITO!$O$536*EFEITO!$AA$536</f>
        <v>0</v>
      </c>
      <c r="P536" s="45"/>
      <c r="Q536" s="45"/>
      <c r="R536" s="45"/>
      <c r="S536" s="45"/>
      <c r="T536" s="45"/>
      <c r="U536" s="45"/>
      <c r="V536" s="45"/>
      <c r="W536" s="45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41" t="s">
        <v>21</v>
      </c>
      <c r="B537" s="41" t="s">
        <v>32</v>
      </c>
      <c r="C537" s="41" t="s">
        <v>23</v>
      </c>
      <c r="D537" s="41" t="s">
        <v>33</v>
      </c>
      <c r="E537" s="41" t="s">
        <v>25</v>
      </c>
      <c r="F537" s="41" t="s">
        <v>25</v>
      </c>
      <c r="G537" s="41" t="s">
        <v>25</v>
      </c>
      <c r="H537" s="41" t="s">
        <v>25</v>
      </c>
      <c r="I537" s="60">
        <v>44470</v>
      </c>
      <c r="J537" s="61">
        <f>EFEITO!$J$537*EFEITO!$Y$537</f>
        <v>0</v>
      </c>
      <c r="K537" s="61">
        <f ca="1">EFEITO!$L$537*EFEITO!$Z$537</f>
        <v>45821.267660084464</v>
      </c>
      <c r="L537" s="61">
        <f>EFEITO!$N$537*EFEITO!$AA$537</f>
        <v>27890.509216505929</v>
      </c>
      <c r="M537" s="61">
        <f>$J$537-EFEITO!$K$537*EFEITO!$Y$537</f>
        <v>0</v>
      </c>
      <c r="N537" s="61">
        <f ca="1">$K$537-EFEITO!$M$537*EFEITO!$Z$537</f>
        <v>0</v>
      </c>
      <c r="O537" s="61">
        <f>$L$537-EFEITO!$O$537*EFEITO!$AA$537</f>
        <v>0</v>
      </c>
      <c r="P537" s="45"/>
      <c r="Q537" s="45"/>
      <c r="R537" s="45"/>
      <c r="S537" s="45"/>
      <c r="T537" s="45"/>
      <c r="U537" s="45"/>
      <c r="V537" s="45"/>
      <c r="W537" s="45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41" t="s">
        <v>27</v>
      </c>
      <c r="B538" s="41" t="s">
        <v>32</v>
      </c>
      <c r="C538" s="41" t="s">
        <v>23</v>
      </c>
      <c r="D538" s="41" t="s">
        <v>33</v>
      </c>
      <c r="E538" s="41" t="s">
        <v>25</v>
      </c>
      <c r="F538" s="41" t="s">
        <v>25</v>
      </c>
      <c r="G538" s="41" t="s">
        <v>25</v>
      </c>
      <c r="H538" s="41" t="s">
        <v>25</v>
      </c>
      <c r="I538" s="60">
        <v>44470</v>
      </c>
      <c r="J538" s="61">
        <f>EFEITO!$J$538*EFEITO!$Y$538</f>
        <v>0</v>
      </c>
      <c r="K538" s="61">
        <f ca="1">EFEITO!$L$538*EFEITO!$Z$538</f>
        <v>1190.303717993422</v>
      </c>
      <c r="L538" s="61">
        <f>EFEITO!$N$538*EFEITO!$AA$538</f>
        <v>724.5145870561804</v>
      </c>
      <c r="M538" s="61">
        <f>$J$538-EFEITO!$K$538*EFEITO!$Y$538</f>
        <v>0</v>
      </c>
      <c r="N538" s="61">
        <f ca="1">$K$538-EFEITO!$M$538*EFEITO!$Z$538</f>
        <v>0</v>
      </c>
      <c r="O538" s="61">
        <f>$L$538-EFEITO!$O$538*EFEITO!$AA$538</f>
        <v>0</v>
      </c>
      <c r="P538" s="45"/>
      <c r="Q538" s="45"/>
      <c r="R538" s="45"/>
      <c r="S538" s="45"/>
      <c r="T538" s="45"/>
      <c r="U538" s="45"/>
      <c r="V538" s="45"/>
      <c r="W538" s="45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41" t="s">
        <v>21</v>
      </c>
      <c r="B539" s="41" t="s">
        <v>32</v>
      </c>
      <c r="C539" s="41" t="s">
        <v>23</v>
      </c>
      <c r="D539" s="41" t="s">
        <v>33</v>
      </c>
      <c r="E539" s="41" t="s">
        <v>25</v>
      </c>
      <c r="F539" s="41" t="s">
        <v>25</v>
      </c>
      <c r="G539" s="41" t="s">
        <v>25</v>
      </c>
      <c r="H539" s="41" t="s">
        <v>25</v>
      </c>
      <c r="I539" s="60">
        <v>44501</v>
      </c>
      <c r="J539" s="61">
        <f>EFEITO!$J$539*EFEITO!$Y$539</f>
        <v>0</v>
      </c>
      <c r="K539" s="61">
        <f ca="1">EFEITO!$L$539*EFEITO!$Z$539</f>
        <v>46034.984498868071</v>
      </c>
      <c r="L539" s="61">
        <f>EFEITO!$N$539*EFEITO!$AA$539</f>
        <v>28020.594475299607</v>
      </c>
      <c r="M539" s="61">
        <f>$J$539-EFEITO!$K$539*EFEITO!$Y$539</f>
        <v>0</v>
      </c>
      <c r="N539" s="61">
        <f ca="1">$K$539-EFEITO!$M$539*EFEITO!$Z$539</f>
        <v>0</v>
      </c>
      <c r="O539" s="61">
        <f>$L$539-EFEITO!$O$539*EFEITO!$AA$539</f>
        <v>0</v>
      </c>
      <c r="P539" s="45"/>
      <c r="Q539" s="45"/>
      <c r="R539" s="45"/>
      <c r="S539" s="45"/>
      <c r="T539" s="45"/>
      <c r="U539" s="45"/>
      <c r="V539" s="45"/>
      <c r="W539" s="45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41" t="s">
        <v>27</v>
      </c>
      <c r="B540" s="41" t="s">
        <v>32</v>
      </c>
      <c r="C540" s="41" t="s">
        <v>23</v>
      </c>
      <c r="D540" s="41" t="s">
        <v>33</v>
      </c>
      <c r="E540" s="41" t="s">
        <v>25</v>
      </c>
      <c r="F540" s="41" t="s">
        <v>25</v>
      </c>
      <c r="G540" s="41" t="s">
        <v>25</v>
      </c>
      <c r="H540" s="41" t="s">
        <v>25</v>
      </c>
      <c r="I540" s="60">
        <v>44501</v>
      </c>
      <c r="J540" s="61">
        <f>EFEITO!$J$540*EFEITO!$Y$540</f>
        <v>0</v>
      </c>
      <c r="K540" s="61">
        <f ca="1">EFEITO!$L$540*EFEITO!$Z$540</f>
        <v>261.36672999142127</v>
      </c>
      <c r="L540" s="61">
        <f>EFEITO!$N$540*EFEITO!$AA$540</f>
        <v>159.08881539006103</v>
      </c>
      <c r="M540" s="61">
        <f>$J$540-EFEITO!$K$540*EFEITO!$Y$540</f>
        <v>0</v>
      </c>
      <c r="N540" s="61">
        <f ca="1">$K$540-EFEITO!$M$540*EFEITO!$Z$540</f>
        <v>0</v>
      </c>
      <c r="O540" s="61">
        <f>$L$540-EFEITO!$O$540*EFEITO!$AA$540</f>
        <v>0</v>
      </c>
      <c r="P540" s="45"/>
      <c r="Q540" s="45"/>
      <c r="R540" s="45"/>
      <c r="S540" s="45"/>
      <c r="T540" s="45"/>
      <c r="U540" s="45"/>
      <c r="V540" s="45"/>
      <c r="W540" s="45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41" t="s">
        <v>21</v>
      </c>
      <c r="B541" s="41" t="s">
        <v>32</v>
      </c>
      <c r="C541" s="41" t="s">
        <v>23</v>
      </c>
      <c r="D541" s="41" t="s">
        <v>33</v>
      </c>
      <c r="E541" s="41" t="s">
        <v>25</v>
      </c>
      <c r="F541" s="41" t="s">
        <v>25</v>
      </c>
      <c r="G541" s="41" t="s">
        <v>25</v>
      </c>
      <c r="H541" s="41" t="s">
        <v>25</v>
      </c>
      <c r="I541" s="60">
        <v>44531</v>
      </c>
      <c r="J541" s="61">
        <f>EFEITO!$J$541*EFEITO!$Y$541</f>
        <v>0</v>
      </c>
      <c r="K541" s="61">
        <f ca="1">EFEITO!$L$541*EFEITO!$Z$541</f>
        <v>51047.186916609688</v>
      </c>
      <c r="L541" s="61">
        <f>EFEITO!$N$541*EFEITO!$AA$541</f>
        <v>31071.424032527058</v>
      </c>
      <c r="M541" s="61">
        <f>$J$541-EFEITO!$K$541*EFEITO!$Y$541</f>
        <v>0</v>
      </c>
      <c r="N541" s="61">
        <f ca="1">$K$541-EFEITO!$M$541*EFEITO!$Z$541</f>
        <v>0</v>
      </c>
      <c r="O541" s="61">
        <f>$L$541-EFEITO!$O$541*EFEITO!$AA$541</f>
        <v>0</v>
      </c>
      <c r="P541" s="45"/>
      <c r="Q541" s="45"/>
      <c r="R541" s="45"/>
      <c r="S541" s="45"/>
      <c r="T541" s="45"/>
      <c r="U541" s="45"/>
      <c r="V541" s="45"/>
      <c r="W541" s="45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41" t="s">
        <v>27</v>
      </c>
      <c r="B542" s="41" t="s">
        <v>32</v>
      </c>
      <c r="C542" s="41" t="s">
        <v>23</v>
      </c>
      <c r="D542" s="41" t="s">
        <v>33</v>
      </c>
      <c r="E542" s="41" t="s">
        <v>25</v>
      </c>
      <c r="F542" s="41" t="s">
        <v>25</v>
      </c>
      <c r="G542" s="41" t="s">
        <v>25</v>
      </c>
      <c r="H542" s="41" t="s">
        <v>25</v>
      </c>
      <c r="I542" s="60">
        <v>44531</v>
      </c>
      <c r="J542" s="61">
        <f>EFEITO!$J$542*EFEITO!$Y$542</f>
        <v>0</v>
      </c>
      <c r="K542" s="61">
        <f ca="1">EFEITO!$L$542*EFEITO!$Z$542</f>
        <v>314.20621331098653</v>
      </c>
      <c r="L542" s="61">
        <f>EFEITO!$N$542*EFEITO!$AA$542</f>
        <v>191.25117518010947</v>
      </c>
      <c r="M542" s="61">
        <f>$J$542-EFEITO!$K$542*EFEITO!$Y$542</f>
        <v>0</v>
      </c>
      <c r="N542" s="61">
        <f ca="1">$K$542-EFEITO!$M$542*EFEITO!$Z$542</f>
        <v>0</v>
      </c>
      <c r="O542" s="61">
        <f>$L$542-EFEITO!$O$542*EFEITO!$AA$542</f>
        <v>0</v>
      </c>
      <c r="P542" s="45"/>
      <c r="Q542" s="45"/>
      <c r="R542" s="45"/>
      <c r="S542" s="45"/>
      <c r="T542" s="45"/>
      <c r="U542" s="45"/>
      <c r="V542" s="45"/>
      <c r="W542" s="45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41" t="s">
        <v>21</v>
      </c>
      <c r="B543" s="41" t="s">
        <v>32</v>
      </c>
      <c r="C543" s="41" t="s">
        <v>23</v>
      </c>
      <c r="D543" s="41" t="s">
        <v>33</v>
      </c>
      <c r="E543" s="41" t="s">
        <v>25</v>
      </c>
      <c r="F543" s="41" t="s">
        <v>25</v>
      </c>
      <c r="G543" s="41" t="s">
        <v>25</v>
      </c>
      <c r="H543" s="41" t="s">
        <v>25</v>
      </c>
      <c r="I543" s="60">
        <v>44562</v>
      </c>
      <c r="J543" s="61">
        <f>EFEITO!$J$543*EFEITO!$Y$543</f>
        <v>0</v>
      </c>
      <c r="K543" s="61">
        <f ca="1">EFEITO!$L$543*EFEITO!$Z$543</f>
        <v>44818.261039214864</v>
      </c>
      <c r="L543" s="61">
        <f>EFEITO!$N$543*EFEITO!$AA$543</f>
        <v>27279.998708348405</v>
      </c>
      <c r="M543" s="61">
        <f>$J$543-EFEITO!$K$543*EFEITO!$Y$543</f>
        <v>0</v>
      </c>
      <c r="N543" s="61">
        <f ca="1">$K$543-EFEITO!$M$543*EFEITO!$Z$543</f>
        <v>0</v>
      </c>
      <c r="O543" s="61">
        <f>$L$543-EFEITO!$O$543*EFEITO!$AA$543</f>
        <v>0</v>
      </c>
      <c r="P543" s="45"/>
      <c r="Q543" s="45"/>
      <c r="R543" s="45"/>
      <c r="S543" s="45"/>
      <c r="T543" s="45"/>
      <c r="U543" s="45"/>
      <c r="V543" s="45"/>
      <c r="W543" s="45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41" t="s">
        <v>27</v>
      </c>
      <c r="B544" s="41" t="s">
        <v>32</v>
      </c>
      <c r="C544" s="41" t="s">
        <v>23</v>
      </c>
      <c r="D544" s="41" t="s">
        <v>33</v>
      </c>
      <c r="E544" s="41" t="s">
        <v>25</v>
      </c>
      <c r="F544" s="41" t="s">
        <v>25</v>
      </c>
      <c r="G544" s="41" t="s">
        <v>25</v>
      </c>
      <c r="H544" s="41" t="s">
        <v>25</v>
      </c>
      <c r="I544" s="60">
        <v>44562</v>
      </c>
      <c r="J544" s="61">
        <f>EFEITO!$J$544*EFEITO!$Y$544</f>
        <v>0</v>
      </c>
      <c r="K544" s="61">
        <f ca="1">EFEITO!$L$544*EFEITO!$Z$544</f>
        <v>188.71244042701895</v>
      </c>
      <c r="L544" s="61">
        <f>EFEITO!$N$544*EFEITO!$AA$544</f>
        <v>114.86557067874442</v>
      </c>
      <c r="M544" s="61">
        <f>$J$544-EFEITO!$K$544*EFEITO!$Y$544</f>
        <v>0</v>
      </c>
      <c r="N544" s="61">
        <f ca="1">$K$544-EFEITO!$M$544*EFEITO!$Z$544</f>
        <v>0</v>
      </c>
      <c r="O544" s="61">
        <f>$L$544-EFEITO!$O$544*EFEITO!$AA$544</f>
        <v>0</v>
      </c>
      <c r="P544" s="45"/>
      <c r="Q544" s="45"/>
      <c r="R544" s="45"/>
      <c r="S544" s="45"/>
      <c r="T544" s="45"/>
      <c r="U544" s="45"/>
      <c r="V544" s="45"/>
      <c r="W544" s="45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41" t="s">
        <v>21</v>
      </c>
      <c r="B545" s="41" t="s">
        <v>32</v>
      </c>
      <c r="C545" s="41" t="s">
        <v>23</v>
      </c>
      <c r="D545" s="41" t="s">
        <v>33</v>
      </c>
      <c r="E545" s="41" t="s">
        <v>25</v>
      </c>
      <c r="F545" s="41" t="s">
        <v>25</v>
      </c>
      <c r="G545" s="41" t="s">
        <v>25</v>
      </c>
      <c r="H545" s="41" t="s">
        <v>25</v>
      </c>
      <c r="I545" s="60">
        <v>44593</v>
      </c>
      <c r="J545" s="61">
        <f>EFEITO!$J$545*EFEITO!$Y$545</f>
        <v>0</v>
      </c>
      <c r="K545" s="61">
        <f ca="1">EFEITO!$L$545*EFEITO!$Z$545</f>
        <v>52064.818751612394</v>
      </c>
      <c r="L545" s="61">
        <f>EFEITO!$N$545*EFEITO!$AA$545</f>
        <v>31690.836622412193</v>
      </c>
      <c r="M545" s="61">
        <f>$J$545-EFEITO!$K$545*EFEITO!$Y$545</f>
        <v>0</v>
      </c>
      <c r="N545" s="61">
        <f ca="1">$K$545-EFEITO!$M$545*EFEITO!$Z$545</f>
        <v>0</v>
      </c>
      <c r="O545" s="61">
        <f>$L$545-EFEITO!$O$545*EFEITO!$AA$545</f>
        <v>0</v>
      </c>
      <c r="P545" s="45"/>
      <c r="Q545" s="45"/>
      <c r="R545" s="45"/>
      <c r="S545" s="45"/>
      <c r="T545" s="45"/>
      <c r="U545" s="45"/>
      <c r="V545" s="45"/>
      <c r="W545" s="45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41" t="s">
        <v>27</v>
      </c>
      <c r="B546" s="41" t="s">
        <v>32</v>
      </c>
      <c r="C546" s="41" t="s">
        <v>23</v>
      </c>
      <c r="D546" s="41" t="s">
        <v>33</v>
      </c>
      <c r="E546" s="41" t="s">
        <v>25</v>
      </c>
      <c r="F546" s="41" t="s">
        <v>25</v>
      </c>
      <c r="G546" s="41" t="s">
        <v>25</v>
      </c>
      <c r="H546" s="41" t="s">
        <v>25</v>
      </c>
      <c r="I546" s="60">
        <v>44593</v>
      </c>
      <c r="J546" s="61">
        <f>EFEITO!$J$546*EFEITO!$Y$546</f>
        <v>0</v>
      </c>
      <c r="K546" s="61">
        <f ca="1">EFEITO!$L$546*EFEITO!$Z$546</f>
        <v>188.71244042701895</v>
      </c>
      <c r="L546" s="61">
        <f>EFEITO!$N$546*EFEITO!$AA$546</f>
        <v>114.86557067874442</v>
      </c>
      <c r="M546" s="61">
        <f>$J$546-EFEITO!$K$546*EFEITO!$Y$546</f>
        <v>0</v>
      </c>
      <c r="N546" s="61">
        <f ca="1">$K$546-EFEITO!$M$546*EFEITO!$Z$546</f>
        <v>0</v>
      </c>
      <c r="O546" s="61">
        <f>$L$546-EFEITO!$O$546*EFEITO!$AA$546</f>
        <v>0</v>
      </c>
      <c r="P546" s="45"/>
      <c r="Q546" s="45"/>
      <c r="R546" s="45"/>
      <c r="S546" s="45"/>
      <c r="T546" s="45"/>
      <c r="U546" s="45"/>
      <c r="V546" s="45"/>
      <c r="W546" s="45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41" t="s">
        <v>21</v>
      </c>
      <c r="B547" s="41" t="s">
        <v>32</v>
      </c>
      <c r="C547" s="41" t="s">
        <v>23</v>
      </c>
      <c r="D547" s="41" t="s">
        <v>33</v>
      </c>
      <c r="E547" s="41" t="s">
        <v>25</v>
      </c>
      <c r="F547" s="41" t="s">
        <v>25</v>
      </c>
      <c r="G547" s="41" t="s">
        <v>25</v>
      </c>
      <c r="H547" s="41" t="s">
        <v>25</v>
      </c>
      <c r="I547" s="60">
        <v>44621</v>
      </c>
      <c r="J547" s="61">
        <f>EFEITO!$J$547*EFEITO!$Y$547</f>
        <v>0</v>
      </c>
      <c r="K547" s="61">
        <f ca="1">EFEITO!$L$547*EFEITO!$Z$547</f>
        <v>52661.621844462839</v>
      </c>
      <c r="L547" s="61">
        <f>EFEITO!$N$547*EFEITO!$AA$547</f>
        <v>32054.09898968372</v>
      </c>
      <c r="M547" s="61">
        <f>$J$547-EFEITO!$K$547*EFEITO!$Y$547</f>
        <v>0</v>
      </c>
      <c r="N547" s="61">
        <f ca="1">$K$547-EFEITO!$M$547*EFEITO!$Z$547</f>
        <v>0</v>
      </c>
      <c r="O547" s="61">
        <f>$L$547-EFEITO!$O$547*EFEITO!$AA$547</f>
        <v>0</v>
      </c>
      <c r="P547" s="45"/>
      <c r="Q547" s="45"/>
      <c r="R547" s="45"/>
      <c r="S547" s="45"/>
      <c r="T547" s="45"/>
      <c r="U547" s="45"/>
      <c r="V547" s="45"/>
      <c r="W547" s="45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41" t="s">
        <v>27</v>
      </c>
      <c r="B548" s="41" t="s">
        <v>32</v>
      </c>
      <c r="C548" s="41" t="s">
        <v>23</v>
      </c>
      <c r="D548" s="41" t="s">
        <v>33</v>
      </c>
      <c r="E548" s="41" t="s">
        <v>25</v>
      </c>
      <c r="F548" s="41" t="s">
        <v>25</v>
      </c>
      <c r="G548" s="41" t="s">
        <v>25</v>
      </c>
      <c r="H548" s="41" t="s">
        <v>25</v>
      </c>
      <c r="I548" s="60">
        <v>44621</v>
      </c>
      <c r="J548" s="61">
        <f>EFEITO!$J$548*EFEITO!$Y$548</f>
        <v>0</v>
      </c>
      <c r="K548" s="61">
        <f ca="1">EFEITO!$L$548*EFEITO!$Z$548</f>
        <v>188.71244042701895</v>
      </c>
      <c r="L548" s="61">
        <f>EFEITO!$N$548*EFEITO!$AA$548</f>
        <v>114.86557067874442</v>
      </c>
      <c r="M548" s="61">
        <f>$J$548-EFEITO!$K$548*EFEITO!$Y$548</f>
        <v>0</v>
      </c>
      <c r="N548" s="61">
        <f ca="1">$K$548-EFEITO!$M$548*EFEITO!$Z$548</f>
        <v>0</v>
      </c>
      <c r="O548" s="61">
        <f>$L$548-EFEITO!$O$548*EFEITO!$AA$548</f>
        <v>0</v>
      </c>
      <c r="P548" s="45"/>
      <c r="Q548" s="45"/>
      <c r="R548" s="45"/>
      <c r="S548" s="45"/>
      <c r="T548" s="45"/>
      <c r="U548" s="45"/>
      <c r="V548" s="45"/>
      <c r="W548" s="45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41" t="s">
        <v>21</v>
      </c>
      <c r="B549" s="41" t="s">
        <v>32</v>
      </c>
      <c r="C549" s="41" t="s">
        <v>23</v>
      </c>
      <c r="D549" s="41" t="s">
        <v>33</v>
      </c>
      <c r="E549" s="41" t="s">
        <v>25</v>
      </c>
      <c r="F549" s="41" t="s">
        <v>25</v>
      </c>
      <c r="G549" s="41" t="s">
        <v>25</v>
      </c>
      <c r="H549" s="41" t="s">
        <v>25</v>
      </c>
      <c r="I549" s="60">
        <v>44652</v>
      </c>
      <c r="J549" s="61">
        <f>EFEITO!$J$549*EFEITO!$Y$549</f>
        <v>0</v>
      </c>
      <c r="K549" s="61">
        <f ca="1">EFEITO!$L$549*EFEITO!$Z$549</f>
        <v>47384.27844792125</v>
      </c>
      <c r="L549" s="61">
        <f>EFEITO!$N$549*EFEITO!$AA$549</f>
        <v>28841.883305652631</v>
      </c>
      <c r="M549" s="61">
        <f>$J$549-EFEITO!$K$549*EFEITO!$Y$549</f>
        <v>0</v>
      </c>
      <c r="N549" s="61">
        <f ca="1">$K$549-EFEITO!$M$549*EFEITO!$Z$549</f>
        <v>0</v>
      </c>
      <c r="O549" s="61">
        <f>$L$549-EFEITO!$O$549*EFEITO!$AA$549</f>
        <v>0</v>
      </c>
      <c r="P549" s="45"/>
      <c r="Q549" s="45"/>
      <c r="R549" s="45"/>
      <c r="S549" s="45"/>
      <c r="T549" s="45"/>
      <c r="U549" s="45"/>
      <c r="V549" s="45"/>
      <c r="W549" s="45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41" t="s">
        <v>27</v>
      </c>
      <c r="B550" s="41" t="s">
        <v>32</v>
      </c>
      <c r="C550" s="41" t="s">
        <v>23</v>
      </c>
      <c r="D550" s="41" t="s">
        <v>33</v>
      </c>
      <c r="E550" s="41" t="s">
        <v>25</v>
      </c>
      <c r="F550" s="41" t="s">
        <v>25</v>
      </c>
      <c r="G550" s="41" t="s">
        <v>25</v>
      </c>
      <c r="H550" s="41" t="s">
        <v>25</v>
      </c>
      <c r="I550" s="60">
        <v>44652</v>
      </c>
      <c r="J550" s="61">
        <f>EFEITO!$J$550*EFEITO!$Y$550</f>
        <v>0</v>
      </c>
      <c r="K550" s="61">
        <f ca="1">EFEITO!$L$550*EFEITO!$Z$550</f>
        <v>188.71244042701895</v>
      </c>
      <c r="L550" s="61">
        <f>EFEITO!$N$550*EFEITO!$AA$550</f>
        <v>114.86557067874442</v>
      </c>
      <c r="M550" s="61">
        <f>$J$550-EFEITO!$K$550*EFEITO!$Y$550</f>
        <v>0</v>
      </c>
      <c r="N550" s="61">
        <f ca="1">$K$550-EFEITO!$M$550*EFEITO!$Z$550</f>
        <v>0</v>
      </c>
      <c r="O550" s="61">
        <f>$L$550-EFEITO!$O$550*EFEITO!$AA$550</f>
        <v>0</v>
      </c>
      <c r="P550" s="45"/>
      <c r="Q550" s="45"/>
      <c r="R550" s="45"/>
      <c r="S550" s="45"/>
      <c r="T550" s="45"/>
      <c r="U550" s="45"/>
      <c r="V550" s="45"/>
      <c r="W550" s="45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41" t="s">
        <v>21</v>
      </c>
      <c r="B551" s="41" t="s">
        <v>32</v>
      </c>
      <c r="C551" s="41" t="s">
        <v>23</v>
      </c>
      <c r="D551" s="41" t="s">
        <v>33</v>
      </c>
      <c r="E551" s="41" t="s">
        <v>25</v>
      </c>
      <c r="F551" s="41" t="s">
        <v>25</v>
      </c>
      <c r="G551" s="41" t="s">
        <v>25</v>
      </c>
      <c r="H551" s="41" t="s">
        <v>25</v>
      </c>
      <c r="I551" s="60">
        <v>44682</v>
      </c>
      <c r="J551" s="61">
        <f>EFEITO!$J$551*EFEITO!$Y$551</f>
        <v>0</v>
      </c>
      <c r="K551" s="61">
        <f ca="1">EFEITO!$L$551*EFEITO!$Z$551</f>
        <v>42725.440074879225</v>
      </c>
      <c r="L551" s="61">
        <f>EFEITO!$N$551*EFEITO!$AA$551</f>
        <v>26006.13952952113</v>
      </c>
      <c r="M551" s="61">
        <f>$J$551-EFEITO!$K$551*EFEITO!$Y$551</f>
        <v>0</v>
      </c>
      <c r="N551" s="61">
        <f ca="1">$K$551-EFEITO!$M$551*EFEITO!$Z$551</f>
        <v>0</v>
      </c>
      <c r="O551" s="61">
        <f>$L$551-EFEITO!$O$551*EFEITO!$AA$551</f>
        <v>0</v>
      </c>
      <c r="P551" s="45"/>
      <c r="Q551" s="45"/>
      <c r="R551" s="45"/>
      <c r="S551" s="45"/>
      <c r="T551" s="45"/>
      <c r="U551" s="45"/>
      <c r="V551" s="45"/>
      <c r="W551" s="45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41" t="s">
        <v>27</v>
      </c>
      <c r="B552" s="41" t="s">
        <v>32</v>
      </c>
      <c r="C552" s="41" t="s">
        <v>23</v>
      </c>
      <c r="D552" s="41" t="s">
        <v>33</v>
      </c>
      <c r="E552" s="41" t="s">
        <v>25</v>
      </c>
      <c r="F552" s="41" t="s">
        <v>25</v>
      </c>
      <c r="G552" s="41" t="s">
        <v>25</v>
      </c>
      <c r="H552" s="41" t="s">
        <v>25</v>
      </c>
      <c r="I552" s="60">
        <v>44682</v>
      </c>
      <c r="J552" s="61">
        <f>EFEITO!$J$552*EFEITO!$Y$552</f>
        <v>0</v>
      </c>
      <c r="K552" s="61">
        <f ca="1">EFEITO!$L$552*EFEITO!$Z$552</f>
        <v>188.71244042701895</v>
      </c>
      <c r="L552" s="61">
        <f>EFEITO!$N$552*EFEITO!$AA$552</f>
        <v>114.86557067874442</v>
      </c>
      <c r="M552" s="61">
        <f>$J$552-EFEITO!$K$552*EFEITO!$Y$552</f>
        <v>0</v>
      </c>
      <c r="N552" s="61">
        <f ca="1">$K$552-EFEITO!$M$552*EFEITO!$Z$552</f>
        <v>0</v>
      </c>
      <c r="O552" s="61">
        <f>$L$552-EFEITO!$O$552*EFEITO!$AA$552</f>
        <v>0</v>
      </c>
      <c r="P552" s="45"/>
      <c r="Q552" s="45"/>
      <c r="R552" s="45"/>
      <c r="S552" s="45"/>
      <c r="T552" s="45"/>
      <c r="U552" s="45"/>
      <c r="V552" s="45"/>
      <c r="W552" s="45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41" t="s">
        <v>21</v>
      </c>
      <c r="B553" s="41" t="s">
        <v>32</v>
      </c>
      <c r="C553" s="41" t="s">
        <v>23</v>
      </c>
      <c r="D553" s="41" t="s">
        <v>33</v>
      </c>
      <c r="E553" s="41" t="s">
        <v>25</v>
      </c>
      <c r="F553" s="41" t="s">
        <v>25</v>
      </c>
      <c r="G553" s="41" t="s">
        <v>25</v>
      </c>
      <c r="H553" s="41" t="s">
        <v>25</v>
      </c>
      <c r="I553" s="60">
        <v>44713</v>
      </c>
      <c r="J553" s="61">
        <f>EFEITO!$J$553*EFEITO!$Y$553</f>
        <v>0</v>
      </c>
      <c r="K553" s="61">
        <f ca="1">EFEITO!$L$553*EFEITO!$Z$553</f>
        <v>46803.515912507108</v>
      </c>
      <c r="L553" s="61">
        <f>EFEITO!$N$553*EFEITO!$AA$553</f>
        <v>28488.384511888798</v>
      </c>
      <c r="M553" s="61">
        <f>$J$553-EFEITO!$K$553*EFEITO!$Y$553</f>
        <v>0</v>
      </c>
      <c r="N553" s="61">
        <f ca="1">$K$553-EFEITO!$M$553*EFEITO!$Z$553</f>
        <v>0</v>
      </c>
      <c r="O553" s="61">
        <f>$L$553-EFEITO!$O$553*EFEITO!$AA$553</f>
        <v>0</v>
      </c>
      <c r="P553" s="45"/>
      <c r="Q553" s="45"/>
      <c r="R553" s="45"/>
      <c r="S553" s="45"/>
      <c r="T553" s="45"/>
      <c r="U553" s="45"/>
      <c r="V553" s="45"/>
      <c r="W553" s="45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41" t="s">
        <v>27</v>
      </c>
      <c r="B554" s="41" t="s">
        <v>32</v>
      </c>
      <c r="C554" s="41" t="s">
        <v>23</v>
      </c>
      <c r="D554" s="41" t="s">
        <v>33</v>
      </c>
      <c r="E554" s="41" t="s">
        <v>25</v>
      </c>
      <c r="F554" s="41" t="s">
        <v>25</v>
      </c>
      <c r="G554" s="41" t="s">
        <v>25</v>
      </c>
      <c r="H554" s="41" t="s">
        <v>25</v>
      </c>
      <c r="I554" s="60">
        <v>44713</v>
      </c>
      <c r="J554" s="61">
        <f>EFEITO!$J$554*EFEITO!$Y$554</f>
        <v>0</v>
      </c>
      <c r="K554" s="61">
        <f ca="1">EFEITO!$L$554*EFEITO!$Z$554</f>
        <v>1098.3064032852501</v>
      </c>
      <c r="L554" s="61">
        <f>EFEITO!$N$554*EFEITO!$AA$554</f>
        <v>668.51762135029242</v>
      </c>
      <c r="M554" s="61">
        <f>$J$554-EFEITO!$K$554*EFEITO!$Y$554</f>
        <v>0</v>
      </c>
      <c r="N554" s="61">
        <f ca="1">$K$554-EFEITO!$M$554*EFEITO!$Z$554</f>
        <v>0</v>
      </c>
      <c r="O554" s="61">
        <f>$L$554-EFEITO!$O$554*EFEITO!$AA$554</f>
        <v>0</v>
      </c>
      <c r="P554" s="45"/>
      <c r="Q554" s="45"/>
      <c r="R554" s="45"/>
      <c r="S554" s="45"/>
      <c r="T554" s="45"/>
      <c r="U554" s="45"/>
      <c r="V554" s="45"/>
      <c r="W554" s="45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41" t="s">
        <v>21</v>
      </c>
      <c r="B555" s="41" t="s">
        <v>32</v>
      </c>
      <c r="C555" s="41" t="s">
        <v>23</v>
      </c>
      <c r="D555" s="41" t="s">
        <v>33</v>
      </c>
      <c r="E555" s="41" t="s">
        <v>25</v>
      </c>
      <c r="F555" s="41" t="s">
        <v>25</v>
      </c>
      <c r="G555" s="41" t="s">
        <v>25</v>
      </c>
      <c r="H555" s="41" t="s">
        <v>25</v>
      </c>
      <c r="I555" s="60">
        <v>44743</v>
      </c>
      <c r="J555" s="61">
        <f>EFEITO!$J$555*EFEITO!$Y$555</f>
        <v>0</v>
      </c>
      <c r="K555" s="61">
        <f ca="1">EFEITO!$L$555*EFEITO!$Z$555</f>
        <v>50458.404102477391</v>
      </c>
      <c r="L555" s="61">
        <f>EFEITO!$N$555*EFEITO!$AA$555</f>
        <v>30713.04345200938</v>
      </c>
      <c r="M555" s="61">
        <f>$J$555-EFEITO!$K$555*EFEITO!$Y$555</f>
        <v>0</v>
      </c>
      <c r="N555" s="61">
        <f ca="1">$K$555-EFEITO!$M$555*EFEITO!$Z$555</f>
        <v>0</v>
      </c>
      <c r="O555" s="61">
        <f>$L$555-EFEITO!$O$555*EFEITO!$AA$555</f>
        <v>0</v>
      </c>
      <c r="P555" s="45"/>
      <c r="Q555" s="45"/>
      <c r="R555" s="45"/>
      <c r="S555" s="45"/>
      <c r="T555" s="45"/>
      <c r="U555" s="45"/>
      <c r="V555" s="45"/>
      <c r="W555" s="45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41" t="s">
        <v>27</v>
      </c>
      <c r="B556" s="41" t="s">
        <v>32</v>
      </c>
      <c r="C556" s="41" t="s">
        <v>23</v>
      </c>
      <c r="D556" s="41" t="s">
        <v>33</v>
      </c>
      <c r="E556" s="41" t="s">
        <v>25</v>
      </c>
      <c r="F556" s="41" t="s">
        <v>25</v>
      </c>
      <c r="G556" s="41" t="s">
        <v>25</v>
      </c>
      <c r="H556" s="41" t="s">
        <v>25</v>
      </c>
      <c r="I556" s="60">
        <v>44743</v>
      </c>
      <c r="J556" s="61">
        <f>EFEITO!$J$556*EFEITO!$Y$556</f>
        <v>0</v>
      </c>
      <c r="K556" s="61">
        <f ca="1">EFEITO!$L$556*EFEITO!$Z$556</f>
        <v>3092.9968985988403</v>
      </c>
      <c r="L556" s="61">
        <f>EFEITO!$N$556*EFEITO!$AA$556</f>
        <v>1882.6467034246209</v>
      </c>
      <c r="M556" s="61">
        <f>$J$556-EFEITO!$K$556*EFEITO!$Y$556</f>
        <v>0</v>
      </c>
      <c r="N556" s="61">
        <f ca="1">$K$556-EFEITO!$M$556*EFEITO!$Z$556</f>
        <v>0</v>
      </c>
      <c r="O556" s="61">
        <f>$L$556-EFEITO!$O$556*EFEITO!$AA$556</f>
        <v>0</v>
      </c>
      <c r="P556" s="45"/>
      <c r="Q556" s="45"/>
      <c r="R556" s="45"/>
      <c r="S556" s="45"/>
      <c r="T556" s="45"/>
      <c r="U556" s="45"/>
      <c r="V556" s="45"/>
      <c r="W556" s="45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41" t="s">
        <v>21</v>
      </c>
      <c r="B557" s="41" t="s">
        <v>32</v>
      </c>
      <c r="C557" s="41" t="s">
        <v>23</v>
      </c>
      <c r="D557" s="41" t="s">
        <v>43</v>
      </c>
      <c r="E557" s="41" t="s">
        <v>25</v>
      </c>
      <c r="F557" s="41" t="s">
        <v>25</v>
      </c>
      <c r="G557" s="41" t="s">
        <v>25</v>
      </c>
      <c r="H557" s="41" t="s">
        <v>25</v>
      </c>
      <c r="I557" s="60">
        <v>44409</v>
      </c>
      <c r="J557" s="61">
        <f>EFEITO!$J$557*EFEITO!$Y$557</f>
        <v>0</v>
      </c>
      <c r="K557" s="61">
        <f ca="1">EFEITO!$L$557*EFEITO!$Z$557</f>
        <v>32057.525817539845</v>
      </c>
      <c r="L557" s="61">
        <f>EFEITO!$N$557*EFEITO!$AA$557</f>
        <v>19512.788819051708</v>
      </c>
      <c r="M557" s="61">
        <f>$J$557-EFEITO!$K$557*EFEITO!$Y$557</f>
        <v>0</v>
      </c>
      <c r="N557" s="61">
        <f ca="1">$K$557-EFEITO!$M$557*EFEITO!$Z$557</f>
        <v>0</v>
      </c>
      <c r="O557" s="61">
        <f>$L$557-EFEITO!$O$557*EFEITO!$AA$557</f>
        <v>0</v>
      </c>
      <c r="P557" s="45"/>
      <c r="Q557" s="45"/>
      <c r="R557" s="45"/>
      <c r="S557" s="45"/>
      <c r="T557" s="45"/>
      <c r="U557" s="45"/>
      <c r="V557" s="45"/>
      <c r="W557" s="45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41" t="s">
        <v>27</v>
      </c>
      <c r="B558" s="41" t="s">
        <v>32</v>
      </c>
      <c r="C558" s="41" t="s">
        <v>23</v>
      </c>
      <c r="D558" s="41" t="s">
        <v>43</v>
      </c>
      <c r="E558" s="41" t="s">
        <v>25</v>
      </c>
      <c r="F558" s="41" t="s">
        <v>25</v>
      </c>
      <c r="G558" s="41" t="s">
        <v>25</v>
      </c>
      <c r="H558" s="41" t="s">
        <v>25</v>
      </c>
      <c r="I558" s="60">
        <v>44409</v>
      </c>
      <c r="J558" s="61">
        <f>EFEITO!$J$558*EFEITO!$Y$558</f>
        <v>0</v>
      </c>
      <c r="K558" s="61">
        <f ca="1">EFEITO!$L$558*EFEITO!$Z$558</f>
        <v>247.21329695939482</v>
      </c>
      <c r="L558" s="61">
        <f>EFEITO!$N$558*EFEITO!$AA$558</f>
        <v>150.4738975891552</v>
      </c>
      <c r="M558" s="61">
        <f>$J$558-EFEITO!$K$558*EFEITO!$Y$558</f>
        <v>0</v>
      </c>
      <c r="N558" s="61">
        <f ca="1">$K$558-EFEITO!$M$558*EFEITO!$Z$558</f>
        <v>0</v>
      </c>
      <c r="O558" s="61">
        <f>$L$558-EFEITO!$O$558*EFEITO!$AA$558</f>
        <v>0</v>
      </c>
      <c r="P558" s="45"/>
      <c r="Q558" s="45"/>
      <c r="R558" s="45"/>
      <c r="S558" s="45"/>
      <c r="T558" s="45"/>
      <c r="U558" s="45"/>
      <c r="V558" s="45"/>
      <c r="W558" s="45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41" t="s">
        <v>21</v>
      </c>
      <c r="B559" s="41" t="s">
        <v>32</v>
      </c>
      <c r="C559" s="41" t="s">
        <v>23</v>
      </c>
      <c r="D559" s="41" t="s">
        <v>43</v>
      </c>
      <c r="E559" s="41" t="s">
        <v>25</v>
      </c>
      <c r="F559" s="41" t="s">
        <v>25</v>
      </c>
      <c r="G559" s="41" t="s">
        <v>25</v>
      </c>
      <c r="H559" s="41" t="s">
        <v>25</v>
      </c>
      <c r="I559" s="60">
        <v>44440</v>
      </c>
      <c r="J559" s="61">
        <f>EFEITO!$J$559*EFEITO!$Y$559</f>
        <v>0</v>
      </c>
      <c r="K559" s="61">
        <f ca="1">EFEITO!$L$559*EFEITO!$Z$559</f>
        <v>33949.839813921775</v>
      </c>
      <c r="L559" s="61">
        <f>EFEITO!$N$559*EFEITO!$AA$559</f>
        <v>20664.603329032816</v>
      </c>
      <c r="M559" s="61">
        <f>$J$559-EFEITO!$K$559*EFEITO!$Y$559</f>
        <v>0</v>
      </c>
      <c r="N559" s="61">
        <f ca="1">$K$559-EFEITO!$M$559*EFEITO!$Z$559</f>
        <v>0</v>
      </c>
      <c r="O559" s="61">
        <f>$L$559-EFEITO!$O$559*EFEITO!$AA$559</f>
        <v>0</v>
      </c>
      <c r="P559" s="45"/>
      <c r="Q559" s="45"/>
      <c r="R559" s="45"/>
      <c r="S559" s="45"/>
      <c r="T559" s="45"/>
      <c r="U559" s="45"/>
      <c r="V559" s="45"/>
      <c r="W559" s="45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41" t="s">
        <v>27</v>
      </c>
      <c r="B560" s="41" t="s">
        <v>32</v>
      </c>
      <c r="C560" s="41" t="s">
        <v>23</v>
      </c>
      <c r="D560" s="41" t="s">
        <v>43</v>
      </c>
      <c r="E560" s="41" t="s">
        <v>25</v>
      </c>
      <c r="F560" s="41" t="s">
        <v>25</v>
      </c>
      <c r="G560" s="41" t="s">
        <v>25</v>
      </c>
      <c r="H560" s="41" t="s">
        <v>25</v>
      </c>
      <c r="I560" s="60">
        <v>44440</v>
      </c>
      <c r="J560" s="61">
        <f>EFEITO!$J$560*EFEITO!$Y$560</f>
        <v>0</v>
      </c>
      <c r="K560" s="61">
        <f ca="1">EFEITO!$L$560*EFEITO!$Z$560</f>
        <v>309.0166211992435</v>
      </c>
      <c r="L560" s="61">
        <f>EFEITO!$N$560*EFEITO!$AA$560</f>
        <v>188.09237198644399</v>
      </c>
      <c r="M560" s="61">
        <f>$J$560-EFEITO!$K$560*EFEITO!$Y$560</f>
        <v>0</v>
      </c>
      <c r="N560" s="61">
        <f ca="1">$K$560-EFEITO!$M$560*EFEITO!$Z$560</f>
        <v>0</v>
      </c>
      <c r="O560" s="61">
        <f>$L$560-EFEITO!$O$560*EFEITO!$AA$560</f>
        <v>0</v>
      </c>
      <c r="P560" s="45"/>
      <c r="Q560" s="45"/>
      <c r="R560" s="45"/>
      <c r="S560" s="45"/>
      <c r="T560" s="45"/>
      <c r="U560" s="45"/>
      <c r="V560" s="45"/>
      <c r="W560" s="45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41" t="s">
        <v>21</v>
      </c>
      <c r="B561" s="41" t="s">
        <v>32</v>
      </c>
      <c r="C561" s="41" t="s">
        <v>23</v>
      </c>
      <c r="D561" s="41" t="s">
        <v>43</v>
      </c>
      <c r="E561" s="41" t="s">
        <v>25</v>
      </c>
      <c r="F561" s="41" t="s">
        <v>25</v>
      </c>
      <c r="G561" s="41" t="s">
        <v>25</v>
      </c>
      <c r="H561" s="41" t="s">
        <v>25</v>
      </c>
      <c r="I561" s="60">
        <v>44470</v>
      </c>
      <c r="J561" s="61">
        <f>EFEITO!$J$561*EFEITO!$Y$561</f>
        <v>0</v>
      </c>
      <c r="K561" s="61">
        <f ca="1">EFEITO!$L$561*EFEITO!$Z$561</f>
        <v>32996.841989765329</v>
      </c>
      <c r="L561" s="61">
        <f>EFEITO!$N$561*EFEITO!$AA$561</f>
        <v>20084.53219710516</v>
      </c>
      <c r="M561" s="61">
        <f>$J$561-EFEITO!$K$561*EFEITO!$Y$561</f>
        <v>0</v>
      </c>
      <c r="N561" s="61">
        <f ca="1">$K$561-EFEITO!$M$561*EFEITO!$Z$561</f>
        <v>0</v>
      </c>
      <c r="O561" s="61">
        <f>$L$561-EFEITO!$O$561*EFEITO!$AA$561</f>
        <v>0</v>
      </c>
      <c r="P561" s="45"/>
      <c r="Q561" s="45"/>
      <c r="R561" s="45"/>
      <c r="S561" s="45"/>
      <c r="T561" s="45"/>
      <c r="U561" s="45"/>
      <c r="V561" s="45"/>
      <c r="W561" s="45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41" t="s">
        <v>27</v>
      </c>
      <c r="B562" s="41" t="s">
        <v>32</v>
      </c>
      <c r="C562" s="41" t="s">
        <v>23</v>
      </c>
      <c r="D562" s="41" t="s">
        <v>43</v>
      </c>
      <c r="E562" s="41" t="s">
        <v>25</v>
      </c>
      <c r="F562" s="41" t="s">
        <v>25</v>
      </c>
      <c r="G562" s="41" t="s">
        <v>25</v>
      </c>
      <c r="H562" s="41" t="s">
        <v>25</v>
      </c>
      <c r="I562" s="60">
        <v>44470</v>
      </c>
      <c r="J562" s="61">
        <f>EFEITO!$J$562*EFEITO!$Y$562</f>
        <v>0</v>
      </c>
      <c r="K562" s="61">
        <f ca="1">EFEITO!$L$562*EFEITO!$Z$562</f>
        <v>317.03689991739185</v>
      </c>
      <c r="L562" s="61">
        <f>EFEITO!$N$562*EFEITO!$AA$562</f>
        <v>192.97415874029062</v>
      </c>
      <c r="M562" s="61">
        <f>$J$562-EFEITO!$K$562*EFEITO!$Y$562</f>
        <v>0</v>
      </c>
      <c r="N562" s="61">
        <f ca="1">$K$562-EFEITO!$M$562*EFEITO!$Z$562</f>
        <v>0</v>
      </c>
      <c r="O562" s="61">
        <f>$L$562-EFEITO!$O$562*EFEITO!$AA$562</f>
        <v>0</v>
      </c>
      <c r="P562" s="45"/>
      <c r="Q562" s="45"/>
      <c r="R562" s="45"/>
      <c r="S562" s="45"/>
      <c r="T562" s="45"/>
      <c r="U562" s="45"/>
      <c r="V562" s="45"/>
      <c r="W562" s="45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41" t="s">
        <v>21</v>
      </c>
      <c r="B563" s="41" t="s">
        <v>32</v>
      </c>
      <c r="C563" s="41" t="s">
        <v>23</v>
      </c>
      <c r="D563" s="41" t="s">
        <v>43</v>
      </c>
      <c r="E563" s="41" t="s">
        <v>25</v>
      </c>
      <c r="F563" s="41" t="s">
        <v>25</v>
      </c>
      <c r="G563" s="41" t="s">
        <v>25</v>
      </c>
      <c r="H563" s="41" t="s">
        <v>25</v>
      </c>
      <c r="I563" s="60">
        <v>44501</v>
      </c>
      <c r="J563" s="61">
        <f>EFEITO!$J$563*EFEITO!$Y$563</f>
        <v>0</v>
      </c>
      <c r="K563" s="61">
        <f ca="1">EFEITO!$L$563*EFEITO!$Z$563</f>
        <v>32806.714206035103</v>
      </c>
      <c r="L563" s="61">
        <f>EFEITO!$N$563*EFEITO!$AA$563</f>
        <v>19968.805134646322</v>
      </c>
      <c r="M563" s="61">
        <f>$J$563-EFEITO!$K$563*EFEITO!$Y$563</f>
        <v>0</v>
      </c>
      <c r="N563" s="61">
        <f ca="1">$K$563-EFEITO!$M$563*EFEITO!$Z$563</f>
        <v>0</v>
      </c>
      <c r="O563" s="61">
        <f>$L$563-EFEITO!$O$563*EFEITO!$AA$563</f>
        <v>0</v>
      </c>
      <c r="P563" s="45"/>
      <c r="Q563" s="45"/>
      <c r="R563" s="45"/>
      <c r="S563" s="45"/>
      <c r="T563" s="45"/>
      <c r="U563" s="45"/>
      <c r="V563" s="45"/>
      <c r="W563" s="45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41" t="s">
        <v>27</v>
      </c>
      <c r="B564" s="41" t="s">
        <v>32</v>
      </c>
      <c r="C564" s="41" t="s">
        <v>23</v>
      </c>
      <c r="D564" s="41" t="s">
        <v>43</v>
      </c>
      <c r="E564" s="41" t="s">
        <v>25</v>
      </c>
      <c r="F564" s="41" t="s">
        <v>25</v>
      </c>
      <c r="G564" s="41" t="s">
        <v>25</v>
      </c>
      <c r="H564" s="41" t="s">
        <v>25</v>
      </c>
      <c r="I564" s="60">
        <v>44501</v>
      </c>
      <c r="J564" s="61">
        <f>EFEITO!$J$564*EFEITO!$Y$564</f>
        <v>0</v>
      </c>
      <c r="K564" s="61">
        <f ca="1">EFEITO!$L$564*EFEITO!$Z$564</f>
        <v>390.16297058286165</v>
      </c>
      <c r="L564" s="61">
        <f>EFEITO!$N$564*EFEITO!$AA$564</f>
        <v>237.48456737830406</v>
      </c>
      <c r="M564" s="61">
        <f>$J$564-EFEITO!$K$564*EFEITO!$Y$564</f>
        <v>0</v>
      </c>
      <c r="N564" s="61">
        <f ca="1">$K$564-EFEITO!$M$564*EFEITO!$Z$564</f>
        <v>0</v>
      </c>
      <c r="O564" s="61">
        <f>$L$564-EFEITO!$O$564*EFEITO!$AA$564</f>
        <v>0</v>
      </c>
      <c r="P564" s="45"/>
      <c r="Q564" s="45"/>
      <c r="R564" s="45"/>
      <c r="S564" s="45"/>
      <c r="T564" s="45"/>
      <c r="U564" s="45"/>
      <c r="V564" s="45"/>
      <c r="W564" s="45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41" t="s">
        <v>21</v>
      </c>
      <c r="B565" s="41" t="s">
        <v>32</v>
      </c>
      <c r="C565" s="41" t="s">
        <v>23</v>
      </c>
      <c r="D565" s="41" t="s">
        <v>43</v>
      </c>
      <c r="E565" s="41" t="s">
        <v>25</v>
      </c>
      <c r="F565" s="41" t="s">
        <v>25</v>
      </c>
      <c r="G565" s="41" t="s">
        <v>25</v>
      </c>
      <c r="H565" s="41" t="s">
        <v>25</v>
      </c>
      <c r="I565" s="60">
        <v>44531</v>
      </c>
      <c r="J565" s="61">
        <f>EFEITO!$J$565*EFEITO!$Y$565</f>
        <v>0</v>
      </c>
      <c r="K565" s="61">
        <f ca="1">EFEITO!$L$565*EFEITO!$Z$565</f>
        <v>41145.445167404003</v>
      </c>
      <c r="L565" s="61">
        <f>EFEITO!$N$565*EFEITO!$AA$565</f>
        <v>25044.427539013341</v>
      </c>
      <c r="M565" s="61">
        <f>$J$565-EFEITO!$K$565*EFEITO!$Y$565</f>
        <v>0</v>
      </c>
      <c r="N565" s="61">
        <f ca="1">$K$565-EFEITO!$M$565*EFEITO!$Z$565</f>
        <v>0</v>
      </c>
      <c r="O565" s="61">
        <f>$L$565-EFEITO!$O$565*EFEITO!$AA$565</f>
        <v>0</v>
      </c>
      <c r="P565" s="45"/>
      <c r="Q565" s="45"/>
      <c r="R565" s="45"/>
      <c r="S565" s="45"/>
      <c r="T565" s="45"/>
      <c r="U565" s="45"/>
      <c r="V565" s="45"/>
      <c r="W565" s="45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41" t="s">
        <v>27</v>
      </c>
      <c r="B566" s="41" t="s">
        <v>32</v>
      </c>
      <c r="C566" s="41" t="s">
        <v>23</v>
      </c>
      <c r="D566" s="41" t="s">
        <v>43</v>
      </c>
      <c r="E566" s="41" t="s">
        <v>25</v>
      </c>
      <c r="F566" s="41" t="s">
        <v>25</v>
      </c>
      <c r="G566" s="41" t="s">
        <v>25</v>
      </c>
      <c r="H566" s="41" t="s">
        <v>25</v>
      </c>
      <c r="I566" s="60">
        <v>44531</v>
      </c>
      <c r="J566" s="61">
        <f>EFEITO!$J$566*EFEITO!$Y$566</f>
        <v>0</v>
      </c>
      <c r="K566" s="61">
        <f ca="1">EFEITO!$L$566*EFEITO!$Z$566</f>
        <v>644.9247651593372</v>
      </c>
      <c r="L566" s="61">
        <f>EFEITO!$N$566*EFEITO!$AA$566</f>
        <v>392.55308779460904</v>
      </c>
      <c r="M566" s="61">
        <f>$J$566-EFEITO!$K$566*EFEITO!$Y$566</f>
        <v>0</v>
      </c>
      <c r="N566" s="61">
        <f ca="1">$K$566-EFEITO!$M$566*EFEITO!$Z$566</f>
        <v>0</v>
      </c>
      <c r="O566" s="61">
        <f>$L$566-EFEITO!$O$566*EFEITO!$AA$566</f>
        <v>0</v>
      </c>
      <c r="P566" s="45"/>
      <c r="Q566" s="45"/>
      <c r="R566" s="45"/>
      <c r="S566" s="45"/>
      <c r="T566" s="45"/>
      <c r="U566" s="45"/>
      <c r="V566" s="45"/>
      <c r="W566" s="45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41" t="s">
        <v>21</v>
      </c>
      <c r="B567" s="41" t="s">
        <v>32</v>
      </c>
      <c r="C567" s="41" t="s">
        <v>23</v>
      </c>
      <c r="D567" s="41" t="s">
        <v>43</v>
      </c>
      <c r="E567" s="41" t="s">
        <v>25</v>
      </c>
      <c r="F567" s="41" t="s">
        <v>25</v>
      </c>
      <c r="G567" s="41" t="s">
        <v>25</v>
      </c>
      <c r="H567" s="41" t="s">
        <v>25</v>
      </c>
      <c r="I567" s="60">
        <v>44562</v>
      </c>
      <c r="J567" s="61">
        <f>EFEITO!$J$567*EFEITO!$Y$567</f>
        <v>0</v>
      </c>
      <c r="K567" s="61">
        <f ca="1">EFEITO!$L$567*EFEITO!$Z$567</f>
        <v>36791.849166752683</v>
      </c>
      <c r="L567" s="61">
        <f>EFEITO!$N$567*EFEITO!$AA$567</f>
        <v>22394.478823454709</v>
      </c>
      <c r="M567" s="61">
        <f>$J$567-EFEITO!$K$567*EFEITO!$Y$567</f>
        <v>0</v>
      </c>
      <c r="N567" s="61">
        <f ca="1">$K$567-EFEITO!$M$567*EFEITO!$Z$567</f>
        <v>0</v>
      </c>
      <c r="O567" s="61">
        <f>$L$567-EFEITO!$O$567*EFEITO!$AA$567</f>
        <v>0</v>
      </c>
      <c r="P567" s="45"/>
      <c r="Q567" s="45"/>
      <c r="R567" s="45"/>
      <c r="S567" s="45"/>
      <c r="T567" s="45"/>
      <c r="U567" s="45"/>
      <c r="V567" s="45"/>
      <c r="W567" s="45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41" t="s">
        <v>27</v>
      </c>
      <c r="B568" s="41" t="s">
        <v>32</v>
      </c>
      <c r="C568" s="41" t="s">
        <v>23</v>
      </c>
      <c r="D568" s="41" t="s">
        <v>43</v>
      </c>
      <c r="E568" s="41" t="s">
        <v>25</v>
      </c>
      <c r="F568" s="41" t="s">
        <v>25</v>
      </c>
      <c r="G568" s="41" t="s">
        <v>25</v>
      </c>
      <c r="H568" s="41" t="s">
        <v>25</v>
      </c>
      <c r="I568" s="60">
        <v>44562</v>
      </c>
      <c r="J568" s="61">
        <f>EFEITO!$J$568*EFEITO!$Y$568</f>
        <v>0</v>
      </c>
      <c r="K568" s="61">
        <f ca="1">EFEITO!$L$568*EFEITO!$Z$568</f>
        <v>309.48840230031107</v>
      </c>
      <c r="L568" s="61">
        <f>EFEITO!$N$568*EFEITO!$AA$568</f>
        <v>188.37953591314084</v>
      </c>
      <c r="M568" s="61">
        <f>$J$568-EFEITO!$K$568*EFEITO!$Y$568</f>
        <v>0</v>
      </c>
      <c r="N568" s="61">
        <f ca="1">$K$568-EFEITO!$M$568*EFEITO!$Z$568</f>
        <v>0</v>
      </c>
      <c r="O568" s="61">
        <f>$L$568-EFEITO!$O$568*EFEITO!$AA$568</f>
        <v>0</v>
      </c>
      <c r="P568" s="45"/>
      <c r="Q568" s="45"/>
      <c r="R568" s="45"/>
      <c r="S568" s="45"/>
      <c r="T568" s="45"/>
      <c r="U568" s="45"/>
      <c r="V568" s="45"/>
      <c r="W568" s="45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41" t="s">
        <v>21</v>
      </c>
      <c r="B569" s="41" t="s">
        <v>32</v>
      </c>
      <c r="C569" s="41" t="s">
        <v>23</v>
      </c>
      <c r="D569" s="41" t="s">
        <v>43</v>
      </c>
      <c r="E569" s="41" t="s">
        <v>25</v>
      </c>
      <c r="F569" s="41" t="s">
        <v>25</v>
      </c>
      <c r="G569" s="41" t="s">
        <v>25</v>
      </c>
      <c r="H569" s="41" t="s">
        <v>25</v>
      </c>
      <c r="I569" s="60">
        <v>44593</v>
      </c>
      <c r="J569" s="61">
        <f>EFEITO!$J$569*EFEITO!$Y$569</f>
        <v>0</v>
      </c>
      <c r="K569" s="61">
        <f ca="1">EFEITO!$L$569*EFEITO!$Z$569</f>
        <v>41747.909633467265</v>
      </c>
      <c r="L569" s="61">
        <f>EFEITO!$N$569*EFEITO!$AA$569</f>
        <v>25411.135873405234</v>
      </c>
      <c r="M569" s="61">
        <f>$J$569-EFEITO!$K$569*EFEITO!$Y$569</f>
        <v>0</v>
      </c>
      <c r="N569" s="61">
        <f ca="1">$K$569-EFEITO!$M$569*EFEITO!$Z$569</f>
        <v>0</v>
      </c>
      <c r="O569" s="61">
        <f>$L$569-EFEITO!$O$569*EFEITO!$AA$569</f>
        <v>0</v>
      </c>
      <c r="P569" s="45"/>
      <c r="Q569" s="45"/>
      <c r="R569" s="45"/>
      <c r="S569" s="45"/>
      <c r="T569" s="45"/>
      <c r="U569" s="45"/>
      <c r="V569" s="45"/>
      <c r="W569" s="45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41" t="s">
        <v>27</v>
      </c>
      <c r="B570" s="41" t="s">
        <v>32</v>
      </c>
      <c r="C570" s="41" t="s">
        <v>23</v>
      </c>
      <c r="D570" s="41" t="s">
        <v>43</v>
      </c>
      <c r="E570" s="41" t="s">
        <v>25</v>
      </c>
      <c r="F570" s="41" t="s">
        <v>25</v>
      </c>
      <c r="G570" s="41" t="s">
        <v>25</v>
      </c>
      <c r="H570" s="41" t="s">
        <v>25</v>
      </c>
      <c r="I570" s="60">
        <v>44593</v>
      </c>
      <c r="J570" s="61">
        <f>EFEITO!$J$570*EFEITO!$Y$570</f>
        <v>0</v>
      </c>
      <c r="K570" s="61">
        <f ca="1">EFEITO!$L$570*EFEITO!$Z$570</f>
        <v>94.356220213509474</v>
      </c>
      <c r="L570" s="61">
        <f>EFEITO!$N$570*EFEITO!$AA$570</f>
        <v>57.432785339372209</v>
      </c>
      <c r="M570" s="61">
        <f>$J$570-EFEITO!$K$570*EFEITO!$Y$570</f>
        <v>0</v>
      </c>
      <c r="N570" s="61">
        <f ca="1">$K$570-EFEITO!$M$570*EFEITO!$Z$570</f>
        <v>0</v>
      </c>
      <c r="O570" s="61">
        <f>$L$570-EFEITO!$O$570*EFEITO!$AA$570</f>
        <v>0</v>
      </c>
      <c r="P570" s="45"/>
      <c r="Q570" s="45"/>
      <c r="R570" s="45"/>
      <c r="S570" s="45"/>
      <c r="T570" s="45"/>
      <c r="U570" s="45"/>
      <c r="V570" s="45"/>
      <c r="W570" s="45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41" t="s">
        <v>21</v>
      </c>
      <c r="B571" s="41" t="s">
        <v>32</v>
      </c>
      <c r="C571" s="41" t="s">
        <v>23</v>
      </c>
      <c r="D571" s="41" t="s">
        <v>43</v>
      </c>
      <c r="E571" s="41" t="s">
        <v>25</v>
      </c>
      <c r="F571" s="41" t="s">
        <v>25</v>
      </c>
      <c r="G571" s="41" t="s">
        <v>25</v>
      </c>
      <c r="H571" s="41" t="s">
        <v>25</v>
      </c>
      <c r="I571" s="60">
        <v>44621</v>
      </c>
      <c r="J571" s="61">
        <f>EFEITO!$J$571*EFEITO!$Y$571</f>
        <v>0</v>
      </c>
      <c r="K571" s="61">
        <f ca="1">EFEITO!$L$571*EFEITO!$Z$571</f>
        <v>51476.979499682224</v>
      </c>
      <c r="L571" s="61">
        <f>EFEITO!$N$571*EFEITO!$AA$571</f>
        <v>31333.030369747899</v>
      </c>
      <c r="M571" s="61">
        <f>$J$571-EFEITO!$K$571*EFEITO!$Y$571</f>
        <v>0</v>
      </c>
      <c r="N571" s="61">
        <f ca="1">$K$571-EFEITO!$M$571*EFEITO!$Z$571</f>
        <v>0</v>
      </c>
      <c r="O571" s="61">
        <f>$L$571-EFEITO!$O$571*EFEITO!$AA$571</f>
        <v>0</v>
      </c>
      <c r="P571" s="45"/>
      <c r="Q571" s="45"/>
      <c r="R571" s="45"/>
      <c r="S571" s="45"/>
      <c r="T571" s="45"/>
      <c r="U571" s="45"/>
      <c r="V571" s="45"/>
      <c r="W571" s="45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41" t="s">
        <v>27</v>
      </c>
      <c r="B572" s="41" t="s">
        <v>32</v>
      </c>
      <c r="C572" s="41" t="s">
        <v>23</v>
      </c>
      <c r="D572" s="41" t="s">
        <v>43</v>
      </c>
      <c r="E572" s="41" t="s">
        <v>25</v>
      </c>
      <c r="F572" s="41" t="s">
        <v>25</v>
      </c>
      <c r="G572" s="41" t="s">
        <v>25</v>
      </c>
      <c r="H572" s="41" t="s">
        <v>25</v>
      </c>
      <c r="I572" s="60">
        <v>44621</v>
      </c>
      <c r="J572" s="61">
        <f>EFEITO!$J$572*EFEITO!$Y$572</f>
        <v>0</v>
      </c>
      <c r="K572" s="61">
        <f ca="1">EFEITO!$L$572*EFEITO!$Z$572</f>
        <v>758.62401051661618</v>
      </c>
      <c r="L572" s="61">
        <f>EFEITO!$N$572*EFEITO!$AA$572</f>
        <v>461.75959412855258</v>
      </c>
      <c r="M572" s="61">
        <f>$J$572-EFEITO!$K$572*EFEITO!$Y$572</f>
        <v>0</v>
      </c>
      <c r="N572" s="61">
        <f ca="1">$K$572-EFEITO!$M$572*EFEITO!$Z$572</f>
        <v>0</v>
      </c>
      <c r="O572" s="61">
        <f>$L$572-EFEITO!$O$572*EFEITO!$AA$572</f>
        <v>0</v>
      </c>
      <c r="P572" s="45"/>
      <c r="Q572" s="45"/>
      <c r="R572" s="45"/>
      <c r="S572" s="45"/>
      <c r="T572" s="45"/>
      <c r="U572" s="45"/>
      <c r="V572" s="45"/>
      <c r="W572" s="45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41" t="s">
        <v>21</v>
      </c>
      <c r="B573" s="41" t="s">
        <v>32</v>
      </c>
      <c r="C573" s="41" t="s">
        <v>23</v>
      </c>
      <c r="D573" s="41" t="s">
        <v>43</v>
      </c>
      <c r="E573" s="41" t="s">
        <v>25</v>
      </c>
      <c r="F573" s="41" t="s">
        <v>25</v>
      </c>
      <c r="G573" s="41" t="s">
        <v>25</v>
      </c>
      <c r="H573" s="41" t="s">
        <v>25</v>
      </c>
      <c r="I573" s="60">
        <v>44652</v>
      </c>
      <c r="J573" s="61">
        <f>EFEITO!$J$573*EFEITO!$Y$573</f>
        <v>0</v>
      </c>
      <c r="K573" s="61">
        <f ca="1">EFEITO!$L$573*EFEITO!$Z$573</f>
        <v>50746.662355229659</v>
      </c>
      <c r="L573" s="61">
        <f>EFEITO!$N$573*EFEITO!$AA$573</f>
        <v>30888.500611221159</v>
      </c>
      <c r="M573" s="61">
        <f>$J$573-EFEITO!$K$573*EFEITO!$Y$573</f>
        <v>0</v>
      </c>
      <c r="N573" s="61">
        <f ca="1">$K$573-EFEITO!$M$573*EFEITO!$Z$573</f>
        <v>0</v>
      </c>
      <c r="O573" s="61">
        <f>$L$573-EFEITO!$O$573*EFEITO!$AA$573</f>
        <v>0</v>
      </c>
      <c r="P573" s="45"/>
      <c r="Q573" s="45"/>
      <c r="R573" s="45"/>
      <c r="S573" s="45"/>
      <c r="T573" s="45"/>
      <c r="U573" s="45"/>
      <c r="V573" s="45"/>
      <c r="W573" s="45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41" t="s">
        <v>27</v>
      </c>
      <c r="B574" s="41" t="s">
        <v>32</v>
      </c>
      <c r="C574" s="41" t="s">
        <v>23</v>
      </c>
      <c r="D574" s="41" t="s">
        <v>43</v>
      </c>
      <c r="E574" s="41" t="s">
        <v>25</v>
      </c>
      <c r="F574" s="41" t="s">
        <v>25</v>
      </c>
      <c r="G574" s="41" t="s">
        <v>25</v>
      </c>
      <c r="H574" s="41" t="s">
        <v>25</v>
      </c>
      <c r="I574" s="60">
        <v>44652</v>
      </c>
      <c r="J574" s="61">
        <f>EFEITO!$J$574*EFEITO!$Y$574</f>
        <v>0</v>
      </c>
      <c r="K574" s="61">
        <f ca="1">EFEITO!$L$574*EFEITO!$Z$574</f>
        <v>743.52701528245461</v>
      </c>
      <c r="L574" s="61">
        <f>EFEITO!$N$574*EFEITO!$AA$574</f>
        <v>452.57034847425302</v>
      </c>
      <c r="M574" s="61">
        <f>$J$574-EFEITO!$K$574*EFEITO!$Y$574</f>
        <v>0</v>
      </c>
      <c r="N574" s="61">
        <f ca="1">$K$574-EFEITO!$M$574*EFEITO!$Z$574</f>
        <v>0</v>
      </c>
      <c r="O574" s="61">
        <f>$L$574-EFEITO!$O$574*EFEITO!$AA$574</f>
        <v>0</v>
      </c>
      <c r="P574" s="45"/>
      <c r="Q574" s="45"/>
      <c r="R574" s="45"/>
      <c r="S574" s="45"/>
      <c r="T574" s="45"/>
      <c r="U574" s="45"/>
      <c r="V574" s="45"/>
      <c r="W574" s="45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41" t="s">
        <v>21</v>
      </c>
      <c r="B575" s="41" t="s">
        <v>32</v>
      </c>
      <c r="C575" s="41" t="s">
        <v>23</v>
      </c>
      <c r="D575" s="41" t="s">
        <v>43</v>
      </c>
      <c r="E575" s="41" t="s">
        <v>25</v>
      </c>
      <c r="F575" s="41" t="s">
        <v>25</v>
      </c>
      <c r="G575" s="41" t="s">
        <v>25</v>
      </c>
      <c r="H575" s="41" t="s">
        <v>25</v>
      </c>
      <c r="I575" s="60">
        <v>44682</v>
      </c>
      <c r="J575" s="61">
        <f>EFEITO!$J$575*EFEITO!$Y$575</f>
        <v>0</v>
      </c>
      <c r="K575" s="61">
        <f ca="1">EFEITO!$L$575*EFEITO!$Z$575</f>
        <v>33138.37632008559</v>
      </c>
      <c r="L575" s="61">
        <f>EFEITO!$N$575*EFEITO!$AA$575</f>
        <v>20170.681375114214</v>
      </c>
      <c r="M575" s="61">
        <f>$J$575-EFEITO!$K$575*EFEITO!$Y$575</f>
        <v>0</v>
      </c>
      <c r="N575" s="61">
        <f ca="1">$K$575-EFEITO!$M$575*EFEITO!$Z$575</f>
        <v>0</v>
      </c>
      <c r="O575" s="61">
        <f>$L$575-EFEITO!$O$575*EFEITO!$AA$575</f>
        <v>0</v>
      </c>
      <c r="P575" s="45"/>
      <c r="Q575" s="45"/>
      <c r="R575" s="45"/>
      <c r="S575" s="45"/>
      <c r="T575" s="45"/>
      <c r="U575" s="45"/>
      <c r="V575" s="45"/>
      <c r="W575" s="45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41" t="s">
        <v>27</v>
      </c>
      <c r="B576" s="41" t="s">
        <v>32</v>
      </c>
      <c r="C576" s="41" t="s">
        <v>23</v>
      </c>
      <c r="D576" s="41" t="s">
        <v>43</v>
      </c>
      <c r="E576" s="41" t="s">
        <v>25</v>
      </c>
      <c r="F576" s="41" t="s">
        <v>25</v>
      </c>
      <c r="G576" s="41" t="s">
        <v>25</v>
      </c>
      <c r="H576" s="41" t="s">
        <v>25</v>
      </c>
      <c r="I576" s="60">
        <v>44682</v>
      </c>
      <c r="J576" s="61">
        <f>EFEITO!$J$576*EFEITO!$Y$576</f>
        <v>0</v>
      </c>
      <c r="K576" s="61">
        <f ca="1">EFEITO!$L$576*EFEITO!$Z$576</f>
        <v>94.356220213509474</v>
      </c>
      <c r="L576" s="61">
        <f>EFEITO!$N$576*EFEITO!$AA$576</f>
        <v>57.432785339372209</v>
      </c>
      <c r="M576" s="61">
        <f>$J$576-EFEITO!$K$576*EFEITO!$Y$576</f>
        <v>0</v>
      </c>
      <c r="N576" s="61">
        <f ca="1">$K$576-EFEITO!$M$576*EFEITO!$Z$576</f>
        <v>0</v>
      </c>
      <c r="O576" s="61">
        <f>$L$576-EFEITO!$O$576*EFEITO!$AA$576</f>
        <v>0</v>
      </c>
      <c r="P576" s="45"/>
      <c r="Q576" s="45"/>
      <c r="R576" s="45"/>
      <c r="S576" s="45"/>
      <c r="T576" s="45"/>
      <c r="U576" s="45"/>
      <c r="V576" s="45"/>
      <c r="W576" s="45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41" t="s">
        <v>21</v>
      </c>
      <c r="B577" s="41" t="s">
        <v>32</v>
      </c>
      <c r="C577" s="41" t="s">
        <v>23</v>
      </c>
      <c r="D577" s="41" t="s">
        <v>43</v>
      </c>
      <c r="E577" s="41" t="s">
        <v>25</v>
      </c>
      <c r="F577" s="41" t="s">
        <v>25</v>
      </c>
      <c r="G577" s="41" t="s">
        <v>25</v>
      </c>
      <c r="H577" s="41" t="s">
        <v>25</v>
      </c>
      <c r="I577" s="60">
        <v>44713</v>
      </c>
      <c r="J577" s="61">
        <f>EFEITO!$J$577*EFEITO!$Y$577</f>
        <v>0</v>
      </c>
      <c r="K577" s="61">
        <f ca="1">EFEITO!$L$577*EFEITO!$Z$577</f>
        <v>32550.53706815543</v>
      </c>
      <c r="L577" s="61">
        <f>EFEITO!$N$577*EFEITO!$AA$577</f>
        <v>19812.875122449928</v>
      </c>
      <c r="M577" s="61">
        <f>$J$577-EFEITO!$K$577*EFEITO!$Y$577</f>
        <v>0</v>
      </c>
      <c r="N577" s="61">
        <f ca="1">$K$577-EFEITO!$M$577*EFEITO!$Z$577</f>
        <v>0</v>
      </c>
      <c r="O577" s="61">
        <f>$L$577-EFEITO!$O$577*EFEITO!$AA$577</f>
        <v>0</v>
      </c>
      <c r="P577" s="45"/>
      <c r="Q577" s="45"/>
      <c r="R577" s="45"/>
      <c r="S577" s="45"/>
      <c r="T577" s="45"/>
      <c r="U577" s="45"/>
      <c r="V577" s="45"/>
      <c r="W577" s="45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41" t="s">
        <v>27</v>
      </c>
      <c r="B578" s="41" t="s">
        <v>32</v>
      </c>
      <c r="C578" s="41" t="s">
        <v>23</v>
      </c>
      <c r="D578" s="41" t="s">
        <v>43</v>
      </c>
      <c r="E578" s="41" t="s">
        <v>25</v>
      </c>
      <c r="F578" s="41" t="s">
        <v>25</v>
      </c>
      <c r="G578" s="41" t="s">
        <v>25</v>
      </c>
      <c r="H578" s="41" t="s">
        <v>25</v>
      </c>
      <c r="I578" s="60">
        <v>44713</v>
      </c>
      <c r="J578" s="61">
        <f>EFEITO!$J$578*EFEITO!$Y$578</f>
        <v>0</v>
      </c>
      <c r="K578" s="61">
        <f ca="1">EFEITO!$L$578*EFEITO!$Z$578</f>
        <v>297.22209367255482</v>
      </c>
      <c r="L578" s="61">
        <f>EFEITO!$N$578*EFEITO!$AA$578</f>
        <v>180.91327381902246</v>
      </c>
      <c r="M578" s="61">
        <f>$J$578-EFEITO!$K$578*EFEITO!$Y$578</f>
        <v>0</v>
      </c>
      <c r="N578" s="61">
        <f ca="1">$K$578-EFEITO!$M$578*EFEITO!$Z$578</f>
        <v>0</v>
      </c>
      <c r="O578" s="61">
        <f>$L$578-EFEITO!$O$578*EFEITO!$AA$578</f>
        <v>0</v>
      </c>
      <c r="P578" s="45"/>
      <c r="Q578" s="45"/>
      <c r="R578" s="45"/>
      <c r="S578" s="45"/>
      <c r="T578" s="45"/>
      <c r="U578" s="45"/>
      <c r="V578" s="45"/>
      <c r="W578" s="45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41" t="s">
        <v>21</v>
      </c>
      <c r="B579" s="41" t="s">
        <v>32</v>
      </c>
      <c r="C579" s="41" t="s">
        <v>23</v>
      </c>
      <c r="D579" s="41" t="s">
        <v>43</v>
      </c>
      <c r="E579" s="41" t="s">
        <v>25</v>
      </c>
      <c r="F579" s="41" t="s">
        <v>25</v>
      </c>
      <c r="G579" s="41" t="s">
        <v>25</v>
      </c>
      <c r="H579" s="41" t="s">
        <v>25</v>
      </c>
      <c r="I579" s="60">
        <v>44743</v>
      </c>
      <c r="J579" s="61">
        <f>EFEITO!$J$579*EFEITO!$Y$579</f>
        <v>0</v>
      </c>
      <c r="K579" s="61">
        <f ca="1">EFEITO!$L$579*EFEITO!$Z$579</f>
        <v>33088.839304473498</v>
      </c>
      <c r="L579" s="61">
        <f>EFEITO!$N$579*EFEITO!$AA$579</f>
        <v>20140.529162811046</v>
      </c>
      <c r="M579" s="61">
        <f>$J$579-EFEITO!$K$579*EFEITO!$Y$579</f>
        <v>0</v>
      </c>
      <c r="N579" s="61">
        <f ca="1">$K$579-EFEITO!$M$579*EFEITO!$Z$579</f>
        <v>0</v>
      </c>
      <c r="O579" s="61">
        <f>$L$579-EFEITO!$O$579*EFEITO!$AA$579</f>
        <v>0</v>
      </c>
      <c r="P579" s="45"/>
      <c r="Q579" s="45"/>
      <c r="R579" s="45"/>
      <c r="S579" s="45"/>
      <c r="T579" s="45"/>
      <c r="U579" s="45"/>
      <c r="V579" s="45"/>
      <c r="W579" s="45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41" t="s">
        <v>27</v>
      </c>
      <c r="B580" s="41" t="s">
        <v>32</v>
      </c>
      <c r="C580" s="41" t="s">
        <v>23</v>
      </c>
      <c r="D580" s="41" t="s">
        <v>43</v>
      </c>
      <c r="E580" s="41" t="s">
        <v>25</v>
      </c>
      <c r="F580" s="41" t="s">
        <v>25</v>
      </c>
      <c r="G580" s="41" t="s">
        <v>25</v>
      </c>
      <c r="H580" s="41" t="s">
        <v>25</v>
      </c>
      <c r="I580" s="60">
        <v>44743</v>
      </c>
      <c r="J580" s="61">
        <f>EFEITO!$J$580*EFEITO!$Y$580</f>
        <v>0</v>
      </c>
      <c r="K580" s="61">
        <f ca="1">EFEITO!$L$580*EFEITO!$Z$580</f>
        <v>321.75471092806731</v>
      </c>
      <c r="L580" s="61">
        <f>EFEITO!$N$580*EFEITO!$AA$580</f>
        <v>195.84579800725925</v>
      </c>
      <c r="M580" s="61">
        <f>$J$580-EFEITO!$K$580*EFEITO!$Y$580</f>
        <v>0</v>
      </c>
      <c r="N580" s="61">
        <f ca="1">$K$580-EFEITO!$M$580*EFEITO!$Z$580</f>
        <v>0</v>
      </c>
      <c r="O580" s="61">
        <f>$L$580-EFEITO!$O$580*EFEITO!$AA$580</f>
        <v>0</v>
      </c>
      <c r="P580" s="45"/>
      <c r="Q580" s="45"/>
      <c r="R580" s="45"/>
      <c r="S580" s="45"/>
      <c r="T580" s="45"/>
      <c r="U580" s="45"/>
      <c r="V580" s="45"/>
      <c r="W580" s="45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41" t="s">
        <v>21</v>
      </c>
      <c r="B581" s="41" t="s">
        <v>32</v>
      </c>
      <c r="C581" s="41" t="s">
        <v>23</v>
      </c>
      <c r="D581" s="41" t="s">
        <v>47</v>
      </c>
      <c r="E581" s="41" t="s">
        <v>48</v>
      </c>
      <c r="F581" s="41" t="s">
        <v>25</v>
      </c>
      <c r="G581" s="41" t="s">
        <v>25</v>
      </c>
      <c r="H581" s="41" t="s">
        <v>25</v>
      </c>
      <c r="I581" s="60">
        <v>44409</v>
      </c>
      <c r="J581" s="61">
        <f>EFEITO!$J$581*EFEITO!$Y$580</f>
        <v>0</v>
      </c>
      <c r="K581" s="61">
        <f ca="1">EFEITO!$L$581*EFEITO!$Z$580</f>
        <v>16869.476830872289</v>
      </c>
      <c r="L581" s="61">
        <f>EFEITO!$N$581*EFEITO!$AA$580</f>
        <v>10268.12052689966</v>
      </c>
      <c r="M581" s="61">
        <f>$J$581-EFEITO!$K$581*EFEITO!$Y$581</f>
        <v>0</v>
      </c>
      <c r="N581" s="61">
        <f ca="1">$K$581-EFEITO!$M$581*EFEITO!$Z$581</f>
        <v>506.08430492616753</v>
      </c>
      <c r="O581" s="61">
        <f>$L$581-EFEITO!$O$581*EFEITO!$AA$581</f>
        <v>308.04361580699151</v>
      </c>
      <c r="P581" s="45"/>
      <c r="Q581" s="45"/>
      <c r="R581" s="45"/>
      <c r="S581" s="45"/>
      <c r="T581" s="45"/>
      <c r="U581" s="45"/>
      <c r="V581" s="45"/>
      <c r="W581" s="45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41" t="s">
        <v>21</v>
      </c>
      <c r="B582" s="41" t="s">
        <v>32</v>
      </c>
      <c r="C582" s="41" t="s">
        <v>23</v>
      </c>
      <c r="D582" s="41" t="s">
        <v>47</v>
      </c>
      <c r="E582" s="41" t="s">
        <v>48</v>
      </c>
      <c r="F582" s="41" t="s">
        <v>25</v>
      </c>
      <c r="G582" s="41" t="s">
        <v>25</v>
      </c>
      <c r="H582" s="41" t="s">
        <v>25</v>
      </c>
      <c r="I582" s="60">
        <v>44440</v>
      </c>
      <c r="J582" s="61">
        <f>EFEITO!$J$582*EFEITO!$Y$580</f>
        <v>0</v>
      </c>
      <c r="K582" s="61">
        <f ca="1">EFEITO!$L$582*EFEITO!$Z$580</f>
        <v>19886.04519109819</v>
      </c>
      <c r="L582" s="61">
        <f>EFEITO!$N$582*EFEITO!$AA$580</f>
        <v>12104.24667419939</v>
      </c>
      <c r="M582" s="61">
        <f>$J$582-EFEITO!$K$582*EFEITO!$Y$582</f>
        <v>0</v>
      </c>
      <c r="N582" s="61">
        <f ca="1">$K$582-EFEITO!$M$582*EFEITO!$Z$582</f>
        <v>596.58135573294567</v>
      </c>
      <c r="O582" s="61">
        <f>$L$582-EFEITO!$O$582*EFEITO!$AA$582</f>
        <v>363.12740022598337</v>
      </c>
      <c r="P582" s="45"/>
      <c r="Q582" s="45"/>
      <c r="R582" s="45"/>
      <c r="S582" s="45"/>
      <c r="T582" s="45"/>
      <c r="U582" s="45"/>
      <c r="V582" s="45"/>
      <c r="W582" s="45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41" t="s">
        <v>21</v>
      </c>
      <c r="B583" s="41" t="s">
        <v>32</v>
      </c>
      <c r="C583" s="41" t="s">
        <v>23</v>
      </c>
      <c r="D583" s="41" t="s">
        <v>47</v>
      </c>
      <c r="E583" s="41" t="s">
        <v>48</v>
      </c>
      <c r="F583" s="41" t="s">
        <v>25</v>
      </c>
      <c r="G583" s="41" t="s">
        <v>25</v>
      </c>
      <c r="H583" s="41" t="s">
        <v>25</v>
      </c>
      <c r="I583" s="60">
        <v>44470</v>
      </c>
      <c r="J583" s="61">
        <f>EFEITO!$J$583*EFEITO!$Y$580</f>
        <v>0</v>
      </c>
      <c r="K583" s="61">
        <f ca="1">EFEITO!$L$583*EFEITO!$Z$580</f>
        <v>18656.111860615092</v>
      </c>
      <c r="L583" s="61">
        <f>EFEITO!$N$583*EFEITO!$AA$580</f>
        <v>11355.610317300672</v>
      </c>
      <c r="M583" s="61">
        <f>$J$583-EFEITO!$K$583*EFEITO!$Y$583</f>
        <v>0</v>
      </c>
      <c r="N583" s="61">
        <f ca="1">$K$583-EFEITO!$M$583*EFEITO!$Z$583</f>
        <v>559.68335581845531</v>
      </c>
      <c r="O583" s="61">
        <f>$L$583-EFEITO!$O$583*EFEITO!$AA$583</f>
        <v>340.66830951902193</v>
      </c>
      <c r="P583" s="45"/>
      <c r="Q583" s="45"/>
      <c r="R583" s="45"/>
      <c r="S583" s="45"/>
      <c r="T583" s="45"/>
      <c r="U583" s="45"/>
      <c r="V583" s="45"/>
      <c r="W583" s="45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41" t="s">
        <v>21</v>
      </c>
      <c r="B584" s="41" t="s">
        <v>32</v>
      </c>
      <c r="C584" s="41" t="s">
        <v>23</v>
      </c>
      <c r="D584" s="41" t="s">
        <v>47</v>
      </c>
      <c r="E584" s="41" t="s">
        <v>48</v>
      </c>
      <c r="F584" s="41" t="s">
        <v>25</v>
      </c>
      <c r="G584" s="41" t="s">
        <v>25</v>
      </c>
      <c r="H584" s="41" t="s">
        <v>25</v>
      </c>
      <c r="I584" s="60">
        <v>44501</v>
      </c>
      <c r="J584" s="61">
        <f>EFEITO!$J$584*EFEITO!$Y$580</f>
        <v>0</v>
      </c>
      <c r="K584" s="61">
        <f ca="1">EFEITO!$L$584*EFEITO!$Z$580</f>
        <v>17893.241820188869</v>
      </c>
      <c r="L584" s="61">
        <f>EFEITO!$N$584*EFEITO!$AA$580</f>
        <v>10891.266247831849</v>
      </c>
      <c r="M584" s="61">
        <f>$J$584-EFEITO!$K$584*EFEITO!$Y$584</f>
        <v>0</v>
      </c>
      <c r="N584" s="61">
        <f ca="1">$K$584-EFEITO!$M$584*EFEITO!$Z$584</f>
        <v>536.79725460566624</v>
      </c>
      <c r="O584" s="61">
        <f>$L$584-EFEITO!$O$584*EFEITO!$AA$584</f>
        <v>326.73798743495718</v>
      </c>
      <c r="P584" s="45"/>
      <c r="Q584" s="45"/>
      <c r="R584" s="45"/>
      <c r="S584" s="45"/>
      <c r="T584" s="45"/>
      <c r="U584" s="45"/>
      <c r="V584" s="45"/>
      <c r="W584" s="45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41" t="s">
        <v>21</v>
      </c>
      <c r="B585" s="41" t="s">
        <v>32</v>
      </c>
      <c r="C585" s="41" t="s">
        <v>23</v>
      </c>
      <c r="D585" s="41" t="s">
        <v>47</v>
      </c>
      <c r="E585" s="41" t="s">
        <v>48</v>
      </c>
      <c r="F585" s="41" t="s">
        <v>25</v>
      </c>
      <c r="G585" s="41" t="s">
        <v>25</v>
      </c>
      <c r="H585" s="41" t="s">
        <v>25</v>
      </c>
      <c r="I585" s="60">
        <v>44531</v>
      </c>
      <c r="J585" s="61">
        <f>EFEITO!$J$585*EFEITO!$Y$580</f>
        <v>0</v>
      </c>
      <c r="K585" s="61">
        <f ca="1">EFEITO!$L$585*EFEITO!$Z$580</f>
        <v>20279.982410489589</v>
      </c>
      <c r="L585" s="61">
        <f>EFEITO!$N$585*EFEITO!$AA$580</f>
        <v>12344.028552991267</v>
      </c>
      <c r="M585" s="61">
        <f>$J$585-EFEITO!$K$585*EFEITO!$Y$585</f>
        <v>0</v>
      </c>
      <c r="N585" s="61">
        <f ca="1">$K$585-EFEITO!$M$585*EFEITO!$Z$585</f>
        <v>608.39947231468977</v>
      </c>
      <c r="O585" s="61">
        <f>$L$585-EFEITO!$O$585*EFEITO!$AA$585</f>
        <v>370.32085658973847</v>
      </c>
      <c r="P585" s="45"/>
      <c r="Q585" s="45"/>
      <c r="R585" s="45"/>
      <c r="S585" s="45"/>
      <c r="T585" s="45"/>
      <c r="U585" s="45"/>
      <c r="V585" s="45"/>
      <c r="W585" s="45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41" t="s">
        <v>21</v>
      </c>
      <c r="B586" s="41" t="s">
        <v>32</v>
      </c>
      <c r="C586" s="41" t="s">
        <v>23</v>
      </c>
      <c r="D586" s="41" t="s">
        <v>47</v>
      </c>
      <c r="E586" s="41" t="s">
        <v>48</v>
      </c>
      <c r="F586" s="41" t="s">
        <v>25</v>
      </c>
      <c r="G586" s="41" t="s">
        <v>25</v>
      </c>
      <c r="H586" s="41" t="s">
        <v>25</v>
      </c>
      <c r="I586" s="60">
        <v>44562</v>
      </c>
      <c r="J586" s="61">
        <f>EFEITO!$J$586*EFEITO!$Y$580</f>
        <v>0</v>
      </c>
      <c r="K586" s="61">
        <f ca="1">EFEITO!$L$586*EFEITO!$Z$580</f>
        <v>22255.801661760477</v>
      </c>
      <c r="L586" s="61">
        <f>EFEITO!$N$586*EFEITO!$AA$580</f>
        <v>13546.671077997722</v>
      </c>
      <c r="M586" s="61">
        <f>$J$586-EFEITO!$K$586*EFEITO!$Y$586</f>
        <v>0</v>
      </c>
      <c r="N586" s="61">
        <f ca="1">$K$586-EFEITO!$M$586*EFEITO!$Z$586</f>
        <v>667.67404985281246</v>
      </c>
      <c r="O586" s="61">
        <f>$L$586-EFEITO!$O$586*EFEITO!$AA$586</f>
        <v>406.40013233993159</v>
      </c>
      <c r="P586" s="45"/>
      <c r="Q586" s="45"/>
      <c r="R586" s="45"/>
      <c r="S586" s="45"/>
      <c r="T586" s="45"/>
      <c r="U586" s="45"/>
      <c r="V586" s="45"/>
      <c r="W586" s="45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41" t="s">
        <v>21</v>
      </c>
      <c r="B587" s="41" t="s">
        <v>32</v>
      </c>
      <c r="C587" s="41" t="s">
        <v>23</v>
      </c>
      <c r="D587" s="41" t="s">
        <v>47</v>
      </c>
      <c r="E587" s="41" t="s">
        <v>48</v>
      </c>
      <c r="F587" s="41" t="s">
        <v>25</v>
      </c>
      <c r="G587" s="41" t="s">
        <v>25</v>
      </c>
      <c r="H587" s="41" t="s">
        <v>25</v>
      </c>
      <c r="I587" s="60">
        <v>44593</v>
      </c>
      <c r="J587" s="61">
        <f>EFEITO!$J$587*EFEITO!$Y$580</f>
        <v>0</v>
      </c>
      <c r="K587" s="61">
        <f ca="1">EFEITO!$L$587*EFEITO!$Z$580</f>
        <v>24422.220477862655</v>
      </c>
      <c r="L587" s="61">
        <f>EFEITO!$N$587*EFEITO!$AA$580</f>
        <v>14865.327829389707</v>
      </c>
      <c r="M587" s="61">
        <f>$J$587-EFEITO!$K$587*EFEITO!$Y$587</f>
        <v>0</v>
      </c>
      <c r="N587" s="61">
        <f ca="1">$K$587-EFEITO!$M$587*EFEITO!$Z$587</f>
        <v>732.6666143358816</v>
      </c>
      <c r="O587" s="61">
        <f>$L$587-EFEITO!$O$587*EFEITO!$AA$587</f>
        <v>445.95983488169259</v>
      </c>
      <c r="P587" s="45"/>
      <c r="Q587" s="45"/>
      <c r="R587" s="45"/>
      <c r="S587" s="45"/>
      <c r="T587" s="45"/>
      <c r="U587" s="45"/>
      <c r="V587" s="45"/>
      <c r="W587" s="45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41" t="s">
        <v>21</v>
      </c>
      <c r="B588" s="41" t="s">
        <v>32</v>
      </c>
      <c r="C588" s="41" t="s">
        <v>23</v>
      </c>
      <c r="D588" s="41" t="s">
        <v>47</v>
      </c>
      <c r="E588" s="41" t="s">
        <v>48</v>
      </c>
      <c r="F588" s="41" t="s">
        <v>25</v>
      </c>
      <c r="G588" s="41" t="s">
        <v>25</v>
      </c>
      <c r="H588" s="41" t="s">
        <v>25</v>
      </c>
      <c r="I588" s="60">
        <v>44621</v>
      </c>
      <c r="J588" s="61">
        <f>EFEITO!$J$588*EFEITO!$Y$580</f>
        <v>0</v>
      </c>
      <c r="K588" s="61">
        <f ca="1">EFEITO!$L$588*EFEITO!$Z$580</f>
        <v>20495.114592576392</v>
      </c>
      <c r="L588" s="61">
        <f>EFEITO!$N$588*EFEITO!$AA$580</f>
        <v>12474.975303565037</v>
      </c>
      <c r="M588" s="61">
        <f>$J$588-EFEITO!$K$588*EFEITO!$Y$588</f>
        <v>0</v>
      </c>
      <c r="N588" s="61">
        <f ca="1">$K$588-EFEITO!$M$588*EFEITO!$Z$588</f>
        <v>614.85343777729213</v>
      </c>
      <c r="O588" s="61">
        <f>$L$588-EFEITO!$O$588*EFEITO!$AA$588</f>
        <v>374.2492591069531</v>
      </c>
      <c r="P588" s="45"/>
      <c r="Q588" s="45"/>
      <c r="R588" s="45"/>
      <c r="S588" s="45"/>
      <c r="T588" s="45"/>
      <c r="U588" s="45"/>
      <c r="V588" s="45"/>
      <c r="W588" s="45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41" t="s">
        <v>21</v>
      </c>
      <c r="B589" s="41" t="s">
        <v>32</v>
      </c>
      <c r="C589" s="41" t="s">
        <v>23</v>
      </c>
      <c r="D589" s="41" t="s">
        <v>47</v>
      </c>
      <c r="E589" s="41" t="s">
        <v>48</v>
      </c>
      <c r="F589" s="41" t="s">
        <v>25</v>
      </c>
      <c r="G589" s="41" t="s">
        <v>25</v>
      </c>
      <c r="H589" s="41" t="s">
        <v>25</v>
      </c>
      <c r="I589" s="60">
        <v>44652</v>
      </c>
      <c r="J589" s="61">
        <f>EFEITO!$J$589*EFEITO!$Y$580</f>
        <v>0</v>
      </c>
      <c r="K589" s="61">
        <f ca="1">EFEITO!$L$589*EFEITO!$Z$580</f>
        <v>20708.831431359991</v>
      </c>
      <c r="L589" s="61">
        <f>EFEITO!$N$589*EFEITO!$AA$580</f>
        <v>12605.060562358716</v>
      </c>
      <c r="M589" s="61">
        <f>$J$589-EFEITO!$K$589*EFEITO!$Y$589</f>
        <v>0</v>
      </c>
      <c r="N589" s="61">
        <f ca="1">$K$589-EFEITO!$M$589*EFEITO!$Z$589</f>
        <v>621.26494294080112</v>
      </c>
      <c r="O589" s="61">
        <f>$L$589-EFEITO!$O$589*EFEITO!$AA$589</f>
        <v>378.15181687076256</v>
      </c>
      <c r="P589" s="45"/>
      <c r="Q589" s="45"/>
      <c r="R589" s="45"/>
      <c r="S589" s="45"/>
      <c r="T589" s="45"/>
      <c r="U589" s="45"/>
      <c r="V589" s="45"/>
      <c r="W589" s="45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41" t="s">
        <v>21</v>
      </c>
      <c r="B590" s="41" t="s">
        <v>32</v>
      </c>
      <c r="C590" s="41" t="s">
        <v>23</v>
      </c>
      <c r="D590" s="41" t="s">
        <v>47</v>
      </c>
      <c r="E590" s="41" t="s">
        <v>48</v>
      </c>
      <c r="F590" s="41" t="s">
        <v>25</v>
      </c>
      <c r="G590" s="41" t="s">
        <v>25</v>
      </c>
      <c r="H590" s="41" t="s">
        <v>25</v>
      </c>
      <c r="I590" s="60">
        <v>44682</v>
      </c>
      <c r="J590" s="61">
        <f>EFEITO!$J$590*EFEITO!$Y$580</f>
        <v>0</v>
      </c>
      <c r="K590" s="61">
        <f ca="1">EFEITO!$L$590*EFEITO!$Z$580</f>
        <v>19250.556047960203</v>
      </c>
      <c r="L590" s="61">
        <f>EFEITO!$N$590*EFEITO!$AA$580</f>
        <v>11717.436864938718</v>
      </c>
      <c r="M590" s="61">
        <f>$J$590-EFEITO!$K$590*EFEITO!$Y$590</f>
        <v>0</v>
      </c>
      <c r="N590" s="61">
        <f ca="1">$K$590-EFEITO!$M$590*EFEITO!$Z$590</f>
        <v>577.5166814388067</v>
      </c>
      <c r="O590" s="61">
        <f>$L$590-EFEITO!$O$590*EFEITO!$AA$590</f>
        <v>351.52310594816117</v>
      </c>
      <c r="P590" s="45"/>
      <c r="Q590" s="45"/>
      <c r="R590" s="45"/>
      <c r="S590" s="45"/>
      <c r="T590" s="45"/>
      <c r="U590" s="45"/>
      <c r="V590" s="45"/>
      <c r="W590" s="45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41" t="s">
        <v>21</v>
      </c>
      <c r="B591" s="41" t="s">
        <v>32</v>
      </c>
      <c r="C591" s="41" t="s">
        <v>23</v>
      </c>
      <c r="D591" s="41" t="s">
        <v>47</v>
      </c>
      <c r="E591" s="41" t="s">
        <v>48</v>
      </c>
      <c r="F591" s="41" t="s">
        <v>25</v>
      </c>
      <c r="G591" s="41" t="s">
        <v>25</v>
      </c>
      <c r="H591" s="41" t="s">
        <v>25</v>
      </c>
      <c r="I591" s="60">
        <v>44713</v>
      </c>
      <c r="J591" s="61">
        <f>EFEITO!$J$591*EFEITO!$Y$580</f>
        <v>0</v>
      </c>
      <c r="K591" s="61">
        <f ca="1">EFEITO!$L$591*EFEITO!$Z$580</f>
        <v>18180.084729637936</v>
      </c>
      <c r="L591" s="61">
        <f>EFEITO!$N$591*EFEITO!$AA$580</f>
        <v>11065.861915263538</v>
      </c>
      <c r="M591" s="61">
        <f>$J$591-EFEITO!$K$591*EFEITO!$Y$591</f>
        <v>0</v>
      </c>
      <c r="N591" s="61">
        <f ca="1">$K$591-EFEITO!$M$591*EFEITO!$Z$591</f>
        <v>545.40254188913968</v>
      </c>
      <c r="O591" s="61">
        <f>$L$591-EFEITO!$O$591*EFEITO!$AA$591</f>
        <v>331.97585745790639</v>
      </c>
      <c r="P591" s="45"/>
      <c r="Q591" s="45"/>
      <c r="R591" s="45"/>
      <c r="S591" s="45"/>
      <c r="T591" s="45"/>
      <c r="U591" s="45"/>
      <c r="V591" s="45"/>
      <c r="W591" s="45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41" t="s">
        <v>21</v>
      </c>
      <c r="B592" s="41" t="s">
        <v>32</v>
      </c>
      <c r="C592" s="41" t="s">
        <v>23</v>
      </c>
      <c r="D592" s="41" t="s">
        <v>47</v>
      </c>
      <c r="E592" s="41" t="s">
        <v>48</v>
      </c>
      <c r="F592" s="41" t="s">
        <v>25</v>
      </c>
      <c r="G592" s="41" t="s">
        <v>25</v>
      </c>
      <c r="H592" s="41" t="s">
        <v>25</v>
      </c>
      <c r="I592" s="60">
        <v>44743</v>
      </c>
      <c r="J592" s="61">
        <f>EFEITO!$J$592*EFEITO!$Y$580</f>
        <v>0</v>
      </c>
      <c r="K592" s="61">
        <f ca="1">EFEITO!$L$592*EFEITO!$Z$580</f>
        <v>16877.025328489373</v>
      </c>
      <c r="L592" s="61">
        <f>EFEITO!$N$592*EFEITO!$AA$580</f>
        <v>10272.715149726811</v>
      </c>
      <c r="M592" s="61">
        <f>$J$592-EFEITO!$K$592*EFEITO!$Y$592</f>
        <v>0</v>
      </c>
      <c r="N592" s="61">
        <f ca="1">$K$592-EFEITO!$M$592*EFEITO!$Z$592</f>
        <v>506.31075985468306</v>
      </c>
      <c r="O592" s="61">
        <f>$L$592-EFEITO!$O$592*EFEITO!$AA$592</f>
        <v>308.1814544918052</v>
      </c>
      <c r="P592" s="45"/>
      <c r="Q592" s="45"/>
      <c r="R592" s="45"/>
      <c r="S592" s="45"/>
      <c r="T592" s="45"/>
      <c r="U592" s="45"/>
      <c r="V592" s="45"/>
      <c r="W592" s="45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41" t="s">
        <v>21</v>
      </c>
      <c r="B593" s="41" t="s">
        <v>44</v>
      </c>
      <c r="C593" s="41" t="s">
        <v>23</v>
      </c>
      <c r="D593" s="41" t="s">
        <v>45</v>
      </c>
      <c r="E593" s="41" t="s">
        <v>46</v>
      </c>
      <c r="F593" s="41" t="s">
        <v>25</v>
      </c>
      <c r="G593" s="41" t="s">
        <v>25</v>
      </c>
      <c r="H593" s="41" t="s">
        <v>25</v>
      </c>
      <c r="I593" s="60">
        <v>44409</v>
      </c>
      <c r="J593" s="61">
        <f>EFEITO!$J$593*EFEITO!$Y$593</f>
        <v>0</v>
      </c>
      <c r="K593" s="61">
        <f ca="1">EFEITO!$L$593*EFEITO!$Z$593</f>
        <v>55534.344146973242</v>
      </c>
      <c r="L593" s="61">
        <f>EFEITO!$N$593*EFEITO!$AA$593</f>
        <v>33802.668855733573</v>
      </c>
      <c r="M593" s="61">
        <f>$J$593-EFEITO!$K$593*EFEITO!$Y$593</f>
        <v>0</v>
      </c>
      <c r="N593" s="61">
        <f ca="1">$K$593-EFEITO!$M$593*EFEITO!$Z$593</f>
        <v>0</v>
      </c>
      <c r="O593" s="61">
        <f>$L$593-EFEITO!$O$593*EFEITO!$AA$593</f>
        <v>0</v>
      </c>
      <c r="P593" s="45"/>
      <c r="Q593" s="45"/>
      <c r="R593" s="45"/>
      <c r="S593" s="45"/>
      <c r="T593" s="45"/>
      <c r="U593" s="45"/>
      <c r="V593" s="45"/>
      <c r="W593" s="45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41" t="s">
        <v>21</v>
      </c>
      <c r="B594" s="41" t="s">
        <v>44</v>
      </c>
      <c r="C594" s="41" t="s">
        <v>23</v>
      </c>
      <c r="D594" s="41" t="s">
        <v>45</v>
      </c>
      <c r="E594" s="41" t="s">
        <v>46</v>
      </c>
      <c r="F594" s="41" t="s">
        <v>25</v>
      </c>
      <c r="G594" s="41" t="s">
        <v>25</v>
      </c>
      <c r="H594" s="41" t="s">
        <v>25</v>
      </c>
      <c r="I594" s="60">
        <v>44440</v>
      </c>
      <c r="J594" s="61">
        <f>EFEITO!$J$594*EFEITO!$Y$594</f>
        <v>0</v>
      </c>
      <c r="K594" s="61">
        <f ca="1">EFEITO!$L$594*EFEITO!$Z$594</f>
        <v>50039.085059848556</v>
      </c>
      <c r="L594" s="61">
        <f>EFEITO!$N$594*EFEITO!$AA$594</f>
        <v>30457.812153961204</v>
      </c>
      <c r="M594" s="61">
        <f>$J$594-EFEITO!$K$594*EFEITO!$Y$594</f>
        <v>0</v>
      </c>
      <c r="N594" s="61">
        <f ca="1">$K$594-EFEITO!$M$594*EFEITO!$Z$594</f>
        <v>0</v>
      </c>
      <c r="O594" s="61">
        <f>$L$594-EFEITO!$O$594*EFEITO!$AA$594</f>
        <v>0</v>
      </c>
      <c r="P594" s="45"/>
      <c r="Q594" s="45"/>
      <c r="R594" s="45"/>
      <c r="S594" s="45"/>
      <c r="T594" s="45"/>
      <c r="U594" s="45"/>
      <c r="V594" s="45"/>
      <c r="W594" s="45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41" t="s">
        <v>21</v>
      </c>
      <c r="B595" s="41" t="s">
        <v>44</v>
      </c>
      <c r="C595" s="41" t="s">
        <v>23</v>
      </c>
      <c r="D595" s="41" t="s">
        <v>45</v>
      </c>
      <c r="E595" s="41" t="s">
        <v>46</v>
      </c>
      <c r="F595" s="41" t="s">
        <v>25</v>
      </c>
      <c r="G595" s="41" t="s">
        <v>25</v>
      </c>
      <c r="H595" s="41" t="s">
        <v>25</v>
      </c>
      <c r="I595" s="60">
        <v>44470</v>
      </c>
      <c r="J595" s="61">
        <f>EFEITO!$J$595*EFEITO!$Y$595</f>
        <v>0</v>
      </c>
      <c r="K595" s="61">
        <f ca="1">EFEITO!$L$595*EFEITO!$Z$595</f>
        <v>49755.473850941809</v>
      </c>
      <c r="L595" s="61">
        <f>EFEITO!$N$595*EFEITO!$AA$595</f>
        <v>30285.183559427387</v>
      </c>
      <c r="M595" s="61">
        <f>$J$595-EFEITO!$K$595*EFEITO!$Y$595</f>
        <v>0</v>
      </c>
      <c r="N595" s="61">
        <f ca="1">$K$595-EFEITO!$M$595*EFEITO!$Z$595</f>
        <v>0</v>
      </c>
      <c r="O595" s="61">
        <f>$L$595-EFEITO!$O$595*EFEITO!$AA$595</f>
        <v>0</v>
      </c>
      <c r="P595" s="45"/>
      <c r="Q595" s="45"/>
      <c r="R595" s="45"/>
      <c r="S595" s="45"/>
      <c r="T595" s="45"/>
      <c r="U595" s="45"/>
      <c r="V595" s="45"/>
      <c r="W595" s="45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41" t="s">
        <v>21</v>
      </c>
      <c r="B596" s="41" t="s">
        <v>44</v>
      </c>
      <c r="C596" s="41" t="s">
        <v>23</v>
      </c>
      <c r="D596" s="41" t="s">
        <v>45</v>
      </c>
      <c r="E596" s="41" t="s">
        <v>46</v>
      </c>
      <c r="F596" s="41" t="s">
        <v>25</v>
      </c>
      <c r="G596" s="41" t="s">
        <v>25</v>
      </c>
      <c r="H596" s="41" t="s">
        <v>25</v>
      </c>
      <c r="I596" s="60">
        <v>44501</v>
      </c>
      <c r="J596" s="61">
        <f>EFEITO!$J$596*EFEITO!$Y$596</f>
        <v>0</v>
      </c>
      <c r="K596" s="61">
        <f ca="1">EFEITO!$L$596*EFEITO!$Z$596</f>
        <v>44234.52628286399</v>
      </c>
      <c r="L596" s="61">
        <f>EFEITO!$N$596*EFEITO!$AA$596</f>
        <v>26924.690781846373</v>
      </c>
      <c r="M596" s="61">
        <f>$J$596-EFEITO!$K$596*EFEITO!$Y$596</f>
        <v>0</v>
      </c>
      <c r="N596" s="61">
        <f ca="1">$K$596-EFEITO!$M$596*EFEITO!$Z$596</f>
        <v>0</v>
      </c>
      <c r="O596" s="61">
        <f>$L$596-EFEITO!$O$596*EFEITO!$AA$596</f>
        <v>0</v>
      </c>
      <c r="P596" s="45"/>
      <c r="Q596" s="45"/>
      <c r="R596" s="45"/>
      <c r="S596" s="45"/>
      <c r="T596" s="45"/>
      <c r="U596" s="45"/>
      <c r="V596" s="45"/>
      <c r="W596" s="45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41" t="s">
        <v>21</v>
      </c>
      <c r="B597" s="41" t="s">
        <v>44</v>
      </c>
      <c r="C597" s="41" t="s">
        <v>23</v>
      </c>
      <c r="D597" s="41" t="s">
        <v>45</v>
      </c>
      <c r="E597" s="41" t="s">
        <v>46</v>
      </c>
      <c r="F597" s="41" t="s">
        <v>25</v>
      </c>
      <c r="G597" s="41" t="s">
        <v>25</v>
      </c>
      <c r="H597" s="41" t="s">
        <v>25</v>
      </c>
      <c r="I597" s="60">
        <v>44531</v>
      </c>
      <c r="J597" s="61">
        <f>EFEITO!$J$597*EFEITO!$Y$597</f>
        <v>0</v>
      </c>
      <c r="K597" s="61">
        <f ca="1">EFEITO!$L$597*EFEITO!$Z$597</f>
        <v>45538.930260150599</v>
      </c>
      <c r="L597" s="61">
        <f>EFEITO!$N$597*EFEITO!$AA$597</f>
        <v>27718.655964574191</v>
      </c>
      <c r="M597" s="61">
        <f>$J$597-EFEITO!$K$597*EFEITO!$Y$597</f>
        <v>0</v>
      </c>
      <c r="N597" s="61">
        <f ca="1">$K$597-EFEITO!$M$597*EFEITO!$Z$597</f>
        <v>0</v>
      </c>
      <c r="O597" s="61">
        <f>$L$597-EFEITO!$O$597*EFEITO!$AA$597</f>
        <v>0</v>
      </c>
      <c r="P597" s="45"/>
      <c r="Q597" s="45"/>
      <c r="R597" s="45"/>
      <c r="S597" s="45"/>
      <c r="T597" s="45"/>
      <c r="U597" s="45"/>
      <c r="V597" s="45"/>
      <c r="W597" s="45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41" t="s">
        <v>21</v>
      </c>
      <c r="B598" s="41" t="s">
        <v>44</v>
      </c>
      <c r="C598" s="41" t="s">
        <v>23</v>
      </c>
      <c r="D598" s="41" t="s">
        <v>45</v>
      </c>
      <c r="E598" s="41" t="s">
        <v>46</v>
      </c>
      <c r="F598" s="41" t="s">
        <v>25</v>
      </c>
      <c r="G598" s="41" t="s">
        <v>25</v>
      </c>
      <c r="H598" s="41" t="s">
        <v>25</v>
      </c>
      <c r="I598" s="60">
        <v>44562</v>
      </c>
      <c r="J598" s="61">
        <f>EFEITO!$J$598*EFEITO!$Y$598</f>
        <v>0</v>
      </c>
      <c r="K598" s="61">
        <f ca="1">EFEITO!$L$598*EFEITO!$Z$598</f>
        <v>46014.556377191846</v>
      </c>
      <c r="L598" s="61">
        <f>EFEITO!$N$598*EFEITO!$AA$598</f>
        <v>28008.160277273633</v>
      </c>
      <c r="M598" s="61">
        <f>$J$598-EFEITO!$K$598*EFEITO!$Y$598</f>
        <v>0</v>
      </c>
      <c r="N598" s="61">
        <f ca="1">$K$598-EFEITO!$M$598*EFEITO!$Z$598</f>
        <v>0</v>
      </c>
      <c r="O598" s="61">
        <f>$L$598-EFEITO!$O$598*EFEITO!$AA$598</f>
        <v>0</v>
      </c>
      <c r="P598" s="45"/>
      <c r="Q598" s="45"/>
      <c r="R598" s="45"/>
      <c r="S598" s="45"/>
      <c r="T598" s="45"/>
      <c r="U598" s="45"/>
      <c r="V598" s="45"/>
      <c r="W598" s="45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41" t="s">
        <v>21</v>
      </c>
      <c r="B599" s="41" t="s">
        <v>44</v>
      </c>
      <c r="C599" s="41" t="s">
        <v>23</v>
      </c>
      <c r="D599" s="41" t="s">
        <v>45</v>
      </c>
      <c r="E599" s="41" t="s">
        <v>46</v>
      </c>
      <c r="F599" s="41" t="s">
        <v>25</v>
      </c>
      <c r="G599" s="41" t="s">
        <v>25</v>
      </c>
      <c r="H599" s="41" t="s">
        <v>25</v>
      </c>
      <c r="I599" s="60">
        <v>44593</v>
      </c>
      <c r="J599" s="61">
        <f>EFEITO!$J$599*EFEITO!$Y$599</f>
        <v>0</v>
      </c>
      <c r="K599" s="61">
        <f ca="1">EFEITO!$L$599*EFEITO!$Z$599</f>
        <v>44599.614087925111</v>
      </c>
      <c r="L599" s="61">
        <f>EFEITO!$N$599*EFEITO!$AA$599</f>
        <v>27146.912586520742</v>
      </c>
      <c r="M599" s="61">
        <f>$J$599-EFEITO!$K$599*EFEITO!$Y$599</f>
        <v>0</v>
      </c>
      <c r="N599" s="61">
        <f ca="1">$K$599-EFEITO!$M$599*EFEITO!$Z$599</f>
        <v>0</v>
      </c>
      <c r="O599" s="61">
        <f>$L$599-EFEITO!$O$599*EFEITO!$AA$599</f>
        <v>0</v>
      </c>
      <c r="P599" s="45"/>
      <c r="Q599" s="45"/>
      <c r="R599" s="45"/>
      <c r="S599" s="45"/>
      <c r="T599" s="45"/>
      <c r="U599" s="45"/>
      <c r="V599" s="45"/>
      <c r="W599" s="45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41" t="s">
        <v>21</v>
      </c>
      <c r="B600" s="41" t="s">
        <v>44</v>
      </c>
      <c r="C600" s="41" t="s">
        <v>23</v>
      </c>
      <c r="D600" s="41" t="s">
        <v>45</v>
      </c>
      <c r="E600" s="41" t="s">
        <v>46</v>
      </c>
      <c r="F600" s="41" t="s">
        <v>25</v>
      </c>
      <c r="G600" s="41" t="s">
        <v>25</v>
      </c>
      <c r="H600" s="41" t="s">
        <v>25</v>
      </c>
      <c r="I600" s="60">
        <v>44621</v>
      </c>
      <c r="J600" s="61">
        <f>EFEITO!$J$600*EFEITO!$Y$600</f>
        <v>0</v>
      </c>
      <c r="K600" s="61">
        <f ca="1">EFEITO!$L$600*EFEITO!$Z$600</f>
        <v>53249.885699383965</v>
      </c>
      <c r="L600" s="61">
        <f>EFEITO!$N$600*EFEITO!$AA$600</f>
        <v>32412.163689882029</v>
      </c>
      <c r="M600" s="61">
        <f>$J$600-EFEITO!$K$600*EFEITO!$Y$600</f>
        <v>0</v>
      </c>
      <c r="N600" s="61">
        <f ca="1">$K$600-EFEITO!$M$600*EFEITO!$Z$600</f>
        <v>0</v>
      </c>
      <c r="O600" s="61">
        <f>$L$600-EFEITO!$O$600*EFEITO!$AA$600</f>
        <v>0</v>
      </c>
      <c r="P600" s="45"/>
      <c r="Q600" s="45"/>
      <c r="R600" s="45"/>
      <c r="S600" s="45"/>
      <c r="T600" s="45"/>
      <c r="U600" s="45"/>
      <c r="V600" s="45"/>
      <c r="W600" s="45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41" t="s">
        <v>21</v>
      </c>
      <c r="B601" s="41" t="s">
        <v>44</v>
      </c>
      <c r="C601" s="41" t="s">
        <v>23</v>
      </c>
      <c r="D601" s="41" t="s">
        <v>45</v>
      </c>
      <c r="E601" s="41" t="s">
        <v>46</v>
      </c>
      <c r="F601" s="41" t="s">
        <v>25</v>
      </c>
      <c r="G601" s="41" t="s">
        <v>25</v>
      </c>
      <c r="H601" s="41" t="s">
        <v>25</v>
      </c>
      <c r="I601" s="60">
        <v>44652</v>
      </c>
      <c r="J601" s="61">
        <f>EFEITO!$J$601*EFEITO!$Y$601</f>
        <v>0</v>
      </c>
      <c r="K601" s="61">
        <f ca="1">EFEITO!$L$601*EFEITO!$Z$601</f>
        <v>55799.27282427773</v>
      </c>
      <c r="L601" s="61">
        <f>EFEITO!$N$601*EFEITO!$AA$601</f>
        <v>33963.925758770194</v>
      </c>
      <c r="M601" s="61">
        <f>$J$601-EFEITO!$K$601*EFEITO!$Y$601</f>
        <v>0</v>
      </c>
      <c r="N601" s="61">
        <f ca="1">$K$601-EFEITO!$M$601*EFEITO!$Z$601</f>
        <v>0</v>
      </c>
      <c r="O601" s="61">
        <f>$L$601-EFEITO!$O$601*EFEITO!$AA$601</f>
        <v>0</v>
      </c>
      <c r="P601" s="45"/>
      <c r="Q601" s="45"/>
      <c r="R601" s="45"/>
      <c r="S601" s="45"/>
      <c r="T601" s="45"/>
      <c r="U601" s="45"/>
      <c r="V601" s="45"/>
      <c r="W601" s="45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41" t="s">
        <v>21</v>
      </c>
      <c r="B602" s="41" t="s">
        <v>44</v>
      </c>
      <c r="C602" s="41" t="s">
        <v>23</v>
      </c>
      <c r="D602" s="41" t="s">
        <v>45</v>
      </c>
      <c r="E602" s="41" t="s">
        <v>46</v>
      </c>
      <c r="F602" s="41" t="s">
        <v>25</v>
      </c>
      <c r="G602" s="41" t="s">
        <v>25</v>
      </c>
      <c r="H602" s="41" t="s">
        <v>25</v>
      </c>
      <c r="I602" s="60">
        <v>44682</v>
      </c>
      <c r="J602" s="61">
        <f>EFEITO!$J$602*EFEITO!$Y$602</f>
        <v>0</v>
      </c>
      <c r="K602" s="61">
        <f ca="1">EFEITO!$L$602*EFEITO!$Z$602</f>
        <v>59536.817063155053</v>
      </c>
      <c r="L602" s="61">
        <f>EFEITO!$N$602*EFEITO!$AA$602</f>
        <v>36238.895818848068</v>
      </c>
      <c r="M602" s="61">
        <f>$J$602-EFEITO!$K$602*EFEITO!$Y$602</f>
        <v>0</v>
      </c>
      <c r="N602" s="61">
        <f ca="1">$K$602-EFEITO!$M$602*EFEITO!$Z$602</f>
        <v>0</v>
      </c>
      <c r="O602" s="61">
        <f>$L$602-EFEITO!$O$602*EFEITO!$AA$602</f>
        <v>0</v>
      </c>
      <c r="P602" s="45"/>
      <c r="Q602" s="45"/>
      <c r="R602" s="45"/>
      <c r="S602" s="45"/>
      <c r="T602" s="45"/>
      <c r="U602" s="45"/>
      <c r="V602" s="45"/>
      <c r="W602" s="45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41" t="s">
        <v>21</v>
      </c>
      <c r="B603" s="41" t="s">
        <v>44</v>
      </c>
      <c r="C603" s="41" t="s">
        <v>23</v>
      </c>
      <c r="D603" s="41" t="s">
        <v>45</v>
      </c>
      <c r="E603" s="41" t="s">
        <v>46</v>
      </c>
      <c r="F603" s="41" t="s">
        <v>25</v>
      </c>
      <c r="G603" s="41" t="s">
        <v>25</v>
      </c>
      <c r="H603" s="41" t="s">
        <v>25</v>
      </c>
      <c r="I603" s="60">
        <v>44713</v>
      </c>
      <c r="J603" s="61">
        <f>EFEITO!$J$603*EFEITO!$Y$603</f>
        <v>0</v>
      </c>
      <c r="K603" s="61">
        <f ca="1">EFEITO!$L$603*EFEITO!$Z$603</f>
        <v>62383.827295657276</v>
      </c>
      <c r="L603" s="61">
        <f>EFEITO!$N$603*EFEITO!$AA$603</f>
        <v>37971.815250892949</v>
      </c>
      <c r="M603" s="61">
        <f>$J$603-EFEITO!$K$603*EFEITO!$Y$603</f>
        <v>0</v>
      </c>
      <c r="N603" s="61">
        <f ca="1">$K$603-EFEITO!$M$603*EFEITO!$Z$603</f>
        <v>0</v>
      </c>
      <c r="O603" s="61">
        <f>$L$603-EFEITO!$O$603*EFEITO!$AA$603</f>
        <v>0</v>
      </c>
      <c r="P603" s="45"/>
      <c r="Q603" s="45"/>
      <c r="R603" s="45"/>
      <c r="S603" s="45"/>
      <c r="T603" s="45"/>
      <c r="U603" s="45"/>
      <c r="V603" s="45"/>
      <c r="W603" s="45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41" t="s">
        <v>21</v>
      </c>
      <c r="B604" s="41" t="s">
        <v>44</v>
      </c>
      <c r="C604" s="41" t="s">
        <v>23</v>
      </c>
      <c r="D604" s="41" t="s">
        <v>45</v>
      </c>
      <c r="E604" s="41" t="s">
        <v>46</v>
      </c>
      <c r="F604" s="41" t="s">
        <v>25</v>
      </c>
      <c r="G604" s="41" t="s">
        <v>25</v>
      </c>
      <c r="H604" s="41" t="s">
        <v>25</v>
      </c>
      <c r="I604" s="60">
        <v>44743</v>
      </c>
      <c r="J604" s="61">
        <f>EFEITO!$J$604*EFEITO!$Y$604</f>
        <v>0</v>
      </c>
      <c r="K604" s="61">
        <f ca="1">EFEITO!$L$604*EFEITO!$Z$604</f>
        <v>60140.366625750765</v>
      </c>
      <c r="L604" s="61">
        <f>EFEITO!$N$604*EFEITO!$AA$604</f>
        <v>36606.264630271362</v>
      </c>
      <c r="M604" s="61">
        <f>$J$604-EFEITO!$K$604*EFEITO!$Y$604</f>
        <v>0</v>
      </c>
      <c r="N604" s="61">
        <f ca="1">$K$604-EFEITO!$M$604*EFEITO!$Z$604</f>
        <v>0</v>
      </c>
      <c r="O604" s="61">
        <f>$L$604-EFEITO!$O$604*EFEITO!$AA$604</f>
        <v>0</v>
      </c>
      <c r="P604" s="45"/>
      <c r="Q604" s="45"/>
      <c r="R604" s="45"/>
      <c r="S604" s="45"/>
      <c r="T604" s="45"/>
      <c r="U604" s="45"/>
      <c r="V604" s="45"/>
      <c r="W604" s="45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0F164-ECCF-43BA-9B7F-C36E5F08FE44}">
  <dimension ref="A1:BD111"/>
  <sheetViews>
    <sheetView showGridLines="0" topLeftCell="C40" workbookViewId="0">
      <selection activeCell="L57" sqref="L57:BD111"/>
    </sheetView>
  </sheetViews>
  <sheetFormatPr defaultRowHeight="11.25" customHeight="1" x14ac:dyDescent="0.3"/>
  <cols>
    <col min="1" max="1" width="9" style="9" bestFit="1" customWidth="1"/>
    <col min="2" max="2" width="21.33203125" style="9" bestFit="1" customWidth="1"/>
    <col min="3" max="3" width="30.33203125" style="9" bestFit="1" customWidth="1"/>
    <col min="4" max="4" width="51.5546875" style="9" bestFit="1" customWidth="1"/>
    <col min="5" max="5" width="60.5546875" style="9" bestFit="1" customWidth="1"/>
    <col min="6" max="6" width="69.5546875" style="9" bestFit="1" customWidth="1"/>
    <col min="7" max="7" width="70.664062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4" width="7.109375" style="9" bestFit="1" customWidth="1"/>
    <col min="15" max="15" width="3.88671875" style="9" bestFit="1" customWidth="1"/>
    <col min="16" max="16" width="3.77734375" style="9" bestFit="1" customWidth="1"/>
    <col min="17" max="17" width="9.109375" style="9" bestFit="1" customWidth="1"/>
    <col min="18" max="18" width="7.88671875" style="9" bestFit="1" customWidth="1"/>
    <col min="19" max="19" width="8" style="9" bestFit="1" customWidth="1"/>
    <col min="20" max="20" width="7.109375" style="9" bestFit="1" customWidth="1"/>
    <col min="21" max="21" width="7" style="9" bestFit="1" customWidth="1"/>
    <col min="22" max="22" width="9.21875" style="9" bestFit="1" customWidth="1"/>
    <col min="23" max="23" width="9.33203125" style="9" bestFit="1" customWidth="1"/>
    <col min="24" max="24" width="9.109375" style="9" bestFit="1" customWidth="1"/>
    <col min="25" max="25" width="7.109375" style="9" bestFit="1" customWidth="1"/>
    <col min="26" max="26" width="9.33203125" style="9" bestFit="1" customWidth="1"/>
    <col min="27" max="27" width="11.109375" style="9" bestFit="1" customWidth="1"/>
    <col min="28" max="28" width="8.33203125" style="9" bestFit="1" customWidth="1"/>
    <col min="29" max="29" width="6.88671875" style="9" bestFit="1" customWidth="1"/>
    <col min="30" max="30" width="14.44140625" style="9" bestFit="1" customWidth="1"/>
    <col min="31" max="31" width="17.5546875" style="9" bestFit="1" customWidth="1"/>
    <col min="32" max="32" width="18.109375" style="9" bestFit="1" customWidth="1"/>
    <col min="33" max="33" width="6.33203125" style="9" bestFit="1" customWidth="1"/>
    <col min="34" max="34" width="8.88671875" style="9"/>
    <col min="35" max="35" width="12.44140625" style="9" bestFit="1" customWidth="1"/>
    <col min="36" max="37" width="7.109375" style="9" bestFit="1" customWidth="1"/>
    <col min="38" max="38" width="3.88671875" style="9" bestFit="1" customWidth="1"/>
    <col min="39" max="39" width="3.77734375" style="9" bestFit="1" customWidth="1"/>
    <col min="40" max="40" width="9.109375" style="9" bestFit="1" customWidth="1"/>
    <col min="41" max="41" width="7.88671875" style="9" bestFit="1" customWidth="1"/>
    <col min="42" max="42" width="8" style="9" bestFit="1" customWidth="1"/>
    <col min="43" max="43" width="7.109375" style="9" bestFit="1" customWidth="1"/>
    <col min="44" max="44" width="7" style="9" bestFit="1" customWidth="1"/>
    <col min="45" max="45" width="9.21875" style="9" bestFit="1" customWidth="1"/>
    <col min="46" max="46" width="9.33203125" style="9" bestFit="1" customWidth="1"/>
    <col min="47" max="47" width="9.109375" style="9" bestFit="1" customWidth="1"/>
    <col min="48" max="48" width="7.109375" style="9" bestFit="1" customWidth="1"/>
    <col min="49" max="49" width="9.33203125" style="9" bestFit="1" customWidth="1"/>
    <col min="50" max="50" width="11.109375" style="9" bestFit="1" customWidth="1"/>
    <col min="51" max="51" width="8.33203125" style="9" bestFit="1" customWidth="1"/>
    <col min="52" max="52" width="6.88671875" style="9" bestFit="1" customWidth="1"/>
    <col min="53" max="53" width="14.44140625" style="9" bestFit="1" customWidth="1"/>
    <col min="54" max="54" width="17.5546875" style="9" bestFit="1" customWidth="1"/>
    <col min="55" max="55" width="18.109375" style="9" bestFit="1" customWidth="1"/>
    <col min="56" max="56" width="6.33203125" style="9" bestFit="1" customWidth="1"/>
    <col min="57" max="16384" width="8.88671875" style="9"/>
  </cols>
  <sheetData>
    <row r="1" spans="1:56" ht="11.25" customHeight="1" x14ac:dyDescent="0.3">
      <c r="A1" s="143" t="s">
        <v>68</v>
      </c>
      <c r="B1" s="143" t="s">
        <v>69</v>
      </c>
      <c r="C1" s="143" t="s">
        <v>70</v>
      </c>
      <c r="D1" s="143" t="s">
        <v>71</v>
      </c>
      <c r="E1" s="143" t="s">
        <v>72</v>
      </c>
      <c r="F1" s="143" t="s">
        <v>15</v>
      </c>
      <c r="G1" s="143" t="s">
        <v>74</v>
      </c>
      <c r="H1" s="143" t="s">
        <v>75</v>
      </c>
      <c r="I1" s="143" t="s">
        <v>588</v>
      </c>
      <c r="J1" s="134"/>
      <c r="L1" s="144" t="s">
        <v>870</v>
      </c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I1" s="144" t="s">
        <v>871</v>
      </c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144"/>
      <c r="BA1" s="144"/>
      <c r="BB1" s="144"/>
      <c r="BC1" s="144"/>
      <c r="BD1" s="144"/>
    </row>
    <row r="2" spans="1:56" ht="11.25" customHeight="1" x14ac:dyDescent="0.3">
      <c r="A2" s="143"/>
      <c r="B2" s="143"/>
      <c r="C2" s="143"/>
      <c r="D2" s="143"/>
      <c r="E2" s="143"/>
      <c r="F2" s="143"/>
      <c r="G2" s="143"/>
      <c r="H2" s="143"/>
      <c r="I2" s="143"/>
      <c r="J2" s="134"/>
      <c r="L2" s="144" t="s">
        <v>487</v>
      </c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44"/>
      <c r="AE2" s="144"/>
      <c r="AF2" s="144"/>
      <c r="AG2" s="144"/>
      <c r="AI2" s="144" t="s">
        <v>487</v>
      </c>
      <c r="AJ2" s="144"/>
      <c r="AK2" s="144"/>
      <c r="AL2" s="144"/>
      <c r="AM2" s="144"/>
      <c r="AN2" s="144"/>
      <c r="AO2" s="144"/>
      <c r="AP2" s="144"/>
      <c r="AQ2" s="144"/>
      <c r="AR2" s="144"/>
      <c r="AS2" s="144"/>
      <c r="AT2" s="144"/>
      <c r="AU2" s="144"/>
      <c r="AV2" s="144"/>
      <c r="AW2" s="144"/>
      <c r="AX2" s="144"/>
      <c r="AY2" s="144"/>
      <c r="AZ2" s="144"/>
      <c r="BA2" s="144"/>
      <c r="BB2" s="144"/>
      <c r="BC2" s="144"/>
      <c r="BD2" s="144"/>
    </row>
    <row r="3" spans="1:56" ht="11.25" customHeight="1" x14ac:dyDescent="0.3">
      <c r="A3" s="143"/>
      <c r="B3" s="143"/>
      <c r="C3" s="143"/>
      <c r="D3" s="143"/>
      <c r="E3" s="143"/>
      <c r="F3" s="143"/>
      <c r="G3" s="143"/>
      <c r="H3" s="143"/>
      <c r="I3" s="143"/>
      <c r="J3" s="134"/>
      <c r="L3" s="144" t="s">
        <v>488</v>
      </c>
      <c r="M3" s="144"/>
      <c r="N3" s="144"/>
      <c r="O3" s="144"/>
      <c r="P3" s="144"/>
      <c r="Q3" s="144"/>
      <c r="R3" s="144"/>
      <c r="S3" s="144"/>
      <c r="T3" s="144" t="s">
        <v>497</v>
      </c>
      <c r="U3" s="144"/>
      <c r="V3" s="144"/>
      <c r="W3" s="144"/>
      <c r="X3" s="144"/>
      <c r="Y3" s="144"/>
      <c r="Z3" s="144"/>
      <c r="AA3" s="10" t="s">
        <v>505</v>
      </c>
      <c r="AB3" s="144" t="s">
        <v>507</v>
      </c>
      <c r="AC3" s="144"/>
      <c r="AD3" s="144" t="s">
        <v>510</v>
      </c>
      <c r="AE3" s="144"/>
      <c r="AF3" s="144"/>
      <c r="AG3" s="144"/>
      <c r="AI3" s="144" t="s">
        <v>488</v>
      </c>
      <c r="AJ3" s="144"/>
      <c r="AK3" s="144"/>
      <c r="AL3" s="144"/>
      <c r="AM3" s="144"/>
      <c r="AN3" s="144"/>
      <c r="AO3" s="144"/>
      <c r="AP3" s="144"/>
      <c r="AQ3" s="144" t="s">
        <v>497</v>
      </c>
      <c r="AR3" s="144"/>
      <c r="AS3" s="144"/>
      <c r="AT3" s="144"/>
      <c r="AU3" s="144"/>
      <c r="AV3" s="144"/>
      <c r="AW3" s="144"/>
      <c r="AX3" s="10" t="s">
        <v>505</v>
      </c>
      <c r="AY3" s="144" t="s">
        <v>507</v>
      </c>
      <c r="AZ3" s="144"/>
      <c r="BA3" s="144" t="s">
        <v>510</v>
      </c>
      <c r="BB3" s="144"/>
      <c r="BC3" s="144"/>
      <c r="BD3" s="144"/>
    </row>
    <row r="4" spans="1:56" ht="11.25" customHeight="1" x14ac:dyDescent="0.3">
      <c r="A4" s="143"/>
      <c r="B4" s="143"/>
      <c r="C4" s="143"/>
      <c r="D4" s="143"/>
      <c r="E4" s="143"/>
      <c r="F4" s="143"/>
      <c r="G4" s="143"/>
      <c r="H4" s="143"/>
      <c r="I4" s="143"/>
      <c r="J4" s="134"/>
      <c r="L4" s="10" t="s">
        <v>573</v>
      </c>
      <c r="M4" s="10" t="s">
        <v>489</v>
      </c>
      <c r="N4" s="10" t="s">
        <v>490</v>
      </c>
      <c r="O4" s="10" t="s">
        <v>491</v>
      </c>
      <c r="P4" s="10" t="s">
        <v>492</v>
      </c>
      <c r="Q4" s="10" t="s">
        <v>493</v>
      </c>
      <c r="R4" s="10" t="s">
        <v>494</v>
      </c>
      <c r="S4" s="10" t="s">
        <v>495</v>
      </c>
      <c r="T4" s="10" t="s">
        <v>498</v>
      </c>
      <c r="U4" s="10" t="s">
        <v>499</v>
      </c>
      <c r="V4" s="10" t="s">
        <v>500</v>
      </c>
      <c r="W4" s="10" t="s">
        <v>501</v>
      </c>
      <c r="X4" s="10" t="s">
        <v>502</v>
      </c>
      <c r="Y4" s="10" t="s">
        <v>503</v>
      </c>
      <c r="Z4" s="10" t="s">
        <v>504</v>
      </c>
      <c r="AA4" s="10" t="s">
        <v>506</v>
      </c>
      <c r="AB4" s="10" t="s">
        <v>508</v>
      </c>
      <c r="AC4" s="10" t="s">
        <v>509</v>
      </c>
      <c r="AD4" s="10" t="s">
        <v>511</v>
      </c>
      <c r="AE4" s="10" t="s">
        <v>512</v>
      </c>
      <c r="AF4" s="10" t="s">
        <v>513</v>
      </c>
      <c r="AG4" s="10" t="s">
        <v>514</v>
      </c>
      <c r="AI4" s="10" t="s">
        <v>573</v>
      </c>
      <c r="AJ4" s="10" t="s">
        <v>489</v>
      </c>
      <c r="AK4" s="10" t="s">
        <v>490</v>
      </c>
      <c r="AL4" s="10" t="s">
        <v>491</v>
      </c>
      <c r="AM4" s="10" t="s">
        <v>492</v>
      </c>
      <c r="AN4" s="10" t="s">
        <v>493</v>
      </c>
      <c r="AO4" s="10" t="s">
        <v>494</v>
      </c>
      <c r="AP4" s="10" t="s">
        <v>495</v>
      </c>
      <c r="AQ4" s="10" t="s">
        <v>498</v>
      </c>
      <c r="AR4" s="10" t="s">
        <v>499</v>
      </c>
      <c r="AS4" s="10" t="s">
        <v>500</v>
      </c>
      <c r="AT4" s="10" t="s">
        <v>501</v>
      </c>
      <c r="AU4" s="10" t="s">
        <v>502</v>
      </c>
      <c r="AV4" s="10" t="s">
        <v>503</v>
      </c>
      <c r="AW4" s="10" t="s">
        <v>504</v>
      </c>
      <c r="AX4" s="10" t="s">
        <v>506</v>
      </c>
      <c r="AY4" s="10" t="s">
        <v>508</v>
      </c>
      <c r="AZ4" s="10" t="s">
        <v>509</v>
      </c>
      <c r="BA4" s="10" t="s">
        <v>511</v>
      </c>
      <c r="BB4" s="10" t="s">
        <v>512</v>
      </c>
      <c r="BC4" s="10" t="s">
        <v>513</v>
      </c>
      <c r="BD4" s="10" t="s">
        <v>514</v>
      </c>
    </row>
    <row r="5" spans="1:56" ht="11.25" customHeight="1" x14ac:dyDescent="0.3">
      <c r="A5" s="146" t="s">
        <v>61</v>
      </c>
      <c r="B5" s="146" t="s">
        <v>54</v>
      </c>
      <c r="C5" s="146" t="s">
        <v>25</v>
      </c>
      <c r="D5" s="146" t="s">
        <v>25</v>
      </c>
      <c r="E5" s="146" t="s">
        <v>25</v>
      </c>
      <c r="F5" s="146" t="s">
        <v>25</v>
      </c>
      <c r="G5" s="24" t="s">
        <v>82</v>
      </c>
      <c r="H5" s="24" t="s">
        <v>81</v>
      </c>
      <c r="I5" s="24">
        <f>'MERCADO TUSD'!$U$2</f>
        <v>14877.2</v>
      </c>
      <c r="J5" s="15"/>
      <c r="L5" s="13">
        <f>('TUSD BE'!$L$5+'TUSD BF'!$L$5+'TUSD CVA'!$L$5)*1</f>
        <v>0</v>
      </c>
      <c r="M5" s="13">
        <f>('TUSD BE'!$M$5+'TUSD BF'!$M$5+'TUSD CVA'!$M$5)*1</f>
        <v>0</v>
      </c>
      <c r="N5" s="13">
        <f ca="1">('TUSD BE'!$N$5+'TUSD BF'!$N$5+'TUSD CVA'!$N$5)*1</f>
        <v>0</v>
      </c>
      <c r="O5" s="13">
        <f>('TUSD BE'!$O$5+'TUSD BF'!$O$5+'TUSD CVA'!$O$5)*1</f>
        <v>0</v>
      </c>
      <c r="P5" s="13">
        <f>('TUSD BE'!$P$5+'TUSD BF'!$P$5+'TUSD CVA'!$P$5)*1</f>
        <v>0</v>
      </c>
      <c r="Q5" s="13">
        <f>('TUSD BE'!$Q$5+'TUSD BF'!$Q$5+'TUSD CVA'!$Q$5)*1</f>
        <v>0</v>
      </c>
      <c r="R5" s="13">
        <f>('TUSD BE'!$R$5+'TUSD BF'!$R$5+'TUSD CVA'!$R$5)*1</f>
        <v>0</v>
      </c>
      <c r="S5" s="13">
        <f>('TUSD BE'!$S$5+'TUSD BF'!$S$5+'TUSD CVA'!$S$5)*1</f>
        <v>0</v>
      </c>
      <c r="T5" s="13">
        <f>('TUSD BE'!$U$5+'TUSD BF'!$U$5+'TUSD CVA'!$U$5)*1</f>
        <v>0</v>
      </c>
      <c r="U5" s="13">
        <f>('TUSD BE'!$V$5+'TUSD BF'!$V$5+'TUSD CVA'!$V$5)*1</f>
        <v>0</v>
      </c>
      <c r="V5" s="13">
        <f>('TUSD BE'!$W$5+'TUSD BF'!$W$5+'TUSD CVA'!$W$5)*1</f>
        <v>0</v>
      </c>
      <c r="W5" s="13">
        <f>('TUSD BE'!$X$5+'TUSD BF'!$X$5+'TUSD CVA'!$X$5)*1</f>
        <v>0</v>
      </c>
      <c r="X5" s="13">
        <f>('TUSD BE'!$Y$5+'TUSD BF'!$Y$5+'TUSD CVA'!$Y$5)*1</f>
        <v>23.737503777463836</v>
      </c>
      <c r="Y5" s="13">
        <f>('TUSD BE'!$Z$5+'TUSD BF'!$Z$5+'TUSD CVA'!$Z$5)*1</f>
        <v>0</v>
      </c>
      <c r="Z5" s="13">
        <f>('TUSD BE'!$AA$5+'TUSD BF'!$AA$5+'TUSD CVA'!$AA$5)*1</f>
        <v>0</v>
      </c>
      <c r="AA5" s="13">
        <f>('TUSD BE'!$AC$5+'TUSD BF'!$AC$5+'TUSD CVA'!$AC$5)*1</f>
        <v>6.3319978423584935</v>
      </c>
      <c r="AB5" s="13">
        <f ca="1">('TUSD BE'!$AE$5+'TUSD BF'!$AE$5+'TUSD CVA'!$AE$5)*1</f>
        <v>-1.1160168606262193</v>
      </c>
      <c r="AC5" s="13">
        <f ca="1">('TUSD BE'!$AF$5+'TUSD BF'!$AF$5+'TUSD CVA'!$AF$5)*1</f>
        <v>0</v>
      </c>
      <c r="AD5" s="13">
        <f>('TUSD BE'!$AH$5+'TUSD BF'!$AH$5+'TUSD CVA'!$AH$5)*1</f>
        <v>0</v>
      </c>
      <c r="AE5" s="13">
        <f>('TUSD BE'!$AI$5+'TUSD BF'!$AI$5+'TUSD CVA'!$AI$5)*1</f>
        <v>0</v>
      </c>
      <c r="AF5" s="13">
        <f ca="1">('TUSD BE'!$AJ$5+'TUSD BF'!$AJ$5+'TUSD CVA'!$AJ$5)*1</f>
        <v>0</v>
      </c>
      <c r="AG5" s="13">
        <f ca="1">('TUSD BE'!$AK$5+'TUSD BF'!$AK$5+'TUSD CVA'!$AK$5)*1</f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16.9200881021568</v>
      </c>
      <c r="AV5" s="13">
        <v>0</v>
      </c>
      <c r="AW5" s="13">
        <v>0</v>
      </c>
      <c r="AX5" s="13">
        <v>5.4671982152077199</v>
      </c>
      <c r="AY5" s="13">
        <v>-0.34345829834401997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</row>
    <row r="6" spans="1:56" ht="11.25" customHeight="1" x14ac:dyDescent="0.3">
      <c r="A6" s="146"/>
      <c r="B6" s="146"/>
      <c r="C6" s="146"/>
      <c r="D6" s="146"/>
      <c r="E6" s="146"/>
      <c r="F6" s="146"/>
      <c r="G6" s="24" t="s">
        <v>83</v>
      </c>
      <c r="H6" s="24" t="s">
        <v>81</v>
      </c>
      <c r="I6" s="24">
        <f>'MERCADO TUSD'!$U$3</f>
        <v>15070.4</v>
      </c>
      <c r="J6" s="15"/>
      <c r="L6" s="13">
        <f>('TUSD BE'!$L$6+'TUSD BF'!$L$6+'TUSD CVA'!$L$6)*1</f>
        <v>0</v>
      </c>
      <c r="M6" s="13">
        <f>('TUSD BE'!$M$6+'TUSD BF'!$M$6+'TUSD CVA'!$M$6)*1</f>
        <v>0</v>
      </c>
      <c r="N6" s="13">
        <f ca="1">('TUSD BE'!$N$6+'TUSD BF'!$N$6+'TUSD CVA'!$N$6)*1</f>
        <v>0</v>
      </c>
      <c r="O6" s="13">
        <f>('TUSD BE'!$O$6+'TUSD BF'!$O$6+'TUSD CVA'!$O$6)*1</f>
        <v>0</v>
      </c>
      <c r="P6" s="13">
        <f>('TUSD BE'!$P$6+'TUSD BF'!$P$6+'TUSD CVA'!$P$6)*1</f>
        <v>0</v>
      </c>
      <c r="Q6" s="13">
        <f>('TUSD BE'!$Q$6+'TUSD BF'!$Q$6+'TUSD CVA'!$Q$6)*1</f>
        <v>0</v>
      </c>
      <c r="R6" s="13">
        <f>('TUSD BE'!$R$6+'TUSD BF'!$R$6+'TUSD CVA'!$R$6)*1</f>
        <v>0</v>
      </c>
      <c r="S6" s="13">
        <f>('TUSD BE'!$S$6+'TUSD BF'!$S$6+'TUSD CVA'!$S$6)*1</f>
        <v>0</v>
      </c>
      <c r="T6" s="13">
        <f>('TUSD BE'!$U$6+'TUSD BF'!$U$6+'TUSD CVA'!$U$6)*1</f>
        <v>0</v>
      </c>
      <c r="U6" s="13">
        <f>('TUSD BE'!$V$6+'TUSD BF'!$V$6+'TUSD CVA'!$V$6)*1</f>
        <v>0</v>
      </c>
      <c r="V6" s="13">
        <f>('TUSD BE'!$W$6+'TUSD BF'!$W$6+'TUSD CVA'!$W$6)*1</f>
        <v>0</v>
      </c>
      <c r="W6" s="13">
        <f>('TUSD BE'!$X$6+'TUSD BF'!$X$6+'TUSD CVA'!$X$6)*1</f>
        <v>0</v>
      </c>
      <c r="X6" s="13">
        <f>('TUSD BE'!$Y$6+'TUSD BF'!$Y$6+'TUSD CVA'!$Y$6)*1</f>
        <v>12.091360251791926</v>
      </c>
      <c r="Y6" s="13">
        <f>('TUSD BE'!$Z$6+'TUSD BF'!$Z$6+'TUSD CVA'!$Z$6)*1</f>
        <v>0</v>
      </c>
      <c r="Z6" s="13">
        <f>('TUSD BE'!$AA$6+'TUSD BF'!$AA$6+'TUSD CVA'!$AA$6)*1</f>
        <v>0</v>
      </c>
      <c r="AA6" s="13">
        <f>('TUSD BE'!$AC$6+'TUSD BF'!$AC$6+'TUSD CVA'!$AC$6)*1</f>
        <v>6.3319978423584935</v>
      </c>
      <c r="AB6" s="13">
        <f ca="1">('TUSD BE'!$AE$6+'TUSD BF'!$AE$6+'TUSD CVA'!$AE$6)*1</f>
        <v>-0.6905115539129737</v>
      </c>
      <c r="AC6" s="13">
        <f ca="1">('TUSD BE'!$AF$6+'TUSD BF'!$AF$6+'TUSD CVA'!$AF$6)*1</f>
        <v>0</v>
      </c>
      <c r="AD6" s="13">
        <f>('TUSD BE'!$AH$6+'TUSD BF'!$AH$6+'TUSD CVA'!$AH$6)*1</f>
        <v>0</v>
      </c>
      <c r="AE6" s="13">
        <f>('TUSD BE'!$AI$6+'TUSD BF'!$AI$6+'TUSD CVA'!$AI$6)*1</f>
        <v>0</v>
      </c>
      <c r="AF6" s="13">
        <f ca="1">('TUSD BE'!$AJ$6+'TUSD BF'!$AJ$6+'TUSD CVA'!$AJ$6)*1</f>
        <v>0</v>
      </c>
      <c r="AG6" s="13">
        <f ca="1">('TUSD BE'!$AK$6+'TUSD BF'!$AK$6+'TUSD CVA'!$AK$6)*1</f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8.6187192492190103</v>
      </c>
      <c r="AV6" s="13">
        <v>0</v>
      </c>
      <c r="AW6" s="13">
        <v>0</v>
      </c>
      <c r="AX6" s="13">
        <v>5.4671982152077199</v>
      </c>
      <c r="AY6" s="13">
        <v>-0.21723383847771699</v>
      </c>
      <c r="AZ6" s="13">
        <v>0</v>
      </c>
      <c r="BA6" s="13">
        <v>0</v>
      </c>
      <c r="BB6" s="13">
        <v>0</v>
      </c>
      <c r="BC6" s="13">
        <v>0</v>
      </c>
      <c r="BD6" s="13">
        <v>0</v>
      </c>
    </row>
    <row r="7" spans="1:56" ht="11.25" customHeight="1" x14ac:dyDescent="0.3">
      <c r="A7" s="146"/>
      <c r="B7" s="146"/>
      <c r="C7" s="146"/>
      <c r="D7" s="146"/>
      <c r="E7" s="146"/>
      <c r="F7" s="146"/>
      <c r="G7" s="24" t="s">
        <v>84</v>
      </c>
      <c r="H7" s="24" t="s">
        <v>78</v>
      </c>
      <c r="I7" s="24">
        <f>'MERCADO TUSD'!$U$4</f>
        <v>7641.8726999999999</v>
      </c>
      <c r="J7" s="15"/>
      <c r="L7" s="13">
        <f>('TUSD BE'!$L$7+'TUSD BF'!$L$7+'TUSD CVA'!$L$7)*1</f>
        <v>1.7574506013255058</v>
      </c>
      <c r="M7" s="13">
        <f>('TUSD BE'!$M$7+'TUSD BF'!$M$7+'TUSD CVA'!$M$7)*1</f>
        <v>0.11416171243093007</v>
      </c>
      <c r="N7" s="13">
        <f ca="1">('TUSD BE'!$N$7+'TUSD BF'!$N$7+'TUSD CVA'!$N$7)*1</f>
        <v>0.32001554475971983</v>
      </c>
      <c r="O7" s="13">
        <f>('TUSD BE'!$O$7+'TUSD BF'!$O$7+'TUSD CVA'!$O$7)*1</f>
        <v>0</v>
      </c>
      <c r="P7" s="13">
        <f>('TUSD BE'!$P$7+'TUSD BF'!$P$7+'TUSD CVA'!$P$7)*1</f>
        <v>0</v>
      </c>
      <c r="Q7" s="13">
        <f>('TUSD BE'!$Q$7+'TUSD BF'!$Q$7+'TUSD CVA'!$Q$7)*1</f>
        <v>82.800826358067042</v>
      </c>
      <c r="R7" s="13">
        <f>('TUSD BE'!$R$7+'TUSD BF'!$R$7+'TUSD CVA'!$R$7)*1</f>
        <v>20.280631063481596</v>
      </c>
      <c r="S7" s="13">
        <f>('TUSD BE'!$S$7+'TUSD BF'!$S$7+'TUSD CVA'!$S$7)*1</f>
        <v>0</v>
      </c>
      <c r="T7" s="13">
        <f>('TUSD BE'!$U$7+'TUSD BF'!$U$7+'TUSD CVA'!$U$7)*1</f>
        <v>0</v>
      </c>
      <c r="U7" s="13">
        <f>('TUSD BE'!$V$7+'TUSD BF'!$V$7+'TUSD CVA'!$V$7)*1</f>
        <v>0</v>
      </c>
      <c r="V7" s="13">
        <f>('TUSD BE'!$W$7+'TUSD BF'!$W$7+'TUSD CVA'!$W$7)*1</f>
        <v>0</v>
      </c>
      <c r="W7" s="13">
        <f>('TUSD BE'!$X$7+'TUSD BF'!$X$7+'TUSD CVA'!$X$7)*1</f>
        <v>0</v>
      </c>
      <c r="X7" s="13">
        <f>('TUSD BE'!$Y$7+'TUSD BF'!$Y$7+'TUSD CVA'!$Y$7)*1</f>
        <v>0</v>
      </c>
      <c r="Y7" s="13">
        <f>('TUSD BE'!$Z$7+'TUSD BF'!$Z$7+'TUSD CVA'!$Z$7)*1</f>
        <v>0</v>
      </c>
      <c r="Z7" s="13">
        <f>('TUSD BE'!$AA$7+'TUSD BF'!$AA$7+'TUSD CVA'!$AA$7)*1</f>
        <v>0</v>
      </c>
      <c r="AA7" s="13">
        <f>('TUSD BE'!$AC$7+'TUSD BF'!$AC$7+'TUSD CVA'!$AC$7)*1</f>
        <v>0</v>
      </c>
      <c r="AB7" s="13">
        <f ca="1">('TUSD BE'!$AE$7+'TUSD BF'!$AE$7+'TUSD CVA'!$AE$7)*1</f>
        <v>-3.4423099730683928</v>
      </c>
      <c r="AC7" s="13">
        <f ca="1">('TUSD BE'!$AF$7+'TUSD BF'!$AF$7+'TUSD CVA'!$AF$7)*1</f>
        <v>0</v>
      </c>
      <c r="AD7" s="13">
        <f>('TUSD BE'!$AH$7+'TUSD BF'!$AH$7+'TUSD CVA'!$AH$7)*1</f>
        <v>6.0094304389897202</v>
      </c>
      <c r="AE7" s="13">
        <f>('TUSD BE'!$AI$7+'TUSD BF'!$AI$7+'TUSD CVA'!$AI$7)*1</f>
        <v>0</v>
      </c>
      <c r="AF7" s="13">
        <f ca="1">('TUSD BE'!$AJ$7+'TUSD BF'!$AJ$7+'TUSD CVA'!$AJ$7)*1</f>
        <v>0.54989418391913303</v>
      </c>
      <c r="AG7" s="13">
        <f ca="1">('TUSD BE'!$AK$7+'TUSD BF'!$AK$7+'TUSD CVA'!$AK$7)*1</f>
        <v>8.291995603494115E-2</v>
      </c>
      <c r="AI7" s="13">
        <v>1.5361006942343101</v>
      </c>
      <c r="AJ7" s="13">
        <v>2.3879092649942601E-2</v>
      </c>
      <c r="AK7" s="13">
        <v>0.23783572886369</v>
      </c>
      <c r="AL7" s="13">
        <v>0</v>
      </c>
      <c r="AM7" s="13">
        <v>0</v>
      </c>
      <c r="AN7" s="13">
        <v>41.008378093704401</v>
      </c>
      <c r="AO7" s="13">
        <v>9.3717997119616303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-0.81964952695622495</v>
      </c>
      <c r="AZ7" s="13">
        <v>0</v>
      </c>
      <c r="BA7" s="13">
        <v>6.2682197322064797</v>
      </c>
      <c r="BB7" s="13">
        <v>0</v>
      </c>
      <c r="BC7" s="13">
        <v>0.20246295388135299</v>
      </c>
      <c r="BD7" s="13">
        <v>2.7797802765711501E-2</v>
      </c>
    </row>
    <row r="8" spans="1:56" ht="11.25" customHeight="1" x14ac:dyDescent="0.3">
      <c r="A8" s="146"/>
      <c r="B8" s="146"/>
      <c r="C8" s="146"/>
      <c r="D8" s="146"/>
      <c r="E8" s="23" t="s">
        <v>85</v>
      </c>
      <c r="F8" s="23" t="s">
        <v>25</v>
      </c>
      <c r="G8" s="24" t="s">
        <v>84</v>
      </c>
      <c r="H8" s="24" t="s">
        <v>78</v>
      </c>
      <c r="I8" s="24">
        <f>'MERCADO TUSD'!$U$5</f>
        <v>0</v>
      </c>
      <c r="J8" s="15"/>
      <c r="L8" s="13">
        <f>('TUSD BE'!$L$8+'TUSD BF'!$L$8+'TUSD CVA'!$L$8)*1</f>
        <v>0</v>
      </c>
      <c r="M8" s="13">
        <f>('TUSD BE'!$M$8+'TUSD BF'!$M$8+'TUSD CVA'!$M$8)*1</f>
        <v>0.11416171243093007</v>
      </c>
      <c r="N8" s="13">
        <f ca="1">('TUSD BE'!$N$8+'TUSD BF'!$N$8+'TUSD CVA'!$N$8)*1</f>
        <v>0.30006848758297211</v>
      </c>
      <c r="O8" s="13">
        <f>('TUSD BE'!$O$8+'TUSD BF'!$O$8+'TUSD CVA'!$O$8)*1</f>
        <v>0</v>
      </c>
      <c r="P8" s="13">
        <f>('TUSD BE'!$P$8+'TUSD BF'!$P$8+'TUSD CVA'!$P$8)*1</f>
        <v>0</v>
      </c>
      <c r="Q8" s="13">
        <f>('TUSD BE'!$Q$8+'TUSD BF'!$Q$8+'TUSD CVA'!$Q$8)*1</f>
        <v>0</v>
      </c>
      <c r="R8" s="13">
        <f>('TUSD BE'!$R$8+'TUSD BF'!$R$8+'TUSD CVA'!$R$8)*1</f>
        <v>0</v>
      </c>
      <c r="S8" s="13">
        <f>('TUSD BE'!$S$8+'TUSD BF'!$S$8+'TUSD CVA'!$S$8)*1</f>
        <v>0</v>
      </c>
      <c r="T8" s="13">
        <f>('TUSD BE'!$U$8+'TUSD BF'!$U$8+'TUSD CVA'!$U$8)*1</f>
        <v>0</v>
      </c>
      <c r="U8" s="13">
        <f>('TUSD BE'!$V$8+'TUSD BF'!$V$8+'TUSD CVA'!$V$8)*1</f>
        <v>0</v>
      </c>
      <c r="V8" s="13">
        <f>('TUSD BE'!$W$8+'TUSD BF'!$W$8+'TUSD CVA'!$W$8)*1</f>
        <v>0</v>
      </c>
      <c r="W8" s="13">
        <f>('TUSD BE'!$X$8+'TUSD BF'!$X$8+'TUSD CVA'!$X$8)*1</f>
        <v>0</v>
      </c>
      <c r="X8" s="13">
        <f>('TUSD BE'!$Y$8+'TUSD BF'!$Y$8+'TUSD CVA'!$Y$8)*1</f>
        <v>0</v>
      </c>
      <c r="Y8" s="13">
        <f>('TUSD BE'!$Z$8+'TUSD BF'!$Z$8+'TUSD CVA'!$Z$8)*1</f>
        <v>0</v>
      </c>
      <c r="Z8" s="13">
        <f>('TUSD BE'!$AA$8+'TUSD BF'!$AA$8+'TUSD CVA'!$AA$8)*1</f>
        <v>0</v>
      </c>
      <c r="AA8" s="13">
        <f>('TUSD BE'!$AC$8+'TUSD BF'!$AC$8+'TUSD CVA'!$AC$8)*1</f>
        <v>0</v>
      </c>
      <c r="AB8" s="13">
        <f ca="1">('TUSD BE'!$AE$8+'TUSD BF'!$AE$8+'TUSD CVA'!$AE$8)*1</f>
        <v>-0.27679074762087597</v>
      </c>
      <c r="AC8" s="13">
        <f ca="1">('TUSD BE'!$AF$8+'TUSD BF'!$AF$8+'TUSD CVA'!$AF$8)*1</f>
        <v>0</v>
      </c>
      <c r="AD8" s="13">
        <f>('TUSD BE'!$AH$8+'TUSD BF'!$AH$8+'TUSD CVA'!$AH$8)*1</f>
        <v>6.0094304389897202</v>
      </c>
      <c r="AE8" s="13">
        <f>('TUSD BE'!$AI$8+'TUSD BF'!$AI$8+'TUSD CVA'!$AI$8)*1</f>
        <v>0</v>
      </c>
      <c r="AF8" s="13">
        <f ca="1">('TUSD BE'!$AJ$8+'TUSD BF'!$AJ$8+'TUSD CVA'!$AJ$8)*1</f>
        <v>0.54989418391913303</v>
      </c>
      <c r="AG8" s="13">
        <f ca="1">('TUSD BE'!$AK$8+'TUSD BF'!$AK$8+'TUSD CVA'!$AK$8)*1</f>
        <v>8.291995603494115E-2</v>
      </c>
      <c r="AI8" s="13">
        <v>0</v>
      </c>
      <c r="AJ8" s="13">
        <v>2.3879092649942601E-2</v>
      </c>
      <c r="AK8" s="13">
        <v>0.222287346594646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-0.108698521735968</v>
      </c>
      <c r="AZ8" s="13">
        <v>0</v>
      </c>
      <c r="BA8" s="13">
        <v>6.2682197322064797</v>
      </c>
      <c r="BB8" s="13">
        <v>0</v>
      </c>
      <c r="BC8" s="13">
        <v>0.20246295388135299</v>
      </c>
      <c r="BD8" s="13">
        <v>2.7797802765711501E-2</v>
      </c>
    </row>
    <row r="9" spans="1:56" ht="11.25" customHeight="1" x14ac:dyDescent="0.3">
      <c r="A9" s="146" t="s">
        <v>34</v>
      </c>
      <c r="B9" s="146" t="s">
        <v>54</v>
      </c>
      <c r="C9" s="146" t="s">
        <v>25</v>
      </c>
      <c r="D9" s="146" t="s">
        <v>25</v>
      </c>
      <c r="E9" s="146" t="s">
        <v>25</v>
      </c>
      <c r="F9" s="146" t="s">
        <v>25</v>
      </c>
      <c r="G9" s="24" t="s">
        <v>82</v>
      </c>
      <c r="H9" s="24" t="s">
        <v>81</v>
      </c>
      <c r="I9" s="24">
        <f>'MERCADO TUSD'!$U$6</f>
        <v>74447</v>
      </c>
      <c r="J9" s="15"/>
      <c r="L9" s="13">
        <f>('TUSD BE'!$L$9+'TUSD BF'!$L$9+'TUSD CVA'!$L$9)*1</f>
        <v>0</v>
      </c>
      <c r="M9" s="13">
        <f>('TUSD BE'!$M$9+'TUSD BF'!$M$9+'TUSD CVA'!$M$9)*1</f>
        <v>0</v>
      </c>
      <c r="N9" s="13">
        <f ca="1">('TUSD BE'!$N$9+'TUSD BF'!$N$9+'TUSD CVA'!$N$9)*1</f>
        <v>0</v>
      </c>
      <c r="O9" s="13">
        <f>('TUSD BE'!$O$9+'TUSD BF'!$O$9+'TUSD CVA'!$O$9)*1</f>
        <v>0</v>
      </c>
      <c r="P9" s="13">
        <f>('TUSD BE'!$P$9+'TUSD BF'!$P$9+'TUSD CVA'!$P$9)*1</f>
        <v>0</v>
      </c>
      <c r="Q9" s="13">
        <f>('TUSD BE'!$Q$9+'TUSD BF'!$Q$9+'TUSD CVA'!$Q$9)*1</f>
        <v>0</v>
      </c>
      <c r="R9" s="13">
        <f>('TUSD BE'!$R$9+'TUSD BF'!$R$9+'TUSD CVA'!$R$9)*1</f>
        <v>0</v>
      </c>
      <c r="S9" s="13">
        <f>('TUSD BE'!$S$9+'TUSD BF'!$S$9+'TUSD CVA'!$S$9)*1</f>
        <v>0</v>
      </c>
      <c r="T9" s="13">
        <f>('TUSD BE'!$U$9+'TUSD BF'!$U$9+'TUSD CVA'!$U$9)*1</f>
        <v>0</v>
      </c>
      <c r="U9" s="13">
        <f>('TUSD BE'!$V$9+'TUSD BF'!$V$9+'TUSD CVA'!$V$9)*1</f>
        <v>0</v>
      </c>
      <c r="V9" s="13">
        <f>('TUSD BE'!$W$9+'TUSD BF'!$W$9+'TUSD CVA'!$W$9)*1</f>
        <v>0</v>
      </c>
      <c r="W9" s="13">
        <f>('TUSD BE'!$X$9+'TUSD BF'!$X$9+'TUSD CVA'!$X$9)*1</f>
        <v>0</v>
      </c>
      <c r="X9" s="13">
        <f>('TUSD BE'!$Y$9+'TUSD BF'!$Y$9+'TUSD CVA'!$Y$9)*1</f>
        <v>31.650005036618442</v>
      </c>
      <c r="Y9" s="13">
        <f>('TUSD BE'!$Z$9+'TUSD BF'!$Z$9+'TUSD CVA'!$Z$9)*1</f>
        <v>0</v>
      </c>
      <c r="Z9" s="13">
        <f>('TUSD BE'!$AA$9+'TUSD BF'!$AA$9+'TUSD CVA'!$AA$9)*1</f>
        <v>0</v>
      </c>
      <c r="AA9" s="13">
        <f>('TUSD BE'!$AC$9+'TUSD BF'!$AC$9+'TUSD CVA'!$AC$9)*1</f>
        <v>8.4427008313856629</v>
      </c>
      <c r="AB9" s="13">
        <f ca="1">('TUSD BE'!$AE$9+'TUSD BF'!$AE$9+'TUSD CVA'!$AE$9)*1</f>
        <v>-1.4880239359383549</v>
      </c>
      <c r="AC9" s="13">
        <f ca="1">('TUSD BE'!$AF$9+'TUSD BF'!$AF$9+'TUSD CVA'!$AF$9)*1</f>
        <v>0</v>
      </c>
      <c r="AD9" s="13">
        <f>('TUSD BE'!$AH$9+'TUSD BF'!$AH$9+'TUSD CVA'!$AH$9)*1</f>
        <v>0</v>
      </c>
      <c r="AE9" s="13">
        <f>('TUSD BE'!$AI$9+'TUSD BF'!$AI$9+'TUSD CVA'!$AI$9)*1</f>
        <v>0</v>
      </c>
      <c r="AF9" s="13">
        <f ca="1">('TUSD BE'!$AJ$9+'TUSD BF'!$AJ$9+'TUSD CVA'!$AJ$9)*1</f>
        <v>0</v>
      </c>
      <c r="AG9" s="13">
        <f ca="1">('TUSD BE'!$AK$9+'TUSD BF'!$AK$9+'TUSD CVA'!$AK$9)*1</f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22.560117469542401</v>
      </c>
      <c r="AV9" s="13">
        <v>0</v>
      </c>
      <c r="AW9" s="13">
        <v>0</v>
      </c>
      <c r="AX9" s="13">
        <v>7.2896296028572101</v>
      </c>
      <c r="AY9" s="13">
        <v>-0.45794490195998699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</row>
    <row r="10" spans="1:56" ht="11.25" customHeight="1" x14ac:dyDescent="0.3">
      <c r="A10" s="146"/>
      <c r="B10" s="146"/>
      <c r="C10" s="146"/>
      <c r="D10" s="146"/>
      <c r="E10" s="146"/>
      <c r="F10" s="146"/>
      <c r="G10" s="24" t="s">
        <v>83</v>
      </c>
      <c r="H10" s="24" t="s">
        <v>81</v>
      </c>
      <c r="I10" s="24">
        <f>'MERCADO TUSD'!$U$7</f>
        <v>79182</v>
      </c>
      <c r="J10" s="15"/>
      <c r="L10" s="13">
        <f>('TUSD BE'!$L$10+'TUSD BF'!$L$10+'TUSD CVA'!$L$10)*1</f>
        <v>0</v>
      </c>
      <c r="M10" s="13">
        <f>('TUSD BE'!$M$10+'TUSD BF'!$M$10+'TUSD CVA'!$M$10)*1</f>
        <v>0</v>
      </c>
      <c r="N10" s="13">
        <f ca="1">('TUSD BE'!$N$10+'TUSD BF'!$N$10+'TUSD CVA'!$N$10)*1</f>
        <v>0</v>
      </c>
      <c r="O10" s="13">
        <f>('TUSD BE'!$O$10+'TUSD BF'!$O$10+'TUSD CVA'!$O$10)*1</f>
        <v>0</v>
      </c>
      <c r="P10" s="13">
        <f>('TUSD BE'!$P$10+'TUSD BF'!$P$10+'TUSD CVA'!$P$10)*1</f>
        <v>0</v>
      </c>
      <c r="Q10" s="13">
        <f>('TUSD BE'!$Q$10+'TUSD BF'!$Q$10+'TUSD CVA'!$Q$10)*1</f>
        <v>0</v>
      </c>
      <c r="R10" s="13">
        <f>('TUSD BE'!$R$10+'TUSD BF'!$R$10+'TUSD CVA'!$R$10)*1</f>
        <v>0</v>
      </c>
      <c r="S10" s="13">
        <f>('TUSD BE'!$S$10+'TUSD BF'!$S$10+'TUSD CVA'!$S$10)*1</f>
        <v>0</v>
      </c>
      <c r="T10" s="13">
        <f>('TUSD BE'!$U$10+'TUSD BF'!$U$10+'TUSD CVA'!$U$10)*1</f>
        <v>0</v>
      </c>
      <c r="U10" s="13">
        <f>('TUSD BE'!$V$10+'TUSD BF'!$V$10+'TUSD CVA'!$V$10)*1</f>
        <v>0</v>
      </c>
      <c r="V10" s="13">
        <f>('TUSD BE'!$W$10+'TUSD BF'!$W$10+'TUSD CVA'!$W$10)*1</f>
        <v>0</v>
      </c>
      <c r="W10" s="13">
        <f>('TUSD BE'!$X$10+'TUSD BF'!$X$10+'TUSD CVA'!$X$10)*1</f>
        <v>0</v>
      </c>
      <c r="X10" s="13">
        <f>('TUSD BE'!$Y$10+'TUSD BF'!$Y$10+'TUSD CVA'!$Y$10)*1</f>
        <v>16.121871844506853</v>
      </c>
      <c r="Y10" s="13">
        <f>('TUSD BE'!$Z$10+'TUSD BF'!$Z$10+'TUSD CVA'!$Z$10)*1</f>
        <v>0</v>
      </c>
      <c r="Z10" s="13">
        <f>('TUSD BE'!$AA$10+'TUSD BF'!$AA$10+'TUSD CVA'!$AA$10)*1</f>
        <v>0</v>
      </c>
      <c r="AA10" s="13">
        <f>('TUSD BE'!$AC$10+'TUSD BF'!$AC$10+'TUSD CVA'!$AC$10)*1</f>
        <v>8.4427008313856629</v>
      </c>
      <c r="AB10" s="13">
        <f ca="1">('TUSD BE'!$AE$10+'TUSD BF'!$AE$10+'TUSD CVA'!$AE$10)*1</f>
        <v>-0.92068565249466261</v>
      </c>
      <c r="AC10" s="13">
        <f ca="1">('TUSD BE'!$AF$10+'TUSD BF'!$AF$10+'TUSD CVA'!$AF$10)*1</f>
        <v>0</v>
      </c>
      <c r="AD10" s="13">
        <f>('TUSD BE'!$AH$10+'TUSD BF'!$AH$10+'TUSD CVA'!$AH$10)*1</f>
        <v>0</v>
      </c>
      <c r="AE10" s="13">
        <f>('TUSD BE'!$AI$10+'TUSD BF'!$AI$10+'TUSD CVA'!$AI$10)*1</f>
        <v>0</v>
      </c>
      <c r="AF10" s="13">
        <f ca="1">('TUSD BE'!$AJ$10+'TUSD BF'!$AJ$10+'TUSD CVA'!$AJ$10)*1</f>
        <v>0</v>
      </c>
      <c r="AG10" s="13">
        <f ca="1">('TUSD BE'!$AK$10+'TUSD BF'!$AK$10+'TUSD CVA'!$AK$10)*1</f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11.4916671330755</v>
      </c>
      <c r="AV10" s="13">
        <v>0</v>
      </c>
      <c r="AW10" s="13">
        <v>0</v>
      </c>
      <c r="AX10" s="13">
        <v>7.2896296028572101</v>
      </c>
      <c r="AY10" s="13">
        <v>-0.28964625266155197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</row>
    <row r="11" spans="1:56" ht="11.25" customHeight="1" x14ac:dyDescent="0.3">
      <c r="A11" s="146"/>
      <c r="B11" s="146"/>
      <c r="C11" s="146"/>
      <c r="D11" s="146"/>
      <c r="E11" s="146"/>
      <c r="F11" s="146"/>
      <c r="G11" s="24" t="s">
        <v>84</v>
      </c>
      <c r="H11" s="24" t="s">
        <v>78</v>
      </c>
      <c r="I11" s="24">
        <f>'MERCADO TUSD'!$U$8</f>
        <v>33099.82804</v>
      </c>
      <c r="J11" s="15"/>
      <c r="L11" s="13">
        <f>('TUSD BE'!$L$11+'TUSD BF'!$L$11+'TUSD CVA'!$L$11)*1</f>
        <v>2.3810621050216532</v>
      </c>
      <c r="M11" s="13">
        <f>('TUSD BE'!$M$11+'TUSD BF'!$M$11+'TUSD CVA'!$M$11)*1</f>
        <v>0.20761044993435177</v>
      </c>
      <c r="N11" s="13">
        <f ca="1">('TUSD BE'!$N$11+'TUSD BF'!$N$11+'TUSD CVA'!$N$11)*1</f>
        <v>0.41843652022731348</v>
      </c>
      <c r="O11" s="13">
        <f>('TUSD BE'!$O$11+'TUSD BF'!$O$11+'TUSD CVA'!$O$11)*1</f>
        <v>0</v>
      </c>
      <c r="P11" s="13">
        <f>('TUSD BE'!$P$11+'TUSD BF'!$P$11+'TUSD CVA'!$P$11)*1</f>
        <v>0</v>
      </c>
      <c r="Q11" s="13">
        <f>('TUSD BE'!$Q$11+'TUSD BF'!$Q$11+'TUSD CVA'!$Q$11)*1</f>
        <v>112.18176474318761</v>
      </c>
      <c r="R11" s="13">
        <f>('TUSD BE'!$R$11+'TUSD BF'!$R$11+'TUSD CVA'!$R$11)*1</f>
        <v>20.280631063481596</v>
      </c>
      <c r="S11" s="13">
        <f>('TUSD BE'!$S$11+'TUSD BF'!$S$11+'TUSD CVA'!$S$11)*1</f>
        <v>0</v>
      </c>
      <c r="T11" s="13">
        <f>('TUSD BE'!$U$11+'TUSD BF'!$U$11+'TUSD CVA'!$U$11)*1</f>
        <v>0</v>
      </c>
      <c r="U11" s="13">
        <f>('TUSD BE'!$V$11+'TUSD BF'!$V$11+'TUSD CVA'!$V$11)*1</f>
        <v>0</v>
      </c>
      <c r="V11" s="13">
        <f>('TUSD BE'!$W$11+'TUSD BF'!$W$11+'TUSD CVA'!$W$11)*1</f>
        <v>0</v>
      </c>
      <c r="W11" s="13">
        <f>('TUSD BE'!$X$11+'TUSD BF'!$X$11+'TUSD CVA'!$X$11)*1</f>
        <v>0</v>
      </c>
      <c r="X11" s="13">
        <f>('TUSD BE'!$Y$11+'TUSD BF'!$Y$11+'TUSD CVA'!$Y$11)*1</f>
        <v>0</v>
      </c>
      <c r="Y11" s="13">
        <f>('TUSD BE'!$Z$11+'TUSD BF'!$Z$11+'TUSD CVA'!$Z$11)*1</f>
        <v>0</v>
      </c>
      <c r="Z11" s="13">
        <f>('TUSD BE'!$AA$11+'TUSD BF'!$AA$11+'TUSD CVA'!$AA$11)*1</f>
        <v>0</v>
      </c>
      <c r="AA11" s="13">
        <f>('TUSD BE'!$AC$11+'TUSD BF'!$AC$11+'TUSD CVA'!$AC$11)*1</f>
        <v>0</v>
      </c>
      <c r="AB11" s="13">
        <f ca="1">('TUSD BE'!$AE$11+'TUSD BF'!$AE$11+'TUSD CVA'!$AE$11)*1</f>
        <v>-4.452642629207725</v>
      </c>
      <c r="AC11" s="13">
        <f ca="1">('TUSD BE'!$AF$11+'TUSD BF'!$AF$11+'TUSD CVA'!$AF$11)*1</f>
        <v>0</v>
      </c>
      <c r="AD11" s="13">
        <f>('TUSD BE'!$AH$11+'TUSD BF'!$AH$11+'TUSD CVA'!$AH$11)*1</f>
        <v>8.0125427393814164</v>
      </c>
      <c r="AE11" s="13">
        <f>('TUSD BE'!$AI$11+'TUSD BF'!$AI$11+'TUSD CVA'!$AI$11)*1</f>
        <v>0</v>
      </c>
      <c r="AF11" s="13">
        <f ca="1">('TUSD BE'!$AJ$11+'TUSD BF'!$AJ$11+'TUSD CVA'!$AJ$11)*1</f>
        <v>0.8344461492775872</v>
      </c>
      <c r="AG11" s="13">
        <f ca="1">('TUSD BE'!$AK$11+'TUSD BF'!$AK$11+'TUSD CVA'!$AK$11)*1</f>
        <v>0.12582827757603421</v>
      </c>
      <c r="AI11" s="13">
        <v>1.99463821490127</v>
      </c>
      <c r="AJ11" s="13">
        <v>0.15429226780718</v>
      </c>
      <c r="AK11" s="13">
        <v>0.32466698052670601</v>
      </c>
      <c r="AL11" s="13">
        <v>0</v>
      </c>
      <c r="AM11" s="13">
        <v>0</v>
      </c>
      <c r="AN11" s="13">
        <v>53.249684987347599</v>
      </c>
      <c r="AO11" s="13">
        <v>9.3717997119616303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-1.0405520105193899</v>
      </c>
      <c r="AZ11" s="13">
        <v>0</v>
      </c>
      <c r="BA11" s="13">
        <v>8.3575937876371995</v>
      </c>
      <c r="BB11" s="13">
        <v>0</v>
      </c>
      <c r="BC11" s="13">
        <v>0.76089461655395496</v>
      </c>
      <c r="BD11" s="13">
        <v>0.104469474888989</v>
      </c>
    </row>
    <row r="12" spans="1:56" ht="11.25" customHeight="1" x14ac:dyDescent="0.3">
      <c r="A12" s="146"/>
      <c r="B12" s="146"/>
      <c r="C12" s="146"/>
      <c r="D12" s="146"/>
      <c r="E12" s="23" t="s">
        <v>85</v>
      </c>
      <c r="F12" s="23" t="s">
        <v>25</v>
      </c>
      <c r="G12" s="24" t="s">
        <v>84</v>
      </c>
      <c r="H12" s="24" t="s">
        <v>78</v>
      </c>
      <c r="I12" s="24">
        <f>'MERCADO TUSD'!$U$9</f>
        <v>0</v>
      </c>
      <c r="J12" s="15"/>
      <c r="L12" s="13">
        <f>('TUSD BE'!$L$12+'TUSD BF'!$L$12+'TUSD CVA'!$L$12)*1</f>
        <v>0</v>
      </c>
      <c r="M12" s="13">
        <f>('TUSD BE'!$M$12+'TUSD BF'!$M$12+'TUSD CVA'!$M$12)*1</f>
        <v>0.20761044993435177</v>
      </c>
      <c r="N12" s="13">
        <f ca="1">('TUSD BE'!$N$12+'TUSD BF'!$N$12+'TUSD CVA'!$N$12)*1</f>
        <v>0.39848946305056565</v>
      </c>
      <c r="O12" s="13">
        <f>('TUSD BE'!$O$12+'TUSD BF'!$O$12+'TUSD CVA'!$O$12)*1</f>
        <v>0</v>
      </c>
      <c r="P12" s="13">
        <f>('TUSD BE'!$P$12+'TUSD BF'!$P$12+'TUSD CVA'!$P$12)*1</f>
        <v>0</v>
      </c>
      <c r="Q12" s="13">
        <f>('TUSD BE'!$Q$12+'TUSD BF'!$Q$12+'TUSD CVA'!$Q$12)*1</f>
        <v>0</v>
      </c>
      <c r="R12" s="13">
        <f>('TUSD BE'!$R$12+'TUSD BF'!$R$12+'TUSD CVA'!$R$12)*1</f>
        <v>0</v>
      </c>
      <c r="S12" s="13">
        <f>('TUSD BE'!$S$12+'TUSD BF'!$S$12+'TUSD CVA'!$S$12)*1</f>
        <v>0</v>
      </c>
      <c r="T12" s="13">
        <f>('TUSD BE'!$U$12+'TUSD BF'!$U$12+'TUSD CVA'!$U$12)*1</f>
        <v>0</v>
      </c>
      <c r="U12" s="13">
        <f>('TUSD BE'!$V$12+'TUSD BF'!$V$12+'TUSD CVA'!$V$12)*1</f>
        <v>0</v>
      </c>
      <c r="V12" s="13">
        <f>('TUSD BE'!$W$12+'TUSD BF'!$W$12+'TUSD CVA'!$W$12)*1</f>
        <v>0</v>
      </c>
      <c r="W12" s="13">
        <f>('TUSD BE'!$X$12+'TUSD BF'!$X$12+'TUSD CVA'!$X$12)*1</f>
        <v>0</v>
      </c>
      <c r="X12" s="13">
        <f>('TUSD BE'!$Y$12+'TUSD BF'!$Y$12+'TUSD CVA'!$Y$12)*1</f>
        <v>0</v>
      </c>
      <c r="Y12" s="13">
        <f>('TUSD BE'!$Z$12+'TUSD BF'!$Z$12+'TUSD CVA'!$Z$12)*1</f>
        <v>0</v>
      </c>
      <c r="Z12" s="13">
        <f>('TUSD BE'!$AA$12+'TUSD BF'!$AA$12+'TUSD CVA'!$AA$12)*1</f>
        <v>0</v>
      </c>
      <c r="AA12" s="13">
        <f>('TUSD BE'!$AC$12+'TUSD BF'!$AC$12+'TUSD CVA'!$AC$12)*1</f>
        <v>0</v>
      </c>
      <c r="AB12" s="13">
        <f ca="1">('TUSD BE'!$AE$12+'TUSD BF'!$AE$12+'TUSD CVA'!$AE$12)*1</f>
        <v>-0.37562647414091088</v>
      </c>
      <c r="AC12" s="13">
        <f ca="1">('TUSD BE'!$AF$12+'TUSD BF'!$AF$12+'TUSD CVA'!$AF$12)*1</f>
        <v>0</v>
      </c>
      <c r="AD12" s="13">
        <f>('TUSD BE'!$AH$12+'TUSD BF'!$AH$12+'TUSD CVA'!$AH$12)*1</f>
        <v>8.0125427393814164</v>
      </c>
      <c r="AE12" s="13">
        <f>('TUSD BE'!$AI$12+'TUSD BF'!$AI$12+'TUSD CVA'!$AI$12)*1</f>
        <v>0</v>
      </c>
      <c r="AF12" s="13">
        <f ca="1">('TUSD BE'!$AJ$12+'TUSD BF'!$AJ$12+'TUSD CVA'!$AJ$12)*1</f>
        <v>0.8344461492775872</v>
      </c>
      <c r="AG12" s="13">
        <f ca="1">('TUSD BE'!$AK$12+'TUSD BF'!$AK$12+'TUSD CVA'!$AK$12)*1</f>
        <v>0.12582827757603421</v>
      </c>
      <c r="AI12" s="13">
        <v>0</v>
      </c>
      <c r="AJ12" s="13">
        <v>0.15429226780718</v>
      </c>
      <c r="AK12" s="13">
        <v>0.30911859825766203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-0.15613794759673499</v>
      </c>
      <c r="AZ12" s="13">
        <v>0</v>
      </c>
      <c r="BA12" s="13">
        <v>8.3575937876371995</v>
      </c>
      <c r="BB12" s="13">
        <v>0</v>
      </c>
      <c r="BC12" s="13">
        <v>0.76089461655395496</v>
      </c>
      <c r="BD12" s="13">
        <v>0.104469474888989</v>
      </c>
    </row>
    <row r="13" spans="1:56" ht="11.25" customHeight="1" x14ac:dyDescent="0.3">
      <c r="A13" s="146"/>
      <c r="B13" s="23" t="s">
        <v>57</v>
      </c>
      <c r="C13" s="23" t="s">
        <v>25</v>
      </c>
      <c r="D13" s="23" t="s">
        <v>25</v>
      </c>
      <c r="E13" s="23" t="s">
        <v>25</v>
      </c>
      <c r="F13" s="23" t="s">
        <v>25</v>
      </c>
      <c r="G13" s="24" t="s">
        <v>9</v>
      </c>
      <c r="H13" s="24" t="s">
        <v>81</v>
      </c>
      <c r="I13" s="24">
        <f>'MERCADO TUSD'!$U$10</f>
        <v>33000</v>
      </c>
      <c r="J13" s="15"/>
      <c r="L13" s="13">
        <f>('TUSD BE'!$L$13+'TUSD BF'!$L$13+'TUSD CVA'!$L$13)*1</f>
        <v>0</v>
      </c>
      <c r="M13" s="13">
        <f>('TUSD BE'!$M$13+'TUSD BF'!$M$13+'TUSD CVA'!$M$13)*1</f>
        <v>3.1445532428147231E-2</v>
      </c>
      <c r="N13" s="13">
        <f ca="1">('TUSD BE'!$N$13+'TUSD BF'!$N$13+'TUSD CVA'!$N$13)*1</f>
        <v>0.15219604625858613</v>
      </c>
      <c r="O13" s="13">
        <f>('TUSD BE'!$O$13+'TUSD BF'!$O$13+'TUSD CVA'!$O$13)*1</f>
        <v>0</v>
      </c>
      <c r="P13" s="13">
        <f>('TUSD BE'!$P$13+'TUSD BF'!$P$13+'TUSD CVA'!$P$13)*1</f>
        <v>0</v>
      </c>
      <c r="Q13" s="13">
        <f>('TUSD BE'!$Q$13+'TUSD BF'!$Q$13+'TUSD CVA'!$Q$13)*1</f>
        <v>0</v>
      </c>
      <c r="R13" s="13">
        <f>('TUSD BE'!$R$13+'TUSD BF'!$R$13+'TUSD CVA'!$R$13)*1</f>
        <v>0</v>
      </c>
      <c r="S13" s="13">
        <f>('TUSD BE'!$S$13+'TUSD BF'!$S$13+'TUSD CVA'!$S$13)*1</f>
        <v>0</v>
      </c>
      <c r="T13" s="13">
        <f>('TUSD BE'!$U$13+'TUSD BF'!$U$13+'TUSD CVA'!$U$13)*1</f>
        <v>0</v>
      </c>
      <c r="U13" s="13">
        <f>('TUSD BE'!$V$13+'TUSD BF'!$V$13+'TUSD CVA'!$V$13)*1</f>
        <v>0</v>
      </c>
      <c r="V13" s="13">
        <f>('TUSD BE'!$W$13+'TUSD BF'!$W$13+'TUSD CVA'!$W$13)*1</f>
        <v>0</v>
      </c>
      <c r="W13" s="13">
        <f>('TUSD BE'!$X$13+'TUSD BF'!$X$13+'TUSD CVA'!$X$13)*1</f>
        <v>0</v>
      </c>
      <c r="X13" s="13">
        <f>('TUSD BE'!$Y$13+'TUSD BF'!$Y$13+'TUSD CVA'!$Y$13)*1</f>
        <v>0</v>
      </c>
      <c r="Y13" s="13">
        <f>('TUSD BE'!$Z$13+'TUSD BF'!$Z$13+'TUSD CVA'!$Z$13)*1</f>
        <v>0</v>
      </c>
      <c r="Z13" s="13">
        <f>('TUSD BE'!$AA$13+'TUSD BF'!$AA$13+'TUSD CVA'!$AA$13)*1</f>
        <v>0</v>
      </c>
      <c r="AA13" s="13">
        <f>('TUSD BE'!$AC$13+'TUSD BF'!$AC$13+'TUSD CVA'!$AC$13)*1</f>
        <v>8.4428119561086827</v>
      </c>
      <c r="AB13" s="13">
        <f ca="1">('TUSD BE'!$AE$13+'TUSD BF'!$AE$13+'TUSD CVA'!$AE$13)*1</f>
        <v>-0.33891534852056121</v>
      </c>
      <c r="AC13" s="13">
        <f ca="1">('TUSD BE'!$AF$13+'TUSD BF'!$AF$13+'TUSD CVA'!$AF$13)*1</f>
        <v>0</v>
      </c>
      <c r="AD13" s="13">
        <f>('TUSD BE'!$AH$13+'TUSD BF'!$AH$13+'TUSD CVA'!$AH$13)*1</f>
        <v>2.1513697365869249E-3</v>
      </c>
      <c r="AE13" s="13">
        <f>('TUSD BE'!$AI$13+'TUSD BF'!$AI$13+'TUSD CVA'!$AI$13)*1</f>
        <v>0</v>
      </c>
      <c r="AF13" s="13">
        <f ca="1">('TUSD BE'!$AJ$13+'TUSD BF'!$AJ$13+'TUSD CVA'!$AJ$13)*1</f>
        <v>0</v>
      </c>
      <c r="AG13" s="13">
        <f ca="1">('TUSD BE'!$AK$13+'TUSD BF'!$AK$13+'TUSD CVA'!$AK$13)*1</f>
        <v>0</v>
      </c>
      <c r="AI13" s="13">
        <v>0</v>
      </c>
      <c r="AJ13" s="13">
        <v>2.8915954975882702E-2</v>
      </c>
      <c r="AK13" s="13">
        <v>0.118634156712804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6.9252392730680503</v>
      </c>
      <c r="AY13" s="13">
        <v>-0.11147534016582999</v>
      </c>
      <c r="AZ13" s="13">
        <v>0</v>
      </c>
      <c r="BA13" s="13">
        <v>2.2440160296477401E-3</v>
      </c>
      <c r="BB13" s="13">
        <v>0</v>
      </c>
      <c r="BC13" s="13">
        <v>0</v>
      </c>
      <c r="BD13" s="13">
        <v>0</v>
      </c>
    </row>
    <row r="14" spans="1:56" ht="11.25" customHeight="1" x14ac:dyDescent="0.3">
      <c r="A14" s="146"/>
      <c r="B14" s="146" t="s">
        <v>35</v>
      </c>
      <c r="C14" s="146" t="s">
        <v>25</v>
      </c>
      <c r="D14" s="146" t="s">
        <v>25</v>
      </c>
      <c r="E14" s="146" t="s">
        <v>25</v>
      </c>
      <c r="F14" s="146" t="s">
        <v>25</v>
      </c>
      <c r="G14" s="24" t="s">
        <v>9</v>
      </c>
      <c r="H14" s="24" t="s">
        <v>81</v>
      </c>
      <c r="I14" s="24">
        <f>'MERCADO TUSD'!$U$11</f>
        <v>161517.14000000001</v>
      </c>
      <c r="J14" s="15"/>
      <c r="L14" s="13">
        <f>('TUSD BE'!$L$14+'TUSD BF'!$L$14+'TUSD CVA'!$L$14)*1</f>
        <v>0</v>
      </c>
      <c r="M14" s="13">
        <f>('TUSD BE'!$M$14+'TUSD BF'!$M$14+'TUSD CVA'!$M$14)*1</f>
        <v>0</v>
      </c>
      <c r="N14" s="13">
        <f ca="1">('TUSD BE'!$N$14+'TUSD BF'!$N$14+'TUSD CVA'!$N$14)*1</f>
        <v>0</v>
      </c>
      <c r="O14" s="13">
        <f>('TUSD BE'!$O$14+'TUSD BF'!$O$14+'TUSD CVA'!$O$14)*1</f>
        <v>0</v>
      </c>
      <c r="P14" s="13">
        <f>('TUSD BE'!$P$14+'TUSD BF'!$P$14+'TUSD CVA'!$P$14)*1</f>
        <v>0</v>
      </c>
      <c r="Q14" s="13">
        <f>('TUSD BE'!$Q$14+'TUSD BF'!$Q$14+'TUSD CVA'!$Q$14)*1</f>
        <v>0</v>
      </c>
      <c r="R14" s="13">
        <f>('TUSD BE'!$R$14+'TUSD BF'!$R$14+'TUSD CVA'!$R$14)*1</f>
        <v>0</v>
      </c>
      <c r="S14" s="13">
        <f>('TUSD BE'!$S$14+'TUSD BF'!$S$14+'TUSD CVA'!$S$14)*1</f>
        <v>0</v>
      </c>
      <c r="T14" s="13">
        <f>('TUSD BE'!$U$14+'TUSD BF'!$U$14+'TUSD CVA'!$U$14)*1</f>
        <v>0</v>
      </c>
      <c r="U14" s="13">
        <f>('TUSD BE'!$V$14+'TUSD BF'!$V$14+'TUSD CVA'!$V$14)*1</f>
        <v>0</v>
      </c>
      <c r="V14" s="13">
        <f>('TUSD BE'!$W$14+'TUSD BF'!$W$14+'TUSD CVA'!$W$14)*1</f>
        <v>0</v>
      </c>
      <c r="W14" s="13">
        <f>('TUSD BE'!$X$14+'TUSD BF'!$X$14+'TUSD CVA'!$X$14)*1</f>
        <v>0</v>
      </c>
      <c r="X14" s="13">
        <f>('TUSD BE'!$Y$14+'TUSD BF'!$Y$14+'TUSD CVA'!$Y$14)*1</f>
        <v>16.121871844506853</v>
      </c>
      <c r="Y14" s="13">
        <f>('TUSD BE'!$Z$14+'TUSD BF'!$Z$14+'TUSD CVA'!$Z$14)*1</f>
        <v>0</v>
      </c>
      <c r="Z14" s="13">
        <f>('TUSD BE'!$AA$14+'TUSD BF'!$AA$14+'TUSD CVA'!$AA$14)*1</f>
        <v>0</v>
      </c>
      <c r="AA14" s="13">
        <f>('TUSD BE'!$AC$14+'TUSD BF'!$AC$14+'TUSD CVA'!$AC$14)*1</f>
        <v>8.4427008313856629</v>
      </c>
      <c r="AB14" s="13">
        <f ca="1">('TUSD BE'!$AE$14+'TUSD BF'!$AE$14+'TUSD CVA'!$AE$14)*1</f>
        <v>-0.92068565249466261</v>
      </c>
      <c r="AC14" s="13">
        <f ca="1">('TUSD BE'!$AF$14+'TUSD BF'!$AF$14+'TUSD CVA'!$AF$14)*1</f>
        <v>0</v>
      </c>
      <c r="AD14" s="13">
        <f>('TUSD BE'!$AH$14+'TUSD BF'!$AH$14+'TUSD CVA'!$AH$14)*1</f>
        <v>0</v>
      </c>
      <c r="AE14" s="13">
        <f>('TUSD BE'!$AI$14+'TUSD BF'!$AI$14+'TUSD CVA'!$AI$14)*1</f>
        <v>0</v>
      </c>
      <c r="AF14" s="13">
        <f ca="1">('TUSD BE'!$AJ$14+'TUSD BF'!$AJ$14+'TUSD CVA'!$AJ$14)*1</f>
        <v>0</v>
      </c>
      <c r="AG14" s="13">
        <f ca="1">('TUSD BE'!$AK$14+'TUSD BF'!$AK$14+'TUSD CVA'!$AK$14)*1</f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11.4916671330755</v>
      </c>
      <c r="AV14" s="13">
        <v>0</v>
      </c>
      <c r="AW14" s="13">
        <v>0</v>
      </c>
      <c r="AX14" s="13">
        <v>7.2896296028572101</v>
      </c>
      <c r="AY14" s="13">
        <v>-0.28964625266155197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</row>
    <row r="15" spans="1:56" ht="11.25" customHeight="1" x14ac:dyDescent="0.3">
      <c r="A15" s="146"/>
      <c r="B15" s="146"/>
      <c r="C15" s="146"/>
      <c r="D15" s="146"/>
      <c r="E15" s="146"/>
      <c r="F15" s="146"/>
      <c r="G15" s="24" t="s">
        <v>79</v>
      </c>
      <c r="H15" s="24" t="s">
        <v>78</v>
      </c>
      <c r="I15" s="24">
        <f>'MERCADO TUSD'!$U$12</f>
        <v>3378.5688100000007</v>
      </c>
      <c r="J15" s="15"/>
      <c r="L15" s="13">
        <f>('TUSD BE'!$L$15+'TUSD BF'!$L$15+'TUSD CVA'!$L$15)*1</f>
        <v>2.3810621050216532</v>
      </c>
      <c r="M15" s="13">
        <f>('TUSD BE'!$M$15+'TUSD BF'!$M$15+'TUSD CVA'!$M$15)*1</f>
        <v>0.20761044993435177</v>
      </c>
      <c r="N15" s="13">
        <f ca="1">('TUSD BE'!$N$15+'TUSD BF'!$N$15+'TUSD CVA'!$N$15)*1</f>
        <v>12.762892271686667</v>
      </c>
      <c r="O15" s="13">
        <f>('TUSD BE'!$O$15+'TUSD BF'!$O$15+'TUSD CVA'!$O$15)*1</f>
        <v>0</v>
      </c>
      <c r="P15" s="13">
        <f>('TUSD BE'!$P$15+'TUSD BF'!$P$15+'TUSD CVA'!$P$15)*1</f>
        <v>0</v>
      </c>
      <c r="Q15" s="13">
        <f>('TUSD BE'!$Q$15+'TUSD BF'!$Q$15+'TUSD CVA'!$Q$15)*1</f>
        <v>112.18176474318761</v>
      </c>
      <c r="R15" s="13">
        <f>('TUSD BE'!$R$15+'TUSD BF'!$R$15+'TUSD CVA'!$R$15)*1</f>
        <v>20.280631063481596</v>
      </c>
      <c r="S15" s="13">
        <f>('TUSD BE'!$S$15+'TUSD BF'!$S$15+'TUSD CVA'!$S$15)*1</f>
        <v>0</v>
      </c>
      <c r="T15" s="13">
        <f>('TUSD BE'!$U$15+'TUSD BF'!$U$15+'TUSD CVA'!$U$15)*1</f>
        <v>0</v>
      </c>
      <c r="U15" s="13">
        <f>('TUSD BE'!$V$15+'TUSD BF'!$V$15+'TUSD CVA'!$V$15)*1</f>
        <v>0</v>
      </c>
      <c r="V15" s="13">
        <f>('TUSD BE'!$W$15+'TUSD BF'!$W$15+'TUSD CVA'!$W$15)*1</f>
        <v>0</v>
      </c>
      <c r="W15" s="13">
        <f>('TUSD BE'!$X$15+'TUSD BF'!$X$15+'TUSD CVA'!$X$15)*1</f>
        <v>0</v>
      </c>
      <c r="X15" s="13">
        <f>('TUSD BE'!$Y$15+'TUSD BF'!$Y$15+'TUSD CVA'!$Y$15)*1</f>
        <v>761.18167868836815</v>
      </c>
      <c r="Y15" s="13">
        <f>('TUSD BE'!$Z$15+'TUSD BF'!$Z$15+'TUSD CVA'!$Z$15)*1</f>
        <v>0</v>
      </c>
      <c r="Z15" s="13">
        <f>('TUSD BE'!$AA$15+'TUSD BF'!$AA$15+'TUSD CVA'!$AA$15)*1</f>
        <v>0</v>
      </c>
      <c r="AA15" s="13">
        <f>('TUSD BE'!$AC$15+'TUSD BF'!$AC$15+'TUSD CVA'!$AC$15)*1</f>
        <v>203.04664940183693</v>
      </c>
      <c r="AB15" s="13">
        <f ca="1">('TUSD BE'!$AE$15+'TUSD BF'!$AE$15+'TUSD CVA'!$AE$15)*1</f>
        <v>-40.724518252434152</v>
      </c>
      <c r="AC15" s="13">
        <f ca="1">('TUSD BE'!$AF$15+'TUSD BF'!$AF$15+'TUSD CVA'!$AF$15)*1</f>
        <v>0</v>
      </c>
      <c r="AD15" s="13">
        <f>('TUSD BE'!$AH$15+'TUSD BF'!$AH$15+'TUSD CVA'!$AH$15)*1</f>
        <v>8.0125427393814164</v>
      </c>
      <c r="AE15" s="13">
        <f>('TUSD BE'!$AI$15+'TUSD BF'!$AI$15+'TUSD CVA'!$AI$15)*1</f>
        <v>0</v>
      </c>
      <c r="AF15" s="13">
        <f ca="1">('TUSD BE'!$AJ$15+'TUSD BF'!$AJ$15+'TUSD CVA'!$AJ$15)*1</f>
        <v>0.8344461492775872</v>
      </c>
      <c r="AG15" s="13">
        <f ca="1">('TUSD BE'!$AK$15+'TUSD BF'!$AK$15+'TUSD CVA'!$AK$15)*1</f>
        <v>0.12582827757603421</v>
      </c>
      <c r="AI15" s="13">
        <v>1.99463821490127</v>
      </c>
      <c r="AJ15" s="13">
        <v>0.15429226780718</v>
      </c>
      <c r="AK15" s="13">
        <v>9.9469543799294193</v>
      </c>
      <c r="AL15" s="13">
        <v>0</v>
      </c>
      <c r="AM15" s="13">
        <v>0</v>
      </c>
      <c r="AN15" s="13">
        <v>53.249684987347599</v>
      </c>
      <c r="AO15" s="13">
        <v>9.3717997119616303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542.57015336980305</v>
      </c>
      <c r="AV15" s="13">
        <v>0</v>
      </c>
      <c r="AW15" s="13">
        <v>0</v>
      </c>
      <c r="AX15" s="13">
        <v>175.31532809242901</v>
      </c>
      <c r="AY15" s="13">
        <v>-12.200857628739699</v>
      </c>
      <c r="AZ15" s="13">
        <v>0</v>
      </c>
      <c r="BA15" s="13">
        <v>8.3575937876371995</v>
      </c>
      <c r="BB15" s="13">
        <v>0</v>
      </c>
      <c r="BC15" s="13">
        <v>0.76089461655395496</v>
      </c>
      <c r="BD15" s="13">
        <v>0.104469474888989</v>
      </c>
    </row>
    <row r="16" spans="1:56" ht="11.25" customHeight="1" x14ac:dyDescent="0.3">
      <c r="A16" s="146"/>
      <c r="B16" s="146"/>
      <c r="C16" s="146"/>
      <c r="D16" s="146"/>
      <c r="E16" s="146"/>
      <c r="F16" s="146"/>
      <c r="G16" s="24" t="s">
        <v>80</v>
      </c>
      <c r="H16" s="24" t="s">
        <v>78</v>
      </c>
      <c r="I16" s="24">
        <f>'MERCADO TUSD'!$U$13</f>
        <v>37684.03847</v>
      </c>
      <c r="J16" s="15"/>
      <c r="L16" s="13">
        <f>('TUSD BE'!$L$16+'TUSD BF'!$L$16+'TUSD CVA'!$L$16)*1</f>
        <v>2.3810621050216532</v>
      </c>
      <c r="M16" s="13">
        <f>('TUSD BE'!$M$16+'TUSD BF'!$M$16+'TUSD CVA'!$M$16)*1</f>
        <v>0.20761044993435177</v>
      </c>
      <c r="N16" s="13">
        <f ca="1">('TUSD BE'!$N$16+'TUSD BF'!$N$16+'TUSD CVA'!$N$16)*1</f>
        <v>0.41843652022731348</v>
      </c>
      <c r="O16" s="13">
        <f>('TUSD BE'!$O$16+'TUSD BF'!$O$16+'TUSD CVA'!$O$16)*1</f>
        <v>0</v>
      </c>
      <c r="P16" s="13">
        <f>('TUSD BE'!$P$16+'TUSD BF'!$P$16+'TUSD CVA'!$P$16)*1</f>
        <v>0</v>
      </c>
      <c r="Q16" s="13">
        <f>('TUSD BE'!$Q$16+'TUSD BF'!$Q$16+'TUSD CVA'!$Q$16)*1</f>
        <v>112.18176474318761</v>
      </c>
      <c r="R16" s="13">
        <f>('TUSD BE'!$R$16+'TUSD BF'!$R$16+'TUSD CVA'!$R$16)*1</f>
        <v>20.280631063481596</v>
      </c>
      <c r="S16" s="13">
        <f>('TUSD BE'!$S$16+'TUSD BF'!$S$16+'TUSD CVA'!$S$16)*1</f>
        <v>0</v>
      </c>
      <c r="T16" s="13">
        <f>('TUSD BE'!$U$16+'TUSD BF'!$U$16+'TUSD CVA'!$U$16)*1</f>
        <v>0</v>
      </c>
      <c r="U16" s="13">
        <f>('TUSD BE'!$V$16+'TUSD BF'!$V$16+'TUSD CVA'!$V$16)*1</f>
        <v>0</v>
      </c>
      <c r="V16" s="13">
        <f>('TUSD BE'!$W$16+'TUSD BF'!$W$16+'TUSD CVA'!$W$16)*1</f>
        <v>0</v>
      </c>
      <c r="W16" s="13">
        <f>('TUSD BE'!$X$16+'TUSD BF'!$X$16+'TUSD CVA'!$X$16)*1</f>
        <v>0</v>
      </c>
      <c r="X16" s="13">
        <f>('TUSD BE'!$Y$16+'TUSD BF'!$Y$16+'TUSD CVA'!$Y$16)*1</f>
        <v>0</v>
      </c>
      <c r="Y16" s="13">
        <f>('TUSD BE'!$Z$16+'TUSD BF'!$Z$16+'TUSD CVA'!$Z$16)*1</f>
        <v>0</v>
      </c>
      <c r="Z16" s="13">
        <f>('TUSD BE'!$AA$16+'TUSD BF'!$AA$16+'TUSD CVA'!$AA$16)*1</f>
        <v>0</v>
      </c>
      <c r="AA16" s="13">
        <f>('TUSD BE'!$AC$16+'TUSD BF'!$AC$16+'TUSD CVA'!$AC$16)*1</f>
        <v>0</v>
      </c>
      <c r="AB16" s="13">
        <f ca="1">('TUSD BE'!$AE$16+'TUSD BF'!$AE$16+'TUSD CVA'!$AE$16)*1</f>
        <v>-4.452642629207725</v>
      </c>
      <c r="AC16" s="13">
        <f ca="1">('TUSD BE'!$AF$16+'TUSD BF'!$AF$16+'TUSD CVA'!$AF$16)*1</f>
        <v>0</v>
      </c>
      <c r="AD16" s="13">
        <f>('TUSD BE'!$AH$16+'TUSD BF'!$AH$16+'TUSD CVA'!$AH$16)*1</f>
        <v>8.0125427393814164</v>
      </c>
      <c r="AE16" s="13">
        <f>('TUSD BE'!$AI$16+'TUSD BF'!$AI$16+'TUSD CVA'!$AI$16)*1</f>
        <v>0</v>
      </c>
      <c r="AF16" s="13">
        <f ca="1">('TUSD BE'!$AJ$16+'TUSD BF'!$AJ$16+'TUSD CVA'!$AJ$16)*1</f>
        <v>0.8344461492775872</v>
      </c>
      <c r="AG16" s="13">
        <f ca="1">('TUSD BE'!$AK$16+'TUSD BF'!$AK$16+'TUSD CVA'!$AK$16)*1</f>
        <v>0.12582827757603421</v>
      </c>
      <c r="AI16" s="13">
        <v>1.99463821490127</v>
      </c>
      <c r="AJ16" s="13">
        <v>0.15429226780718</v>
      </c>
      <c r="AK16" s="13">
        <v>0.32466698052670601</v>
      </c>
      <c r="AL16" s="13">
        <v>0</v>
      </c>
      <c r="AM16" s="13">
        <v>0</v>
      </c>
      <c r="AN16" s="13">
        <v>53.249684987347599</v>
      </c>
      <c r="AO16" s="13">
        <v>9.3717997119616303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-1.0405520105193899</v>
      </c>
      <c r="AZ16" s="13">
        <v>0</v>
      </c>
      <c r="BA16" s="13">
        <v>8.3575937876371995</v>
      </c>
      <c r="BB16" s="13">
        <v>0</v>
      </c>
      <c r="BC16" s="13">
        <v>0.76089461655395496</v>
      </c>
      <c r="BD16" s="13">
        <v>0.104469474888989</v>
      </c>
    </row>
    <row r="17" spans="1:56" ht="11.25" customHeight="1" x14ac:dyDescent="0.3">
      <c r="A17" s="146"/>
      <c r="B17" s="146"/>
      <c r="C17" s="146"/>
      <c r="D17" s="146"/>
      <c r="E17" s="146" t="s">
        <v>85</v>
      </c>
      <c r="F17" s="146" t="s">
        <v>25</v>
      </c>
      <c r="G17" s="24" t="s">
        <v>79</v>
      </c>
      <c r="H17" s="24" t="s">
        <v>78</v>
      </c>
      <c r="I17" s="24">
        <f>'MERCADO TUSD'!$U$14</f>
        <v>0</v>
      </c>
      <c r="J17" s="15"/>
      <c r="L17" s="13">
        <f>('TUSD BE'!$L$17+'TUSD BF'!$L$17+'TUSD CVA'!$L$17)*1</f>
        <v>0</v>
      </c>
      <c r="M17" s="13">
        <f>('TUSD BE'!$M$17+'TUSD BF'!$M$17+'TUSD CVA'!$M$17)*1</f>
        <v>0.20761044993435177</v>
      </c>
      <c r="N17" s="13">
        <f ca="1">('TUSD BE'!$N$17+'TUSD BF'!$N$17+'TUSD CVA'!$N$17)*1</f>
        <v>12.74294521450992</v>
      </c>
      <c r="O17" s="13">
        <f>('TUSD BE'!$O$17+'TUSD BF'!$O$17+'TUSD CVA'!$O$17)*1</f>
        <v>0</v>
      </c>
      <c r="P17" s="13">
        <f>('TUSD BE'!$P$17+'TUSD BF'!$P$17+'TUSD CVA'!$P$17)*1</f>
        <v>0</v>
      </c>
      <c r="Q17" s="13">
        <f>('TUSD BE'!$Q$17+'TUSD BF'!$Q$17+'TUSD CVA'!$Q$17)*1</f>
        <v>0</v>
      </c>
      <c r="R17" s="13">
        <f>('TUSD BE'!$R$17+'TUSD BF'!$R$17+'TUSD CVA'!$R$17)*1</f>
        <v>0</v>
      </c>
      <c r="S17" s="13">
        <f>('TUSD BE'!$S$17+'TUSD BF'!$S$17+'TUSD CVA'!$S$17)*1</f>
        <v>0</v>
      </c>
      <c r="T17" s="13">
        <f>('TUSD BE'!$U$17+'TUSD BF'!$U$17+'TUSD CVA'!$U$17)*1</f>
        <v>0</v>
      </c>
      <c r="U17" s="13">
        <f>('TUSD BE'!$V$17+'TUSD BF'!$V$17+'TUSD CVA'!$V$17)*1</f>
        <v>0</v>
      </c>
      <c r="V17" s="13">
        <f>('TUSD BE'!$W$17+'TUSD BF'!$W$17+'TUSD CVA'!$W$17)*1</f>
        <v>0</v>
      </c>
      <c r="W17" s="13">
        <f>('TUSD BE'!$X$17+'TUSD BF'!$X$17+'TUSD CVA'!$X$17)*1</f>
        <v>0</v>
      </c>
      <c r="X17" s="13">
        <f>('TUSD BE'!$Y$17+'TUSD BF'!$Y$17+'TUSD CVA'!$Y$17)*1</f>
        <v>761.18167868836815</v>
      </c>
      <c r="Y17" s="13">
        <f>('TUSD BE'!$Z$17+'TUSD BF'!$Z$17+'TUSD CVA'!$Z$17)*1</f>
        <v>0</v>
      </c>
      <c r="Z17" s="13">
        <f>('TUSD BE'!$AA$17+'TUSD BF'!$AA$17+'TUSD CVA'!$AA$17)*1</f>
        <v>0</v>
      </c>
      <c r="AA17" s="13">
        <f>('TUSD BE'!$AC$17+'TUSD BF'!$AC$17+'TUSD CVA'!$AC$17)*1</f>
        <v>203.04664940183693</v>
      </c>
      <c r="AB17" s="13">
        <f ca="1">('TUSD BE'!$AE$17+'TUSD BF'!$AE$17+'TUSD CVA'!$AE$17)*1</f>
        <v>-36.647502097367337</v>
      </c>
      <c r="AC17" s="13">
        <f ca="1">('TUSD BE'!$AF$17+'TUSD BF'!$AF$17+'TUSD CVA'!$AF$17)*1</f>
        <v>0</v>
      </c>
      <c r="AD17" s="13">
        <f>('TUSD BE'!$AH$17+'TUSD BF'!$AH$17+'TUSD CVA'!$AH$17)*1</f>
        <v>8.0125427393814164</v>
      </c>
      <c r="AE17" s="13">
        <f>('TUSD BE'!$AI$17+'TUSD BF'!$AI$17+'TUSD CVA'!$AI$17)*1</f>
        <v>0</v>
      </c>
      <c r="AF17" s="13">
        <f ca="1">('TUSD BE'!$AJ$17+'TUSD BF'!$AJ$17+'TUSD CVA'!$AJ$17)*1</f>
        <v>0.8344461492775872</v>
      </c>
      <c r="AG17" s="13">
        <f ca="1">('TUSD BE'!$AK$17+'TUSD BF'!$AK$17+'TUSD CVA'!$AK$17)*1</f>
        <v>0.12582827757603421</v>
      </c>
      <c r="AI17" s="13">
        <v>0</v>
      </c>
      <c r="AJ17" s="13">
        <v>0.15429226780718</v>
      </c>
      <c r="AK17" s="13">
        <v>9.9314059976603701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542.57015336980305</v>
      </c>
      <c r="AV17" s="13">
        <v>0</v>
      </c>
      <c r="AW17" s="13">
        <v>0</v>
      </c>
      <c r="AX17" s="13">
        <v>175.31532809242901</v>
      </c>
      <c r="AY17" s="13">
        <v>-11.316443565817099</v>
      </c>
      <c r="AZ17" s="13">
        <v>0</v>
      </c>
      <c r="BA17" s="13">
        <v>8.3575937876371995</v>
      </c>
      <c r="BB17" s="13">
        <v>0</v>
      </c>
      <c r="BC17" s="13">
        <v>0.76089461655395496</v>
      </c>
      <c r="BD17" s="13">
        <v>0.104469474888989</v>
      </c>
    </row>
    <row r="18" spans="1:56" ht="11.25" customHeight="1" x14ac:dyDescent="0.3">
      <c r="A18" s="146"/>
      <c r="B18" s="146"/>
      <c r="C18" s="146"/>
      <c r="D18" s="146"/>
      <c r="E18" s="146"/>
      <c r="F18" s="146"/>
      <c r="G18" s="24" t="s">
        <v>80</v>
      </c>
      <c r="H18" s="24" t="s">
        <v>78</v>
      </c>
      <c r="I18" s="24">
        <f>'MERCADO TUSD'!$U$15</f>
        <v>0</v>
      </c>
      <c r="J18" s="15"/>
      <c r="L18" s="13">
        <f>('TUSD BE'!$L$18+'TUSD BF'!$L$18+'TUSD CVA'!$L$18)*1</f>
        <v>0</v>
      </c>
      <c r="M18" s="13">
        <f>('TUSD BE'!$M$18+'TUSD BF'!$M$18+'TUSD CVA'!$M$18)*1</f>
        <v>0.20761044993435177</v>
      </c>
      <c r="N18" s="13">
        <f ca="1">('TUSD BE'!$N$18+'TUSD BF'!$N$18+'TUSD CVA'!$N$18)*1</f>
        <v>0.39848946305056565</v>
      </c>
      <c r="O18" s="13">
        <f>('TUSD BE'!$O$18+'TUSD BF'!$O$18+'TUSD CVA'!$O$18)*1</f>
        <v>0</v>
      </c>
      <c r="P18" s="13">
        <f>('TUSD BE'!$P$18+'TUSD BF'!$P$18+'TUSD CVA'!$P$18)*1</f>
        <v>0</v>
      </c>
      <c r="Q18" s="13">
        <f>('TUSD BE'!$Q$18+'TUSD BF'!$Q$18+'TUSD CVA'!$Q$18)*1</f>
        <v>0</v>
      </c>
      <c r="R18" s="13">
        <f>('TUSD BE'!$R$18+'TUSD BF'!$R$18+'TUSD CVA'!$R$18)*1</f>
        <v>0</v>
      </c>
      <c r="S18" s="13">
        <f>('TUSD BE'!$S$18+'TUSD BF'!$S$18+'TUSD CVA'!$S$18)*1</f>
        <v>0</v>
      </c>
      <c r="T18" s="13">
        <f>('TUSD BE'!$U$18+'TUSD BF'!$U$18+'TUSD CVA'!$U$18)*1</f>
        <v>0</v>
      </c>
      <c r="U18" s="13">
        <f>('TUSD BE'!$V$18+'TUSD BF'!$V$18+'TUSD CVA'!$V$18)*1</f>
        <v>0</v>
      </c>
      <c r="V18" s="13">
        <f>('TUSD BE'!$W$18+'TUSD BF'!$W$18+'TUSD CVA'!$W$18)*1</f>
        <v>0</v>
      </c>
      <c r="W18" s="13">
        <f>('TUSD BE'!$X$18+'TUSD BF'!$X$18+'TUSD CVA'!$X$18)*1</f>
        <v>0</v>
      </c>
      <c r="X18" s="13">
        <f>('TUSD BE'!$Y$18+'TUSD BF'!$Y$18+'TUSD CVA'!$Y$18)*1</f>
        <v>0</v>
      </c>
      <c r="Y18" s="13">
        <f>('TUSD BE'!$Z$18+'TUSD BF'!$Z$18+'TUSD CVA'!$Z$18)*1</f>
        <v>0</v>
      </c>
      <c r="Z18" s="13">
        <f>('TUSD BE'!$AA$18+'TUSD BF'!$AA$18+'TUSD CVA'!$AA$18)*1</f>
        <v>0</v>
      </c>
      <c r="AA18" s="13">
        <f>('TUSD BE'!$AC$18+'TUSD BF'!$AC$18+'TUSD CVA'!$AC$18)*1</f>
        <v>0</v>
      </c>
      <c r="AB18" s="13">
        <f ca="1">('TUSD BE'!$AE$18+'TUSD BF'!$AE$18+'TUSD CVA'!$AE$18)*1</f>
        <v>-0.37562647414091088</v>
      </c>
      <c r="AC18" s="13">
        <f ca="1">('TUSD BE'!$AF$18+'TUSD BF'!$AF$18+'TUSD CVA'!$AF$18)*1</f>
        <v>0</v>
      </c>
      <c r="AD18" s="13">
        <f>('TUSD BE'!$AH$18+'TUSD BF'!$AH$18+'TUSD CVA'!$AH$18)*1</f>
        <v>8.0125427393814164</v>
      </c>
      <c r="AE18" s="13">
        <f>('TUSD BE'!$AI$18+'TUSD BF'!$AI$18+'TUSD CVA'!$AI$18)*1</f>
        <v>0</v>
      </c>
      <c r="AF18" s="13">
        <f ca="1">('TUSD BE'!$AJ$18+'TUSD BF'!$AJ$18+'TUSD CVA'!$AJ$18)*1</f>
        <v>0.8344461492775872</v>
      </c>
      <c r="AG18" s="13">
        <f ca="1">('TUSD BE'!$AK$18+'TUSD BF'!$AK$18+'TUSD CVA'!$AK$18)*1</f>
        <v>0.12582827757603421</v>
      </c>
      <c r="AI18" s="13">
        <v>0</v>
      </c>
      <c r="AJ18" s="13">
        <v>0.15429226780718</v>
      </c>
      <c r="AK18" s="13">
        <v>0.30911859825766203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-0.15613794759673499</v>
      </c>
      <c r="AZ18" s="13">
        <v>0</v>
      </c>
      <c r="BA18" s="13">
        <v>8.3575937876371995</v>
      </c>
      <c r="BB18" s="13">
        <v>0</v>
      </c>
      <c r="BC18" s="13">
        <v>0.76089461655395496</v>
      </c>
      <c r="BD18" s="13">
        <v>0.104469474888989</v>
      </c>
    </row>
    <row r="19" spans="1:56" ht="11.25" customHeight="1" x14ac:dyDescent="0.3">
      <c r="A19" s="146" t="s">
        <v>86</v>
      </c>
      <c r="B19" s="146" t="s">
        <v>57</v>
      </c>
      <c r="C19" s="146" t="s">
        <v>25</v>
      </c>
      <c r="D19" s="146" t="s">
        <v>25</v>
      </c>
      <c r="E19" s="23" t="s">
        <v>87</v>
      </c>
      <c r="F19" s="23" t="s">
        <v>25</v>
      </c>
      <c r="G19" s="24" t="s">
        <v>9</v>
      </c>
      <c r="H19" s="24" t="s">
        <v>81</v>
      </c>
      <c r="I19" s="24">
        <f>'MERCADO TUSD'!$U$16+0.00000001</f>
        <v>1E-8</v>
      </c>
      <c r="J19" s="15"/>
      <c r="L19" s="13">
        <f>('TUSD BE'!$L$19+'TUSD BF'!$L$19+'TUSD CVA'!$L$19)*1</f>
        <v>0</v>
      </c>
      <c r="M19" s="13">
        <f>('TUSD BE'!$M$19+'TUSD BF'!$M$19+'TUSD CVA'!$M$19)*1</f>
        <v>3.9306915535184034E-2</v>
      </c>
      <c r="N19" s="13">
        <f ca="1">('TUSD BE'!$N$19+'TUSD BF'!$N$19+'TUSD CVA'!$N$19)*1</f>
        <v>0.19009545489440705</v>
      </c>
      <c r="O19" s="13">
        <f>('TUSD BE'!$O$19+'TUSD BF'!$O$19+'TUSD CVA'!$O$19)*1</f>
        <v>0</v>
      </c>
      <c r="P19" s="13">
        <f>('TUSD BE'!$P$19+'TUSD BF'!$P$19+'TUSD CVA'!$P$19)*1</f>
        <v>0</v>
      </c>
      <c r="Q19" s="13">
        <f>('TUSD BE'!$Q$19+'TUSD BF'!$Q$19+'TUSD CVA'!$Q$19)*1</f>
        <v>0</v>
      </c>
      <c r="R19" s="13">
        <f>('TUSD BE'!$R$19+'TUSD BF'!$R$19+'TUSD CVA'!$R$19)*1</f>
        <v>0</v>
      </c>
      <c r="S19" s="13">
        <f>('TUSD BE'!$S$19+'TUSD BF'!$S$19+'TUSD CVA'!$S$19)*1</f>
        <v>0</v>
      </c>
      <c r="T19" s="13">
        <f>('TUSD BE'!$U$19+'TUSD BF'!$U$19+'TUSD CVA'!$U$19)*1</f>
        <v>0</v>
      </c>
      <c r="U19" s="13">
        <f>('TUSD BE'!$V$19+'TUSD BF'!$V$19+'TUSD CVA'!$V$19)*1</f>
        <v>0</v>
      </c>
      <c r="V19" s="13">
        <f>('TUSD BE'!$W$19+'TUSD BF'!$W$19+'TUSD CVA'!$W$19)*1</f>
        <v>0</v>
      </c>
      <c r="W19" s="13">
        <f>('TUSD BE'!$X$19+'TUSD BF'!$X$19+'TUSD CVA'!$X$19)*1</f>
        <v>0</v>
      </c>
      <c r="X19" s="13">
        <f>('TUSD BE'!$Y$19+'TUSD BF'!$Y$19+'TUSD CVA'!$Y$19)*1</f>
        <v>0</v>
      </c>
      <c r="Y19" s="13">
        <f>('TUSD BE'!$Z$19+'TUSD BF'!$Z$19+'TUSD CVA'!$Z$19)*1</f>
        <v>0</v>
      </c>
      <c r="Z19" s="13">
        <f>('TUSD BE'!$AA$19+'TUSD BF'!$AA$19+'TUSD CVA'!$AA$19)*1</f>
        <v>0</v>
      </c>
      <c r="AA19" s="13">
        <f>('TUSD BE'!$AC$19+'TUSD BF'!$AC$19+'TUSD CVA'!$AC$19)*1</f>
        <v>10.547180835923758</v>
      </c>
      <c r="AB19" s="13">
        <f ca="1">('TUSD BE'!$AE$19+'TUSD BF'!$AE$19+'TUSD CVA'!$AE$19)*1</f>
        <v>-0.42328385613141895</v>
      </c>
      <c r="AC19" s="13">
        <f ca="1">('TUSD BE'!$AF$19+'TUSD BF'!$AF$19+'TUSD CVA'!$AF$19)*1</f>
        <v>0</v>
      </c>
      <c r="AD19" s="13">
        <f>('TUSD BE'!$AH$19+'TUSD BF'!$AH$19+'TUSD CVA'!$AH$19)*1</f>
        <v>0</v>
      </c>
      <c r="AE19" s="13">
        <f>('TUSD BE'!$AI$19+'TUSD BF'!$AI$19+'TUSD CVA'!$AI$19)*1</f>
        <v>0</v>
      </c>
      <c r="AF19" s="13">
        <f ca="1">('TUSD BE'!$AJ$19+'TUSD BF'!$AJ$19+'TUSD CVA'!$AJ$19)*1</f>
        <v>0</v>
      </c>
      <c r="AG19" s="13">
        <f ca="1">('TUSD BE'!$AK$19+'TUSD BF'!$AK$19+'TUSD CVA'!$AK$19)*1</f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</row>
    <row r="20" spans="1:56" ht="11.25" customHeight="1" x14ac:dyDescent="0.3">
      <c r="A20" s="146"/>
      <c r="B20" s="146"/>
      <c r="C20" s="146"/>
      <c r="D20" s="146"/>
      <c r="E20" s="23" t="s">
        <v>88</v>
      </c>
      <c r="F20" s="23" t="s">
        <v>25</v>
      </c>
      <c r="G20" s="24" t="s">
        <v>9</v>
      </c>
      <c r="H20" s="24" t="s">
        <v>81</v>
      </c>
      <c r="I20" s="24">
        <f>'MERCADO TUSD'!$U$17+0.00000001</f>
        <v>1E-8</v>
      </c>
      <c r="J20" s="15"/>
      <c r="L20" s="13">
        <f>('TUSD BE'!$L$20+'TUSD BF'!$L$20+'TUSD CVA'!$L$20)*1</f>
        <v>0</v>
      </c>
      <c r="M20" s="13">
        <f>('TUSD BE'!$M$20+'TUSD BF'!$M$20+'TUSD CVA'!$M$20)*1</f>
        <v>3.9306915535184034E-2</v>
      </c>
      <c r="N20" s="13">
        <f ca="1">('TUSD BE'!$N$20+'TUSD BF'!$N$20+'TUSD CVA'!$N$20)*1</f>
        <v>0.19009545489440705</v>
      </c>
      <c r="O20" s="13">
        <f>('TUSD BE'!$O$20+'TUSD BF'!$O$20+'TUSD CVA'!$O$20)*1</f>
        <v>0</v>
      </c>
      <c r="P20" s="13">
        <f>('TUSD BE'!$P$20+'TUSD BF'!$P$20+'TUSD CVA'!$P$20)*1</f>
        <v>0</v>
      </c>
      <c r="Q20" s="13">
        <f>('TUSD BE'!$Q$20+'TUSD BF'!$Q$20+'TUSD CVA'!$Q$20)*1</f>
        <v>0</v>
      </c>
      <c r="R20" s="13">
        <f>('TUSD BE'!$R$20+'TUSD BF'!$R$20+'TUSD CVA'!$R$20)*1</f>
        <v>0</v>
      </c>
      <c r="S20" s="13">
        <f>('TUSD BE'!$S$20+'TUSD BF'!$S$20+'TUSD CVA'!$S$20)*1</f>
        <v>0</v>
      </c>
      <c r="T20" s="13">
        <f>('TUSD BE'!$U$20+'TUSD BF'!$U$20+'TUSD CVA'!$U$20)*1</f>
        <v>0</v>
      </c>
      <c r="U20" s="13">
        <f>('TUSD BE'!$V$20+'TUSD BF'!$V$20+'TUSD CVA'!$V$20)*1</f>
        <v>0</v>
      </c>
      <c r="V20" s="13">
        <f>('TUSD BE'!$W$20+'TUSD BF'!$W$20+'TUSD CVA'!$W$20)*1</f>
        <v>0</v>
      </c>
      <c r="W20" s="13">
        <f>('TUSD BE'!$X$20+'TUSD BF'!$X$20+'TUSD CVA'!$X$20)*1</f>
        <v>0</v>
      </c>
      <c r="X20" s="13">
        <f>('TUSD BE'!$Y$20+'TUSD BF'!$Y$20+'TUSD CVA'!$Y$20)*1</f>
        <v>0</v>
      </c>
      <c r="Y20" s="13">
        <f>('TUSD BE'!$Z$20+'TUSD BF'!$Z$20+'TUSD CVA'!$Z$20)*1</f>
        <v>0</v>
      </c>
      <c r="Z20" s="13">
        <f>('TUSD BE'!$AA$20+'TUSD BF'!$AA$20+'TUSD CVA'!$AA$20)*1</f>
        <v>0</v>
      </c>
      <c r="AA20" s="13">
        <f>('TUSD BE'!$AC$20+'TUSD BF'!$AC$20+'TUSD CVA'!$AC$20)*1</f>
        <v>16.392896890350119</v>
      </c>
      <c r="AB20" s="13">
        <f ca="1">('TUSD BE'!$AE$20+'TUSD BF'!$AE$20+'TUSD CVA'!$AE$20)*1</f>
        <v>-0.65292099856924624</v>
      </c>
      <c r="AC20" s="13">
        <f ca="1">('TUSD BE'!$AF$20+'TUSD BF'!$AF$20+'TUSD CVA'!$AF$20)*1</f>
        <v>0</v>
      </c>
      <c r="AD20" s="13">
        <f>('TUSD BE'!$AH$20+'TUSD BF'!$AH$20+'TUSD CVA'!$AH$20)*1</f>
        <v>0</v>
      </c>
      <c r="AE20" s="13">
        <f>('TUSD BE'!$AI$20+'TUSD BF'!$AI$20+'TUSD CVA'!$AI$20)*1</f>
        <v>0</v>
      </c>
      <c r="AF20" s="13">
        <f ca="1">('TUSD BE'!$AJ$20+'TUSD BF'!$AJ$20+'TUSD CVA'!$AJ$20)*1</f>
        <v>0</v>
      </c>
      <c r="AG20" s="13">
        <f ca="1">('TUSD BE'!$AK$20+'TUSD BF'!$AK$20+'TUSD CVA'!$AK$20)*1</f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</row>
    <row r="21" spans="1:56" ht="11.25" customHeight="1" x14ac:dyDescent="0.3">
      <c r="A21" s="146" t="s">
        <v>22</v>
      </c>
      <c r="B21" s="146" t="s">
        <v>38</v>
      </c>
      <c r="C21" s="146" t="s">
        <v>24</v>
      </c>
      <c r="D21" s="146" t="s">
        <v>24</v>
      </c>
      <c r="E21" s="146" t="s">
        <v>25</v>
      </c>
      <c r="F21" s="146" t="s">
        <v>25</v>
      </c>
      <c r="G21" s="24" t="s">
        <v>79</v>
      </c>
      <c r="H21" s="24" t="s">
        <v>78</v>
      </c>
      <c r="I21" s="24">
        <f>'MERCADO TUSD'!$U$18</f>
        <v>0</v>
      </c>
      <c r="J21" s="15"/>
      <c r="L21" s="13">
        <f>('TUSD BE'!$L$21+'TUSD BF'!$L$21+'TUSD CVA'!$L$21)*1</f>
        <v>2.8345977440733967</v>
      </c>
      <c r="M21" s="13">
        <f>('TUSD BE'!$M$21+'TUSD BF'!$M$21+'TUSD CVA'!$M$21)*1</f>
        <v>0.91979763130923176</v>
      </c>
      <c r="N21" s="13">
        <f ca="1">('TUSD BE'!$N$21+'TUSD BF'!$N$21+'TUSD CVA'!$N$21)*1</f>
        <v>26.910035173815295</v>
      </c>
      <c r="O21" s="13">
        <f>('TUSD BE'!$O$21+'TUSD BF'!$O$21+'TUSD CVA'!$O$21)*1</f>
        <v>0</v>
      </c>
      <c r="P21" s="13">
        <f>('TUSD BE'!$P$21+'TUSD BF'!$P$21+'TUSD CVA'!$P$21)*1</f>
        <v>0</v>
      </c>
      <c r="Q21" s="13">
        <f>('TUSD BE'!$Q$21+'TUSD BF'!$Q$21+'TUSD CVA'!$Q$21)*1</f>
        <v>133.5497199323662</v>
      </c>
      <c r="R21" s="13">
        <f>('TUSD BE'!$R$21+'TUSD BF'!$R$21+'TUSD CVA'!$R$21)*1</f>
        <v>20.280631063481596</v>
      </c>
      <c r="S21" s="13">
        <f>('TUSD BE'!$S$21+'TUSD BF'!$S$21+'TUSD CVA'!$S$21)*1</f>
        <v>0</v>
      </c>
      <c r="T21" s="13">
        <f>('TUSD BE'!$U$21+'TUSD BF'!$U$21+'TUSD CVA'!$U$21)*1</f>
        <v>0</v>
      </c>
      <c r="U21" s="13">
        <f>('TUSD BE'!$V$21+'TUSD BF'!$V$21+'TUSD CVA'!$V$21)*1</f>
        <v>0</v>
      </c>
      <c r="V21" s="13">
        <f>('TUSD BE'!$W$21+'TUSD BF'!$W$21+'TUSD CVA'!$W$21)*1</f>
        <v>0</v>
      </c>
      <c r="W21" s="13">
        <f>('TUSD BE'!$X$21+'TUSD BF'!$X$21+'TUSD CVA'!$X$21)*1</f>
        <v>0</v>
      </c>
      <c r="X21" s="13">
        <f>('TUSD BE'!$Y$21+'TUSD BF'!$Y$21+'TUSD CVA'!$Y$21)*1</f>
        <v>553.21625115881443</v>
      </c>
      <c r="Y21" s="13">
        <f>('TUSD BE'!$Z$21+'TUSD BF'!$Z$21+'TUSD CVA'!$Z$21)*1</f>
        <v>0</v>
      </c>
      <c r="Z21" s="13">
        <f>('TUSD BE'!$AA$21+'TUSD BF'!$AA$21+'TUSD CVA'!$AA$21)*1</f>
        <v>0</v>
      </c>
      <c r="AA21" s="13">
        <f>('TUSD BE'!$AC$21+'TUSD BF'!$AC$21+'TUSD CVA'!$AC$21)*1</f>
        <v>1087.8793678121581</v>
      </c>
      <c r="AB21" s="13">
        <f ca="1">('TUSD BE'!$AE$21+'TUSD BF'!$AE$21+'TUSD CVA'!$AE$21)*1</f>
        <v>-69.712700363016253</v>
      </c>
      <c r="AC21" s="13">
        <f ca="1">('TUSD BE'!$AF$21+'TUSD BF'!$AF$21+'TUSD CVA'!$AF$21)*1</f>
        <v>0</v>
      </c>
      <c r="AD21" s="13">
        <f>('TUSD BE'!$AH$21+'TUSD BF'!$AH$21+'TUSD CVA'!$AH$21)*1</f>
        <v>22.287442168523466</v>
      </c>
      <c r="AE21" s="13">
        <f>('TUSD BE'!$AI$21+'TUSD BF'!$AI$21+'TUSD CVA'!$AI$21)*1</f>
        <v>0</v>
      </c>
      <c r="AF21" s="13">
        <f ca="1">('TUSD BE'!$AJ$21+'TUSD BF'!$AJ$21+'TUSD CVA'!$AJ$21)*1</f>
        <v>1.3073128724810941</v>
      </c>
      <c r="AG21" s="13">
        <f ca="1">('TUSD BE'!$AK$21+'TUSD BF'!$AK$21+'TUSD CVA'!$AK$21)*1</f>
        <v>0.19713306501526209</v>
      </c>
      <c r="AI21" s="13">
        <v>2.29268760333479</v>
      </c>
      <c r="AJ21" s="13">
        <v>0.75418141911710901</v>
      </c>
      <c r="AK21" s="13">
        <v>20.9787422936121</v>
      </c>
      <c r="AL21" s="13">
        <v>0</v>
      </c>
      <c r="AM21" s="13">
        <v>0</v>
      </c>
      <c r="AN21" s="13">
        <v>61.206534468215601</v>
      </c>
      <c r="AO21" s="13">
        <v>9.3717997119616303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394.33243684362498</v>
      </c>
      <c r="AV21" s="13">
        <v>0</v>
      </c>
      <c r="AW21" s="13">
        <v>0</v>
      </c>
      <c r="AX21" s="13">
        <v>939.30103675597604</v>
      </c>
      <c r="AY21" s="13">
        <v>-22.532371369906802</v>
      </c>
      <c r="AZ21" s="13">
        <v>0</v>
      </c>
      <c r="BA21" s="13">
        <v>23.247225539835998</v>
      </c>
      <c r="BB21" s="13">
        <v>0</v>
      </c>
      <c r="BC21" s="13">
        <v>1.36929392800453</v>
      </c>
      <c r="BD21" s="13">
        <v>0.18800161614387101</v>
      </c>
    </row>
    <row r="22" spans="1:56" ht="11.25" customHeight="1" x14ac:dyDescent="0.3">
      <c r="A22" s="146"/>
      <c r="B22" s="146"/>
      <c r="C22" s="146"/>
      <c r="D22" s="146"/>
      <c r="E22" s="146"/>
      <c r="F22" s="146"/>
      <c r="G22" s="24" t="s">
        <v>89</v>
      </c>
      <c r="H22" s="24" t="s">
        <v>78</v>
      </c>
      <c r="I22" s="24">
        <f>'MERCADO TUSD'!$U$19</f>
        <v>0</v>
      </c>
      <c r="J22" s="15"/>
      <c r="L22" s="13">
        <f>('TUSD BE'!$L$22+'TUSD BF'!$L$22+'TUSD CVA'!$L$22)*1</f>
        <v>2.8345977440733967</v>
      </c>
      <c r="M22" s="13">
        <f>('TUSD BE'!$M$22+'TUSD BF'!$M$22+'TUSD CVA'!$M$22)*1</f>
        <v>0.91979763130923176</v>
      </c>
      <c r="N22" s="13">
        <f ca="1">('TUSD BE'!$N$22+'TUSD BF'!$N$22+'TUSD CVA'!$N$22)*1</f>
        <v>4.0885831214294708</v>
      </c>
      <c r="O22" s="13">
        <f>('TUSD BE'!$O$22+'TUSD BF'!$O$22+'TUSD CVA'!$O$22)*1</f>
        <v>0</v>
      </c>
      <c r="P22" s="13">
        <f>('TUSD BE'!$P$22+'TUSD BF'!$P$22+'TUSD CVA'!$P$22)*1</f>
        <v>0</v>
      </c>
      <c r="Q22" s="13">
        <f>('TUSD BE'!$Q$22+'TUSD BF'!$Q$22+'TUSD CVA'!$Q$22)*1</f>
        <v>133.5497199323662</v>
      </c>
      <c r="R22" s="13">
        <f>('TUSD BE'!$R$22+'TUSD BF'!$R$22+'TUSD CVA'!$R$22)*1</f>
        <v>20.280631063481596</v>
      </c>
      <c r="S22" s="13">
        <f>('TUSD BE'!$S$22+'TUSD BF'!$S$22+'TUSD CVA'!$S$22)*1</f>
        <v>0</v>
      </c>
      <c r="T22" s="13">
        <f>('TUSD BE'!$U$22+'TUSD BF'!$U$22+'TUSD CVA'!$U$22)*1</f>
        <v>0</v>
      </c>
      <c r="U22" s="13">
        <f>('TUSD BE'!$V$22+'TUSD BF'!$V$22+'TUSD CVA'!$V$22)*1</f>
        <v>0</v>
      </c>
      <c r="V22" s="13">
        <f>('TUSD BE'!$W$22+'TUSD BF'!$W$22+'TUSD CVA'!$W$22)*1</f>
        <v>0</v>
      </c>
      <c r="W22" s="13">
        <f>('TUSD BE'!$X$22+'TUSD BF'!$X$22+'TUSD CVA'!$X$22)*1</f>
        <v>0</v>
      </c>
      <c r="X22" s="13">
        <f>('TUSD BE'!$Y$22+'TUSD BF'!$Y$22+'TUSD CVA'!$Y$22)*1</f>
        <v>64.822403449146321</v>
      </c>
      <c r="Y22" s="13">
        <f>('TUSD BE'!$Z$22+'TUSD BF'!$Z$22+'TUSD CVA'!$Z$22)*1</f>
        <v>0</v>
      </c>
      <c r="Z22" s="13">
        <f>('TUSD BE'!$AA$22+'TUSD BF'!$AA$22+'TUSD CVA'!$AA$22)*1</f>
        <v>0</v>
      </c>
      <c r="AA22" s="13">
        <f>('TUSD BE'!$AC$22+'TUSD BF'!$AC$22+'TUSD CVA'!$AC$22)*1</f>
        <v>127.47105865063065</v>
      </c>
      <c r="AB22" s="13">
        <f ca="1">('TUSD BE'!$AE$22+'TUSD BF'!$AE$22+'TUSD CVA'!$AE$22)*1</f>
        <v>-13.244436797598592</v>
      </c>
      <c r="AC22" s="13">
        <f ca="1">('TUSD BE'!$AF$22+'TUSD BF'!$AF$22+'TUSD CVA'!$AF$22)*1</f>
        <v>0</v>
      </c>
      <c r="AD22" s="13">
        <f>('TUSD BE'!$AH$22+'TUSD BF'!$AH$22+'TUSD CVA'!$AH$22)*1</f>
        <v>22.287442168523466</v>
      </c>
      <c r="AE22" s="13">
        <f>('TUSD BE'!$AI$22+'TUSD BF'!$AI$22+'TUSD CVA'!$AI$22)*1</f>
        <v>0</v>
      </c>
      <c r="AF22" s="13">
        <f ca="1">('TUSD BE'!$AJ$22+'TUSD BF'!$AJ$22+'TUSD CVA'!$AJ$22)*1</f>
        <v>1.3073128724810941</v>
      </c>
      <c r="AG22" s="13">
        <f ca="1">('TUSD BE'!$AK$22+'TUSD BF'!$AK$22+'TUSD CVA'!$AK$22)*1</f>
        <v>0.19713306501526209</v>
      </c>
      <c r="AI22" s="13">
        <v>2.29268760333479</v>
      </c>
      <c r="AJ22" s="13">
        <v>0.75418141911710901</v>
      </c>
      <c r="AK22" s="13">
        <v>3.18981948154036</v>
      </c>
      <c r="AL22" s="13">
        <v>0</v>
      </c>
      <c r="AM22" s="13">
        <v>0</v>
      </c>
      <c r="AN22" s="13">
        <v>61.206534468215601</v>
      </c>
      <c r="AO22" s="13">
        <v>9.3717997119616303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46.205396643028799</v>
      </c>
      <c r="AV22" s="13">
        <v>0</v>
      </c>
      <c r="AW22" s="13">
        <v>0</v>
      </c>
      <c r="AX22" s="13">
        <v>110.061557457162</v>
      </c>
      <c r="AY22" s="13">
        <v>-3.8957287290591198</v>
      </c>
      <c r="AZ22" s="13">
        <v>0</v>
      </c>
      <c r="BA22" s="13">
        <v>23.247225539835998</v>
      </c>
      <c r="BB22" s="13">
        <v>0</v>
      </c>
      <c r="BC22" s="13">
        <v>1.36929392800453</v>
      </c>
      <c r="BD22" s="13">
        <v>0.18800161614387101</v>
      </c>
    </row>
    <row r="23" spans="1:56" ht="11.25" customHeight="1" x14ac:dyDescent="0.3">
      <c r="A23" s="146"/>
      <c r="B23" s="146"/>
      <c r="C23" s="146"/>
      <c r="D23" s="146"/>
      <c r="E23" s="146"/>
      <c r="F23" s="146"/>
      <c r="G23" s="24" t="s">
        <v>80</v>
      </c>
      <c r="H23" s="24" t="s">
        <v>78</v>
      </c>
      <c r="I23" s="24">
        <f>'MERCADO TUSD'!$U$20</f>
        <v>0</v>
      </c>
      <c r="J23" s="15"/>
      <c r="L23" s="13">
        <f>('TUSD BE'!$L$23+'TUSD BF'!$L$23+'TUSD CVA'!$L$23)*1</f>
        <v>2.8345977440733967</v>
      </c>
      <c r="M23" s="13">
        <f>('TUSD BE'!$M$23+'TUSD BF'!$M$23+'TUSD CVA'!$M$23)*1</f>
        <v>0.91979763130923176</v>
      </c>
      <c r="N23" s="13">
        <f ca="1">('TUSD BE'!$N$23+'TUSD BF'!$N$23+'TUSD CVA'!$N$23)*1</f>
        <v>1.9637627497907584</v>
      </c>
      <c r="O23" s="13">
        <f>('TUSD BE'!$O$23+'TUSD BF'!$O$23+'TUSD CVA'!$O$23)*1</f>
        <v>0</v>
      </c>
      <c r="P23" s="13">
        <f>('TUSD BE'!$P$23+'TUSD BF'!$P$23+'TUSD CVA'!$P$23)*1</f>
        <v>0</v>
      </c>
      <c r="Q23" s="13">
        <f>('TUSD BE'!$Q$23+'TUSD BF'!$Q$23+'TUSD CVA'!$Q$23)*1</f>
        <v>133.5497199323662</v>
      </c>
      <c r="R23" s="13">
        <f>('TUSD BE'!$R$23+'TUSD BF'!$R$23+'TUSD CVA'!$R$23)*1</f>
        <v>20.280631063481596</v>
      </c>
      <c r="S23" s="13">
        <f>('TUSD BE'!$S$23+'TUSD BF'!$S$23+'TUSD CVA'!$S$23)*1</f>
        <v>0</v>
      </c>
      <c r="T23" s="13">
        <f>('TUSD BE'!$U$23+'TUSD BF'!$U$23+'TUSD CVA'!$U$23)*1</f>
        <v>0</v>
      </c>
      <c r="U23" s="13">
        <f>('TUSD BE'!$V$23+'TUSD BF'!$V$23+'TUSD CVA'!$V$23)*1</f>
        <v>0</v>
      </c>
      <c r="V23" s="13">
        <f>('TUSD BE'!$W$23+'TUSD BF'!$W$23+'TUSD CVA'!$W$23)*1</f>
        <v>0</v>
      </c>
      <c r="W23" s="13">
        <f>('TUSD BE'!$X$23+'TUSD BF'!$X$23+'TUSD CVA'!$X$23)*1</f>
        <v>0</v>
      </c>
      <c r="X23" s="13">
        <f>('TUSD BE'!$Y$23+'TUSD BF'!$Y$23+'TUSD CVA'!$Y$23)*1</f>
        <v>19.349911266818069</v>
      </c>
      <c r="Y23" s="13">
        <f>('TUSD BE'!$Z$23+'TUSD BF'!$Z$23+'TUSD CVA'!$Z$23)*1</f>
        <v>0</v>
      </c>
      <c r="Z23" s="13">
        <f>('TUSD BE'!$AA$23+'TUSD BF'!$AA$23+'TUSD CVA'!$AA$23)*1</f>
        <v>0</v>
      </c>
      <c r="AA23" s="13">
        <f>('TUSD BE'!$AC$23+'TUSD BF'!$AC$23+'TUSD CVA'!$AC$23)*1</f>
        <v>38.050994282074164</v>
      </c>
      <c r="AB23" s="13">
        <f ca="1">('TUSD BE'!$AE$23+'TUSD BF'!$AE$23+'TUSD CVA'!$AE$23)*1</f>
        <v>-7.9868876213635849</v>
      </c>
      <c r="AC23" s="13">
        <f ca="1">('TUSD BE'!$AF$23+'TUSD BF'!$AF$23+'TUSD CVA'!$AF$23)*1</f>
        <v>0</v>
      </c>
      <c r="AD23" s="13">
        <f>('TUSD BE'!$AH$23+'TUSD BF'!$AH$23+'TUSD CVA'!$AH$23)*1</f>
        <v>22.287442168523466</v>
      </c>
      <c r="AE23" s="13">
        <f>('TUSD BE'!$AI$23+'TUSD BF'!$AI$23+'TUSD CVA'!$AI$23)*1</f>
        <v>0</v>
      </c>
      <c r="AF23" s="13">
        <f ca="1">('TUSD BE'!$AJ$23+'TUSD BF'!$AJ$23+'TUSD CVA'!$AJ$23)*1</f>
        <v>1.3073128724810941</v>
      </c>
      <c r="AG23" s="13">
        <f ca="1">('TUSD BE'!$AK$23+'TUSD BF'!$AK$23+'TUSD CVA'!$AK$23)*1</f>
        <v>0.19713306501526209</v>
      </c>
      <c r="AI23" s="13">
        <v>2.29268760333479</v>
      </c>
      <c r="AJ23" s="13">
        <v>0.75418141911710901</v>
      </c>
      <c r="AK23" s="13">
        <v>1.533559157095</v>
      </c>
      <c r="AL23" s="13">
        <v>0</v>
      </c>
      <c r="AM23" s="13">
        <v>0</v>
      </c>
      <c r="AN23" s="13">
        <v>61.206534468215601</v>
      </c>
      <c r="AO23" s="13">
        <v>9.3717997119616303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13.792613009052401</v>
      </c>
      <c r="AV23" s="13">
        <v>0</v>
      </c>
      <c r="AW23" s="13">
        <v>0</v>
      </c>
      <c r="AX23" s="13">
        <v>32.854137541580201</v>
      </c>
      <c r="AY23" s="13">
        <v>-2.1605404551857101</v>
      </c>
      <c r="AZ23" s="13">
        <v>0</v>
      </c>
      <c r="BA23" s="13">
        <v>23.247225539835998</v>
      </c>
      <c r="BB23" s="13">
        <v>0</v>
      </c>
      <c r="BC23" s="13">
        <v>1.36929392800453</v>
      </c>
      <c r="BD23" s="13">
        <v>0.18800161614387101</v>
      </c>
    </row>
    <row r="24" spans="1:56" ht="11.25" customHeight="1" x14ac:dyDescent="0.3">
      <c r="A24" s="146"/>
      <c r="B24" s="146" t="s">
        <v>23</v>
      </c>
      <c r="C24" s="146" t="s">
        <v>24</v>
      </c>
      <c r="D24" s="23" t="s">
        <v>24</v>
      </c>
      <c r="E24" s="23" t="s">
        <v>25</v>
      </c>
      <c r="F24" s="23" t="s">
        <v>25</v>
      </c>
      <c r="G24" s="24" t="s">
        <v>84</v>
      </c>
      <c r="H24" s="24" t="s">
        <v>78</v>
      </c>
      <c r="I24" s="24">
        <f>'MERCADO TUSD'!$U$21</f>
        <v>11530.447999999999</v>
      </c>
      <c r="J24" s="15"/>
      <c r="L24" s="13">
        <f>('TUSD BE'!$L$24+'TUSD BF'!$L$24+'TUSD CVA'!$L$24)*1</f>
        <v>2.8345977440733967</v>
      </c>
      <c r="M24" s="13">
        <f>('TUSD BE'!$M$24+'TUSD BF'!$M$24+'TUSD CVA'!$M$24)*1</f>
        <v>0.91979763130923176</v>
      </c>
      <c r="N24" s="13">
        <f ca="1">('TUSD BE'!$N$24+'TUSD BF'!$N$24+'TUSD CVA'!$N$24)*1</f>
        <v>5.8184178509713727</v>
      </c>
      <c r="O24" s="13">
        <f>('TUSD BE'!$O$24+'TUSD BF'!$O$24+'TUSD CVA'!$O$24)*1</f>
        <v>0</v>
      </c>
      <c r="P24" s="13">
        <f>('TUSD BE'!$P$24+'TUSD BF'!$P$24+'TUSD CVA'!$P$24)*1</f>
        <v>0</v>
      </c>
      <c r="Q24" s="13">
        <f>('TUSD BE'!$Q$24+'TUSD BF'!$Q$24+'TUSD CVA'!$Q$24)*1</f>
        <v>133.5497199323662</v>
      </c>
      <c r="R24" s="13">
        <f>('TUSD BE'!$R$24+'TUSD BF'!$R$24+'TUSD CVA'!$R$24)*1</f>
        <v>20.280631063481596</v>
      </c>
      <c r="S24" s="13">
        <f>('TUSD BE'!$S$24+'TUSD BF'!$S$24+'TUSD CVA'!$S$24)*1</f>
        <v>0</v>
      </c>
      <c r="T24" s="13">
        <f>('TUSD BE'!$U$24+'TUSD BF'!$U$24+'TUSD CVA'!$U$24)*1</f>
        <v>0</v>
      </c>
      <c r="U24" s="13">
        <f>('TUSD BE'!$V$24+'TUSD BF'!$V$24+'TUSD CVA'!$V$24)*1</f>
        <v>0</v>
      </c>
      <c r="V24" s="13">
        <f>('TUSD BE'!$W$24+'TUSD BF'!$W$24+'TUSD CVA'!$W$24)*1</f>
        <v>0</v>
      </c>
      <c r="W24" s="13">
        <f>('TUSD BE'!$X$24+'TUSD BF'!$X$24+'TUSD CVA'!$X$24)*1</f>
        <v>0</v>
      </c>
      <c r="X24" s="13">
        <f>('TUSD BE'!$Y$24+'TUSD BF'!$Y$24+'TUSD CVA'!$Y$24)*1</f>
        <v>101.84206078389674</v>
      </c>
      <c r="Y24" s="13">
        <f>('TUSD BE'!$Z$24+'TUSD BF'!$Z$24+'TUSD CVA'!$Z$24)*1</f>
        <v>0</v>
      </c>
      <c r="Z24" s="13">
        <f>('TUSD BE'!$AA$24+'TUSD BF'!$AA$24+'TUSD CVA'!$AA$24)*1</f>
        <v>0</v>
      </c>
      <c r="AA24" s="13">
        <f>('TUSD BE'!$AC$24+'TUSD BF'!$AC$24+'TUSD CVA'!$AC$24)*1</f>
        <v>200.26864245107927</v>
      </c>
      <c r="AB24" s="13">
        <f ca="1">('TUSD BE'!$AE$24+'TUSD BF'!$AE$24+'TUSD CVA'!$AE$24)*1</f>
        <v>-17.524654495650299</v>
      </c>
      <c r="AC24" s="13">
        <f ca="1">('TUSD BE'!$AF$24+'TUSD BF'!$AF$24+'TUSD CVA'!$AF$24)*1</f>
        <v>0</v>
      </c>
      <c r="AD24" s="13">
        <f>('TUSD BE'!$AH$24+'TUSD BF'!$AH$24+'TUSD CVA'!$AH$24)*1</f>
        <v>22.287442168523466</v>
      </c>
      <c r="AE24" s="13">
        <f>('TUSD BE'!$AI$24+'TUSD BF'!$AI$24+'TUSD CVA'!$AI$24)*1</f>
        <v>0</v>
      </c>
      <c r="AF24" s="13">
        <f ca="1">('TUSD BE'!$AJ$24+'TUSD BF'!$AJ$24+'TUSD CVA'!$AJ$24)*1</f>
        <v>1.3073128724810941</v>
      </c>
      <c r="AG24" s="13">
        <f ca="1">('TUSD BE'!$AK$24+'TUSD BF'!$AK$24+'TUSD CVA'!$AK$24)*1</f>
        <v>0.19713306501526209</v>
      </c>
      <c r="AI24" s="13">
        <v>2.29268760333479</v>
      </c>
      <c r="AJ24" s="13">
        <v>0.75418141911710901</v>
      </c>
      <c r="AK24" s="13">
        <v>4.5381954048087803</v>
      </c>
      <c r="AL24" s="13">
        <v>0</v>
      </c>
      <c r="AM24" s="13">
        <v>0</v>
      </c>
      <c r="AN24" s="13">
        <v>61.206534468215601</v>
      </c>
      <c r="AO24" s="13">
        <v>9.3717997119616303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72.593001232282603</v>
      </c>
      <c r="AV24" s="13">
        <v>0</v>
      </c>
      <c r="AW24" s="13">
        <v>0</v>
      </c>
      <c r="AX24" s="13">
        <v>172.916730521625</v>
      </c>
      <c r="AY24" s="13">
        <v>-5.30836081270356</v>
      </c>
      <c r="AZ24" s="13">
        <v>0</v>
      </c>
      <c r="BA24" s="13">
        <v>23.247225539835998</v>
      </c>
      <c r="BB24" s="13">
        <v>0</v>
      </c>
      <c r="BC24" s="13">
        <v>1.36929392800453</v>
      </c>
      <c r="BD24" s="13">
        <v>0.18800161614387101</v>
      </c>
    </row>
    <row r="25" spans="1:56" ht="11.25" customHeight="1" x14ac:dyDescent="0.3">
      <c r="A25" s="146"/>
      <c r="B25" s="146"/>
      <c r="C25" s="146"/>
      <c r="D25" s="23" t="s">
        <v>28</v>
      </c>
      <c r="E25" s="23" t="s">
        <v>25</v>
      </c>
      <c r="F25" s="23" t="s">
        <v>25</v>
      </c>
      <c r="G25" s="24" t="s">
        <v>84</v>
      </c>
      <c r="H25" s="24" t="s">
        <v>78</v>
      </c>
      <c r="I25" s="24">
        <f>'MERCADO TUSD'!$U$22</f>
        <v>121.26</v>
      </c>
      <c r="J25" s="15"/>
      <c r="L25" s="13">
        <f>('TUSD BE'!$L$25+'TUSD BF'!$L$25+'TUSD CVA'!$L$25)*(1 - 0.65)</f>
        <v>0</v>
      </c>
      <c r="M25" s="13">
        <f>('TUSD BE'!$M$25+'TUSD BF'!$M$25+'TUSD CVA'!$M$25)*(1 - 0.65)</f>
        <v>0.32192917095823109</v>
      </c>
      <c r="N25" s="13">
        <f ca="1">('TUSD BE'!$N$25+'TUSD BF'!$N$25+'TUSD CVA'!$N$25)*(1 - 0.65)</f>
        <v>2.0294647778281187</v>
      </c>
      <c r="O25" s="13">
        <f>('TUSD BE'!$O$25+'TUSD BF'!$O$25+'TUSD CVA'!$O$25)*(1 - 0.65)</f>
        <v>0</v>
      </c>
      <c r="P25" s="13">
        <v>0</v>
      </c>
      <c r="Q25" s="13">
        <f>('TUSD BE'!$Q$25+'TUSD BF'!$Q$25+'TUSD CVA'!$Q$25)*(1 - 0.65)</f>
        <v>0</v>
      </c>
      <c r="R25" s="13">
        <v>0</v>
      </c>
      <c r="S25" s="13">
        <f>('TUSD BE'!$S$25+'TUSD BF'!$S$25+'TUSD CVA'!$S$25)*(1 - 0.65)</f>
        <v>0</v>
      </c>
      <c r="T25" s="13">
        <f>('TUSD BE'!$U$25+'TUSD BF'!$U$25+'TUSD CVA'!$U$25)*(1 - 0.65)</f>
        <v>0</v>
      </c>
      <c r="U25" s="13">
        <f>('TUSD BE'!$V$25+'TUSD BF'!$V$25+'TUSD CVA'!$V$25)*(1 - 0.65)</f>
        <v>0</v>
      </c>
      <c r="V25" s="13">
        <f>('TUSD BE'!$W$25+'TUSD BF'!$W$25+'TUSD CVA'!$W$25)*(1 - 0.65)</f>
        <v>0</v>
      </c>
      <c r="W25" s="13">
        <f>('TUSD BE'!$X$25+'TUSD BF'!$X$25+'TUSD CVA'!$X$25)*(1 - 0.65)</f>
        <v>0</v>
      </c>
      <c r="X25" s="13">
        <f>('TUSD BE'!$Y$25+'TUSD BF'!$Y$25+'TUSD CVA'!$Y$25)*(1 - 0.65)</f>
        <v>35.64472127436386</v>
      </c>
      <c r="Y25" s="13">
        <f>('TUSD BE'!$Z$25+'TUSD BF'!$Z$25+'TUSD CVA'!$Z$25)*(1 - 0.65)</f>
        <v>0</v>
      </c>
      <c r="Z25" s="13">
        <f>('TUSD BE'!$AA$25+'TUSD BF'!$AA$25+'TUSD CVA'!$AA$25)*(1 - 0.65)</f>
        <v>0</v>
      </c>
      <c r="AA25" s="13">
        <f>('TUSD BE'!$AC$25+'TUSD BF'!$AC$25+'TUSD CVA'!$AC$25)*(1 - 0.65)</f>
        <v>70.094024857877741</v>
      </c>
      <c r="AB25" s="13">
        <f ca="1">('TUSD BE'!$AE$25+'TUSD BF'!$AE$25+'TUSD CVA'!$AE$25)*(1 - 0.65)</f>
        <v>-4.4746560189374884</v>
      </c>
      <c r="AC25" s="13">
        <f ca="1">('TUSD BE'!$AF$25+'TUSD BF'!$AF$25+'TUSD CVA'!$AF$25)*(1 - 0.65)</f>
        <v>0</v>
      </c>
      <c r="AD25" s="13">
        <f>('TUSD BE'!$AH$25+'TUSD BF'!$AH$25+'TUSD CVA'!$AH$25)*(1 - 0.65)</f>
        <v>7.8006047589832122</v>
      </c>
      <c r="AE25" s="13">
        <f>('TUSD BE'!$AI$25+'TUSD BF'!$AI$25+'TUSD CVA'!$AI$25)*(1 - 0.65)</f>
        <v>0</v>
      </c>
      <c r="AF25" s="13">
        <f ca="1">('TUSD BE'!$AJ$25+'TUSD BF'!$AJ$25+'TUSD CVA'!$AJ$25)*(1 - 0.65)</f>
        <v>0.45755950536838291</v>
      </c>
      <c r="AG25" s="13">
        <f ca="1">('TUSD BE'!$AK$25+'TUSD BF'!$AK$25+'TUSD CVA'!$AK$25)*(1 - 0.65)</f>
        <v>6.8996572755341726E-2</v>
      </c>
      <c r="AI25" s="13">
        <v>0</v>
      </c>
      <c r="AJ25" s="13">
        <v>0.26396349669098801</v>
      </c>
      <c r="AK25" s="13">
        <v>1.58292645788891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25.407550431298901</v>
      </c>
      <c r="AV25" s="13">
        <v>0</v>
      </c>
      <c r="AW25" s="13">
        <v>0</v>
      </c>
      <c r="AX25" s="13">
        <v>60.520855682568701</v>
      </c>
      <c r="AY25" s="13">
        <v>-1.50891851679602</v>
      </c>
      <c r="AZ25" s="13">
        <v>0</v>
      </c>
      <c r="BA25" s="13">
        <v>8.1365289389425897</v>
      </c>
      <c r="BB25" s="13">
        <v>0</v>
      </c>
      <c r="BC25" s="13">
        <v>0.47925287480158701</v>
      </c>
      <c r="BD25" s="13">
        <v>6.5800565650354803E-2</v>
      </c>
    </row>
    <row r="26" spans="1:56" ht="11.25" customHeight="1" x14ac:dyDescent="0.3">
      <c r="A26" s="146"/>
      <c r="B26" s="146"/>
      <c r="C26" s="146"/>
      <c r="D26" s="23" t="s">
        <v>29</v>
      </c>
      <c r="E26" s="23" t="s">
        <v>25</v>
      </c>
      <c r="F26" s="23" t="s">
        <v>25</v>
      </c>
      <c r="G26" s="24" t="s">
        <v>84</v>
      </c>
      <c r="H26" s="24" t="s">
        <v>78</v>
      </c>
      <c r="I26" s="24">
        <f>'MERCADO TUSD'!$U$23</f>
        <v>254.32</v>
      </c>
      <c r="J26" s="15"/>
      <c r="L26" s="13">
        <f>('TUSD BE'!$L$26+'TUSD BF'!$L$26+'TUSD CVA'!$L$26)*(1 - 0.4)</f>
        <v>0</v>
      </c>
      <c r="M26" s="13">
        <f>('TUSD BE'!$M$26+'TUSD BF'!$M$26+'TUSD CVA'!$M$26)*(1 - 0.4)</f>
        <v>0.55187857878553903</v>
      </c>
      <c r="N26" s="13">
        <f ca="1">('TUSD BE'!$N$26+'TUSD BF'!$N$26+'TUSD CVA'!$N$26)*(1 - 0.4)</f>
        <v>3.4790824762767749</v>
      </c>
      <c r="O26" s="13">
        <f>('TUSD BE'!$O$26+'TUSD BF'!$O$26+'TUSD CVA'!$O$26)*(1 - 0.4)</f>
        <v>0</v>
      </c>
      <c r="P26" s="13">
        <v>0</v>
      </c>
      <c r="Q26" s="13">
        <f>('TUSD BE'!$Q$26+'TUSD BF'!$Q$26+'TUSD CVA'!$Q$26)*(1 - 0.4)</f>
        <v>0</v>
      </c>
      <c r="R26" s="13">
        <v>0</v>
      </c>
      <c r="S26" s="13">
        <f>('TUSD BE'!$S$26+'TUSD BF'!$S$26+'TUSD CVA'!$S$26)*(1 - 0.4)</f>
        <v>0</v>
      </c>
      <c r="T26" s="13">
        <f>('TUSD BE'!$U$26+'TUSD BF'!$U$26+'TUSD CVA'!$U$26)*(1 - 0.4)</f>
        <v>0</v>
      </c>
      <c r="U26" s="13">
        <f>('TUSD BE'!$V$26+'TUSD BF'!$V$26+'TUSD CVA'!$V$26)*(1 - 0.4)</f>
        <v>0</v>
      </c>
      <c r="V26" s="13">
        <f>('TUSD BE'!$W$26+'TUSD BF'!$W$26+'TUSD CVA'!$W$26)*(1 - 0.4)</f>
        <v>0</v>
      </c>
      <c r="W26" s="13">
        <f>('TUSD BE'!$X$26+'TUSD BF'!$X$26+'TUSD CVA'!$X$26)*(1 - 0.4)</f>
        <v>0</v>
      </c>
      <c r="X26" s="13">
        <f>('TUSD BE'!$Y$26+'TUSD BF'!$Y$26+'TUSD CVA'!$Y$26)*(1 - 0.4)</f>
        <v>61.105236470338042</v>
      </c>
      <c r="Y26" s="13">
        <f>('TUSD BE'!$Z$26+'TUSD BF'!$Z$26+'TUSD CVA'!$Z$26)*(1 - 0.4)</f>
        <v>0</v>
      </c>
      <c r="Z26" s="13">
        <f>('TUSD BE'!$AA$26+'TUSD BF'!$AA$26+'TUSD CVA'!$AA$26)*(1 - 0.4)</f>
        <v>0</v>
      </c>
      <c r="AA26" s="13">
        <f>('TUSD BE'!$AC$26+'TUSD BF'!$AC$26+'TUSD CVA'!$AC$26)*(1 - 0.4)</f>
        <v>120.16118547064755</v>
      </c>
      <c r="AB26" s="13">
        <f ca="1">('TUSD BE'!$AE$26+'TUSD BF'!$AE$26+'TUSD CVA'!$AE$26)*(1 - 0.4)</f>
        <v>-7.6708388896071238</v>
      </c>
      <c r="AC26" s="13">
        <f ca="1">('TUSD BE'!$AF$26+'TUSD BF'!$AF$26+'TUSD CVA'!$AF$26)*(1 - 0.4)</f>
        <v>0</v>
      </c>
      <c r="AD26" s="13">
        <f>('TUSD BE'!$AH$26+'TUSD BF'!$AH$26+'TUSD CVA'!$AH$26)*(1 - 0.4)</f>
        <v>13.372465301114079</v>
      </c>
      <c r="AE26" s="13">
        <f>('TUSD BE'!$AI$26+'TUSD BF'!$AI$26+'TUSD CVA'!$AI$26)*(1 - 0.4)</f>
        <v>0</v>
      </c>
      <c r="AF26" s="13">
        <f ca="1">('TUSD BE'!$AJ$26+'TUSD BF'!$AJ$26+'TUSD CVA'!$AJ$26)*(1 - 0.4)</f>
        <v>0.78438772348865637</v>
      </c>
      <c r="AG26" s="13">
        <f ca="1">('TUSD BE'!$AK$26+'TUSD BF'!$AK$26+'TUSD CVA'!$AK$26)*(1 - 0.4)</f>
        <v>0.11827983900915726</v>
      </c>
      <c r="AI26" s="13">
        <v>0</v>
      </c>
      <c r="AJ26" s="13">
        <v>0.45250885147026498</v>
      </c>
      <c r="AK26" s="13">
        <v>2.7135882135238401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43.555800739369502</v>
      </c>
      <c r="AV26" s="13">
        <v>0</v>
      </c>
      <c r="AW26" s="13">
        <v>0</v>
      </c>
      <c r="AX26" s="13">
        <v>103.75003831297499</v>
      </c>
      <c r="AY26" s="13">
        <v>-2.5867174573646001</v>
      </c>
      <c r="AZ26" s="13">
        <v>0</v>
      </c>
      <c r="BA26" s="13">
        <v>13.948335323901601</v>
      </c>
      <c r="BB26" s="13">
        <v>0</v>
      </c>
      <c r="BC26" s="13">
        <v>0.82157635680272001</v>
      </c>
      <c r="BD26" s="13">
        <v>0.112800969686323</v>
      </c>
    </row>
    <row r="27" spans="1:56" ht="11.25" customHeight="1" x14ac:dyDescent="0.3">
      <c r="A27" s="146"/>
      <c r="B27" s="146"/>
      <c r="C27" s="146"/>
      <c r="D27" s="23" t="s">
        <v>30</v>
      </c>
      <c r="E27" s="23" t="s">
        <v>25</v>
      </c>
      <c r="F27" s="23" t="s">
        <v>25</v>
      </c>
      <c r="G27" s="24" t="s">
        <v>84</v>
      </c>
      <c r="H27" s="24" t="s">
        <v>78</v>
      </c>
      <c r="I27" s="24">
        <f>'MERCADO TUSD'!$U$24</f>
        <v>248.52100000000002</v>
      </c>
      <c r="J27" s="15"/>
      <c r="L27" s="13">
        <f>('TUSD BE'!$L$27+'TUSD BF'!$L$27+'TUSD CVA'!$L$27)*(1 - 0.1)</f>
        <v>0</v>
      </c>
      <c r="M27" s="13">
        <f>('TUSD BE'!$M$27+'TUSD BF'!$M$27+'TUSD CVA'!$M$27)*(1 - 0.1)</f>
        <v>0.8278178681783086</v>
      </c>
      <c r="N27" s="13">
        <f ca="1">('TUSD BE'!$N$27+'TUSD BF'!$N$27+'TUSD CVA'!$N$27)*(1 - 0.1)</f>
        <v>5.2186237144151626</v>
      </c>
      <c r="O27" s="13">
        <f>('TUSD BE'!$O$27+'TUSD BF'!$O$27+'TUSD CVA'!$O$27)*(1 - 0.1)</f>
        <v>0</v>
      </c>
      <c r="P27" s="13">
        <v>0</v>
      </c>
      <c r="Q27" s="13">
        <f>('TUSD BE'!$Q$27+'TUSD BF'!$Q$27+'TUSD CVA'!$Q$27)*(1 - 0.1)</f>
        <v>0</v>
      </c>
      <c r="R27" s="13">
        <v>0</v>
      </c>
      <c r="S27" s="13">
        <f>('TUSD BE'!$S$27+'TUSD BF'!$S$27+'TUSD CVA'!$S$27)*(1 - 0.1)</f>
        <v>0</v>
      </c>
      <c r="T27" s="13">
        <f>('TUSD BE'!$U$27+'TUSD BF'!$U$27+'TUSD CVA'!$U$27)*(1 - 0.1)</f>
        <v>0</v>
      </c>
      <c r="U27" s="13">
        <f>('TUSD BE'!$V$27+'TUSD BF'!$V$27+'TUSD CVA'!$V$27)*(1 - 0.1)</f>
        <v>0</v>
      </c>
      <c r="V27" s="13">
        <f>('TUSD BE'!$W$27+'TUSD BF'!$W$27+'TUSD CVA'!$W$27)*(1 - 0.1)</f>
        <v>0</v>
      </c>
      <c r="W27" s="13">
        <f>('TUSD BE'!$X$27+'TUSD BF'!$X$27+'TUSD CVA'!$X$27)*(1 - 0.1)</f>
        <v>0</v>
      </c>
      <c r="X27" s="13">
        <f>('TUSD BE'!$Y$27+'TUSD BF'!$Y$27+'TUSD CVA'!$Y$27)*(1 - 0.1)</f>
        <v>91.657854705507063</v>
      </c>
      <c r="Y27" s="13">
        <f>('TUSD BE'!$Z$27+'TUSD BF'!$Z$27+'TUSD CVA'!$Z$27)*(1 - 0.1)</f>
        <v>0</v>
      </c>
      <c r="Z27" s="13">
        <f>('TUSD BE'!$AA$27+'TUSD BF'!$AA$27+'TUSD CVA'!$AA$27)*(1 - 0.1)</f>
        <v>0</v>
      </c>
      <c r="AA27" s="13">
        <f>('TUSD BE'!$AC$27+'TUSD BF'!$AC$27+'TUSD CVA'!$AC$27)*(1 - 0.1)</f>
        <v>180.24177820597134</v>
      </c>
      <c r="AB27" s="13">
        <f ca="1">('TUSD BE'!$AE$27+'TUSD BF'!$AE$27+'TUSD CVA'!$AE$27)*(1 - 0.1)</f>
        <v>-11.506258334410687</v>
      </c>
      <c r="AC27" s="13">
        <f ca="1">('TUSD BE'!$AF$27+'TUSD BF'!$AF$27+'TUSD CVA'!$AF$27)*(1 - 0.1)</f>
        <v>0</v>
      </c>
      <c r="AD27" s="13">
        <f>('TUSD BE'!$AH$27+'TUSD BF'!$AH$27+'TUSD CVA'!$AH$27)*(1 - 0.1)</f>
        <v>20.058697951671121</v>
      </c>
      <c r="AE27" s="13">
        <f>('TUSD BE'!$AI$27+'TUSD BF'!$AI$27+'TUSD CVA'!$AI$27)*(1 - 0.1)</f>
        <v>0</v>
      </c>
      <c r="AF27" s="13">
        <f ca="1">('TUSD BE'!$AJ$27+'TUSD BF'!$AJ$27+'TUSD CVA'!$AJ$27)*(1 - 0.1)</f>
        <v>1.1765815852329846</v>
      </c>
      <c r="AG27" s="13">
        <f ca="1">('TUSD BE'!$AK$27+'TUSD BF'!$AK$27+'TUSD CVA'!$AK$27)*(1 - 0.1)</f>
        <v>0.1774197585137359</v>
      </c>
      <c r="AI27" s="13">
        <v>0</v>
      </c>
      <c r="AJ27" s="13">
        <v>0.67876327720539797</v>
      </c>
      <c r="AK27" s="13">
        <v>4.0703823202857699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65.333701109054303</v>
      </c>
      <c r="AV27" s="13">
        <v>0</v>
      </c>
      <c r="AW27" s="13">
        <v>0</v>
      </c>
      <c r="AX27" s="13">
        <v>155.62505746946201</v>
      </c>
      <c r="AY27" s="13">
        <v>-3.8800761860469102</v>
      </c>
      <c r="AZ27" s="13">
        <v>0</v>
      </c>
      <c r="BA27" s="13">
        <v>20.9225029858524</v>
      </c>
      <c r="BB27" s="13">
        <v>0</v>
      </c>
      <c r="BC27" s="13">
        <v>1.23236453520408</v>
      </c>
      <c r="BD27" s="13">
        <v>0.16920145452948401</v>
      </c>
    </row>
    <row r="28" spans="1:56" ht="11.25" customHeight="1" x14ac:dyDescent="0.3">
      <c r="A28" s="146"/>
      <c r="B28" s="146"/>
      <c r="C28" s="146"/>
      <c r="D28" s="23" t="s">
        <v>31</v>
      </c>
      <c r="E28" s="23" t="s">
        <v>25</v>
      </c>
      <c r="F28" s="23" t="s">
        <v>25</v>
      </c>
      <c r="G28" s="24" t="s">
        <v>84</v>
      </c>
      <c r="H28" s="24" t="s">
        <v>78</v>
      </c>
      <c r="I28" s="24">
        <f>'MERCADO TUSD'!$U$25</f>
        <v>91.992999999999995</v>
      </c>
      <c r="J28" s="15"/>
      <c r="L28" s="13">
        <f>('TUSD BE'!$L$28+'TUSD BF'!$L$28+'TUSD CVA'!$L$28)*1</f>
        <v>0</v>
      </c>
      <c r="M28" s="13">
        <f>('TUSD BE'!$M$28+'TUSD BF'!$M$28+'TUSD CVA'!$M$28)*1</f>
        <v>0.91979763130923176</v>
      </c>
      <c r="N28" s="13">
        <f ca="1">('TUSD BE'!$N$28+'TUSD BF'!$N$28+'TUSD CVA'!$N$28)*1</f>
        <v>5.7984707937946247</v>
      </c>
      <c r="O28" s="13">
        <f>('TUSD BE'!$O$28+'TUSD BF'!$O$28+'TUSD CVA'!$O$28)*1</f>
        <v>0</v>
      </c>
      <c r="P28" s="13">
        <v>0</v>
      </c>
      <c r="Q28" s="13">
        <f>('TUSD BE'!$Q$28+'TUSD BF'!$Q$28+'TUSD CVA'!$Q$28)*1</f>
        <v>0</v>
      </c>
      <c r="R28" s="13">
        <v>0</v>
      </c>
      <c r="S28" s="13">
        <f>('TUSD BE'!$S$28+'TUSD BF'!$S$28+'TUSD CVA'!$S$28)*1</f>
        <v>0</v>
      </c>
      <c r="T28" s="13">
        <f>('TUSD BE'!$U$28+'TUSD BF'!$U$28+'TUSD CVA'!$U$28)*1</f>
        <v>0</v>
      </c>
      <c r="U28" s="13">
        <f>('TUSD BE'!$V$28+'TUSD BF'!$V$28+'TUSD CVA'!$V$28)*1</f>
        <v>0</v>
      </c>
      <c r="V28" s="13">
        <f>('TUSD BE'!$W$28+'TUSD BF'!$W$28+'TUSD CVA'!$W$28)*1</f>
        <v>0</v>
      </c>
      <c r="W28" s="13">
        <f>('TUSD BE'!$X$28+'TUSD BF'!$X$28+'TUSD CVA'!$X$28)*1</f>
        <v>0</v>
      </c>
      <c r="X28" s="13">
        <f>('TUSD BE'!$Y$28+'TUSD BF'!$Y$28+'TUSD CVA'!$Y$28)*1</f>
        <v>101.84206078389674</v>
      </c>
      <c r="Y28" s="13">
        <f>('TUSD BE'!$Z$28+'TUSD BF'!$Z$28+'TUSD CVA'!$Z$28)*1</f>
        <v>0</v>
      </c>
      <c r="Z28" s="13">
        <f>('TUSD BE'!$AA$28+'TUSD BF'!$AA$28+'TUSD CVA'!$AA$28)*1</f>
        <v>0</v>
      </c>
      <c r="AA28" s="13">
        <f>('TUSD BE'!$AC$28+'TUSD BF'!$AC$28+'TUSD CVA'!$AC$28)*1</f>
        <v>200.26864245107927</v>
      </c>
      <c r="AB28" s="13">
        <f ca="1">('TUSD BE'!$AE$28+'TUSD BF'!$AE$28+'TUSD CVA'!$AE$28)*1</f>
        <v>-12.78473148267854</v>
      </c>
      <c r="AC28" s="13">
        <f ca="1">('TUSD BE'!$AF$28+'TUSD BF'!$AF$28+'TUSD CVA'!$AF$28)*1</f>
        <v>0</v>
      </c>
      <c r="AD28" s="13">
        <f>('TUSD BE'!$AH$28+'TUSD BF'!$AH$28+'TUSD CVA'!$AH$28)*1</f>
        <v>22.287442168523466</v>
      </c>
      <c r="AE28" s="13">
        <f>('TUSD BE'!$AI$28+'TUSD BF'!$AI$28+'TUSD CVA'!$AI$28)*1</f>
        <v>0</v>
      </c>
      <c r="AF28" s="13">
        <f ca="1">('TUSD BE'!$AJ$28+'TUSD BF'!$AJ$28+'TUSD CVA'!$AJ$28)*1</f>
        <v>1.3073128724810941</v>
      </c>
      <c r="AG28" s="13">
        <f ca="1">('TUSD BE'!$AK$28+'TUSD BF'!$AK$28+'TUSD CVA'!$AK$28)*1</f>
        <v>0.19713306501526209</v>
      </c>
      <c r="AI28" s="13">
        <v>0</v>
      </c>
      <c r="AJ28" s="13">
        <v>0.75418141911710901</v>
      </c>
      <c r="AK28" s="13">
        <v>4.5226470225397399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72.593001232282603</v>
      </c>
      <c r="AV28" s="13">
        <v>0</v>
      </c>
      <c r="AW28" s="13">
        <v>0</v>
      </c>
      <c r="AX28" s="13">
        <v>172.916730521625</v>
      </c>
      <c r="AY28" s="13">
        <v>-4.3111957622743402</v>
      </c>
      <c r="AZ28" s="13">
        <v>0</v>
      </c>
      <c r="BA28" s="13">
        <v>23.247225539835998</v>
      </c>
      <c r="BB28" s="13">
        <v>0</v>
      </c>
      <c r="BC28" s="13">
        <v>1.36929392800453</v>
      </c>
      <c r="BD28" s="13">
        <v>0.18800161614387101</v>
      </c>
    </row>
    <row r="29" spans="1:56" ht="11.25" customHeight="1" x14ac:dyDescent="0.3">
      <c r="A29" s="146"/>
      <c r="B29" s="146" t="s">
        <v>92</v>
      </c>
      <c r="C29" s="146" t="s">
        <v>24</v>
      </c>
      <c r="D29" s="23" t="s">
        <v>24</v>
      </c>
      <c r="E29" s="23" t="s">
        <v>25</v>
      </c>
      <c r="F29" s="23" t="s">
        <v>25</v>
      </c>
      <c r="G29" s="24" t="s">
        <v>84</v>
      </c>
      <c r="H29" s="24" t="s">
        <v>78</v>
      </c>
      <c r="I29" s="24">
        <f>'MERCADO TUSD'!$U$26</f>
        <v>0</v>
      </c>
      <c r="J29" s="15"/>
      <c r="L29" s="13">
        <f>('TUSD BE'!$L$29+'TUSD BF'!$L$29+'TUSD CVA'!$L$29)*1</f>
        <v>2.8345977440733967</v>
      </c>
      <c r="M29" s="13">
        <f>('TUSD BE'!$M$29+'TUSD BF'!$M$29+'TUSD CVA'!$M$29)*1</f>
        <v>0.91979763130923176</v>
      </c>
      <c r="N29" s="13">
        <f ca="1">('TUSD BE'!$N$29+'TUSD BF'!$N$29+'TUSD CVA'!$N$29)*1</f>
        <v>5.8184178509713727</v>
      </c>
      <c r="O29" s="13">
        <f>('TUSD BE'!$O$29+'TUSD BF'!$O$29+'TUSD CVA'!$O$29)*1</f>
        <v>0</v>
      </c>
      <c r="P29" s="13">
        <f>('TUSD BE'!$P$29+'TUSD BF'!$P$29+'TUSD CVA'!$P$29)*1</f>
        <v>0</v>
      </c>
      <c r="Q29" s="13">
        <f>('TUSD BE'!$Q$29+'TUSD BF'!$Q$29+'TUSD CVA'!$Q$29)*1</f>
        <v>133.5497199323662</v>
      </c>
      <c r="R29" s="13">
        <f>('TUSD BE'!$R$29+'TUSD BF'!$R$29+'TUSD CVA'!$R$29)*1</f>
        <v>20.280631063481596</v>
      </c>
      <c r="S29" s="13">
        <f>('TUSD BE'!$S$29+'TUSD BF'!$S$29+'TUSD CVA'!$S$29)*1</f>
        <v>0</v>
      </c>
      <c r="T29" s="13">
        <f>('TUSD BE'!$U$29+'TUSD BF'!$U$29+'TUSD CVA'!$U$29)*1</f>
        <v>0</v>
      </c>
      <c r="U29" s="13">
        <f>('TUSD BE'!$V$29+'TUSD BF'!$V$29+'TUSD CVA'!$V$29)*1</f>
        <v>0</v>
      </c>
      <c r="V29" s="13">
        <f>('TUSD BE'!$W$29+'TUSD BF'!$W$29+'TUSD CVA'!$W$29)*1</f>
        <v>0</v>
      </c>
      <c r="W29" s="13">
        <f>('TUSD BE'!$X$29+'TUSD BF'!$X$29+'TUSD CVA'!$X$29)*1</f>
        <v>0</v>
      </c>
      <c r="X29" s="13">
        <f>('TUSD BE'!$Y$29+'TUSD BF'!$Y$29+'TUSD CVA'!$Y$29)*1</f>
        <v>101.84206078389674</v>
      </c>
      <c r="Y29" s="13">
        <f>('TUSD BE'!$Z$29+'TUSD BF'!$Z$29+'TUSD CVA'!$Z$29)*1</f>
        <v>0</v>
      </c>
      <c r="Z29" s="13">
        <f>('TUSD BE'!$AA$29+'TUSD BF'!$AA$29+'TUSD CVA'!$AA$29)*1</f>
        <v>0</v>
      </c>
      <c r="AA29" s="13">
        <f>('TUSD BE'!$AC$29+'TUSD BF'!$AC$29+'TUSD CVA'!$AC$29)*1</f>
        <v>200.26864245107927</v>
      </c>
      <c r="AB29" s="13">
        <f ca="1">('TUSD BE'!$AE$29+'TUSD BF'!$AE$29+'TUSD CVA'!$AE$29)*1</f>
        <v>-17.524654495650299</v>
      </c>
      <c r="AC29" s="13">
        <f ca="1">('TUSD BE'!$AF$29+'TUSD BF'!$AF$29+'TUSD CVA'!$AF$29)*1</f>
        <v>0</v>
      </c>
      <c r="AD29" s="13">
        <f>('TUSD BE'!$AH$29+'TUSD BF'!$AH$29+'TUSD CVA'!$AH$29)*1</f>
        <v>22.287442168523466</v>
      </c>
      <c r="AE29" s="13">
        <f>('TUSD BE'!$AI$29+'TUSD BF'!$AI$29+'TUSD CVA'!$AI$29)*1</f>
        <v>0</v>
      </c>
      <c r="AF29" s="13">
        <f ca="1">('TUSD BE'!$AJ$29+'TUSD BF'!$AJ$29+'TUSD CVA'!$AJ$29)*1</f>
        <v>1.3073128724810941</v>
      </c>
      <c r="AG29" s="13">
        <f ca="1">('TUSD BE'!$AK$29+'TUSD BF'!$AK$29+'TUSD CVA'!$AK$29)*1</f>
        <v>0.19713306501526209</v>
      </c>
      <c r="AI29" s="13">
        <v>2.29268760333479</v>
      </c>
      <c r="AJ29" s="13">
        <v>0.75418141911710901</v>
      </c>
      <c r="AK29" s="13">
        <v>4.5381954048087803</v>
      </c>
      <c r="AL29" s="13">
        <v>0</v>
      </c>
      <c r="AM29" s="13">
        <v>0</v>
      </c>
      <c r="AN29" s="13">
        <v>61.206534468215601</v>
      </c>
      <c r="AO29" s="13">
        <v>9.3717997119616303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72.593001232282603</v>
      </c>
      <c r="AV29" s="13">
        <v>0</v>
      </c>
      <c r="AW29" s="13">
        <v>0</v>
      </c>
      <c r="AX29" s="13">
        <v>172.916730521625</v>
      </c>
      <c r="AY29" s="13">
        <v>-5.30836081270356</v>
      </c>
      <c r="AZ29" s="13">
        <v>0</v>
      </c>
      <c r="BA29" s="13">
        <v>23.247225539835998</v>
      </c>
      <c r="BB29" s="13">
        <v>0</v>
      </c>
      <c r="BC29" s="13">
        <v>1.36929392800453</v>
      </c>
      <c r="BD29" s="13">
        <v>0.18800161614387101</v>
      </c>
    </row>
    <row r="30" spans="1:56" ht="11.25" customHeight="1" x14ac:dyDescent="0.3">
      <c r="A30" s="146"/>
      <c r="B30" s="146"/>
      <c r="C30" s="146"/>
      <c r="D30" s="23" t="s">
        <v>28</v>
      </c>
      <c r="E30" s="23" t="s">
        <v>25</v>
      </c>
      <c r="F30" s="23" t="s">
        <v>25</v>
      </c>
      <c r="G30" s="24" t="s">
        <v>84</v>
      </c>
      <c r="H30" s="24" t="s">
        <v>78</v>
      </c>
      <c r="I30" s="24">
        <f>'MERCADO TUSD'!$U$27</f>
        <v>0</v>
      </c>
      <c r="J30" s="15"/>
      <c r="L30" s="13">
        <f>('TUSD BE'!$L$30+'TUSD BF'!$L$30+'TUSD CVA'!$L$30)*(1 - 0.65)</f>
        <v>0</v>
      </c>
      <c r="M30" s="13">
        <f>('TUSD BE'!$M$30+'TUSD BF'!$M$30+'TUSD CVA'!$M$30)*(1 - 0.65)</f>
        <v>0.32192917095823109</v>
      </c>
      <c r="N30" s="13">
        <f ca="1">('TUSD BE'!$N$30+'TUSD BF'!$N$30+'TUSD CVA'!$N$30)*(1 - 0.65)</f>
        <v>2.0294647778281187</v>
      </c>
      <c r="O30" s="13">
        <f>('TUSD BE'!$O$30+'TUSD BF'!$O$30+'TUSD CVA'!$O$30)*(1 - 0.65)</f>
        <v>0</v>
      </c>
      <c r="P30" s="13">
        <v>0</v>
      </c>
      <c r="Q30" s="13">
        <f>('TUSD BE'!$Q$30+'TUSD BF'!$Q$30+'TUSD CVA'!$Q$30)*(1 - 0.65)</f>
        <v>0</v>
      </c>
      <c r="R30" s="13">
        <v>0</v>
      </c>
      <c r="S30" s="13">
        <f>('TUSD BE'!$S$30+'TUSD BF'!$S$30+'TUSD CVA'!$S$30)*(1 - 0.65)</f>
        <v>0</v>
      </c>
      <c r="T30" s="13">
        <f>('TUSD BE'!$U$30+'TUSD BF'!$U$30+'TUSD CVA'!$U$30)*(1 - 0.65)</f>
        <v>0</v>
      </c>
      <c r="U30" s="13">
        <f>('TUSD BE'!$V$30+'TUSD BF'!$V$30+'TUSD CVA'!$V$30)*(1 - 0.65)</f>
        <v>0</v>
      </c>
      <c r="V30" s="13">
        <f>('TUSD BE'!$W$30+'TUSD BF'!$W$30+'TUSD CVA'!$W$30)*(1 - 0.65)</f>
        <v>0</v>
      </c>
      <c r="W30" s="13">
        <f>('TUSD BE'!$X$30+'TUSD BF'!$X$30+'TUSD CVA'!$X$30)*(1 - 0.65)</f>
        <v>0</v>
      </c>
      <c r="X30" s="13">
        <f>('TUSD BE'!$Y$30+'TUSD BF'!$Y$30+'TUSD CVA'!$Y$30)*(1 - 0.65)</f>
        <v>35.64472127436386</v>
      </c>
      <c r="Y30" s="13">
        <f>('TUSD BE'!$Z$30+'TUSD BF'!$Z$30+'TUSD CVA'!$Z$30)*(1 - 0.65)</f>
        <v>0</v>
      </c>
      <c r="Z30" s="13">
        <f>('TUSD BE'!$AA$30+'TUSD BF'!$AA$30+'TUSD CVA'!$AA$30)*(1 - 0.65)</f>
        <v>0</v>
      </c>
      <c r="AA30" s="13">
        <f>('TUSD BE'!$AC$30+'TUSD BF'!$AC$30+'TUSD CVA'!$AC$30)*(1 - 0.65)</f>
        <v>70.094024857877741</v>
      </c>
      <c r="AB30" s="13">
        <f ca="1">('TUSD BE'!$AE$30+'TUSD BF'!$AE$30+'TUSD CVA'!$AE$30)*(1 - 0.65)</f>
        <v>-4.4746560189374884</v>
      </c>
      <c r="AC30" s="13">
        <f ca="1">('TUSD BE'!$AF$30+'TUSD BF'!$AF$30+'TUSD CVA'!$AF$30)*(1 - 0.65)</f>
        <v>0</v>
      </c>
      <c r="AD30" s="13">
        <f>('TUSD BE'!$AH$30+'TUSD BF'!$AH$30+'TUSD CVA'!$AH$30)*(1 - 0.65)</f>
        <v>7.8006047589832122</v>
      </c>
      <c r="AE30" s="13">
        <f>('TUSD BE'!$AI$30+'TUSD BF'!$AI$30+'TUSD CVA'!$AI$30)*(1 - 0.65)</f>
        <v>0</v>
      </c>
      <c r="AF30" s="13">
        <f ca="1">('TUSD BE'!$AJ$30+'TUSD BF'!$AJ$30+'TUSD CVA'!$AJ$30)*(1 - 0.65)</f>
        <v>0.45755950536838291</v>
      </c>
      <c r="AG30" s="13">
        <f ca="1">('TUSD BE'!$AK$30+'TUSD BF'!$AK$30+'TUSD CVA'!$AK$30)*(1 - 0.65)</f>
        <v>6.8996572755341726E-2</v>
      </c>
      <c r="AI30" s="13">
        <v>0</v>
      </c>
      <c r="AJ30" s="13">
        <v>0.26396349669098801</v>
      </c>
      <c r="AK30" s="13">
        <v>1.58292645788891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25.407550431298901</v>
      </c>
      <c r="AV30" s="13">
        <v>0</v>
      </c>
      <c r="AW30" s="13">
        <v>0</v>
      </c>
      <c r="AX30" s="13">
        <v>60.520855682568701</v>
      </c>
      <c r="AY30" s="13">
        <v>-1.50891851679602</v>
      </c>
      <c r="AZ30" s="13">
        <v>0</v>
      </c>
      <c r="BA30" s="13">
        <v>8.1365289389425897</v>
      </c>
      <c r="BB30" s="13">
        <v>0</v>
      </c>
      <c r="BC30" s="13">
        <v>0.47925287480158701</v>
      </c>
      <c r="BD30" s="13">
        <v>6.5800565650354803E-2</v>
      </c>
    </row>
    <row r="31" spans="1:56" ht="11.25" customHeight="1" x14ac:dyDescent="0.3">
      <c r="A31" s="146"/>
      <c r="B31" s="146"/>
      <c r="C31" s="146"/>
      <c r="D31" s="23" t="s">
        <v>29</v>
      </c>
      <c r="E31" s="23" t="s">
        <v>25</v>
      </c>
      <c r="F31" s="23" t="s">
        <v>25</v>
      </c>
      <c r="G31" s="24" t="s">
        <v>84</v>
      </c>
      <c r="H31" s="24" t="s">
        <v>78</v>
      </c>
      <c r="I31" s="24">
        <f>'MERCADO TUSD'!$U$28</f>
        <v>0</v>
      </c>
      <c r="J31" s="15"/>
      <c r="L31" s="13">
        <f>('TUSD BE'!$L$31+'TUSD BF'!$L$31+'TUSD CVA'!$L$31)*(1 - 0.4)</f>
        <v>0</v>
      </c>
      <c r="M31" s="13">
        <f>('TUSD BE'!$M$31+'TUSD BF'!$M$31+'TUSD CVA'!$M$31)*(1 - 0.4)</f>
        <v>0.55187857878553903</v>
      </c>
      <c r="N31" s="13">
        <f ca="1">('TUSD BE'!$N$31+'TUSD BF'!$N$31+'TUSD CVA'!$N$31)*(1 - 0.4)</f>
        <v>3.4790824762767749</v>
      </c>
      <c r="O31" s="13">
        <f>('TUSD BE'!$O$31+'TUSD BF'!$O$31+'TUSD CVA'!$O$31)*(1 - 0.4)</f>
        <v>0</v>
      </c>
      <c r="P31" s="13">
        <v>0</v>
      </c>
      <c r="Q31" s="13">
        <f>('TUSD BE'!$Q$31+'TUSD BF'!$Q$31+'TUSD CVA'!$Q$31)*(1 - 0.4)</f>
        <v>0</v>
      </c>
      <c r="R31" s="13">
        <v>0</v>
      </c>
      <c r="S31" s="13">
        <f>('TUSD BE'!$S$31+'TUSD BF'!$S$31+'TUSD CVA'!$S$31)*(1 - 0.4)</f>
        <v>0</v>
      </c>
      <c r="T31" s="13">
        <f>('TUSD BE'!$U$31+'TUSD BF'!$U$31+'TUSD CVA'!$U$31)*(1 - 0.4)</f>
        <v>0</v>
      </c>
      <c r="U31" s="13">
        <f>('TUSD BE'!$V$31+'TUSD BF'!$V$31+'TUSD CVA'!$V$31)*(1 - 0.4)</f>
        <v>0</v>
      </c>
      <c r="V31" s="13">
        <f>('TUSD BE'!$W$31+'TUSD BF'!$W$31+'TUSD CVA'!$W$31)*(1 - 0.4)</f>
        <v>0</v>
      </c>
      <c r="W31" s="13">
        <f>('TUSD BE'!$X$31+'TUSD BF'!$X$31+'TUSD CVA'!$X$31)*(1 - 0.4)</f>
        <v>0</v>
      </c>
      <c r="X31" s="13">
        <f>('TUSD BE'!$Y$31+'TUSD BF'!$Y$31+'TUSD CVA'!$Y$31)*(1 - 0.4)</f>
        <v>61.105236470338042</v>
      </c>
      <c r="Y31" s="13">
        <f>('TUSD BE'!$Z$31+'TUSD BF'!$Z$31+'TUSD CVA'!$Z$31)*(1 - 0.4)</f>
        <v>0</v>
      </c>
      <c r="Z31" s="13">
        <f>('TUSD BE'!$AA$31+'TUSD BF'!$AA$31+'TUSD CVA'!$AA$31)*(1 - 0.4)</f>
        <v>0</v>
      </c>
      <c r="AA31" s="13">
        <f>('TUSD BE'!$AC$31+'TUSD BF'!$AC$31+'TUSD CVA'!$AC$31)*(1 - 0.4)</f>
        <v>120.16118547064755</v>
      </c>
      <c r="AB31" s="13">
        <f ca="1">('TUSD BE'!$AE$31+'TUSD BF'!$AE$31+'TUSD CVA'!$AE$31)*(1 - 0.4)</f>
        <v>-7.6708388896071238</v>
      </c>
      <c r="AC31" s="13">
        <f ca="1">('TUSD BE'!$AF$31+'TUSD BF'!$AF$31+'TUSD CVA'!$AF$31)*(1 - 0.4)</f>
        <v>0</v>
      </c>
      <c r="AD31" s="13">
        <f>('TUSD BE'!$AH$31+'TUSD BF'!$AH$31+'TUSD CVA'!$AH$31)*(1 - 0.4)</f>
        <v>13.372465301114079</v>
      </c>
      <c r="AE31" s="13">
        <f>('TUSD BE'!$AI$31+'TUSD BF'!$AI$31+'TUSD CVA'!$AI$31)*(1 - 0.4)</f>
        <v>0</v>
      </c>
      <c r="AF31" s="13">
        <f ca="1">('TUSD BE'!$AJ$31+'TUSD BF'!$AJ$31+'TUSD CVA'!$AJ$31)*(1 - 0.4)</f>
        <v>0.78438772348865637</v>
      </c>
      <c r="AG31" s="13">
        <f ca="1">('TUSD BE'!$AK$31+'TUSD BF'!$AK$31+'TUSD CVA'!$AK$31)*(1 - 0.4)</f>
        <v>0.11827983900915726</v>
      </c>
      <c r="AI31" s="13">
        <v>0</v>
      </c>
      <c r="AJ31" s="13">
        <v>0.45250885147026498</v>
      </c>
      <c r="AK31" s="13">
        <v>2.7135882135238401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43.555800739369502</v>
      </c>
      <c r="AV31" s="13">
        <v>0</v>
      </c>
      <c r="AW31" s="13">
        <v>0</v>
      </c>
      <c r="AX31" s="13">
        <v>103.75003831297499</v>
      </c>
      <c r="AY31" s="13">
        <v>-2.5867174573646001</v>
      </c>
      <c r="AZ31" s="13">
        <v>0</v>
      </c>
      <c r="BA31" s="13">
        <v>13.948335323901601</v>
      </c>
      <c r="BB31" s="13">
        <v>0</v>
      </c>
      <c r="BC31" s="13">
        <v>0.82157635680272001</v>
      </c>
      <c r="BD31" s="13">
        <v>0.112800969686323</v>
      </c>
    </row>
    <row r="32" spans="1:56" ht="11.25" customHeight="1" x14ac:dyDescent="0.3">
      <c r="A32" s="146"/>
      <c r="B32" s="146"/>
      <c r="C32" s="146"/>
      <c r="D32" s="23" t="s">
        <v>30</v>
      </c>
      <c r="E32" s="23" t="s">
        <v>25</v>
      </c>
      <c r="F32" s="23" t="s">
        <v>25</v>
      </c>
      <c r="G32" s="24" t="s">
        <v>84</v>
      </c>
      <c r="H32" s="24" t="s">
        <v>78</v>
      </c>
      <c r="I32" s="24">
        <f>'MERCADO TUSD'!$U$29</f>
        <v>0</v>
      </c>
      <c r="J32" s="15"/>
      <c r="L32" s="13">
        <f>('TUSD BE'!$L$32+'TUSD BF'!$L$32+'TUSD CVA'!$L$32)*(1 - 0.1)</f>
        <v>0</v>
      </c>
      <c r="M32" s="13">
        <f>('TUSD BE'!$M$32+'TUSD BF'!$M$32+'TUSD CVA'!$M$32)*(1 - 0.1)</f>
        <v>0.8278178681783086</v>
      </c>
      <c r="N32" s="13">
        <f ca="1">('TUSD BE'!$N$32+'TUSD BF'!$N$32+'TUSD CVA'!$N$32)*(1 - 0.1)</f>
        <v>5.2186237144151626</v>
      </c>
      <c r="O32" s="13">
        <f>('TUSD BE'!$O$32+'TUSD BF'!$O$32+'TUSD CVA'!$O$32)*(1 - 0.1)</f>
        <v>0</v>
      </c>
      <c r="P32" s="13">
        <v>0</v>
      </c>
      <c r="Q32" s="13">
        <f>('TUSD BE'!$Q$32+'TUSD BF'!$Q$32+'TUSD CVA'!$Q$32)*(1 - 0.1)</f>
        <v>0</v>
      </c>
      <c r="R32" s="13">
        <v>0</v>
      </c>
      <c r="S32" s="13">
        <f>('TUSD BE'!$S$32+'TUSD BF'!$S$32+'TUSD CVA'!$S$32)*(1 - 0.1)</f>
        <v>0</v>
      </c>
      <c r="T32" s="13">
        <f>('TUSD BE'!$U$32+'TUSD BF'!$U$32+'TUSD CVA'!$U$32)*(1 - 0.1)</f>
        <v>0</v>
      </c>
      <c r="U32" s="13">
        <f>('TUSD BE'!$V$32+'TUSD BF'!$V$32+'TUSD CVA'!$V$32)*(1 - 0.1)</f>
        <v>0</v>
      </c>
      <c r="V32" s="13">
        <f>('TUSD BE'!$W$32+'TUSD BF'!$W$32+'TUSD CVA'!$W$32)*(1 - 0.1)</f>
        <v>0</v>
      </c>
      <c r="W32" s="13">
        <f>('TUSD BE'!$X$32+'TUSD BF'!$X$32+'TUSD CVA'!$X$32)*(1 - 0.1)</f>
        <v>0</v>
      </c>
      <c r="X32" s="13">
        <f>('TUSD BE'!$Y$32+'TUSD BF'!$Y$32+'TUSD CVA'!$Y$32)*(1 - 0.1)</f>
        <v>91.657854705507063</v>
      </c>
      <c r="Y32" s="13">
        <f>('TUSD BE'!$Z$32+'TUSD BF'!$Z$32+'TUSD CVA'!$Z$32)*(1 - 0.1)</f>
        <v>0</v>
      </c>
      <c r="Z32" s="13">
        <f>('TUSD BE'!$AA$32+'TUSD BF'!$AA$32+'TUSD CVA'!$AA$32)*(1 - 0.1)</f>
        <v>0</v>
      </c>
      <c r="AA32" s="13">
        <f>('TUSD BE'!$AC$32+'TUSD BF'!$AC$32+'TUSD CVA'!$AC$32)*(1 - 0.1)</f>
        <v>180.24177820597134</v>
      </c>
      <c r="AB32" s="13">
        <f ca="1">('TUSD BE'!$AE$32+'TUSD BF'!$AE$32+'TUSD CVA'!$AE$32)*(1 - 0.1)</f>
        <v>-11.506258334410687</v>
      </c>
      <c r="AC32" s="13">
        <f ca="1">('TUSD BE'!$AF$32+'TUSD BF'!$AF$32+'TUSD CVA'!$AF$32)*(1 - 0.1)</f>
        <v>0</v>
      </c>
      <c r="AD32" s="13">
        <f>('TUSD BE'!$AH$32+'TUSD BF'!$AH$32+'TUSD CVA'!$AH$32)*(1 - 0.1)</f>
        <v>20.058697951671121</v>
      </c>
      <c r="AE32" s="13">
        <f>('TUSD BE'!$AI$32+'TUSD BF'!$AI$32+'TUSD CVA'!$AI$32)*(1 - 0.1)</f>
        <v>0</v>
      </c>
      <c r="AF32" s="13">
        <f ca="1">('TUSD BE'!$AJ$32+'TUSD BF'!$AJ$32+'TUSD CVA'!$AJ$32)*(1 - 0.1)</f>
        <v>1.1765815852329846</v>
      </c>
      <c r="AG32" s="13">
        <f ca="1">('TUSD BE'!$AK$32+'TUSD BF'!$AK$32+'TUSD CVA'!$AK$32)*(1 - 0.1)</f>
        <v>0.1774197585137359</v>
      </c>
      <c r="AI32" s="13">
        <v>0</v>
      </c>
      <c r="AJ32" s="13">
        <v>0.67876327720539797</v>
      </c>
      <c r="AK32" s="13">
        <v>4.0703823202857699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65.333701109054303</v>
      </c>
      <c r="AV32" s="13">
        <v>0</v>
      </c>
      <c r="AW32" s="13">
        <v>0</v>
      </c>
      <c r="AX32" s="13">
        <v>155.62505746946201</v>
      </c>
      <c r="AY32" s="13">
        <v>-3.8800761860469102</v>
      </c>
      <c r="AZ32" s="13">
        <v>0</v>
      </c>
      <c r="BA32" s="13">
        <v>20.9225029858524</v>
      </c>
      <c r="BB32" s="13">
        <v>0</v>
      </c>
      <c r="BC32" s="13">
        <v>1.23236453520408</v>
      </c>
      <c r="BD32" s="13">
        <v>0.16920145452948401</v>
      </c>
    </row>
    <row r="33" spans="1:56" ht="11.25" customHeight="1" x14ac:dyDescent="0.3">
      <c r="A33" s="146"/>
      <c r="B33" s="146"/>
      <c r="C33" s="146"/>
      <c r="D33" s="23" t="s">
        <v>31</v>
      </c>
      <c r="E33" s="23" t="s">
        <v>25</v>
      </c>
      <c r="F33" s="23" t="s">
        <v>25</v>
      </c>
      <c r="G33" s="24" t="s">
        <v>84</v>
      </c>
      <c r="H33" s="24" t="s">
        <v>78</v>
      </c>
      <c r="I33" s="24">
        <f>'MERCADO TUSD'!$U$30</f>
        <v>0</v>
      </c>
      <c r="J33" s="15"/>
      <c r="L33" s="13">
        <f>('TUSD BE'!$L$33+'TUSD BF'!$L$33+'TUSD CVA'!$L$33)*1</f>
        <v>0</v>
      </c>
      <c r="M33" s="13">
        <f>('TUSD BE'!$M$33+'TUSD BF'!$M$33+'TUSD CVA'!$M$33)*1</f>
        <v>0.91979763130923176</v>
      </c>
      <c r="N33" s="13">
        <f ca="1">('TUSD BE'!$N$33+'TUSD BF'!$N$33+'TUSD CVA'!$N$33)*1</f>
        <v>5.7984707937946247</v>
      </c>
      <c r="O33" s="13">
        <f>('TUSD BE'!$O$33+'TUSD BF'!$O$33+'TUSD CVA'!$O$33)*1</f>
        <v>0</v>
      </c>
      <c r="P33" s="13">
        <v>0</v>
      </c>
      <c r="Q33" s="13">
        <f>('TUSD BE'!$Q$33+'TUSD BF'!$Q$33+'TUSD CVA'!$Q$33)*1</f>
        <v>0</v>
      </c>
      <c r="R33" s="13">
        <v>0</v>
      </c>
      <c r="S33" s="13">
        <f>('TUSD BE'!$S$33+'TUSD BF'!$S$33+'TUSD CVA'!$S$33)*1</f>
        <v>0</v>
      </c>
      <c r="T33" s="13">
        <f>('TUSD BE'!$U$33+'TUSD BF'!$U$33+'TUSD CVA'!$U$33)*1</f>
        <v>0</v>
      </c>
      <c r="U33" s="13">
        <f>('TUSD BE'!$V$33+'TUSD BF'!$V$33+'TUSD CVA'!$V$33)*1</f>
        <v>0</v>
      </c>
      <c r="V33" s="13">
        <f>('TUSD BE'!$W$33+'TUSD BF'!$W$33+'TUSD CVA'!$W$33)*1</f>
        <v>0</v>
      </c>
      <c r="W33" s="13">
        <f>('TUSD BE'!$X$33+'TUSD BF'!$X$33+'TUSD CVA'!$X$33)*1</f>
        <v>0</v>
      </c>
      <c r="X33" s="13">
        <f>('TUSD BE'!$Y$33+'TUSD BF'!$Y$33+'TUSD CVA'!$Y$33)*1</f>
        <v>101.84206078389674</v>
      </c>
      <c r="Y33" s="13">
        <f>('TUSD BE'!$Z$33+'TUSD BF'!$Z$33+'TUSD CVA'!$Z$33)*1</f>
        <v>0</v>
      </c>
      <c r="Z33" s="13">
        <f>('TUSD BE'!$AA$33+'TUSD BF'!$AA$33+'TUSD CVA'!$AA$33)*1</f>
        <v>0</v>
      </c>
      <c r="AA33" s="13">
        <f>('TUSD BE'!$AC$33+'TUSD BF'!$AC$33+'TUSD CVA'!$AC$33)*1</f>
        <v>200.26864245107927</v>
      </c>
      <c r="AB33" s="13">
        <f ca="1">('TUSD BE'!$AE$33+'TUSD BF'!$AE$33+'TUSD CVA'!$AE$33)*1</f>
        <v>-12.78473148267854</v>
      </c>
      <c r="AC33" s="13">
        <f ca="1">('TUSD BE'!$AF$33+'TUSD BF'!$AF$33+'TUSD CVA'!$AF$33)*1</f>
        <v>0</v>
      </c>
      <c r="AD33" s="13">
        <f>('TUSD BE'!$AH$33+'TUSD BF'!$AH$33+'TUSD CVA'!$AH$33)*1</f>
        <v>22.287442168523466</v>
      </c>
      <c r="AE33" s="13">
        <f>('TUSD BE'!$AI$33+'TUSD BF'!$AI$33+'TUSD CVA'!$AI$33)*1</f>
        <v>0</v>
      </c>
      <c r="AF33" s="13">
        <f ca="1">('TUSD BE'!$AJ$33+'TUSD BF'!$AJ$33+'TUSD CVA'!$AJ$33)*1</f>
        <v>1.3073128724810941</v>
      </c>
      <c r="AG33" s="13">
        <f ca="1">('TUSD BE'!$AK$33+'TUSD BF'!$AK$33+'TUSD CVA'!$AK$33)*1</f>
        <v>0.19713306501526209</v>
      </c>
      <c r="AI33" s="13">
        <v>0</v>
      </c>
      <c r="AJ33" s="13">
        <v>0.75418141911710901</v>
      </c>
      <c r="AK33" s="13">
        <v>4.5226470225397399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72.593001232282603</v>
      </c>
      <c r="AV33" s="13">
        <v>0</v>
      </c>
      <c r="AW33" s="13">
        <v>0</v>
      </c>
      <c r="AX33" s="13">
        <v>172.916730521625</v>
      </c>
      <c r="AY33" s="13">
        <v>-4.3111957622743402</v>
      </c>
      <c r="AZ33" s="13">
        <v>0</v>
      </c>
      <c r="BA33" s="13">
        <v>23.247225539835998</v>
      </c>
      <c r="BB33" s="13">
        <v>0</v>
      </c>
      <c r="BC33" s="13">
        <v>1.36929392800453</v>
      </c>
      <c r="BD33" s="13">
        <v>0.18800161614387101</v>
      </c>
    </row>
    <row r="34" spans="1:56" ht="11.25" customHeight="1" x14ac:dyDescent="0.3">
      <c r="A34" s="146" t="s">
        <v>41</v>
      </c>
      <c r="B34" s="146" t="s">
        <v>38</v>
      </c>
      <c r="C34" s="146" t="s">
        <v>42</v>
      </c>
      <c r="D34" s="146" t="s">
        <v>25</v>
      </c>
      <c r="E34" s="146" t="s">
        <v>25</v>
      </c>
      <c r="F34" s="146" t="s">
        <v>25</v>
      </c>
      <c r="G34" s="24" t="s">
        <v>79</v>
      </c>
      <c r="H34" s="24" t="s">
        <v>78</v>
      </c>
      <c r="I34" s="24">
        <f>'MERCADO TUSD'!$U$31</f>
        <v>0</v>
      </c>
      <c r="J34" s="15"/>
      <c r="L34" s="13">
        <f>('TUSD BE'!$L$34+'TUSD BF'!$L$34+'TUSD CVA'!$L$34)*(1 - CUSTOS!$M$38)</f>
        <v>2.6645218794289929</v>
      </c>
      <c r="M34" s="13">
        <f>('TUSD BE'!$M$34+'TUSD BF'!$M$34+'TUSD CVA'!$M$34)*(1 - CUSTOS!$M$38)</f>
        <v>0.8646097734306778</v>
      </c>
      <c r="N34" s="13">
        <f ca="1">('TUSD BE'!$N$34+'TUSD BF'!$N$34+'TUSD CVA'!$N$34)*(1 - CUSTOS!$M$38)</f>
        <v>28.326097094570205</v>
      </c>
      <c r="O34" s="13">
        <f>('TUSD BE'!$O$34+'TUSD BF'!$O$34+'TUSD CVA'!$O$34)*(1 - CUSTOS!$M$38)</f>
        <v>0</v>
      </c>
      <c r="P34" s="13">
        <f>('TUSD BE'!$P$34+'TUSD BF'!$P$34+'TUSD CVA'!$P$34)*(1 - CUSTOS!$M$38)</f>
        <v>0</v>
      </c>
      <c r="Q34" s="13">
        <f>('TUSD BE'!$Q$34+'TUSD BF'!$Q$34+'TUSD CVA'!$Q$34)*(1 - CUSTOS!$M$38)</f>
        <v>125.53673673642422</v>
      </c>
      <c r="R34" s="13">
        <f>('TUSD BE'!$R$34+'TUSD BF'!$R$34+'TUSD CVA'!$R$34)*(1 - CUSTOS!$M$38)</f>
        <v>19.063793199672698</v>
      </c>
      <c r="S34" s="13">
        <f>('TUSD BE'!$S$34+'TUSD BF'!$S$34+'TUSD CVA'!$S$34)*(1 - CUSTOS!$M$38)</f>
        <v>0</v>
      </c>
      <c r="T34" s="13">
        <f>('TUSD BE'!$U$34+'TUSD BF'!$U$34+'TUSD CVA'!$U$34)*(1 - CUSTOS!$M$38)</f>
        <v>0</v>
      </c>
      <c r="U34" s="13">
        <f>('TUSD BE'!$V$34+'TUSD BF'!$V$34+'TUSD CVA'!$V$34)*(1 - CUSTOS!$M$38)</f>
        <v>0</v>
      </c>
      <c r="V34" s="13">
        <f>('TUSD BE'!$W$34+'TUSD BF'!$W$34+'TUSD CVA'!$W$34)*(1 - CUSTOS!$M$38)</f>
        <v>0</v>
      </c>
      <c r="W34" s="13">
        <f>('TUSD BE'!$X$34+'TUSD BF'!$X$34+'TUSD CVA'!$X$34)*(1 - CUSTOS!$M$38)</f>
        <v>0</v>
      </c>
      <c r="X34" s="13">
        <f>('TUSD BE'!$Y$34+'TUSD BF'!$Y$34+'TUSD CVA'!$Y$34)*(1 - CUSTOS!$M$38)</f>
        <v>584.88150979867203</v>
      </c>
      <c r="Y34" s="13">
        <f>('TUSD BE'!$Z$34+'TUSD BF'!$Z$34+'TUSD CVA'!$Z$34)*(1 - CUSTOS!$M$38)</f>
        <v>0</v>
      </c>
      <c r="Z34" s="13">
        <f>('TUSD BE'!$AA$34+'TUSD BF'!$AA$34+'TUSD CVA'!$AA$34)*(1 - CUSTOS!$M$38)</f>
        <v>0</v>
      </c>
      <c r="AA34" s="13">
        <f>('TUSD BE'!$AC$34+'TUSD BF'!$AC$34+'TUSD CVA'!$AC$34)*(1 - CUSTOS!$M$38)</f>
        <v>1150.1477463118783</v>
      </c>
      <c r="AB34" s="13">
        <f ca="1">('TUSD BE'!$AE$34+'TUSD BF'!$AE$34+'TUSD CVA'!$AE$34)*(1 - CUSTOS!$M$38)</f>
        <v>-73.028863084145129</v>
      </c>
      <c r="AC34" s="13">
        <f ca="1">('TUSD BE'!$AF$34+'TUSD BF'!$AF$34+'TUSD CVA'!$AF$34)*(1 - CUSTOS!$M$38)</f>
        <v>0</v>
      </c>
      <c r="AD34" s="13">
        <f>('TUSD BE'!$AH$34+'TUSD BF'!$AH$34+'TUSD CVA'!$AH$34)*(1 - CUSTOS!$M$38)</f>
        <v>20.950195638412058</v>
      </c>
      <c r="AE34" s="13">
        <f>('TUSD BE'!$AI$34+'TUSD BF'!$AI$34+'TUSD CVA'!$AI$34)*(1 - CUSTOS!$M$38)</f>
        <v>0</v>
      </c>
      <c r="AF34" s="13">
        <f ca="1">('TUSD BE'!$AJ$34+'TUSD BF'!$AJ$34+'TUSD CVA'!$AJ$34)*(1 - CUSTOS!$M$38)</f>
        <v>1.2288741001322283</v>
      </c>
      <c r="AG34" s="13">
        <f ca="1">('TUSD BE'!$AK$34+'TUSD BF'!$AK$34+'TUSD CVA'!$AK$34)*(1 - CUSTOS!$M$38)</f>
        <v>0.18530508111434635</v>
      </c>
      <c r="AI34" s="13">
        <v>2.0175650909346099</v>
      </c>
      <c r="AJ34" s="13">
        <v>0.66367964882305597</v>
      </c>
      <c r="AK34" s="13">
        <v>20.672854562146501</v>
      </c>
      <c r="AL34" s="13">
        <v>0</v>
      </c>
      <c r="AM34" s="13">
        <v>0</v>
      </c>
      <c r="AN34" s="13">
        <v>53.8617503320297</v>
      </c>
      <c r="AO34" s="13">
        <v>8.2471837465262396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390.29257003103601</v>
      </c>
      <c r="AV34" s="13">
        <v>0</v>
      </c>
      <c r="AW34" s="13">
        <v>0</v>
      </c>
      <c r="AX34" s="13">
        <v>929.67791204336299</v>
      </c>
      <c r="AY34" s="13">
        <v>-22.1454388268406</v>
      </c>
      <c r="AZ34" s="13">
        <v>0</v>
      </c>
      <c r="BA34" s="13">
        <v>20.457558475055698</v>
      </c>
      <c r="BB34" s="13">
        <v>0</v>
      </c>
      <c r="BC34" s="13">
        <v>1.20497865664399</v>
      </c>
      <c r="BD34" s="13">
        <v>0.16544142220660599</v>
      </c>
    </row>
    <row r="35" spans="1:56" ht="11.25" customHeight="1" x14ac:dyDescent="0.3">
      <c r="A35" s="146"/>
      <c r="B35" s="146"/>
      <c r="C35" s="146"/>
      <c r="D35" s="146"/>
      <c r="E35" s="146"/>
      <c r="F35" s="146"/>
      <c r="G35" s="24" t="s">
        <v>89</v>
      </c>
      <c r="H35" s="24" t="s">
        <v>78</v>
      </c>
      <c r="I35" s="24">
        <f>'MERCADO TUSD'!$U$32</f>
        <v>0</v>
      </c>
      <c r="J35" s="15"/>
      <c r="L35" s="13">
        <f>('TUSD BE'!$L$35+'TUSD BF'!$L$35+'TUSD CVA'!$L$35)*(1 - CUSTOS!$M$38)</f>
        <v>2.6645218794289929</v>
      </c>
      <c r="M35" s="13">
        <f>('TUSD BE'!$M$35+'TUSD BF'!$M$35+'TUSD CVA'!$M$35)*(1 - CUSTOS!$M$38)</f>
        <v>0.8646097734306778</v>
      </c>
      <c r="N35" s="13">
        <f ca="1">('TUSD BE'!$N$35+'TUSD BF'!$N$35+'TUSD CVA'!$N$35)*(1 - CUSTOS!$M$38)</f>
        <v>8.5988355435000816</v>
      </c>
      <c r="O35" s="13">
        <f>('TUSD BE'!$O$35+'TUSD BF'!$O$35+'TUSD CVA'!$O$35)*(1 - CUSTOS!$M$38)</f>
        <v>0</v>
      </c>
      <c r="P35" s="13">
        <f>('TUSD BE'!$P$35+'TUSD BF'!$P$35+'TUSD CVA'!$P$35)*(1 - CUSTOS!$M$38)</f>
        <v>0</v>
      </c>
      <c r="Q35" s="13">
        <f>('TUSD BE'!$Q$35+'TUSD BF'!$Q$35+'TUSD CVA'!$Q$35)*(1 - CUSTOS!$M$38)</f>
        <v>125.53673673642422</v>
      </c>
      <c r="R35" s="13">
        <f>('TUSD BE'!$R$35+'TUSD BF'!$R$35+'TUSD CVA'!$R$35)*(1 - CUSTOS!$M$38)</f>
        <v>19.063793199672698</v>
      </c>
      <c r="S35" s="13">
        <f>('TUSD BE'!$S$35+'TUSD BF'!$S$35+'TUSD CVA'!$S$35)*(1 - CUSTOS!$M$38)</f>
        <v>0</v>
      </c>
      <c r="T35" s="13">
        <f>('TUSD BE'!$U$35+'TUSD BF'!$U$35+'TUSD CVA'!$U$35)*(1 - CUSTOS!$M$38)</f>
        <v>0</v>
      </c>
      <c r="U35" s="13">
        <f>('TUSD BE'!$V$35+'TUSD BF'!$V$35+'TUSD CVA'!$V$35)*(1 - CUSTOS!$M$38)</f>
        <v>0</v>
      </c>
      <c r="V35" s="13">
        <f>('TUSD BE'!$W$35+'TUSD BF'!$W$35+'TUSD CVA'!$W$35)*(1 - CUSTOS!$M$38)</f>
        <v>0</v>
      </c>
      <c r="W35" s="13">
        <f>('TUSD BE'!$X$35+'TUSD BF'!$X$35+'TUSD CVA'!$X$35)*(1 - CUSTOS!$M$38)</f>
        <v>0</v>
      </c>
      <c r="X35" s="13">
        <f>('TUSD BE'!$Y$35+'TUSD BF'!$Y$35+'TUSD CVA'!$Y$35)*(1 - CUSTOS!$M$38)</f>
        <v>162.70542118182013</v>
      </c>
      <c r="Y35" s="13">
        <f>('TUSD BE'!$Z$35+'TUSD BF'!$Z$35+'TUSD CVA'!$Z$35)*(1 - CUSTOS!$M$38)</f>
        <v>0</v>
      </c>
      <c r="Z35" s="13">
        <f>('TUSD BE'!$AA$35+'TUSD BF'!$AA$35+'TUSD CVA'!$AA$35)*(1 - CUSTOS!$M$38)</f>
        <v>0</v>
      </c>
      <c r="AA35" s="13">
        <f>('TUSD BE'!$AC$35+'TUSD BF'!$AC$35+'TUSD CVA'!$AC$35)*(1 - CUSTOS!$M$38)</f>
        <v>319.95398741276961</v>
      </c>
      <c r="AB35" s="13">
        <f ca="1">('TUSD BE'!$AE$35+'TUSD BF'!$AE$35+'TUSD CVA'!$AE$35)*(1 - CUSTOS!$M$38)</f>
        <v>-24.216711198350136</v>
      </c>
      <c r="AC35" s="13">
        <f ca="1">('TUSD BE'!$AF$35+'TUSD BF'!$AF$35+'TUSD CVA'!$AF$35)*(1 - CUSTOS!$M$38)</f>
        <v>0</v>
      </c>
      <c r="AD35" s="13">
        <f>('TUSD BE'!$AH$35+'TUSD BF'!$AH$35+'TUSD CVA'!$AH$35)*(1 - CUSTOS!$M$38)</f>
        <v>20.950195638412058</v>
      </c>
      <c r="AE35" s="13">
        <f>('TUSD BE'!$AI$35+'TUSD BF'!$AI$35+'TUSD CVA'!$AI$35)*(1 - CUSTOS!$M$38)</f>
        <v>0</v>
      </c>
      <c r="AF35" s="13">
        <f ca="1">('TUSD BE'!$AJ$35+'TUSD BF'!$AJ$35+'TUSD CVA'!$AJ$35)*(1 - CUSTOS!$M$38)</f>
        <v>1.2288741001322283</v>
      </c>
      <c r="AG35" s="13">
        <f ca="1">('TUSD BE'!$AK$35+'TUSD BF'!$AK$35+'TUSD CVA'!$AK$35)*(1 - CUSTOS!$M$38)</f>
        <v>0.18530508111434635</v>
      </c>
      <c r="AI35" s="13">
        <v>2.0175650909346099</v>
      </c>
      <c r="AJ35" s="13">
        <v>0.66367964882305597</v>
      </c>
      <c r="AK35" s="13">
        <v>6.2773133157938297</v>
      </c>
      <c r="AL35" s="13">
        <v>0</v>
      </c>
      <c r="AM35" s="13">
        <v>0</v>
      </c>
      <c r="AN35" s="13">
        <v>53.8617503320297</v>
      </c>
      <c r="AO35" s="13">
        <v>8.2471837465262396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108.573644280349</v>
      </c>
      <c r="AV35" s="13">
        <v>0</v>
      </c>
      <c r="AW35" s="13">
        <v>0</v>
      </c>
      <c r="AX35" s="13">
        <v>258.62256038120597</v>
      </c>
      <c r="AY35" s="13">
        <v>-7.0638873582173902</v>
      </c>
      <c r="AZ35" s="13">
        <v>0</v>
      </c>
      <c r="BA35" s="13">
        <v>20.457558475055698</v>
      </c>
      <c r="BB35" s="13">
        <v>0</v>
      </c>
      <c r="BC35" s="13">
        <v>1.20497865664399</v>
      </c>
      <c r="BD35" s="13">
        <v>0.16544142220660599</v>
      </c>
    </row>
    <row r="36" spans="1:56" ht="11.25" customHeight="1" x14ac:dyDescent="0.3">
      <c r="A36" s="146"/>
      <c r="B36" s="146"/>
      <c r="C36" s="146"/>
      <c r="D36" s="146"/>
      <c r="E36" s="146"/>
      <c r="F36" s="146"/>
      <c r="G36" s="24" t="s">
        <v>80</v>
      </c>
      <c r="H36" s="24" t="s">
        <v>78</v>
      </c>
      <c r="I36" s="24">
        <f>'MERCADO TUSD'!$U$33</f>
        <v>0</v>
      </c>
      <c r="J36" s="15"/>
      <c r="L36" s="13">
        <f>('TUSD BE'!$L$36+'TUSD BF'!$L$36+'TUSD CVA'!$L$36)*(1 - CUSTOS!$M$38)</f>
        <v>2.6645218794289929</v>
      </c>
      <c r="M36" s="13">
        <f>('TUSD BE'!$M$36+'TUSD BF'!$M$36+'TUSD CVA'!$M$36)*(1 - CUSTOS!$M$38)</f>
        <v>0.8646097734306778</v>
      </c>
      <c r="N36" s="13">
        <f ca="1">('TUSD BE'!$N$36+'TUSD BF'!$N$36+'TUSD CVA'!$N$36)*(1 - CUSTOS!$M$38)</f>
        <v>2.2485363787303712</v>
      </c>
      <c r="O36" s="13">
        <f>('TUSD BE'!$O$36+'TUSD BF'!$O$36+'TUSD CVA'!$O$36)*(1 - CUSTOS!$M$38)</f>
        <v>0</v>
      </c>
      <c r="P36" s="13">
        <f>('TUSD BE'!$P$36+'TUSD BF'!$P$36+'TUSD CVA'!$P$36)*(1 - CUSTOS!$M$38)</f>
        <v>0</v>
      </c>
      <c r="Q36" s="13">
        <f>('TUSD BE'!$Q$36+'TUSD BF'!$Q$36+'TUSD CVA'!$Q$36)*(1 - CUSTOS!$M$38)</f>
        <v>125.53673673642422</v>
      </c>
      <c r="R36" s="13">
        <f>('TUSD BE'!$R$36+'TUSD BF'!$R$36+'TUSD CVA'!$R$36)*(1 - CUSTOS!$M$38)</f>
        <v>19.063793199672698</v>
      </c>
      <c r="S36" s="13">
        <f>('TUSD BE'!$S$36+'TUSD BF'!$S$36+'TUSD CVA'!$S$36)*(1 - CUSTOS!$M$38)</f>
        <v>0</v>
      </c>
      <c r="T36" s="13">
        <f>('TUSD BE'!$U$36+'TUSD BF'!$U$36+'TUSD CVA'!$U$36)*(1 - CUSTOS!$M$38)</f>
        <v>0</v>
      </c>
      <c r="U36" s="13">
        <f>('TUSD BE'!$V$36+'TUSD BF'!$V$36+'TUSD CVA'!$V$36)*(1 - CUSTOS!$M$38)</f>
        <v>0</v>
      </c>
      <c r="V36" s="13">
        <f>('TUSD BE'!$W$36+'TUSD BF'!$W$36+'TUSD CVA'!$W$36)*(1 - CUSTOS!$M$38)</f>
        <v>0</v>
      </c>
      <c r="W36" s="13">
        <f>('TUSD BE'!$X$36+'TUSD BF'!$X$36+'TUSD CVA'!$X$36)*(1 - CUSTOS!$M$38)</f>
        <v>0</v>
      </c>
      <c r="X36" s="13">
        <f>('TUSD BE'!$Y$36+'TUSD BF'!$Y$36+'TUSD CVA'!$Y$36)*(1 - CUSTOS!$M$38)</f>
        <v>26.804909144612026</v>
      </c>
      <c r="Y36" s="13">
        <f>('TUSD BE'!$Z$36+'TUSD BF'!$Z$36+'TUSD CVA'!$Z$36)*(1 - CUSTOS!$M$38)</f>
        <v>0</v>
      </c>
      <c r="Z36" s="13">
        <f>('TUSD BE'!$AA$36+'TUSD BF'!$AA$36+'TUSD CVA'!$AA$36)*(1 - CUSTOS!$M$38)</f>
        <v>0</v>
      </c>
      <c r="AA36" s="13">
        <f>('TUSD BE'!$AC$36+'TUSD BF'!$AC$36+'TUSD CVA'!$AC$36)*(1 - CUSTOS!$M$38)</f>
        <v>52.710689979965721</v>
      </c>
      <c r="AB36" s="13">
        <f ca="1">('TUSD BE'!$AE$36+'TUSD BF'!$AE$36+'TUSD CVA'!$AE$36)*(1 - CUSTOS!$M$38)</f>
        <v>-8.5038474481542039</v>
      </c>
      <c r="AC36" s="13">
        <f ca="1">('TUSD BE'!$AF$36+'TUSD BF'!$AF$36+'TUSD CVA'!$AF$36)*(1 - CUSTOS!$M$38)</f>
        <v>0</v>
      </c>
      <c r="AD36" s="13">
        <f>('TUSD BE'!$AH$36+'TUSD BF'!$AH$36+'TUSD CVA'!$AH$36)*(1 - CUSTOS!$M$38)</f>
        <v>20.950195638412058</v>
      </c>
      <c r="AE36" s="13">
        <f>('TUSD BE'!$AI$36+'TUSD BF'!$AI$36+'TUSD CVA'!$AI$36)*(1 - CUSTOS!$M$38)</f>
        <v>0</v>
      </c>
      <c r="AF36" s="13">
        <f ca="1">('TUSD BE'!$AJ$36+'TUSD BF'!$AJ$36+'TUSD CVA'!$AJ$36)*(1 - CUSTOS!$M$38)</f>
        <v>1.2288741001322283</v>
      </c>
      <c r="AG36" s="13">
        <f ca="1">('TUSD BE'!$AK$36+'TUSD BF'!$AK$36+'TUSD CVA'!$AK$36)*(1 - CUSTOS!$M$38)</f>
        <v>0.18530508111434635</v>
      </c>
      <c r="AI36" s="13">
        <v>2.0175650909346099</v>
      </c>
      <c r="AJ36" s="13">
        <v>0.66367964882305597</v>
      </c>
      <c r="AK36" s="13">
        <v>1.64332023386188</v>
      </c>
      <c r="AL36" s="13">
        <v>0</v>
      </c>
      <c r="AM36" s="13">
        <v>0</v>
      </c>
      <c r="AN36" s="13">
        <v>53.8617503320297</v>
      </c>
      <c r="AO36" s="13">
        <v>8.2471837465262396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17.886968051187299</v>
      </c>
      <c r="AV36" s="13">
        <v>0</v>
      </c>
      <c r="AW36" s="13">
        <v>0</v>
      </c>
      <c r="AX36" s="13">
        <v>42.6066688910865</v>
      </c>
      <c r="AY36" s="13">
        <v>-2.2090642785569101</v>
      </c>
      <c r="AZ36" s="13">
        <v>0</v>
      </c>
      <c r="BA36" s="13">
        <v>20.457558475055698</v>
      </c>
      <c r="BB36" s="13">
        <v>0</v>
      </c>
      <c r="BC36" s="13">
        <v>1.20497865664399</v>
      </c>
      <c r="BD36" s="13">
        <v>0.16544142220660599</v>
      </c>
    </row>
    <row r="37" spans="1:56" ht="11.25" customHeight="1" x14ac:dyDescent="0.3">
      <c r="A37" s="146"/>
      <c r="B37" s="23" t="s">
        <v>23</v>
      </c>
      <c r="C37" s="23" t="s">
        <v>42</v>
      </c>
      <c r="D37" s="23" t="s">
        <v>25</v>
      </c>
      <c r="E37" s="23" t="s">
        <v>25</v>
      </c>
      <c r="F37" s="23" t="s">
        <v>25</v>
      </c>
      <c r="G37" s="24" t="s">
        <v>84</v>
      </c>
      <c r="H37" s="24" t="s">
        <v>78</v>
      </c>
      <c r="I37" s="24">
        <f>'MERCADO TUSD'!$U$34</f>
        <v>3112.8609999999999</v>
      </c>
      <c r="J37" s="15"/>
      <c r="L37" s="13">
        <f>('TUSD BE'!$L$37+'TUSD BF'!$L$37+'TUSD CVA'!$L$37)*(1 - CUSTOS!$M$38)</f>
        <v>2.6645218794289929</v>
      </c>
      <c r="M37" s="13">
        <f>('TUSD BE'!$M$37+'TUSD BF'!$M$37+'TUSD CVA'!$M$37)*(1 - CUSTOS!$M$38)</f>
        <v>0.8646097734306778</v>
      </c>
      <c r="N37" s="13">
        <f ca="1">('TUSD BE'!$N$37+'TUSD BF'!$N$37+'TUSD CVA'!$N$37)*(1 - CUSTOS!$M$38)</f>
        <v>5.4693127799130901</v>
      </c>
      <c r="O37" s="13">
        <f>('TUSD BE'!$O$37+'TUSD BF'!$O$37+'TUSD CVA'!$O$37)*(1 - CUSTOS!$M$38)</f>
        <v>0</v>
      </c>
      <c r="P37" s="13">
        <f>('TUSD BE'!$P$37+'TUSD BF'!$P$37+'TUSD CVA'!$P$37)*(1 - CUSTOS!$M$38)</f>
        <v>0</v>
      </c>
      <c r="Q37" s="13">
        <f>('TUSD BE'!$Q$37+'TUSD BF'!$Q$37+'TUSD CVA'!$Q$37)*(1 - CUSTOS!$M$38)</f>
        <v>125.53673673642422</v>
      </c>
      <c r="R37" s="13">
        <f>('TUSD BE'!$R$37+'TUSD BF'!$R$37+'TUSD CVA'!$R$37)*(1 - CUSTOS!$M$38)</f>
        <v>19.063793199672698</v>
      </c>
      <c r="S37" s="13">
        <f>('TUSD BE'!$S$37+'TUSD BF'!$S$37+'TUSD CVA'!$S$37)*(1 - CUSTOS!$M$38)</f>
        <v>0</v>
      </c>
      <c r="T37" s="13">
        <f>('TUSD BE'!$U$37+'TUSD BF'!$U$37+'TUSD CVA'!$U$37)*(1 - CUSTOS!$M$38)</f>
        <v>0</v>
      </c>
      <c r="U37" s="13">
        <f>('TUSD BE'!$V$37+'TUSD BF'!$V$37+'TUSD CVA'!$V$37)*(1 - CUSTOS!$M$38)</f>
        <v>0</v>
      </c>
      <c r="V37" s="13">
        <f>('TUSD BE'!$W$37+'TUSD BF'!$W$37+'TUSD CVA'!$W$37)*(1 - CUSTOS!$M$38)</f>
        <v>0</v>
      </c>
      <c r="W37" s="13">
        <f>('TUSD BE'!$X$37+'TUSD BF'!$X$37+'TUSD CVA'!$X$37)*(1 - CUSTOS!$M$38)</f>
        <v>0</v>
      </c>
      <c r="X37" s="13">
        <f>('TUSD BE'!$Y$37+'TUSD BF'!$Y$37+'TUSD CVA'!$Y$37)*(1 - CUSTOS!$M$38)</f>
        <v>95.731537136862926</v>
      </c>
      <c r="Y37" s="13">
        <f>('TUSD BE'!$Z$37+'TUSD BF'!$Z$37+'TUSD CVA'!$Z$37)*(1 - CUSTOS!$M$38)</f>
        <v>0</v>
      </c>
      <c r="Z37" s="13">
        <f>('TUSD BE'!$AA$37+'TUSD BF'!$AA$37+'TUSD CVA'!$AA$37)*(1 - CUSTOS!$M$38)</f>
        <v>0</v>
      </c>
      <c r="AA37" s="13">
        <f>('TUSD BE'!$AC$37+'TUSD BF'!$AC$37+'TUSD CVA'!$AC$37)*(1 - CUSTOS!$M$38)</f>
        <v>188.25252390401451</v>
      </c>
      <c r="AB37" s="13">
        <f ca="1">('TUSD BE'!$AE$37+'TUSD BF'!$AE$37+'TUSD CVA'!$AE$37)*(1 - CUSTOS!$M$38)</f>
        <v>-16.47317522591128</v>
      </c>
      <c r="AC37" s="13">
        <f ca="1">('TUSD BE'!$AF$37+'TUSD BF'!$AF$37+'TUSD CVA'!$AF$37)*(1 - CUSTOS!$M$38)</f>
        <v>0</v>
      </c>
      <c r="AD37" s="13">
        <f>('TUSD BE'!$AH$37+'TUSD BF'!$AH$37+'TUSD CVA'!$AH$37)*(1 - CUSTOS!$M$38)</f>
        <v>20.950195638412058</v>
      </c>
      <c r="AE37" s="13">
        <f>('TUSD BE'!$AI$37+'TUSD BF'!$AI$37+'TUSD CVA'!$AI$37)*(1 - CUSTOS!$M$38)</f>
        <v>0</v>
      </c>
      <c r="AF37" s="13">
        <f ca="1">('TUSD BE'!$AJ$37+'TUSD BF'!$AJ$37+'TUSD CVA'!$AJ$37)*(1 - CUSTOS!$M$38)</f>
        <v>1.2288741001322283</v>
      </c>
      <c r="AG37" s="13">
        <f ca="1">('TUSD BE'!$AK$37+'TUSD BF'!$AK$37+'TUSD CVA'!$AK$37)*(1 - CUSTOS!$M$38)</f>
        <v>0.18530508111434635</v>
      </c>
      <c r="AI37" s="13">
        <v>2.0175650909346099</v>
      </c>
      <c r="AJ37" s="13">
        <v>0.66367964882305597</v>
      </c>
      <c r="AK37" s="13">
        <v>3.9936119562317298</v>
      </c>
      <c r="AL37" s="13">
        <v>0</v>
      </c>
      <c r="AM37" s="13">
        <v>0</v>
      </c>
      <c r="AN37" s="13">
        <v>53.8617503320297</v>
      </c>
      <c r="AO37" s="13">
        <v>8.2471837465262396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63.881841084408698</v>
      </c>
      <c r="AV37" s="13">
        <v>0</v>
      </c>
      <c r="AW37" s="13">
        <v>0</v>
      </c>
      <c r="AX37" s="13">
        <v>152.16672285902999</v>
      </c>
      <c r="AY37" s="13">
        <v>-4.6713575151791398</v>
      </c>
      <c r="AZ37" s="13">
        <v>0</v>
      </c>
      <c r="BA37" s="13">
        <v>20.457558475055698</v>
      </c>
      <c r="BB37" s="13">
        <v>0</v>
      </c>
      <c r="BC37" s="13">
        <v>1.20497865664399</v>
      </c>
      <c r="BD37" s="13">
        <v>0.16544142220660599</v>
      </c>
    </row>
    <row r="38" spans="1:56" ht="11.25" customHeight="1" x14ac:dyDescent="0.3">
      <c r="A38" s="146"/>
      <c r="B38" s="146" t="s">
        <v>38</v>
      </c>
      <c r="C38" s="146" t="s">
        <v>42</v>
      </c>
      <c r="D38" s="146" t="s">
        <v>93</v>
      </c>
      <c r="E38" s="146" t="s">
        <v>25</v>
      </c>
      <c r="F38" s="146" t="s">
        <v>25</v>
      </c>
      <c r="G38" s="24" t="s">
        <v>79</v>
      </c>
      <c r="H38" s="24" t="s">
        <v>78</v>
      </c>
      <c r="I38" s="24">
        <f>'MERCADO TUSD'!$U$35</f>
        <v>0</v>
      </c>
      <c r="J38" s="15"/>
      <c r="L38" s="13">
        <f>('TUSD BE'!$L$38+'TUSD BF'!$L$38+'TUSD CVA'!$L$38)*(1 - CUSTOS!$M$39)</f>
        <v>2.6645218794289929</v>
      </c>
      <c r="M38" s="13">
        <f>('TUSD BE'!$M$38+'TUSD BF'!$M$38+'TUSD CVA'!$M$38)*(1 - CUSTOS!$M$39)</f>
        <v>0.8646097734306778</v>
      </c>
      <c r="N38" s="13">
        <f ca="1">('TUSD BE'!$N$38+'TUSD BF'!$N$38+'TUSD CVA'!$N$38)*(1 - CUSTOS!$M$39)</f>
        <v>28.326097094570205</v>
      </c>
      <c r="O38" s="13">
        <f>('TUSD BE'!$O$38+'TUSD BF'!$O$38+'TUSD CVA'!$O$38)*(1 - CUSTOS!$M$39)</f>
        <v>0</v>
      </c>
      <c r="P38" s="13">
        <f>('TUSD BE'!$P$38+'TUSD BF'!$P$38+'TUSD CVA'!$P$38)*(1 - CUSTOS!$M$39)</f>
        <v>0</v>
      </c>
      <c r="Q38" s="13">
        <f>('TUSD BE'!$Q$38+'TUSD BF'!$Q$38+'TUSD CVA'!$Q$38)*(1 - CUSTOS!$M$39)</f>
        <v>125.53673673642422</v>
      </c>
      <c r="R38" s="13">
        <f>('TUSD BE'!$R$38+'TUSD BF'!$R$38+'TUSD CVA'!$R$38)*(1 - CUSTOS!$M$39)</f>
        <v>19.063793199672698</v>
      </c>
      <c r="S38" s="13">
        <f>('TUSD BE'!$S$38+'TUSD BF'!$S$38+'TUSD CVA'!$S$38)*(1 - CUSTOS!$M$39)</f>
        <v>0</v>
      </c>
      <c r="T38" s="13">
        <f>('TUSD BE'!$U$38+'TUSD BF'!$U$38+'TUSD CVA'!$U$38)*(1 - CUSTOS!$M$39)</f>
        <v>0</v>
      </c>
      <c r="U38" s="13">
        <f>('TUSD BE'!$V$38+'TUSD BF'!$V$38+'TUSD CVA'!$V$38)*(1 - CUSTOS!$M$39)</f>
        <v>0</v>
      </c>
      <c r="V38" s="13">
        <f>('TUSD BE'!$W$38+'TUSD BF'!$W$38+'TUSD CVA'!$W$38)*(1 - CUSTOS!$M$39)</f>
        <v>0</v>
      </c>
      <c r="W38" s="13">
        <f>('TUSD BE'!$X$38+'TUSD BF'!$X$38+'TUSD CVA'!$X$38)*(1 - CUSTOS!$M$39)</f>
        <v>0</v>
      </c>
      <c r="X38" s="13">
        <f>('TUSD BE'!$Y$38+'TUSD BF'!$Y$38+'TUSD CVA'!$Y$38)*(1 - CUSTOS!$M$39)</f>
        <v>584.88150979867203</v>
      </c>
      <c r="Y38" s="13">
        <f>('TUSD BE'!$Z$38+'TUSD BF'!$Z$38+'TUSD CVA'!$Z$38)*(1 - CUSTOS!$M$39)</f>
        <v>0</v>
      </c>
      <c r="Z38" s="13">
        <f>('TUSD BE'!$AA$38+'TUSD BF'!$AA$38+'TUSD CVA'!$AA$38)*(1 - CUSTOS!$M$39)</f>
        <v>0</v>
      </c>
      <c r="AA38" s="13">
        <f>('TUSD BE'!$AC$38+'TUSD BF'!$AC$38+'TUSD CVA'!$AC$38)*(1 - CUSTOS!$M$39)</f>
        <v>1150.1477463118783</v>
      </c>
      <c r="AB38" s="13">
        <f ca="1">('TUSD BE'!$AE$38+'TUSD BF'!$AE$38+'TUSD CVA'!$AE$38)*(1 - CUSTOS!$M$39)</f>
        <v>-73.028863084145129</v>
      </c>
      <c r="AC38" s="13">
        <f ca="1">('TUSD BE'!$AF$38+'TUSD BF'!$AF$38+'TUSD CVA'!$AF$38)*(1 - CUSTOS!$M$39)</f>
        <v>0</v>
      </c>
      <c r="AD38" s="13">
        <f>('TUSD BE'!$AH$38+'TUSD BF'!$AH$38+'TUSD CVA'!$AH$38)*(1 - CUSTOS!$M$39)</f>
        <v>20.950195638412058</v>
      </c>
      <c r="AE38" s="13">
        <f>('TUSD BE'!$AI$38+'TUSD BF'!$AI$38+'TUSD CVA'!$AI$38)*(1 - CUSTOS!$M$39)</f>
        <v>0</v>
      </c>
      <c r="AF38" s="13">
        <f ca="1">('TUSD BE'!$AJ$38+'TUSD BF'!$AJ$38+'TUSD CVA'!$AJ$38)*(1 - CUSTOS!$M$39)</f>
        <v>1.2288741001322283</v>
      </c>
      <c r="AG38" s="13">
        <f ca="1">('TUSD BE'!$AK$38+'TUSD BF'!$AK$38+'TUSD CVA'!$AK$38)*(1 - CUSTOS!$M$39)</f>
        <v>0.18530508111434635</v>
      </c>
      <c r="AI38" s="13">
        <v>2.0175650909346099</v>
      </c>
      <c r="AJ38" s="13">
        <v>0.66367964882305597</v>
      </c>
      <c r="AK38" s="13">
        <v>20.672854562146501</v>
      </c>
      <c r="AL38" s="13">
        <v>0</v>
      </c>
      <c r="AM38" s="13">
        <v>0</v>
      </c>
      <c r="AN38" s="13">
        <v>53.8617503320297</v>
      </c>
      <c r="AO38" s="13">
        <v>8.2471837465262396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390.29257003103601</v>
      </c>
      <c r="AV38" s="13">
        <v>0</v>
      </c>
      <c r="AW38" s="13">
        <v>0</v>
      </c>
      <c r="AX38" s="13">
        <v>929.67791204336299</v>
      </c>
      <c r="AY38" s="13">
        <v>-22.1454388268406</v>
      </c>
      <c r="AZ38" s="13">
        <v>0</v>
      </c>
      <c r="BA38" s="13">
        <v>20.457558475055698</v>
      </c>
      <c r="BB38" s="13">
        <v>0</v>
      </c>
      <c r="BC38" s="13">
        <v>1.20497865664399</v>
      </c>
      <c r="BD38" s="13">
        <v>0.16544142220660599</v>
      </c>
    </row>
    <row r="39" spans="1:56" ht="11.25" customHeight="1" x14ac:dyDescent="0.3">
      <c r="A39" s="146"/>
      <c r="B39" s="146"/>
      <c r="C39" s="146"/>
      <c r="D39" s="146"/>
      <c r="E39" s="146"/>
      <c r="F39" s="146"/>
      <c r="G39" s="24" t="s">
        <v>89</v>
      </c>
      <c r="H39" s="24" t="s">
        <v>78</v>
      </c>
      <c r="I39" s="24">
        <f>'MERCADO TUSD'!$U$36</f>
        <v>0</v>
      </c>
      <c r="J39" s="15"/>
      <c r="L39" s="13">
        <f>('TUSD BE'!$L$39+'TUSD BF'!$L$39+'TUSD CVA'!$L$39)*(1 - CUSTOS!$M$39)</f>
        <v>2.6645218794289929</v>
      </c>
      <c r="M39" s="13">
        <f>('TUSD BE'!$M$39+'TUSD BF'!$M$39+'TUSD CVA'!$M$39)*(1 - CUSTOS!$M$39)</f>
        <v>0.8646097734306778</v>
      </c>
      <c r="N39" s="13">
        <f ca="1">('TUSD BE'!$N$39+'TUSD BF'!$N$39+'TUSD CVA'!$N$39)*(1 - CUSTOS!$M$39)</f>
        <v>8.5988355435000816</v>
      </c>
      <c r="O39" s="13">
        <f>('TUSD BE'!$O$39+'TUSD BF'!$O$39+'TUSD CVA'!$O$39)*(1 - CUSTOS!$M$39)</f>
        <v>0</v>
      </c>
      <c r="P39" s="13">
        <f>('TUSD BE'!$P$39+'TUSD BF'!$P$39+'TUSD CVA'!$P$39)*(1 - CUSTOS!$M$39)</f>
        <v>0</v>
      </c>
      <c r="Q39" s="13">
        <f>('TUSD BE'!$Q$39+'TUSD BF'!$Q$39+'TUSD CVA'!$Q$39)*(1 - CUSTOS!$M$39)</f>
        <v>125.53673673642422</v>
      </c>
      <c r="R39" s="13">
        <f>('TUSD BE'!$R$39+'TUSD BF'!$R$39+'TUSD CVA'!$R$39)*(1 - CUSTOS!$M$39)</f>
        <v>19.063793199672698</v>
      </c>
      <c r="S39" s="13">
        <f>('TUSD BE'!$S$39+'TUSD BF'!$S$39+'TUSD CVA'!$S$39)*(1 - CUSTOS!$M$39)</f>
        <v>0</v>
      </c>
      <c r="T39" s="13">
        <f>('TUSD BE'!$U$39+'TUSD BF'!$U$39+'TUSD CVA'!$U$39)*(1 - CUSTOS!$M$39)</f>
        <v>0</v>
      </c>
      <c r="U39" s="13">
        <f>('TUSD BE'!$V$39+'TUSD BF'!$V$39+'TUSD CVA'!$V$39)*(1 - CUSTOS!$M$39)</f>
        <v>0</v>
      </c>
      <c r="V39" s="13">
        <f>('TUSD BE'!$W$39+'TUSD BF'!$W$39+'TUSD CVA'!$W$39)*(1 - CUSTOS!$M$39)</f>
        <v>0</v>
      </c>
      <c r="W39" s="13">
        <f>('TUSD BE'!$X$39+'TUSD BF'!$X$39+'TUSD CVA'!$X$39)*(1 - CUSTOS!$M$39)</f>
        <v>0</v>
      </c>
      <c r="X39" s="13">
        <f>('TUSD BE'!$Y$39+'TUSD BF'!$Y$39+'TUSD CVA'!$Y$39)*(1 - CUSTOS!$M$39)</f>
        <v>162.70542118182013</v>
      </c>
      <c r="Y39" s="13">
        <f>('TUSD BE'!$Z$39+'TUSD BF'!$Z$39+'TUSD CVA'!$Z$39)*(1 - CUSTOS!$M$39)</f>
        <v>0</v>
      </c>
      <c r="Z39" s="13">
        <f>('TUSD BE'!$AA$39+'TUSD BF'!$AA$39+'TUSD CVA'!$AA$39)*(1 - CUSTOS!$M$39)</f>
        <v>0</v>
      </c>
      <c r="AA39" s="13">
        <f>('TUSD BE'!$AC$39+'TUSD BF'!$AC$39+'TUSD CVA'!$AC$39)*(1 - CUSTOS!$M$39)</f>
        <v>319.95398741276961</v>
      </c>
      <c r="AB39" s="13">
        <f ca="1">('TUSD BE'!$AE$39+'TUSD BF'!$AE$39+'TUSD CVA'!$AE$39)*(1 - CUSTOS!$M$39)</f>
        <v>-24.216711198350136</v>
      </c>
      <c r="AC39" s="13">
        <f ca="1">('TUSD BE'!$AF$39+'TUSD BF'!$AF$39+'TUSD CVA'!$AF$39)*(1 - CUSTOS!$M$39)</f>
        <v>0</v>
      </c>
      <c r="AD39" s="13">
        <f>('TUSD BE'!$AH$39+'TUSD BF'!$AH$39+'TUSD CVA'!$AH$39)*(1 - CUSTOS!$M$39)</f>
        <v>20.950195638412058</v>
      </c>
      <c r="AE39" s="13">
        <f>('TUSD BE'!$AI$39+'TUSD BF'!$AI$39+'TUSD CVA'!$AI$39)*(1 - CUSTOS!$M$39)</f>
        <v>0</v>
      </c>
      <c r="AF39" s="13">
        <f ca="1">('TUSD BE'!$AJ$39+'TUSD BF'!$AJ$39+'TUSD CVA'!$AJ$39)*(1 - CUSTOS!$M$39)</f>
        <v>1.2288741001322283</v>
      </c>
      <c r="AG39" s="13">
        <f ca="1">('TUSD BE'!$AK$39+'TUSD BF'!$AK$39+'TUSD CVA'!$AK$39)*(1 - CUSTOS!$M$39)</f>
        <v>0.18530508111434635</v>
      </c>
      <c r="AI39" s="13">
        <v>2.0175650909346099</v>
      </c>
      <c r="AJ39" s="13">
        <v>0.66367964882305597</v>
      </c>
      <c r="AK39" s="13">
        <v>6.2773133157938297</v>
      </c>
      <c r="AL39" s="13">
        <v>0</v>
      </c>
      <c r="AM39" s="13">
        <v>0</v>
      </c>
      <c r="AN39" s="13">
        <v>53.8617503320297</v>
      </c>
      <c r="AO39" s="13">
        <v>8.2471837465262396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108.573644280349</v>
      </c>
      <c r="AV39" s="13">
        <v>0</v>
      </c>
      <c r="AW39" s="13">
        <v>0</v>
      </c>
      <c r="AX39" s="13">
        <v>258.62256038120597</v>
      </c>
      <c r="AY39" s="13">
        <v>-7.0638873582173902</v>
      </c>
      <c r="AZ39" s="13">
        <v>0</v>
      </c>
      <c r="BA39" s="13">
        <v>20.457558475055698</v>
      </c>
      <c r="BB39" s="13">
        <v>0</v>
      </c>
      <c r="BC39" s="13">
        <v>1.20497865664399</v>
      </c>
      <c r="BD39" s="13">
        <v>0.16544142220660599</v>
      </c>
    </row>
    <row r="40" spans="1:56" ht="11.25" customHeight="1" x14ac:dyDescent="0.3">
      <c r="A40" s="146"/>
      <c r="B40" s="146"/>
      <c r="C40" s="146"/>
      <c r="D40" s="146"/>
      <c r="E40" s="146"/>
      <c r="F40" s="146"/>
      <c r="G40" s="24" t="s">
        <v>80</v>
      </c>
      <c r="H40" s="24" t="s">
        <v>78</v>
      </c>
      <c r="I40" s="24">
        <f>'MERCADO TUSD'!$U$37</f>
        <v>0</v>
      </c>
      <c r="J40" s="15"/>
      <c r="L40" s="13">
        <f>('TUSD BE'!$L$40+'TUSD BF'!$L$40+'TUSD CVA'!$L$40)*(1 - CUSTOS!$M$39)</f>
        <v>2.6645218794289929</v>
      </c>
      <c r="M40" s="13">
        <f>('TUSD BE'!$M$40+'TUSD BF'!$M$40+'TUSD CVA'!$M$40)*(1 - CUSTOS!$M$39)</f>
        <v>0.8646097734306778</v>
      </c>
      <c r="N40" s="13">
        <f ca="1">('TUSD BE'!$N$40+'TUSD BF'!$N$40+'TUSD CVA'!$N$40)*(1 - CUSTOS!$M$39)</f>
        <v>2.2485363787303712</v>
      </c>
      <c r="O40" s="13">
        <f>('TUSD BE'!$O$40+'TUSD BF'!$O$40+'TUSD CVA'!$O$40)*(1 - CUSTOS!$M$39)</f>
        <v>0</v>
      </c>
      <c r="P40" s="13">
        <f>('TUSD BE'!$P$40+'TUSD BF'!$P$40+'TUSD CVA'!$P$40)*(1 - CUSTOS!$M$39)</f>
        <v>0</v>
      </c>
      <c r="Q40" s="13">
        <f>('TUSD BE'!$Q$40+'TUSD BF'!$Q$40+'TUSD CVA'!$Q$40)*(1 - CUSTOS!$M$39)</f>
        <v>125.53673673642422</v>
      </c>
      <c r="R40" s="13">
        <f>('TUSD BE'!$R$40+'TUSD BF'!$R$40+'TUSD CVA'!$R$40)*(1 - CUSTOS!$M$39)</f>
        <v>19.063793199672698</v>
      </c>
      <c r="S40" s="13">
        <f>('TUSD BE'!$S$40+'TUSD BF'!$S$40+'TUSD CVA'!$S$40)*(1 - CUSTOS!$M$39)</f>
        <v>0</v>
      </c>
      <c r="T40" s="13">
        <f>('TUSD BE'!$U$40+'TUSD BF'!$U$40+'TUSD CVA'!$U$40)*(1 - CUSTOS!$M$39)</f>
        <v>0</v>
      </c>
      <c r="U40" s="13">
        <f>('TUSD BE'!$V$40+'TUSD BF'!$V$40+'TUSD CVA'!$V$40)*(1 - CUSTOS!$M$39)</f>
        <v>0</v>
      </c>
      <c r="V40" s="13">
        <f>('TUSD BE'!$W$40+'TUSD BF'!$W$40+'TUSD CVA'!$W$40)*(1 - CUSTOS!$M$39)</f>
        <v>0</v>
      </c>
      <c r="W40" s="13">
        <f>('TUSD BE'!$X$40+'TUSD BF'!$X$40+'TUSD CVA'!$X$40)*(1 - CUSTOS!$M$39)</f>
        <v>0</v>
      </c>
      <c r="X40" s="13">
        <f>('TUSD BE'!$Y$40+'TUSD BF'!$Y$40+'TUSD CVA'!$Y$40)*(1 - CUSTOS!$M$39)</f>
        <v>26.804909144612026</v>
      </c>
      <c r="Y40" s="13">
        <f>('TUSD BE'!$Z$40+'TUSD BF'!$Z$40+'TUSD CVA'!$Z$40)*(1 - CUSTOS!$M$39)</f>
        <v>0</v>
      </c>
      <c r="Z40" s="13">
        <f>('TUSD BE'!$AA$40+'TUSD BF'!$AA$40+'TUSD CVA'!$AA$40)*(1 - CUSTOS!$M$39)</f>
        <v>0</v>
      </c>
      <c r="AA40" s="13">
        <f>('TUSD BE'!$AC$40+'TUSD BF'!$AC$40+'TUSD CVA'!$AC$40)*(1 - CUSTOS!$M$39)</f>
        <v>52.710689979965721</v>
      </c>
      <c r="AB40" s="13">
        <f ca="1">('TUSD BE'!$AE$40+'TUSD BF'!$AE$40+'TUSD CVA'!$AE$40)*(1 - CUSTOS!$M$39)</f>
        <v>-8.5038474481542039</v>
      </c>
      <c r="AC40" s="13">
        <f ca="1">('TUSD BE'!$AF$40+'TUSD BF'!$AF$40+'TUSD CVA'!$AF$40)*(1 - CUSTOS!$M$39)</f>
        <v>0</v>
      </c>
      <c r="AD40" s="13">
        <f>('TUSD BE'!$AH$40+'TUSD BF'!$AH$40+'TUSD CVA'!$AH$40)*(1 - CUSTOS!$M$39)</f>
        <v>20.950195638412058</v>
      </c>
      <c r="AE40" s="13">
        <f>('TUSD BE'!$AI$40+'TUSD BF'!$AI$40+'TUSD CVA'!$AI$40)*(1 - CUSTOS!$M$39)</f>
        <v>0</v>
      </c>
      <c r="AF40" s="13">
        <f ca="1">('TUSD BE'!$AJ$40+'TUSD BF'!$AJ$40+'TUSD CVA'!$AJ$40)*(1 - CUSTOS!$M$39)</f>
        <v>1.2288741001322283</v>
      </c>
      <c r="AG40" s="13">
        <f ca="1">('TUSD BE'!$AK$40+'TUSD BF'!$AK$40+'TUSD CVA'!$AK$40)*(1 - CUSTOS!$M$39)</f>
        <v>0.18530508111434635</v>
      </c>
      <c r="AI40" s="13">
        <v>2.0175650909346099</v>
      </c>
      <c r="AJ40" s="13">
        <v>0.66367964882305597</v>
      </c>
      <c r="AK40" s="13">
        <v>1.64332023386188</v>
      </c>
      <c r="AL40" s="13">
        <v>0</v>
      </c>
      <c r="AM40" s="13">
        <v>0</v>
      </c>
      <c r="AN40" s="13">
        <v>53.8617503320297</v>
      </c>
      <c r="AO40" s="13">
        <v>8.2471837465262396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17.886968051187299</v>
      </c>
      <c r="AV40" s="13">
        <v>0</v>
      </c>
      <c r="AW40" s="13">
        <v>0</v>
      </c>
      <c r="AX40" s="13">
        <v>42.6066688910865</v>
      </c>
      <c r="AY40" s="13">
        <v>-2.2090642785569101</v>
      </c>
      <c r="AZ40" s="13">
        <v>0</v>
      </c>
      <c r="BA40" s="13">
        <v>20.457558475055698</v>
      </c>
      <c r="BB40" s="13">
        <v>0</v>
      </c>
      <c r="BC40" s="13">
        <v>1.20497865664399</v>
      </c>
      <c r="BD40" s="13">
        <v>0.16544142220660599</v>
      </c>
    </row>
    <row r="41" spans="1:56" ht="11.25" customHeight="1" x14ac:dyDescent="0.3">
      <c r="A41" s="146"/>
      <c r="B41" s="23" t="s">
        <v>23</v>
      </c>
      <c r="C41" s="23" t="s">
        <v>42</v>
      </c>
      <c r="D41" s="23" t="s">
        <v>93</v>
      </c>
      <c r="E41" s="23" t="s">
        <v>25</v>
      </c>
      <c r="F41" s="23" t="s">
        <v>25</v>
      </c>
      <c r="G41" s="24" t="s">
        <v>84</v>
      </c>
      <c r="H41" s="24" t="s">
        <v>78</v>
      </c>
      <c r="I41" s="24">
        <f>'MERCADO TUSD'!$U$38</f>
        <v>0</v>
      </c>
      <c r="J41" s="15"/>
      <c r="L41" s="13">
        <f>('TUSD BE'!$L$41+'TUSD BF'!$L$41+'TUSD CVA'!$L$41)*(1 - CUSTOS!$M$39)</f>
        <v>2.6645218794289929</v>
      </c>
      <c r="M41" s="13">
        <f>('TUSD BE'!$M$41+'TUSD BF'!$M$41+'TUSD CVA'!$M$41)*(1 - CUSTOS!$M$39)</f>
        <v>0.8646097734306778</v>
      </c>
      <c r="N41" s="13">
        <f ca="1">('TUSD BE'!$N$41+'TUSD BF'!$N$41+'TUSD CVA'!$N$41)*(1 - CUSTOS!$M$39)</f>
        <v>5.4693127799130901</v>
      </c>
      <c r="O41" s="13">
        <f>('TUSD BE'!$O$41+'TUSD BF'!$O$41+'TUSD CVA'!$O$41)*(1 - CUSTOS!$M$39)</f>
        <v>0</v>
      </c>
      <c r="P41" s="13">
        <f>('TUSD BE'!$P$41+'TUSD BF'!$P$41+'TUSD CVA'!$P$41)*(1 - CUSTOS!$M$39)</f>
        <v>0</v>
      </c>
      <c r="Q41" s="13">
        <f>('TUSD BE'!$Q$41+'TUSD BF'!$Q$41+'TUSD CVA'!$Q$41)*(1 - CUSTOS!$M$39)</f>
        <v>125.53673673642422</v>
      </c>
      <c r="R41" s="13">
        <f>('TUSD BE'!$R$41+'TUSD BF'!$R$41+'TUSD CVA'!$R$41)*(1 - CUSTOS!$M$39)</f>
        <v>19.063793199672698</v>
      </c>
      <c r="S41" s="13">
        <f>('TUSD BE'!$S$41+'TUSD BF'!$S$41+'TUSD CVA'!$S$41)*(1 - CUSTOS!$M$39)</f>
        <v>0</v>
      </c>
      <c r="T41" s="13">
        <f>('TUSD BE'!$U$41+'TUSD BF'!$U$41+'TUSD CVA'!$U$41)*(1 - CUSTOS!$M$39)</f>
        <v>0</v>
      </c>
      <c r="U41" s="13">
        <f>('TUSD BE'!$V$41+'TUSD BF'!$V$41+'TUSD CVA'!$V$41)*(1 - CUSTOS!$M$39)</f>
        <v>0</v>
      </c>
      <c r="V41" s="13">
        <f>('TUSD BE'!$W$41+'TUSD BF'!$W$41+'TUSD CVA'!$W$41)*(1 - CUSTOS!$M$39)</f>
        <v>0</v>
      </c>
      <c r="W41" s="13">
        <f>('TUSD BE'!$X$41+'TUSD BF'!$X$41+'TUSD CVA'!$X$41)*(1 - CUSTOS!$M$39)</f>
        <v>0</v>
      </c>
      <c r="X41" s="13">
        <f>('TUSD BE'!$Y$41+'TUSD BF'!$Y$41+'TUSD CVA'!$Y$41)*(1 - CUSTOS!$M$39)</f>
        <v>95.731537136862926</v>
      </c>
      <c r="Y41" s="13">
        <f>('TUSD BE'!$Z$41+'TUSD BF'!$Z$41+'TUSD CVA'!$Z$41)*(1 - CUSTOS!$M$39)</f>
        <v>0</v>
      </c>
      <c r="Z41" s="13">
        <f>('TUSD BE'!$AA$41+'TUSD BF'!$AA$41+'TUSD CVA'!$AA$41)*(1 - CUSTOS!$M$39)</f>
        <v>0</v>
      </c>
      <c r="AA41" s="13">
        <f>('TUSD BE'!$AC$41+'TUSD BF'!$AC$41+'TUSD CVA'!$AC$41)*(1 - CUSTOS!$M$39)</f>
        <v>188.25252390401451</v>
      </c>
      <c r="AB41" s="13">
        <f ca="1">('TUSD BE'!$AE$41+'TUSD BF'!$AE$41+'TUSD CVA'!$AE$41)*(1 - CUSTOS!$M$39)</f>
        <v>-16.47317522591128</v>
      </c>
      <c r="AC41" s="13">
        <f ca="1">('TUSD BE'!$AF$41+'TUSD BF'!$AF$41+'TUSD CVA'!$AF$41)*(1 - CUSTOS!$M$39)</f>
        <v>0</v>
      </c>
      <c r="AD41" s="13">
        <f>('TUSD BE'!$AH$41+'TUSD BF'!$AH$41+'TUSD CVA'!$AH$41)*(1 - CUSTOS!$M$39)</f>
        <v>20.950195638412058</v>
      </c>
      <c r="AE41" s="13">
        <f>('TUSD BE'!$AI$41+'TUSD BF'!$AI$41+'TUSD CVA'!$AI$41)*(1 - CUSTOS!$M$39)</f>
        <v>0</v>
      </c>
      <c r="AF41" s="13">
        <f ca="1">('TUSD BE'!$AJ$41+'TUSD BF'!$AJ$41+'TUSD CVA'!$AJ$41)*(1 - CUSTOS!$M$39)</f>
        <v>1.2288741001322283</v>
      </c>
      <c r="AG41" s="13">
        <f ca="1">('TUSD BE'!$AK$41+'TUSD BF'!$AK$41+'TUSD CVA'!$AK$41)*(1 - CUSTOS!$M$39)</f>
        <v>0.18530508111434635</v>
      </c>
      <c r="AI41" s="13">
        <v>2.0175650909346099</v>
      </c>
      <c r="AJ41" s="13">
        <v>0.66367964882305597</v>
      </c>
      <c r="AK41" s="13">
        <v>3.9936119562317298</v>
      </c>
      <c r="AL41" s="13">
        <v>0</v>
      </c>
      <c r="AM41" s="13">
        <v>0</v>
      </c>
      <c r="AN41" s="13">
        <v>53.8617503320297</v>
      </c>
      <c r="AO41" s="13">
        <v>8.2471837465262396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63.881841084408698</v>
      </c>
      <c r="AV41" s="13">
        <v>0</v>
      </c>
      <c r="AW41" s="13">
        <v>0</v>
      </c>
      <c r="AX41" s="13">
        <v>152.16672285902999</v>
      </c>
      <c r="AY41" s="13">
        <v>-4.6713575151791398</v>
      </c>
      <c r="AZ41" s="13">
        <v>0</v>
      </c>
      <c r="BA41" s="13">
        <v>20.457558475055698</v>
      </c>
      <c r="BB41" s="13">
        <v>0</v>
      </c>
      <c r="BC41" s="13">
        <v>1.20497865664399</v>
      </c>
      <c r="BD41" s="13">
        <v>0.16544142220660599</v>
      </c>
    </row>
    <row r="42" spans="1:56" ht="11.25" customHeight="1" x14ac:dyDescent="0.3">
      <c r="A42" s="146"/>
      <c r="B42" s="146" t="s">
        <v>38</v>
      </c>
      <c r="C42" s="146" t="s">
        <v>42</v>
      </c>
      <c r="D42" s="146" t="s">
        <v>94</v>
      </c>
      <c r="E42" s="146" t="s">
        <v>25</v>
      </c>
      <c r="F42" s="146" t="s">
        <v>25</v>
      </c>
      <c r="G42" s="24" t="s">
        <v>79</v>
      </c>
      <c r="H42" s="24" t="s">
        <v>78</v>
      </c>
      <c r="I42" s="24">
        <f>'MERCADO TUSD'!$U$39</f>
        <v>0</v>
      </c>
      <c r="J42" s="15"/>
      <c r="L42" s="13">
        <f>('TUSD BE'!$L$42+'TUSD BF'!$L$42+'TUSD CVA'!$L$42)*(1 - CUSTOS!$M$40)</f>
        <v>2.6078299245475249</v>
      </c>
      <c r="M42" s="13">
        <f>('TUSD BE'!$M$42+'TUSD BF'!$M$42+'TUSD CVA'!$M$42)*(1 - CUSTOS!$M$40)</f>
        <v>0.84621382080449326</v>
      </c>
      <c r="N42" s="13">
        <f ca="1">('TUSD BE'!$N$42+'TUSD BF'!$N$42+'TUSD CVA'!$N$42)*(1 - CUSTOS!$M$40)</f>
        <v>27.723414177664459</v>
      </c>
      <c r="O42" s="13">
        <f>('TUSD BE'!$O$42+'TUSD BF'!$O$42+'TUSD CVA'!$O$42)*(1 - CUSTOS!$M$40)</f>
        <v>0</v>
      </c>
      <c r="P42" s="13">
        <f>('TUSD BE'!$P$42+'TUSD BF'!$P$42+'TUSD CVA'!$P$42)*(1 - CUSTOS!$M$40)</f>
        <v>0</v>
      </c>
      <c r="Q42" s="13">
        <f>('TUSD BE'!$Q$42+'TUSD BF'!$Q$42+'TUSD CVA'!$Q$42)*(1 - CUSTOS!$M$40)</f>
        <v>122.86574233777691</v>
      </c>
      <c r="R42" s="13">
        <f>('TUSD BE'!$R$42+'TUSD BF'!$R$42+'TUSD CVA'!$R$42)*(1 - CUSTOS!$M$40)</f>
        <v>18.658180578403069</v>
      </c>
      <c r="S42" s="13">
        <f>('TUSD BE'!$S$42+'TUSD BF'!$S$42+'TUSD CVA'!$S$42)*(1 - CUSTOS!$M$40)</f>
        <v>0</v>
      </c>
      <c r="T42" s="13">
        <f>('TUSD BE'!$U$42+'TUSD BF'!$U$42+'TUSD CVA'!$U$42)*(1 - CUSTOS!$M$40)</f>
        <v>0</v>
      </c>
      <c r="U42" s="13">
        <f>('TUSD BE'!$V$42+'TUSD BF'!$V$42+'TUSD CVA'!$V$42)*(1 - CUSTOS!$M$40)</f>
        <v>0</v>
      </c>
      <c r="V42" s="13">
        <f>('TUSD BE'!$W$42+'TUSD BF'!$W$42+'TUSD CVA'!$W$42)*(1 - CUSTOS!$M$40)</f>
        <v>0</v>
      </c>
      <c r="W42" s="13">
        <f>('TUSD BE'!$X$42+'TUSD BF'!$X$42+'TUSD CVA'!$X$42)*(1 - CUSTOS!$M$40)</f>
        <v>0</v>
      </c>
      <c r="X42" s="13">
        <f>('TUSD BE'!$Y$42+'TUSD BF'!$Y$42+'TUSD CVA'!$Y$42)*(1 - CUSTOS!$M$40)</f>
        <v>572.43722235614712</v>
      </c>
      <c r="Y42" s="13">
        <f>('TUSD BE'!$Z$42+'TUSD BF'!$Z$42+'TUSD CVA'!$Z$42)*(1 - CUSTOS!$M$40)</f>
        <v>0</v>
      </c>
      <c r="Z42" s="13">
        <f>('TUSD BE'!$AA$42+'TUSD BF'!$AA$42+'TUSD CVA'!$AA$42)*(1 - CUSTOS!$M$40)</f>
        <v>0</v>
      </c>
      <c r="AA42" s="13">
        <f>('TUSD BE'!$AC$42+'TUSD BF'!$AC$42+'TUSD CVA'!$AC$42)*(1 - CUSTOS!$M$40)</f>
        <v>1125.6765176669451</v>
      </c>
      <c r="AB42" s="13">
        <f ca="1">('TUSD BE'!$AE$42+'TUSD BF'!$AE$42+'TUSD CVA'!$AE$42)*(1 - CUSTOS!$M$40)</f>
        <v>-71.475057486610126</v>
      </c>
      <c r="AC42" s="13">
        <f ca="1">('TUSD BE'!$AF$42+'TUSD BF'!$AF$42+'TUSD CVA'!$AF$42)*(1 - CUSTOS!$M$40)</f>
        <v>0</v>
      </c>
      <c r="AD42" s="13">
        <f>('TUSD BE'!$AH$42+'TUSD BF'!$AH$42+'TUSD CVA'!$AH$42)*(1 - CUSTOS!$M$40)</f>
        <v>20.504446795041588</v>
      </c>
      <c r="AE42" s="13">
        <f>('TUSD BE'!$AI$42+'TUSD BF'!$AI$42+'TUSD CVA'!$AI$42)*(1 - CUSTOS!$M$40)</f>
        <v>0</v>
      </c>
      <c r="AF42" s="13">
        <f ca="1">('TUSD BE'!$AJ$42+'TUSD BF'!$AJ$42+'TUSD CVA'!$AJ$42)*(1 - CUSTOS!$M$40)</f>
        <v>1.2027278426826067</v>
      </c>
      <c r="AG42" s="13">
        <f ca="1">('TUSD BE'!$AK$42+'TUSD BF'!$AK$42+'TUSD CVA'!$AK$42)*(1 - CUSTOS!$M$40)</f>
        <v>0.18136241981404114</v>
      </c>
      <c r="AI42" s="13">
        <v>1.92585758680122</v>
      </c>
      <c r="AJ42" s="13">
        <v>0.63351239205837095</v>
      </c>
      <c r="AK42" s="13">
        <v>19.733179354776201</v>
      </c>
      <c r="AL42" s="13">
        <v>0</v>
      </c>
      <c r="AM42" s="13">
        <v>0</v>
      </c>
      <c r="AN42" s="13">
        <v>51.413488953301098</v>
      </c>
      <c r="AO42" s="13">
        <v>7.8723117580477702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372.551998665989</v>
      </c>
      <c r="AV42" s="13">
        <v>0</v>
      </c>
      <c r="AW42" s="13">
        <v>0</v>
      </c>
      <c r="AX42" s="13">
        <v>887.41982513230096</v>
      </c>
      <c r="AY42" s="13">
        <v>-21.138827971075099</v>
      </c>
      <c r="AZ42" s="13">
        <v>0</v>
      </c>
      <c r="BA42" s="13">
        <v>19.527669453462199</v>
      </c>
      <c r="BB42" s="13">
        <v>0</v>
      </c>
      <c r="BC42" s="13">
        <v>1.1502068995238099</v>
      </c>
      <c r="BD42" s="13">
        <v>0.15792135756085199</v>
      </c>
    </row>
    <row r="43" spans="1:56" ht="11.25" customHeight="1" x14ac:dyDescent="0.3">
      <c r="A43" s="146"/>
      <c r="B43" s="146"/>
      <c r="C43" s="146"/>
      <c r="D43" s="146"/>
      <c r="E43" s="146"/>
      <c r="F43" s="146"/>
      <c r="G43" s="24" t="s">
        <v>89</v>
      </c>
      <c r="H43" s="24" t="s">
        <v>78</v>
      </c>
      <c r="I43" s="24">
        <f>'MERCADO TUSD'!$U$40</f>
        <v>0</v>
      </c>
      <c r="J43" s="15"/>
      <c r="L43" s="13">
        <f>('TUSD BE'!$L$43+'TUSD BF'!$L$43+'TUSD CVA'!$L$43)*(1 - CUSTOS!$M$40)</f>
        <v>2.6078299245475249</v>
      </c>
      <c r="M43" s="13">
        <f>('TUSD BE'!$M$43+'TUSD BF'!$M$43+'TUSD CVA'!$M$43)*(1 - CUSTOS!$M$40)</f>
        <v>0.84621382080449326</v>
      </c>
      <c r="N43" s="13">
        <f ca="1">('TUSD BE'!$N$43+'TUSD BF'!$N$43+'TUSD CVA'!$N$43)*(1 - CUSTOS!$M$40)</f>
        <v>8.415881595766038</v>
      </c>
      <c r="O43" s="13">
        <f>('TUSD BE'!$O$43+'TUSD BF'!$O$43+'TUSD CVA'!$O$43)*(1 - CUSTOS!$M$40)</f>
        <v>0</v>
      </c>
      <c r="P43" s="13">
        <f>('TUSD BE'!$P$43+'TUSD BF'!$P$43+'TUSD CVA'!$P$43)*(1 - CUSTOS!$M$40)</f>
        <v>0</v>
      </c>
      <c r="Q43" s="13">
        <f>('TUSD BE'!$Q$43+'TUSD BF'!$Q$43+'TUSD CVA'!$Q$43)*(1 - CUSTOS!$M$40)</f>
        <v>122.86574233777691</v>
      </c>
      <c r="R43" s="13">
        <f>('TUSD BE'!$R$43+'TUSD BF'!$R$43+'TUSD CVA'!$R$43)*(1 - CUSTOS!$M$40)</f>
        <v>18.658180578403069</v>
      </c>
      <c r="S43" s="13">
        <f>('TUSD BE'!$S$43+'TUSD BF'!$S$43+'TUSD CVA'!$S$43)*(1 - CUSTOS!$M$40)</f>
        <v>0</v>
      </c>
      <c r="T43" s="13">
        <f>('TUSD BE'!$U$43+'TUSD BF'!$U$43+'TUSD CVA'!$U$43)*(1 - CUSTOS!$M$40)</f>
        <v>0</v>
      </c>
      <c r="U43" s="13">
        <f>('TUSD BE'!$V$43+'TUSD BF'!$V$43+'TUSD CVA'!$V$43)*(1 - CUSTOS!$M$40)</f>
        <v>0</v>
      </c>
      <c r="V43" s="13">
        <f>('TUSD BE'!$W$43+'TUSD BF'!$W$43+'TUSD CVA'!$W$43)*(1 - CUSTOS!$M$40)</f>
        <v>0</v>
      </c>
      <c r="W43" s="13">
        <f>('TUSD BE'!$X$43+'TUSD BF'!$X$43+'TUSD CVA'!$X$43)*(1 - CUSTOS!$M$40)</f>
        <v>0</v>
      </c>
      <c r="X43" s="13">
        <f>('TUSD BE'!$Y$43+'TUSD BF'!$Y$43+'TUSD CVA'!$Y$43)*(1 - CUSTOS!$M$40)</f>
        <v>159.24360370986653</v>
      </c>
      <c r="Y43" s="13">
        <f>('TUSD BE'!$Z$43+'TUSD BF'!$Z$43+'TUSD CVA'!$Z$43)*(1 - CUSTOS!$M$40)</f>
        <v>0</v>
      </c>
      <c r="Z43" s="13">
        <f>('TUSD BE'!$AA$43+'TUSD BF'!$AA$43+'TUSD CVA'!$AA$43)*(1 - CUSTOS!$M$40)</f>
        <v>0</v>
      </c>
      <c r="AA43" s="13">
        <f>('TUSD BE'!$AC$43+'TUSD BF'!$AC$43+'TUSD CVA'!$AC$43)*(1 - CUSTOS!$M$40)</f>
        <v>313.14645576568944</v>
      </c>
      <c r="AB43" s="13">
        <f ca="1">('TUSD BE'!$AE$43+'TUSD BF'!$AE$43+'TUSD CVA'!$AE$43)*(1 - CUSTOS!$M$40)</f>
        <v>-23.701462023917156</v>
      </c>
      <c r="AC43" s="13">
        <f ca="1">('TUSD BE'!$AF$43+'TUSD BF'!$AF$43+'TUSD CVA'!$AF$43)*(1 - CUSTOS!$M$40)</f>
        <v>0</v>
      </c>
      <c r="AD43" s="13">
        <f>('TUSD BE'!$AH$43+'TUSD BF'!$AH$43+'TUSD CVA'!$AH$43)*(1 - CUSTOS!$M$40)</f>
        <v>20.504446795041588</v>
      </c>
      <c r="AE43" s="13">
        <f>('TUSD BE'!$AI$43+'TUSD BF'!$AI$43+'TUSD CVA'!$AI$43)*(1 - CUSTOS!$M$40)</f>
        <v>0</v>
      </c>
      <c r="AF43" s="13">
        <f ca="1">('TUSD BE'!$AJ$43+'TUSD BF'!$AJ$43+'TUSD CVA'!$AJ$43)*(1 - CUSTOS!$M$40)</f>
        <v>1.2027278426826067</v>
      </c>
      <c r="AG43" s="13">
        <f ca="1">('TUSD BE'!$AK$43+'TUSD BF'!$AK$43+'TUSD CVA'!$AK$43)*(1 - CUSTOS!$M$40)</f>
        <v>0.18136241981404114</v>
      </c>
      <c r="AI43" s="13">
        <v>1.92585758680122</v>
      </c>
      <c r="AJ43" s="13">
        <v>0.63351239205837095</v>
      </c>
      <c r="AK43" s="13">
        <v>5.9919808923486597</v>
      </c>
      <c r="AL43" s="13">
        <v>0</v>
      </c>
      <c r="AM43" s="13">
        <v>0</v>
      </c>
      <c r="AN43" s="13">
        <v>51.413488953301098</v>
      </c>
      <c r="AO43" s="13">
        <v>7.8723117580477702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103.638478631243</v>
      </c>
      <c r="AV43" s="13">
        <v>0</v>
      </c>
      <c r="AW43" s="13">
        <v>0</v>
      </c>
      <c r="AX43" s="13">
        <v>246.86698945478801</v>
      </c>
      <c r="AY43" s="13">
        <v>-6.7428015692075096</v>
      </c>
      <c r="AZ43" s="13">
        <v>0</v>
      </c>
      <c r="BA43" s="13">
        <v>19.527669453462199</v>
      </c>
      <c r="BB43" s="13">
        <v>0</v>
      </c>
      <c r="BC43" s="13">
        <v>1.1502068995238099</v>
      </c>
      <c r="BD43" s="13">
        <v>0.15792135756085199</v>
      </c>
    </row>
    <row r="44" spans="1:56" ht="11.25" customHeight="1" x14ac:dyDescent="0.3">
      <c r="A44" s="146"/>
      <c r="B44" s="146"/>
      <c r="C44" s="146"/>
      <c r="D44" s="146"/>
      <c r="E44" s="146"/>
      <c r="F44" s="146"/>
      <c r="G44" s="24" t="s">
        <v>80</v>
      </c>
      <c r="H44" s="24" t="s">
        <v>78</v>
      </c>
      <c r="I44" s="24">
        <f>'MERCADO TUSD'!$U$41</f>
        <v>0</v>
      </c>
      <c r="J44" s="15"/>
      <c r="L44" s="13">
        <f>('TUSD BE'!$L$44+'TUSD BF'!$L$44+'TUSD CVA'!$L$44)*(1 - CUSTOS!$M$40)</f>
        <v>2.6078299245475249</v>
      </c>
      <c r="M44" s="13">
        <f>('TUSD BE'!$M$44+'TUSD BF'!$M$44+'TUSD CVA'!$M$44)*(1 - CUSTOS!$M$40)</f>
        <v>0.84621382080449326</v>
      </c>
      <c r="N44" s="13">
        <f ca="1">('TUSD BE'!$N$44+'TUSD BF'!$N$44+'TUSD CVA'!$N$44)*(1 - CUSTOS!$M$40)</f>
        <v>2.2006951791829166</v>
      </c>
      <c r="O44" s="13">
        <f>('TUSD BE'!$O$44+'TUSD BF'!$O$44+'TUSD CVA'!$O$44)*(1 - CUSTOS!$M$40)</f>
        <v>0</v>
      </c>
      <c r="P44" s="13">
        <f>('TUSD BE'!$P$44+'TUSD BF'!$P$44+'TUSD CVA'!$P$44)*(1 - CUSTOS!$M$40)</f>
        <v>0</v>
      </c>
      <c r="Q44" s="13">
        <f>('TUSD BE'!$Q$44+'TUSD BF'!$Q$44+'TUSD CVA'!$Q$44)*(1 - CUSTOS!$M$40)</f>
        <v>122.86574233777691</v>
      </c>
      <c r="R44" s="13">
        <f>('TUSD BE'!$R$44+'TUSD BF'!$R$44+'TUSD CVA'!$R$44)*(1 - CUSTOS!$M$40)</f>
        <v>18.658180578403069</v>
      </c>
      <c r="S44" s="13">
        <f>('TUSD BE'!$S$44+'TUSD BF'!$S$44+'TUSD CVA'!$S$44)*(1 - CUSTOS!$M$40)</f>
        <v>0</v>
      </c>
      <c r="T44" s="13">
        <f>('TUSD BE'!$U$44+'TUSD BF'!$U$44+'TUSD CVA'!$U$44)*(1 - CUSTOS!$M$40)</f>
        <v>0</v>
      </c>
      <c r="U44" s="13">
        <f>('TUSD BE'!$V$44+'TUSD BF'!$V$44+'TUSD CVA'!$V$44)*(1 - CUSTOS!$M$40)</f>
        <v>0</v>
      </c>
      <c r="V44" s="13">
        <f>('TUSD BE'!$W$44+'TUSD BF'!$W$44+'TUSD CVA'!$W$44)*(1 - CUSTOS!$M$40)</f>
        <v>0</v>
      </c>
      <c r="W44" s="13">
        <f>('TUSD BE'!$X$44+'TUSD BF'!$X$44+'TUSD CVA'!$X$44)*(1 - CUSTOS!$M$40)</f>
        <v>0</v>
      </c>
      <c r="X44" s="13">
        <f>('TUSD BE'!$Y$44+'TUSD BF'!$Y$44+'TUSD CVA'!$Y$44)*(1 - CUSTOS!$M$40)</f>
        <v>26.23459192876922</v>
      </c>
      <c r="Y44" s="13">
        <f>('TUSD BE'!$Z$44+'TUSD BF'!$Z$44+'TUSD CVA'!$Z$44)*(1 - CUSTOS!$M$40)</f>
        <v>0</v>
      </c>
      <c r="Z44" s="13">
        <f>('TUSD BE'!$AA$44+'TUSD BF'!$AA$44+'TUSD CVA'!$AA$44)*(1 - CUSTOS!$M$40)</f>
        <v>0</v>
      </c>
      <c r="AA44" s="13">
        <f>('TUSD BE'!$AC$44+'TUSD BF'!$AC$44+'TUSD CVA'!$AC$44)*(1 - CUSTOS!$M$40)</f>
        <v>51.589185937838799</v>
      </c>
      <c r="AB44" s="13">
        <f ca="1">('TUSD BE'!$AE$44+'TUSD BF'!$AE$44+'TUSD CVA'!$AE$44)*(1 - CUSTOS!$M$40)</f>
        <v>-8.322914523725391</v>
      </c>
      <c r="AC44" s="13">
        <f ca="1">('TUSD BE'!$AF$44+'TUSD BF'!$AF$44+'TUSD CVA'!$AF$44)*(1 - CUSTOS!$M$40)</f>
        <v>0</v>
      </c>
      <c r="AD44" s="13">
        <f>('TUSD BE'!$AH$44+'TUSD BF'!$AH$44+'TUSD CVA'!$AH$44)*(1 - CUSTOS!$M$40)</f>
        <v>20.504446795041588</v>
      </c>
      <c r="AE44" s="13">
        <f>('TUSD BE'!$AI$44+'TUSD BF'!$AI$44+'TUSD CVA'!$AI$44)*(1 - CUSTOS!$M$40)</f>
        <v>0</v>
      </c>
      <c r="AF44" s="13">
        <f ca="1">('TUSD BE'!$AJ$44+'TUSD BF'!$AJ$44+'TUSD CVA'!$AJ$44)*(1 - CUSTOS!$M$40)</f>
        <v>1.2027278426826067</v>
      </c>
      <c r="AG44" s="13">
        <f ca="1">('TUSD BE'!$AK$44+'TUSD BF'!$AK$44+'TUSD CVA'!$AK$44)*(1 - CUSTOS!$M$40)</f>
        <v>0.18136241981404114</v>
      </c>
      <c r="AI44" s="13">
        <v>1.92585758680122</v>
      </c>
      <c r="AJ44" s="13">
        <v>0.63351239205837095</v>
      </c>
      <c r="AK44" s="13">
        <v>1.56862385959543</v>
      </c>
      <c r="AL44" s="13">
        <v>0</v>
      </c>
      <c r="AM44" s="13">
        <v>0</v>
      </c>
      <c r="AN44" s="13">
        <v>51.413488953301098</v>
      </c>
      <c r="AO44" s="13">
        <v>7.8723117580477702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17.073924048860601</v>
      </c>
      <c r="AV44" s="13">
        <v>0</v>
      </c>
      <c r="AW44" s="13">
        <v>0</v>
      </c>
      <c r="AX44" s="13">
        <v>40.6700021233098</v>
      </c>
      <c r="AY44" s="13">
        <v>-2.10865226589523</v>
      </c>
      <c r="AZ44" s="13">
        <v>0</v>
      </c>
      <c r="BA44" s="13">
        <v>19.527669453462199</v>
      </c>
      <c r="BB44" s="13">
        <v>0</v>
      </c>
      <c r="BC44" s="13">
        <v>1.1502068995238099</v>
      </c>
      <c r="BD44" s="13">
        <v>0.15792135756085199</v>
      </c>
    </row>
    <row r="45" spans="1:56" ht="11.25" customHeight="1" x14ac:dyDescent="0.3">
      <c r="A45" s="146"/>
      <c r="B45" s="23" t="s">
        <v>23</v>
      </c>
      <c r="C45" s="23" t="s">
        <v>42</v>
      </c>
      <c r="D45" s="23" t="s">
        <v>94</v>
      </c>
      <c r="E45" s="23" t="s">
        <v>25</v>
      </c>
      <c r="F45" s="23" t="s">
        <v>25</v>
      </c>
      <c r="G45" s="24" t="s">
        <v>84</v>
      </c>
      <c r="H45" s="24" t="s">
        <v>78</v>
      </c>
      <c r="I45" s="24">
        <f>'MERCADO TUSD'!$U$42</f>
        <v>0</v>
      </c>
      <c r="J45" s="15"/>
      <c r="L45" s="13">
        <f>('TUSD BE'!$L$45+'TUSD BF'!$L$45+'TUSD CVA'!$L$45)*(1 - CUSTOS!$M$40)</f>
        <v>2.6078299245475249</v>
      </c>
      <c r="M45" s="13">
        <f>('TUSD BE'!$M$45+'TUSD BF'!$M$45+'TUSD CVA'!$M$45)*(1 - CUSTOS!$M$40)</f>
        <v>0.84621382080449326</v>
      </c>
      <c r="N45" s="13">
        <f ca="1">('TUSD BE'!$N$45+'TUSD BF'!$N$45+'TUSD CVA'!$N$45)*(1 - CUSTOS!$M$40)</f>
        <v>5.3529444228936631</v>
      </c>
      <c r="O45" s="13">
        <f>('TUSD BE'!$O$45+'TUSD BF'!$O$45+'TUSD CVA'!$O$45)*(1 - CUSTOS!$M$40)</f>
        <v>0</v>
      </c>
      <c r="P45" s="13">
        <f>('TUSD BE'!$P$45+'TUSD BF'!$P$45+'TUSD CVA'!$P$45)*(1 - CUSTOS!$M$40)</f>
        <v>0</v>
      </c>
      <c r="Q45" s="13">
        <f>('TUSD BE'!$Q$45+'TUSD BF'!$Q$45+'TUSD CVA'!$Q$45)*(1 - CUSTOS!$M$40)</f>
        <v>122.86574233777691</v>
      </c>
      <c r="R45" s="13">
        <f>('TUSD BE'!$R$45+'TUSD BF'!$R$45+'TUSD CVA'!$R$45)*(1 - CUSTOS!$M$40)</f>
        <v>18.658180578403069</v>
      </c>
      <c r="S45" s="13">
        <f>('TUSD BE'!$S$45+'TUSD BF'!$S$45+'TUSD CVA'!$S$45)*(1 - CUSTOS!$M$40)</f>
        <v>0</v>
      </c>
      <c r="T45" s="13">
        <f>('TUSD BE'!$U$45+'TUSD BF'!$U$45+'TUSD CVA'!$U$45)*(1 - CUSTOS!$M$40)</f>
        <v>0</v>
      </c>
      <c r="U45" s="13">
        <f>('TUSD BE'!$V$45+'TUSD BF'!$V$45+'TUSD CVA'!$V$45)*(1 - CUSTOS!$M$40)</f>
        <v>0</v>
      </c>
      <c r="V45" s="13">
        <f>('TUSD BE'!$W$45+'TUSD BF'!$W$45+'TUSD CVA'!$W$45)*(1 - CUSTOS!$M$40)</f>
        <v>0</v>
      </c>
      <c r="W45" s="13">
        <f>('TUSD BE'!$X$45+'TUSD BF'!$X$45+'TUSD CVA'!$X$45)*(1 - CUSTOS!$M$40)</f>
        <v>0</v>
      </c>
      <c r="X45" s="13">
        <f>('TUSD BE'!$Y$45+'TUSD BF'!$Y$45+'TUSD CVA'!$Y$45)*(1 - CUSTOS!$M$40)</f>
        <v>93.694695921185001</v>
      </c>
      <c r="Y45" s="13">
        <f>('TUSD BE'!$Z$45+'TUSD BF'!$Z$45+'TUSD CVA'!$Z$45)*(1 - CUSTOS!$M$40)</f>
        <v>0</v>
      </c>
      <c r="Z45" s="13">
        <f>('TUSD BE'!$AA$45+'TUSD BF'!$AA$45+'TUSD CVA'!$AA$45)*(1 - CUSTOS!$M$40)</f>
        <v>0</v>
      </c>
      <c r="AA45" s="13">
        <f>('TUSD BE'!$AC$45+'TUSD BF'!$AC$45+'TUSD CVA'!$AC$45)*(1 - CUSTOS!$M$40)</f>
        <v>184.24715105499294</v>
      </c>
      <c r="AB45" s="13">
        <f ca="1">('TUSD BE'!$AE$45+'TUSD BF'!$AE$45+'TUSD CVA'!$AE$45)*(1 - CUSTOS!$M$40)</f>
        <v>-16.122682135998275</v>
      </c>
      <c r="AC45" s="13">
        <f ca="1">('TUSD BE'!$AF$45+'TUSD BF'!$AF$45+'TUSD CVA'!$AF$45)*(1 - CUSTOS!$M$40)</f>
        <v>0</v>
      </c>
      <c r="AD45" s="13">
        <f>('TUSD BE'!$AH$45+'TUSD BF'!$AH$45+'TUSD CVA'!$AH$45)*(1 - CUSTOS!$M$40)</f>
        <v>20.504446795041588</v>
      </c>
      <c r="AE45" s="13">
        <f>('TUSD BE'!$AI$45+'TUSD BF'!$AI$45+'TUSD CVA'!$AI$45)*(1 - CUSTOS!$M$40)</f>
        <v>0</v>
      </c>
      <c r="AF45" s="13">
        <f ca="1">('TUSD BE'!$AJ$45+'TUSD BF'!$AJ$45+'TUSD CVA'!$AJ$45)*(1 - CUSTOS!$M$40)</f>
        <v>1.2027278426826067</v>
      </c>
      <c r="AG45" s="13">
        <f ca="1">('TUSD BE'!$AK$45+'TUSD BF'!$AK$45+'TUSD CVA'!$AK$45)*(1 - CUSTOS!$M$40)</f>
        <v>0.18136241981404114</v>
      </c>
      <c r="AI45" s="13">
        <v>1.92585758680122</v>
      </c>
      <c r="AJ45" s="13">
        <v>0.63351239205837095</v>
      </c>
      <c r="AK45" s="13">
        <v>3.8120841400393801</v>
      </c>
      <c r="AL45" s="13">
        <v>0</v>
      </c>
      <c r="AM45" s="13">
        <v>0</v>
      </c>
      <c r="AN45" s="13">
        <v>51.413488953301098</v>
      </c>
      <c r="AO45" s="13">
        <v>7.8723117580477702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60.978121035117297</v>
      </c>
      <c r="AV45" s="13">
        <v>0</v>
      </c>
      <c r="AW45" s="13">
        <v>0</v>
      </c>
      <c r="AX45" s="13">
        <v>145.25005363816501</v>
      </c>
      <c r="AY45" s="13">
        <v>-4.4590230826709902</v>
      </c>
      <c r="AZ45" s="13">
        <v>0</v>
      </c>
      <c r="BA45" s="13">
        <v>19.527669453462199</v>
      </c>
      <c r="BB45" s="13">
        <v>0</v>
      </c>
      <c r="BC45" s="13">
        <v>1.1502068995238099</v>
      </c>
      <c r="BD45" s="13">
        <v>0.15792135756085199</v>
      </c>
    </row>
    <row r="46" spans="1:56" ht="11.25" customHeight="1" x14ac:dyDescent="0.3">
      <c r="A46" s="146"/>
      <c r="B46" s="146" t="s">
        <v>92</v>
      </c>
      <c r="C46" s="146" t="s">
        <v>42</v>
      </c>
      <c r="D46" s="23" t="s">
        <v>25</v>
      </c>
      <c r="E46" s="23" t="s">
        <v>25</v>
      </c>
      <c r="F46" s="23" t="s">
        <v>25</v>
      </c>
      <c r="G46" s="24" t="s">
        <v>84</v>
      </c>
      <c r="H46" s="24" t="s">
        <v>78</v>
      </c>
      <c r="I46" s="24">
        <f>'MERCADO TUSD'!$U$43</f>
        <v>0</v>
      </c>
      <c r="J46" s="15"/>
      <c r="L46" s="13">
        <f>('TUSD BE'!$L$46+'TUSD BF'!$L$46+'TUSD CVA'!$L$46)*(1 - CUSTOS!$M$38)</f>
        <v>2.6645218794289929</v>
      </c>
      <c r="M46" s="13">
        <f>('TUSD BE'!$M$46+'TUSD BF'!$M$46+'TUSD CVA'!$M$46)*(1 - CUSTOS!$M$38)</f>
        <v>0.8646097734306778</v>
      </c>
      <c r="N46" s="13">
        <f ca="1">('TUSD BE'!$N$46+'TUSD BF'!$N$46+'TUSD CVA'!$N$46)*(1 - CUSTOS!$M$38)</f>
        <v>5.4693127799130901</v>
      </c>
      <c r="O46" s="13">
        <f>('TUSD BE'!$O$46+'TUSD BF'!$O$46+'TUSD CVA'!$O$46)*(1 - CUSTOS!$M$38)</f>
        <v>0</v>
      </c>
      <c r="P46" s="13">
        <f>('TUSD BE'!$P$46+'TUSD BF'!$P$46+'TUSD CVA'!$P$46)*(1 - CUSTOS!$M$38)</f>
        <v>0</v>
      </c>
      <c r="Q46" s="13">
        <f>('TUSD BE'!$Q$46+'TUSD BF'!$Q$46+'TUSD CVA'!$Q$46)*(1 - CUSTOS!$M$38)</f>
        <v>125.53673673642422</v>
      </c>
      <c r="R46" s="13">
        <f>('TUSD BE'!$R$46+'TUSD BF'!$R$46+'TUSD CVA'!$R$46)*(1 - CUSTOS!$M$38)</f>
        <v>19.063793199672698</v>
      </c>
      <c r="S46" s="13">
        <f>('TUSD BE'!$S$46+'TUSD BF'!$S$46+'TUSD CVA'!$S$46)*(1 - CUSTOS!$M$38)</f>
        <v>0</v>
      </c>
      <c r="T46" s="13">
        <f>('TUSD BE'!$U$46+'TUSD BF'!$U$46+'TUSD CVA'!$U$46)*(1 - CUSTOS!$M$38)</f>
        <v>0</v>
      </c>
      <c r="U46" s="13">
        <f>('TUSD BE'!$V$46+'TUSD BF'!$V$46+'TUSD CVA'!$V$46)*(1 - CUSTOS!$M$38)</f>
        <v>0</v>
      </c>
      <c r="V46" s="13">
        <f>('TUSD BE'!$W$46+'TUSD BF'!$W$46+'TUSD CVA'!$W$46)*(1 - CUSTOS!$M$38)</f>
        <v>0</v>
      </c>
      <c r="W46" s="13">
        <f>('TUSD BE'!$X$46+'TUSD BF'!$X$46+'TUSD CVA'!$X$46)*(1 - CUSTOS!$M$38)</f>
        <v>0</v>
      </c>
      <c r="X46" s="13">
        <f>('TUSD BE'!$Y$46+'TUSD BF'!$Y$46+'TUSD CVA'!$Y$46)*(1 - CUSTOS!$M$38)</f>
        <v>95.731537136862926</v>
      </c>
      <c r="Y46" s="13">
        <f>('TUSD BE'!$Z$46+'TUSD BF'!$Z$46+'TUSD CVA'!$Z$46)*(1 - CUSTOS!$M$38)</f>
        <v>0</v>
      </c>
      <c r="Z46" s="13">
        <f>('TUSD BE'!$AA$46+'TUSD BF'!$AA$46+'TUSD CVA'!$AA$46)*(1 - CUSTOS!$M$38)</f>
        <v>0</v>
      </c>
      <c r="AA46" s="13">
        <f>('TUSD BE'!$AC$46+'TUSD BF'!$AC$46+'TUSD CVA'!$AC$46)*(1 - CUSTOS!$M$38)</f>
        <v>188.25252390401451</v>
      </c>
      <c r="AB46" s="13">
        <f ca="1">('TUSD BE'!$AE$46+'TUSD BF'!$AE$46+'TUSD CVA'!$AE$46)*(1 - CUSTOS!$M$38)</f>
        <v>-16.47317522591128</v>
      </c>
      <c r="AC46" s="13">
        <f ca="1">('TUSD BE'!$AF$46+'TUSD BF'!$AF$46+'TUSD CVA'!$AF$46)*(1 - CUSTOS!$M$38)</f>
        <v>0</v>
      </c>
      <c r="AD46" s="13">
        <f>('TUSD BE'!$AH$46+'TUSD BF'!$AH$46+'TUSD CVA'!$AH$46)*(1 - CUSTOS!$M$38)</f>
        <v>20.950195638412058</v>
      </c>
      <c r="AE46" s="13">
        <f>('TUSD BE'!$AI$46+'TUSD BF'!$AI$46+'TUSD CVA'!$AI$46)*(1 - CUSTOS!$M$38)</f>
        <v>0</v>
      </c>
      <c r="AF46" s="13">
        <f ca="1">('TUSD BE'!$AJ$46+'TUSD BF'!$AJ$46+'TUSD CVA'!$AJ$46)*(1 - CUSTOS!$M$38)</f>
        <v>1.2288741001322283</v>
      </c>
      <c r="AG46" s="13">
        <f ca="1">('TUSD BE'!$AK$46+'TUSD BF'!$AK$46+'TUSD CVA'!$AK$46)*(1 - CUSTOS!$M$38)</f>
        <v>0.18530508111434635</v>
      </c>
      <c r="AI46" s="13">
        <v>2.0175650909346099</v>
      </c>
      <c r="AJ46" s="13">
        <v>0.66367964882305597</v>
      </c>
      <c r="AK46" s="13">
        <v>3.9936119562317298</v>
      </c>
      <c r="AL46" s="13">
        <v>0</v>
      </c>
      <c r="AM46" s="13">
        <v>0</v>
      </c>
      <c r="AN46" s="13">
        <v>53.8617503320297</v>
      </c>
      <c r="AO46" s="13">
        <v>8.2471837465262396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63.881841084408698</v>
      </c>
      <c r="AV46" s="13">
        <v>0</v>
      </c>
      <c r="AW46" s="13">
        <v>0</v>
      </c>
      <c r="AX46" s="13">
        <v>152.16672285902999</v>
      </c>
      <c r="AY46" s="13">
        <v>-4.6713575151791398</v>
      </c>
      <c r="AZ46" s="13">
        <v>0</v>
      </c>
      <c r="BA46" s="13">
        <v>20.457558475055698</v>
      </c>
      <c r="BB46" s="13">
        <v>0</v>
      </c>
      <c r="BC46" s="13">
        <v>1.20497865664399</v>
      </c>
      <c r="BD46" s="13">
        <v>0.16544142220660599</v>
      </c>
    </row>
    <row r="47" spans="1:56" ht="11.25" customHeight="1" x14ac:dyDescent="0.3">
      <c r="A47" s="146"/>
      <c r="B47" s="146"/>
      <c r="C47" s="146"/>
      <c r="D47" s="23" t="s">
        <v>93</v>
      </c>
      <c r="E47" s="23" t="s">
        <v>25</v>
      </c>
      <c r="F47" s="23" t="s">
        <v>25</v>
      </c>
      <c r="G47" s="24" t="s">
        <v>84</v>
      </c>
      <c r="H47" s="24" t="s">
        <v>78</v>
      </c>
      <c r="I47" s="24">
        <f>'MERCADO TUSD'!$U$44</f>
        <v>0</v>
      </c>
      <c r="J47" s="15"/>
      <c r="L47" s="13">
        <f>('TUSD BE'!$L$47+'TUSD BF'!$L$47+'TUSD CVA'!$L$47)*(1 - CUSTOS!$M$39)</f>
        <v>2.6645218794289929</v>
      </c>
      <c r="M47" s="13">
        <f>('TUSD BE'!$M$47+'TUSD BF'!$M$47+'TUSD CVA'!$M$47)*(1 - CUSTOS!$M$39)</f>
        <v>0.8646097734306778</v>
      </c>
      <c r="N47" s="13">
        <f ca="1">('TUSD BE'!$N$47+'TUSD BF'!$N$47+'TUSD CVA'!$N$47)*(1 - CUSTOS!$M$39)</f>
        <v>5.4693127799130901</v>
      </c>
      <c r="O47" s="13">
        <f>('TUSD BE'!$O$47+'TUSD BF'!$O$47+'TUSD CVA'!$O$47)*(1 - CUSTOS!$M$39)</f>
        <v>0</v>
      </c>
      <c r="P47" s="13">
        <f>('TUSD BE'!$P$47+'TUSD BF'!$P$47+'TUSD CVA'!$P$47)*(1 - CUSTOS!$M$39)</f>
        <v>0</v>
      </c>
      <c r="Q47" s="13">
        <f>('TUSD BE'!$Q$47+'TUSD BF'!$Q$47+'TUSD CVA'!$Q$47)*(1 - CUSTOS!$M$39)</f>
        <v>125.53673673642422</v>
      </c>
      <c r="R47" s="13">
        <f>('TUSD BE'!$R$47+'TUSD BF'!$R$47+'TUSD CVA'!$R$47)*(1 - CUSTOS!$M$39)</f>
        <v>19.063793199672698</v>
      </c>
      <c r="S47" s="13">
        <f>('TUSD BE'!$S$47+'TUSD BF'!$S$47+'TUSD CVA'!$S$47)*(1 - CUSTOS!$M$39)</f>
        <v>0</v>
      </c>
      <c r="T47" s="13">
        <f>('TUSD BE'!$U$47+'TUSD BF'!$U$47+'TUSD CVA'!$U$47)*(1 - CUSTOS!$M$39)</f>
        <v>0</v>
      </c>
      <c r="U47" s="13">
        <f>('TUSD BE'!$V$47+'TUSD BF'!$V$47+'TUSD CVA'!$V$47)*(1 - CUSTOS!$M$39)</f>
        <v>0</v>
      </c>
      <c r="V47" s="13">
        <f>('TUSD BE'!$W$47+'TUSD BF'!$W$47+'TUSD CVA'!$W$47)*(1 - CUSTOS!$M$39)</f>
        <v>0</v>
      </c>
      <c r="W47" s="13">
        <f>('TUSD BE'!$X$47+'TUSD BF'!$X$47+'TUSD CVA'!$X$47)*(1 - CUSTOS!$M$39)</f>
        <v>0</v>
      </c>
      <c r="X47" s="13">
        <f>('TUSD BE'!$Y$47+'TUSD BF'!$Y$47+'TUSD CVA'!$Y$47)*(1 - CUSTOS!$M$39)</f>
        <v>95.731537136862926</v>
      </c>
      <c r="Y47" s="13">
        <f>('TUSD BE'!$Z$47+'TUSD BF'!$Z$47+'TUSD CVA'!$Z$47)*(1 - CUSTOS!$M$39)</f>
        <v>0</v>
      </c>
      <c r="Z47" s="13">
        <f>('TUSD BE'!$AA$47+'TUSD BF'!$AA$47+'TUSD CVA'!$AA$47)*(1 - CUSTOS!$M$39)</f>
        <v>0</v>
      </c>
      <c r="AA47" s="13">
        <f>('TUSD BE'!$AC$47+'TUSD BF'!$AC$47+'TUSD CVA'!$AC$47)*(1 - CUSTOS!$M$39)</f>
        <v>188.25252390401451</v>
      </c>
      <c r="AB47" s="13">
        <f ca="1">('TUSD BE'!$AE$47+'TUSD BF'!$AE$47+'TUSD CVA'!$AE$47)*(1 - CUSTOS!$M$39)</f>
        <v>-16.47317522591128</v>
      </c>
      <c r="AC47" s="13">
        <f ca="1">('TUSD BE'!$AF$47+'TUSD BF'!$AF$47+'TUSD CVA'!$AF$47)*(1 - CUSTOS!$M$39)</f>
        <v>0</v>
      </c>
      <c r="AD47" s="13">
        <f>('TUSD BE'!$AH$47+'TUSD BF'!$AH$47+'TUSD CVA'!$AH$47)*(1 - CUSTOS!$M$39)</f>
        <v>20.950195638412058</v>
      </c>
      <c r="AE47" s="13">
        <f>('TUSD BE'!$AI$47+'TUSD BF'!$AI$47+'TUSD CVA'!$AI$47)*(1 - CUSTOS!$M$39)</f>
        <v>0</v>
      </c>
      <c r="AF47" s="13">
        <f ca="1">('TUSD BE'!$AJ$47+'TUSD BF'!$AJ$47+'TUSD CVA'!$AJ$47)*(1 - CUSTOS!$M$39)</f>
        <v>1.2288741001322283</v>
      </c>
      <c r="AG47" s="13">
        <f ca="1">('TUSD BE'!$AK$47+'TUSD BF'!$AK$47+'TUSD CVA'!$AK$47)*(1 - CUSTOS!$M$39)</f>
        <v>0.18530508111434635</v>
      </c>
      <c r="AI47" s="13">
        <v>2.0175650909346099</v>
      </c>
      <c r="AJ47" s="13">
        <v>0.66367964882305597</v>
      </c>
      <c r="AK47" s="13">
        <v>3.9936119562317298</v>
      </c>
      <c r="AL47" s="13">
        <v>0</v>
      </c>
      <c r="AM47" s="13">
        <v>0</v>
      </c>
      <c r="AN47" s="13">
        <v>53.8617503320297</v>
      </c>
      <c r="AO47" s="13">
        <v>8.2471837465262396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63.881841084408698</v>
      </c>
      <c r="AV47" s="13">
        <v>0</v>
      </c>
      <c r="AW47" s="13">
        <v>0</v>
      </c>
      <c r="AX47" s="13">
        <v>152.16672285902999</v>
      </c>
      <c r="AY47" s="13">
        <v>-4.6713575151791398</v>
      </c>
      <c r="AZ47" s="13">
        <v>0</v>
      </c>
      <c r="BA47" s="13">
        <v>20.457558475055698</v>
      </c>
      <c r="BB47" s="13">
        <v>0</v>
      </c>
      <c r="BC47" s="13">
        <v>1.20497865664399</v>
      </c>
      <c r="BD47" s="13">
        <v>0.16544142220660599</v>
      </c>
    </row>
    <row r="48" spans="1:56" ht="11.25" customHeight="1" x14ac:dyDescent="0.3">
      <c r="A48" s="146"/>
      <c r="B48" s="146"/>
      <c r="C48" s="146"/>
      <c r="D48" s="23" t="s">
        <v>94</v>
      </c>
      <c r="E48" s="23" t="s">
        <v>25</v>
      </c>
      <c r="F48" s="23" t="s">
        <v>25</v>
      </c>
      <c r="G48" s="24" t="s">
        <v>84</v>
      </c>
      <c r="H48" s="24" t="s">
        <v>78</v>
      </c>
      <c r="I48" s="24">
        <f>'MERCADO TUSD'!$U$45</f>
        <v>0</v>
      </c>
      <c r="J48" s="15"/>
      <c r="L48" s="13">
        <f>('TUSD BE'!$L$48+'TUSD BF'!$L$48+'TUSD CVA'!$L$48)*(1 - CUSTOS!$M$40)</f>
        <v>2.6078299245475249</v>
      </c>
      <c r="M48" s="13">
        <f>('TUSD BE'!$M$48+'TUSD BF'!$M$48+'TUSD CVA'!$M$48)*(1 - CUSTOS!$M$40)</f>
        <v>0.84621382080449326</v>
      </c>
      <c r="N48" s="13">
        <f ca="1">('TUSD BE'!$N$48+'TUSD BF'!$N$48+'TUSD CVA'!$N$48)*(1 - CUSTOS!$M$40)</f>
        <v>5.3529444228936631</v>
      </c>
      <c r="O48" s="13">
        <f>('TUSD BE'!$O$48+'TUSD BF'!$O$48+'TUSD CVA'!$O$48)*(1 - CUSTOS!$M$40)</f>
        <v>0</v>
      </c>
      <c r="P48" s="13">
        <f>('TUSD BE'!$P$48+'TUSD BF'!$P$48+'TUSD CVA'!$P$48)*(1 - CUSTOS!$M$40)</f>
        <v>0</v>
      </c>
      <c r="Q48" s="13">
        <f>('TUSD BE'!$Q$48+'TUSD BF'!$Q$48+'TUSD CVA'!$Q$48)*(1 - CUSTOS!$M$40)</f>
        <v>122.86574233777691</v>
      </c>
      <c r="R48" s="13">
        <f>('TUSD BE'!$R$48+'TUSD BF'!$R$48+'TUSD CVA'!$R$48)*(1 - CUSTOS!$M$40)</f>
        <v>18.658180578403069</v>
      </c>
      <c r="S48" s="13">
        <f>('TUSD BE'!$S$48+'TUSD BF'!$S$48+'TUSD CVA'!$S$48)*(1 - CUSTOS!$M$40)</f>
        <v>0</v>
      </c>
      <c r="T48" s="13">
        <f>('TUSD BE'!$U$48+'TUSD BF'!$U$48+'TUSD CVA'!$U$48)*(1 - CUSTOS!$M$40)</f>
        <v>0</v>
      </c>
      <c r="U48" s="13">
        <f>('TUSD BE'!$V$48+'TUSD BF'!$V$48+'TUSD CVA'!$V$48)*(1 - CUSTOS!$M$40)</f>
        <v>0</v>
      </c>
      <c r="V48" s="13">
        <f>('TUSD BE'!$W$48+'TUSD BF'!$W$48+'TUSD CVA'!$W$48)*(1 - CUSTOS!$M$40)</f>
        <v>0</v>
      </c>
      <c r="W48" s="13">
        <f>('TUSD BE'!$X$48+'TUSD BF'!$X$48+'TUSD CVA'!$X$48)*(1 - CUSTOS!$M$40)</f>
        <v>0</v>
      </c>
      <c r="X48" s="13">
        <f>('TUSD BE'!$Y$48+'TUSD BF'!$Y$48+'TUSD CVA'!$Y$48)*(1 - CUSTOS!$M$40)</f>
        <v>93.694695921185001</v>
      </c>
      <c r="Y48" s="13">
        <f>('TUSD BE'!$Z$48+'TUSD BF'!$Z$48+'TUSD CVA'!$Z$48)*(1 - CUSTOS!$M$40)</f>
        <v>0</v>
      </c>
      <c r="Z48" s="13">
        <f>('TUSD BE'!$AA$48+'TUSD BF'!$AA$48+'TUSD CVA'!$AA$48)*(1 - CUSTOS!$M$40)</f>
        <v>0</v>
      </c>
      <c r="AA48" s="13">
        <f>('TUSD BE'!$AC$48+'TUSD BF'!$AC$48+'TUSD CVA'!$AC$48)*(1 - CUSTOS!$M$40)</f>
        <v>184.24715105499294</v>
      </c>
      <c r="AB48" s="13">
        <f ca="1">('TUSD BE'!$AE$48+'TUSD BF'!$AE$48+'TUSD CVA'!$AE$48)*(1 - CUSTOS!$M$40)</f>
        <v>-16.122682135998275</v>
      </c>
      <c r="AC48" s="13">
        <f ca="1">('TUSD BE'!$AF$48+'TUSD BF'!$AF$48+'TUSD CVA'!$AF$48)*(1 - CUSTOS!$M$40)</f>
        <v>0</v>
      </c>
      <c r="AD48" s="13">
        <f>('TUSD BE'!$AH$48+'TUSD BF'!$AH$48+'TUSD CVA'!$AH$48)*(1 - CUSTOS!$M$40)</f>
        <v>20.504446795041588</v>
      </c>
      <c r="AE48" s="13">
        <f>('TUSD BE'!$AI$48+'TUSD BF'!$AI$48+'TUSD CVA'!$AI$48)*(1 - CUSTOS!$M$40)</f>
        <v>0</v>
      </c>
      <c r="AF48" s="13">
        <f ca="1">('TUSD BE'!$AJ$48+'TUSD BF'!$AJ$48+'TUSD CVA'!$AJ$48)*(1 - CUSTOS!$M$40)</f>
        <v>1.2027278426826067</v>
      </c>
      <c r="AG48" s="13">
        <f ca="1">('TUSD BE'!$AK$48+'TUSD BF'!$AK$48+'TUSD CVA'!$AK$48)*(1 - CUSTOS!$M$40)</f>
        <v>0.18136241981404114</v>
      </c>
      <c r="AI48" s="13">
        <v>1.92585758680122</v>
      </c>
      <c r="AJ48" s="13">
        <v>0.63351239205837095</v>
      </c>
      <c r="AK48" s="13">
        <v>3.8120841400393801</v>
      </c>
      <c r="AL48" s="13">
        <v>0</v>
      </c>
      <c r="AM48" s="13">
        <v>0</v>
      </c>
      <c r="AN48" s="13">
        <v>51.413488953301098</v>
      </c>
      <c r="AO48" s="13">
        <v>7.8723117580477702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60.978121035117297</v>
      </c>
      <c r="AV48" s="13">
        <v>0</v>
      </c>
      <c r="AW48" s="13">
        <v>0</v>
      </c>
      <c r="AX48" s="13">
        <v>145.25005363816501</v>
      </c>
      <c r="AY48" s="13">
        <v>-4.4590230826709902</v>
      </c>
      <c r="AZ48" s="13">
        <v>0</v>
      </c>
      <c r="BA48" s="13">
        <v>19.527669453462199</v>
      </c>
      <c r="BB48" s="13">
        <v>0</v>
      </c>
      <c r="BC48" s="13">
        <v>1.1502068995238099</v>
      </c>
      <c r="BD48" s="13">
        <v>0.15792135756085199</v>
      </c>
    </row>
    <row r="49" spans="1:56" ht="11.25" customHeight="1" x14ac:dyDescent="0.3">
      <c r="A49" s="146" t="s">
        <v>32</v>
      </c>
      <c r="B49" s="146" t="s">
        <v>38</v>
      </c>
      <c r="C49" s="146" t="s">
        <v>25</v>
      </c>
      <c r="D49" s="146" t="s">
        <v>25</v>
      </c>
      <c r="E49" s="146" t="s">
        <v>25</v>
      </c>
      <c r="F49" s="146" t="s">
        <v>25</v>
      </c>
      <c r="G49" s="24" t="s">
        <v>79</v>
      </c>
      <c r="H49" s="24" t="s">
        <v>78</v>
      </c>
      <c r="I49" s="24">
        <f>'MERCADO TUSD'!$U$46</f>
        <v>4.4679999999999991</v>
      </c>
      <c r="J49" s="15"/>
      <c r="L49" s="13">
        <f>('TUSD BE'!$L$49+'TUSD BF'!$L$49+'TUSD CVA'!$L$49)*1</f>
        <v>2.8345977440733967</v>
      </c>
      <c r="M49" s="13">
        <f>('TUSD BE'!$M$49+'TUSD BF'!$M$49+'TUSD CVA'!$M$49)*1</f>
        <v>0.91979763130923176</v>
      </c>
      <c r="N49" s="13">
        <f ca="1">('TUSD BE'!$N$49+'TUSD BF'!$N$49+'TUSD CVA'!$N$49)*1</f>
        <v>36.124562278968227</v>
      </c>
      <c r="O49" s="13">
        <f>('TUSD BE'!$O$49+'TUSD BF'!$O$49+'TUSD CVA'!$O$49)*1</f>
        <v>0</v>
      </c>
      <c r="P49" s="13">
        <f>('TUSD BE'!$P$49+'TUSD BF'!$P$49+'TUSD CVA'!$P$49)*1</f>
        <v>0</v>
      </c>
      <c r="Q49" s="13">
        <f>('TUSD BE'!$Q$49+'TUSD BF'!$Q$49+'TUSD CVA'!$Q$49)*1</f>
        <v>133.5497199323662</v>
      </c>
      <c r="R49" s="13">
        <f>('TUSD BE'!$R$49+'TUSD BF'!$R$49+'TUSD CVA'!$R$49)*1</f>
        <v>20.280631063481596</v>
      </c>
      <c r="S49" s="13">
        <f>('TUSD BE'!$S$49+'TUSD BF'!$S$49+'TUSD CVA'!$S$49)*1</f>
        <v>0</v>
      </c>
      <c r="T49" s="13">
        <f>('TUSD BE'!$U$49+'TUSD BF'!$U$49+'TUSD CVA'!$U$49)*1</f>
        <v>0</v>
      </c>
      <c r="U49" s="13">
        <f>('TUSD BE'!$V$49+'TUSD BF'!$V$49+'TUSD CVA'!$V$49)*1</f>
        <v>0</v>
      </c>
      <c r="V49" s="13">
        <f>('TUSD BE'!$W$49+'TUSD BF'!$W$49+'TUSD CVA'!$W$49)*1</f>
        <v>0</v>
      </c>
      <c r="W49" s="13">
        <f>('TUSD BE'!$X$49+'TUSD BF'!$X$49+'TUSD CVA'!$X$49)*1</f>
        <v>0</v>
      </c>
      <c r="X49" s="13">
        <f>('TUSD BE'!$Y$49+'TUSD BF'!$Y$49+'TUSD CVA'!$Y$49)*1</f>
        <v>750.41305366482538</v>
      </c>
      <c r="Y49" s="13">
        <f>('TUSD BE'!$Z$49+'TUSD BF'!$Z$49+'TUSD CVA'!$Z$49)*1</f>
        <v>0</v>
      </c>
      <c r="Z49" s="13">
        <f>('TUSD BE'!$AA$49+'TUSD BF'!$AA$49+'TUSD CVA'!$AA$49)*1</f>
        <v>0</v>
      </c>
      <c r="AA49" s="13">
        <f>('TUSD BE'!$AC$49+'TUSD BF'!$AC$49+'TUSD CVA'!$AC$49)*1</f>
        <v>1475.6596456364325</v>
      </c>
      <c r="AB49" s="13">
        <f ca="1">('TUSD BE'!$AE$49+'TUSD BF'!$AE$49+'TUSD CVA'!$AE$49)*1</f>
        <v>-92.512666499300352</v>
      </c>
      <c r="AC49" s="13">
        <f ca="1">('TUSD BE'!$AF$49+'TUSD BF'!$AF$49+'TUSD CVA'!$AF$49)*1</f>
        <v>0</v>
      </c>
      <c r="AD49" s="13">
        <f>('TUSD BE'!$AH$49+'TUSD BF'!$AH$49+'TUSD CVA'!$AH$49)*1</f>
        <v>22.287442168523466</v>
      </c>
      <c r="AE49" s="13">
        <f>('TUSD BE'!$AI$49+'TUSD BF'!$AI$49+'TUSD CVA'!$AI$49)*1</f>
        <v>0</v>
      </c>
      <c r="AF49" s="13">
        <f ca="1">('TUSD BE'!$AJ$49+'TUSD BF'!$AJ$49+'TUSD CVA'!$AJ$49)*1</f>
        <v>1.3073128724810941</v>
      </c>
      <c r="AG49" s="13">
        <f ca="1">('TUSD BE'!$AK$49+'TUSD BF'!$AK$49+'TUSD CVA'!$AK$49)*1</f>
        <v>0.19713306501526209</v>
      </c>
      <c r="AI49" s="13">
        <v>2.29268760333479</v>
      </c>
      <c r="AJ49" s="13">
        <v>0.75418141911710901</v>
      </c>
      <c r="AK49" s="13">
        <v>28.161305044091002</v>
      </c>
      <c r="AL49" s="13">
        <v>0</v>
      </c>
      <c r="AM49" s="13">
        <v>0</v>
      </c>
      <c r="AN49" s="13">
        <v>61.206534468215601</v>
      </c>
      <c r="AO49" s="13">
        <v>9.3717997119616303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534.89427953548602</v>
      </c>
      <c r="AV49" s="13">
        <v>0</v>
      </c>
      <c r="AW49" s="13">
        <v>0</v>
      </c>
      <c r="AX49" s="13">
        <v>1274.11979310981</v>
      </c>
      <c r="AY49" s="13">
        <v>-30.057214497876799</v>
      </c>
      <c r="AZ49" s="13">
        <v>0</v>
      </c>
      <c r="BA49" s="13">
        <v>23.247225539835998</v>
      </c>
      <c r="BB49" s="13">
        <v>0</v>
      </c>
      <c r="BC49" s="13">
        <v>1.36929392800453</v>
      </c>
      <c r="BD49" s="13">
        <v>0.18800161614387101</v>
      </c>
    </row>
    <row r="50" spans="1:56" ht="11.25" customHeight="1" x14ac:dyDescent="0.3">
      <c r="A50" s="146"/>
      <c r="B50" s="146"/>
      <c r="C50" s="146"/>
      <c r="D50" s="146"/>
      <c r="E50" s="146"/>
      <c r="F50" s="146"/>
      <c r="G50" s="24" t="s">
        <v>89</v>
      </c>
      <c r="H50" s="24" t="s">
        <v>78</v>
      </c>
      <c r="I50" s="24">
        <f>'MERCADO TUSD'!$U$47</f>
        <v>4.7860000000000005</v>
      </c>
      <c r="J50" s="15"/>
      <c r="L50" s="13">
        <f>('TUSD BE'!$L$50+'TUSD BF'!$L$50+'TUSD CVA'!$L$50)*1</f>
        <v>2.8345977440733967</v>
      </c>
      <c r="M50" s="13">
        <f>('TUSD BE'!$M$50+'TUSD BF'!$M$50+'TUSD CVA'!$M$50)*1</f>
        <v>0.91979763130923176</v>
      </c>
      <c r="N50" s="13">
        <f ca="1">('TUSD BE'!$N$50+'TUSD BF'!$N$50+'TUSD CVA'!$N$50)*1</f>
        <v>9.6959143273250827</v>
      </c>
      <c r="O50" s="13">
        <f>('TUSD BE'!$O$50+'TUSD BF'!$O$50+'TUSD CVA'!$O$50)*1</f>
        <v>0</v>
      </c>
      <c r="P50" s="13">
        <f>('TUSD BE'!$P$50+'TUSD BF'!$P$50+'TUSD CVA'!$P$50)*1</f>
        <v>0</v>
      </c>
      <c r="Q50" s="13">
        <f>('TUSD BE'!$Q$50+'TUSD BF'!$Q$50+'TUSD CVA'!$Q$50)*1</f>
        <v>133.5497199323662</v>
      </c>
      <c r="R50" s="13">
        <f>('TUSD BE'!$R$50+'TUSD BF'!$R$50+'TUSD CVA'!$R$50)*1</f>
        <v>20.280631063481596</v>
      </c>
      <c r="S50" s="13">
        <f>('TUSD BE'!$S$50+'TUSD BF'!$S$50+'TUSD CVA'!$S$50)*1</f>
        <v>0</v>
      </c>
      <c r="T50" s="13">
        <f>('TUSD BE'!$U$50+'TUSD BF'!$U$50+'TUSD CVA'!$U$50)*1</f>
        <v>0</v>
      </c>
      <c r="U50" s="13">
        <f>('TUSD BE'!$V$50+'TUSD BF'!$V$50+'TUSD CVA'!$V$50)*1</f>
        <v>0</v>
      </c>
      <c r="V50" s="13">
        <f>('TUSD BE'!$W$50+'TUSD BF'!$W$50+'TUSD CVA'!$W$50)*1</f>
        <v>0</v>
      </c>
      <c r="W50" s="13">
        <f>('TUSD BE'!$X$50+'TUSD BF'!$X$50+'TUSD CVA'!$X$50)*1</f>
        <v>0</v>
      </c>
      <c r="X50" s="13">
        <f>('TUSD BE'!$Y$50+'TUSD BF'!$Y$50+'TUSD CVA'!$Y$50)*1</f>
        <v>184.8230586153079</v>
      </c>
      <c r="Y50" s="13">
        <f>('TUSD BE'!$Z$50+'TUSD BF'!$Z$50+'TUSD CVA'!$Z$50)*1</f>
        <v>0</v>
      </c>
      <c r="Z50" s="13">
        <f>('TUSD BE'!$AA$50+'TUSD BF'!$AA$50+'TUSD CVA'!$AA$50)*1</f>
        <v>0</v>
      </c>
      <c r="AA50" s="13">
        <f>('TUSD BE'!$AC$50+'TUSD BF'!$AC$50+'TUSD CVA'!$AC$50)*1</f>
        <v>363.4475194742007</v>
      </c>
      <c r="AB50" s="13">
        <f ca="1">('TUSD BE'!$AE$50+'TUSD BF'!$AE$50+'TUSD CVA'!$AE$50)*1</f>
        <v>-27.118939254086747</v>
      </c>
      <c r="AC50" s="13">
        <f ca="1">('TUSD BE'!$AF$50+'TUSD BF'!$AF$50+'TUSD CVA'!$AF$50)*1</f>
        <v>0</v>
      </c>
      <c r="AD50" s="13">
        <f>('TUSD BE'!$AH$50+'TUSD BF'!$AH$50+'TUSD CVA'!$AH$50)*1</f>
        <v>22.287442168523466</v>
      </c>
      <c r="AE50" s="13">
        <f>('TUSD BE'!$AI$50+'TUSD BF'!$AI$50+'TUSD CVA'!$AI$50)*1</f>
        <v>0</v>
      </c>
      <c r="AF50" s="13">
        <f ca="1">('TUSD BE'!$AJ$50+'TUSD BF'!$AJ$50+'TUSD CVA'!$AJ$50)*1</f>
        <v>1.3073128724810941</v>
      </c>
      <c r="AG50" s="13">
        <f ca="1">('TUSD BE'!$AK$50+'TUSD BF'!$AK$50+'TUSD CVA'!$AK$50)*1</f>
        <v>0.19713306501526209</v>
      </c>
      <c r="AI50" s="13">
        <v>2.29268760333479</v>
      </c>
      <c r="AJ50" s="13">
        <v>0.75418141911710901</v>
      </c>
      <c r="AK50" s="13">
        <v>7.5606361050588404</v>
      </c>
      <c r="AL50" s="13">
        <v>0</v>
      </c>
      <c r="AM50" s="13">
        <v>0</v>
      </c>
      <c r="AN50" s="13">
        <v>61.206534468215601</v>
      </c>
      <c r="AO50" s="13">
        <v>9.3717997119616303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131.74184043943399</v>
      </c>
      <c r="AV50" s="13">
        <v>0</v>
      </c>
      <c r="AW50" s="13">
        <v>0</v>
      </c>
      <c r="AX50" s="13">
        <v>313.80927145908601</v>
      </c>
      <c r="AY50" s="13">
        <v>-8.4748341436756895</v>
      </c>
      <c r="AZ50" s="13">
        <v>0</v>
      </c>
      <c r="BA50" s="13">
        <v>23.247225539835998</v>
      </c>
      <c r="BB50" s="13">
        <v>0</v>
      </c>
      <c r="BC50" s="13">
        <v>1.36929392800453</v>
      </c>
      <c r="BD50" s="13">
        <v>0.18800161614387101</v>
      </c>
    </row>
    <row r="51" spans="1:56" ht="11.25" customHeight="1" x14ac:dyDescent="0.3">
      <c r="A51" s="146"/>
      <c r="B51" s="146"/>
      <c r="C51" s="146"/>
      <c r="D51" s="146"/>
      <c r="E51" s="146"/>
      <c r="F51" s="146"/>
      <c r="G51" s="24" t="s">
        <v>80</v>
      </c>
      <c r="H51" s="24" t="s">
        <v>78</v>
      </c>
      <c r="I51" s="24">
        <f>'MERCADO TUSD'!$U$48</f>
        <v>153.63399999999999</v>
      </c>
      <c r="J51" s="15"/>
      <c r="L51" s="13">
        <f>('TUSD BE'!$L$51+'TUSD BF'!$L$51+'TUSD CVA'!$L$51)*1</f>
        <v>2.8345977440733967</v>
      </c>
      <c r="M51" s="13">
        <f>('TUSD BE'!$M$51+'TUSD BF'!$M$51+'TUSD CVA'!$M$51)*1</f>
        <v>0.91979763130923176</v>
      </c>
      <c r="N51" s="13">
        <f ca="1">('TUSD BE'!$N$51+'TUSD BF'!$N$51+'TUSD CVA'!$N$51)*1</f>
        <v>3.5341805983760928</v>
      </c>
      <c r="O51" s="13">
        <f>('TUSD BE'!$O$51+'TUSD BF'!$O$51+'TUSD CVA'!$O$51)*1</f>
        <v>0</v>
      </c>
      <c r="P51" s="13">
        <f>('TUSD BE'!$P$51+'TUSD BF'!$P$51+'TUSD CVA'!$P$51)*1</f>
        <v>0</v>
      </c>
      <c r="Q51" s="13">
        <f>('TUSD BE'!$Q$51+'TUSD BF'!$Q$51+'TUSD CVA'!$Q$51)*1</f>
        <v>133.5497199323662</v>
      </c>
      <c r="R51" s="13">
        <f>('TUSD BE'!$R$51+'TUSD BF'!$R$51+'TUSD CVA'!$R$51)*1</f>
        <v>20.280631063481596</v>
      </c>
      <c r="S51" s="13">
        <f>('TUSD BE'!$S$51+'TUSD BF'!$S$51+'TUSD CVA'!$S$51)*1</f>
        <v>0</v>
      </c>
      <c r="T51" s="13">
        <f>('TUSD BE'!$U$51+'TUSD BF'!$U$51+'TUSD CVA'!$U$51)*1</f>
        <v>0</v>
      </c>
      <c r="U51" s="13">
        <f>('TUSD BE'!$V$51+'TUSD BF'!$V$51+'TUSD CVA'!$V$51)*1</f>
        <v>0</v>
      </c>
      <c r="V51" s="13">
        <f>('TUSD BE'!$W$51+'TUSD BF'!$W$51+'TUSD CVA'!$W$51)*1</f>
        <v>0</v>
      </c>
      <c r="W51" s="13">
        <f>('TUSD BE'!$X$51+'TUSD BF'!$X$51+'TUSD CVA'!$X$51)*1</f>
        <v>0</v>
      </c>
      <c r="X51" s="13">
        <f>('TUSD BE'!$Y$51+'TUSD BF'!$Y$51+'TUSD CVA'!$Y$51)*1</f>
        <v>52.957927456059224</v>
      </c>
      <c r="Y51" s="13">
        <f>('TUSD BE'!$Z$51+'TUSD BF'!$Z$51+'TUSD CVA'!$Z$51)*1</f>
        <v>0</v>
      </c>
      <c r="Z51" s="13">
        <f>('TUSD BE'!$AA$51+'TUSD BF'!$AA$51+'TUSD CVA'!$AA$51)*1</f>
        <v>0</v>
      </c>
      <c r="AA51" s="13">
        <f>('TUSD BE'!$AC$51+'TUSD BF'!$AC$51+'TUSD CVA'!$AC$51)*1</f>
        <v>104.13975630440611</v>
      </c>
      <c r="AB51" s="13">
        <f ca="1">('TUSD BE'!$AE$51+'TUSD BF'!$AE$51+'TUSD CVA'!$AE$51)*1</f>
        <v>-11.872651941958067</v>
      </c>
      <c r="AC51" s="13">
        <f ca="1">('TUSD BE'!$AF$51+'TUSD BF'!$AF$51+'TUSD CVA'!$AF$51)*1</f>
        <v>0</v>
      </c>
      <c r="AD51" s="13">
        <f>('TUSD BE'!$AH$51+'TUSD BF'!$AH$51+'TUSD CVA'!$AH$51)*1</f>
        <v>22.287442168523466</v>
      </c>
      <c r="AE51" s="13">
        <f>('TUSD BE'!$AI$51+'TUSD BF'!$AI$51+'TUSD CVA'!$AI$51)*1</f>
        <v>0</v>
      </c>
      <c r="AF51" s="13">
        <f ca="1">('TUSD BE'!$AJ$51+'TUSD BF'!$AJ$51+'TUSD CVA'!$AJ$51)*1</f>
        <v>1.3073128724810941</v>
      </c>
      <c r="AG51" s="13">
        <f ca="1">('TUSD BE'!$AK$51+'TUSD BF'!$AK$51+'TUSD CVA'!$AK$51)*1</f>
        <v>0.19713306501526209</v>
      </c>
      <c r="AI51" s="13">
        <v>2.29268760333479</v>
      </c>
      <c r="AJ51" s="13">
        <v>0.75418141911710901</v>
      </c>
      <c r="AK51" s="13">
        <v>2.75767240926923</v>
      </c>
      <c r="AL51" s="13">
        <v>0</v>
      </c>
      <c r="AM51" s="13">
        <v>0</v>
      </c>
      <c r="AN51" s="13">
        <v>61.206534468215601</v>
      </c>
      <c r="AO51" s="13">
        <v>9.3717997119616303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37.748400449539098</v>
      </c>
      <c r="AV51" s="13">
        <v>0</v>
      </c>
      <c r="AW51" s="13">
        <v>0</v>
      </c>
      <c r="AX51" s="13">
        <v>89.916753601979806</v>
      </c>
      <c r="AY51" s="13">
        <v>-3.4429881727398199</v>
      </c>
      <c r="AZ51" s="13">
        <v>0</v>
      </c>
      <c r="BA51" s="13">
        <v>23.247225539835998</v>
      </c>
      <c r="BB51" s="13">
        <v>0</v>
      </c>
      <c r="BC51" s="13">
        <v>1.36929392800453</v>
      </c>
      <c r="BD51" s="13">
        <v>0.18800161614387101</v>
      </c>
    </row>
    <row r="52" spans="1:56" ht="11.25" customHeight="1" x14ac:dyDescent="0.3">
      <c r="A52" s="146"/>
      <c r="B52" s="23" t="s">
        <v>23</v>
      </c>
      <c r="C52" s="23" t="s">
        <v>25</v>
      </c>
      <c r="D52" s="23" t="s">
        <v>25</v>
      </c>
      <c r="E52" s="23" t="s">
        <v>25</v>
      </c>
      <c r="F52" s="23" t="s">
        <v>25</v>
      </c>
      <c r="G52" s="24" t="s">
        <v>84</v>
      </c>
      <c r="H52" s="24" t="s">
        <v>78</v>
      </c>
      <c r="I52" s="24">
        <f>'MERCADO TUSD'!$U$49</f>
        <v>6434.8159999999998</v>
      </c>
      <c r="J52" s="15"/>
      <c r="L52" s="13">
        <f>('TUSD BE'!$L$52+'TUSD BF'!$L$52+'TUSD CVA'!$L$52)*1</f>
        <v>2.8345977440733967</v>
      </c>
      <c r="M52" s="13">
        <f>('TUSD BE'!$M$52+'TUSD BF'!$M$52+'TUSD CVA'!$M$52)*1</f>
        <v>0.91979763130923176</v>
      </c>
      <c r="N52" s="13">
        <f ca="1">('TUSD BE'!$N$52+'TUSD BF'!$N$52+'TUSD CVA'!$N$52)*1</f>
        <v>5.8184178509713727</v>
      </c>
      <c r="O52" s="13">
        <f>('TUSD BE'!$O$52+'TUSD BF'!$O$52+'TUSD CVA'!$O$52)*1</f>
        <v>0</v>
      </c>
      <c r="P52" s="13">
        <f>('TUSD BE'!$P$52+'TUSD BF'!$P$52+'TUSD CVA'!$P$52)*1</f>
        <v>0</v>
      </c>
      <c r="Q52" s="13">
        <f>('TUSD BE'!$Q$52+'TUSD BF'!$Q$52+'TUSD CVA'!$Q$52)*1</f>
        <v>133.5497199323662</v>
      </c>
      <c r="R52" s="13">
        <f>('TUSD BE'!$R$52+'TUSD BF'!$R$52+'TUSD CVA'!$R$52)*1</f>
        <v>20.280631063481596</v>
      </c>
      <c r="S52" s="13">
        <f>('TUSD BE'!$S$52+'TUSD BF'!$S$52+'TUSD CVA'!$S$52)*1</f>
        <v>0</v>
      </c>
      <c r="T52" s="13">
        <f>('TUSD BE'!$U$52+'TUSD BF'!$U$52+'TUSD CVA'!$U$52)*1</f>
        <v>0</v>
      </c>
      <c r="U52" s="13">
        <f>('TUSD BE'!$V$52+'TUSD BF'!$V$52+'TUSD CVA'!$V$52)*1</f>
        <v>0</v>
      </c>
      <c r="V52" s="13">
        <f>('TUSD BE'!$W$52+'TUSD BF'!$W$52+'TUSD CVA'!$W$52)*1</f>
        <v>0</v>
      </c>
      <c r="W52" s="13">
        <f>('TUSD BE'!$X$52+'TUSD BF'!$X$52+'TUSD CVA'!$X$52)*1</f>
        <v>0</v>
      </c>
      <c r="X52" s="13">
        <f>('TUSD BE'!$Y$52+'TUSD BF'!$Y$52+'TUSD CVA'!$Y$52)*1</f>
        <v>101.84206078389674</v>
      </c>
      <c r="Y52" s="13">
        <f>('TUSD BE'!$Z$52+'TUSD BF'!$Z$52+'TUSD CVA'!$Z$52)*1</f>
        <v>0</v>
      </c>
      <c r="Z52" s="13">
        <f>('TUSD BE'!$AA$52+'TUSD BF'!$AA$52+'TUSD CVA'!$AA$52)*1</f>
        <v>0</v>
      </c>
      <c r="AA52" s="13">
        <f>('TUSD BE'!$AC$52+'TUSD BF'!$AC$52+'TUSD CVA'!$AC$52)*1</f>
        <v>200.26864245107927</v>
      </c>
      <c r="AB52" s="13">
        <f ca="1">('TUSD BE'!$AE$52+'TUSD BF'!$AE$52+'TUSD CVA'!$AE$52)*1</f>
        <v>-17.524654495650299</v>
      </c>
      <c r="AC52" s="13">
        <f ca="1">('TUSD BE'!$AF$52+'TUSD BF'!$AF$52+'TUSD CVA'!$AF$52)*1</f>
        <v>0</v>
      </c>
      <c r="AD52" s="13">
        <f>('TUSD BE'!$AH$52+'TUSD BF'!$AH$52+'TUSD CVA'!$AH$52)*1</f>
        <v>22.287442168523466</v>
      </c>
      <c r="AE52" s="13">
        <f>('TUSD BE'!$AI$52+'TUSD BF'!$AI$52+'TUSD CVA'!$AI$52)*1</f>
        <v>0</v>
      </c>
      <c r="AF52" s="13">
        <f ca="1">('TUSD BE'!$AJ$52+'TUSD BF'!$AJ$52+'TUSD CVA'!$AJ$52)*1</f>
        <v>1.3073128724810941</v>
      </c>
      <c r="AG52" s="13">
        <f ca="1">('TUSD BE'!$AK$52+'TUSD BF'!$AK$52+'TUSD CVA'!$AK$52)*1</f>
        <v>0.19713306501526209</v>
      </c>
      <c r="AI52" s="13">
        <v>2.29268760333479</v>
      </c>
      <c r="AJ52" s="13">
        <v>0.75418141911710901</v>
      </c>
      <c r="AK52" s="13">
        <v>4.5381954048087803</v>
      </c>
      <c r="AL52" s="13">
        <v>0</v>
      </c>
      <c r="AM52" s="13">
        <v>0</v>
      </c>
      <c r="AN52" s="13">
        <v>61.206534468215601</v>
      </c>
      <c r="AO52" s="13">
        <v>9.3717997119616303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72.593001232282603</v>
      </c>
      <c r="AV52" s="13">
        <v>0</v>
      </c>
      <c r="AW52" s="13">
        <v>0</v>
      </c>
      <c r="AX52" s="13">
        <v>172.916730521625</v>
      </c>
      <c r="AY52" s="13">
        <v>-5.30836081270356</v>
      </c>
      <c r="AZ52" s="13">
        <v>0</v>
      </c>
      <c r="BA52" s="13">
        <v>23.247225539835998</v>
      </c>
      <c r="BB52" s="13">
        <v>0</v>
      </c>
      <c r="BC52" s="13">
        <v>1.36929392800453</v>
      </c>
      <c r="BD52" s="13">
        <v>0.18800161614387101</v>
      </c>
    </row>
    <row r="53" spans="1:56" ht="11.25" customHeight="1" x14ac:dyDescent="0.3">
      <c r="A53" s="146"/>
      <c r="B53" s="23" t="s">
        <v>92</v>
      </c>
      <c r="C53" s="23" t="s">
        <v>25</v>
      </c>
      <c r="D53" s="23" t="s">
        <v>25</v>
      </c>
      <c r="E53" s="23" t="s">
        <v>25</v>
      </c>
      <c r="F53" s="23" t="s">
        <v>25</v>
      </c>
      <c r="G53" s="24" t="s">
        <v>84</v>
      </c>
      <c r="H53" s="24" t="s">
        <v>78</v>
      </c>
      <c r="I53" s="24">
        <f>'MERCADO TUSD'!$U$50</f>
        <v>0</v>
      </c>
      <c r="J53" s="15"/>
      <c r="L53" s="13">
        <f>('TUSD BE'!$L$53+'TUSD BF'!$L$53+'TUSD CVA'!$L$53)*1</f>
        <v>2.8345977440733967</v>
      </c>
      <c r="M53" s="13">
        <f>('TUSD BE'!$M$53+'TUSD BF'!$M$53+'TUSD CVA'!$M$53)*1</f>
        <v>0.91979763130923176</v>
      </c>
      <c r="N53" s="13">
        <f ca="1">('TUSD BE'!$N$53+'TUSD BF'!$N$53+'TUSD CVA'!$N$53)*1</f>
        <v>5.8184178509713727</v>
      </c>
      <c r="O53" s="13">
        <f>('TUSD BE'!$O$53+'TUSD BF'!$O$53+'TUSD CVA'!$O$53)*1</f>
        <v>0</v>
      </c>
      <c r="P53" s="13">
        <f>('TUSD BE'!$P$53+'TUSD BF'!$P$53+'TUSD CVA'!$P$53)*1</f>
        <v>0</v>
      </c>
      <c r="Q53" s="13">
        <f>('TUSD BE'!$Q$53+'TUSD BF'!$Q$53+'TUSD CVA'!$Q$53)*1</f>
        <v>133.5497199323662</v>
      </c>
      <c r="R53" s="13">
        <f>('TUSD BE'!$R$53+'TUSD BF'!$R$53+'TUSD CVA'!$R$53)*1</f>
        <v>20.280631063481596</v>
      </c>
      <c r="S53" s="13">
        <f>('TUSD BE'!$S$53+'TUSD BF'!$S$53+'TUSD CVA'!$S$53)*1</f>
        <v>0</v>
      </c>
      <c r="T53" s="13">
        <f>('TUSD BE'!$U$53+'TUSD BF'!$U$53+'TUSD CVA'!$U$53)*1</f>
        <v>0</v>
      </c>
      <c r="U53" s="13">
        <f>('TUSD BE'!$V$53+'TUSD BF'!$V$53+'TUSD CVA'!$V$53)*1</f>
        <v>0</v>
      </c>
      <c r="V53" s="13">
        <f>('TUSD BE'!$W$53+'TUSD BF'!$W$53+'TUSD CVA'!$W$53)*1</f>
        <v>0</v>
      </c>
      <c r="W53" s="13">
        <f>('TUSD BE'!$X$53+'TUSD BF'!$X$53+'TUSD CVA'!$X$53)*1</f>
        <v>0</v>
      </c>
      <c r="X53" s="13">
        <f>('TUSD BE'!$Y$53+'TUSD BF'!$Y$53+'TUSD CVA'!$Y$53)*1</f>
        <v>101.84206078389674</v>
      </c>
      <c r="Y53" s="13">
        <f>('TUSD BE'!$Z$53+'TUSD BF'!$Z$53+'TUSD CVA'!$Z$53)*1</f>
        <v>0</v>
      </c>
      <c r="Z53" s="13">
        <f>('TUSD BE'!$AA$53+'TUSD BF'!$AA$53+'TUSD CVA'!$AA$53)*1</f>
        <v>0</v>
      </c>
      <c r="AA53" s="13">
        <f>('TUSD BE'!$AC$53+'TUSD BF'!$AC$53+'TUSD CVA'!$AC$53)*1</f>
        <v>200.26864245107927</v>
      </c>
      <c r="AB53" s="13">
        <f ca="1">('TUSD BE'!$AE$53+'TUSD BF'!$AE$53+'TUSD CVA'!$AE$53)*1</f>
        <v>-17.524654495650299</v>
      </c>
      <c r="AC53" s="13">
        <f ca="1">('TUSD BE'!$AF$53+'TUSD BF'!$AF$53+'TUSD CVA'!$AF$53)*1</f>
        <v>0</v>
      </c>
      <c r="AD53" s="13">
        <f>('TUSD BE'!$AH$53+'TUSD BF'!$AH$53+'TUSD CVA'!$AH$53)*1</f>
        <v>22.287442168523466</v>
      </c>
      <c r="AE53" s="13">
        <f>('TUSD BE'!$AI$53+'TUSD BF'!$AI$53+'TUSD CVA'!$AI$53)*1</f>
        <v>0</v>
      </c>
      <c r="AF53" s="13">
        <f ca="1">('TUSD BE'!$AJ$53+'TUSD BF'!$AJ$53+'TUSD CVA'!$AJ$53)*1</f>
        <v>1.3073128724810941</v>
      </c>
      <c r="AG53" s="13">
        <f ca="1">('TUSD BE'!$AK$53+'TUSD BF'!$AK$53+'TUSD CVA'!$AK$53)*1</f>
        <v>0.19713306501526209</v>
      </c>
      <c r="AI53" s="13">
        <v>2.29268760333479</v>
      </c>
      <c r="AJ53" s="13">
        <v>0.75418141911710901</v>
      </c>
      <c r="AK53" s="13">
        <v>4.5381954048087803</v>
      </c>
      <c r="AL53" s="13">
        <v>0</v>
      </c>
      <c r="AM53" s="13">
        <v>0</v>
      </c>
      <c r="AN53" s="13">
        <v>61.206534468215601</v>
      </c>
      <c r="AO53" s="13">
        <v>9.3717997119616303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72.593001232282603</v>
      </c>
      <c r="AV53" s="13">
        <v>0</v>
      </c>
      <c r="AW53" s="13">
        <v>0</v>
      </c>
      <c r="AX53" s="13">
        <v>172.916730521625</v>
      </c>
      <c r="AY53" s="13">
        <v>-5.30836081270356</v>
      </c>
      <c r="AZ53" s="13">
        <v>0</v>
      </c>
      <c r="BA53" s="13">
        <v>23.247225539835998</v>
      </c>
      <c r="BB53" s="13">
        <v>0</v>
      </c>
      <c r="BC53" s="13">
        <v>1.36929392800453</v>
      </c>
      <c r="BD53" s="13">
        <v>0.18800161614387101</v>
      </c>
    </row>
    <row r="54" spans="1:56" ht="11.25" customHeight="1" x14ac:dyDescent="0.3">
      <c r="A54" s="146" t="s">
        <v>44</v>
      </c>
      <c r="B54" s="146" t="s">
        <v>23</v>
      </c>
      <c r="C54" s="146" t="s">
        <v>45</v>
      </c>
      <c r="D54" s="23" t="s">
        <v>46</v>
      </c>
      <c r="E54" s="23" t="s">
        <v>25</v>
      </c>
      <c r="F54" s="23" t="s">
        <v>25</v>
      </c>
      <c r="G54" s="24" t="s">
        <v>84</v>
      </c>
      <c r="H54" s="24" t="s">
        <v>78</v>
      </c>
      <c r="I54" s="24">
        <f>'MERCADO TUSD'!$U$51</f>
        <v>2415.7070000000003</v>
      </c>
      <c r="J54" s="15"/>
      <c r="L54" s="13">
        <f>('TUSD BE'!$L$54+'TUSD BF'!$L$54+'TUSD CVA'!$L$54)*1</f>
        <v>1.5590287592403682</v>
      </c>
      <c r="M54" s="13">
        <f>('TUSD BE'!$M$54+'TUSD BF'!$M$54+'TUSD CVA'!$M$54)*1</f>
        <v>0.50588869722007745</v>
      </c>
      <c r="N54" s="13">
        <f ca="1">('TUSD BE'!$N$54+'TUSD BF'!$N$54+'TUSD CVA'!$N$54)*1</f>
        <v>3.200129818034255</v>
      </c>
      <c r="O54" s="13">
        <f>('TUSD BE'!$O$54+'TUSD BF'!$O$54+'TUSD CVA'!$O$54)*1</f>
        <v>0</v>
      </c>
      <c r="P54" s="13">
        <f>('TUSD BE'!$P$54+'TUSD BF'!$P$54+'TUSD CVA'!$P$54)*1</f>
        <v>0</v>
      </c>
      <c r="Q54" s="13">
        <f>('TUSD BE'!$Q$54+'TUSD BF'!$Q$54+'TUSD CVA'!$Q$54)*1</f>
        <v>73.452345962801417</v>
      </c>
      <c r="R54" s="13">
        <f>('TUSD BE'!$R$54+'TUSD BF'!$R$54+'TUSD CVA'!$R$54)*1</f>
        <v>11.15434708491488</v>
      </c>
      <c r="S54" s="13">
        <f>('TUSD BE'!$S$54+'TUSD BF'!$S$54+'TUSD CVA'!$S$54)*1</f>
        <v>0</v>
      </c>
      <c r="T54" s="13">
        <f>('TUSD BE'!$U$54+'TUSD BF'!$U$54+'TUSD CVA'!$U$54)*1</f>
        <v>0</v>
      </c>
      <c r="U54" s="13">
        <f>('TUSD BE'!$V$54+'TUSD BF'!$V$54+'TUSD CVA'!$V$54)*1</f>
        <v>0</v>
      </c>
      <c r="V54" s="13">
        <f>('TUSD BE'!$W$54+'TUSD BF'!$W$54+'TUSD CVA'!$W$54)*1</f>
        <v>0</v>
      </c>
      <c r="W54" s="13">
        <f>('TUSD BE'!$X$54+'TUSD BF'!$X$54+'TUSD CVA'!$X$54)*1</f>
        <v>0</v>
      </c>
      <c r="X54" s="13">
        <f>('TUSD BE'!$Y$54+'TUSD BF'!$Y$54+'TUSD CVA'!$Y$54)*1</f>
        <v>56.013133431143224</v>
      </c>
      <c r="Y54" s="13">
        <f>('TUSD BE'!$Z$54+'TUSD BF'!$Z$54+'TUSD CVA'!$Z$54)*1</f>
        <v>0</v>
      </c>
      <c r="Z54" s="13">
        <f>('TUSD BE'!$AA$54+'TUSD BF'!$AA$54+'TUSD CVA'!$AA$54)*1</f>
        <v>0</v>
      </c>
      <c r="AA54" s="13">
        <f>('TUSD BE'!$AC$54+'TUSD BF'!$AC$54+'TUSD CVA'!$AC$54)*1</f>
        <v>110.1477533480936</v>
      </c>
      <c r="AB54" s="13">
        <f ca="1">('TUSD BE'!$AE$54+'TUSD BF'!$AE$54+'TUSD CVA'!$AE$54)*1</f>
        <v>-9.6385599726076645</v>
      </c>
      <c r="AC54" s="13">
        <f ca="1">('TUSD BE'!$AF$54+'TUSD BF'!$AF$54+'TUSD CVA'!$AF$54)*1</f>
        <v>0</v>
      </c>
      <c r="AD54" s="13">
        <f>('TUSD BE'!$AH$54+'TUSD BF'!$AH$54+'TUSD CVA'!$AH$54)*1</f>
        <v>12.258093192687909</v>
      </c>
      <c r="AE54" s="13">
        <f>('TUSD BE'!$AI$54+'TUSD BF'!$AI$54+'TUSD CVA'!$AI$54)*1</f>
        <v>0</v>
      </c>
      <c r="AF54" s="13">
        <f ca="1">('TUSD BE'!$AJ$54+'TUSD BF'!$AJ$54+'TUSD CVA'!$AJ$54)*1</f>
        <v>0.71902207986460187</v>
      </c>
      <c r="AG54" s="13">
        <f ca="1">('TUSD BE'!$AK$54+'TUSD BF'!$AK$54+'TUSD CVA'!$AK$54)*1</f>
        <v>0.10842318575839417</v>
      </c>
      <c r="AI54" s="13">
        <v>1.2609781818341299</v>
      </c>
      <c r="AJ54" s="13">
        <v>0.41479978051441002</v>
      </c>
      <c r="AK54" s="13">
        <v>2.49600747264483</v>
      </c>
      <c r="AL54" s="13">
        <v>0</v>
      </c>
      <c r="AM54" s="13">
        <v>0</v>
      </c>
      <c r="AN54" s="13">
        <v>33.6635939575186</v>
      </c>
      <c r="AO54" s="13">
        <v>5.1544898415788998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39.926150677755402</v>
      </c>
      <c r="AV54" s="13">
        <v>0</v>
      </c>
      <c r="AW54" s="13">
        <v>0</v>
      </c>
      <c r="AX54" s="13">
        <v>95.104201786893697</v>
      </c>
      <c r="AY54" s="13">
        <v>-2.91959844698696</v>
      </c>
      <c r="AZ54" s="13">
        <v>0</v>
      </c>
      <c r="BA54" s="13">
        <v>12.7859740469098</v>
      </c>
      <c r="BB54" s="13">
        <v>0</v>
      </c>
      <c r="BC54" s="13">
        <v>0.753111660402494</v>
      </c>
      <c r="BD54" s="13">
        <v>0.103400888879129</v>
      </c>
    </row>
    <row r="55" spans="1:56" ht="11.25" customHeight="1" x14ac:dyDescent="0.3">
      <c r="A55" s="146"/>
      <c r="B55" s="146"/>
      <c r="C55" s="146"/>
      <c r="D55" s="24" t="s">
        <v>95</v>
      </c>
      <c r="E55" s="24" t="s">
        <v>25</v>
      </c>
      <c r="F55" s="24" t="s">
        <v>25</v>
      </c>
      <c r="G55" s="24" t="s">
        <v>84</v>
      </c>
      <c r="H55" s="24" t="s">
        <v>78</v>
      </c>
      <c r="I55" s="24">
        <f>'MERCADO TUSD'!$U$52</f>
        <v>0</v>
      </c>
      <c r="J55" s="15"/>
      <c r="L55" s="13">
        <f>('TUSD BE'!$L$55+'TUSD BF'!$L$55+'TUSD CVA'!$L$55)*1</f>
        <v>1.7007586464440381</v>
      </c>
      <c r="M55" s="13">
        <f>('TUSD BE'!$M$55+'TUSD BF'!$M$55+'TUSD CVA'!$M$55)*1</f>
        <v>0.55187857878553903</v>
      </c>
      <c r="N55" s="13">
        <f ca="1">('TUSD BE'!$N$55+'TUSD BF'!$N$55+'TUSD CVA'!$N$55)*1</f>
        <v>3.4910507105828241</v>
      </c>
      <c r="O55" s="13">
        <f>('TUSD BE'!$O$55+'TUSD BF'!$O$55+'TUSD CVA'!$O$55)*1</f>
        <v>0</v>
      </c>
      <c r="P55" s="13">
        <f>('TUSD BE'!$P$55+'TUSD BF'!$P$55+'TUSD CVA'!$P$55)*1</f>
        <v>0</v>
      </c>
      <c r="Q55" s="13">
        <f>('TUSD BE'!$Q$55+'TUSD BF'!$Q$55+'TUSD CVA'!$Q$55)*1</f>
        <v>80.129831959419718</v>
      </c>
      <c r="R55" s="13">
        <f>('TUSD BE'!$R$55+'TUSD BF'!$R$55+'TUSD CVA'!$R$55)*1</f>
        <v>12.168378638088958</v>
      </c>
      <c r="S55" s="13">
        <f>('TUSD BE'!$S$55+'TUSD BF'!$S$55+'TUSD CVA'!$S$55)*1</f>
        <v>0</v>
      </c>
      <c r="T55" s="13">
        <f>('TUSD BE'!$U$55+'TUSD BF'!$U$55+'TUSD CVA'!$U$55)*1</f>
        <v>0</v>
      </c>
      <c r="U55" s="13">
        <f>('TUSD BE'!$V$55+'TUSD BF'!$V$55+'TUSD CVA'!$V$55)*1</f>
        <v>0</v>
      </c>
      <c r="V55" s="13">
        <f>('TUSD BE'!$W$55+'TUSD BF'!$W$55+'TUSD CVA'!$W$55)*1</f>
        <v>0</v>
      </c>
      <c r="W55" s="13">
        <f>('TUSD BE'!$X$55+'TUSD BF'!$X$55+'TUSD CVA'!$X$55)*1</f>
        <v>0</v>
      </c>
      <c r="X55" s="13">
        <f>('TUSD BE'!$Y$55+'TUSD BF'!$Y$55+'TUSD CVA'!$Y$55)*1</f>
        <v>61.105236470338049</v>
      </c>
      <c r="Y55" s="13">
        <f>('TUSD BE'!$Z$55+'TUSD BF'!$Z$55+'TUSD CVA'!$Z$55)*1</f>
        <v>0</v>
      </c>
      <c r="Z55" s="13">
        <f>('TUSD BE'!$AA$55+'TUSD BF'!$AA$55+'TUSD CVA'!$AA$55)*1</f>
        <v>0</v>
      </c>
      <c r="AA55" s="13">
        <f>('TUSD BE'!$AC$55+'TUSD BF'!$AC$55+'TUSD CVA'!$AC$55)*1</f>
        <v>120.16118547064757</v>
      </c>
      <c r="AB55" s="13">
        <f ca="1">('TUSD BE'!$AE$55+'TUSD BF'!$AE$55+'TUSD CVA'!$AE$55)*1</f>
        <v>-10.514792697390178</v>
      </c>
      <c r="AC55" s="13">
        <f ca="1">('TUSD BE'!$AF$55+'TUSD BF'!$AF$55+'TUSD CVA'!$AF$55)*1</f>
        <v>0</v>
      </c>
      <c r="AD55" s="13">
        <f>('TUSD BE'!$AH$55+'TUSD BF'!$AH$55+'TUSD CVA'!$AH$55)*1</f>
        <v>13.372465301114079</v>
      </c>
      <c r="AE55" s="13">
        <f>('TUSD BE'!$AI$55+'TUSD BF'!$AI$55+'TUSD CVA'!$AI$55)*1</f>
        <v>0</v>
      </c>
      <c r="AF55" s="13">
        <f ca="1">('TUSD BE'!$AJ$55+'TUSD BF'!$AJ$55+'TUSD CVA'!$AJ$55)*1</f>
        <v>0.78438772348865649</v>
      </c>
      <c r="AG55" s="13">
        <f ca="1">('TUSD BE'!$AK$55+'TUSD BF'!$AK$55+'TUSD CVA'!$AK$55)*1</f>
        <v>0.11827983900915726</v>
      </c>
      <c r="AI55" s="13">
        <v>1.3756125620008699</v>
      </c>
      <c r="AJ55" s="13">
        <v>0.45250885147026498</v>
      </c>
      <c r="AK55" s="13">
        <v>2.7229172428852699</v>
      </c>
      <c r="AL55" s="13">
        <v>0</v>
      </c>
      <c r="AM55" s="13">
        <v>0</v>
      </c>
      <c r="AN55" s="13">
        <v>36.723920680929297</v>
      </c>
      <c r="AO55" s="13">
        <v>5.62307982717698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43.555800739369502</v>
      </c>
      <c r="AV55" s="13">
        <v>0</v>
      </c>
      <c r="AW55" s="13">
        <v>0</v>
      </c>
      <c r="AX55" s="13">
        <v>103.75003831297499</v>
      </c>
      <c r="AY55" s="13">
        <v>-3.1850164876221401</v>
      </c>
      <c r="AZ55" s="13">
        <v>0</v>
      </c>
      <c r="BA55" s="13">
        <v>13.948335323901601</v>
      </c>
      <c r="BB55" s="13">
        <v>0</v>
      </c>
      <c r="BC55" s="13">
        <v>0.82157635680272001</v>
      </c>
      <c r="BD55" s="13">
        <v>0.112800969686323</v>
      </c>
    </row>
    <row r="57" spans="1:56" ht="11.25" customHeight="1" x14ac:dyDescent="0.3">
      <c r="L57" s="144" t="s">
        <v>870</v>
      </c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I57" s="144" t="s">
        <v>871</v>
      </c>
      <c r="AJ57" s="144"/>
      <c r="AK57" s="144"/>
      <c r="AL57" s="144"/>
      <c r="AM57" s="144"/>
      <c r="AN57" s="144"/>
      <c r="AO57" s="144"/>
      <c r="AP57" s="144"/>
      <c r="AQ57" s="144"/>
      <c r="AR57" s="144"/>
      <c r="AS57" s="144"/>
      <c r="AT57" s="144"/>
      <c r="AU57" s="144"/>
      <c r="AV57" s="144"/>
      <c r="AW57" s="144"/>
      <c r="AX57" s="144"/>
      <c r="AY57" s="144"/>
      <c r="AZ57" s="144"/>
      <c r="BA57" s="144"/>
      <c r="BB57" s="144"/>
      <c r="BC57" s="144"/>
      <c r="BD57" s="144"/>
    </row>
    <row r="58" spans="1:56" ht="11.25" customHeight="1" x14ac:dyDescent="0.3">
      <c r="L58" s="144" t="s">
        <v>487</v>
      </c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144"/>
      <c r="AF58" s="144"/>
      <c r="AG58" s="144"/>
      <c r="AI58" s="144" t="s">
        <v>487</v>
      </c>
      <c r="AJ58" s="144"/>
      <c r="AK58" s="144"/>
      <c r="AL58" s="144"/>
      <c r="AM58" s="144"/>
      <c r="AN58" s="144"/>
      <c r="AO58" s="144"/>
      <c r="AP58" s="144"/>
      <c r="AQ58" s="144"/>
      <c r="AR58" s="144"/>
      <c r="AS58" s="144"/>
      <c r="AT58" s="144"/>
      <c r="AU58" s="144"/>
      <c r="AV58" s="144"/>
      <c r="AW58" s="144"/>
      <c r="AX58" s="144"/>
      <c r="AY58" s="144"/>
      <c r="AZ58" s="144"/>
      <c r="BA58" s="144"/>
      <c r="BB58" s="144"/>
      <c r="BC58" s="144"/>
      <c r="BD58" s="144"/>
    </row>
    <row r="59" spans="1:56" ht="11.25" customHeight="1" x14ac:dyDescent="0.3">
      <c r="L59" s="144" t="s">
        <v>488</v>
      </c>
      <c r="M59" s="144"/>
      <c r="N59" s="144"/>
      <c r="O59" s="144"/>
      <c r="P59" s="144"/>
      <c r="Q59" s="144"/>
      <c r="R59" s="144"/>
      <c r="S59" s="144"/>
      <c r="T59" s="144" t="s">
        <v>497</v>
      </c>
      <c r="U59" s="144"/>
      <c r="V59" s="144"/>
      <c r="W59" s="144"/>
      <c r="X59" s="144"/>
      <c r="Y59" s="144"/>
      <c r="Z59" s="144"/>
      <c r="AA59" s="10" t="s">
        <v>505</v>
      </c>
      <c r="AB59" s="144" t="s">
        <v>507</v>
      </c>
      <c r="AC59" s="144"/>
      <c r="AD59" s="144" t="s">
        <v>510</v>
      </c>
      <c r="AE59" s="144"/>
      <c r="AF59" s="144"/>
      <c r="AG59" s="144"/>
      <c r="AI59" s="144" t="s">
        <v>488</v>
      </c>
      <c r="AJ59" s="144"/>
      <c r="AK59" s="144"/>
      <c r="AL59" s="144"/>
      <c r="AM59" s="144"/>
      <c r="AN59" s="144"/>
      <c r="AO59" s="144"/>
      <c r="AP59" s="144"/>
      <c r="AQ59" s="144" t="s">
        <v>497</v>
      </c>
      <c r="AR59" s="144"/>
      <c r="AS59" s="144"/>
      <c r="AT59" s="144"/>
      <c r="AU59" s="144"/>
      <c r="AV59" s="144"/>
      <c r="AW59" s="144"/>
      <c r="AX59" s="10" t="s">
        <v>505</v>
      </c>
      <c r="AY59" s="144" t="s">
        <v>507</v>
      </c>
      <c r="AZ59" s="144"/>
      <c r="BA59" s="144" t="s">
        <v>510</v>
      </c>
      <c r="BB59" s="144"/>
      <c r="BC59" s="144"/>
      <c r="BD59" s="144"/>
    </row>
    <row r="60" spans="1:56" ht="11.25" customHeight="1" x14ac:dyDescent="0.3">
      <c r="L60" s="10" t="s">
        <v>573</v>
      </c>
      <c r="M60" s="10" t="s">
        <v>489</v>
      </c>
      <c r="N60" s="10" t="s">
        <v>490</v>
      </c>
      <c r="O60" s="10" t="s">
        <v>491</v>
      </c>
      <c r="P60" s="10" t="s">
        <v>492</v>
      </c>
      <c r="Q60" s="10" t="s">
        <v>493</v>
      </c>
      <c r="R60" s="10" t="s">
        <v>494</v>
      </c>
      <c r="S60" s="10" t="s">
        <v>495</v>
      </c>
      <c r="T60" s="10" t="s">
        <v>498</v>
      </c>
      <c r="U60" s="10" t="s">
        <v>499</v>
      </c>
      <c r="V60" s="10" t="s">
        <v>500</v>
      </c>
      <c r="W60" s="10" t="s">
        <v>501</v>
      </c>
      <c r="X60" s="10" t="s">
        <v>502</v>
      </c>
      <c r="Y60" s="10" t="s">
        <v>503</v>
      </c>
      <c r="Z60" s="10" t="s">
        <v>504</v>
      </c>
      <c r="AA60" s="10" t="s">
        <v>506</v>
      </c>
      <c r="AB60" s="10" t="s">
        <v>508</v>
      </c>
      <c r="AC60" s="10" t="s">
        <v>509</v>
      </c>
      <c r="AD60" s="10" t="s">
        <v>511</v>
      </c>
      <c r="AE60" s="10" t="s">
        <v>512</v>
      </c>
      <c r="AF60" s="10" t="s">
        <v>513</v>
      </c>
      <c r="AG60" s="10" t="s">
        <v>514</v>
      </c>
      <c r="AI60" s="10" t="s">
        <v>573</v>
      </c>
      <c r="AJ60" s="10" t="s">
        <v>489</v>
      </c>
      <c r="AK60" s="10" t="s">
        <v>490</v>
      </c>
      <c r="AL60" s="10" t="s">
        <v>491</v>
      </c>
      <c r="AM60" s="10" t="s">
        <v>492</v>
      </c>
      <c r="AN60" s="10" t="s">
        <v>493</v>
      </c>
      <c r="AO60" s="10" t="s">
        <v>494</v>
      </c>
      <c r="AP60" s="10" t="s">
        <v>495</v>
      </c>
      <c r="AQ60" s="10" t="s">
        <v>498</v>
      </c>
      <c r="AR60" s="10" t="s">
        <v>499</v>
      </c>
      <c r="AS60" s="10" t="s">
        <v>500</v>
      </c>
      <c r="AT60" s="10" t="s">
        <v>501</v>
      </c>
      <c r="AU60" s="10" t="s">
        <v>502</v>
      </c>
      <c r="AV60" s="10" t="s">
        <v>503</v>
      </c>
      <c r="AW60" s="10" t="s">
        <v>504</v>
      </c>
      <c r="AX60" s="10" t="s">
        <v>506</v>
      </c>
      <c r="AY60" s="10" t="s">
        <v>508</v>
      </c>
      <c r="AZ60" s="10" t="s">
        <v>509</v>
      </c>
      <c r="BA60" s="10" t="s">
        <v>511</v>
      </c>
      <c r="BB60" s="10" t="s">
        <v>512</v>
      </c>
      <c r="BC60" s="10" t="s">
        <v>513</v>
      </c>
      <c r="BD60" s="10" t="s">
        <v>514</v>
      </c>
    </row>
    <row r="61" spans="1:56" ht="11.25" customHeight="1" x14ac:dyDescent="0.3">
      <c r="A61" s="9" t="s">
        <v>61</v>
      </c>
      <c r="B61" s="9" t="s">
        <v>872</v>
      </c>
      <c r="C61" s="9" t="s">
        <v>873</v>
      </c>
      <c r="D61" s="9" t="s">
        <v>874</v>
      </c>
      <c r="E61" s="9" t="s">
        <v>875</v>
      </c>
      <c r="F61" s="9" t="s">
        <v>876</v>
      </c>
      <c r="G61" s="9" t="s">
        <v>877</v>
      </c>
      <c r="L61" s="13">
        <f>$I$5*$L$5</f>
        <v>0</v>
      </c>
      <c r="M61" s="13">
        <f>$I$5*$M$5</f>
        <v>0</v>
      </c>
      <c r="N61" s="13">
        <f ca="1">$I$5*$N$5</f>
        <v>0</v>
      </c>
      <c r="O61" s="13">
        <f>$I$5*$O$5</f>
        <v>0</v>
      </c>
      <c r="P61" s="13">
        <f>$I$5*$P$5</f>
        <v>0</v>
      </c>
      <c r="Q61" s="13">
        <f>$I$5*$Q$5</f>
        <v>0</v>
      </c>
      <c r="R61" s="13">
        <f>$I$5*$R$5</f>
        <v>0</v>
      </c>
      <c r="S61" s="13">
        <f>$I$5*$S$5</f>
        <v>0</v>
      </c>
      <c r="T61" s="13">
        <f>$I$5*$T$5</f>
        <v>0</v>
      </c>
      <c r="U61" s="13">
        <f>$I$5*$U$5</f>
        <v>0</v>
      </c>
      <c r="V61" s="13">
        <f>$I$5*$V$5</f>
        <v>0</v>
      </c>
      <c r="W61" s="13">
        <f>$I$5*$W$5</f>
        <v>0</v>
      </c>
      <c r="X61" s="13">
        <f>$I$5*$X$5</f>
        <v>353147.59119808499</v>
      </c>
      <c r="Y61" s="13">
        <f>$I$5*$Y$5</f>
        <v>0</v>
      </c>
      <c r="Z61" s="13">
        <f>$I$5*$Z$5</f>
        <v>0</v>
      </c>
      <c r="AA61" s="13">
        <f>$I$5*$AA$5</f>
        <v>94202.398300335786</v>
      </c>
      <c r="AB61" s="13">
        <f ca="1">$I$5*$AB$5</f>
        <v>-16603.206038908389</v>
      </c>
      <c r="AC61" s="13">
        <f ca="1">$I$5*$AC$5</f>
        <v>0</v>
      </c>
      <c r="AD61" s="13">
        <f>$I$5*$AD$5</f>
        <v>0</v>
      </c>
      <c r="AE61" s="13">
        <f>$I$5*$AE$5</f>
        <v>0</v>
      </c>
      <c r="AF61" s="13">
        <f ca="1">$I$5*$AF$5</f>
        <v>0</v>
      </c>
      <c r="AG61" s="13">
        <f ca="1">$I$5*$AG$5</f>
        <v>0</v>
      </c>
      <c r="AI61" s="13">
        <f>$I$5*$AI$5</f>
        <v>0</v>
      </c>
      <c r="AJ61" s="13">
        <f>$I$5*$AJ$5</f>
        <v>0</v>
      </c>
      <c r="AK61" s="13">
        <f>$I$5*$AK$5</f>
        <v>0</v>
      </c>
      <c r="AL61" s="13">
        <f>$I$5*$AL$5</f>
        <v>0</v>
      </c>
      <c r="AM61" s="13">
        <f>$I$5*$AM$5</f>
        <v>0</v>
      </c>
      <c r="AN61" s="13">
        <f>$I$5*$AN$5</f>
        <v>0</v>
      </c>
      <c r="AO61" s="13">
        <f>$I$5*$AO$5</f>
        <v>0</v>
      </c>
      <c r="AP61" s="13">
        <f>$I$5*$AP$5</f>
        <v>0</v>
      </c>
      <c r="AQ61" s="13">
        <f>$I$5*$AQ$5</f>
        <v>0</v>
      </c>
      <c r="AR61" s="13">
        <f>$I$5*$AR$5</f>
        <v>0</v>
      </c>
      <c r="AS61" s="13">
        <f>$I$5*$AS$5</f>
        <v>0</v>
      </c>
      <c r="AT61" s="13">
        <f>$I$5*$AT$5</f>
        <v>0</v>
      </c>
      <c r="AU61" s="13">
        <f>$I$5*$AU$5</f>
        <v>251723.53471340716</v>
      </c>
      <c r="AV61" s="13">
        <f>$I$5*$AV$5</f>
        <v>0</v>
      </c>
      <c r="AW61" s="13">
        <f>$I$5*$AW$5</f>
        <v>0</v>
      </c>
      <c r="AX61" s="13">
        <f>$I$5*$AX$5</f>
        <v>81336.6012872883</v>
      </c>
      <c r="AY61" s="13">
        <f>$I$5*$AY$5</f>
        <v>-5109.6977961236544</v>
      </c>
      <c r="AZ61" s="13">
        <f>$I$5*$AZ$5</f>
        <v>0</v>
      </c>
      <c r="BA61" s="13">
        <f>$I$5*$BA$5</f>
        <v>0</v>
      </c>
      <c r="BB61" s="13">
        <f>$I$5*$BB$5</f>
        <v>0</v>
      </c>
      <c r="BC61" s="13">
        <f>$I$5*$BC$5</f>
        <v>0</v>
      </c>
      <c r="BD61" s="13">
        <f>$I$5*$BD$5</f>
        <v>0</v>
      </c>
    </row>
    <row r="62" spans="1:56" ht="11.25" customHeight="1" x14ac:dyDescent="0.3">
      <c r="A62" s="9" t="s">
        <v>61</v>
      </c>
      <c r="B62" s="9" t="s">
        <v>872</v>
      </c>
      <c r="C62" s="9" t="s">
        <v>873</v>
      </c>
      <c r="D62" s="9" t="s">
        <v>874</v>
      </c>
      <c r="E62" s="9" t="s">
        <v>875</v>
      </c>
      <c r="F62" s="9" t="s">
        <v>876</v>
      </c>
      <c r="G62" s="9" t="s">
        <v>878</v>
      </c>
      <c r="L62" s="13">
        <f>$I$6*$L$6</f>
        <v>0</v>
      </c>
      <c r="M62" s="13">
        <f>$I$6*$M$6</f>
        <v>0</v>
      </c>
      <c r="N62" s="13">
        <f ca="1">$I$6*$N$6</f>
        <v>0</v>
      </c>
      <c r="O62" s="13">
        <f>$I$6*$O$6</f>
        <v>0</v>
      </c>
      <c r="P62" s="13">
        <f>$I$6*$P$6</f>
        <v>0</v>
      </c>
      <c r="Q62" s="13">
        <f>$I$6*$Q$6</f>
        <v>0</v>
      </c>
      <c r="R62" s="13">
        <f>$I$6*$R$6</f>
        <v>0</v>
      </c>
      <c r="S62" s="13">
        <f>$I$6*$S$6</f>
        <v>0</v>
      </c>
      <c r="T62" s="13">
        <f>$I$6*$T$6</f>
        <v>0</v>
      </c>
      <c r="U62" s="13">
        <f>$I$6*$U$6</f>
        <v>0</v>
      </c>
      <c r="V62" s="13">
        <f>$I$6*$V$6</f>
        <v>0</v>
      </c>
      <c r="W62" s="13">
        <f>$I$6*$W$6</f>
        <v>0</v>
      </c>
      <c r="X62" s="13">
        <f>$I$6*$X$6</f>
        <v>182221.63553860504</v>
      </c>
      <c r="Y62" s="13">
        <f>$I$6*$Y$6</f>
        <v>0</v>
      </c>
      <c r="Z62" s="13">
        <f>$I$6*$Z$6</f>
        <v>0</v>
      </c>
      <c r="AA62" s="13">
        <f>$I$6*$AA$6</f>
        <v>95425.740283479434</v>
      </c>
      <c r="AB62" s="13">
        <f ca="1">$I$6*$AB$6</f>
        <v>-10406.285322090078</v>
      </c>
      <c r="AC62" s="13">
        <f ca="1">$I$6*$AC$6</f>
        <v>0</v>
      </c>
      <c r="AD62" s="13">
        <f>$I$6*$AD$6</f>
        <v>0</v>
      </c>
      <c r="AE62" s="13">
        <f>$I$6*$AE$6</f>
        <v>0</v>
      </c>
      <c r="AF62" s="13">
        <f ca="1">$I$6*$AF$6</f>
        <v>0</v>
      </c>
      <c r="AG62" s="13">
        <f ca="1">$I$6*$AG$6</f>
        <v>0</v>
      </c>
      <c r="AI62" s="13">
        <f>$I$6*$AI$6</f>
        <v>0</v>
      </c>
      <c r="AJ62" s="13">
        <f>$I$6*$AJ$6</f>
        <v>0</v>
      </c>
      <c r="AK62" s="13">
        <f>$I$6*$AK$6</f>
        <v>0</v>
      </c>
      <c r="AL62" s="13">
        <f>$I$6*$AL$6</f>
        <v>0</v>
      </c>
      <c r="AM62" s="13">
        <f>$I$6*$AM$6</f>
        <v>0</v>
      </c>
      <c r="AN62" s="13">
        <f>$I$6*$AN$6</f>
        <v>0</v>
      </c>
      <c r="AO62" s="13">
        <f>$I$6*$AO$6</f>
        <v>0</v>
      </c>
      <c r="AP62" s="13">
        <f>$I$6*$AP$6</f>
        <v>0</v>
      </c>
      <c r="AQ62" s="13">
        <f>$I$6*$AQ$6</f>
        <v>0</v>
      </c>
      <c r="AR62" s="13">
        <f>$I$6*$AR$6</f>
        <v>0</v>
      </c>
      <c r="AS62" s="13">
        <f>$I$6*$AS$6</f>
        <v>0</v>
      </c>
      <c r="AT62" s="13">
        <f>$I$6*$AT$6</f>
        <v>0</v>
      </c>
      <c r="AU62" s="13">
        <f>$I$6*$AU$6</f>
        <v>129887.54657343017</v>
      </c>
      <c r="AV62" s="13">
        <f>$I$6*$AV$6</f>
        <v>0</v>
      </c>
      <c r="AW62" s="13">
        <f>$I$6*$AW$6</f>
        <v>0</v>
      </c>
      <c r="AX62" s="13">
        <f>$I$6*$AX$6</f>
        <v>82392.863982466413</v>
      </c>
      <c r="AY62" s="13">
        <f>$I$6*$AY$6</f>
        <v>-3273.8008393945861</v>
      </c>
      <c r="AZ62" s="13">
        <f>$I$6*$AZ$6</f>
        <v>0</v>
      </c>
      <c r="BA62" s="13">
        <f>$I$6*$BA$6</f>
        <v>0</v>
      </c>
      <c r="BB62" s="13">
        <f>$I$6*$BB$6</f>
        <v>0</v>
      </c>
      <c r="BC62" s="13">
        <f>$I$6*$BC$6</f>
        <v>0</v>
      </c>
      <c r="BD62" s="13">
        <f>$I$6*$BD$6</f>
        <v>0</v>
      </c>
    </row>
    <row r="63" spans="1:56" ht="11.25" customHeight="1" x14ac:dyDescent="0.3">
      <c r="A63" s="9" t="s">
        <v>61</v>
      </c>
      <c r="B63" s="9" t="s">
        <v>872</v>
      </c>
      <c r="C63" s="9" t="s">
        <v>873</v>
      </c>
      <c r="D63" s="9" t="s">
        <v>874</v>
      </c>
      <c r="E63" s="9" t="s">
        <v>875</v>
      </c>
      <c r="F63" s="9" t="s">
        <v>876</v>
      </c>
      <c r="G63" s="9" t="s">
        <v>879</v>
      </c>
      <c r="L63" s="13">
        <f>$I$7*$L$7</f>
        <v>13430.213771867966</v>
      </c>
      <c r="M63" s="13">
        <f>$I$7*$M$7</f>
        <v>872.40927361117508</v>
      </c>
      <c r="N63" s="13">
        <f ca="1">$I$7*$N$7</f>
        <v>2445.518055074931</v>
      </c>
      <c r="O63" s="13">
        <f>$I$7*$O$7</f>
        <v>0</v>
      </c>
      <c r="P63" s="13">
        <f>$I$7*$P$7</f>
        <v>0</v>
      </c>
      <c r="Q63" s="13">
        <f>$I$7*$Q$7</f>
        <v>632753.37448315299</v>
      </c>
      <c r="R63" s="13">
        <f>$I$7*$R$7</f>
        <v>154982.00086279199</v>
      </c>
      <c r="S63" s="13">
        <f>$I$7*$S$7</f>
        <v>0</v>
      </c>
      <c r="T63" s="13">
        <f>$I$7*$T$7</f>
        <v>0</v>
      </c>
      <c r="U63" s="13">
        <f>$I$7*$U$7</f>
        <v>0</v>
      </c>
      <c r="V63" s="13">
        <f>$I$7*$V$7</f>
        <v>0</v>
      </c>
      <c r="W63" s="13">
        <f>$I$7*$W$7</f>
        <v>0</v>
      </c>
      <c r="X63" s="13">
        <f>$I$7*$X$7</f>
        <v>0</v>
      </c>
      <c r="Y63" s="13">
        <f>$I$7*$Y$7</f>
        <v>0</v>
      </c>
      <c r="Z63" s="13">
        <f>$I$7*$Z$7</f>
        <v>0</v>
      </c>
      <c r="AA63" s="13">
        <f>$I$7*$AA$7</f>
        <v>0</v>
      </c>
      <c r="AB63" s="13">
        <f ca="1">$I$7*$AB$7</f>
        <v>-26305.694608129084</v>
      </c>
      <c r="AC63" s="13">
        <f ca="1">$I$7*$AC$7</f>
        <v>0</v>
      </c>
      <c r="AD63" s="13">
        <f>$I$7*$AD$7</f>
        <v>45923.302414264559</v>
      </c>
      <c r="AE63" s="13">
        <f>$I$7*$AE$7</f>
        <v>0</v>
      </c>
      <c r="AF63" s="13">
        <f ca="1">$I$7*$AF$7</f>
        <v>4202.2213519804018</v>
      </c>
      <c r="AG63" s="13">
        <f ca="1">$I$7*$AG$7</f>
        <v>633.66374830861696</v>
      </c>
      <c r="AI63" s="13">
        <f>$I$7*$AI$7</f>
        <v>11738.685959720222</v>
      </c>
      <c r="AJ63" s="13">
        <f>$I$7*$AJ$7</f>
        <v>182.48098622236702</v>
      </c>
      <c r="AK63" s="13">
        <f>$I$7*$AK$7</f>
        <v>1817.5103634880347</v>
      </c>
      <c r="AL63" s="13">
        <f>$I$7*$AL$7</f>
        <v>0</v>
      </c>
      <c r="AM63" s="13">
        <f>$I$7*$AM$7</f>
        <v>0</v>
      </c>
      <c r="AN63" s="13">
        <f>$I$7*$AN$7</f>
        <v>313380.8050255577</v>
      </c>
      <c r="AO63" s="13">
        <f>$I$7*$AO$7</f>
        <v>71618.100368707441</v>
      </c>
      <c r="AP63" s="13">
        <f>$I$7*$AP$7</f>
        <v>0</v>
      </c>
      <c r="AQ63" s="13">
        <f>$I$7*$AQ$7</f>
        <v>0</v>
      </c>
      <c r="AR63" s="13">
        <f>$I$7*$AR$7</f>
        <v>0</v>
      </c>
      <c r="AS63" s="13">
        <f>$I$7*$AS$7</f>
        <v>0</v>
      </c>
      <c r="AT63" s="13">
        <f>$I$7*$AT$7</f>
        <v>0</v>
      </c>
      <c r="AU63" s="13">
        <f>$I$7*$AU$7</f>
        <v>0</v>
      </c>
      <c r="AV63" s="13">
        <f>$I$7*$AV$7</f>
        <v>0</v>
      </c>
      <c r="AW63" s="13">
        <f>$I$7*$AW$7</f>
        <v>0</v>
      </c>
      <c r="AX63" s="13">
        <f>$I$7*$AX$7</f>
        <v>0</v>
      </c>
      <c r="AY63" s="13">
        <f>$I$7*$AY$7</f>
        <v>-6263.6573436146891</v>
      </c>
      <c r="AZ63" s="13">
        <f>$I$7*$AZ$7</f>
        <v>0</v>
      </c>
      <c r="BA63" s="13">
        <f>$I$7*$BA$7</f>
        <v>47900.937249150003</v>
      </c>
      <c r="BB63" s="13">
        <f>$I$7*$BB$7</f>
        <v>0</v>
      </c>
      <c r="BC63" s="13">
        <f>$I$7*$BC$7</f>
        <v>1547.1961200272704</v>
      </c>
      <c r="BD63" s="13">
        <f>$I$7*$BD$7</f>
        <v>212.4272700752752</v>
      </c>
    </row>
    <row r="64" spans="1:56" ht="11.25" customHeight="1" x14ac:dyDescent="0.3">
      <c r="A64" s="9" t="s">
        <v>61</v>
      </c>
      <c r="B64" s="9" t="s">
        <v>872</v>
      </c>
      <c r="C64" s="9" t="s">
        <v>873</v>
      </c>
      <c r="D64" s="9" t="s">
        <v>874</v>
      </c>
      <c r="E64" s="9" t="s">
        <v>880</v>
      </c>
      <c r="F64" s="9" t="s">
        <v>881</v>
      </c>
      <c r="G64" s="9" t="s">
        <v>882</v>
      </c>
      <c r="L64" s="13">
        <f>$I$8*$L$8</f>
        <v>0</v>
      </c>
      <c r="M64" s="13">
        <f>$I$8*$M$8</f>
        <v>0</v>
      </c>
      <c r="N64" s="13">
        <f ca="1">$I$8*$N$8</f>
        <v>0</v>
      </c>
      <c r="O64" s="13">
        <f>$I$8*$O$8</f>
        <v>0</v>
      </c>
      <c r="P64" s="13">
        <f>$I$8*$P$8</f>
        <v>0</v>
      </c>
      <c r="Q64" s="13">
        <f>$I$8*$Q$8</f>
        <v>0</v>
      </c>
      <c r="R64" s="13">
        <f>$I$8*$R$8</f>
        <v>0</v>
      </c>
      <c r="S64" s="13">
        <f>$I$8*$S$8</f>
        <v>0</v>
      </c>
      <c r="T64" s="13">
        <f>$I$8*$T$8</f>
        <v>0</v>
      </c>
      <c r="U64" s="13">
        <f>$I$8*$U$8</f>
        <v>0</v>
      </c>
      <c r="V64" s="13">
        <f>$I$8*$V$8</f>
        <v>0</v>
      </c>
      <c r="W64" s="13">
        <f>$I$8*$W$8</f>
        <v>0</v>
      </c>
      <c r="X64" s="13">
        <f>$I$8*$X$8</f>
        <v>0</v>
      </c>
      <c r="Y64" s="13">
        <f>$I$8*$Y$8</f>
        <v>0</v>
      </c>
      <c r="Z64" s="13">
        <f>$I$8*$Z$8</f>
        <v>0</v>
      </c>
      <c r="AA64" s="13">
        <f>$I$8*$AA$8</f>
        <v>0</v>
      </c>
      <c r="AB64" s="13">
        <f ca="1">$I$8*$AB$8</f>
        <v>0</v>
      </c>
      <c r="AC64" s="13">
        <f ca="1">$I$8*$AC$8</f>
        <v>0</v>
      </c>
      <c r="AD64" s="13">
        <f>$I$8*$AD$8</f>
        <v>0</v>
      </c>
      <c r="AE64" s="13">
        <f>$I$8*$AE$8</f>
        <v>0</v>
      </c>
      <c r="AF64" s="13">
        <f ca="1">$I$8*$AF$8</f>
        <v>0</v>
      </c>
      <c r="AG64" s="13">
        <f ca="1">$I$8*$AG$8</f>
        <v>0</v>
      </c>
      <c r="AI64" s="13">
        <f>$I$8*$AI$8</f>
        <v>0</v>
      </c>
      <c r="AJ64" s="13">
        <f>$I$8*$AJ$8</f>
        <v>0</v>
      </c>
      <c r="AK64" s="13">
        <f>$I$8*$AK$8</f>
        <v>0</v>
      </c>
      <c r="AL64" s="13">
        <f>$I$8*$AL$8</f>
        <v>0</v>
      </c>
      <c r="AM64" s="13">
        <f>$I$8*$AM$8</f>
        <v>0</v>
      </c>
      <c r="AN64" s="13">
        <f>$I$8*$AN$8</f>
        <v>0</v>
      </c>
      <c r="AO64" s="13">
        <f>$I$8*$AO$8</f>
        <v>0</v>
      </c>
      <c r="AP64" s="13">
        <f>$I$8*$AP$8</f>
        <v>0</v>
      </c>
      <c r="AQ64" s="13">
        <f>$I$8*$AQ$8</f>
        <v>0</v>
      </c>
      <c r="AR64" s="13">
        <f>$I$8*$AR$8</f>
        <v>0</v>
      </c>
      <c r="AS64" s="13">
        <f>$I$8*$AS$8</f>
        <v>0</v>
      </c>
      <c r="AT64" s="13">
        <f>$I$8*$AT$8</f>
        <v>0</v>
      </c>
      <c r="AU64" s="13">
        <f>$I$8*$AU$8</f>
        <v>0</v>
      </c>
      <c r="AV64" s="13">
        <f>$I$8*$AV$8</f>
        <v>0</v>
      </c>
      <c r="AW64" s="13">
        <f>$I$8*$AW$8</f>
        <v>0</v>
      </c>
      <c r="AX64" s="13">
        <f>$I$8*$AX$8</f>
        <v>0</v>
      </c>
      <c r="AY64" s="13">
        <f>$I$8*$AY$8</f>
        <v>0</v>
      </c>
      <c r="AZ64" s="13">
        <f>$I$8*$AZ$8</f>
        <v>0</v>
      </c>
      <c r="BA64" s="13">
        <f>$I$8*$BA$8</f>
        <v>0</v>
      </c>
      <c r="BB64" s="13">
        <f>$I$8*$BB$8</f>
        <v>0</v>
      </c>
      <c r="BC64" s="13">
        <f>$I$8*$BC$8</f>
        <v>0</v>
      </c>
      <c r="BD64" s="13">
        <f>$I$8*$BD$8</f>
        <v>0</v>
      </c>
    </row>
    <row r="65" spans="1:56" ht="11.25" customHeight="1" x14ac:dyDescent="0.3">
      <c r="A65" s="9" t="s">
        <v>34</v>
      </c>
      <c r="B65" s="9" t="s">
        <v>883</v>
      </c>
      <c r="C65" s="9" t="s">
        <v>884</v>
      </c>
      <c r="D65" s="9" t="s">
        <v>885</v>
      </c>
      <c r="E65" s="9" t="s">
        <v>886</v>
      </c>
      <c r="F65" s="9" t="s">
        <v>887</v>
      </c>
      <c r="G65" s="9" t="s">
        <v>888</v>
      </c>
      <c r="L65" s="13">
        <f>$I$9*$L$9</f>
        <v>0</v>
      </c>
      <c r="M65" s="13">
        <f>$I$9*$M$9</f>
        <v>0</v>
      </c>
      <c r="N65" s="13">
        <f ca="1">$I$9*$N$9</f>
        <v>0</v>
      </c>
      <c r="O65" s="13">
        <f>$I$9*$O$9</f>
        <v>0</v>
      </c>
      <c r="P65" s="13">
        <f>$I$9*$P$9</f>
        <v>0</v>
      </c>
      <c r="Q65" s="13">
        <f>$I$9*$Q$9</f>
        <v>0</v>
      </c>
      <c r="R65" s="13">
        <f>$I$9*$R$9</f>
        <v>0</v>
      </c>
      <c r="S65" s="13">
        <f>$I$9*$S$9</f>
        <v>0</v>
      </c>
      <c r="T65" s="13">
        <f>$I$9*$T$9</f>
        <v>0</v>
      </c>
      <c r="U65" s="13">
        <f>$I$9*$U$9</f>
        <v>0</v>
      </c>
      <c r="V65" s="13">
        <f>$I$9*$V$9</f>
        <v>0</v>
      </c>
      <c r="W65" s="13">
        <f>$I$9*$W$9</f>
        <v>0</v>
      </c>
      <c r="X65" s="13">
        <f>$I$9*$X$9</f>
        <v>2356247.9249611329</v>
      </c>
      <c r="Y65" s="13">
        <f>$I$9*$Y$9</f>
        <v>0</v>
      </c>
      <c r="Z65" s="13">
        <f>$I$9*$Z$9</f>
        <v>0</v>
      </c>
      <c r="AA65" s="13">
        <f>$I$9*$AA$9</f>
        <v>628533.74879416847</v>
      </c>
      <c r="AB65" s="13">
        <f ca="1">$I$9*$AB$9</f>
        <v>-110778.9179588027</v>
      </c>
      <c r="AC65" s="13">
        <f ca="1">$I$9*$AC$9</f>
        <v>0</v>
      </c>
      <c r="AD65" s="13">
        <f>$I$9*$AD$9</f>
        <v>0</v>
      </c>
      <c r="AE65" s="13">
        <f>$I$9*$AE$9</f>
        <v>0</v>
      </c>
      <c r="AF65" s="13">
        <f ca="1">$I$9*$AF$9</f>
        <v>0</v>
      </c>
      <c r="AG65" s="13">
        <f ca="1">$I$9*$AG$9</f>
        <v>0</v>
      </c>
      <c r="AI65" s="13">
        <f>$I$9*$AI$9</f>
        <v>0</v>
      </c>
      <c r="AJ65" s="13">
        <f>$I$9*$AJ$9</f>
        <v>0</v>
      </c>
      <c r="AK65" s="13">
        <f>$I$9*$AK$9</f>
        <v>0</v>
      </c>
      <c r="AL65" s="13">
        <f>$I$9*$AL$9</f>
        <v>0</v>
      </c>
      <c r="AM65" s="13">
        <f>$I$9*$AM$9</f>
        <v>0</v>
      </c>
      <c r="AN65" s="13">
        <f>$I$9*$AN$9</f>
        <v>0</v>
      </c>
      <c r="AO65" s="13">
        <f>$I$9*$AO$9</f>
        <v>0</v>
      </c>
      <c r="AP65" s="13">
        <f>$I$9*$AP$9</f>
        <v>0</v>
      </c>
      <c r="AQ65" s="13">
        <f>$I$9*$AQ$9</f>
        <v>0</v>
      </c>
      <c r="AR65" s="13">
        <f>$I$9*$AR$9</f>
        <v>0</v>
      </c>
      <c r="AS65" s="13">
        <f>$I$9*$AS$9</f>
        <v>0</v>
      </c>
      <c r="AT65" s="13">
        <f>$I$9*$AT$9</f>
        <v>0</v>
      </c>
      <c r="AU65" s="13">
        <f>$I$9*$AU$9</f>
        <v>1679533.0652550231</v>
      </c>
      <c r="AV65" s="13">
        <f>$I$9*$AV$9</f>
        <v>0</v>
      </c>
      <c r="AW65" s="13">
        <f>$I$9*$AW$9</f>
        <v>0</v>
      </c>
      <c r="AX65" s="13">
        <f>$I$9*$AX$9</f>
        <v>542691.05504391075</v>
      </c>
      <c r="AY65" s="13">
        <f>$I$9*$AY$9</f>
        <v>-34092.624116215149</v>
      </c>
      <c r="AZ65" s="13">
        <f>$I$9*$AZ$9</f>
        <v>0</v>
      </c>
      <c r="BA65" s="13">
        <f>$I$9*$BA$9</f>
        <v>0</v>
      </c>
      <c r="BB65" s="13">
        <f>$I$9*$BB$9</f>
        <v>0</v>
      </c>
      <c r="BC65" s="13">
        <f>$I$9*$BC$9</f>
        <v>0</v>
      </c>
      <c r="BD65" s="13">
        <f>$I$9*$BD$9</f>
        <v>0</v>
      </c>
    </row>
    <row r="66" spans="1:56" ht="11.25" customHeight="1" x14ac:dyDescent="0.3">
      <c r="A66" s="9" t="s">
        <v>34</v>
      </c>
      <c r="B66" s="9" t="s">
        <v>883</v>
      </c>
      <c r="C66" s="9" t="s">
        <v>884</v>
      </c>
      <c r="D66" s="9" t="s">
        <v>885</v>
      </c>
      <c r="E66" s="9" t="s">
        <v>886</v>
      </c>
      <c r="F66" s="9" t="s">
        <v>887</v>
      </c>
      <c r="G66" s="9" t="s">
        <v>889</v>
      </c>
      <c r="L66" s="13">
        <f>$I$10*$L$10</f>
        <v>0</v>
      </c>
      <c r="M66" s="13">
        <f>$I$10*$M$10</f>
        <v>0</v>
      </c>
      <c r="N66" s="13">
        <f ca="1">$I$10*$N$10</f>
        <v>0</v>
      </c>
      <c r="O66" s="13">
        <f>$I$10*$O$10</f>
        <v>0</v>
      </c>
      <c r="P66" s="13">
        <f>$I$10*$P$10</f>
        <v>0</v>
      </c>
      <c r="Q66" s="13">
        <f>$I$10*$Q$10</f>
        <v>0</v>
      </c>
      <c r="R66" s="13">
        <f>$I$10*$R$10</f>
        <v>0</v>
      </c>
      <c r="S66" s="13">
        <f>$I$10*$S$10</f>
        <v>0</v>
      </c>
      <c r="T66" s="13">
        <f>$I$10*$T$10</f>
        <v>0</v>
      </c>
      <c r="U66" s="13">
        <f>$I$10*$U$10</f>
        <v>0</v>
      </c>
      <c r="V66" s="13">
        <f>$I$10*$V$10</f>
        <v>0</v>
      </c>
      <c r="W66" s="13">
        <f>$I$10*$W$10</f>
        <v>0</v>
      </c>
      <c r="X66" s="13">
        <f>$I$10*$X$10</f>
        <v>1276562.0563917416</v>
      </c>
      <c r="Y66" s="13">
        <f>$I$10*$Y$10</f>
        <v>0</v>
      </c>
      <c r="Z66" s="13">
        <f>$I$10*$Z$10</f>
        <v>0</v>
      </c>
      <c r="AA66" s="13">
        <f>$I$10*$AA$10</f>
        <v>668509.93723077956</v>
      </c>
      <c r="AB66" s="13">
        <f ca="1">$I$10*$AB$10</f>
        <v>-72901.731335832374</v>
      </c>
      <c r="AC66" s="13">
        <f ca="1">$I$10*$AC$10</f>
        <v>0</v>
      </c>
      <c r="AD66" s="13">
        <f>$I$10*$AD$10</f>
        <v>0</v>
      </c>
      <c r="AE66" s="13">
        <f>$I$10*$AE$10</f>
        <v>0</v>
      </c>
      <c r="AF66" s="13">
        <f ca="1">$I$10*$AF$10</f>
        <v>0</v>
      </c>
      <c r="AG66" s="13">
        <f ca="1">$I$10*$AG$10</f>
        <v>0</v>
      </c>
      <c r="AI66" s="13">
        <f>$I$10*$AI$10</f>
        <v>0</v>
      </c>
      <c r="AJ66" s="13">
        <f>$I$10*$AJ$10</f>
        <v>0</v>
      </c>
      <c r="AK66" s="13">
        <f>$I$10*$AK$10</f>
        <v>0</v>
      </c>
      <c r="AL66" s="13">
        <f>$I$10*$AL$10</f>
        <v>0</v>
      </c>
      <c r="AM66" s="13">
        <f>$I$10*$AM$10</f>
        <v>0</v>
      </c>
      <c r="AN66" s="13">
        <f>$I$10*$AN$10</f>
        <v>0</v>
      </c>
      <c r="AO66" s="13">
        <f>$I$10*$AO$10</f>
        <v>0</v>
      </c>
      <c r="AP66" s="13">
        <f>$I$10*$AP$10</f>
        <v>0</v>
      </c>
      <c r="AQ66" s="13">
        <f>$I$10*$AQ$10</f>
        <v>0</v>
      </c>
      <c r="AR66" s="13">
        <f>$I$10*$AR$10</f>
        <v>0</v>
      </c>
      <c r="AS66" s="13">
        <f>$I$10*$AS$10</f>
        <v>0</v>
      </c>
      <c r="AT66" s="13">
        <f>$I$10*$AT$10</f>
        <v>0</v>
      </c>
      <c r="AU66" s="13">
        <f>$I$10*$AU$10</f>
        <v>909933.18693118426</v>
      </c>
      <c r="AV66" s="13">
        <f>$I$10*$AV$10</f>
        <v>0</v>
      </c>
      <c r="AW66" s="13">
        <f>$I$10*$AW$10</f>
        <v>0</v>
      </c>
      <c r="AX66" s="13">
        <f>$I$10*$AX$10</f>
        <v>577207.45121343958</v>
      </c>
      <c r="AY66" s="13">
        <f>$I$10*$AY$10</f>
        <v>-22934.769578247007</v>
      </c>
      <c r="AZ66" s="13">
        <f>$I$10*$AZ$10</f>
        <v>0</v>
      </c>
      <c r="BA66" s="13">
        <f>$I$10*$BA$10</f>
        <v>0</v>
      </c>
      <c r="BB66" s="13">
        <f>$I$10*$BB$10</f>
        <v>0</v>
      </c>
      <c r="BC66" s="13">
        <f>$I$10*$BC$10</f>
        <v>0</v>
      </c>
      <c r="BD66" s="13">
        <f>$I$10*$BD$10</f>
        <v>0</v>
      </c>
    </row>
    <row r="67" spans="1:56" ht="11.25" customHeight="1" x14ac:dyDescent="0.3">
      <c r="A67" s="9" t="s">
        <v>34</v>
      </c>
      <c r="B67" s="9" t="s">
        <v>883</v>
      </c>
      <c r="C67" s="9" t="s">
        <v>884</v>
      </c>
      <c r="D67" s="9" t="s">
        <v>885</v>
      </c>
      <c r="E67" s="9" t="s">
        <v>886</v>
      </c>
      <c r="F67" s="9" t="s">
        <v>887</v>
      </c>
      <c r="G67" s="9" t="s">
        <v>890</v>
      </c>
      <c r="L67" s="13">
        <f>$I$11*$L$11</f>
        <v>78812.746228777134</v>
      </c>
      <c r="M67" s="13">
        <f>$I$11*$M$11</f>
        <v>6871.8701921340726</v>
      </c>
      <c r="N67" s="13">
        <f ca="1">$I$11*$N$11</f>
        <v>13850.176865180058</v>
      </c>
      <c r="O67" s="13">
        <f>$I$11*$O$11</f>
        <v>0</v>
      </c>
      <c r="P67" s="13">
        <f>$I$11*$P$11</f>
        <v>0</v>
      </c>
      <c r="Q67" s="13">
        <f>$I$11*$Q$11</f>
        <v>3713197.122223245</v>
      </c>
      <c r="R67" s="13">
        <f>$I$11*$R$11</f>
        <v>671285.40074392315</v>
      </c>
      <c r="S67" s="13">
        <f>$I$11*$S$11</f>
        <v>0</v>
      </c>
      <c r="T67" s="13">
        <f>$I$11*$T$11</f>
        <v>0</v>
      </c>
      <c r="U67" s="13">
        <f>$I$11*$U$11</f>
        <v>0</v>
      </c>
      <c r="V67" s="13">
        <f>$I$11*$V$11</f>
        <v>0</v>
      </c>
      <c r="W67" s="13">
        <f>$I$11*$W$11</f>
        <v>0</v>
      </c>
      <c r="X67" s="13">
        <f>$I$11*$X$11</f>
        <v>0</v>
      </c>
      <c r="Y67" s="13">
        <f>$I$11*$Y$11</f>
        <v>0</v>
      </c>
      <c r="Z67" s="13">
        <f>$I$11*$Z$11</f>
        <v>0</v>
      </c>
      <c r="AA67" s="13">
        <f>$I$11*$AA$11</f>
        <v>0</v>
      </c>
      <c r="AB67" s="13">
        <f ca="1">$I$11*$AB$11</f>
        <v>-147381.70535034919</v>
      </c>
      <c r="AC67" s="13">
        <f ca="1">$I$11*$AC$11</f>
        <v>0</v>
      </c>
      <c r="AD67" s="13">
        <f>$I$11*$AD$11</f>
        <v>265213.78683667543</v>
      </c>
      <c r="AE67" s="13">
        <f>$I$11*$AE$11</f>
        <v>0</v>
      </c>
      <c r="AF67" s="13">
        <f ca="1">$I$11*$AF$11</f>
        <v>27620.024049728308</v>
      </c>
      <c r="AG67" s="13">
        <f ca="1">$I$11*$AG$11</f>
        <v>4164.8943503361206</v>
      </c>
      <c r="AI67" s="13">
        <f>$I$11*$AI$11</f>
        <v>66022.181915244597</v>
      </c>
      <c r="AJ67" s="13">
        <f>$I$11*$AJ$11</f>
        <v>5107.0475323192859</v>
      </c>
      <c r="AK67" s="13">
        <f>$I$11*$AK$11</f>
        <v>10746.421225699998</v>
      </c>
      <c r="AL67" s="13">
        <f>$I$11*$AL$11</f>
        <v>0</v>
      </c>
      <c r="AM67" s="13">
        <f>$I$11*$AM$11</f>
        <v>0</v>
      </c>
      <c r="AN67" s="13">
        <f>$I$11*$AN$11</f>
        <v>1762555.4162653752</v>
      </c>
      <c r="AO67" s="13">
        <f>$I$11*$AO$11</f>
        <v>310204.95889125147</v>
      </c>
      <c r="AP67" s="13">
        <f>$I$11*$AP$11</f>
        <v>0</v>
      </c>
      <c r="AQ67" s="13">
        <f>$I$11*$AQ$11</f>
        <v>0</v>
      </c>
      <c r="AR67" s="13">
        <f>$I$11*$AR$11</f>
        <v>0</v>
      </c>
      <c r="AS67" s="13">
        <f>$I$11*$AS$11</f>
        <v>0</v>
      </c>
      <c r="AT67" s="13">
        <f>$I$11*$AT$11</f>
        <v>0</v>
      </c>
      <c r="AU67" s="13">
        <f>$I$11*$AU$11</f>
        <v>0</v>
      </c>
      <c r="AV67" s="13">
        <f>$I$11*$AV$11</f>
        <v>0</v>
      </c>
      <c r="AW67" s="13">
        <f>$I$11*$AW$11</f>
        <v>0</v>
      </c>
      <c r="AX67" s="13">
        <f>$I$11*$AX$11</f>
        <v>0</v>
      </c>
      <c r="AY67" s="13">
        <f>$I$11*$AY$11</f>
        <v>-34442.092614868081</v>
      </c>
      <c r="AZ67" s="13">
        <f>$I$11*$AZ$11</f>
        <v>0</v>
      </c>
      <c r="BA67" s="13">
        <f>$I$11*$BA$11</f>
        <v>276634.91719896358</v>
      </c>
      <c r="BB67" s="13">
        <f>$I$11*$BB$11</f>
        <v>0</v>
      </c>
      <c r="BC67" s="13">
        <f>$I$11*$BC$11</f>
        <v>25185.480964497649</v>
      </c>
      <c r="BD67" s="13">
        <f>$I$11*$BD$11</f>
        <v>3457.9216542546342</v>
      </c>
    </row>
    <row r="68" spans="1:56" ht="11.25" customHeight="1" x14ac:dyDescent="0.3">
      <c r="A68" s="9" t="s">
        <v>34</v>
      </c>
      <c r="B68" s="9" t="s">
        <v>883</v>
      </c>
      <c r="C68" s="9" t="s">
        <v>884</v>
      </c>
      <c r="D68" s="9" t="s">
        <v>885</v>
      </c>
      <c r="E68" s="9" t="s">
        <v>891</v>
      </c>
      <c r="F68" s="9" t="s">
        <v>892</v>
      </c>
      <c r="G68" s="9" t="s">
        <v>893</v>
      </c>
      <c r="L68" s="13">
        <f>$I$12*$L$12</f>
        <v>0</v>
      </c>
      <c r="M68" s="13">
        <f>$I$12*$M$12</f>
        <v>0</v>
      </c>
      <c r="N68" s="13">
        <f ca="1">$I$12*$N$12</f>
        <v>0</v>
      </c>
      <c r="O68" s="13">
        <f>$I$12*$O$12</f>
        <v>0</v>
      </c>
      <c r="P68" s="13">
        <f>$I$12*$P$12</f>
        <v>0</v>
      </c>
      <c r="Q68" s="13">
        <f>$I$12*$Q$12</f>
        <v>0</v>
      </c>
      <c r="R68" s="13">
        <f>$I$12*$R$12</f>
        <v>0</v>
      </c>
      <c r="S68" s="13">
        <f>$I$12*$S$12</f>
        <v>0</v>
      </c>
      <c r="T68" s="13">
        <f>$I$12*$T$12</f>
        <v>0</v>
      </c>
      <c r="U68" s="13">
        <f>$I$12*$U$12</f>
        <v>0</v>
      </c>
      <c r="V68" s="13">
        <f>$I$12*$V$12</f>
        <v>0</v>
      </c>
      <c r="W68" s="13">
        <f>$I$12*$W$12</f>
        <v>0</v>
      </c>
      <c r="X68" s="13">
        <f>$I$12*$X$12</f>
        <v>0</v>
      </c>
      <c r="Y68" s="13">
        <f>$I$12*$Y$12</f>
        <v>0</v>
      </c>
      <c r="Z68" s="13">
        <f>$I$12*$Z$12</f>
        <v>0</v>
      </c>
      <c r="AA68" s="13">
        <f>$I$12*$AA$12</f>
        <v>0</v>
      </c>
      <c r="AB68" s="13">
        <f ca="1">$I$12*$AB$12</f>
        <v>0</v>
      </c>
      <c r="AC68" s="13">
        <f ca="1">$I$12*$AC$12</f>
        <v>0</v>
      </c>
      <c r="AD68" s="13">
        <f>$I$12*$AD$12</f>
        <v>0</v>
      </c>
      <c r="AE68" s="13">
        <f>$I$12*$AE$12</f>
        <v>0</v>
      </c>
      <c r="AF68" s="13">
        <f ca="1">$I$12*$AF$12</f>
        <v>0</v>
      </c>
      <c r="AG68" s="13">
        <f ca="1">$I$12*$AG$12</f>
        <v>0</v>
      </c>
      <c r="AI68" s="13">
        <f>$I$12*$AI$12</f>
        <v>0</v>
      </c>
      <c r="AJ68" s="13">
        <f>$I$12*$AJ$12</f>
        <v>0</v>
      </c>
      <c r="AK68" s="13">
        <f>$I$12*$AK$12</f>
        <v>0</v>
      </c>
      <c r="AL68" s="13">
        <f>$I$12*$AL$12</f>
        <v>0</v>
      </c>
      <c r="AM68" s="13">
        <f>$I$12*$AM$12</f>
        <v>0</v>
      </c>
      <c r="AN68" s="13">
        <f>$I$12*$AN$12</f>
        <v>0</v>
      </c>
      <c r="AO68" s="13">
        <f>$I$12*$AO$12</f>
        <v>0</v>
      </c>
      <c r="AP68" s="13">
        <f>$I$12*$AP$12</f>
        <v>0</v>
      </c>
      <c r="AQ68" s="13">
        <f>$I$12*$AQ$12</f>
        <v>0</v>
      </c>
      <c r="AR68" s="13">
        <f>$I$12*$AR$12</f>
        <v>0</v>
      </c>
      <c r="AS68" s="13">
        <f>$I$12*$AS$12</f>
        <v>0</v>
      </c>
      <c r="AT68" s="13">
        <f>$I$12*$AT$12</f>
        <v>0</v>
      </c>
      <c r="AU68" s="13">
        <f>$I$12*$AU$12</f>
        <v>0</v>
      </c>
      <c r="AV68" s="13">
        <f>$I$12*$AV$12</f>
        <v>0</v>
      </c>
      <c r="AW68" s="13">
        <f>$I$12*$AW$12</f>
        <v>0</v>
      </c>
      <c r="AX68" s="13">
        <f>$I$12*$AX$12</f>
        <v>0</v>
      </c>
      <c r="AY68" s="13">
        <f>$I$12*$AY$12</f>
        <v>0</v>
      </c>
      <c r="AZ68" s="13">
        <f>$I$12*$AZ$12</f>
        <v>0</v>
      </c>
      <c r="BA68" s="13">
        <f>$I$12*$BA$12</f>
        <v>0</v>
      </c>
      <c r="BB68" s="13">
        <f>$I$12*$BB$12</f>
        <v>0</v>
      </c>
      <c r="BC68" s="13">
        <f>$I$12*$BC$12</f>
        <v>0</v>
      </c>
      <c r="BD68" s="13">
        <f>$I$12*$BD$12</f>
        <v>0</v>
      </c>
    </row>
    <row r="69" spans="1:56" ht="11.25" customHeight="1" x14ac:dyDescent="0.3">
      <c r="A69" s="9" t="s">
        <v>34</v>
      </c>
      <c r="B69" s="9" t="s">
        <v>894</v>
      </c>
      <c r="C69" s="9" t="s">
        <v>895</v>
      </c>
      <c r="D69" s="9" t="s">
        <v>896</v>
      </c>
      <c r="E69" s="9" t="s">
        <v>897</v>
      </c>
      <c r="F69" s="9" t="s">
        <v>898</v>
      </c>
      <c r="G69" s="9" t="s">
        <v>899</v>
      </c>
      <c r="L69" s="13">
        <f>$I$13*$L$13</f>
        <v>0</v>
      </c>
      <c r="M69" s="13">
        <f>$I$13*$M$13</f>
        <v>1037.7025701288587</v>
      </c>
      <c r="N69" s="13">
        <f ca="1">$I$13*$N$13</f>
        <v>5022.4695265333421</v>
      </c>
      <c r="O69" s="13">
        <f>$I$13*$O$13</f>
        <v>0</v>
      </c>
      <c r="P69" s="13">
        <f>$I$13*$P$13</f>
        <v>0</v>
      </c>
      <c r="Q69" s="13">
        <f>$I$13*$Q$13</f>
        <v>0</v>
      </c>
      <c r="R69" s="13">
        <f>$I$13*$R$13</f>
        <v>0</v>
      </c>
      <c r="S69" s="13">
        <f>$I$13*$S$13</f>
        <v>0</v>
      </c>
      <c r="T69" s="13">
        <f>$I$13*$T$13</f>
        <v>0</v>
      </c>
      <c r="U69" s="13">
        <f>$I$13*$U$13</f>
        <v>0</v>
      </c>
      <c r="V69" s="13">
        <f>$I$13*$V$13</f>
        <v>0</v>
      </c>
      <c r="W69" s="13">
        <f>$I$13*$W$13</f>
        <v>0</v>
      </c>
      <c r="X69" s="13">
        <f>$I$13*$X$13</f>
        <v>0</v>
      </c>
      <c r="Y69" s="13">
        <f>$I$13*$Y$13</f>
        <v>0</v>
      </c>
      <c r="Z69" s="13">
        <f>$I$13*$Z$13</f>
        <v>0</v>
      </c>
      <c r="AA69" s="13">
        <f>$I$13*$AA$13</f>
        <v>278612.79455158656</v>
      </c>
      <c r="AB69" s="13">
        <f ca="1">$I$13*$AB$13</f>
        <v>-11184.20650117852</v>
      </c>
      <c r="AC69" s="13">
        <f ca="1">$I$13*$AC$13</f>
        <v>0</v>
      </c>
      <c r="AD69" s="13">
        <f>$I$13*$AD$13</f>
        <v>70.995201307368518</v>
      </c>
      <c r="AE69" s="13">
        <f>$I$13*$AE$13</f>
        <v>0</v>
      </c>
      <c r="AF69" s="13">
        <f ca="1">$I$13*$AF$13</f>
        <v>0</v>
      </c>
      <c r="AG69" s="13">
        <f ca="1">$I$13*$AG$13</f>
        <v>0</v>
      </c>
      <c r="AI69" s="13">
        <f>$I$13*$AI$13</f>
        <v>0</v>
      </c>
      <c r="AJ69" s="13">
        <f>$I$13*$AJ$13</f>
        <v>954.2265142041291</v>
      </c>
      <c r="AK69" s="13">
        <f>$I$13*$AK$13</f>
        <v>3914.9271715225318</v>
      </c>
      <c r="AL69" s="13">
        <f>$I$13*$AL$13</f>
        <v>0</v>
      </c>
      <c r="AM69" s="13">
        <f>$I$13*$AM$13</f>
        <v>0</v>
      </c>
      <c r="AN69" s="13">
        <f>$I$13*$AN$13</f>
        <v>0</v>
      </c>
      <c r="AO69" s="13">
        <f>$I$13*$AO$13</f>
        <v>0</v>
      </c>
      <c r="AP69" s="13">
        <f>$I$13*$AP$13</f>
        <v>0</v>
      </c>
      <c r="AQ69" s="13">
        <f>$I$13*$AQ$13</f>
        <v>0</v>
      </c>
      <c r="AR69" s="13">
        <f>$I$13*$AR$13</f>
        <v>0</v>
      </c>
      <c r="AS69" s="13">
        <f>$I$13*$AS$13</f>
        <v>0</v>
      </c>
      <c r="AT69" s="13">
        <f>$I$13*$AT$13</f>
        <v>0</v>
      </c>
      <c r="AU69" s="13">
        <f>$I$13*$AU$13</f>
        <v>0</v>
      </c>
      <c r="AV69" s="13">
        <f>$I$13*$AV$13</f>
        <v>0</v>
      </c>
      <c r="AW69" s="13">
        <f>$I$13*$AW$13</f>
        <v>0</v>
      </c>
      <c r="AX69" s="13">
        <f>$I$13*$AX$13</f>
        <v>228532.89601124567</v>
      </c>
      <c r="AY69" s="13">
        <f>$I$13*$AY$13</f>
        <v>-3678.6862254723897</v>
      </c>
      <c r="AZ69" s="13">
        <f>$I$13*$AZ$13</f>
        <v>0</v>
      </c>
      <c r="BA69" s="13">
        <f>$I$13*$BA$13</f>
        <v>74.05252897837542</v>
      </c>
      <c r="BB69" s="13">
        <f>$I$13*$BB$13</f>
        <v>0</v>
      </c>
      <c r="BC69" s="13">
        <f>$I$13*$BC$13</f>
        <v>0</v>
      </c>
      <c r="BD69" s="13">
        <f>$I$13*$BD$13</f>
        <v>0</v>
      </c>
    </row>
    <row r="70" spans="1:56" ht="11.25" customHeight="1" x14ac:dyDescent="0.3">
      <c r="A70" s="9" t="s">
        <v>34</v>
      </c>
      <c r="B70" s="9" t="s">
        <v>900</v>
      </c>
      <c r="C70" s="9" t="s">
        <v>901</v>
      </c>
      <c r="D70" s="9" t="s">
        <v>902</v>
      </c>
      <c r="E70" s="9" t="s">
        <v>903</v>
      </c>
      <c r="F70" s="9" t="s">
        <v>904</v>
      </c>
      <c r="G70" s="9" t="s">
        <v>905</v>
      </c>
      <c r="L70" s="13">
        <f>$I$14*$L$14</f>
        <v>0</v>
      </c>
      <c r="M70" s="13">
        <f>$I$14*$M$14</f>
        <v>0</v>
      </c>
      <c r="N70" s="13">
        <f ca="1">$I$14*$N$14</f>
        <v>0</v>
      </c>
      <c r="O70" s="13">
        <f>$I$14*$O$14</f>
        <v>0</v>
      </c>
      <c r="P70" s="13">
        <f>$I$14*$P$14</f>
        <v>0</v>
      </c>
      <c r="Q70" s="13">
        <f>$I$14*$Q$14</f>
        <v>0</v>
      </c>
      <c r="R70" s="13">
        <f>$I$14*$R$14</f>
        <v>0</v>
      </c>
      <c r="S70" s="13">
        <f>$I$14*$S$14</f>
        <v>0</v>
      </c>
      <c r="T70" s="13">
        <f>$I$14*$T$14</f>
        <v>0</v>
      </c>
      <c r="U70" s="13">
        <f>$I$14*$U$14</f>
        <v>0</v>
      </c>
      <c r="V70" s="13">
        <f>$I$14*$V$14</f>
        <v>0</v>
      </c>
      <c r="W70" s="13">
        <f>$I$14*$W$14</f>
        <v>0</v>
      </c>
      <c r="X70" s="13">
        <f>$I$14*$X$14</f>
        <v>2603958.6317712716</v>
      </c>
      <c r="Y70" s="13">
        <f>$I$14*$Y$14</f>
        <v>0</v>
      </c>
      <c r="Z70" s="13">
        <f>$I$14*$Z$14</f>
        <v>0</v>
      </c>
      <c r="AA70" s="13">
        <f>$I$14*$AA$14</f>
        <v>1363640.8921610345</v>
      </c>
      <c r="AB70" s="13">
        <f ca="1">$I$14*$AB$14</f>
        <v>-148706.51342997179</v>
      </c>
      <c r="AC70" s="13">
        <f ca="1">$I$14*$AC$14</f>
        <v>0</v>
      </c>
      <c r="AD70" s="13">
        <f>$I$14*$AD$14</f>
        <v>0</v>
      </c>
      <c r="AE70" s="13">
        <f>$I$14*$AE$14</f>
        <v>0</v>
      </c>
      <c r="AF70" s="13">
        <f ca="1">$I$14*$AF$14</f>
        <v>0</v>
      </c>
      <c r="AG70" s="13">
        <f ca="1">$I$14*$AG$14</f>
        <v>0</v>
      </c>
      <c r="AI70" s="13">
        <f>$I$14*$AI$14</f>
        <v>0</v>
      </c>
      <c r="AJ70" s="13">
        <f>$I$14*$AJ$14</f>
        <v>0</v>
      </c>
      <c r="AK70" s="13">
        <f>$I$14*$AK$14</f>
        <v>0</v>
      </c>
      <c r="AL70" s="13">
        <f>$I$14*$AL$14</f>
        <v>0</v>
      </c>
      <c r="AM70" s="13">
        <f>$I$14*$AM$14</f>
        <v>0</v>
      </c>
      <c r="AN70" s="13">
        <f>$I$14*$AN$14</f>
        <v>0</v>
      </c>
      <c r="AO70" s="13">
        <f>$I$14*$AO$14</f>
        <v>0</v>
      </c>
      <c r="AP70" s="13">
        <f>$I$14*$AP$14</f>
        <v>0</v>
      </c>
      <c r="AQ70" s="13">
        <f>$I$14*$AQ$14</f>
        <v>0</v>
      </c>
      <c r="AR70" s="13">
        <f>$I$14*$AR$14</f>
        <v>0</v>
      </c>
      <c r="AS70" s="13">
        <f>$I$14*$AS$14</f>
        <v>0</v>
      </c>
      <c r="AT70" s="13">
        <f>$I$14*$AT$14</f>
        <v>0</v>
      </c>
      <c r="AU70" s="13">
        <f>$I$14*$AU$14</f>
        <v>1856101.2091663545</v>
      </c>
      <c r="AV70" s="13">
        <f>$I$14*$AV$14</f>
        <v>0</v>
      </c>
      <c r="AW70" s="13">
        <f>$I$14*$AW$14</f>
        <v>0</v>
      </c>
      <c r="AX70" s="13">
        <f>$I$14*$AX$14</f>
        <v>1177400.1251128325</v>
      </c>
      <c r="AY70" s="13">
        <f>$I$14*$AY$14</f>
        <v>-46782.834341611269</v>
      </c>
      <c r="AZ70" s="13">
        <f>$I$14*$AZ$14</f>
        <v>0</v>
      </c>
      <c r="BA70" s="13">
        <f>$I$14*$BA$14</f>
        <v>0</v>
      </c>
      <c r="BB70" s="13">
        <f>$I$14*$BB$14</f>
        <v>0</v>
      </c>
      <c r="BC70" s="13">
        <f>$I$14*$BC$14</f>
        <v>0</v>
      </c>
      <c r="BD70" s="13">
        <f>$I$14*$BD$14</f>
        <v>0</v>
      </c>
    </row>
    <row r="71" spans="1:56" ht="11.25" customHeight="1" x14ac:dyDescent="0.3">
      <c r="A71" s="9" t="s">
        <v>34</v>
      </c>
      <c r="B71" s="9" t="s">
        <v>900</v>
      </c>
      <c r="C71" s="9" t="s">
        <v>901</v>
      </c>
      <c r="D71" s="9" t="s">
        <v>902</v>
      </c>
      <c r="E71" s="9" t="s">
        <v>903</v>
      </c>
      <c r="F71" s="9" t="s">
        <v>904</v>
      </c>
      <c r="G71" s="9" t="s">
        <v>906</v>
      </c>
      <c r="L71" s="13">
        <f>$I$15*$L$15</f>
        <v>8044.5821626991037</v>
      </c>
      <c r="M71" s="13">
        <f>$I$15*$M$15</f>
        <v>701.4261907782676</v>
      </c>
      <c r="N71" s="13">
        <f ca="1">$I$15*$N$15</f>
        <v>43120.309754510628</v>
      </c>
      <c r="O71" s="13">
        <f>$I$15*$O$15</f>
        <v>0</v>
      </c>
      <c r="P71" s="13">
        <f>$I$15*$P$15</f>
        <v>0</v>
      </c>
      <c r="Q71" s="13">
        <f>$I$15*$Q$15</f>
        <v>379013.81141209143</v>
      </c>
      <c r="R71" s="13">
        <f>$I$15*$R$15</f>
        <v>68519.50755819607</v>
      </c>
      <c r="S71" s="13">
        <f>$I$15*$S$15</f>
        <v>0</v>
      </c>
      <c r="T71" s="13">
        <f>$I$15*$T$15</f>
        <v>0</v>
      </c>
      <c r="U71" s="13">
        <f>$I$15*$U$15</f>
        <v>0</v>
      </c>
      <c r="V71" s="13">
        <f>$I$15*$V$15</f>
        <v>0</v>
      </c>
      <c r="W71" s="13">
        <f>$I$15*$W$15</f>
        <v>0</v>
      </c>
      <c r="X71" s="13">
        <f>$I$15*$X$15</f>
        <v>2571704.678359963</v>
      </c>
      <c r="Y71" s="13">
        <f>$I$15*$Y$15</f>
        <v>0</v>
      </c>
      <c r="Z71" s="13">
        <f>$I$15*$Z$15</f>
        <v>0</v>
      </c>
      <c r="AA71" s="13">
        <f>$I$15*$AA$15</f>
        <v>686007.07664405159</v>
      </c>
      <c r="AB71" s="13">
        <f ca="1">$I$15*$AB$15</f>
        <v>-137590.58716994975</v>
      </c>
      <c r="AC71" s="13">
        <f ca="1">$I$15*$AC$15</f>
        <v>0</v>
      </c>
      <c r="AD71" s="13">
        <f>$I$15*$AD$15</f>
        <v>27070.926988066018</v>
      </c>
      <c r="AE71" s="13">
        <f>$I$15*$AE$15</f>
        <v>0</v>
      </c>
      <c r="AF71" s="13">
        <f ca="1">$I$15*$AF$15</f>
        <v>2819.2337335738607</v>
      </c>
      <c r="AG71" s="13">
        <f ca="1">$I$15*$AG$15</f>
        <v>425.11949403441167</v>
      </c>
      <c r="AI71" s="13">
        <f>$I$15*$AI$15</f>
        <v>6739.0224600995098</v>
      </c>
      <c r="AJ71" s="13">
        <f>$I$15*$AJ$15</f>
        <v>521.28704363750558</v>
      </c>
      <c r="AK71" s="13">
        <f>$I$15*$AK$15</f>
        <v>33606.469822522435</v>
      </c>
      <c r="AL71" s="13">
        <f>$I$15*$AL$15</f>
        <v>0</v>
      </c>
      <c r="AM71" s="13">
        <f>$I$15*$AM$15</f>
        <v>0</v>
      </c>
      <c r="AN71" s="13">
        <f>$I$15*$AN$15</f>
        <v>179907.72484057787</v>
      </c>
      <c r="AO71" s="13">
        <f>$I$15*$AO$15</f>
        <v>31663.270200400555</v>
      </c>
      <c r="AP71" s="13">
        <f>$I$15*$AP$15</f>
        <v>0</v>
      </c>
      <c r="AQ71" s="13">
        <f>$I$15*$AQ$15</f>
        <v>0</v>
      </c>
      <c r="AR71" s="13">
        <f>$I$15*$AR$15</f>
        <v>0</v>
      </c>
      <c r="AS71" s="13">
        <f>$I$15*$AS$15</f>
        <v>0</v>
      </c>
      <c r="AT71" s="13">
        <f>$I$15*$AT$15</f>
        <v>0</v>
      </c>
      <c r="AU71" s="13">
        <f>$I$15*$AU$15</f>
        <v>1833110.5974121334</v>
      </c>
      <c r="AV71" s="13">
        <f>$I$15*$AV$15</f>
        <v>0</v>
      </c>
      <c r="AW71" s="13">
        <f>$I$15*$AW$15</f>
        <v>0</v>
      </c>
      <c r="AX71" s="13">
        <f>$I$15*$AX$15</f>
        <v>592314.89940799761</v>
      </c>
      <c r="AY71" s="13">
        <f>$I$15*$AY$15</f>
        <v>-41221.437039710516</v>
      </c>
      <c r="AZ71" s="13">
        <f>$I$15*$AZ$15</f>
        <v>0</v>
      </c>
      <c r="BA71" s="13">
        <f>$I$15*$BA$15</f>
        <v>28236.70569756081</v>
      </c>
      <c r="BB71" s="13">
        <f>$I$15*$BB$15</f>
        <v>0</v>
      </c>
      <c r="BC71" s="13">
        <f>$I$15*$BC$15</f>
        <v>2570.7348191861024</v>
      </c>
      <c r="BD71" s="13">
        <f>$I$15*$BD$15</f>
        <v>352.95730945701649</v>
      </c>
    </row>
    <row r="72" spans="1:56" ht="11.25" customHeight="1" x14ac:dyDescent="0.3">
      <c r="A72" s="9" t="s">
        <v>34</v>
      </c>
      <c r="B72" s="9" t="s">
        <v>900</v>
      </c>
      <c r="C72" s="9" t="s">
        <v>901</v>
      </c>
      <c r="D72" s="9" t="s">
        <v>902</v>
      </c>
      <c r="E72" s="9" t="s">
        <v>903</v>
      </c>
      <c r="F72" s="9" t="s">
        <v>904</v>
      </c>
      <c r="G72" s="9" t="s">
        <v>907</v>
      </c>
      <c r="L72" s="13">
        <f>$I$16*$L$16</f>
        <v>89728.035965095158</v>
      </c>
      <c r="M72" s="13">
        <f>$I$16*$M$16</f>
        <v>7823.6001821001209</v>
      </c>
      <c r="N72" s="13">
        <f ca="1">$I$16*$N$16</f>
        <v>15768.377925499015</v>
      </c>
      <c r="O72" s="13">
        <f>$I$16*$O$16</f>
        <v>0</v>
      </c>
      <c r="P72" s="13">
        <f>$I$16*$P$16</f>
        <v>0</v>
      </c>
      <c r="Q72" s="13">
        <f>$I$16*$Q$16</f>
        <v>4227461.9382147714</v>
      </c>
      <c r="R72" s="13">
        <f>$I$16*$R$16</f>
        <v>764256.08119211753</v>
      </c>
      <c r="S72" s="13">
        <f>$I$16*$S$16</f>
        <v>0</v>
      </c>
      <c r="T72" s="13">
        <f>$I$16*$T$16</f>
        <v>0</v>
      </c>
      <c r="U72" s="13">
        <f>$I$16*$U$16</f>
        <v>0</v>
      </c>
      <c r="V72" s="13">
        <f>$I$16*$V$16</f>
        <v>0</v>
      </c>
      <c r="W72" s="13">
        <f>$I$16*$W$16</f>
        <v>0</v>
      </c>
      <c r="X72" s="13">
        <f>$I$16*$X$16</f>
        <v>0</v>
      </c>
      <c r="Y72" s="13">
        <f>$I$16*$Y$16</f>
        <v>0</v>
      </c>
      <c r="Z72" s="13">
        <f>$I$16*$Z$16</f>
        <v>0</v>
      </c>
      <c r="AA72" s="13">
        <f>$I$16*$AA$16</f>
        <v>0</v>
      </c>
      <c r="AB72" s="13">
        <f ca="1">$I$16*$AB$16</f>
        <v>-167793.55613222584</v>
      </c>
      <c r="AC72" s="13">
        <f ca="1">$I$16*$AC$16</f>
        <v>0</v>
      </c>
      <c r="AD72" s="13">
        <f>$I$16*$AD$16</f>
        <v>301944.96883336845</v>
      </c>
      <c r="AE72" s="13">
        <f>$I$16*$AE$16</f>
        <v>0</v>
      </c>
      <c r="AF72" s="13">
        <f ca="1">$I$16*$AF$16</f>
        <v>31445.300790519959</v>
      </c>
      <c r="AG72" s="13">
        <f ca="1">$I$16*$AG$16</f>
        <v>4741.7176527891115</v>
      </c>
      <c r="AI72" s="13">
        <f>$I$16*$AI$16</f>
        <v>75166.023224071585</v>
      </c>
      <c r="AJ72" s="13">
        <f>$I$16*$AJ$16</f>
        <v>5814.355755669314</v>
      </c>
      <c r="AK72" s="13">
        <f>$I$16*$AK$16</f>
        <v>12234.76298410713</v>
      </c>
      <c r="AL72" s="13">
        <f>$I$16*$AL$16</f>
        <v>0</v>
      </c>
      <c r="AM72" s="13">
        <f>$I$16*$AM$16</f>
        <v>0</v>
      </c>
      <c r="AN72" s="13">
        <f>$I$16*$AN$16</f>
        <v>2006663.1775785885</v>
      </c>
      <c r="AO72" s="13">
        <f>$I$16*$AO$16</f>
        <v>353167.26087869698</v>
      </c>
      <c r="AP72" s="13">
        <f>$I$16*$AP$16</f>
        <v>0</v>
      </c>
      <c r="AQ72" s="13">
        <f>$I$16*$AQ$16</f>
        <v>0</v>
      </c>
      <c r="AR72" s="13">
        <f>$I$16*$AR$16</f>
        <v>0</v>
      </c>
      <c r="AS72" s="13">
        <f>$I$16*$AS$16</f>
        <v>0</v>
      </c>
      <c r="AT72" s="13">
        <f>$I$16*$AT$16</f>
        <v>0</v>
      </c>
      <c r="AU72" s="13">
        <f>$I$16*$AU$16</f>
        <v>0</v>
      </c>
      <c r="AV72" s="13">
        <f>$I$16*$AV$16</f>
        <v>0</v>
      </c>
      <c r="AW72" s="13">
        <f>$I$16*$AW$16</f>
        <v>0</v>
      </c>
      <c r="AX72" s="13">
        <f>$I$16*$AX$16</f>
        <v>0</v>
      </c>
      <c r="AY72" s="13">
        <f>$I$16*$AY$16</f>
        <v>-39212.201994448536</v>
      </c>
      <c r="AZ72" s="13">
        <f>$I$16*$AZ$16</f>
        <v>0</v>
      </c>
      <c r="BA72" s="13">
        <f>$I$16*$BA$16</f>
        <v>314947.88580995321</v>
      </c>
      <c r="BB72" s="13">
        <f>$I$16*$BB$16</f>
        <v>0</v>
      </c>
      <c r="BC72" s="13">
        <f>$I$16*$BC$16</f>
        <v>28673.582001835137</v>
      </c>
      <c r="BD72" s="13">
        <f>$I$16*$BD$16</f>
        <v>3936.8317106573604</v>
      </c>
    </row>
    <row r="73" spans="1:56" ht="11.25" customHeight="1" x14ac:dyDescent="0.3">
      <c r="A73" s="9" t="s">
        <v>34</v>
      </c>
      <c r="B73" s="9" t="s">
        <v>900</v>
      </c>
      <c r="C73" s="9" t="s">
        <v>901</v>
      </c>
      <c r="D73" s="9" t="s">
        <v>902</v>
      </c>
      <c r="E73" s="9" t="s">
        <v>908</v>
      </c>
      <c r="F73" s="9" t="s">
        <v>909</v>
      </c>
      <c r="G73" s="9" t="s">
        <v>910</v>
      </c>
      <c r="L73" s="13">
        <f>$I$17*$L$17</f>
        <v>0</v>
      </c>
      <c r="M73" s="13">
        <f>$I$17*$M$17</f>
        <v>0</v>
      </c>
      <c r="N73" s="13">
        <f ca="1">$I$17*$N$17</f>
        <v>0</v>
      </c>
      <c r="O73" s="13">
        <f>$I$17*$O$17</f>
        <v>0</v>
      </c>
      <c r="P73" s="13">
        <f>$I$17*$P$17</f>
        <v>0</v>
      </c>
      <c r="Q73" s="13">
        <f>$I$17*$Q$17</f>
        <v>0</v>
      </c>
      <c r="R73" s="13">
        <f>$I$17*$R$17</f>
        <v>0</v>
      </c>
      <c r="S73" s="13">
        <f>$I$17*$S$17</f>
        <v>0</v>
      </c>
      <c r="T73" s="13">
        <f>$I$17*$T$17</f>
        <v>0</v>
      </c>
      <c r="U73" s="13">
        <f>$I$17*$U$17</f>
        <v>0</v>
      </c>
      <c r="V73" s="13">
        <f>$I$17*$V$17</f>
        <v>0</v>
      </c>
      <c r="W73" s="13">
        <f>$I$17*$W$17</f>
        <v>0</v>
      </c>
      <c r="X73" s="13">
        <f>$I$17*$X$17</f>
        <v>0</v>
      </c>
      <c r="Y73" s="13">
        <f>$I$17*$Y$17</f>
        <v>0</v>
      </c>
      <c r="Z73" s="13">
        <f>$I$17*$Z$17</f>
        <v>0</v>
      </c>
      <c r="AA73" s="13">
        <f>$I$17*$AA$17</f>
        <v>0</v>
      </c>
      <c r="AB73" s="13">
        <f ca="1">$I$17*$AB$17</f>
        <v>0</v>
      </c>
      <c r="AC73" s="13">
        <f ca="1">$I$17*$AC$17</f>
        <v>0</v>
      </c>
      <c r="AD73" s="13">
        <f>$I$17*$AD$17</f>
        <v>0</v>
      </c>
      <c r="AE73" s="13">
        <f>$I$17*$AE$17</f>
        <v>0</v>
      </c>
      <c r="AF73" s="13">
        <f ca="1">$I$17*$AF$17</f>
        <v>0</v>
      </c>
      <c r="AG73" s="13">
        <f ca="1">$I$17*$AG$17</f>
        <v>0</v>
      </c>
      <c r="AI73" s="13">
        <f>$I$17*$AI$17</f>
        <v>0</v>
      </c>
      <c r="AJ73" s="13">
        <f>$I$17*$AJ$17</f>
        <v>0</v>
      </c>
      <c r="AK73" s="13">
        <f>$I$17*$AK$17</f>
        <v>0</v>
      </c>
      <c r="AL73" s="13">
        <f>$I$17*$AL$17</f>
        <v>0</v>
      </c>
      <c r="AM73" s="13">
        <f>$I$17*$AM$17</f>
        <v>0</v>
      </c>
      <c r="AN73" s="13">
        <f>$I$17*$AN$17</f>
        <v>0</v>
      </c>
      <c r="AO73" s="13">
        <f>$I$17*$AO$17</f>
        <v>0</v>
      </c>
      <c r="AP73" s="13">
        <f>$I$17*$AP$17</f>
        <v>0</v>
      </c>
      <c r="AQ73" s="13">
        <f>$I$17*$AQ$17</f>
        <v>0</v>
      </c>
      <c r="AR73" s="13">
        <f>$I$17*$AR$17</f>
        <v>0</v>
      </c>
      <c r="AS73" s="13">
        <f>$I$17*$AS$17</f>
        <v>0</v>
      </c>
      <c r="AT73" s="13">
        <f>$I$17*$AT$17</f>
        <v>0</v>
      </c>
      <c r="AU73" s="13">
        <f>$I$17*$AU$17</f>
        <v>0</v>
      </c>
      <c r="AV73" s="13">
        <f>$I$17*$AV$17</f>
        <v>0</v>
      </c>
      <c r="AW73" s="13">
        <f>$I$17*$AW$17</f>
        <v>0</v>
      </c>
      <c r="AX73" s="13">
        <f>$I$17*$AX$17</f>
        <v>0</v>
      </c>
      <c r="AY73" s="13">
        <f>$I$17*$AY$17</f>
        <v>0</v>
      </c>
      <c r="AZ73" s="13">
        <f>$I$17*$AZ$17</f>
        <v>0</v>
      </c>
      <c r="BA73" s="13">
        <f>$I$17*$BA$17</f>
        <v>0</v>
      </c>
      <c r="BB73" s="13">
        <f>$I$17*$BB$17</f>
        <v>0</v>
      </c>
      <c r="BC73" s="13">
        <f>$I$17*$BC$17</f>
        <v>0</v>
      </c>
      <c r="BD73" s="13">
        <f>$I$17*$BD$17</f>
        <v>0</v>
      </c>
    </row>
    <row r="74" spans="1:56" ht="11.25" customHeight="1" x14ac:dyDescent="0.3">
      <c r="A74" s="9" t="s">
        <v>34</v>
      </c>
      <c r="B74" s="9" t="s">
        <v>900</v>
      </c>
      <c r="C74" s="9" t="s">
        <v>901</v>
      </c>
      <c r="D74" s="9" t="s">
        <v>902</v>
      </c>
      <c r="E74" s="9" t="s">
        <v>908</v>
      </c>
      <c r="F74" s="9" t="s">
        <v>909</v>
      </c>
      <c r="G74" s="9" t="s">
        <v>911</v>
      </c>
      <c r="L74" s="13">
        <f>$I$18*$L$18</f>
        <v>0</v>
      </c>
      <c r="M74" s="13">
        <f>$I$18*$M$18</f>
        <v>0</v>
      </c>
      <c r="N74" s="13">
        <f ca="1">$I$18*$N$18</f>
        <v>0</v>
      </c>
      <c r="O74" s="13">
        <f>$I$18*$O$18</f>
        <v>0</v>
      </c>
      <c r="P74" s="13">
        <f>$I$18*$P$18</f>
        <v>0</v>
      </c>
      <c r="Q74" s="13">
        <f>$I$18*$Q$18</f>
        <v>0</v>
      </c>
      <c r="R74" s="13">
        <f>$I$18*$R$18</f>
        <v>0</v>
      </c>
      <c r="S74" s="13">
        <f>$I$18*$S$18</f>
        <v>0</v>
      </c>
      <c r="T74" s="13">
        <f>$I$18*$T$18</f>
        <v>0</v>
      </c>
      <c r="U74" s="13">
        <f>$I$18*$U$18</f>
        <v>0</v>
      </c>
      <c r="V74" s="13">
        <f>$I$18*$V$18</f>
        <v>0</v>
      </c>
      <c r="W74" s="13">
        <f>$I$18*$W$18</f>
        <v>0</v>
      </c>
      <c r="X74" s="13">
        <f>$I$18*$X$18</f>
        <v>0</v>
      </c>
      <c r="Y74" s="13">
        <f>$I$18*$Y$18</f>
        <v>0</v>
      </c>
      <c r="Z74" s="13">
        <f>$I$18*$Z$18</f>
        <v>0</v>
      </c>
      <c r="AA74" s="13">
        <f>$I$18*$AA$18</f>
        <v>0</v>
      </c>
      <c r="AB74" s="13">
        <f ca="1">$I$18*$AB$18</f>
        <v>0</v>
      </c>
      <c r="AC74" s="13">
        <f ca="1">$I$18*$AC$18</f>
        <v>0</v>
      </c>
      <c r="AD74" s="13">
        <f>$I$18*$AD$18</f>
        <v>0</v>
      </c>
      <c r="AE74" s="13">
        <f>$I$18*$AE$18</f>
        <v>0</v>
      </c>
      <c r="AF74" s="13">
        <f ca="1">$I$18*$AF$18</f>
        <v>0</v>
      </c>
      <c r="AG74" s="13">
        <f ca="1">$I$18*$AG$18</f>
        <v>0</v>
      </c>
      <c r="AI74" s="13">
        <f>$I$18*$AI$18</f>
        <v>0</v>
      </c>
      <c r="AJ74" s="13">
        <f>$I$18*$AJ$18</f>
        <v>0</v>
      </c>
      <c r="AK74" s="13">
        <f>$I$18*$AK$18</f>
        <v>0</v>
      </c>
      <c r="AL74" s="13">
        <f>$I$18*$AL$18</f>
        <v>0</v>
      </c>
      <c r="AM74" s="13">
        <f>$I$18*$AM$18</f>
        <v>0</v>
      </c>
      <c r="AN74" s="13">
        <f>$I$18*$AN$18</f>
        <v>0</v>
      </c>
      <c r="AO74" s="13">
        <f>$I$18*$AO$18</f>
        <v>0</v>
      </c>
      <c r="AP74" s="13">
        <f>$I$18*$AP$18</f>
        <v>0</v>
      </c>
      <c r="AQ74" s="13">
        <f>$I$18*$AQ$18</f>
        <v>0</v>
      </c>
      <c r="AR74" s="13">
        <f>$I$18*$AR$18</f>
        <v>0</v>
      </c>
      <c r="AS74" s="13">
        <f>$I$18*$AS$18</f>
        <v>0</v>
      </c>
      <c r="AT74" s="13">
        <f>$I$18*$AT$18</f>
        <v>0</v>
      </c>
      <c r="AU74" s="13">
        <f>$I$18*$AU$18</f>
        <v>0</v>
      </c>
      <c r="AV74" s="13">
        <f>$I$18*$AV$18</f>
        <v>0</v>
      </c>
      <c r="AW74" s="13">
        <f>$I$18*$AW$18</f>
        <v>0</v>
      </c>
      <c r="AX74" s="13">
        <f>$I$18*$AX$18</f>
        <v>0</v>
      </c>
      <c r="AY74" s="13">
        <f>$I$18*$AY$18</f>
        <v>0</v>
      </c>
      <c r="AZ74" s="13">
        <f>$I$18*$AZ$18</f>
        <v>0</v>
      </c>
      <c r="BA74" s="13">
        <f>$I$18*$BA$18</f>
        <v>0</v>
      </c>
      <c r="BB74" s="13">
        <f>$I$18*$BB$18</f>
        <v>0</v>
      </c>
      <c r="BC74" s="13">
        <f>$I$18*$BC$18</f>
        <v>0</v>
      </c>
      <c r="BD74" s="13">
        <f>$I$18*$BD$18</f>
        <v>0</v>
      </c>
    </row>
    <row r="75" spans="1:56" ht="11.25" customHeight="1" x14ac:dyDescent="0.3">
      <c r="A75" s="9" t="s">
        <v>86</v>
      </c>
      <c r="B75" s="9" t="s">
        <v>912</v>
      </c>
      <c r="C75" s="9" t="s">
        <v>913</v>
      </c>
      <c r="D75" s="9" t="s">
        <v>914</v>
      </c>
      <c r="E75" s="9" t="s">
        <v>915</v>
      </c>
      <c r="F75" s="9" t="s">
        <v>916</v>
      </c>
      <c r="G75" s="9" t="s">
        <v>917</v>
      </c>
      <c r="L75" s="13">
        <f>$I$19*$L$19</f>
        <v>0</v>
      </c>
      <c r="M75" s="13">
        <f>$I$19*$M$19</f>
        <v>3.9306915535184037E-10</v>
      </c>
      <c r="N75" s="13">
        <f ca="1">$I$19*$N$19</f>
        <v>1.9009545489440704E-9</v>
      </c>
      <c r="O75" s="13">
        <f>$I$19*$O$19</f>
        <v>0</v>
      </c>
      <c r="P75" s="13">
        <f>$I$19*$P$19</f>
        <v>0</v>
      </c>
      <c r="Q75" s="13">
        <f>$I$19*$Q$19</f>
        <v>0</v>
      </c>
      <c r="R75" s="13">
        <f>$I$19*$R$19</f>
        <v>0</v>
      </c>
      <c r="S75" s="13">
        <f>$I$19*$S$19</f>
        <v>0</v>
      </c>
      <c r="T75" s="13">
        <f>$I$19*$T$19</f>
        <v>0</v>
      </c>
      <c r="U75" s="13">
        <f>$I$19*$U$19</f>
        <v>0</v>
      </c>
      <c r="V75" s="13">
        <f>$I$19*$V$19</f>
        <v>0</v>
      </c>
      <c r="W75" s="13">
        <f>$I$19*$W$19</f>
        <v>0</v>
      </c>
      <c r="X75" s="13">
        <f>$I$19*$X$19</f>
        <v>0</v>
      </c>
      <c r="Y75" s="13">
        <f>$I$19*$Y$19</f>
        <v>0</v>
      </c>
      <c r="Z75" s="13">
        <f>$I$19*$Z$19</f>
        <v>0</v>
      </c>
      <c r="AA75" s="13">
        <f>$I$19*$AA$19</f>
        <v>1.0547180835923758E-7</v>
      </c>
      <c r="AB75" s="13">
        <f ca="1">$I$19*$AB$19</f>
        <v>-4.2328385613141892E-9</v>
      </c>
      <c r="AC75" s="13">
        <f ca="1">$I$19*$AC$19</f>
        <v>0</v>
      </c>
      <c r="AD75" s="13">
        <f>$I$19*$AD$19</f>
        <v>0</v>
      </c>
      <c r="AE75" s="13">
        <f>$I$19*$AE$19</f>
        <v>0</v>
      </c>
      <c r="AF75" s="13">
        <f ca="1">$I$19*$AF$19</f>
        <v>0</v>
      </c>
      <c r="AG75" s="13">
        <f ca="1">$I$19*$AG$19</f>
        <v>0</v>
      </c>
      <c r="AI75" s="13">
        <f>$I$19*$AI$19</f>
        <v>0</v>
      </c>
      <c r="AJ75" s="13">
        <f>$I$19*$AJ$19</f>
        <v>0</v>
      </c>
      <c r="AK75" s="13">
        <f>$I$19*$AK$19</f>
        <v>0</v>
      </c>
      <c r="AL75" s="13">
        <f>$I$19*$AL$19</f>
        <v>0</v>
      </c>
      <c r="AM75" s="13">
        <f>$I$19*$AM$19</f>
        <v>0</v>
      </c>
      <c r="AN75" s="13">
        <f>$I$19*$AN$19</f>
        <v>0</v>
      </c>
      <c r="AO75" s="13">
        <f>$I$19*$AO$19</f>
        <v>0</v>
      </c>
      <c r="AP75" s="13">
        <f>$I$19*$AP$19</f>
        <v>0</v>
      </c>
      <c r="AQ75" s="13">
        <f>$I$19*$AQ$19</f>
        <v>0</v>
      </c>
      <c r="AR75" s="13">
        <f>$I$19*$AR$19</f>
        <v>0</v>
      </c>
      <c r="AS75" s="13">
        <f>$I$19*$AS$19</f>
        <v>0</v>
      </c>
      <c r="AT75" s="13">
        <f>$I$19*$AT$19</f>
        <v>0</v>
      </c>
      <c r="AU75" s="13">
        <f>$I$19*$AU$19</f>
        <v>0</v>
      </c>
      <c r="AV75" s="13">
        <f>$I$19*$AV$19</f>
        <v>0</v>
      </c>
      <c r="AW75" s="13">
        <f>$I$19*$AW$19</f>
        <v>0</v>
      </c>
      <c r="AX75" s="13">
        <f>$I$19*$AX$19</f>
        <v>0</v>
      </c>
      <c r="AY75" s="13">
        <f>$I$19*$AY$19</f>
        <v>0</v>
      </c>
      <c r="AZ75" s="13">
        <f>$I$19*$AZ$19</f>
        <v>0</v>
      </c>
      <c r="BA75" s="13">
        <f>$I$19*$BA$19</f>
        <v>0</v>
      </c>
      <c r="BB75" s="13">
        <f>$I$19*$BB$19</f>
        <v>0</v>
      </c>
      <c r="BC75" s="13">
        <f>$I$19*$BC$19</f>
        <v>0</v>
      </c>
      <c r="BD75" s="13">
        <f>$I$19*$BD$19</f>
        <v>0</v>
      </c>
    </row>
    <row r="76" spans="1:56" ht="11.25" customHeight="1" x14ac:dyDescent="0.3">
      <c r="A76" s="9" t="s">
        <v>86</v>
      </c>
      <c r="B76" s="9" t="s">
        <v>912</v>
      </c>
      <c r="C76" s="9" t="s">
        <v>913</v>
      </c>
      <c r="D76" s="9" t="s">
        <v>914</v>
      </c>
      <c r="E76" s="9" t="s">
        <v>918</v>
      </c>
      <c r="F76" s="9" t="s">
        <v>919</v>
      </c>
      <c r="G76" s="9" t="s">
        <v>920</v>
      </c>
      <c r="L76" s="13">
        <f>$I$20*$L$20</f>
        <v>0</v>
      </c>
      <c r="M76" s="13">
        <f>$I$20*$M$20</f>
        <v>3.9306915535184037E-10</v>
      </c>
      <c r="N76" s="13">
        <f ca="1">$I$20*$N$20</f>
        <v>1.9009545489440704E-9</v>
      </c>
      <c r="O76" s="13">
        <f>$I$20*$O$20</f>
        <v>0</v>
      </c>
      <c r="P76" s="13">
        <f>$I$20*$P$20</f>
        <v>0</v>
      </c>
      <c r="Q76" s="13">
        <f>$I$20*$Q$20</f>
        <v>0</v>
      </c>
      <c r="R76" s="13">
        <f>$I$20*$R$20</f>
        <v>0</v>
      </c>
      <c r="S76" s="13">
        <f>$I$20*$S$20</f>
        <v>0</v>
      </c>
      <c r="T76" s="13">
        <f>$I$20*$T$20</f>
        <v>0</v>
      </c>
      <c r="U76" s="13">
        <f>$I$20*$U$20</f>
        <v>0</v>
      </c>
      <c r="V76" s="13">
        <f>$I$20*$V$20</f>
        <v>0</v>
      </c>
      <c r="W76" s="13">
        <f>$I$20*$W$20</f>
        <v>0</v>
      </c>
      <c r="X76" s="13">
        <f>$I$20*$X$20</f>
        <v>0</v>
      </c>
      <c r="Y76" s="13">
        <f>$I$20*$Y$20</f>
        <v>0</v>
      </c>
      <c r="Z76" s="13">
        <f>$I$20*$Z$20</f>
        <v>0</v>
      </c>
      <c r="AA76" s="13">
        <f>$I$20*$AA$20</f>
        <v>1.6392896890350119E-7</v>
      </c>
      <c r="AB76" s="13">
        <f ca="1">$I$20*$AB$20</f>
        <v>-6.5292099856924621E-9</v>
      </c>
      <c r="AC76" s="13">
        <f ca="1">$I$20*$AC$20</f>
        <v>0</v>
      </c>
      <c r="AD76" s="13">
        <f>$I$20*$AD$20</f>
        <v>0</v>
      </c>
      <c r="AE76" s="13">
        <f>$I$20*$AE$20</f>
        <v>0</v>
      </c>
      <c r="AF76" s="13">
        <f ca="1">$I$20*$AF$20</f>
        <v>0</v>
      </c>
      <c r="AG76" s="13">
        <f ca="1">$I$20*$AG$20</f>
        <v>0</v>
      </c>
      <c r="AI76" s="13">
        <f>$I$20*$AI$20</f>
        <v>0</v>
      </c>
      <c r="AJ76" s="13">
        <f>$I$20*$AJ$20</f>
        <v>0</v>
      </c>
      <c r="AK76" s="13">
        <f>$I$20*$AK$20</f>
        <v>0</v>
      </c>
      <c r="AL76" s="13">
        <f>$I$20*$AL$20</f>
        <v>0</v>
      </c>
      <c r="AM76" s="13">
        <f>$I$20*$AM$20</f>
        <v>0</v>
      </c>
      <c r="AN76" s="13">
        <f>$I$20*$AN$20</f>
        <v>0</v>
      </c>
      <c r="AO76" s="13">
        <f>$I$20*$AO$20</f>
        <v>0</v>
      </c>
      <c r="AP76" s="13">
        <f>$I$20*$AP$20</f>
        <v>0</v>
      </c>
      <c r="AQ76" s="13">
        <f>$I$20*$AQ$20</f>
        <v>0</v>
      </c>
      <c r="AR76" s="13">
        <f>$I$20*$AR$20</f>
        <v>0</v>
      </c>
      <c r="AS76" s="13">
        <f>$I$20*$AS$20</f>
        <v>0</v>
      </c>
      <c r="AT76" s="13">
        <f>$I$20*$AT$20</f>
        <v>0</v>
      </c>
      <c r="AU76" s="13">
        <f>$I$20*$AU$20</f>
        <v>0</v>
      </c>
      <c r="AV76" s="13">
        <f>$I$20*$AV$20</f>
        <v>0</v>
      </c>
      <c r="AW76" s="13">
        <f>$I$20*$AW$20</f>
        <v>0</v>
      </c>
      <c r="AX76" s="13">
        <f>$I$20*$AX$20</f>
        <v>0</v>
      </c>
      <c r="AY76" s="13">
        <f>$I$20*$AY$20</f>
        <v>0</v>
      </c>
      <c r="AZ76" s="13">
        <f>$I$20*$AZ$20</f>
        <v>0</v>
      </c>
      <c r="BA76" s="13">
        <f>$I$20*$BA$20</f>
        <v>0</v>
      </c>
      <c r="BB76" s="13">
        <f>$I$20*$BB$20</f>
        <v>0</v>
      </c>
      <c r="BC76" s="13">
        <f>$I$20*$BC$20</f>
        <v>0</v>
      </c>
      <c r="BD76" s="13">
        <f>$I$20*$BD$20</f>
        <v>0</v>
      </c>
    </row>
    <row r="77" spans="1:56" ht="11.25" customHeight="1" x14ac:dyDescent="0.3">
      <c r="A77" s="9" t="s">
        <v>22</v>
      </c>
      <c r="B77" s="9" t="s">
        <v>921</v>
      </c>
      <c r="C77" s="9" t="s">
        <v>922</v>
      </c>
      <c r="D77" s="9" t="s">
        <v>923</v>
      </c>
      <c r="E77" s="9" t="s">
        <v>924</v>
      </c>
      <c r="F77" s="9" t="s">
        <v>925</v>
      </c>
      <c r="G77" s="9" t="s">
        <v>926</v>
      </c>
      <c r="L77" s="13">
        <f>$I$21*$L$21</f>
        <v>0</v>
      </c>
      <c r="M77" s="13">
        <f>$I$21*$M$21</f>
        <v>0</v>
      </c>
      <c r="N77" s="13">
        <f ca="1">$I$21*$N$21</f>
        <v>0</v>
      </c>
      <c r="O77" s="13">
        <f>$I$21*$O$21</f>
        <v>0</v>
      </c>
      <c r="P77" s="13">
        <f>$I$21*$P$21</f>
        <v>0</v>
      </c>
      <c r="Q77" s="13">
        <f>$I$21*$Q$21</f>
        <v>0</v>
      </c>
      <c r="R77" s="13">
        <f>$I$21*$R$21</f>
        <v>0</v>
      </c>
      <c r="S77" s="13">
        <f>$I$21*$S$21</f>
        <v>0</v>
      </c>
      <c r="T77" s="13">
        <f>$I$21*$T$21</f>
        <v>0</v>
      </c>
      <c r="U77" s="13">
        <f>$I$21*$U$21</f>
        <v>0</v>
      </c>
      <c r="V77" s="13">
        <f>$I$21*$V$21</f>
        <v>0</v>
      </c>
      <c r="W77" s="13">
        <f>$I$21*$W$21</f>
        <v>0</v>
      </c>
      <c r="X77" s="13">
        <f>$I$21*$X$21</f>
        <v>0</v>
      </c>
      <c r="Y77" s="13">
        <f>$I$21*$Y$21</f>
        <v>0</v>
      </c>
      <c r="Z77" s="13">
        <f>$I$21*$Z$21</f>
        <v>0</v>
      </c>
      <c r="AA77" s="13">
        <f>$I$21*$AA$21</f>
        <v>0</v>
      </c>
      <c r="AB77" s="13">
        <f ca="1">$I$21*$AB$21</f>
        <v>0</v>
      </c>
      <c r="AC77" s="13">
        <f ca="1">$I$21*$AC$21</f>
        <v>0</v>
      </c>
      <c r="AD77" s="13">
        <f>$I$21*$AD$21</f>
        <v>0</v>
      </c>
      <c r="AE77" s="13">
        <f>$I$21*$AE$21</f>
        <v>0</v>
      </c>
      <c r="AF77" s="13">
        <f ca="1">$I$21*$AF$21</f>
        <v>0</v>
      </c>
      <c r="AG77" s="13">
        <f ca="1">$I$21*$AG$21</f>
        <v>0</v>
      </c>
      <c r="AI77" s="13">
        <f>$I$21*$AI$21</f>
        <v>0</v>
      </c>
      <c r="AJ77" s="13">
        <f>$I$21*$AJ$21</f>
        <v>0</v>
      </c>
      <c r="AK77" s="13">
        <f>$I$21*$AK$21</f>
        <v>0</v>
      </c>
      <c r="AL77" s="13">
        <f>$I$21*$AL$21</f>
        <v>0</v>
      </c>
      <c r="AM77" s="13">
        <f>$I$21*$AM$21</f>
        <v>0</v>
      </c>
      <c r="AN77" s="13">
        <f>$I$21*$AN$21</f>
        <v>0</v>
      </c>
      <c r="AO77" s="13">
        <f>$I$21*$AO$21</f>
        <v>0</v>
      </c>
      <c r="AP77" s="13">
        <f>$I$21*$AP$21</f>
        <v>0</v>
      </c>
      <c r="AQ77" s="13">
        <f>$I$21*$AQ$21</f>
        <v>0</v>
      </c>
      <c r="AR77" s="13">
        <f>$I$21*$AR$21</f>
        <v>0</v>
      </c>
      <c r="AS77" s="13">
        <f>$I$21*$AS$21</f>
        <v>0</v>
      </c>
      <c r="AT77" s="13">
        <f>$I$21*$AT$21</f>
        <v>0</v>
      </c>
      <c r="AU77" s="13">
        <f>$I$21*$AU$21</f>
        <v>0</v>
      </c>
      <c r="AV77" s="13">
        <f>$I$21*$AV$21</f>
        <v>0</v>
      </c>
      <c r="AW77" s="13">
        <f>$I$21*$AW$21</f>
        <v>0</v>
      </c>
      <c r="AX77" s="13">
        <f>$I$21*$AX$21</f>
        <v>0</v>
      </c>
      <c r="AY77" s="13">
        <f>$I$21*$AY$21</f>
        <v>0</v>
      </c>
      <c r="AZ77" s="13">
        <f>$I$21*$AZ$21</f>
        <v>0</v>
      </c>
      <c r="BA77" s="13">
        <f>$I$21*$BA$21</f>
        <v>0</v>
      </c>
      <c r="BB77" s="13">
        <f>$I$21*$BB$21</f>
        <v>0</v>
      </c>
      <c r="BC77" s="13">
        <f>$I$21*$BC$21</f>
        <v>0</v>
      </c>
      <c r="BD77" s="13">
        <f>$I$21*$BD$21</f>
        <v>0</v>
      </c>
    </row>
    <row r="78" spans="1:56" ht="11.25" customHeight="1" x14ac:dyDescent="0.3">
      <c r="A78" s="9" t="s">
        <v>22</v>
      </c>
      <c r="B78" s="9" t="s">
        <v>921</v>
      </c>
      <c r="C78" s="9" t="s">
        <v>922</v>
      </c>
      <c r="D78" s="9" t="s">
        <v>923</v>
      </c>
      <c r="E78" s="9" t="s">
        <v>924</v>
      </c>
      <c r="F78" s="9" t="s">
        <v>925</v>
      </c>
      <c r="G78" s="9" t="s">
        <v>927</v>
      </c>
      <c r="L78" s="13">
        <f>$I$22*$L$22</f>
        <v>0</v>
      </c>
      <c r="M78" s="13">
        <f>$I$22*$M$22</f>
        <v>0</v>
      </c>
      <c r="N78" s="13">
        <f ca="1">$I$22*$N$22</f>
        <v>0</v>
      </c>
      <c r="O78" s="13">
        <f>$I$22*$O$22</f>
        <v>0</v>
      </c>
      <c r="P78" s="13">
        <f>$I$22*$P$22</f>
        <v>0</v>
      </c>
      <c r="Q78" s="13">
        <f>$I$22*$Q$22</f>
        <v>0</v>
      </c>
      <c r="R78" s="13">
        <f>$I$22*$R$22</f>
        <v>0</v>
      </c>
      <c r="S78" s="13">
        <f>$I$22*$S$22</f>
        <v>0</v>
      </c>
      <c r="T78" s="13">
        <f>$I$22*$T$22</f>
        <v>0</v>
      </c>
      <c r="U78" s="13">
        <f>$I$22*$U$22</f>
        <v>0</v>
      </c>
      <c r="V78" s="13">
        <f>$I$22*$V$22</f>
        <v>0</v>
      </c>
      <c r="W78" s="13">
        <f>$I$22*$W$22</f>
        <v>0</v>
      </c>
      <c r="X78" s="13">
        <f>$I$22*$X$22</f>
        <v>0</v>
      </c>
      <c r="Y78" s="13">
        <f>$I$22*$Y$22</f>
        <v>0</v>
      </c>
      <c r="Z78" s="13">
        <f>$I$22*$Z$22</f>
        <v>0</v>
      </c>
      <c r="AA78" s="13">
        <f>$I$22*$AA$22</f>
        <v>0</v>
      </c>
      <c r="AB78" s="13">
        <f ca="1">$I$22*$AB$22</f>
        <v>0</v>
      </c>
      <c r="AC78" s="13">
        <f ca="1">$I$22*$AC$22</f>
        <v>0</v>
      </c>
      <c r="AD78" s="13">
        <f>$I$22*$AD$22</f>
        <v>0</v>
      </c>
      <c r="AE78" s="13">
        <f>$I$22*$AE$22</f>
        <v>0</v>
      </c>
      <c r="AF78" s="13">
        <f ca="1">$I$22*$AF$22</f>
        <v>0</v>
      </c>
      <c r="AG78" s="13">
        <f ca="1">$I$22*$AG$22</f>
        <v>0</v>
      </c>
      <c r="AI78" s="13">
        <f>$I$22*$AI$22</f>
        <v>0</v>
      </c>
      <c r="AJ78" s="13">
        <f>$I$22*$AJ$22</f>
        <v>0</v>
      </c>
      <c r="AK78" s="13">
        <f>$I$22*$AK$22</f>
        <v>0</v>
      </c>
      <c r="AL78" s="13">
        <f>$I$22*$AL$22</f>
        <v>0</v>
      </c>
      <c r="AM78" s="13">
        <f>$I$22*$AM$22</f>
        <v>0</v>
      </c>
      <c r="AN78" s="13">
        <f>$I$22*$AN$22</f>
        <v>0</v>
      </c>
      <c r="AO78" s="13">
        <f>$I$22*$AO$22</f>
        <v>0</v>
      </c>
      <c r="AP78" s="13">
        <f>$I$22*$AP$22</f>
        <v>0</v>
      </c>
      <c r="AQ78" s="13">
        <f>$I$22*$AQ$22</f>
        <v>0</v>
      </c>
      <c r="AR78" s="13">
        <f>$I$22*$AR$22</f>
        <v>0</v>
      </c>
      <c r="AS78" s="13">
        <f>$I$22*$AS$22</f>
        <v>0</v>
      </c>
      <c r="AT78" s="13">
        <f>$I$22*$AT$22</f>
        <v>0</v>
      </c>
      <c r="AU78" s="13">
        <f>$I$22*$AU$22</f>
        <v>0</v>
      </c>
      <c r="AV78" s="13">
        <f>$I$22*$AV$22</f>
        <v>0</v>
      </c>
      <c r="AW78" s="13">
        <f>$I$22*$AW$22</f>
        <v>0</v>
      </c>
      <c r="AX78" s="13">
        <f>$I$22*$AX$22</f>
        <v>0</v>
      </c>
      <c r="AY78" s="13">
        <f>$I$22*$AY$22</f>
        <v>0</v>
      </c>
      <c r="AZ78" s="13">
        <f>$I$22*$AZ$22</f>
        <v>0</v>
      </c>
      <c r="BA78" s="13">
        <f>$I$22*$BA$22</f>
        <v>0</v>
      </c>
      <c r="BB78" s="13">
        <f>$I$22*$BB$22</f>
        <v>0</v>
      </c>
      <c r="BC78" s="13">
        <f>$I$22*$BC$22</f>
        <v>0</v>
      </c>
      <c r="BD78" s="13">
        <f>$I$22*$BD$22</f>
        <v>0</v>
      </c>
    </row>
    <row r="79" spans="1:56" ht="11.25" customHeight="1" x14ac:dyDescent="0.3">
      <c r="A79" s="9" t="s">
        <v>22</v>
      </c>
      <c r="B79" s="9" t="s">
        <v>921</v>
      </c>
      <c r="C79" s="9" t="s">
        <v>922</v>
      </c>
      <c r="D79" s="9" t="s">
        <v>923</v>
      </c>
      <c r="E79" s="9" t="s">
        <v>924</v>
      </c>
      <c r="F79" s="9" t="s">
        <v>925</v>
      </c>
      <c r="G79" s="9" t="s">
        <v>928</v>
      </c>
      <c r="L79" s="13">
        <f>$I$23*$L$23</f>
        <v>0</v>
      </c>
      <c r="M79" s="13">
        <f>$I$23*$M$23</f>
        <v>0</v>
      </c>
      <c r="N79" s="13">
        <f ca="1">$I$23*$N$23</f>
        <v>0</v>
      </c>
      <c r="O79" s="13">
        <f>$I$23*$O$23</f>
        <v>0</v>
      </c>
      <c r="P79" s="13">
        <f>$I$23*$P$23</f>
        <v>0</v>
      </c>
      <c r="Q79" s="13">
        <f>$I$23*$Q$23</f>
        <v>0</v>
      </c>
      <c r="R79" s="13">
        <f>$I$23*$R$23</f>
        <v>0</v>
      </c>
      <c r="S79" s="13">
        <f>$I$23*$S$23</f>
        <v>0</v>
      </c>
      <c r="T79" s="13">
        <f>$I$23*$T$23</f>
        <v>0</v>
      </c>
      <c r="U79" s="13">
        <f>$I$23*$U$23</f>
        <v>0</v>
      </c>
      <c r="V79" s="13">
        <f>$I$23*$V$23</f>
        <v>0</v>
      </c>
      <c r="W79" s="13">
        <f>$I$23*$W$23</f>
        <v>0</v>
      </c>
      <c r="X79" s="13">
        <f>$I$23*$X$23</f>
        <v>0</v>
      </c>
      <c r="Y79" s="13">
        <f>$I$23*$Y$23</f>
        <v>0</v>
      </c>
      <c r="Z79" s="13">
        <f>$I$23*$Z$23</f>
        <v>0</v>
      </c>
      <c r="AA79" s="13">
        <f>$I$23*$AA$23</f>
        <v>0</v>
      </c>
      <c r="AB79" s="13">
        <f ca="1">$I$23*$AB$23</f>
        <v>0</v>
      </c>
      <c r="AC79" s="13">
        <f ca="1">$I$23*$AC$23</f>
        <v>0</v>
      </c>
      <c r="AD79" s="13">
        <f>$I$23*$AD$23</f>
        <v>0</v>
      </c>
      <c r="AE79" s="13">
        <f>$I$23*$AE$23</f>
        <v>0</v>
      </c>
      <c r="AF79" s="13">
        <f ca="1">$I$23*$AF$23</f>
        <v>0</v>
      </c>
      <c r="AG79" s="13">
        <f ca="1">$I$23*$AG$23</f>
        <v>0</v>
      </c>
      <c r="AI79" s="13">
        <f>$I$23*$AI$23</f>
        <v>0</v>
      </c>
      <c r="AJ79" s="13">
        <f>$I$23*$AJ$23</f>
        <v>0</v>
      </c>
      <c r="AK79" s="13">
        <f>$I$23*$AK$23</f>
        <v>0</v>
      </c>
      <c r="AL79" s="13">
        <f>$I$23*$AL$23</f>
        <v>0</v>
      </c>
      <c r="AM79" s="13">
        <f>$I$23*$AM$23</f>
        <v>0</v>
      </c>
      <c r="AN79" s="13">
        <f>$I$23*$AN$23</f>
        <v>0</v>
      </c>
      <c r="AO79" s="13">
        <f>$I$23*$AO$23</f>
        <v>0</v>
      </c>
      <c r="AP79" s="13">
        <f>$I$23*$AP$23</f>
        <v>0</v>
      </c>
      <c r="AQ79" s="13">
        <f>$I$23*$AQ$23</f>
        <v>0</v>
      </c>
      <c r="AR79" s="13">
        <f>$I$23*$AR$23</f>
        <v>0</v>
      </c>
      <c r="AS79" s="13">
        <f>$I$23*$AS$23</f>
        <v>0</v>
      </c>
      <c r="AT79" s="13">
        <f>$I$23*$AT$23</f>
        <v>0</v>
      </c>
      <c r="AU79" s="13">
        <f>$I$23*$AU$23</f>
        <v>0</v>
      </c>
      <c r="AV79" s="13">
        <f>$I$23*$AV$23</f>
        <v>0</v>
      </c>
      <c r="AW79" s="13">
        <f>$I$23*$AW$23</f>
        <v>0</v>
      </c>
      <c r="AX79" s="13">
        <f>$I$23*$AX$23</f>
        <v>0</v>
      </c>
      <c r="AY79" s="13">
        <f>$I$23*$AY$23</f>
        <v>0</v>
      </c>
      <c r="AZ79" s="13">
        <f>$I$23*$AZ$23</f>
        <v>0</v>
      </c>
      <c r="BA79" s="13">
        <f>$I$23*$BA$23</f>
        <v>0</v>
      </c>
      <c r="BB79" s="13">
        <f>$I$23*$BB$23</f>
        <v>0</v>
      </c>
      <c r="BC79" s="13">
        <f>$I$23*$BC$23</f>
        <v>0</v>
      </c>
      <c r="BD79" s="13">
        <f>$I$23*$BD$23</f>
        <v>0</v>
      </c>
    </row>
    <row r="80" spans="1:56" ht="11.25" customHeight="1" x14ac:dyDescent="0.3">
      <c r="A80" s="9" t="s">
        <v>22</v>
      </c>
      <c r="B80" s="9" t="s">
        <v>929</v>
      </c>
      <c r="C80" s="9" t="s">
        <v>930</v>
      </c>
      <c r="D80" s="9" t="s">
        <v>931</v>
      </c>
      <c r="E80" s="9" t="s">
        <v>932</v>
      </c>
      <c r="F80" s="9" t="s">
        <v>933</v>
      </c>
      <c r="G80" s="9" t="s">
        <v>934</v>
      </c>
      <c r="L80" s="13">
        <f>$I$24*$L$24</f>
        <v>32684.181888955605</v>
      </c>
      <c r="M80" s="13">
        <f>$I$24*$M$24</f>
        <v>10605.678758334267</v>
      </c>
      <c r="N80" s="13">
        <f ca="1">$I$24*$N$24</f>
        <v>67088.964472897147</v>
      </c>
      <c r="O80" s="13">
        <f>$I$24*$O$24</f>
        <v>0</v>
      </c>
      <c r="P80" s="13">
        <f>$I$24*$P$24</f>
        <v>0</v>
      </c>
      <c r="Q80" s="13">
        <f>$I$24*$Q$24</f>
        <v>1539888.1010947118</v>
      </c>
      <c r="R80" s="13">
        <f>$I$24*$R$24</f>
        <v>233844.76188465921</v>
      </c>
      <c r="S80" s="13">
        <f>$I$24*$S$24</f>
        <v>0</v>
      </c>
      <c r="T80" s="13">
        <f>$I$24*$T$24</f>
        <v>0</v>
      </c>
      <c r="U80" s="13">
        <f>$I$24*$U$24</f>
        <v>0</v>
      </c>
      <c r="V80" s="13">
        <f>$I$24*$V$24</f>
        <v>0</v>
      </c>
      <c r="W80" s="13">
        <f>$I$24*$W$24</f>
        <v>0</v>
      </c>
      <c r="X80" s="13">
        <f>$I$24*$X$24</f>
        <v>1174284.5860815605</v>
      </c>
      <c r="Y80" s="13">
        <f>$I$24*$Y$24</f>
        <v>0</v>
      </c>
      <c r="Z80" s="13">
        <f>$I$24*$Z$24</f>
        <v>0</v>
      </c>
      <c r="AA80" s="13">
        <f>$I$24*$AA$24</f>
        <v>2309187.1678127619</v>
      </c>
      <c r="AB80" s="13">
        <f ca="1">$I$24*$AB$24</f>
        <v>-202067.11738006197</v>
      </c>
      <c r="AC80" s="13">
        <f ca="1">$I$24*$AC$24</f>
        <v>0</v>
      </c>
      <c r="AD80" s="13">
        <f>$I$24*$AD$24</f>
        <v>256984.19297716703</v>
      </c>
      <c r="AE80" s="13">
        <f>$I$24*$AE$24</f>
        <v>0</v>
      </c>
      <c r="AF80" s="13">
        <f ca="1">$I$24*$AF$24</f>
        <v>15073.903095873884</v>
      </c>
      <c r="AG80" s="13">
        <f ca="1">$I$24*$AG$24</f>
        <v>2273.0325552390987</v>
      </c>
      <c r="AI80" s="13">
        <f>$I$24*$AI$24</f>
        <v>26435.715190496419</v>
      </c>
      <c r="AJ80" s="13">
        <f>$I$24*$AJ$24</f>
        <v>8696.0496356960302</v>
      </c>
      <c r="AK80" s="13">
        <f>$I$24*$AK$24</f>
        <v>52327.426128986583</v>
      </c>
      <c r="AL80" s="13">
        <f>$I$24*$AL$24</f>
        <v>0</v>
      </c>
      <c r="AM80" s="13">
        <f>$I$24*$AM$24</f>
        <v>0</v>
      </c>
      <c r="AN80" s="13">
        <f>$I$24*$AN$24</f>
        <v>705738.76294596749</v>
      </c>
      <c r="AO80" s="13">
        <f>$I$24*$AO$24</f>
        <v>108061.04924518854</v>
      </c>
      <c r="AP80" s="13">
        <f>$I$24*$AP$24</f>
        <v>0</v>
      </c>
      <c r="AQ80" s="13">
        <f>$I$24*$AQ$24</f>
        <v>0</v>
      </c>
      <c r="AR80" s="13">
        <f>$I$24*$AR$24</f>
        <v>0</v>
      </c>
      <c r="AS80" s="13">
        <f>$I$24*$AS$24</f>
        <v>0</v>
      </c>
      <c r="AT80" s="13">
        <f>$I$24*$AT$24</f>
        <v>0</v>
      </c>
      <c r="AU80" s="13">
        <f>$I$24*$AU$24</f>
        <v>837029.82587277039</v>
      </c>
      <c r="AV80" s="13">
        <f>$I$24*$AV$24</f>
        <v>0</v>
      </c>
      <c r="AW80" s="13">
        <f>$I$24*$AW$24</f>
        <v>0</v>
      </c>
      <c r="AX80" s="13">
        <f>$I$24*$AX$24</f>
        <v>1993807.3696096097</v>
      </c>
      <c r="AY80" s="13">
        <f>$I$24*$AY$24</f>
        <v>-61207.778316116128</v>
      </c>
      <c r="AZ80" s="13">
        <f>$I$24*$AZ$24</f>
        <v>0</v>
      </c>
      <c r="BA80" s="13">
        <f>$I$24*$BA$24</f>
        <v>268050.92523135088</v>
      </c>
      <c r="BB80" s="13">
        <f>$I$24*$BB$24</f>
        <v>0</v>
      </c>
      <c r="BC80" s="13">
        <f>$I$24*$BC$24</f>
        <v>15788.572433571975</v>
      </c>
      <c r="BD80" s="13">
        <f>$I$24*$BD$24</f>
        <v>2167.742858862865</v>
      </c>
    </row>
    <row r="81" spans="1:56" ht="11.25" customHeight="1" x14ac:dyDescent="0.3">
      <c r="A81" s="9" t="s">
        <v>22</v>
      </c>
      <c r="B81" s="9" t="s">
        <v>929</v>
      </c>
      <c r="C81" s="9" t="s">
        <v>930</v>
      </c>
      <c r="D81" s="9" t="s">
        <v>935</v>
      </c>
      <c r="E81" s="9" t="s">
        <v>936</v>
      </c>
      <c r="F81" s="9" t="s">
        <v>937</v>
      </c>
      <c r="G81" s="9" t="s">
        <v>938</v>
      </c>
      <c r="L81" s="13">
        <f>$I$25*$L$25</f>
        <v>0</v>
      </c>
      <c r="M81" s="13">
        <f>$I$25*$M$25</f>
        <v>39.037131270395101</v>
      </c>
      <c r="N81" s="13">
        <f ca="1">$I$25*$N$25</f>
        <v>246.09289895943769</v>
      </c>
      <c r="O81" s="13">
        <f>$I$25*$O$25</f>
        <v>0</v>
      </c>
      <c r="P81" s="13">
        <f>$I$25*$P$25</f>
        <v>0</v>
      </c>
      <c r="Q81" s="13">
        <f>$I$25*$Q$25</f>
        <v>0</v>
      </c>
      <c r="R81" s="13">
        <f>$I$25*$R$25</f>
        <v>0</v>
      </c>
      <c r="S81" s="13">
        <f>$I$25*$S$25</f>
        <v>0</v>
      </c>
      <c r="T81" s="13">
        <f>$I$25*$T$25</f>
        <v>0</v>
      </c>
      <c r="U81" s="13">
        <f>$I$25*$U$25</f>
        <v>0</v>
      </c>
      <c r="V81" s="13">
        <f>$I$25*$V$25</f>
        <v>0</v>
      </c>
      <c r="W81" s="13">
        <f>$I$25*$W$25</f>
        <v>0</v>
      </c>
      <c r="X81" s="13">
        <f>$I$25*$X$25</f>
        <v>4322.2789017293617</v>
      </c>
      <c r="Y81" s="13">
        <f>$I$25*$Y$25</f>
        <v>0</v>
      </c>
      <c r="Z81" s="13">
        <f>$I$25*$Z$25</f>
        <v>0</v>
      </c>
      <c r="AA81" s="13">
        <f>$I$25*$AA$25</f>
        <v>8499.601454266256</v>
      </c>
      <c r="AB81" s="13">
        <f ca="1">$I$25*$AB$25</f>
        <v>-542.59678885635992</v>
      </c>
      <c r="AC81" s="13">
        <f ca="1">$I$25*$AC$25</f>
        <v>0</v>
      </c>
      <c r="AD81" s="13">
        <f>$I$25*$AD$25</f>
        <v>945.90133307430438</v>
      </c>
      <c r="AE81" s="13">
        <f>$I$25*$AE$25</f>
        <v>0</v>
      </c>
      <c r="AF81" s="13">
        <f ca="1">$I$25*$AF$25</f>
        <v>55.483665620970115</v>
      </c>
      <c r="AG81" s="13">
        <f ca="1">$I$25*$AG$25</f>
        <v>8.3665244123127387</v>
      </c>
      <c r="AI81" s="13">
        <f>$I$25*$AI$25</f>
        <v>0</v>
      </c>
      <c r="AJ81" s="13">
        <f>$I$25*$AJ$25</f>
        <v>32.008213608749209</v>
      </c>
      <c r="AK81" s="13">
        <f>$I$25*$AK$25</f>
        <v>191.94566228360924</v>
      </c>
      <c r="AL81" s="13">
        <f>$I$25*$AL$25</f>
        <v>0</v>
      </c>
      <c r="AM81" s="13">
        <f>$I$25*$AM$25</f>
        <v>0</v>
      </c>
      <c r="AN81" s="13">
        <f>$I$25*$AN$25</f>
        <v>0</v>
      </c>
      <c r="AO81" s="13">
        <f>$I$25*$AO$25</f>
        <v>0</v>
      </c>
      <c r="AP81" s="13">
        <f>$I$25*$AP$25</f>
        <v>0</v>
      </c>
      <c r="AQ81" s="13">
        <f>$I$25*$AQ$25</f>
        <v>0</v>
      </c>
      <c r="AR81" s="13">
        <f>$I$25*$AR$25</f>
        <v>0</v>
      </c>
      <c r="AS81" s="13">
        <f>$I$25*$AS$25</f>
        <v>0</v>
      </c>
      <c r="AT81" s="13">
        <f>$I$25*$AT$25</f>
        <v>0</v>
      </c>
      <c r="AU81" s="13">
        <f>$I$25*$AU$25</f>
        <v>3080.9195652993048</v>
      </c>
      <c r="AV81" s="13">
        <f>$I$25*$AV$25</f>
        <v>0</v>
      </c>
      <c r="AW81" s="13">
        <f>$I$25*$AW$25</f>
        <v>0</v>
      </c>
      <c r="AX81" s="13">
        <f>$I$25*$AX$25</f>
        <v>7338.7589600682813</v>
      </c>
      <c r="AY81" s="13">
        <f>$I$25*$AY$25</f>
        <v>-182.97145934668538</v>
      </c>
      <c r="AZ81" s="13">
        <f>$I$25*$AZ$25</f>
        <v>0</v>
      </c>
      <c r="BA81" s="13">
        <f>$I$25*$BA$25</f>
        <v>986.63549913617851</v>
      </c>
      <c r="BB81" s="13">
        <f>$I$25*$BB$25</f>
        <v>0</v>
      </c>
      <c r="BC81" s="13">
        <f>$I$25*$BC$25</f>
        <v>58.114203598440447</v>
      </c>
      <c r="BD81" s="13">
        <f>$I$25*$BD$25</f>
        <v>7.9789765907620236</v>
      </c>
    </row>
    <row r="82" spans="1:56" ht="11.25" customHeight="1" x14ac:dyDescent="0.3">
      <c r="A82" s="9" t="s">
        <v>22</v>
      </c>
      <c r="B82" s="9" t="s">
        <v>929</v>
      </c>
      <c r="C82" s="9" t="s">
        <v>930</v>
      </c>
      <c r="D82" s="9" t="s">
        <v>939</v>
      </c>
      <c r="E82" s="9" t="s">
        <v>940</v>
      </c>
      <c r="F82" s="9" t="s">
        <v>941</v>
      </c>
      <c r="G82" s="9" t="s">
        <v>942</v>
      </c>
      <c r="L82" s="13">
        <f>$I$26*$L$26</f>
        <v>0</v>
      </c>
      <c r="M82" s="13">
        <f>$I$26*$M$26</f>
        <v>140.35376015673828</v>
      </c>
      <c r="N82" s="13">
        <f ca="1">$I$26*$N$26</f>
        <v>884.80025536670939</v>
      </c>
      <c r="O82" s="13">
        <f>$I$26*$O$26</f>
        <v>0</v>
      </c>
      <c r="P82" s="13">
        <f>$I$26*$P$26</f>
        <v>0</v>
      </c>
      <c r="Q82" s="13">
        <f>$I$26*$Q$26</f>
        <v>0</v>
      </c>
      <c r="R82" s="13">
        <f>$I$26*$R$26</f>
        <v>0</v>
      </c>
      <c r="S82" s="13">
        <f>$I$26*$S$26</f>
        <v>0</v>
      </c>
      <c r="T82" s="13">
        <f>$I$26*$T$26</f>
        <v>0</v>
      </c>
      <c r="U82" s="13">
        <f>$I$26*$U$26</f>
        <v>0</v>
      </c>
      <c r="V82" s="13">
        <f>$I$26*$V$26</f>
        <v>0</v>
      </c>
      <c r="W82" s="13">
        <f>$I$26*$W$26</f>
        <v>0</v>
      </c>
      <c r="X82" s="13">
        <f>$I$26*$X$26</f>
        <v>15540.28373913637</v>
      </c>
      <c r="Y82" s="13">
        <f>$I$26*$Y$26</f>
        <v>0</v>
      </c>
      <c r="Z82" s="13">
        <f>$I$26*$Z$26</f>
        <v>0</v>
      </c>
      <c r="AA82" s="13">
        <f>$I$26*$AA$26</f>
        <v>30559.392688895085</v>
      </c>
      <c r="AB82" s="13">
        <f ca="1">$I$26*$AB$26</f>
        <v>-1950.8477464048838</v>
      </c>
      <c r="AC82" s="13">
        <f ca="1">$I$26*$AC$26</f>
        <v>0</v>
      </c>
      <c r="AD82" s="13">
        <f>$I$26*$AD$26</f>
        <v>3400.8853753793328</v>
      </c>
      <c r="AE82" s="13">
        <f>$I$26*$AE$26</f>
        <v>0</v>
      </c>
      <c r="AF82" s="13">
        <f ca="1">$I$26*$AF$26</f>
        <v>199.48548583763508</v>
      </c>
      <c r="AG82" s="13">
        <f ca="1">$I$26*$AG$26</f>
        <v>30.080928656808872</v>
      </c>
      <c r="AI82" s="13">
        <f>$I$26*$AI$26</f>
        <v>0</v>
      </c>
      <c r="AJ82" s="13">
        <f>$I$26*$AJ$26</f>
        <v>115.08205110591778</v>
      </c>
      <c r="AK82" s="13">
        <f>$I$26*$AK$26</f>
        <v>690.11975446338295</v>
      </c>
      <c r="AL82" s="13">
        <f>$I$26*$AL$26</f>
        <v>0</v>
      </c>
      <c r="AM82" s="13">
        <f>$I$26*$AM$26</f>
        <v>0</v>
      </c>
      <c r="AN82" s="13">
        <f>$I$26*$AN$26</f>
        <v>0</v>
      </c>
      <c r="AO82" s="13">
        <f>$I$26*$AO$26</f>
        <v>0</v>
      </c>
      <c r="AP82" s="13">
        <f>$I$26*$AP$26</f>
        <v>0</v>
      </c>
      <c r="AQ82" s="13">
        <f>$I$26*$AQ$26</f>
        <v>0</v>
      </c>
      <c r="AR82" s="13">
        <f>$I$26*$AR$26</f>
        <v>0</v>
      </c>
      <c r="AS82" s="13">
        <f>$I$26*$AS$26</f>
        <v>0</v>
      </c>
      <c r="AT82" s="13">
        <f>$I$26*$AT$26</f>
        <v>0</v>
      </c>
      <c r="AU82" s="13">
        <f>$I$26*$AU$26</f>
        <v>11077.111244036452</v>
      </c>
      <c r="AV82" s="13">
        <f>$I$26*$AV$26</f>
        <v>0</v>
      </c>
      <c r="AW82" s="13">
        <f>$I$26*$AW$26</f>
        <v>0</v>
      </c>
      <c r="AX82" s="13">
        <f>$I$26*$AX$26</f>
        <v>26385.7097437558</v>
      </c>
      <c r="AY82" s="13">
        <f>$I$26*$AY$26</f>
        <v>-657.85398375696514</v>
      </c>
      <c r="AZ82" s="13">
        <f>$I$26*$AZ$26</f>
        <v>0</v>
      </c>
      <c r="BA82" s="13">
        <f>$I$26*$BA$26</f>
        <v>3547.3406395746551</v>
      </c>
      <c r="BB82" s="13">
        <f>$I$26*$BB$26</f>
        <v>0</v>
      </c>
      <c r="BC82" s="13">
        <f>$I$26*$BC$26</f>
        <v>208.94329906206775</v>
      </c>
      <c r="BD82" s="13">
        <f>$I$26*$BD$26</f>
        <v>28.687542610625666</v>
      </c>
    </row>
    <row r="83" spans="1:56" ht="11.25" customHeight="1" x14ac:dyDescent="0.3">
      <c r="A83" s="9" t="s">
        <v>22</v>
      </c>
      <c r="B83" s="9" t="s">
        <v>929</v>
      </c>
      <c r="C83" s="9" t="s">
        <v>930</v>
      </c>
      <c r="D83" s="9" t="s">
        <v>943</v>
      </c>
      <c r="E83" s="9" t="s">
        <v>944</v>
      </c>
      <c r="F83" s="9" t="s">
        <v>945</v>
      </c>
      <c r="G83" s="9" t="s">
        <v>946</v>
      </c>
      <c r="L83" s="13">
        <f>$I$27*$L$27</f>
        <v>0</v>
      </c>
      <c r="M83" s="13">
        <f>$I$27*$M$27</f>
        <v>205.73012441754145</v>
      </c>
      <c r="N83" s="13">
        <f ca="1">$I$27*$N$27</f>
        <v>1296.9375841301708</v>
      </c>
      <c r="O83" s="13">
        <f>$I$27*$O$27</f>
        <v>0</v>
      </c>
      <c r="P83" s="13">
        <f>$I$27*$P$27</f>
        <v>0</v>
      </c>
      <c r="Q83" s="13">
        <f>$I$27*$Q$27</f>
        <v>0</v>
      </c>
      <c r="R83" s="13">
        <f>$I$27*$R$27</f>
        <v>0</v>
      </c>
      <c r="S83" s="13">
        <f>$I$27*$S$27</f>
        <v>0</v>
      </c>
      <c r="T83" s="13">
        <f>$I$27*$T$27</f>
        <v>0</v>
      </c>
      <c r="U83" s="13">
        <f>$I$27*$U$27</f>
        <v>0</v>
      </c>
      <c r="V83" s="13">
        <f>$I$27*$V$27</f>
        <v>0</v>
      </c>
      <c r="W83" s="13">
        <f>$I$27*$W$27</f>
        <v>0</v>
      </c>
      <c r="X83" s="13">
        <f>$I$27*$X$27</f>
        <v>22778.901709267324</v>
      </c>
      <c r="Y83" s="13">
        <f>$I$27*$Y$27</f>
        <v>0</v>
      </c>
      <c r="Z83" s="13">
        <f>$I$27*$Z$27</f>
        <v>0</v>
      </c>
      <c r="AA83" s="13">
        <f>$I$27*$AA$27</f>
        <v>44793.866961526204</v>
      </c>
      <c r="AB83" s="13">
        <f ca="1">$I$27*$AB$27</f>
        <v>-2859.5468275260782</v>
      </c>
      <c r="AC83" s="13">
        <f ca="1">$I$27*$AC$27</f>
        <v>0</v>
      </c>
      <c r="AD83" s="13">
        <f>$I$27*$AD$27</f>
        <v>4985.0076736472593</v>
      </c>
      <c r="AE83" s="13">
        <f>$I$27*$AE$27</f>
        <v>0</v>
      </c>
      <c r="AF83" s="13">
        <f ca="1">$I$27*$AF$27</f>
        <v>292.40523214368659</v>
      </c>
      <c r="AG83" s="13">
        <f ca="1">$I$27*$AG$27</f>
        <v>44.092535805592163</v>
      </c>
      <c r="AI83" s="13">
        <f>$I$27*$AI$27</f>
        <v>0</v>
      </c>
      <c r="AJ83" s="13">
        <f>$I$27*$AJ$27</f>
        <v>168.68692841436271</v>
      </c>
      <c r="AK83" s="13">
        <f>$I$27*$AK$27</f>
        <v>1011.5754846197399</v>
      </c>
      <c r="AL83" s="13">
        <f>$I$27*$AL$27</f>
        <v>0</v>
      </c>
      <c r="AM83" s="13">
        <f>$I$27*$AM$27</f>
        <v>0</v>
      </c>
      <c r="AN83" s="13">
        <f>$I$27*$AN$27</f>
        <v>0</v>
      </c>
      <c r="AO83" s="13">
        <f>$I$27*$AO$27</f>
        <v>0</v>
      </c>
      <c r="AP83" s="13">
        <f>$I$27*$AP$27</f>
        <v>0</v>
      </c>
      <c r="AQ83" s="13">
        <f>$I$27*$AQ$27</f>
        <v>0</v>
      </c>
      <c r="AR83" s="13">
        <f>$I$27*$AR$27</f>
        <v>0</v>
      </c>
      <c r="AS83" s="13">
        <f>$I$27*$AS$27</f>
        <v>0</v>
      </c>
      <c r="AT83" s="13">
        <f>$I$27*$AT$27</f>
        <v>0</v>
      </c>
      <c r="AU83" s="13">
        <f>$I$27*$AU$27</f>
        <v>16236.796733323285</v>
      </c>
      <c r="AV83" s="13">
        <f>$I$27*$AV$27</f>
        <v>0</v>
      </c>
      <c r="AW83" s="13">
        <f>$I$27*$AW$27</f>
        <v>0</v>
      </c>
      <c r="AX83" s="13">
        <f>$I$27*$AX$27</f>
        <v>38676.09490736817</v>
      </c>
      <c r="AY83" s="13">
        <f>$I$27*$AY$27</f>
        <v>-964.28041383256425</v>
      </c>
      <c r="AZ83" s="13">
        <f>$I$27*$AZ$27</f>
        <v>0</v>
      </c>
      <c r="BA83" s="13">
        <f>$I$27*$BA$27</f>
        <v>5199.6813645470247</v>
      </c>
      <c r="BB83" s="13">
        <f>$I$27*$BB$27</f>
        <v>0</v>
      </c>
      <c r="BC83" s="13">
        <f>$I$27*$BC$27</f>
        <v>306.26846665345317</v>
      </c>
      <c r="BD83" s="13">
        <f>$I$27*$BD$27</f>
        <v>42.050114681121897</v>
      </c>
    </row>
    <row r="84" spans="1:56" ht="11.25" customHeight="1" x14ac:dyDescent="0.3">
      <c r="A84" s="9" t="s">
        <v>22</v>
      </c>
      <c r="B84" s="9" t="s">
        <v>929</v>
      </c>
      <c r="C84" s="9" t="s">
        <v>930</v>
      </c>
      <c r="D84" s="9" t="s">
        <v>947</v>
      </c>
      <c r="E84" s="9" t="s">
        <v>948</v>
      </c>
      <c r="F84" s="9" t="s">
        <v>949</v>
      </c>
      <c r="G84" s="9" t="s">
        <v>950</v>
      </c>
      <c r="L84" s="13">
        <f>$I$28*$L$28</f>
        <v>0</v>
      </c>
      <c r="M84" s="13">
        <f>$I$28*$M$28</f>
        <v>84.614943497030154</v>
      </c>
      <c r="N84" s="13">
        <f ca="1">$I$28*$N$28</f>
        <v>533.41872373354886</v>
      </c>
      <c r="O84" s="13">
        <f>$I$28*$O$28</f>
        <v>0</v>
      </c>
      <c r="P84" s="13">
        <f>$I$28*$P$28</f>
        <v>0</v>
      </c>
      <c r="Q84" s="13">
        <f>$I$28*$Q$28</f>
        <v>0</v>
      </c>
      <c r="R84" s="13">
        <f>$I$28*$R$28</f>
        <v>0</v>
      </c>
      <c r="S84" s="13">
        <f>$I$28*$S$28</f>
        <v>0</v>
      </c>
      <c r="T84" s="13">
        <f>$I$28*$T$28</f>
        <v>0</v>
      </c>
      <c r="U84" s="13">
        <f>$I$28*$U$28</f>
        <v>0</v>
      </c>
      <c r="V84" s="13">
        <f>$I$28*$V$28</f>
        <v>0</v>
      </c>
      <c r="W84" s="13">
        <f>$I$28*$W$28</f>
        <v>0</v>
      </c>
      <c r="X84" s="13">
        <f>$I$28*$X$28</f>
        <v>9368.756697693012</v>
      </c>
      <c r="Y84" s="13">
        <f>$I$28*$Y$28</f>
        <v>0</v>
      </c>
      <c r="Z84" s="13">
        <f>$I$28*$Z$28</f>
        <v>0</v>
      </c>
      <c r="AA84" s="13">
        <f>$I$28*$AA$28</f>
        <v>18423.313225002134</v>
      </c>
      <c r="AB84" s="13">
        <f ca="1">$I$28*$AB$28</f>
        <v>-1176.1058032860469</v>
      </c>
      <c r="AC84" s="13">
        <f ca="1">$I$28*$AC$28</f>
        <v>0</v>
      </c>
      <c r="AD84" s="13">
        <f>$I$28*$AD$28</f>
        <v>2050.2886674089791</v>
      </c>
      <c r="AE84" s="13">
        <f>$I$28*$AE$28</f>
        <v>0</v>
      </c>
      <c r="AF84" s="13">
        <f ca="1">$I$28*$AF$28</f>
        <v>120.26363307815328</v>
      </c>
      <c r="AG84" s="13">
        <f ca="1">$I$28*$AG$28</f>
        <v>18.134862049949003</v>
      </c>
      <c r="AI84" s="13">
        <f>$I$28*$AI$28</f>
        <v>0</v>
      </c>
      <c r="AJ84" s="13">
        <f>$I$28*$AJ$28</f>
        <v>69.379411288840203</v>
      </c>
      <c r="AK84" s="13">
        <f>$I$28*$AK$28</f>
        <v>416.05186754449829</v>
      </c>
      <c r="AL84" s="13">
        <f>$I$28*$AL$28</f>
        <v>0</v>
      </c>
      <c r="AM84" s="13">
        <f>$I$28*$AM$28</f>
        <v>0</v>
      </c>
      <c r="AN84" s="13">
        <f>$I$28*$AN$28</f>
        <v>0</v>
      </c>
      <c r="AO84" s="13">
        <f>$I$28*$AO$28</f>
        <v>0</v>
      </c>
      <c r="AP84" s="13">
        <f>$I$28*$AP$28</f>
        <v>0</v>
      </c>
      <c r="AQ84" s="13">
        <f>$I$28*$AQ$28</f>
        <v>0</v>
      </c>
      <c r="AR84" s="13">
        <f>$I$28*$AR$28</f>
        <v>0</v>
      </c>
      <c r="AS84" s="13">
        <f>$I$28*$AS$28</f>
        <v>0</v>
      </c>
      <c r="AT84" s="13">
        <f>$I$28*$AT$28</f>
        <v>0</v>
      </c>
      <c r="AU84" s="13">
        <f>$I$28*$AU$28</f>
        <v>6678.0479623613728</v>
      </c>
      <c r="AV84" s="13">
        <f>$I$28*$AV$28</f>
        <v>0</v>
      </c>
      <c r="AW84" s="13">
        <f>$I$28*$AW$28</f>
        <v>0</v>
      </c>
      <c r="AX84" s="13">
        <f>$I$28*$AX$28</f>
        <v>15907.128790875848</v>
      </c>
      <c r="AY84" s="13">
        <f>$I$28*$AY$28</f>
        <v>-396.59983175890335</v>
      </c>
      <c r="AZ84" s="13">
        <f>$I$28*$AZ$28</f>
        <v>0</v>
      </c>
      <c r="BA84" s="13">
        <f>$I$28*$BA$28</f>
        <v>2138.5820190861327</v>
      </c>
      <c r="BB84" s="13">
        <f>$I$28*$BB$28</f>
        <v>0</v>
      </c>
      <c r="BC84" s="13">
        <f>$I$28*$BC$28</f>
        <v>125.96545631892072</v>
      </c>
      <c r="BD84" s="13">
        <f>$I$28*$BD$28</f>
        <v>17.294832673923125</v>
      </c>
    </row>
    <row r="85" spans="1:56" ht="11.25" customHeight="1" x14ac:dyDescent="0.3">
      <c r="A85" s="9" t="s">
        <v>22</v>
      </c>
      <c r="B85" s="9" t="s">
        <v>951</v>
      </c>
      <c r="C85" s="9" t="s">
        <v>952</v>
      </c>
      <c r="D85" s="9" t="s">
        <v>953</v>
      </c>
      <c r="E85" s="9" t="s">
        <v>954</v>
      </c>
      <c r="F85" s="9" t="s">
        <v>955</v>
      </c>
      <c r="G85" s="9" t="s">
        <v>956</v>
      </c>
      <c r="L85" s="13">
        <f>$I$29*$L$29</f>
        <v>0</v>
      </c>
      <c r="M85" s="13">
        <f>$I$29*$M$29</f>
        <v>0</v>
      </c>
      <c r="N85" s="13">
        <f ca="1">$I$29*$N$29</f>
        <v>0</v>
      </c>
      <c r="O85" s="13">
        <f>$I$29*$O$29</f>
        <v>0</v>
      </c>
      <c r="P85" s="13">
        <f>$I$29*$P$29</f>
        <v>0</v>
      </c>
      <c r="Q85" s="13">
        <f>$I$29*$Q$29</f>
        <v>0</v>
      </c>
      <c r="R85" s="13">
        <f>$I$29*$R$29</f>
        <v>0</v>
      </c>
      <c r="S85" s="13">
        <f>$I$29*$S$29</f>
        <v>0</v>
      </c>
      <c r="T85" s="13">
        <f>$I$29*$T$29</f>
        <v>0</v>
      </c>
      <c r="U85" s="13">
        <f>$I$29*$U$29</f>
        <v>0</v>
      </c>
      <c r="V85" s="13">
        <f>$I$29*$V$29</f>
        <v>0</v>
      </c>
      <c r="W85" s="13">
        <f>$I$29*$W$29</f>
        <v>0</v>
      </c>
      <c r="X85" s="13">
        <f>$I$29*$X$29</f>
        <v>0</v>
      </c>
      <c r="Y85" s="13">
        <f>$I$29*$Y$29</f>
        <v>0</v>
      </c>
      <c r="Z85" s="13">
        <f>$I$29*$Z$29</f>
        <v>0</v>
      </c>
      <c r="AA85" s="13">
        <f>$I$29*$AA$29</f>
        <v>0</v>
      </c>
      <c r="AB85" s="13">
        <f ca="1">$I$29*$AB$29</f>
        <v>0</v>
      </c>
      <c r="AC85" s="13">
        <f ca="1">$I$29*$AC$29</f>
        <v>0</v>
      </c>
      <c r="AD85" s="13">
        <f>$I$29*$AD$29</f>
        <v>0</v>
      </c>
      <c r="AE85" s="13">
        <f>$I$29*$AE$29</f>
        <v>0</v>
      </c>
      <c r="AF85" s="13">
        <f ca="1">$I$29*$AF$29</f>
        <v>0</v>
      </c>
      <c r="AG85" s="13">
        <f ca="1">$I$29*$AG$29</f>
        <v>0</v>
      </c>
      <c r="AI85" s="13">
        <f>$I$29*$AI$29</f>
        <v>0</v>
      </c>
      <c r="AJ85" s="13">
        <f>$I$29*$AJ$29</f>
        <v>0</v>
      </c>
      <c r="AK85" s="13">
        <f>$I$29*$AK$29</f>
        <v>0</v>
      </c>
      <c r="AL85" s="13">
        <f>$I$29*$AL$29</f>
        <v>0</v>
      </c>
      <c r="AM85" s="13">
        <f>$I$29*$AM$29</f>
        <v>0</v>
      </c>
      <c r="AN85" s="13">
        <f>$I$29*$AN$29</f>
        <v>0</v>
      </c>
      <c r="AO85" s="13">
        <f>$I$29*$AO$29</f>
        <v>0</v>
      </c>
      <c r="AP85" s="13">
        <f>$I$29*$AP$29</f>
        <v>0</v>
      </c>
      <c r="AQ85" s="13">
        <f>$I$29*$AQ$29</f>
        <v>0</v>
      </c>
      <c r="AR85" s="13">
        <f>$I$29*$AR$29</f>
        <v>0</v>
      </c>
      <c r="AS85" s="13">
        <f>$I$29*$AS$29</f>
        <v>0</v>
      </c>
      <c r="AT85" s="13">
        <f>$I$29*$AT$29</f>
        <v>0</v>
      </c>
      <c r="AU85" s="13">
        <f>$I$29*$AU$29</f>
        <v>0</v>
      </c>
      <c r="AV85" s="13">
        <f>$I$29*$AV$29</f>
        <v>0</v>
      </c>
      <c r="AW85" s="13">
        <f>$I$29*$AW$29</f>
        <v>0</v>
      </c>
      <c r="AX85" s="13">
        <f>$I$29*$AX$29</f>
        <v>0</v>
      </c>
      <c r="AY85" s="13">
        <f>$I$29*$AY$29</f>
        <v>0</v>
      </c>
      <c r="AZ85" s="13">
        <f>$I$29*$AZ$29</f>
        <v>0</v>
      </c>
      <c r="BA85" s="13">
        <f>$I$29*$BA$29</f>
        <v>0</v>
      </c>
      <c r="BB85" s="13">
        <f>$I$29*$BB$29</f>
        <v>0</v>
      </c>
      <c r="BC85" s="13">
        <f>$I$29*$BC$29</f>
        <v>0</v>
      </c>
      <c r="BD85" s="13">
        <f>$I$29*$BD$29</f>
        <v>0</v>
      </c>
    </row>
    <row r="86" spans="1:56" ht="11.25" customHeight="1" x14ac:dyDescent="0.3">
      <c r="A86" s="9" t="s">
        <v>22</v>
      </c>
      <c r="B86" s="9" t="s">
        <v>951</v>
      </c>
      <c r="C86" s="9" t="s">
        <v>952</v>
      </c>
      <c r="D86" s="9" t="s">
        <v>957</v>
      </c>
      <c r="E86" s="9" t="s">
        <v>958</v>
      </c>
      <c r="F86" s="9" t="s">
        <v>959</v>
      </c>
      <c r="G86" s="9" t="s">
        <v>960</v>
      </c>
      <c r="L86" s="13">
        <f>$I$30*$L$30</f>
        <v>0</v>
      </c>
      <c r="M86" s="13">
        <f>$I$30*$M$30</f>
        <v>0</v>
      </c>
      <c r="N86" s="13">
        <f ca="1">$I$30*$N$30</f>
        <v>0</v>
      </c>
      <c r="O86" s="13">
        <f>$I$30*$O$30</f>
        <v>0</v>
      </c>
      <c r="P86" s="13">
        <f>$I$30*$P$30</f>
        <v>0</v>
      </c>
      <c r="Q86" s="13">
        <f>$I$30*$Q$30</f>
        <v>0</v>
      </c>
      <c r="R86" s="13">
        <f>$I$30*$R$30</f>
        <v>0</v>
      </c>
      <c r="S86" s="13">
        <f>$I$30*$S$30</f>
        <v>0</v>
      </c>
      <c r="T86" s="13">
        <f>$I$30*$T$30</f>
        <v>0</v>
      </c>
      <c r="U86" s="13">
        <f>$I$30*$U$30</f>
        <v>0</v>
      </c>
      <c r="V86" s="13">
        <f>$I$30*$V$30</f>
        <v>0</v>
      </c>
      <c r="W86" s="13">
        <f>$I$30*$W$30</f>
        <v>0</v>
      </c>
      <c r="X86" s="13">
        <f>$I$30*$X$30</f>
        <v>0</v>
      </c>
      <c r="Y86" s="13">
        <f>$I$30*$Y$30</f>
        <v>0</v>
      </c>
      <c r="Z86" s="13">
        <f>$I$30*$Z$30</f>
        <v>0</v>
      </c>
      <c r="AA86" s="13">
        <f>$I$30*$AA$30</f>
        <v>0</v>
      </c>
      <c r="AB86" s="13">
        <f ca="1">$I$30*$AB$30</f>
        <v>0</v>
      </c>
      <c r="AC86" s="13">
        <f ca="1">$I$30*$AC$30</f>
        <v>0</v>
      </c>
      <c r="AD86" s="13">
        <f>$I$30*$AD$30</f>
        <v>0</v>
      </c>
      <c r="AE86" s="13">
        <f>$I$30*$AE$30</f>
        <v>0</v>
      </c>
      <c r="AF86" s="13">
        <f ca="1">$I$30*$AF$30</f>
        <v>0</v>
      </c>
      <c r="AG86" s="13">
        <f ca="1">$I$30*$AG$30</f>
        <v>0</v>
      </c>
      <c r="AI86" s="13">
        <f>$I$30*$AI$30</f>
        <v>0</v>
      </c>
      <c r="AJ86" s="13">
        <f>$I$30*$AJ$30</f>
        <v>0</v>
      </c>
      <c r="AK86" s="13">
        <f>$I$30*$AK$30</f>
        <v>0</v>
      </c>
      <c r="AL86" s="13">
        <f>$I$30*$AL$30</f>
        <v>0</v>
      </c>
      <c r="AM86" s="13">
        <f>$I$30*$AM$30</f>
        <v>0</v>
      </c>
      <c r="AN86" s="13">
        <f>$I$30*$AN$30</f>
        <v>0</v>
      </c>
      <c r="AO86" s="13">
        <f>$I$30*$AO$30</f>
        <v>0</v>
      </c>
      <c r="AP86" s="13">
        <f>$I$30*$AP$30</f>
        <v>0</v>
      </c>
      <c r="AQ86" s="13">
        <f>$I$30*$AQ$30</f>
        <v>0</v>
      </c>
      <c r="AR86" s="13">
        <f>$I$30*$AR$30</f>
        <v>0</v>
      </c>
      <c r="AS86" s="13">
        <f>$I$30*$AS$30</f>
        <v>0</v>
      </c>
      <c r="AT86" s="13">
        <f>$I$30*$AT$30</f>
        <v>0</v>
      </c>
      <c r="AU86" s="13">
        <f>$I$30*$AU$30</f>
        <v>0</v>
      </c>
      <c r="AV86" s="13">
        <f>$I$30*$AV$30</f>
        <v>0</v>
      </c>
      <c r="AW86" s="13">
        <f>$I$30*$AW$30</f>
        <v>0</v>
      </c>
      <c r="AX86" s="13">
        <f>$I$30*$AX$30</f>
        <v>0</v>
      </c>
      <c r="AY86" s="13">
        <f>$I$30*$AY$30</f>
        <v>0</v>
      </c>
      <c r="AZ86" s="13">
        <f>$I$30*$AZ$30</f>
        <v>0</v>
      </c>
      <c r="BA86" s="13">
        <f>$I$30*$BA$30</f>
        <v>0</v>
      </c>
      <c r="BB86" s="13">
        <f>$I$30*$BB$30</f>
        <v>0</v>
      </c>
      <c r="BC86" s="13">
        <f>$I$30*$BC$30</f>
        <v>0</v>
      </c>
      <c r="BD86" s="13">
        <f>$I$30*$BD$30</f>
        <v>0</v>
      </c>
    </row>
    <row r="87" spans="1:56" ht="11.25" customHeight="1" x14ac:dyDescent="0.3">
      <c r="A87" s="9" t="s">
        <v>22</v>
      </c>
      <c r="B87" s="9" t="s">
        <v>951</v>
      </c>
      <c r="C87" s="9" t="s">
        <v>952</v>
      </c>
      <c r="D87" s="9" t="s">
        <v>961</v>
      </c>
      <c r="E87" s="9" t="s">
        <v>962</v>
      </c>
      <c r="F87" s="9" t="s">
        <v>963</v>
      </c>
      <c r="G87" s="9" t="s">
        <v>964</v>
      </c>
      <c r="L87" s="13">
        <f>$I$31*$L$31</f>
        <v>0</v>
      </c>
      <c r="M87" s="13">
        <f>$I$31*$M$31</f>
        <v>0</v>
      </c>
      <c r="N87" s="13">
        <f ca="1">$I$31*$N$31</f>
        <v>0</v>
      </c>
      <c r="O87" s="13">
        <f>$I$31*$O$31</f>
        <v>0</v>
      </c>
      <c r="P87" s="13">
        <f>$I$31*$P$31</f>
        <v>0</v>
      </c>
      <c r="Q87" s="13">
        <f>$I$31*$Q$31</f>
        <v>0</v>
      </c>
      <c r="R87" s="13">
        <f>$I$31*$R$31</f>
        <v>0</v>
      </c>
      <c r="S87" s="13">
        <f>$I$31*$S$31</f>
        <v>0</v>
      </c>
      <c r="T87" s="13">
        <f>$I$31*$T$31</f>
        <v>0</v>
      </c>
      <c r="U87" s="13">
        <f>$I$31*$U$31</f>
        <v>0</v>
      </c>
      <c r="V87" s="13">
        <f>$I$31*$V$31</f>
        <v>0</v>
      </c>
      <c r="W87" s="13">
        <f>$I$31*$W$31</f>
        <v>0</v>
      </c>
      <c r="X87" s="13">
        <f>$I$31*$X$31</f>
        <v>0</v>
      </c>
      <c r="Y87" s="13">
        <f>$I$31*$Y$31</f>
        <v>0</v>
      </c>
      <c r="Z87" s="13">
        <f>$I$31*$Z$31</f>
        <v>0</v>
      </c>
      <c r="AA87" s="13">
        <f>$I$31*$AA$31</f>
        <v>0</v>
      </c>
      <c r="AB87" s="13">
        <f ca="1">$I$31*$AB$31</f>
        <v>0</v>
      </c>
      <c r="AC87" s="13">
        <f ca="1">$I$31*$AC$31</f>
        <v>0</v>
      </c>
      <c r="AD87" s="13">
        <f>$I$31*$AD$31</f>
        <v>0</v>
      </c>
      <c r="AE87" s="13">
        <f>$I$31*$AE$31</f>
        <v>0</v>
      </c>
      <c r="AF87" s="13">
        <f ca="1">$I$31*$AF$31</f>
        <v>0</v>
      </c>
      <c r="AG87" s="13">
        <f ca="1">$I$31*$AG$31</f>
        <v>0</v>
      </c>
      <c r="AI87" s="13">
        <f>$I$31*$AI$31</f>
        <v>0</v>
      </c>
      <c r="AJ87" s="13">
        <f>$I$31*$AJ$31</f>
        <v>0</v>
      </c>
      <c r="AK87" s="13">
        <f>$I$31*$AK$31</f>
        <v>0</v>
      </c>
      <c r="AL87" s="13">
        <f>$I$31*$AL$31</f>
        <v>0</v>
      </c>
      <c r="AM87" s="13">
        <f>$I$31*$AM$31</f>
        <v>0</v>
      </c>
      <c r="AN87" s="13">
        <f>$I$31*$AN$31</f>
        <v>0</v>
      </c>
      <c r="AO87" s="13">
        <f>$I$31*$AO$31</f>
        <v>0</v>
      </c>
      <c r="AP87" s="13">
        <f>$I$31*$AP$31</f>
        <v>0</v>
      </c>
      <c r="AQ87" s="13">
        <f>$I$31*$AQ$31</f>
        <v>0</v>
      </c>
      <c r="AR87" s="13">
        <f>$I$31*$AR$31</f>
        <v>0</v>
      </c>
      <c r="AS87" s="13">
        <f>$I$31*$AS$31</f>
        <v>0</v>
      </c>
      <c r="AT87" s="13">
        <f>$I$31*$AT$31</f>
        <v>0</v>
      </c>
      <c r="AU87" s="13">
        <f>$I$31*$AU$31</f>
        <v>0</v>
      </c>
      <c r="AV87" s="13">
        <f>$I$31*$AV$31</f>
        <v>0</v>
      </c>
      <c r="AW87" s="13">
        <f>$I$31*$AW$31</f>
        <v>0</v>
      </c>
      <c r="AX87" s="13">
        <f>$I$31*$AX$31</f>
        <v>0</v>
      </c>
      <c r="AY87" s="13">
        <f>$I$31*$AY$31</f>
        <v>0</v>
      </c>
      <c r="AZ87" s="13">
        <f>$I$31*$AZ$31</f>
        <v>0</v>
      </c>
      <c r="BA87" s="13">
        <f>$I$31*$BA$31</f>
        <v>0</v>
      </c>
      <c r="BB87" s="13">
        <f>$I$31*$BB$31</f>
        <v>0</v>
      </c>
      <c r="BC87" s="13">
        <f>$I$31*$BC$31</f>
        <v>0</v>
      </c>
      <c r="BD87" s="13">
        <f>$I$31*$BD$31</f>
        <v>0</v>
      </c>
    </row>
    <row r="88" spans="1:56" ht="11.25" customHeight="1" x14ac:dyDescent="0.3">
      <c r="A88" s="9" t="s">
        <v>22</v>
      </c>
      <c r="B88" s="9" t="s">
        <v>951</v>
      </c>
      <c r="C88" s="9" t="s">
        <v>952</v>
      </c>
      <c r="D88" s="9" t="s">
        <v>965</v>
      </c>
      <c r="E88" s="9" t="s">
        <v>966</v>
      </c>
      <c r="F88" s="9" t="s">
        <v>967</v>
      </c>
      <c r="G88" s="9" t="s">
        <v>968</v>
      </c>
      <c r="L88" s="13">
        <f>$I$32*$L$32</f>
        <v>0</v>
      </c>
      <c r="M88" s="13">
        <f>$I$32*$M$32</f>
        <v>0</v>
      </c>
      <c r="N88" s="13">
        <f ca="1">$I$32*$N$32</f>
        <v>0</v>
      </c>
      <c r="O88" s="13">
        <f>$I$32*$O$32</f>
        <v>0</v>
      </c>
      <c r="P88" s="13">
        <f>$I$32*$P$32</f>
        <v>0</v>
      </c>
      <c r="Q88" s="13">
        <f>$I$32*$Q$32</f>
        <v>0</v>
      </c>
      <c r="R88" s="13">
        <f>$I$32*$R$32</f>
        <v>0</v>
      </c>
      <c r="S88" s="13">
        <f>$I$32*$S$32</f>
        <v>0</v>
      </c>
      <c r="T88" s="13">
        <f>$I$32*$T$32</f>
        <v>0</v>
      </c>
      <c r="U88" s="13">
        <f>$I$32*$U$32</f>
        <v>0</v>
      </c>
      <c r="V88" s="13">
        <f>$I$32*$V$32</f>
        <v>0</v>
      </c>
      <c r="W88" s="13">
        <f>$I$32*$W$32</f>
        <v>0</v>
      </c>
      <c r="X88" s="13">
        <f>$I$32*$X$32</f>
        <v>0</v>
      </c>
      <c r="Y88" s="13">
        <f>$I$32*$Y$32</f>
        <v>0</v>
      </c>
      <c r="Z88" s="13">
        <f>$I$32*$Z$32</f>
        <v>0</v>
      </c>
      <c r="AA88" s="13">
        <f>$I$32*$AA$32</f>
        <v>0</v>
      </c>
      <c r="AB88" s="13">
        <f ca="1">$I$32*$AB$32</f>
        <v>0</v>
      </c>
      <c r="AC88" s="13">
        <f ca="1">$I$32*$AC$32</f>
        <v>0</v>
      </c>
      <c r="AD88" s="13">
        <f>$I$32*$AD$32</f>
        <v>0</v>
      </c>
      <c r="AE88" s="13">
        <f>$I$32*$AE$32</f>
        <v>0</v>
      </c>
      <c r="AF88" s="13">
        <f ca="1">$I$32*$AF$32</f>
        <v>0</v>
      </c>
      <c r="AG88" s="13">
        <f ca="1">$I$32*$AG$32</f>
        <v>0</v>
      </c>
      <c r="AI88" s="13">
        <f>$I$32*$AI$32</f>
        <v>0</v>
      </c>
      <c r="AJ88" s="13">
        <f>$I$32*$AJ$32</f>
        <v>0</v>
      </c>
      <c r="AK88" s="13">
        <f>$I$32*$AK$32</f>
        <v>0</v>
      </c>
      <c r="AL88" s="13">
        <f>$I$32*$AL$32</f>
        <v>0</v>
      </c>
      <c r="AM88" s="13">
        <f>$I$32*$AM$32</f>
        <v>0</v>
      </c>
      <c r="AN88" s="13">
        <f>$I$32*$AN$32</f>
        <v>0</v>
      </c>
      <c r="AO88" s="13">
        <f>$I$32*$AO$32</f>
        <v>0</v>
      </c>
      <c r="AP88" s="13">
        <f>$I$32*$AP$32</f>
        <v>0</v>
      </c>
      <c r="AQ88" s="13">
        <f>$I$32*$AQ$32</f>
        <v>0</v>
      </c>
      <c r="AR88" s="13">
        <f>$I$32*$AR$32</f>
        <v>0</v>
      </c>
      <c r="AS88" s="13">
        <f>$I$32*$AS$32</f>
        <v>0</v>
      </c>
      <c r="AT88" s="13">
        <f>$I$32*$AT$32</f>
        <v>0</v>
      </c>
      <c r="AU88" s="13">
        <f>$I$32*$AU$32</f>
        <v>0</v>
      </c>
      <c r="AV88" s="13">
        <f>$I$32*$AV$32</f>
        <v>0</v>
      </c>
      <c r="AW88" s="13">
        <f>$I$32*$AW$32</f>
        <v>0</v>
      </c>
      <c r="AX88" s="13">
        <f>$I$32*$AX$32</f>
        <v>0</v>
      </c>
      <c r="AY88" s="13">
        <f>$I$32*$AY$32</f>
        <v>0</v>
      </c>
      <c r="AZ88" s="13">
        <f>$I$32*$AZ$32</f>
        <v>0</v>
      </c>
      <c r="BA88" s="13">
        <f>$I$32*$BA$32</f>
        <v>0</v>
      </c>
      <c r="BB88" s="13">
        <f>$I$32*$BB$32</f>
        <v>0</v>
      </c>
      <c r="BC88" s="13">
        <f>$I$32*$BC$32</f>
        <v>0</v>
      </c>
      <c r="BD88" s="13">
        <f>$I$32*$BD$32</f>
        <v>0</v>
      </c>
    </row>
    <row r="89" spans="1:56" ht="11.25" customHeight="1" x14ac:dyDescent="0.3">
      <c r="A89" s="9" t="s">
        <v>22</v>
      </c>
      <c r="B89" s="9" t="s">
        <v>951</v>
      </c>
      <c r="C89" s="9" t="s">
        <v>952</v>
      </c>
      <c r="D89" s="9" t="s">
        <v>969</v>
      </c>
      <c r="E89" s="9" t="s">
        <v>970</v>
      </c>
      <c r="F89" s="9" t="s">
        <v>971</v>
      </c>
      <c r="G89" s="9" t="s">
        <v>972</v>
      </c>
      <c r="L89" s="13">
        <f>$I$33*$L$33</f>
        <v>0</v>
      </c>
      <c r="M89" s="13">
        <f>$I$33*$M$33</f>
        <v>0</v>
      </c>
      <c r="N89" s="13">
        <f ca="1">$I$33*$N$33</f>
        <v>0</v>
      </c>
      <c r="O89" s="13">
        <f>$I$33*$O$33</f>
        <v>0</v>
      </c>
      <c r="P89" s="13">
        <f>$I$33*$P$33</f>
        <v>0</v>
      </c>
      <c r="Q89" s="13">
        <f>$I$33*$Q$33</f>
        <v>0</v>
      </c>
      <c r="R89" s="13">
        <f>$I$33*$R$33</f>
        <v>0</v>
      </c>
      <c r="S89" s="13">
        <f>$I$33*$S$33</f>
        <v>0</v>
      </c>
      <c r="T89" s="13">
        <f>$I$33*$T$33</f>
        <v>0</v>
      </c>
      <c r="U89" s="13">
        <f>$I$33*$U$33</f>
        <v>0</v>
      </c>
      <c r="V89" s="13">
        <f>$I$33*$V$33</f>
        <v>0</v>
      </c>
      <c r="W89" s="13">
        <f>$I$33*$W$33</f>
        <v>0</v>
      </c>
      <c r="X89" s="13">
        <f>$I$33*$X$33</f>
        <v>0</v>
      </c>
      <c r="Y89" s="13">
        <f>$I$33*$Y$33</f>
        <v>0</v>
      </c>
      <c r="Z89" s="13">
        <f>$I$33*$Z$33</f>
        <v>0</v>
      </c>
      <c r="AA89" s="13">
        <f>$I$33*$AA$33</f>
        <v>0</v>
      </c>
      <c r="AB89" s="13">
        <f ca="1">$I$33*$AB$33</f>
        <v>0</v>
      </c>
      <c r="AC89" s="13">
        <f ca="1">$I$33*$AC$33</f>
        <v>0</v>
      </c>
      <c r="AD89" s="13">
        <f>$I$33*$AD$33</f>
        <v>0</v>
      </c>
      <c r="AE89" s="13">
        <f>$I$33*$AE$33</f>
        <v>0</v>
      </c>
      <c r="AF89" s="13">
        <f ca="1">$I$33*$AF$33</f>
        <v>0</v>
      </c>
      <c r="AG89" s="13">
        <f ca="1">$I$33*$AG$33</f>
        <v>0</v>
      </c>
      <c r="AI89" s="13">
        <f>$I$33*$AI$33</f>
        <v>0</v>
      </c>
      <c r="AJ89" s="13">
        <f>$I$33*$AJ$33</f>
        <v>0</v>
      </c>
      <c r="AK89" s="13">
        <f>$I$33*$AK$33</f>
        <v>0</v>
      </c>
      <c r="AL89" s="13">
        <f>$I$33*$AL$33</f>
        <v>0</v>
      </c>
      <c r="AM89" s="13">
        <f>$I$33*$AM$33</f>
        <v>0</v>
      </c>
      <c r="AN89" s="13">
        <f>$I$33*$AN$33</f>
        <v>0</v>
      </c>
      <c r="AO89" s="13">
        <f>$I$33*$AO$33</f>
        <v>0</v>
      </c>
      <c r="AP89" s="13">
        <f>$I$33*$AP$33</f>
        <v>0</v>
      </c>
      <c r="AQ89" s="13">
        <f>$I$33*$AQ$33</f>
        <v>0</v>
      </c>
      <c r="AR89" s="13">
        <f>$I$33*$AR$33</f>
        <v>0</v>
      </c>
      <c r="AS89" s="13">
        <f>$I$33*$AS$33</f>
        <v>0</v>
      </c>
      <c r="AT89" s="13">
        <f>$I$33*$AT$33</f>
        <v>0</v>
      </c>
      <c r="AU89" s="13">
        <f>$I$33*$AU$33</f>
        <v>0</v>
      </c>
      <c r="AV89" s="13">
        <f>$I$33*$AV$33</f>
        <v>0</v>
      </c>
      <c r="AW89" s="13">
        <f>$I$33*$AW$33</f>
        <v>0</v>
      </c>
      <c r="AX89" s="13">
        <f>$I$33*$AX$33</f>
        <v>0</v>
      </c>
      <c r="AY89" s="13">
        <f>$I$33*$AY$33</f>
        <v>0</v>
      </c>
      <c r="AZ89" s="13">
        <f>$I$33*$AZ$33</f>
        <v>0</v>
      </c>
      <c r="BA89" s="13">
        <f>$I$33*$BA$33</f>
        <v>0</v>
      </c>
      <c r="BB89" s="13">
        <f>$I$33*$BB$33</f>
        <v>0</v>
      </c>
      <c r="BC89" s="13">
        <f>$I$33*$BC$33</f>
        <v>0</v>
      </c>
      <c r="BD89" s="13">
        <f>$I$33*$BD$33</f>
        <v>0</v>
      </c>
    </row>
    <row r="90" spans="1:56" ht="11.25" customHeight="1" x14ac:dyDescent="0.3">
      <c r="A90" s="9" t="s">
        <v>41</v>
      </c>
      <c r="B90" s="9" t="s">
        <v>973</v>
      </c>
      <c r="C90" s="9" t="s">
        <v>974</v>
      </c>
      <c r="D90" s="9" t="s">
        <v>975</v>
      </c>
      <c r="E90" s="9" t="s">
        <v>976</v>
      </c>
      <c r="F90" s="9" t="s">
        <v>977</v>
      </c>
      <c r="G90" s="9" t="s">
        <v>978</v>
      </c>
      <c r="L90" s="13">
        <f>$I$34*$L$34</f>
        <v>0</v>
      </c>
      <c r="M90" s="13">
        <f>$I$34*$M$34</f>
        <v>0</v>
      </c>
      <c r="N90" s="13">
        <f ca="1">$I$34*$N$34</f>
        <v>0</v>
      </c>
      <c r="O90" s="13">
        <f>$I$34*$O$34</f>
        <v>0</v>
      </c>
      <c r="P90" s="13">
        <f>$I$34*$P$34</f>
        <v>0</v>
      </c>
      <c r="Q90" s="13">
        <f>$I$34*$Q$34</f>
        <v>0</v>
      </c>
      <c r="R90" s="13">
        <f>$I$34*$R$34</f>
        <v>0</v>
      </c>
      <c r="S90" s="13">
        <f>$I$34*$S$34</f>
        <v>0</v>
      </c>
      <c r="T90" s="13">
        <f>$I$34*$T$34</f>
        <v>0</v>
      </c>
      <c r="U90" s="13">
        <f>$I$34*$U$34</f>
        <v>0</v>
      </c>
      <c r="V90" s="13">
        <f>$I$34*$V$34</f>
        <v>0</v>
      </c>
      <c r="W90" s="13">
        <f>$I$34*$W$34</f>
        <v>0</v>
      </c>
      <c r="X90" s="13">
        <f>$I$34*$X$34</f>
        <v>0</v>
      </c>
      <c r="Y90" s="13">
        <f>$I$34*$Y$34</f>
        <v>0</v>
      </c>
      <c r="Z90" s="13">
        <f>$I$34*$Z$34</f>
        <v>0</v>
      </c>
      <c r="AA90" s="13">
        <f>$I$34*$AA$34</f>
        <v>0</v>
      </c>
      <c r="AB90" s="13">
        <f ca="1">$I$34*$AB$34</f>
        <v>0</v>
      </c>
      <c r="AC90" s="13">
        <f ca="1">$I$34*$AC$34</f>
        <v>0</v>
      </c>
      <c r="AD90" s="13">
        <f>$I$34*$AD$34</f>
        <v>0</v>
      </c>
      <c r="AE90" s="13">
        <f>$I$34*$AE$34</f>
        <v>0</v>
      </c>
      <c r="AF90" s="13">
        <f ca="1">$I$34*$AF$34</f>
        <v>0</v>
      </c>
      <c r="AG90" s="13">
        <f ca="1">$I$34*$AG$34</f>
        <v>0</v>
      </c>
      <c r="AI90" s="13">
        <f>$I$34*$AI$34</f>
        <v>0</v>
      </c>
      <c r="AJ90" s="13">
        <f>$I$34*$AJ$34</f>
        <v>0</v>
      </c>
      <c r="AK90" s="13">
        <f>$I$34*$AK$34</f>
        <v>0</v>
      </c>
      <c r="AL90" s="13">
        <f>$I$34*$AL$34</f>
        <v>0</v>
      </c>
      <c r="AM90" s="13">
        <f>$I$34*$AM$34</f>
        <v>0</v>
      </c>
      <c r="AN90" s="13">
        <f>$I$34*$AN$34</f>
        <v>0</v>
      </c>
      <c r="AO90" s="13">
        <f>$I$34*$AO$34</f>
        <v>0</v>
      </c>
      <c r="AP90" s="13">
        <f>$I$34*$AP$34</f>
        <v>0</v>
      </c>
      <c r="AQ90" s="13">
        <f>$I$34*$AQ$34</f>
        <v>0</v>
      </c>
      <c r="AR90" s="13">
        <f>$I$34*$AR$34</f>
        <v>0</v>
      </c>
      <c r="AS90" s="13">
        <f>$I$34*$AS$34</f>
        <v>0</v>
      </c>
      <c r="AT90" s="13">
        <f>$I$34*$AT$34</f>
        <v>0</v>
      </c>
      <c r="AU90" s="13">
        <f>$I$34*$AU$34</f>
        <v>0</v>
      </c>
      <c r="AV90" s="13">
        <f>$I$34*$AV$34</f>
        <v>0</v>
      </c>
      <c r="AW90" s="13">
        <f>$I$34*$AW$34</f>
        <v>0</v>
      </c>
      <c r="AX90" s="13">
        <f>$I$34*$AX$34</f>
        <v>0</v>
      </c>
      <c r="AY90" s="13">
        <f>$I$34*$AY$34</f>
        <v>0</v>
      </c>
      <c r="AZ90" s="13">
        <f>$I$34*$AZ$34</f>
        <v>0</v>
      </c>
      <c r="BA90" s="13">
        <f>$I$34*$BA$34</f>
        <v>0</v>
      </c>
      <c r="BB90" s="13">
        <f>$I$34*$BB$34</f>
        <v>0</v>
      </c>
      <c r="BC90" s="13">
        <f>$I$34*$BC$34</f>
        <v>0</v>
      </c>
      <c r="BD90" s="13">
        <f>$I$34*$BD$34</f>
        <v>0</v>
      </c>
    </row>
    <row r="91" spans="1:56" ht="11.25" customHeight="1" x14ac:dyDescent="0.3">
      <c r="A91" s="9" t="s">
        <v>41</v>
      </c>
      <c r="B91" s="9" t="s">
        <v>973</v>
      </c>
      <c r="C91" s="9" t="s">
        <v>974</v>
      </c>
      <c r="D91" s="9" t="s">
        <v>975</v>
      </c>
      <c r="E91" s="9" t="s">
        <v>976</v>
      </c>
      <c r="F91" s="9" t="s">
        <v>977</v>
      </c>
      <c r="G91" s="9" t="s">
        <v>979</v>
      </c>
      <c r="L91" s="13">
        <f>$I$35*$L$35</f>
        <v>0</v>
      </c>
      <c r="M91" s="13">
        <f>$I$35*$M$35</f>
        <v>0</v>
      </c>
      <c r="N91" s="13">
        <f ca="1">$I$35*$N$35</f>
        <v>0</v>
      </c>
      <c r="O91" s="13">
        <f>$I$35*$O$35</f>
        <v>0</v>
      </c>
      <c r="P91" s="13">
        <f>$I$35*$P$35</f>
        <v>0</v>
      </c>
      <c r="Q91" s="13">
        <f>$I$35*$Q$35</f>
        <v>0</v>
      </c>
      <c r="R91" s="13">
        <f>$I$35*$R$35</f>
        <v>0</v>
      </c>
      <c r="S91" s="13">
        <f>$I$35*$S$35</f>
        <v>0</v>
      </c>
      <c r="T91" s="13">
        <f>$I$35*$T$35</f>
        <v>0</v>
      </c>
      <c r="U91" s="13">
        <f>$I$35*$U$35</f>
        <v>0</v>
      </c>
      <c r="V91" s="13">
        <f>$I$35*$V$35</f>
        <v>0</v>
      </c>
      <c r="W91" s="13">
        <f>$I$35*$W$35</f>
        <v>0</v>
      </c>
      <c r="X91" s="13">
        <f>$I$35*$X$35</f>
        <v>0</v>
      </c>
      <c r="Y91" s="13">
        <f>$I$35*$Y$35</f>
        <v>0</v>
      </c>
      <c r="Z91" s="13">
        <f>$I$35*$Z$35</f>
        <v>0</v>
      </c>
      <c r="AA91" s="13">
        <f>$I$35*$AA$35</f>
        <v>0</v>
      </c>
      <c r="AB91" s="13">
        <f ca="1">$I$35*$AB$35</f>
        <v>0</v>
      </c>
      <c r="AC91" s="13">
        <f ca="1">$I$35*$AC$35</f>
        <v>0</v>
      </c>
      <c r="AD91" s="13">
        <f>$I$35*$AD$35</f>
        <v>0</v>
      </c>
      <c r="AE91" s="13">
        <f>$I$35*$AE$35</f>
        <v>0</v>
      </c>
      <c r="AF91" s="13">
        <f ca="1">$I$35*$AF$35</f>
        <v>0</v>
      </c>
      <c r="AG91" s="13">
        <f ca="1">$I$35*$AG$35</f>
        <v>0</v>
      </c>
      <c r="AI91" s="13">
        <f>$I$35*$AI$35</f>
        <v>0</v>
      </c>
      <c r="AJ91" s="13">
        <f>$I$35*$AJ$35</f>
        <v>0</v>
      </c>
      <c r="AK91" s="13">
        <f>$I$35*$AK$35</f>
        <v>0</v>
      </c>
      <c r="AL91" s="13">
        <f>$I$35*$AL$35</f>
        <v>0</v>
      </c>
      <c r="AM91" s="13">
        <f>$I$35*$AM$35</f>
        <v>0</v>
      </c>
      <c r="AN91" s="13">
        <f>$I$35*$AN$35</f>
        <v>0</v>
      </c>
      <c r="AO91" s="13">
        <f>$I$35*$AO$35</f>
        <v>0</v>
      </c>
      <c r="AP91" s="13">
        <f>$I$35*$AP$35</f>
        <v>0</v>
      </c>
      <c r="AQ91" s="13">
        <f>$I$35*$AQ$35</f>
        <v>0</v>
      </c>
      <c r="AR91" s="13">
        <f>$I$35*$AR$35</f>
        <v>0</v>
      </c>
      <c r="AS91" s="13">
        <f>$I$35*$AS$35</f>
        <v>0</v>
      </c>
      <c r="AT91" s="13">
        <f>$I$35*$AT$35</f>
        <v>0</v>
      </c>
      <c r="AU91" s="13">
        <f>$I$35*$AU$35</f>
        <v>0</v>
      </c>
      <c r="AV91" s="13">
        <f>$I$35*$AV$35</f>
        <v>0</v>
      </c>
      <c r="AW91" s="13">
        <f>$I$35*$AW$35</f>
        <v>0</v>
      </c>
      <c r="AX91" s="13">
        <f>$I$35*$AX$35</f>
        <v>0</v>
      </c>
      <c r="AY91" s="13">
        <f>$I$35*$AY$35</f>
        <v>0</v>
      </c>
      <c r="AZ91" s="13">
        <f>$I$35*$AZ$35</f>
        <v>0</v>
      </c>
      <c r="BA91" s="13">
        <f>$I$35*$BA$35</f>
        <v>0</v>
      </c>
      <c r="BB91" s="13">
        <f>$I$35*$BB$35</f>
        <v>0</v>
      </c>
      <c r="BC91" s="13">
        <f>$I$35*$BC$35</f>
        <v>0</v>
      </c>
      <c r="BD91" s="13">
        <f>$I$35*$BD$35</f>
        <v>0</v>
      </c>
    </row>
    <row r="92" spans="1:56" ht="11.25" customHeight="1" x14ac:dyDescent="0.3">
      <c r="A92" s="9" t="s">
        <v>41</v>
      </c>
      <c r="B92" s="9" t="s">
        <v>973</v>
      </c>
      <c r="C92" s="9" t="s">
        <v>974</v>
      </c>
      <c r="D92" s="9" t="s">
        <v>975</v>
      </c>
      <c r="E92" s="9" t="s">
        <v>976</v>
      </c>
      <c r="F92" s="9" t="s">
        <v>977</v>
      </c>
      <c r="G92" s="9" t="s">
        <v>980</v>
      </c>
      <c r="L92" s="13">
        <f>$I$36*$L$36</f>
        <v>0</v>
      </c>
      <c r="M92" s="13">
        <f>$I$36*$M$36</f>
        <v>0</v>
      </c>
      <c r="N92" s="13">
        <f ca="1">$I$36*$N$36</f>
        <v>0</v>
      </c>
      <c r="O92" s="13">
        <f>$I$36*$O$36</f>
        <v>0</v>
      </c>
      <c r="P92" s="13">
        <f>$I$36*$P$36</f>
        <v>0</v>
      </c>
      <c r="Q92" s="13">
        <f>$I$36*$Q$36</f>
        <v>0</v>
      </c>
      <c r="R92" s="13">
        <f>$I$36*$R$36</f>
        <v>0</v>
      </c>
      <c r="S92" s="13">
        <f>$I$36*$S$36</f>
        <v>0</v>
      </c>
      <c r="T92" s="13">
        <f>$I$36*$T$36</f>
        <v>0</v>
      </c>
      <c r="U92" s="13">
        <f>$I$36*$U$36</f>
        <v>0</v>
      </c>
      <c r="V92" s="13">
        <f>$I$36*$V$36</f>
        <v>0</v>
      </c>
      <c r="W92" s="13">
        <f>$I$36*$W$36</f>
        <v>0</v>
      </c>
      <c r="X92" s="13">
        <f>$I$36*$X$36</f>
        <v>0</v>
      </c>
      <c r="Y92" s="13">
        <f>$I$36*$Y$36</f>
        <v>0</v>
      </c>
      <c r="Z92" s="13">
        <f>$I$36*$Z$36</f>
        <v>0</v>
      </c>
      <c r="AA92" s="13">
        <f>$I$36*$AA$36</f>
        <v>0</v>
      </c>
      <c r="AB92" s="13">
        <f ca="1">$I$36*$AB$36</f>
        <v>0</v>
      </c>
      <c r="AC92" s="13">
        <f ca="1">$I$36*$AC$36</f>
        <v>0</v>
      </c>
      <c r="AD92" s="13">
        <f>$I$36*$AD$36</f>
        <v>0</v>
      </c>
      <c r="AE92" s="13">
        <f>$I$36*$AE$36</f>
        <v>0</v>
      </c>
      <c r="AF92" s="13">
        <f ca="1">$I$36*$AF$36</f>
        <v>0</v>
      </c>
      <c r="AG92" s="13">
        <f ca="1">$I$36*$AG$36</f>
        <v>0</v>
      </c>
      <c r="AI92" s="13">
        <f>$I$36*$AI$36</f>
        <v>0</v>
      </c>
      <c r="AJ92" s="13">
        <f>$I$36*$AJ$36</f>
        <v>0</v>
      </c>
      <c r="AK92" s="13">
        <f>$I$36*$AK$36</f>
        <v>0</v>
      </c>
      <c r="AL92" s="13">
        <f>$I$36*$AL$36</f>
        <v>0</v>
      </c>
      <c r="AM92" s="13">
        <f>$I$36*$AM$36</f>
        <v>0</v>
      </c>
      <c r="AN92" s="13">
        <f>$I$36*$AN$36</f>
        <v>0</v>
      </c>
      <c r="AO92" s="13">
        <f>$I$36*$AO$36</f>
        <v>0</v>
      </c>
      <c r="AP92" s="13">
        <f>$I$36*$AP$36</f>
        <v>0</v>
      </c>
      <c r="AQ92" s="13">
        <f>$I$36*$AQ$36</f>
        <v>0</v>
      </c>
      <c r="AR92" s="13">
        <f>$I$36*$AR$36</f>
        <v>0</v>
      </c>
      <c r="AS92" s="13">
        <f>$I$36*$AS$36</f>
        <v>0</v>
      </c>
      <c r="AT92" s="13">
        <f>$I$36*$AT$36</f>
        <v>0</v>
      </c>
      <c r="AU92" s="13">
        <f>$I$36*$AU$36</f>
        <v>0</v>
      </c>
      <c r="AV92" s="13">
        <f>$I$36*$AV$36</f>
        <v>0</v>
      </c>
      <c r="AW92" s="13">
        <f>$I$36*$AW$36</f>
        <v>0</v>
      </c>
      <c r="AX92" s="13">
        <f>$I$36*$AX$36</f>
        <v>0</v>
      </c>
      <c r="AY92" s="13">
        <f>$I$36*$AY$36</f>
        <v>0</v>
      </c>
      <c r="AZ92" s="13">
        <f>$I$36*$AZ$36</f>
        <v>0</v>
      </c>
      <c r="BA92" s="13">
        <f>$I$36*$BA$36</f>
        <v>0</v>
      </c>
      <c r="BB92" s="13">
        <f>$I$36*$BB$36</f>
        <v>0</v>
      </c>
      <c r="BC92" s="13">
        <f>$I$36*$BC$36</f>
        <v>0</v>
      </c>
      <c r="BD92" s="13">
        <f>$I$36*$BD$36</f>
        <v>0</v>
      </c>
    </row>
    <row r="93" spans="1:56" ht="11.25" customHeight="1" x14ac:dyDescent="0.3">
      <c r="A93" s="9" t="s">
        <v>41</v>
      </c>
      <c r="B93" s="9" t="s">
        <v>981</v>
      </c>
      <c r="C93" s="9" t="s">
        <v>982</v>
      </c>
      <c r="D93" s="9" t="s">
        <v>983</v>
      </c>
      <c r="E93" s="9" t="s">
        <v>984</v>
      </c>
      <c r="F93" s="9" t="s">
        <v>985</v>
      </c>
      <c r="G93" s="9" t="s">
        <v>986</v>
      </c>
      <c r="L93" s="13">
        <f>$I$37*$L$37</f>
        <v>8294.2862421212139</v>
      </c>
      <c r="M93" s="13">
        <f>$I$37*$M$37</f>
        <v>2691.4100439311928</v>
      </c>
      <c r="N93" s="13">
        <f ca="1">$I$37*$N$37</f>
        <v>17025.210449393042</v>
      </c>
      <c r="O93" s="13">
        <f>$I$37*$O$37</f>
        <v>0</v>
      </c>
      <c r="P93" s="13">
        <f>$I$37*$P$37</f>
        <v>0</v>
      </c>
      <c r="Q93" s="13">
        <f>$I$37*$Q$37</f>
        <v>390778.41185408219</v>
      </c>
      <c r="R93" s="13">
        <f>$I$37*$R$37</f>
        <v>59342.93836332635</v>
      </c>
      <c r="S93" s="13">
        <f>$I$37*$S$37</f>
        <v>0</v>
      </c>
      <c r="T93" s="13">
        <f>$I$37*$T$37</f>
        <v>0</v>
      </c>
      <c r="U93" s="13">
        <f>$I$37*$U$37</f>
        <v>0</v>
      </c>
      <c r="V93" s="13">
        <f>$I$37*$V$37</f>
        <v>0</v>
      </c>
      <c r="W93" s="13">
        <f>$I$37*$W$37</f>
        <v>0</v>
      </c>
      <c r="X93" s="13">
        <f>$I$37*$X$37</f>
        <v>297998.96842339227</v>
      </c>
      <c r="Y93" s="13">
        <f>$I$37*$Y$37</f>
        <v>0</v>
      </c>
      <c r="Z93" s="13">
        <f>$I$37*$Z$37</f>
        <v>0</v>
      </c>
      <c r="AA93" s="13">
        <f>$I$37*$AA$37</f>
        <v>586003.93981237453</v>
      </c>
      <c r="AB93" s="13">
        <f ca="1">$I$37*$AB$37</f>
        <v>-51278.70470690541</v>
      </c>
      <c r="AC93" s="13">
        <f ca="1">$I$37*$AC$37</f>
        <v>0</v>
      </c>
      <c r="AD93" s="13">
        <f>$I$37*$AD$37</f>
        <v>65215.046945182992</v>
      </c>
      <c r="AE93" s="13">
        <f>$I$37*$AE$37</f>
        <v>0</v>
      </c>
      <c r="AF93" s="13">
        <f ca="1">$I$37*$AF$37</f>
        <v>3825.3142602117082</v>
      </c>
      <c r="AG93" s="13">
        <f ca="1">$I$37*$AG$37</f>
        <v>576.8289601026853</v>
      </c>
      <c r="AI93" s="13">
        <f>$I$37*$AI$37</f>
        <v>6280.3996865318004</v>
      </c>
      <c r="AJ93" s="13">
        <f>$I$37*$AJ$37</f>
        <v>2065.9424953149869</v>
      </c>
      <c r="AK93" s="13">
        <f>$I$37*$AK$37</f>
        <v>12431.558907687458</v>
      </c>
      <c r="AL93" s="13">
        <f>$I$37*$AL$37</f>
        <v>0</v>
      </c>
      <c r="AM93" s="13">
        <f>$I$37*$AM$37</f>
        <v>0</v>
      </c>
      <c r="AN93" s="13">
        <f>$I$37*$AN$37</f>
        <v>167664.14200031231</v>
      </c>
      <c r="AO93" s="13">
        <f>$I$37*$AO$37</f>
        <v>25672.336644395415</v>
      </c>
      <c r="AP93" s="13">
        <f>$I$37*$AP$37</f>
        <v>0</v>
      </c>
      <c r="AQ93" s="13">
        <f>$I$37*$AQ$37</f>
        <v>0</v>
      </c>
      <c r="AR93" s="13">
        <f>$I$37*$AR$37</f>
        <v>0</v>
      </c>
      <c r="AS93" s="13">
        <f>$I$37*$AS$37</f>
        <v>0</v>
      </c>
      <c r="AT93" s="13">
        <f>$I$37*$AT$37</f>
        <v>0</v>
      </c>
      <c r="AU93" s="13">
        <f>$I$37*$AU$37</f>
        <v>198855.29171985353</v>
      </c>
      <c r="AV93" s="13">
        <f>$I$37*$AV$37</f>
        <v>0</v>
      </c>
      <c r="AW93" s="13">
        <f>$I$37*$AW$37</f>
        <v>0</v>
      </c>
      <c r="AX93" s="13">
        <f>$I$37*$AX$37</f>
        <v>473673.85708568292</v>
      </c>
      <c r="AY93" s="13">
        <f>$I$37*$AY$37</f>
        <v>-14541.286626058052</v>
      </c>
      <c r="AZ93" s="13">
        <f>$I$37*$AZ$37</f>
        <v>0</v>
      </c>
      <c r="BA93" s="13">
        <f>$I$37*$BA$37</f>
        <v>63681.535932220351</v>
      </c>
      <c r="BB93" s="13">
        <f>$I$37*$BB$37</f>
        <v>0</v>
      </c>
      <c r="BC93" s="13">
        <f>$I$37*$BC$37</f>
        <v>3750.931066099467</v>
      </c>
      <c r="BD93" s="13">
        <f>$I$37*$BD$37</f>
        <v>514.99615097147773</v>
      </c>
    </row>
    <row r="94" spans="1:56" ht="11.25" customHeight="1" x14ac:dyDescent="0.3">
      <c r="A94" s="9" t="s">
        <v>41</v>
      </c>
      <c r="B94" s="9" t="s">
        <v>973</v>
      </c>
      <c r="C94" s="9" t="s">
        <v>974</v>
      </c>
      <c r="D94" s="9" t="s">
        <v>987</v>
      </c>
      <c r="E94" s="9" t="s">
        <v>988</v>
      </c>
      <c r="F94" s="9" t="s">
        <v>989</v>
      </c>
      <c r="G94" s="9" t="s">
        <v>990</v>
      </c>
      <c r="L94" s="13">
        <f>$I$38*$L$38</f>
        <v>0</v>
      </c>
      <c r="M94" s="13">
        <f>$I$38*$M$38</f>
        <v>0</v>
      </c>
      <c r="N94" s="13">
        <f ca="1">$I$38*$N$38</f>
        <v>0</v>
      </c>
      <c r="O94" s="13">
        <f>$I$38*$O$38</f>
        <v>0</v>
      </c>
      <c r="P94" s="13">
        <f>$I$38*$P$38</f>
        <v>0</v>
      </c>
      <c r="Q94" s="13">
        <f>$I$38*$Q$38</f>
        <v>0</v>
      </c>
      <c r="R94" s="13">
        <f>$I$38*$R$38</f>
        <v>0</v>
      </c>
      <c r="S94" s="13">
        <f>$I$38*$S$38</f>
        <v>0</v>
      </c>
      <c r="T94" s="13">
        <f>$I$38*$T$38</f>
        <v>0</v>
      </c>
      <c r="U94" s="13">
        <f>$I$38*$U$38</f>
        <v>0</v>
      </c>
      <c r="V94" s="13">
        <f>$I$38*$V$38</f>
        <v>0</v>
      </c>
      <c r="W94" s="13">
        <f>$I$38*$W$38</f>
        <v>0</v>
      </c>
      <c r="X94" s="13">
        <f>$I$38*$X$38</f>
        <v>0</v>
      </c>
      <c r="Y94" s="13">
        <f>$I$38*$Y$38</f>
        <v>0</v>
      </c>
      <c r="Z94" s="13">
        <f>$I$38*$Z$38</f>
        <v>0</v>
      </c>
      <c r="AA94" s="13">
        <f>$I$38*$AA$38</f>
        <v>0</v>
      </c>
      <c r="AB94" s="13">
        <f ca="1">$I$38*$AB$38</f>
        <v>0</v>
      </c>
      <c r="AC94" s="13">
        <f ca="1">$I$38*$AC$38</f>
        <v>0</v>
      </c>
      <c r="AD94" s="13">
        <f>$I$38*$AD$38</f>
        <v>0</v>
      </c>
      <c r="AE94" s="13">
        <f>$I$38*$AE$38</f>
        <v>0</v>
      </c>
      <c r="AF94" s="13">
        <f ca="1">$I$38*$AF$38</f>
        <v>0</v>
      </c>
      <c r="AG94" s="13">
        <f ca="1">$I$38*$AG$38</f>
        <v>0</v>
      </c>
      <c r="AI94" s="13">
        <f>$I$38*$AI$38</f>
        <v>0</v>
      </c>
      <c r="AJ94" s="13">
        <f>$I$38*$AJ$38</f>
        <v>0</v>
      </c>
      <c r="AK94" s="13">
        <f>$I$38*$AK$38</f>
        <v>0</v>
      </c>
      <c r="AL94" s="13">
        <f>$I$38*$AL$38</f>
        <v>0</v>
      </c>
      <c r="AM94" s="13">
        <f>$I$38*$AM$38</f>
        <v>0</v>
      </c>
      <c r="AN94" s="13">
        <f>$I$38*$AN$38</f>
        <v>0</v>
      </c>
      <c r="AO94" s="13">
        <f>$I$38*$AO$38</f>
        <v>0</v>
      </c>
      <c r="AP94" s="13">
        <f>$I$38*$AP$38</f>
        <v>0</v>
      </c>
      <c r="AQ94" s="13">
        <f>$I$38*$AQ$38</f>
        <v>0</v>
      </c>
      <c r="AR94" s="13">
        <f>$I$38*$AR$38</f>
        <v>0</v>
      </c>
      <c r="AS94" s="13">
        <f>$I$38*$AS$38</f>
        <v>0</v>
      </c>
      <c r="AT94" s="13">
        <f>$I$38*$AT$38</f>
        <v>0</v>
      </c>
      <c r="AU94" s="13">
        <f>$I$38*$AU$38</f>
        <v>0</v>
      </c>
      <c r="AV94" s="13">
        <f>$I$38*$AV$38</f>
        <v>0</v>
      </c>
      <c r="AW94" s="13">
        <f>$I$38*$AW$38</f>
        <v>0</v>
      </c>
      <c r="AX94" s="13">
        <f>$I$38*$AX$38</f>
        <v>0</v>
      </c>
      <c r="AY94" s="13">
        <f>$I$38*$AY$38</f>
        <v>0</v>
      </c>
      <c r="AZ94" s="13">
        <f>$I$38*$AZ$38</f>
        <v>0</v>
      </c>
      <c r="BA94" s="13">
        <f>$I$38*$BA$38</f>
        <v>0</v>
      </c>
      <c r="BB94" s="13">
        <f>$I$38*$BB$38</f>
        <v>0</v>
      </c>
      <c r="BC94" s="13">
        <f>$I$38*$BC$38</f>
        <v>0</v>
      </c>
      <c r="BD94" s="13">
        <f>$I$38*$BD$38</f>
        <v>0</v>
      </c>
    </row>
    <row r="95" spans="1:56" ht="11.25" customHeight="1" x14ac:dyDescent="0.3">
      <c r="A95" s="9" t="s">
        <v>41</v>
      </c>
      <c r="B95" s="9" t="s">
        <v>973</v>
      </c>
      <c r="C95" s="9" t="s">
        <v>974</v>
      </c>
      <c r="D95" s="9" t="s">
        <v>987</v>
      </c>
      <c r="E95" s="9" t="s">
        <v>988</v>
      </c>
      <c r="F95" s="9" t="s">
        <v>989</v>
      </c>
      <c r="G95" s="9" t="s">
        <v>991</v>
      </c>
      <c r="L95" s="13">
        <f>$I$39*$L$39</f>
        <v>0</v>
      </c>
      <c r="M95" s="13">
        <f>$I$39*$M$39</f>
        <v>0</v>
      </c>
      <c r="N95" s="13">
        <f ca="1">$I$39*$N$39</f>
        <v>0</v>
      </c>
      <c r="O95" s="13">
        <f>$I$39*$O$39</f>
        <v>0</v>
      </c>
      <c r="P95" s="13">
        <f>$I$39*$P$39</f>
        <v>0</v>
      </c>
      <c r="Q95" s="13">
        <f>$I$39*$Q$39</f>
        <v>0</v>
      </c>
      <c r="R95" s="13">
        <f>$I$39*$R$39</f>
        <v>0</v>
      </c>
      <c r="S95" s="13">
        <f>$I$39*$S$39</f>
        <v>0</v>
      </c>
      <c r="T95" s="13">
        <f>$I$39*$T$39</f>
        <v>0</v>
      </c>
      <c r="U95" s="13">
        <f>$I$39*$U$39</f>
        <v>0</v>
      </c>
      <c r="V95" s="13">
        <f>$I$39*$V$39</f>
        <v>0</v>
      </c>
      <c r="W95" s="13">
        <f>$I$39*$W$39</f>
        <v>0</v>
      </c>
      <c r="X95" s="13">
        <f>$I$39*$X$39</f>
        <v>0</v>
      </c>
      <c r="Y95" s="13">
        <f>$I$39*$Y$39</f>
        <v>0</v>
      </c>
      <c r="Z95" s="13">
        <f>$I$39*$Z$39</f>
        <v>0</v>
      </c>
      <c r="AA95" s="13">
        <f>$I$39*$AA$39</f>
        <v>0</v>
      </c>
      <c r="AB95" s="13">
        <f ca="1">$I$39*$AB$39</f>
        <v>0</v>
      </c>
      <c r="AC95" s="13">
        <f ca="1">$I$39*$AC$39</f>
        <v>0</v>
      </c>
      <c r="AD95" s="13">
        <f>$I$39*$AD$39</f>
        <v>0</v>
      </c>
      <c r="AE95" s="13">
        <f>$I$39*$AE$39</f>
        <v>0</v>
      </c>
      <c r="AF95" s="13">
        <f ca="1">$I$39*$AF$39</f>
        <v>0</v>
      </c>
      <c r="AG95" s="13">
        <f ca="1">$I$39*$AG$39</f>
        <v>0</v>
      </c>
      <c r="AI95" s="13">
        <f>$I$39*$AI$39</f>
        <v>0</v>
      </c>
      <c r="AJ95" s="13">
        <f>$I$39*$AJ$39</f>
        <v>0</v>
      </c>
      <c r="AK95" s="13">
        <f>$I$39*$AK$39</f>
        <v>0</v>
      </c>
      <c r="AL95" s="13">
        <f>$I$39*$AL$39</f>
        <v>0</v>
      </c>
      <c r="AM95" s="13">
        <f>$I$39*$AM$39</f>
        <v>0</v>
      </c>
      <c r="AN95" s="13">
        <f>$I$39*$AN$39</f>
        <v>0</v>
      </c>
      <c r="AO95" s="13">
        <f>$I$39*$AO$39</f>
        <v>0</v>
      </c>
      <c r="AP95" s="13">
        <f>$I$39*$AP$39</f>
        <v>0</v>
      </c>
      <c r="AQ95" s="13">
        <f>$I$39*$AQ$39</f>
        <v>0</v>
      </c>
      <c r="AR95" s="13">
        <f>$I$39*$AR$39</f>
        <v>0</v>
      </c>
      <c r="AS95" s="13">
        <f>$I$39*$AS$39</f>
        <v>0</v>
      </c>
      <c r="AT95" s="13">
        <f>$I$39*$AT$39</f>
        <v>0</v>
      </c>
      <c r="AU95" s="13">
        <f>$I$39*$AU$39</f>
        <v>0</v>
      </c>
      <c r="AV95" s="13">
        <f>$I$39*$AV$39</f>
        <v>0</v>
      </c>
      <c r="AW95" s="13">
        <f>$I$39*$AW$39</f>
        <v>0</v>
      </c>
      <c r="AX95" s="13">
        <f>$I$39*$AX$39</f>
        <v>0</v>
      </c>
      <c r="AY95" s="13">
        <f>$I$39*$AY$39</f>
        <v>0</v>
      </c>
      <c r="AZ95" s="13">
        <f>$I$39*$AZ$39</f>
        <v>0</v>
      </c>
      <c r="BA95" s="13">
        <f>$I$39*$BA$39</f>
        <v>0</v>
      </c>
      <c r="BB95" s="13">
        <f>$I$39*$BB$39</f>
        <v>0</v>
      </c>
      <c r="BC95" s="13">
        <f>$I$39*$BC$39</f>
        <v>0</v>
      </c>
      <c r="BD95" s="13">
        <f>$I$39*$BD$39</f>
        <v>0</v>
      </c>
    </row>
    <row r="96" spans="1:56" ht="11.25" customHeight="1" x14ac:dyDescent="0.3">
      <c r="A96" s="9" t="s">
        <v>41</v>
      </c>
      <c r="B96" s="9" t="s">
        <v>973</v>
      </c>
      <c r="C96" s="9" t="s">
        <v>974</v>
      </c>
      <c r="D96" s="9" t="s">
        <v>987</v>
      </c>
      <c r="E96" s="9" t="s">
        <v>988</v>
      </c>
      <c r="F96" s="9" t="s">
        <v>989</v>
      </c>
      <c r="G96" s="9" t="s">
        <v>992</v>
      </c>
      <c r="L96" s="13">
        <f>$I$40*$L$40</f>
        <v>0</v>
      </c>
      <c r="M96" s="13">
        <f>$I$40*$M$40</f>
        <v>0</v>
      </c>
      <c r="N96" s="13">
        <f ca="1">$I$40*$N$40</f>
        <v>0</v>
      </c>
      <c r="O96" s="13">
        <f>$I$40*$O$40</f>
        <v>0</v>
      </c>
      <c r="P96" s="13">
        <f>$I$40*$P$40</f>
        <v>0</v>
      </c>
      <c r="Q96" s="13">
        <f>$I$40*$Q$40</f>
        <v>0</v>
      </c>
      <c r="R96" s="13">
        <f>$I$40*$R$40</f>
        <v>0</v>
      </c>
      <c r="S96" s="13">
        <f>$I$40*$S$40</f>
        <v>0</v>
      </c>
      <c r="T96" s="13">
        <f>$I$40*$T$40</f>
        <v>0</v>
      </c>
      <c r="U96" s="13">
        <f>$I$40*$U$40</f>
        <v>0</v>
      </c>
      <c r="V96" s="13">
        <f>$I$40*$V$40</f>
        <v>0</v>
      </c>
      <c r="W96" s="13">
        <f>$I$40*$W$40</f>
        <v>0</v>
      </c>
      <c r="X96" s="13">
        <f>$I$40*$X$40</f>
        <v>0</v>
      </c>
      <c r="Y96" s="13">
        <f>$I$40*$Y$40</f>
        <v>0</v>
      </c>
      <c r="Z96" s="13">
        <f>$I$40*$Z$40</f>
        <v>0</v>
      </c>
      <c r="AA96" s="13">
        <f>$I$40*$AA$40</f>
        <v>0</v>
      </c>
      <c r="AB96" s="13">
        <f ca="1">$I$40*$AB$40</f>
        <v>0</v>
      </c>
      <c r="AC96" s="13">
        <f ca="1">$I$40*$AC$40</f>
        <v>0</v>
      </c>
      <c r="AD96" s="13">
        <f>$I$40*$AD$40</f>
        <v>0</v>
      </c>
      <c r="AE96" s="13">
        <f>$I$40*$AE$40</f>
        <v>0</v>
      </c>
      <c r="AF96" s="13">
        <f ca="1">$I$40*$AF$40</f>
        <v>0</v>
      </c>
      <c r="AG96" s="13">
        <f ca="1">$I$40*$AG$40</f>
        <v>0</v>
      </c>
      <c r="AI96" s="13">
        <f>$I$40*$AI$40</f>
        <v>0</v>
      </c>
      <c r="AJ96" s="13">
        <f>$I$40*$AJ$40</f>
        <v>0</v>
      </c>
      <c r="AK96" s="13">
        <f>$I$40*$AK$40</f>
        <v>0</v>
      </c>
      <c r="AL96" s="13">
        <f>$I$40*$AL$40</f>
        <v>0</v>
      </c>
      <c r="AM96" s="13">
        <f>$I$40*$AM$40</f>
        <v>0</v>
      </c>
      <c r="AN96" s="13">
        <f>$I$40*$AN$40</f>
        <v>0</v>
      </c>
      <c r="AO96" s="13">
        <f>$I$40*$AO$40</f>
        <v>0</v>
      </c>
      <c r="AP96" s="13">
        <f>$I$40*$AP$40</f>
        <v>0</v>
      </c>
      <c r="AQ96" s="13">
        <f>$I$40*$AQ$40</f>
        <v>0</v>
      </c>
      <c r="AR96" s="13">
        <f>$I$40*$AR$40</f>
        <v>0</v>
      </c>
      <c r="AS96" s="13">
        <f>$I$40*$AS$40</f>
        <v>0</v>
      </c>
      <c r="AT96" s="13">
        <f>$I$40*$AT$40</f>
        <v>0</v>
      </c>
      <c r="AU96" s="13">
        <f>$I$40*$AU$40</f>
        <v>0</v>
      </c>
      <c r="AV96" s="13">
        <f>$I$40*$AV$40</f>
        <v>0</v>
      </c>
      <c r="AW96" s="13">
        <f>$I$40*$AW$40</f>
        <v>0</v>
      </c>
      <c r="AX96" s="13">
        <f>$I$40*$AX$40</f>
        <v>0</v>
      </c>
      <c r="AY96" s="13">
        <f>$I$40*$AY$40</f>
        <v>0</v>
      </c>
      <c r="AZ96" s="13">
        <f>$I$40*$AZ$40</f>
        <v>0</v>
      </c>
      <c r="BA96" s="13">
        <f>$I$40*$BA$40</f>
        <v>0</v>
      </c>
      <c r="BB96" s="13">
        <f>$I$40*$BB$40</f>
        <v>0</v>
      </c>
      <c r="BC96" s="13">
        <f>$I$40*$BC$40</f>
        <v>0</v>
      </c>
      <c r="BD96" s="13">
        <f>$I$40*$BD$40</f>
        <v>0</v>
      </c>
    </row>
    <row r="97" spans="1:56" ht="11.25" customHeight="1" x14ac:dyDescent="0.3">
      <c r="A97" s="9" t="s">
        <v>41</v>
      </c>
      <c r="B97" s="9" t="s">
        <v>981</v>
      </c>
      <c r="C97" s="9" t="s">
        <v>982</v>
      </c>
      <c r="D97" s="9" t="s">
        <v>993</v>
      </c>
      <c r="E97" s="9" t="s">
        <v>994</v>
      </c>
      <c r="F97" s="9" t="s">
        <v>995</v>
      </c>
      <c r="G97" s="9" t="s">
        <v>996</v>
      </c>
      <c r="L97" s="13">
        <f>$I$41*$L$41</f>
        <v>0</v>
      </c>
      <c r="M97" s="13">
        <f>$I$41*$M$41</f>
        <v>0</v>
      </c>
      <c r="N97" s="13">
        <f ca="1">$I$41*$N$41</f>
        <v>0</v>
      </c>
      <c r="O97" s="13">
        <f>$I$41*$O$41</f>
        <v>0</v>
      </c>
      <c r="P97" s="13">
        <f>$I$41*$P$41</f>
        <v>0</v>
      </c>
      <c r="Q97" s="13">
        <f>$I$41*$Q$41</f>
        <v>0</v>
      </c>
      <c r="R97" s="13">
        <f>$I$41*$R$41</f>
        <v>0</v>
      </c>
      <c r="S97" s="13">
        <f>$I$41*$S$41</f>
        <v>0</v>
      </c>
      <c r="T97" s="13">
        <f>$I$41*$T$41</f>
        <v>0</v>
      </c>
      <c r="U97" s="13">
        <f>$I$41*$U$41</f>
        <v>0</v>
      </c>
      <c r="V97" s="13">
        <f>$I$41*$V$41</f>
        <v>0</v>
      </c>
      <c r="W97" s="13">
        <f>$I$41*$W$41</f>
        <v>0</v>
      </c>
      <c r="X97" s="13">
        <f>$I$41*$X$41</f>
        <v>0</v>
      </c>
      <c r="Y97" s="13">
        <f>$I$41*$Y$41</f>
        <v>0</v>
      </c>
      <c r="Z97" s="13">
        <f>$I$41*$Z$41</f>
        <v>0</v>
      </c>
      <c r="AA97" s="13">
        <f>$I$41*$AA$41</f>
        <v>0</v>
      </c>
      <c r="AB97" s="13">
        <f ca="1">$I$41*$AB$41</f>
        <v>0</v>
      </c>
      <c r="AC97" s="13">
        <f ca="1">$I$41*$AC$41</f>
        <v>0</v>
      </c>
      <c r="AD97" s="13">
        <f>$I$41*$AD$41</f>
        <v>0</v>
      </c>
      <c r="AE97" s="13">
        <f>$I$41*$AE$41</f>
        <v>0</v>
      </c>
      <c r="AF97" s="13">
        <f ca="1">$I$41*$AF$41</f>
        <v>0</v>
      </c>
      <c r="AG97" s="13">
        <f ca="1">$I$41*$AG$41</f>
        <v>0</v>
      </c>
      <c r="AI97" s="13">
        <f>$I$41*$AI$41</f>
        <v>0</v>
      </c>
      <c r="AJ97" s="13">
        <f>$I$41*$AJ$41</f>
        <v>0</v>
      </c>
      <c r="AK97" s="13">
        <f>$I$41*$AK$41</f>
        <v>0</v>
      </c>
      <c r="AL97" s="13">
        <f>$I$41*$AL$41</f>
        <v>0</v>
      </c>
      <c r="AM97" s="13">
        <f>$I$41*$AM$41</f>
        <v>0</v>
      </c>
      <c r="AN97" s="13">
        <f>$I$41*$AN$41</f>
        <v>0</v>
      </c>
      <c r="AO97" s="13">
        <f>$I$41*$AO$41</f>
        <v>0</v>
      </c>
      <c r="AP97" s="13">
        <f>$I$41*$AP$41</f>
        <v>0</v>
      </c>
      <c r="AQ97" s="13">
        <f>$I$41*$AQ$41</f>
        <v>0</v>
      </c>
      <c r="AR97" s="13">
        <f>$I$41*$AR$41</f>
        <v>0</v>
      </c>
      <c r="AS97" s="13">
        <f>$I$41*$AS$41</f>
        <v>0</v>
      </c>
      <c r="AT97" s="13">
        <f>$I$41*$AT$41</f>
        <v>0</v>
      </c>
      <c r="AU97" s="13">
        <f>$I$41*$AU$41</f>
        <v>0</v>
      </c>
      <c r="AV97" s="13">
        <f>$I$41*$AV$41</f>
        <v>0</v>
      </c>
      <c r="AW97" s="13">
        <f>$I$41*$AW$41</f>
        <v>0</v>
      </c>
      <c r="AX97" s="13">
        <f>$I$41*$AX$41</f>
        <v>0</v>
      </c>
      <c r="AY97" s="13">
        <f>$I$41*$AY$41</f>
        <v>0</v>
      </c>
      <c r="AZ97" s="13">
        <f>$I$41*$AZ$41</f>
        <v>0</v>
      </c>
      <c r="BA97" s="13">
        <f>$I$41*$BA$41</f>
        <v>0</v>
      </c>
      <c r="BB97" s="13">
        <f>$I$41*$BB$41</f>
        <v>0</v>
      </c>
      <c r="BC97" s="13">
        <f>$I$41*$BC$41</f>
        <v>0</v>
      </c>
      <c r="BD97" s="13">
        <f>$I$41*$BD$41</f>
        <v>0</v>
      </c>
    </row>
    <row r="98" spans="1:56" ht="11.25" customHeight="1" x14ac:dyDescent="0.3">
      <c r="A98" s="9" t="s">
        <v>41</v>
      </c>
      <c r="B98" s="9" t="s">
        <v>973</v>
      </c>
      <c r="C98" s="9" t="s">
        <v>974</v>
      </c>
      <c r="D98" s="9" t="s">
        <v>997</v>
      </c>
      <c r="E98" s="9" t="s">
        <v>998</v>
      </c>
      <c r="F98" s="9" t="s">
        <v>999</v>
      </c>
      <c r="G98" s="9" t="s">
        <v>1000</v>
      </c>
      <c r="L98" s="13">
        <f>$I$42*$L$42</f>
        <v>0</v>
      </c>
      <c r="M98" s="13">
        <f>$I$42*$M$42</f>
        <v>0</v>
      </c>
      <c r="N98" s="13">
        <f ca="1">$I$42*$N$42</f>
        <v>0</v>
      </c>
      <c r="O98" s="13">
        <f>$I$42*$O$42</f>
        <v>0</v>
      </c>
      <c r="P98" s="13">
        <f>$I$42*$P$42</f>
        <v>0</v>
      </c>
      <c r="Q98" s="13">
        <f>$I$42*$Q$42</f>
        <v>0</v>
      </c>
      <c r="R98" s="13">
        <f>$I$42*$R$42</f>
        <v>0</v>
      </c>
      <c r="S98" s="13">
        <f>$I$42*$S$42</f>
        <v>0</v>
      </c>
      <c r="T98" s="13">
        <f>$I$42*$T$42</f>
        <v>0</v>
      </c>
      <c r="U98" s="13">
        <f>$I$42*$U$42</f>
        <v>0</v>
      </c>
      <c r="V98" s="13">
        <f>$I$42*$V$42</f>
        <v>0</v>
      </c>
      <c r="W98" s="13">
        <f>$I$42*$W$42</f>
        <v>0</v>
      </c>
      <c r="X98" s="13">
        <f>$I$42*$X$42</f>
        <v>0</v>
      </c>
      <c r="Y98" s="13">
        <f>$I$42*$Y$42</f>
        <v>0</v>
      </c>
      <c r="Z98" s="13">
        <f>$I$42*$Z$42</f>
        <v>0</v>
      </c>
      <c r="AA98" s="13">
        <f>$I$42*$AA$42</f>
        <v>0</v>
      </c>
      <c r="AB98" s="13">
        <f ca="1">$I$42*$AB$42</f>
        <v>0</v>
      </c>
      <c r="AC98" s="13">
        <f ca="1">$I$42*$AC$42</f>
        <v>0</v>
      </c>
      <c r="AD98" s="13">
        <f>$I$42*$AD$42</f>
        <v>0</v>
      </c>
      <c r="AE98" s="13">
        <f>$I$42*$AE$42</f>
        <v>0</v>
      </c>
      <c r="AF98" s="13">
        <f ca="1">$I$42*$AF$42</f>
        <v>0</v>
      </c>
      <c r="AG98" s="13">
        <f ca="1">$I$42*$AG$42</f>
        <v>0</v>
      </c>
      <c r="AI98" s="13">
        <f>$I$42*$AI$42</f>
        <v>0</v>
      </c>
      <c r="AJ98" s="13">
        <f>$I$42*$AJ$42</f>
        <v>0</v>
      </c>
      <c r="AK98" s="13">
        <f>$I$42*$AK$42</f>
        <v>0</v>
      </c>
      <c r="AL98" s="13">
        <f>$I$42*$AL$42</f>
        <v>0</v>
      </c>
      <c r="AM98" s="13">
        <f>$I$42*$AM$42</f>
        <v>0</v>
      </c>
      <c r="AN98" s="13">
        <f>$I$42*$AN$42</f>
        <v>0</v>
      </c>
      <c r="AO98" s="13">
        <f>$I$42*$AO$42</f>
        <v>0</v>
      </c>
      <c r="AP98" s="13">
        <f>$I$42*$AP$42</f>
        <v>0</v>
      </c>
      <c r="AQ98" s="13">
        <f>$I$42*$AQ$42</f>
        <v>0</v>
      </c>
      <c r="AR98" s="13">
        <f>$I$42*$AR$42</f>
        <v>0</v>
      </c>
      <c r="AS98" s="13">
        <f>$I$42*$AS$42</f>
        <v>0</v>
      </c>
      <c r="AT98" s="13">
        <f>$I$42*$AT$42</f>
        <v>0</v>
      </c>
      <c r="AU98" s="13">
        <f>$I$42*$AU$42</f>
        <v>0</v>
      </c>
      <c r="AV98" s="13">
        <f>$I$42*$AV$42</f>
        <v>0</v>
      </c>
      <c r="AW98" s="13">
        <f>$I$42*$AW$42</f>
        <v>0</v>
      </c>
      <c r="AX98" s="13">
        <f>$I$42*$AX$42</f>
        <v>0</v>
      </c>
      <c r="AY98" s="13">
        <f>$I$42*$AY$42</f>
        <v>0</v>
      </c>
      <c r="AZ98" s="13">
        <f>$I$42*$AZ$42</f>
        <v>0</v>
      </c>
      <c r="BA98" s="13">
        <f>$I$42*$BA$42</f>
        <v>0</v>
      </c>
      <c r="BB98" s="13">
        <f>$I$42*$BB$42</f>
        <v>0</v>
      </c>
      <c r="BC98" s="13">
        <f>$I$42*$BC$42</f>
        <v>0</v>
      </c>
      <c r="BD98" s="13">
        <f>$I$42*$BD$42</f>
        <v>0</v>
      </c>
    </row>
    <row r="99" spans="1:56" ht="11.25" customHeight="1" x14ac:dyDescent="0.3">
      <c r="A99" s="9" t="s">
        <v>41</v>
      </c>
      <c r="B99" s="9" t="s">
        <v>973</v>
      </c>
      <c r="C99" s="9" t="s">
        <v>974</v>
      </c>
      <c r="D99" s="9" t="s">
        <v>997</v>
      </c>
      <c r="E99" s="9" t="s">
        <v>998</v>
      </c>
      <c r="F99" s="9" t="s">
        <v>999</v>
      </c>
      <c r="G99" s="9" t="s">
        <v>1001</v>
      </c>
      <c r="L99" s="13">
        <f>$I$43*$L$43</f>
        <v>0</v>
      </c>
      <c r="M99" s="13">
        <f>$I$43*$M$43</f>
        <v>0</v>
      </c>
      <c r="N99" s="13">
        <f ca="1">$I$43*$N$43</f>
        <v>0</v>
      </c>
      <c r="O99" s="13">
        <f>$I$43*$O$43</f>
        <v>0</v>
      </c>
      <c r="P99" s="13">
        <f>$I$43*$P$43</f>
        <v>0</v>
      </c>
      <c r="Q99" s="13">
        <f>$I$43*$Q$43</f>
        <v>0</v>
      </c>
      <c r="R99" s="13">
        <f>$I$43*$R$43</f>
        <v>0</v>
      </c>
      <c r="S99" s="13">
        <f>$I$43*$S$43</f>
        <v>0</v>
      </c>
      <c r="T99" s="13">
        <f>$I$43*$T$43</f>
        <v>0</v>
      </c>
      <c r="U99" s="13">
        <f>$I$43*$U$43</f>
        <v>0</v>
      </c>
      <c r="V99" s="13">
        <f>$I$43*$V$43</f>
        <v>0</v>
      </c>
      <c r="W99" s="13">
        <f>$I$43*$W$43</f>
        <v>0</v>
      </c>
      <c r="X99" s="13">
        <f>$I$43*$X$43</f>
        <v>0</v>
      </c>
      <c r="Y99" s="13">
        <f>$I$43*$Y$43</f>
        <v>0</v>
      </c>
      <c r="Z99" s="13">
        <f>$I$43*$Z$43</f>
        <v>0</v>
      </c>
      <c r="AA99" s="13">
        <f>$I$43*$AA$43</f>
        <v>0</v>
      </c>
      <c r="AB99" s="13">
        <f ca="1">$I$43*$AB$43</f>
        <v>0</v>
      </c>
      <c r="AC99" s="13">
        <f ca="1">$I$43*$AC$43</f>
        <v>0</v>
      </c>
      <c r="AD99" s="13">
        <f>$I$43*$AD$43</f>
        <v>0</v>
      </c>
      <c r="AE99" s="13">
        <f>$I$43*$AE$43</f>
        <v>0</v>
      </c>
      <c r="AF99" s="13">
        <f ca="1">$I$43*$AF$43</f>
        <v>0</v>
      </c>
      <c r="AG99" s="13">
        <f ca="1">$I$43*$AG$43</f>
        <v>0</v>
      </c>
      <c r="AI99" s="13">
        <f>$I$43*$AI$43</f>
        <v>0</v>
      </c>
      <c r="AJ99" s="13">
        <f>$I$43*$AJ$43</f>
        <v>0</v>
      </c>
      <c r="AK99" s="13">
        <f>$I$43*$AK$43</f>
        <v>0</v>
      </c>
      <c r="AL99" s="13">
        <f>$I$43*$AL$43</f>
        <v>0</v>
      </c>
      <c r="AM99" s="13">
        <f>$I$43*$AM$43</f>
        <v>0</v>
      </c>
      <c r="AN99" s="13">
        <f>$I$43*$AN$43</f>
        <v>0</v>
      </c>
      <c r="AO99" s="13">
        <f>$I$43*$AO$43</f>
        <v>0</v>
      </c>
      <c r="AP99" s="13">
        <f>$I$43*$AP$43</f>
        <v>0</v>
      </c>
      <c r="AQ99" s="13">
        <f>$I$43*$AQ$43</f>
        <v>0</v>
      </c>
      <c r="AR99" s="13">
        <f>$I$43*$AR$43</f>
        <v>0</v>
      </c>
      <c r="AS99" s="13">
        <f>$I$43*$AS$43</f>
        <v>0</v>
      </c>
      <c r="AT99" s="13">
        <f>$I$43*$AT$43</f>
        <v>0</v>
      </c>
      <c r="AU99" s="13">
        <f>$I$43*$AU$43</f>
        <v>0</v>
      </c>
      <c r="AV99" s="13">
        <f>$I$43*$AV$43</f>
        <v>0</v>
      </c>
      <c r="AW99" s="13">
        <f>$I$43*$AW$43</f>
        <v>0</v>
      </c>
      <c r="AX99" s="13">
        <f>$I$43*$AX$43</f>
        <v>0</v>
      </c>
      <c r="AY99" s="13">
        <f>$I$43*$AY$43</f>
        <v>0</v>
      </c>
      <c r="AZ99" s="13">
        <f>$I$43*$AZ$43</f>
        <v>0</v>
      </c>
      <c r="BA99" s="13">
        <f>$I$43*$BA$43</f>
        <v>0</v>
      </c>
      <c r="BB99" s="13">
        <f>$I$43*$BB$43</f>
        <v>0</v>
      </c>
      <c r="BC99" s="13">
        <f>$I$43*$BC$43</f>
        <v>0</v>
      </c>
      <c r="BD99" s="13">
        <f>$I$43*$BD$43</f>
        <v>0</v>
      </c>
    </row>
    <row r="100" spans="1:56" ht="11.25" customHeight="1" x14ac:dyDescent="0.3">
      <c r="A100" s="9" t="s">
        <v>41</v>
      </c>
      <c r="B100" s="9" t="s">
        <v>973</v>
      </c>
      <c r="C100" s="9" t="s">
        <v>974</v>
      </c>
      <c r="D100" s="9" t="s">
        <v>997</v>
      </c>
      <c r="E100" s="9" t="s">
        <v>998</v>
      </c>
      <c r="F100" s="9" t="s">
        <v>999</v>
      </c>
      <c r="G100" s="9" t="s">
        <v>1002</v>
      </c>
      <c r="L100" s="13">
        <f>$I$44*$L$44</f>
        <v>0</v>
      </c>
      <c r="M100" s="13">
        <f>$I$44*$M$44</f>
        <v>0</v>
      </c>
      <c r="N100" s="13">
        <f ca="1">$I$44*$N$44</f>
        <v>0</v>
      </c>
      <c r="O100" s="13">
        <f>$I$44*$O$44</f>
        <v>0</v>
      </c>
      <c r="P100" s="13">
        <f>$I$44*$P$44</f>
        <v>0</v>
      </c>
      <c r="Q100" s="13">
        <f>$I$44*$Q$44</f>
        <v>0</v>
      </c>
      <c r="R100" s="13">
        <f>$I$44*$R$44</f>
        <v>0</v>
      </c>
      <c r="S100" s="13">
        <f>$I$44*$S$44</f>
        <v>0</v>
      </c>
      <c r="T100" s="13">
        <f>$I$44*$T$44</f>
        <v>0</v>
      </c>
      <c r="U100" s="13">
        <f>$I$44*$U$44</f>
        <v>0</v>
      </c>
      <c r="V100" s="13">
        <f>$I$44*$V$44</f>
        <v>0</v>
      </c>
      <c r="W100" s="13">
        <f>$I$44*$W$44</f>
        <v>0</v>
      </c>
      <c r="X100" s="13">
        <f>$I$44*$X$44</f>
        <v>0</v>
      </c>
      <c r="Y100" s="13">
        <f>$I$44*$Y$44</f>
        <v>0</v>
      </c>
      <c r="Z100" s="13">
        <f>$I$44*$Z$44</f>
        <v>0</v>
      </c>
      <c r="AA100" s="13">
        <f>$I$44*$AA$44</f>
        <v>0</v>
      </c>
      <c r="AB100" s="13">
        <f ca="1">$I$44*$AB$44</f>
        <v>0</v>
      </c>
      <c r="AC100" s="13">
        <f ca="1">$I$44*$AC$44</f>
        <v>0</v>
      </c>
      <c r="AD100" s="13">
        <f>$I$44*$AD$44</f>
        <v>0</v>
      </c>
      <c r="AE100" s="13">
        <f>$I$44*$AE$44</f>
        <v>0</v>
      </c>
      <c r="AF100" s="13">
        <f ca="1">$I$44*$AF$44</f>
        <v>0</v>
      </c>
      <c r="AG100" s="13">
        <f ca="1">$I$44*$AG$44</f>
        <v>0</v>
      </c>
      <c r="AI100" s="13">
        <f>$I$44*$AI$44</f>
        <v>0</v>
      </c>
      <c r="AJ100" s="13">
        <f>$I$44*$AJ$44</f>
        <v>0</v>
      </c>
      <c r="AK100" s="13">
        <f>$I$44*$AK$44</f>
        <v>0</v>
      </c>
      <c r="AL100" s="13">
        <f>$I$44*$AL$44</f>
        <v>0</v>
      </c>
      <c r="AM100" s="13">
        <f>$I$44*$AM$44</f>
        <v>0</v>
      </c>
      <c r="AN100" s="13">
        <f>$I$44*$AN$44</f>
        <v>0</v>
      </c>
      <c r="AO100" s="13">
        <f>$I$44*$AO$44</f>
        <v>0</v>
      </c>
      <c r="AP100" s="13">
        <f>$I$44*$AP$44</f>
        <v>0</v>
      </c>
      <c r="AQ100" s="13">
        <f>$I$44*$AQ$44</f>
        <v>0</v>
      </c>
      <c r="AR100" s="13">
        <f>$I$44*$AR$44</f>
        <v>0</v>
      </c>
      <c r="AS100" s="13">
        <f>$I$44*$AS$44</f>
        <v>0</v>
      </c>
      <c r="AT100" s="13">
        <f>$I$44*$AT$44</f>
        <v>0</v>
      </c>
      <c r="AU100" s="13">
        <f>$I$44*$AU$44</f>
        <v>0</v>
      </c>
      <c r="AV100" s="13">
        <f>$I$44*$AV$44</f>
        <v>0</v>
      </c>
      <c r="AW100" s="13">
        <f>$I$44*$AW$44</f>
        <v>0</v>
      </c>
      <c r="AX100" s="13">
        <f>$I$44*$AX$44</f>
        <v>0</v>
      </c>
      <c r="AY100" s="13">
        <f>$I$44*$AY$44</f>
        <v>0</v>
      </c>
      <c r="AZ100" s="13">
        <f>$I$44*$AZ$44</f>
        <v>0</v>
      </c>
      <c r="BA100" s="13">
        <f>$I$44*$BA$44</f>
        <v>0</v>
      </c>
      <c r="BB100" s="13">
        <f>$I$44*$BB$44</f>
        <v>0</v>
      </c>
      <c r="BC100" s="13">
        <f>$I$44*$BC$44</f>
        <v>0</v>
      </c>
      <c r="BD100" s="13">
        <f>$I$44*$BD$44</f>
        <v>0</v>
      </c>
    </row>
    <row r="101" spans="1:56" ht="11.25" customHeight="1" x14ac:dyDescent="0.3">
      <c r="A101" s="9" t="s">
        <v>41</v>
      </c>
      <c r="B101" s="9" t="s">
        <v>981</v>
      </c>
      <c r="C101" s="9" t="s">
        <v>982</v>
      </c>
      <c r="D101" s="9" t="s">
        <v>1003</v>
      </c>
      <c r="E101" s="9" t="s">
        <v>1004</v>
      </c>
      <c r="F101" s="9" t="s">
        <v>1005</v>
      </c>
      <c r="G101" s="9" t="s">
        <v>1006</v>
      </c>
      <c r="L101" s="13">
        <f>$I$45*$L$45</f>
        <v>0</v>
      </c>
      <c r="M101" s="13">
        <f>$I$45*$M$45</f>
        <v>0</v>
      </c>
      <c r="N101" s="13">
        <f ca="1">$I$45*$N$45</f>
        <v>0</v>
      </c>
      <c r="O101" s="13">
        <f>$I$45*$O$45</f>
        <v>0</v>
      </c>
      <c r="P101" s="13">
        <f>$I$45*$P$45</f>
        <v>0</v>
      </c>
      <c r="Q101" s="13">
        <f>$I$45*$Q$45</f>
        <v>0</v>
      </c>
      <c r="R101" s="13">
        <f>$I$45*$R$45</f>
        <v>0</v>
      </c>
      <c r="S101" s="13">
        <f>$I$45*$S$45</f>
        <v>0</v>
      </c>
      <c r="T101" s="13">
        <f>$I$45*$T$45</f>
        <v>0</v>
      </c>
      <c r="U101" s="13">
        <f>$I$45*$U$45</f>
        <v>0</v>
      </c>
      <c r="V101" s="13">
        <f>$I$45*$V$45</f>
        <v>0</v>
      </c>
      <c r="W101" s="13">
        <f>$I$45*$W$45</f>
        <v>0</v>
      </c>
      <c r="X101" s="13">
        <f>$I$45*$X$45</f>
        <v>0</v>
      </c>
      <c r="Y101" s="13">
        <f>$I$45*$Y$45</f>
        <v>0</v>
      </c>
      <c r="Z101" s="13">
        <f>$I$45*$Z$45</f>
        <v>0</v>
      </c>
      <c r="AA101" s="13">
        <f>$I$45*$AA$45</f>
        <v>0</v>
      </c>
      <c r="AB101" s="13">
        <f ca="1">$I$45*$AB$45</f>
        <v>0</v>
      </c>
      <c r="AC101" s="13">
        <f ca="1">$I$45*$AC$45</f>
        <v>0</v>
      </c>
      <c r="AD101" s="13">
        <f>$I$45*$AD$45</f>
        <v>0</v>
      </c>
      <c r="AE101" s="13">
        <f>$I$45*$AE$45</f>
        <v>0</v>
      </c>
      <c r="AF101" s="13">
        <f ca="1">$I$45*$AF$45</f>
        <v>0</v>
      </c>
      <c r="AG101" s="13">
        <f ca="1">$I$45*$AG$45</f>
        <v>0</v>
      </c>
      <c r="AI101" s="13">
        <f>$I$45*$AI$45</f>
        <v>0</v>
      </c>
      <c r="AJ101" s="13">
        <f>$I$45*$AJ$45</f>
        <v>0</v>
      </c>
      <c r="AK101" s="13">
        <f>$I$45*$AK$45</f>
        <v>0</v>
      </c>
      <c r="AL101" s="13">
        <f>$I$45*$AL$45</f>
        <v>0</v>
      </c>
      <c r="AM101" s="13">
        <f>$I$45*$AM$45</f>
        <v>0</v>
      </c>
      <c r="AN101" s="13">
        <f>$I$45*$AN$45</f>
        <v>0</v>
      </c>
      <c r="AO101" s="13">
        <f>$I$45*$AO$45</f>
        <v>0</v>
      </c>
      <c r="AP101" s="13">
        <f>$I$45*$AP$45</f>
        <v>0</v>
      </c>
      <c r="AQ101" s="13">
        <f>$I$45*$AQ$45</f>
        <v>0</v>
      </c>
      <c r="AR101" s="13">
        <f>$I$45*$AR$45</f>
        <v>0</v>
      </c>
      <c r="AS101" s="13">
        <f>$I$45*$AS$45</f>
        <v>0</v>
      </c>
      <c r="AT101" s="13">
        <f>$I$45*$AT$45</f>
        <v>0</v>
      </c>
      <c r="AU101" s="13">
        <f>$I$45*$AU$45</f>
        <v>0</v>
      </c>
      <c r="AV101" s="13">
        <f>$I$45*$AV$45</f>
        <v>0</v>
      </c>
      <c r="AW101" s="13">
        <f>$I$45*$AW$45</f>
        <v>0</v>
      </c>
      <c r="AX101" s="13">
        <f>$I$45*$AX$45</f>
        <v>0</v>
      </c>
      <c r="AY101" s="13">
        <f>$I$45*$AY$45</f>
        <v>0</v>
      </c>
      <c r="AZ101" s="13">
        <f>$I$45*$AZ$45</f>
        <v>0</v>
      </c>
      <c r="BA101" s="13">
        <f>$I$45*$BA$45</f>
        <v>0</v>
      </c>
      <c r="BB101" s="13">
        <f>$I$45*$BB$45</f>
        <v>0</v>
      </c>
      <c r="BC101" s="13">
        <f>$I$45*$BC$45</f>
        <v>0</v>
      </c>
      <c r="BD101" s="13">
        <f>$I$45*$BD$45</f>
        <v>0</v>
      </c>
    </row>
    <row r="102" spans="1:56" ht="11.25" customHeight="1" x14ac:dyDescent="0.3">
      <c r="A102" s="9" t="s">
        <v>41</v>
      </c>
      <c r="B102" s="9" t="s">
        <v>1007</v>
      </c>
      <c r="C102" s="9" t="s">
        <v>1008</v>
      </c>
      <c r="D102" s="9" t="s">
        <v>1009</v>
      </c>
      <c r="E102" s="9" t="s">
        <v>1010</v>
      </c>
      <c r="F102" s="9" t="s">
        <v>1011</v>
      </c>
      <c r="G102" s="9" t="s">
        <v>1012</v>
      </c>
      <c r="L102" s="13">
        <f>$I$46*$L$46</f>
        <v>0</v>
      </c>
      <c r="M102" s="13">
        <f>$I$46*$M$46</f>
        <v>0</v>
      </c>
      <c r="N102" s="13">
        <f ca="1">$I$46*$N$46</f>
        <v>0</v>
      </c>
      <c r="O102" s="13">
        <f>$I$46*$O$46</f>
        <v>0</v>
      </c>
      <c r="P102" s="13">
        <f>$I$46*$P$46</f>
        <v>0</v>
      </c>
      <c r="Q102" s="13">
        <f>$I$46*$Q$46</f>
        <v>0</v>
      </c>
      <c r="R102" s="13">
        <f>$I$46*$R$46</f>
        <v>0</v>
      </c>
      <c r="S102" s="13">
        <f>$I$46*$S$46</f>
        <v>0</v>
      </c>
      <c r="T102" s="13">
        <f>$I$46*$T$46</f>
        <v>0</v>
      </c>
      <c r="U102" s="13">
        <f>$I$46*$U$46</f>
        <v>0</v>
      </c>
      <c r="V102" s="13">
        <f>$I$46*$V$46</f>
        <v>0</v>
      </c>
      <c r="W102" s="13">
        <f>$I$46*$W$46</f>
        <v>0</v>
      </c>
      <c r="X102" s="13">
        <f>$I$46*$X$46</f>
        <v>0</v>
      </c>
      <c r="Y102" s="13">
        <f>$I$46*$Y$46</f>
        <v>0</v>
      </c>
      <c r="Z102" s="13">
        <f>$I$46*$Z$46</f>
        <v>0</v>
      </c>
      <c r="AA102" s="13">
        <f>$I$46*$AA$46</f>
        <v>0</v>
      </c>
      <c r="AB102" s="13">
        <f ca="1">$I$46*$AB$46</f>
        <v>0</v>
      </c>
      <c r="AC102" s="13">
        <f ca="1">$I$46*$AC$46</f>
        <v>0</v>
      </c>
      <c r="AD102" s="13">
        <f>$I$46*$AD$46</f>
        <v>0</v>
      </c>
      <c r="AE102" s="13">
        <f>$I$46*$AE$46</f>
        <v>0</v>
      </c>
      <c r="AF102" s="13">
        <f ca="1">$I$46*$AF$46</f>
        <v>0</v>
      </c>
      <c r="AG102" s="13">
        <f ca="1">$I$46*$AG$46</f>
        <v>0</v>
      </c>
      <c r="AI102" s="13">
        <f>$I$46*$AI$46</f>
        <v>0</v>
      </c>
      <c r="AJ102" s="13">
        <f>$I$46*$AJ$46</f>
        <v>0</v>
      </c>
      <c r="AK102" s="13">
        <f>$I$46*$AK$46</f>
        <v>0</v>
      </c>
      <c r="AL102" s="13">
        <f>$I$46*$AL$46</f>
        <v>0</v>
      </c>
      <c r="AM102" s="13">
        <f>$I$46*$AM$46</f>
        <v>0</v>
      </c>
      <c r="AN102" s="13">
        <f>$I$46*$AN$46</f>
        <v>0</v>
      </c>
      <c r="AO102" s="13">
        <f>$I$46*$AO$46</f>
        <v>0</v>
      </c>
      <c r="AP102" s="13">
        <f>$I$46*$AP$46</f>
        <v>0</v>
      </c>
      <c r="AQ102" s="13">
        <f>$I$46*$AQ$46</f>
        <v>0</v>
      </c>
      <c r="AR102" s="13">
        <f>$I$46*$AR$46</f>
        <v>0</v>
      </c>
      <c r="AS102" s="13">
        <f>$I$46*$AS$46</f>
        <v>0</v>
      </c>
      <c r="AT102" s="13">
        <f>$I$46*$AT$46</f>
        <v>0</v>
      </c>
      <c r="AU102" s="13">
        <f>$I$46*$AU$46</f>
        <v>0</v>
      </c>
      <c r="AV102" s="13">
        <f>$I$46*$AV$46</f>
        <v>0</v>
      </c>
      <c r="AW102" s="13">
        <f>$I$46*$AW$46</f>
        <v>0</v>
      </c>
      <c r="AX102" s="13">
        <f>$I$46*$AX$46</f>
        <v>0</v>
      </c>
      <c r="AY102" s="13">
        <f>$I$46*$AY$46</f>
        <v>0</v>
      </c>
      <c r="AZ102" s="13">
        <f>$I$46*$AZ$46</f>
        <v>0</v>
      </c>
      <c r="BA102" s="13">
        <f>$I$46*$BA$46</f>
        <v>0</v>
      </c>
      <c r="BB102" s="13">
        <f>$I$46*$BB$46</f>
        <v>0</v>
      </c>
      <c r="BC102" s="13">
        <f>$I$46*$BC$46</f>
        <v>0</v>
      </c>
      <c r="BD102" s="13">
        <f>$I$46*$BD$46</f>
        <v>0</v>
      </c>
    </row>
    <row r="103" spans="1:56" ht="11.25" customHeight="1" x14ac:dyDescent="0.3">
      <c r="A103" s="9" t="s">
        <v>41</v>
      </c>
      <c r="B103" s="9" t="s">
        <v>1007</v>
      </c>
      <c r="C103" s="9" t="s">
        <v>1008</v>
      </c>
      <c r="D103" s="9" t="s">
        <v>1013</v>
      </c>
      <c r="E103" s="9" t="s">
        <v>1014</v>
      </c>
      <c r="F103" s="9" t="s">
        <v>1015</v>
      </c>
      <c r="G103" s="9" t="s">
        <v>1016</v>
      </c>
      <c r="L103" s="13">
        <f>$I$47*$L$47</f>
        <v>0</v>
      </c>
      <c r="M103" s="13">
        <f>$I$47*$M$47</f>
        <v>0</v>
      </c>
      <c r="N103" s="13">
        <f ca="1">$I$47*$N$47</f>
        <v>0</v>
      </c>
      <c r="O103" s="13">
        <f>$I$47*$O$47</f>
        <v>0</v>
      </c>
      <c r="P103" s="13">
        <f>$I$47*$P$47</f>
        <v>0</v>
      </c>
      <c r="Q103" s="13">
        <f>$I$47*$Q$47</f>
        <v>0</v>
      </c>
      <c r="R103" s="13">
        <f>$I$47*$R$47</f>
        <v>0</v>
      </c>
      <c r="S103" s="13">
        <f>$I$47*$S$47</f>
        <v>0</v>
      </c>
      <c r="T103" s="13">
        <f>$I$47*$T$47</f>
        <v>0</v>
      </c>
      <c r="U103" s="13">
        <f>$I$47*$U$47</f>
        <v>0</v>
      </c>
      <c r="V103" s="13">
        <f>$I$47*$V$47</f>
        <v>0</v>
      </c>
      <c r="W103" s="13">
        <f>$I$47*$W$47</f>
        <v>0</v>
      </c>
      <c r="X103" s="13">
        <f>$I$47*$X$47</f>
        <v>0</v>
      </c>
      <c r="Y103" s="13">
        <f>$I$47*$Y$47</f>
        <v>0</v>
      </c>
      <c r="Z103" s="13">
        <f>$I$47*$Z$47</f>
        <v>0</v>
      </c>
      <c r="AA103" s="13">
        <f>$I$47*$AA$47</f>
        <v>0</v>
      </c>
      <c r="AB103" s="13">
        <f ca="1">$I$47*$AB$47</f>
        <v>0</v>
      </c>
      <c r="AC103" s="13">
        <f ca="1">$I$47*$AC$47</f>
        <v>0</v>
      </c>
      <c r="AD103" s="13">
        <f>$I$47*$AD$47</f>
        <v>0</v>
      </c>
      <c r="AE103" s="13">
        <f>$I$47*$AE$47</f>
        <v>0</v>
      </c>
      <c r="AF103" s="13">
        <f ca="1">$I$47*$AF$47</f>
        <v>0</v>
      </c>
      <c r="AG103" s="13">
        <f ca="1">$I$47*$AG$47</f>
        <v>0</v>
      </c>
      <c r="AI103" s="13">
        <f>$I$47*$AI$47</f>
        <v>0</v>
      </c>
      <c r="AJ103" s="13">
        <f>$I$47*$AJ$47</f>
        <v>0</v>
      </c>
      <c r="AK103" s="13">
        <f>$I$47*$AK$47</f>
        <v>0</v>
      </c>
      <c r="AL103" s="13">
        <f>$I$47*$AL$47</f>
        <v>0</v>
      </c>
      <c r="AM103" s="13">
        <f>$I$47*$AM$47</f>
        <v>0</v>
      </c>
      <c r="AN103" s="13">
        <f>$I$47*$AN$47</f>
        <v>0</v>
      </c>
      <c r="AO103" s="13">
        <f>$I$47*$AO$47</f>
        <v>0</v>
      </c>
      <c r="AP103" s="13">
        <f>$I$47*$AP$47</f>
        <v>0</v>
      </c>
      <c r="AQ103" s="13">
        <f>$I$47*$AQ$47</f>
        <v>0</v>
      </c>
      <c r="AR103" s="13">
        <f>$I$47*$AR$47</f>
        <v>0</v>
      </c>
      <c r="AS103" s="13">
        <f>$I$47*$AS$47</f>
        <v>0</v>
      </c>
      <c r="AT103" s="13">
        <f>$I$47*$AT$47</f>
        <v>0</v>
      </c>
      <c r="AU103" s="13">
        <f>$I$47*$AU$47</f>
        <v>0</v>
      </c>
      <c r="AV103" s="13">
        <f>$I$47*$AV$47</f>
        <v>0</v>
      </c>
      <c r="AW103" s="13">
        <f>$I$47*$AW$47</f>
        <v>0</v>
      </c>
      <c r="AX103" s="13">
        <f>$I$47*$AX$47</f>
        <v>0</v>
      </c>
      <c r="AY103" s="13">
        <f>$I$47*$AY$47</f>
        <v>0</v>
      </c>
      <c r="AZ103" s="13">
        <f>$I$47*$AZ$47</f>
        <v>0</v>
      </c>
      <c r="BA103" s="13">
        <f>$I$47*$BA$47</f>
        <v>0</v>
      </c>
      <c r="BB103" s="13">
        <f>$I$47*$BB$47</f>
        <v>0</v>
      </c>
      <c r="BC103" s="13">
        <f>$I$47*$BC$47</f>
        <v>0</v>
      </c>
      <c r="BD103" s="13">
        <f>$I$47*$BD$47</f>
        <v>0</v>
      </c>
    </row>
    <row r="104" spans="1:56" ht="11.25" customHeight="1" x14ac:dyDescent="0.3">
      <c r="A104" s="9" t="s">
        <v>41</v>
      </c>
      <c r="B104" s="9" t="s">
        <v>1007</v>
      </c>
      <c r="C104" s="9" t="s">
        <v>1008</v>
      </c>
      <c r="D104" s="9" t="s">
        <v>1017</v>
      </c>
      <c r="E104" s="9" t="s">
        <v>1018</v>
      </c>
      <c r="F104" s="9" t="s">
        <v>1019</v>
      </c>
      <c r="G104" s="9" t="s">
        <v>1020</v>
      </c>
      <c r="L104" s="13">
        <f>$I$48*$L$48</f>
        <v>0</v>
      </c>
      <c r="M104" s="13">
        <f>$I$48*$M$48</f>
        <v>0</v>
      </c>
      <c r="N104" s="13">
        <f ca="1">$I$48*$N$48</f>
        <v>0</v>
      </c>
      <c r="O104" s="13">
        <f>$I$48*$O$48</f>
        <v>0</v>
      </c>
      <c r="P104" s="13">
        <f>$I$48*$P$48</f>
        <v>0</v>
      </c>
      <c r="Q104" s="13">
        <f>$I$48*$Q$48</f>
        <v>0</v>
      </c>
      <c r="R104" s="13">
        <f>$I$48*$R$48</f>
        <v>0</v>
      </c>
      <c r="S104" s="13">
        <f>$I$48*$S$48</f>
        <v>0</v>
      </c>
      <c r="T104" s="13">
        <f>$I$48*$T$48</f>
        <v>0</v>
      </c>
      <c r="U104" s="13">
        <f>$I$48*$U$48</f>
        <v>0</v>
      </c>
      <c r="V104" s="13">
        <f>$I$48*$V$48</f>
        <v>0</v>
      </c>
      <c r="W104" s="13">
        <f>$I$48*$W$48</f>
        <v>0</v>
      </c>
      <c r="X104" s="13">
        <f>$I$48*$X$48</f>
        <v>0</v>
      </c>
      <c r="Y104" s="13">
        <f>$I$48*$Y$48</f>
        <v>0</v>
      </c>
      <c r="Z104" s="13">
        <f>$I$48*$Z$48</f>
        <v>0</v>
      </c>
      <c r="AA104" s="13">
        <f>$I$48*$AA$48</f>
        <v>0</v>
      </c>
      <c r="AB104" s="13">
        <f ca="1">$I$48*$AB$48</f>
        <v>0</v>
      </c>
      <c r="AC104" s="13">
        <f ca="1">$I$48*$AC$48</f>
        <v>0</v>
      </c>
      <c r="AD104" s="13">
        <f>$I$48*$AD$48</f>
        <v>0</v>
      </c>
      <c r="AE104" s="13">
        <f>$I$48*$AE$48</f>
        <v>0</v>
      </c>
      <c r="AF104" s="13">
        <f ca="1">$I$48*$AF$48</f>
        <v>0</v>
      </c>
      <c r="AG104" s="13">
        <f ca="1">$I$48*$AG$48</f>
        <v>0</v>
      </c>
      <c r="AI104" s="13">
        <f>$I$48*$AI$48</f>
        <v>0</v>
      </c>
      <c r="AJ104" s="13">
        <f>$I$48*$AJ$48</f>
        <v>0</v>
      </c>
      <c r="AK104" s="13">
        <f>$I$48*$AK$48</f>
        <v>0</v>
      </c>
      <c r="AL104" s="13">
        <f>$I$48*$AL$48</f>
        <v>0</v>
      </c>
      <c r="AM104" s="13">
        <f>$I$48*$AM$48</f>
        <v>0</v>
      </c>
      <c r="AN104" s="13">
        <f>$I$48*$AN$48</f>
        <v>0</v>
      </c>
      <c r="AO104" s="13">
        <f>$I$48*$AO$48</f>
        <v>0</v>
      </c>
      <c r="AP104" s="13">
        <f>$I$48*$AP$48</f>
        <v>0</v>
      </c>
      <c r="AQ104" s="13">
        <f>$I$48*$AQ$48</f>
        <v>0</v>
      </c>
      <c r="AR104" s="13">
        <f>$I$48*$AR$48</f>
        <v>0</v>
      </c>
      <c r="AS104" s="13">
        <f>$I$48*$AS$48</f>
        <v>0</v>
      </c>
      <c r="AT104" s="13">
        <f>$I$48*$AT$48</f>
        <v>0</v>
      </c>
      <c r="AU104" s="13">
        <f>$I$48*$AU$48</f>
        <v>0</v>
      </c>
      <c r="AV104" s="13">
        <f>$I$48*$AV$48</f>
        <v>0</v>
      </c>
      <c r="AW104" s="13">
        <f>$I$48*$AW$48</f>
        <v>0</v>
      </c>
      <c r="AX104" s="13">
        <f>$I$48*$AX$48</f>
        <v>0</v>
      </c>
      <c r="AY104" s="13">
        <f>$I$48*$AY$48</f>
        <v>0</v>
      </c>
      <c r="AZ104" s="13">
        <f>$I$48*$AZ$48</f>
        <v>0</v>
      </c>
      <c r="BA104" s="13">
        <f>$I$48*$BA$48</f>
        <v>0</v>
      </c>
      <c r="BB104" s="13">
        <f>$I$48*$BB$48</f>
        <v>0</v>
      </c>
      <c r="BC104" s="13">
        <f>$I$48*$BC$48</f>
        <v>0</v>
      </c>
      <c r="BD104" s="13">
        <f>$I$48*$BD$48</f>
        <v>0</v>
      </c>
    </row>
    <row r="105" spans="1:56" ht="11.25" customHeight="1" x14ac:dyDescent="0.3">
      <c r="A105" s="9" t="s">
        <v>32</v>
      </c>
      <c r="B105" s="9" t="s">
        <v>1021</v>
      </c>
      <c r="C105" s="9" t="s">
        <v>1022</v>
      </c>
      <c r="D105" s="9" t="s">
        <v>1023</v>
      </c>
      <c r="E105" s="9" t="s">
        <v>1024</v>
      </c>
      <c r="F105" s="9" t="s">
        <v>1025</v>
      </c>
      <c r="G105" s="9" t="s">
        <v>1026</v>
      </c>
      <c r="L105" s="13">
        <f>$I$49*$L$49</f>
        <v>12.664982720519934</v>
      </c>
      <c r="M105" s="13">
        <f>$I$49*$M$49</f>
        <v>4.1096558166896466</v>
      </c>
      <c r="N105" s="13">
        <f ca="1">$I$49*$N$49</f>
        <v>161.40454426242999</v>
      </c>
      <c r="O105" s="13">
        <f>$I$49*$O$49</f>
        <v>0</v>
      </c>
      <c r="P105" s="13">
        <f>$I$49*$P$49</f>
        <v>0</v>
      </c>
      <c r="Q105" s="13">
        <f>$I$49*$Q$49</f>
        <v>596.70014865781206</v>
      </c>
      <c r="R105" s="13">
        <f>$I$49*$R$49</f>
        <v>90.613859591635759</v>
      </c>
      <c r="S105" s="13">
        <f>$I$49*$S$49</f>
        <v>0</v>
      </c>
      <c r="T105" s="13">
        <f>$I$49*$T$49</f>
        <v>0</v>
      </c>
      <c r="U105" s="13">
        <f>$I$49*$U$49</f>
        <v>0</v>
      </c>
      <c r="V105" s="13">
        <f>$I$49*$V$49</f>
        <v>0</v>
      </c>
      <c r="W105" s="13">
        <f>$I$49*$W$49</f>
        <v>0</v>
      </c>
      <c r="X105" s="13">
        <f>$I$49*$X$49</f>
        <v>3352.8455237744392</v>
      </c>
      <c r="Y105" s="13">
        <f>$I$49*$Y$49</f>
        <v>0</v>
      </c>
      <c r="Z105" s="13">
        <f>$I$49*$Z$49</f>
        <v>0</v>
      </c>
      <c r="AA105" s="13">
        <f>$I$49*$AA$49</f>
        <v>6593.2472967035792</v>
      </c>
      <c r="AB105" s="13">
        <f ca="1">$I$49*$AB$49</f>
        <v>-413.34659391887391</v>
      </c>
      <c r="AC105" s="13">
        <f ca="1">$I$49*$AC$49</f>
        <v>0</v>
      </c>
      <c r="AD105" s="13">
        <f>$I$49*$AD$49</f>
        <v>99.580291608962824</v>
      </c>
      <c r="AE105" s="13">
        <f>$I$49*$AE$49</f>
        <v>0</v>
      </c>
      <c r="AF105" s="13">
        <f ca="1">$I$49*$AF$49</f>
        <v>5.841073914245527</v>
      </c>
      <c r="AG105" s="13">
        <f ca="1">$I$49*$AG$49</f>
        <v>0.88079053448819089</v>
      </c>
      <c r="AI105" s="13">
        <f>$I$49*$AI$49</f>
        <v>10.243728211699841</v>
      </c>
      <c r="AJ105" s="13">
        <f>$I$49*$AJ$49</f>
        <v>3.3696825806152422</v>
      </c>
      <c r="AK105" s="13">
        <f>$I$49*$AK$49</f>
        <v>125.82471093699857</v>
      </c>
      <c r="AL105" s="13">
        <f>$I$49*$AL$49</f>
        <v>0</v>
      </c>
      <c r="AM105" s="13">
        <f>$I$49*$AM$49</f>
        <v>0</v>
      </c>
      <c r="AN105" s="13">
        <f>$I$49*$AN$49</f>
        <v>273.47079600398723</v>
      </c>
      <c r="AO105" s="13">
        <f>$I$49*$AO$49</f>
        <v>41.873201113044558</v>
      </c>
      <c r="AP105" s="13">
        <f>$I$49*$AP$49</f>
        <v>0</v>
      </c>
      <c r="AQ105" s="13">
        <f>$I$49*$AQ$49</f>
        <v>0</v>
      </c>
      <c r="AR105" s="13">
        <f>$I$49*$AR$49</f>
        <v>0</v>
      </c>
      <c r="AS105" s="13">
        <f>$I$49*$AS$49</f>
        <v>0</v>
      </c>
      <c r="AT105" s="13">
        <f>$I$49*$AT$49</f>
        <v>0</v>
      </c>
      <c r="AU105" s="13">
        <f>$I$49*$AU$49</f>
        <v>2389.9076409645509</v>
      </c>
      <c r="AV105" s="13">
        <f>$I$49*$AV$49</f>
        <v>0</v>
      </c>
      <c r="AW105" s="13">
        <f>$I$49*$AW$49</f>
        <v>0</v>
      </c>
      <c r="AX105" s="13">
        <f>$I$49*$AX$49</f>
        <v>5692.7672356146295</v>
      </c>
      <c r="AY105" s="13">
        <f>$I$49*$AY$49</f>
        <v>-134.2956343765135</v>
      </c>
      <c r="AZ105" s="13">
        <f>$I$49*$AZ$49</f>
        <v>0</v>
      </c>
      <c r="BA105" s="13">
        <f>$I$49*$BA$49</f>
        <v>103.86860371198722</v>
      </c>
      <c r="BB105" s="13">
        <f>$I$49*$BB$49</f>
        <v>0</v>
      </c>
      <c r="BC105" s="13">
        <f>$I$49*$BC$49</f>
        <v>6.1180052703242387</v>
      </c>
      <c r="BD105" s="13">
        <f>$I$49*$BD$49</f>
        <v>0.83999122093081546</v>
      </c>
    </row>
    <row r="106" spans="1:56" ht="11.25" customHeight="1" x14ac:dyDescent="0.3">
      <c r="A106" s="9" t="s">
        <v>32</v>
      </c>
      <c r="B106" s="9" t="s">
        <v>1021</v>
      </c>
      <c r="C106" s="9" t="s">
        <v>1022</v>
      </c>
      <c r="D106" s="9" t="s">
        <v>1023</v>
      </c>
      <c r="E106" s="9" t="s">
        <v>1024</v>
      </c>
      <c r="F106" s="9" t="s">
        <v>1025</v>
      </c>
      <c r="G106" s="9" t="s">
        <v>1027</v>
      </c>
      <c r="L106" s="13">
        <f>$I$50*$L$50</f>
        <v>13.566384803135279</v>
      </c>
      <c r="M106" s="13">
        <f>$I$50*$M$50</f>
        <v>4.4021514634459837</v>
      </c>
      <c r="N106" s="13">
        <f ca="1">$I$50*$N$50</f>
        <v>46.404645970577853</v>
      </c>
      <c r="O106" s="13">
        <f>$I$50*$O$50</f>
        <v>0</v>
      </c>
      <c r="P106" s="13">
        <f>$I$50*$P$50</f>
        <v>0</v>
      </c>
      <c r="Q106" s="13">
        <f>$I$50*$Q$50</f>
        <v>639.16895959630472</v>
      </c>
      <c r="R106" s="13">
        <f>$I$50*$R$50</f>
        <v>97.063100269822925</v>
      </c>
      <c r="S106" s="13">
        <f>$I$50*$S$50</f>
        <v>0</v>
      </c>
      <c r="T106" s="13">
        <f>$I$50*$T$50</f>
        <v>0</v>
      </c>
      <c r="U106" s="13">
        <f>$I$50*$U$50</f>
        <v>0</v>
      </c>
      <c r="V106" s="13">
        <f>$I$50*$V$50</f>
        <v>0</v>
      </c>
      <c r="W106" s="13">
        <f>$I$50*$W$50</f>
        <v>0</v>
      </c>
      <c r="X106" s="13">
        <f>$I$50*$X$50</f>
        <v>884.56315853286367</v>
      </c>
      <c r="Y106" s="13">
        <f>$I$50*$Y$50</f>
        <v>0</v>
      </c>
      <c r="Z106" s="13">
        <f>$I$50*$Z$50</f>
        <v>0</v>
      </c>
      <c r="AA106" s="13">
        <f>$I$50*$AA$50</f>
        <v>1739.4598282035247</v>
      </c>
      <c r="AB106" s="13">
        <f ca="1">$I$50*$AB$50</f>
        <v>-129.7912432700592</v>
      </c>
      <c r="AC106" s="13">
        <f ca="1">$I$50*$AC$50</f>
        <v>0</v>
      </c>
      <c r="AD106" s="13">
        <f>$I$50*$AD$50</f>
        <v>106.66769821855331</v>
      </c>
      <c r="AE106" s="13">
        <f>$I$50*$AE$50</f>
        <v>0</v>
      </c>
      <c r="AF106" s="13">
        <f ca="1">$I$50*$AF$50</f>
        <v>6.2567994076945173</v>
      </c>
      <c r="AG106" s="13">
        <f ca="1">$I$50*$AG$50</f>
        <v>0.94347884916304448</v>
      </c>
      <c r="AI106" s="13">
        <f>$I$50*$AI$50</f>
        <v>10.972802869560306</v>
      </c>
      <c r="AJ106" s="13">
        <f>$I$50*$AJ$50</f>
        <v>3.6095122718944839</v>
      </c>
      <c r="AK106" s="13">
        <f>$I$50*$AK$50</f>
        <v>36.185204398811614</v>
      </c>
      <c r="AL106" s="13">
        <f>$I$50*$AL$50</f>
        <v>0</v>
      </c>
      <c r="AM106" s="13">
        <f>$I$50*$AM$50</f>
        <v>0</v>
      </c>
      <c r="AN106" s="13">
        <f>$I$50*$AN$50</f>
        <v>292.93447396487988</v>
      </c>
      <c r="AO106" s="13">
        <f>$I$50*$AO$50</f>
        <v>44.853433421448365</v>
      </c>
      <c r="AP106" s="13">
        <f>$I$50*$AP$50</f>
        <v>0</v>
      </c>
      <c r="AQ106" s="13">
        <f>$I$50*$AQ$50</f>
        <v>0</v>
      </c>
      <c r="AR106" s="13">
        <f>$I$50*$AR$50</f>
        <v>0</v>
      </c>
      <c r="AS106" s="13">
        <f>$I$50*$AS$50</f>
        <v>0</v>
      </c>
      <c r="AT106" s="13">
        <f>$I$50*$AT$50</f>
        <v>0</v>
      </c>
      <c r="AU106" s="13">
        <f>$I$50*$AU$50</f>
        <v>630.51644834313117</v>
      </c>
      <c r="AV106" s="13">
        <f>$I$50*$AV$50</f>
        <v>0</v>
      </c>
      <c r="AW106" s="13">
        <f>$I$50*$AW$50</f>
        <v>0</v>
      </c>
      <c r="AX106" s="13">
        <f>$I$50*$AX$50</f>
        <v>1501.8911732031859</v>
      </c>
      <c r="AY106" s="13">
        <f>$I$50*$AY$50</f>
        <v>-40.560556211631855</v>
      </c>
      <c r="AZ106" s="13">
        <f>$I$50*$AZ$50</f>
        <v>0</v>
      </c>
      <c r="BA106" s="13">
        <f>$I$50*$BA$50</f>
        <v>111.26122143365509</v>
      </c>
      <c r="BB106" s="13">
        <f>$I$50*$BB$50</f>
        <v>0</v>
      </c>
      <c r="BC106" s="13">
        <f>$I$50*$BC$50</f>
        <v>6.5534407394296812</v>
      </c>
      <c r="BD106" s="13">
        <f>$I$50*$BD$50</f>
        <v>0.89977573486456675</v>
      </c>
    </row>
    <row r="107" spans="1:56" ht="11.25" customHeight="1" x14ac:dyDescent="0.3">
      <c r="A107" s="9" t="s">
        <v>32</v>
      </c>
      <c r="B107" s="9" t="s">
        <v>1021</v>
      </c>
      <c r="C107" s="9" t="s">
        <v>1022</v>
      </c>
      <c r="D107" s="9" t="s">
        <v>1023</v>
      </c>
      <c r="E107" s="9" t="s">
        <v>1024</v>
      </c>
      <c r="F107" s="9" t="s">
        <v>1025</v>
      </c>
      <c r="G107" s="9" t="s">
        <v>1028</v>
      </c>
      <c r="L107" s="13">
        <f>$I$51*$L$51</f>
        <v>435.49058981297219</v>
      </c>
      <c r="M107" s="13">
        <f>$I$51*$M$51</f>
        <v>141.31218928856251</v>
      </c>
      <c r="N107" s="13">
        <f ca="1">$I$51*$N$51</f>
        <v>542.97030205091255</v>
      </c>
      <c r="O107" s="13">
        <f>$I$51*$O$51</f>
        <v>0</v>
      </c>
      <c r="P107" s="13">
        <f>$I$51*$P$51</f>
        <v>0</v>
      </c>
      <c r="Q107" s="13">
        <f>$I$51*$Q$51</f>
        <v>20517.777672089149</v>
      </c>
      <c r="R107" s="13">
        <f>$I$51*$R$51</f>
        <v>3115.7944728069315</v>
      </c>
      <c r="S107" s="13">
        <f>$I$51*$S$51</f>
        <v>0</v>
      </c>
      <c r="T107" s="13">
        <f>$I$51*$T$51</f>
        <v>0</v>
      </c>
      <c r="U107" s="13">
        <f>$I$51*$U$51</f>
        <v>0</v>
      </c>
      <c r="V107" s="13">
        <f>$I$51*$V$51</f>
        <v>0</v>
      </c>
      <c r="W107" s="13">
        <f>$I$51*$W$51</f>
        <v>0</v>
      </c>
      <c r="X107" s="13">
        <f>$I$51*$X$51</f>
        <v>8136.1382267842018</v>
      </c>
      <c r="Y107" s="13">
        <f>$I$51*$Y$51</f>
        <v>0</v>
      </c>
      <c r="Z107" s="13">
        <f>$I$51*$Z$51</f>
        <v>0</v>
      </c>
      <c r="AA107" s="13">
        <f>$I$51*$AA$51</f>
        <v>15999.407320071126</v>
      </c>
      <c r="AB107" s="13">
        <f ca="1">$I$51*$AB$51</f>
        <v>-1824.0430084507855</v>
      </c>
      <c r="AC107" s="13">
        <f ca="1">$I$51*$AC$51</f>
        <v>0</v>
      </c>
      <c r="AD107" s="13">
        <f>$I$51*$AD$51</f>
        <v>3424.1088901189337</v>
      </c>
      <c r="AE107" s="13">
        <f>$I$51*$AE$51</f>
        <v>0</v>
      </c>
      <c r="AF107" s="13">
        <f ca="1">$I$51*$AF$51</f>
        <v>200.84770585076038</v>
      </c>
      <c r="AG107" s="13">
        <f ca="1">$I$51*$AG$51</f>
        <v>30.286341310554775</v>
      </c>
      <c r="AI107" s="13">
        <f>$I$51*$AI$51</f>
        <v>352.23476725073709</v>
      </c>
      <c r="AJ107" s="13">
        <f>$I$51*$AJ$51</f>
        <v>115.86790814463791</v>
      </c>
      <c r="AK107" s="13">
        <f>$I$51*$AK$51</f>
        <v>423.67224292566885</v>
      </c>
      <c r="AL107" s="13">
        <f>$I$51*$AL$51</f>
        <v>0</v>
      </c>
      <c r="AM107" s="13">
        <f>$I$51*$AM$51</f>
        <v>0</v>
      </c>
      <c r="AN107" s="13">
        <f>$I$51*$AN$51</f>
        <v>9403.4047164898348</v>
      </c>
      <c r="AO107" s="13">
        <f>$I$51*$AO$51</f>
        <v>1439.827076947513</v>
      </c>
      <c r="AP107" s="13">
        <f>$I$51*$AP$51</f>
        <v>0</v>
      </c>
      <c r="AQ107" s="13">
        <f>$I$51*$AQ$51</f>
        <v>0</v>
      </c>
      <c r="AR107" s="13">
        <f>$I$51*$AR$51</f>
        <v>0</v>
      </c>
      <c r="AS107" s="13">
        <f>$I$51*$AS$51</f>
        <v>0</v>
      </c>
      <c r="AT107" s="13">
        <f>$I$51*$AT$51</f>
        <v>0</v>
      </c>
      <c r="AU107" s="13">
        <f>$I$51*$AU$51</f>
        <v>5799.4377546644891</v>
      </c>
      <c r="AV107" s="13">
        <f>$I$51*$AV$51</f>
        <v>0</v>
      </c>
      <c r="AW107" s="13">
        <f>$I$51*$AW$51</f>
        <v>0</v>
      </c>
      <c r="AX107" s="13">
        <f>$I$51*$AX$51</f>
        <v>13814.270522886565</v>
      </c>
      <c r="AY107" s="13">
        <f>$I$51*$AY$51</f>
        <v>-528.9600449307095</v>
      </c>
      <c r="AZ107" s="13">
        <f>$I$51*$AZ$51</f>
        <v>0</v>
      </c>
      <c r="BA107" s="13">
        <f>$I$51*$BA$51</f>
        <v>3571.5642485871635</v>
      </c>
      <c r="BB107" s="13">
        <f>$I$51*$BB$51</f>
        <v>0</v>
      </c>
      <c r="BC107" s="13">
        <f>$I$51*$BC$51</f>
        <v>210.37010333504793</v>
      </c>
      <c r="BD107" s="13">
        <f>$I$51*$BD$51</f>
        <v>28.883440294647475</v>
      </c>
    </row>
    <row r="108" spans="1:56" ht="11.25" customHeight="1" x14ac:dyDescent="0.3">
      <c r="A108" s="9" t="s">
        <v>32</v>
      </c>
      <c r="B108" s="9" t="s">
        <v>1029</v>
      </c>
      <c r="C108" s="9" t="s">
        <v>1030</v>
      </c>
      <c r="D108" s="9" t="s">
        <v>1031</v>
      </c>
      <c r="E108" s="9" t="s">
        <v>1032</v>
      </c>
      <c r="F108" s="9" t="s">
        <v>1033</v>
      </c>
      <c r="G108" s="9" t="s">
        <v>1034</v>
      </c>
      <c r="L108" s="13">
        <f>$I$52*$L$52</f>
        <v>18240.114917127397</v>
      </c>
      <c r="M108" s="13">
        <f>$I$52*$M$52</f>
        <v>5918.728514710745</v>
      </c>
      <c r="N108" s="13">
        <f ca="1">$I$52*$N$52</f>
        <v>37440.448282116202</v>
      </c>
      <c r="O108" s="13">
        <f>$I$52*$O$52</f>
        <v>0</v>
      </c>
      <c r="P108" s="13">
        <f>$I$52*$P$52</f>
        <v>0</v>
      </c>
      <c r="Q108" s="13">
        <f>$I$52*$Q$52</f>
        <v>859367.87461630895</v>
      </c>
      <c r="R108" s="13">
        <f>$I$52*$R$52</f>
        <v>130502.12925738838</v>
      </c>
      <c r="S108" s="13">
        <f>$I$52*$S$52</f>
        <v>0</v>
      </c>
      <c r="T108" s="13">
        <f>$I$52*$T$52</f>
        <v>0</v>
      </c>
      <c r="U108" s="13">
        <f>$I$52*$U$52</f>
        <v>0</v>
      </c>
      <c r="V108" s="13">
        <f>$I$52*$V$52</f>
        <v>0</v>
      </c>
      <c r="W108" s="13">
        <f>$I$52*$W$52</f>
        <v>0</v>
      </c>
      <c r="X108" s="13">
        <f>$I$52*$X$52</f>
        <v>655334.92220519122</v>
      </c>
      <c r="Y108" s="13">
        <f>$I$52*$Y$52</f>
        <v>0</v>
      </c>
      <c r="Z108" s="13">
        <f>$I$52*$Z$52</f>
        <v>0</v>
      </c>
      <c r="AA108" s="13">
        <f>$I$52*$AA$52</f>
        <v>1288691.8647424842</v>
      </c>
      <c r="AB108" s="13">
        <f ca="1">$I$52*$AB$52</f>
        <v>-112767.92714308247</v>
      </c>
      <c r="AC108" s="13">
        <f ca="1">$I$52*$AC$52</f>
        <v>0</v>
      </c>
      <c r="AD108" s="13">
        <f>$I$52*$AD$52</f>
        <v>143415.58946508949</v>
      </c>
      <c r="AE108" s="13">
        <f>$I$52*$AE$52</f>
        <v>0</v>
      </c>
      <c r="AF108" s="13">
        <f ca="1">$I$52*$AF$52</f>
        <v>8412.3177888473037</v>
      </c>
      <c r="AG108" s="13">
        <f ca="1">$I$52*$AG$52</f>
        <v>1268.5150008892488</v>
      </c>
      <c r="AI108" s="13">
        <f>$I$52*$AI$52</f>
        <v>14753.022872940361</v>
      </c>
      <c r="AJ108" s="13">
        <f>$I$52*$AJ$52</f>
        <v>4853.0186626374789</v>
      </c>
      <c r="AK108" s="13">
        <f>$I$52*$AK$52</f>
        <v>29202.452401990016</v>
      </c>
      <c r="AL108" s="13">
        <f>$I$52*$AL$52</f>
        <v>0</v>
      </c>
      <c r="AM108" s="13">
        <f>$I$52*$AM$52</f>
        <v>0</v>
      </c>
      <c r="AN108" s="13">
        <f>$I$52*$AN$52</f>
        <v>393852.78730062523</v>
      </c>
      <c r="AO108" s="13">
        <f>$I$52*$AO$52</f>
        <v>60305.806735326085</v>
      </c>
      <c r="AP108" s="13">
        <f>$I$52*$AP$52</f>
        <v>0</v>
      </c>
      <c r="AQ108" s="13">
        <f>$I$52*$AQ$52</f>
        <v>0</v>
      </c>
      <c r="AR108" s="13">
        <f>$I$52*$AR$52</f>
        <v>0</v>
      </c>
      <c r="AS108" s="13">
        <f>$I$52*$AS$52</f>
        <v>0</v>
      </c>
      <c r="AT108" s="13">
        <f>$I$52*$AT$52</f>
        <v>0</v>
      </c>
      <c r="AU108" s="13">
        <f>$I$52*$AU$52</f>
        <v>467122.60581751179</v>
      </c>
      <c r="AV108" s="13">
        <f>$I$52*$AV$52</f>
        <v>0</v>
      </c>
      <c r="AW108" s="13">
        <f>$I$52*$AW$52</f>
        <v>0</v>
      </c>
      <c r="AX108" s="13">
        <f>$I$52*$AX$52</f>
        <v>1112687.3442282409</v>
      </c>
      <c r="AY108" s="13">
        <f>$I$52*$AY$52</f>
        <v>-34158.325091357867</v>
      </c>
      <c r="AZ108" s="13">
        <f>$I$52*$AZ$52</f>
        <v>0</v>
      </c>
      <c r="BA108" s="13">
        <f>$I$52*$BA$52</f>
        <v>149591.61885934533</v>
      </c>
      <c r="BB108" s="13">
        <f>$I$52*$BB$52</f>
        <v>0</v>
      </c>
      <c r="BC108" s="13">
        <f>$I$52*$BC$52</f>
        <v>8811.1544766263978</v>
      </c>
      <c r="BD108" s="13">
        <f>$I$52*$BD$52</f>
        <v>1209.7558075884394</v>
      </c>
    </row>
    <row r="109" spans="1:56" ht="11.25" customHeight="1" x14ac:dyDescent="0.3">
      <c r="A109" s="9" t="s">
        <v>32</v>
      </c>
      <c r="B109" s="9" t="s">
        <v>1035</v>
      </c>
      <c r="C109" s="9" t="s">
        <v>1036</v>
      </c>
      <c r="D109" s="9" t="s">
        <v>1037</v>
      </c>
      <c r="E109" s="9" t="s">
        <v>1038</v>
      </c>
      <c r="F109" s="9" t="s">
        <v>1039</v>
      </c>
      <c r="G109" s="9" t="s">
        <v>1040</v>
      </c>
      <c r="L109" s="13">
        <f>$I$53*$L$53</f>
        <v>0</v>
      </c>
      <c r="M109" s="13">
        <f>$I$53*$M$53</f>
        <v>0</v>
      </c>
      <c r="N109" s="13">
        <f ca="1">$I$53*$N$53</f>
        <v>0</v>
      </c>
      <c r="O109" s="13">
        <f>$I$53*$O$53</f>
        <v>0</v>
      </c>
      <c r="P109" s="13">
        <f>$I$53*$P$53</f>
        <v>0</v>
      </c>
      <c r="Q109" s="13">
        <f>$I$53*$Q$53</f>
        <v>0</v>
      </c>
      <c r="R109" s="13">
        <f>$I$53*$R$53</f>
        <v>0</v>
      </c>
      <c r="S109" s="13">
        <f>$I$53*$S$53</f>
        <v>0</v>
      </c>
      <c r="T109" s="13">
        <f>$I$53*$T$53</f>
        <v>0</v>
      </c>
      <c r="U109" s="13">
        <f>$I$53*$U$53</f>
        <v>0</v>
      </c>
      <c r="V109" s="13">
        <f>$I$53*$V$53</f>
        <v>0</v>
      </c>
      <c r="W109" s="13">
        <f>$I$53*$W$53</f>
        <v>0</v>
      </c>
      <c r="X109" s="13">
        <f>$I$53*$X$53</f>
        <v>0</v>
      </c>
      <c r="Y109" s="13">
        <f>$I$53*$Y$53</f>
        <v>0</v>
      </c>
      <c r="Z109" s="13">
        <f>$I$53*$Z$53</f>
        <v>0</v>
      </c>
      <c r="AA109" s="13">
        <f>$I$53*$AA$53</f>
        <v>0</v>
      </c>
      <c r="AB109" s="13">
        <f ca="1">$I$53*$AB$53</f>
        <v>0</v>
      </c>
      <c r="AC109" s="13">
        <f ca="1">$I$53*$AC$53</f>
        <v>0</v>
      </c>
      <c r="AD109" s="13">
        <f>$I$53*$AD$53</f>
        <v>0</v>
      </c>
      <c r="AE109" s="13">
        <f>$I$53*$AE$53</f>
        <v>0</v>
      </c>
      <c r="AF109" s="13">
        <f ca="1">$I$53*$AF$53</f>
        <v>0</v>
      </c>
      <c r="AG109" s="13">
        <f ca="1">$I$53*$AG$53</f>
        <v>0</v>
      </c>
      <c r="AI109" s="13">
        <f>$I$53*$AI$53</f>
        <v>0</v>
      </c>
      <c r="AJ109" s="13">
        <f>$I$53*$AJ$53</f>
        <v>0</v>
      </c>
      <c r="AK109" s="13">
        <f>$I$53*$AK$53</f>
        <v>0</v>
      </c>
      <c r="AL109" s="13">
        <f>$I$53*$AL$53</f>
        <v>0</v>
      </c>
      <c r="AM109" s="13">
        <f>$I$53*$AM$53</f>
        <v>0</v>
      </c>
      <c r="AN109" s="13">
        <f>$I$53*$AN$53</f>
        <v>0</v>
      </c>
      <c r="AO109" s="13">
        <f>$I$53*$AO$53</f>
        <v>0</v>
      </c>
      <c r="AP109" s="13">
        <f>$I$53*$AP$53</f>
        <v>0</v>
      </c>
      <c r="AQ109" s="13">
        <f>$I$53*$AQ$53</f>
        <v>0</v>
      </c>
      <c r="AR109" s="13">
        <f>$I$53*$AR$53</f>
        <v>0</v>
      </c>
      <c r="AS109" s="13">
        <f>$I$53*$AS$53</f>
        <v>0</v>
      </c>
      <c r="AT109" s="13">
        <f>$I$53*$AT$53</f>
        <v>0</v>
      </c>
      <c r="AU109" s="13">
        <f>$I$53*$AU$53</f>
        <v>0</v>
      </c>
      <c r="AV109" s="13">
        <f>$I$53*$AV$53</f>
        <v>0</v>
      </c>
      <c r="AW109" s="13">
        <f>$I$53*$AW$53</f>
        <v>0</v>
      </c>
      <c r="AX109" s="13">
        <f>$I$53*$AX$53</f>
        <v>0</v>
      </c>
      <c r="AY109" s="13">
        <f>$I$53*$AY$53</f>
        <v>0</v>
      </c>
      <c r="AZ109" s="13">
        <f>$I$53*$AZ$53</f>
        <v>0</v>
      </c>
      <c r="BA109" s="13">
        <f>$I$53*$BA$53</f>
        <v>0</v>
      </c>
      <c r="BB109" s="13">
        <f>$I$53*$BB$53</f>
        <v>0</v>
      </c>
      <c r="BC109" s="13">
        <f>$I$53*$BC$53</f>
        <v>0</v>
      </c>
      <c r="BD109" s="13">
        <f>$I$53*$BD$53</f>
        <v>0</v>
      </c>
    </row>
    <row r="110" spans="1:56" ht="11.25" customHeight="1" x14ac:dyDescent="0.3">
      <c r="A110" s="9" t="s">
        <v>44</v>
      </c>
      <c r="B110" s="9" t="s">
        <v>1041</v>
      </c>
      <c r="C110" s="9" t="s">
        <v>1042</v>
      </c>
      <c r="D110" s="9" t="s">
        <v>1043</v>
      </c>
      <c r="E110" s="9" t="s">
        <v>1044</v>
      </c>
      <c r="F110" s="9" t="s">
        <v>1045</v>
      </c>
      <c r="G110" s="9" t="s">
        <v>1046</v>
      </c>
      <c r="L110" s="13">
        <f>$I$54*$L$54</f>
        <v>3766.1566868982727</v>
      </c>
      <c r="M110" s="13">
        <f>$I$54*$M$54</f>
        <v>1222.0788670954219</v>
      </c>
      <c r="N110" s="13">
        <f ca="1">$I$54*$N$54</f>
        <v>7730.5760023340772</v>
      </c>
      <c r="O110" s="13">
        <f>$I$54*$O$54</f>
        <v>0</v>
      </c>
      <c r="P110" s="13">
        <f>$I$54*$P$54</f>
        <v>0</v>
      </c>
      <c r="Q110" s="13">
        <f>$I$54*$Q$54</f>
        <v>177439.34630876116</v>
      </c>
      <c r="R110" s="13">
        <f>$I$54*$R$54</f>
        <v>26945.634333458474</v>
      </c>
      <c r="S110" s="13">
        <f>$I$54*$S$54</f>
        <v>0</v>
      </c>
      <c r="T110" s="13">
        <f>$I$54*$T$54</f>
        <v>0</v>
      </c>
      <c r="U110" s="13">
        <f>$I$54*$U$54</f>
        <v>0</v>
      </c>
      <c r="V110" s="13">
        <f>$I$54*$V$54</f>
        <v>0</v>
      </c>
      <c r="W110" s="13">
        <f>$I$54*$W$54</f>
        <v>0</v>
      </c>
      <c r="X110" s="13">
        <f>$I$54*$X$54</f>
        <v>135311.31852154672</v>
      </c>
      <c r="Y110" s="13">
        <f>$I$54*$Y$54</f>
        <v>0</v>
      </c>
      <c r="Z110" s="13">
        <f>$I$54*$Z$54</f>
        <v>0</v>
      </c>
      <c r="AA110" s="13">
        <f>$I$54*$AA$54</f>
        <v>266084.69879726321</v>
      </c>
      <c r="AB110" s="13">
        <f ca="1">$I$54*$AB$54</f>
        <v>-23283.936795748148</v>
      </c>
      <c r="AC110" s="13">
        <f ca="1">$I$54*$AC$54</f>
        <v>0</v>
      </c>
      <c r="AD110" s="13">
        <f>$I$54*$AD$54</f>
        <v>29611.961532228535</v>
      </c>
      <c r="AE110" s="13">
        <f>$I$54*$AE$54</f>
        <v>0</v>
      </c>
      <c r="AF110" s="13">
        <f ca="1">$I$54*$AF$54</f>
        <v>1736.946671483478</v>
      </c>
      <c r="AG110" s="13">
        <f ca="1">$I$54*$AG$54</f>
        <v>261.91864879885316</v>
      </c>
      <c r="AI110" s="13">
        <f>$I$54*$AI$54</f>
        <v>3046.1538207039807</v>
      </c>
      <c r="AJ110" s="13">
        <f>$I$54*$AJ$54</f>
        <v>1002.034733387124</v>
      </c>
      <c r="AK110" s="13">
        <f>$I$54*$AK$54</f>
        <v>6029.6227237204248</v>
      </c>
      <c r="AL110" s="13">
        <f>$I$54*$AL$54</f>
        <v>0</v>
      </c>
      <c r="AM110" s="13">
        <f>$I$54*$AM$54</f>
        <v>0</v>
      </c>
      <c r="AN110" s="13">
        <f>$I$54*$AN$54</f>
        <v>81321.379568335396</v>
      </c>
      <c r="AO110" s="13">
        <f>$I$54*$AO$54</f>
        <v>12451.737191731041</v>
      </c>
      <c r="AP110" s="13">
        <f>$I$54*$AP$54</f>
        <v>0</v>
      </c>
      <c r="AQ110" s="13">
        <f>$I$54*$AQ$54</f>
        <v>0</v>
      </c>
      <c r="AR110" s="13">
        <f>$I$54*$AR$54</f>
        <v>0</v>
      </c>
      <c r="AS110" s="13">
        <f>$I$54*$AS$54</f>
        <v>0</v>
      </c>
      <c r="AT110" s="13">
        <f>$I$54*$AT$54</f>
        <v>0</v>
      </c>
      <c r="AU110" s="13">
        <f>$I$54*$AU$54</f>
        <v>96449.881675308483</v>
      </c>
      <c r="AV110" s="13">
        <f>$I$54*$AV$54</f>
        <v>0</v>
      </c>
      <c r="AW110" s="13">
        <f>$I$54*$AW$54</f>
        <v>0</v>
      </c>
      <c r="AX110" s="13">
        <f>$I$54*$AX$54</f>
        <v>229743.88598601165</v>
      </c>
      <c r="AY110" s="13">
        <f>$I$54*$AY$54</f>
        <v>-7052.8944055755292</v>
      </c>
      <c r="AZ110" s="13">
        <f>$I$54*$AZ$54</f>
        <v>0</v>
      </c>
      <c r="BA110" s="13">
        <f>$I$54*$BA$54</f>
        <v>30887.167006938336</v>
      </c>
      <c r="BB110" s="13">
        <f>$I$54*$BB$54</f>
        <v>0</v>
      </c>
      <c r="BC110" s="13">
        <f>$I$54*$BC$54</f>
        <v>1819.2971098159278</v>
      </c>
      <c r="BD110" s="13">
        <f>$I$54*$BD$54</f>
        <v>249.78625107153411</v>
      </c>
    </row>
    <row r="111" spans="1:56" ht="11.25" customHeight="1" x14ac:dyDescent="0.3">
      <c r="A111" s="9" t="s">
        <v>44</v>
      </c>
      <c r="B111" s="9" t="s">
        <v>1041</v>
      </c>
      <c r="C111" s="9" t="s">
        <v>1042</v>
      </c>
      <c r="D111" s="9" t="s">
        <v>1047</v>
      </c>
      <c r="E111" s="9" t="s">
        <v>1048</v>
      </c>
      <c r="F111" s="9" t="s">
        <v>1049</v>
      </c>
      <c r="G111" s="9" t="s">
        <v>1050</v>
      </c>
      <c r="L111" s="13">
        <f>$I$55*$L$55</f>
        <v>0</v>
      </c>
      <c r="M111" s="13">
        <f>$I$55*$M$55</f>
        <v>0</v>
      </c>
      <c r="N111" s="13">
        <f ca="1">$I$55*$N$55</f>
        <v>0</v>
      </c>
      <c r="O111" s="13">
        <f>$I$55*$O$55</f>
        <v>0</v>
      </c>
      <c r="P111" s="13">
        <f>$I$55*$P$55</f>
        <v>0</v>
      </c>
      <c r="Q111" s="13">
        <f>$I$55*$Q$55</f>
        <v>0</v>
      </c>
      <c r="R111" s="13">
        <f>$I$55*$R$55</f>
        <v>0</v>
      </c>
      <c r="S111" s="13">
        <f>$I$55*$S$55</f>
        <v>0</v>
      </c>
      <c r="T111" s="13">
        <f>$I$55*$T$55</f>
        <v>0</v>
      </c>
      <c r="U111" s="13">
        <f>$I$55*$U$55</f>
        <v>0</v>
      </c>
      <c r="V111" s="13">
        <f>$I$55*$V$55</f>
        <v>0</v>
      </c>
      <c r="W111" s="13">
        <f>$I$55*$W$55</f>
        <v>0</v>
      </c>
      <c r="X111" s="13">
        <f>$I$55*$X$55</f>
        <v>0</v>
      </c>
      <c r="Y111" s="13">
        <f>$I$55*$Y$55</f>
        <v>0</v>
      </c>
      <c r="Z111" s="13">
        <f>$I$55*$Z$55</f>
        <v>0</v>
      </c>
      <c r="AA111" s="13">
        <f>$I$55*$AA$55</f>
        <v>0</v>
      </c>
      <c r="AB111" s="13">
        <f ca="1">$I$55*$AB$55</f>
        <v>0</v>
      </c>
      <c r="AC111" s="13">
        <f ca="1">$I$55*$AC$55</f>
        <v>0</v>
      </c>
      <c r="AD111" s="13">
        <f>$I$55*$AD$55</f>
        <v>0</v>
      </c>
      <c r="AE111" s="13">
        <f>$I$55*$AE$55</f>
        <v>0</v>
      </c>
      <c r="AF111" s="13">
        <f ca="1">$I$55*$AF$55</f>
        <v>0</v>
      </c>
      <c r="AG111" s="13">
        <f ca="1">$I$55*$AG$55</f>
        <v>0</v>
      </c>
      <c r="AI111" s="13">
        <f>$I$55*$AI$55</f>
        <v>0</v>
      </c>
      <c r="AJ111" s="13">
        <f>$I$55*$AJ$55</f>
        <v>0</v>
      </c>
      <c r="AK111" s="13">
        <f>$I$55*$AK$55</f>
        <v>0</v>
      </c>
      <c r="AL111" s="13">
        <f>$I$55*$AL$55</f>
        <v>0</v>
      </c>
      <c r="AM111" s="13">
        <f>$I$55*$AM$55</f>
        <v>0</v>
      </c>
      <c r="AN111" s="13">
        <f>$I$55*$AN$55</f>
        <v>0</v>
      </c>
      <c r="AO111" s="13">
        <f>$I$55*$AO$55</f>
        <v>0</v>
      </c>
      <c r="AP111" s="13">
        <f>$I$55*$AP$55</f>
        <v>0</v>
      </c>
      <c r="AQ111" s="13">
        <f>$I$55*$AQ$55</f>
        <v>0</v>
      </c>
      <c r="AR111" s="13">
        <f>$I$55*$AR$55</f>
        <v>0</v>
      </c>
      <c r="AS111" s="13">
        <f>$I$55*$AS$55</f>
        <v>0</v>
      </c>
      <c r="AT111" s="13">
        <f>$I$55*$AT$55</f>
        <v>0</v>
      </c>
      <c r="AU111" s="13">
        <f>$I$55*$AU$55</f>
        <v>0</v>
      </c>
      <c r="AV111" s="13">
        <f>$I$55*$AV$55</f>
        <v>0</v>
      </c>
      <c r="AW111" s="13">
        <f>$I$55*$AW$55</f>
        <v>0</v>
      </c>
      <c r="AX111" s="13">
        <f>$I$55*$AX$55</f>
        <v>0</v>
      </c>
      <c r="AY111" s="13">
        <f>$I$55*$AY$55</f>
        <v>0</v>
      </c>
      <c r="AZ111" s="13">
        <f>$I$55*$AZ$55</f>
        <v>0</v>
      </c>
      <c r="BA111" s="13">
        <f>$I$55*$BA$55</f>
        <v>0</v>
      </c>
      <c r="BB111" s="13">
        <f>$I$55*$BB$55</f>
        <v>0</v>
      </c>
      <c r="BC111" s="13">
        <f>$I$55*$BC$55</f>
        <v>0</v>
      </c>
      <c r="BD111" s="13">
        <f>$I$55*$BD$55</f>
        <v>0</v>
      </c>
    </row>
  </sheetData>
  <mergeCells count="94">
    <mergeCell ref="F1:F4"/>
    <mergeCell ref="A1:A4"/>
    <mergeCell ref="B1:B4"/>
    <mergeCell ref="C1:C4"/>
    <mergeCell ref="D1:D4"/>
    <mergeCell ref="E1:E4"/>
    <mergeCell ref="E14:E16"/>
    <mergeCell ref="AB3:AC3"/>
    <mergeCell ref="AD3:AG3"/>
    <mergeCell ref="A5:A8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G1"/>
    <mergeCell ref="L2:AG2"/>
    <mergeCell ref="L3:S3"/>
    <mergeCell ref="F14:F16"/>
    <mergeCell ref="E17:E18"/>
    <mergeCell ref="F17:F18"/>
    <mergeCell ref="A19:A20"/>
    <mergeCell ref="B19:B20"/>
    <mergeCell ref="C19:C20"/>
    <mergeCell ref="D19:D20"/>
    <mergeCell ref="A9:A18"/>
    <mergeCell ref="B9:B12"/>
    <mergeCell ref="C9:C12"/>
    <mergeCell ref="D9:D12"/>
    <mergeCell ref="E9:E11"/>
    <mergeCell ref="F9:F11"/>
    <mergeCell ref="B14:B18"/>
    <mergeCell ref="C14:C18"/>
    <mergeCell ref="D14:D18"/>
    <mergeCell ref="F21:F23"/>
    <mergeCell ref="B24:B28"/>
    <mergeCell ref="C24:C28"/>
    <mergeCell ref="B29:B33"/>
    <mergeCell ref="C29:C33"/>
    <mergeCell ref="A21:A33"/>
    <mergeCell ref="B21:B23"/>
    <mergeCell ref="C21:C23"/>
    <mergeCell ref="D21:D23"/>
    <mergeCell ref="E21:E23"/>
    <mergeCell ref="D42:D44"/>
    <mergeCell ref="E42:E44"/>
    <mergeCell ref="F42:F44"/>
    <mergeCell ref="D34:D36"/>
    <mergeCell ref="E34:E36"/>
    <mergeCell ref="F34:F36"/>
    <mergeCell ref="D38:D40"/>
    <mergeCell ref="E38:E40"/>
    <mergeCell ref="F38:F40"/>
    <mergeCell ref="B46:B48"/>
    <mergeCell ref="C46:C48"/>
    <mergeCell ref="A49:A53"/>
    <mergeCell ref="B49:B51"/>
    <mergeCell ref="C49:C51"/>
    <mergeCell ref="A34:A48"/>
    <mergeCell ref="B34:B36"/>
    <mergeCell ref="C34:C36"/>
    <mergeCell ref="B42:B44"/>
    <mergeCell ref="C42:C44"/>
    <mergeCell ref="B38:B40"/>
    <mergeCell ref="C38:C40"/>
    <mergeCell ref="AI1:BD1"/>
    <mergeCell ref="AI2:BD2"/>
    <mergeCell ref="AI3:AP3"/>
    <mergeCell ref="AQ3:AW3"/>
    <mergeCell ref="AY3:AZ3"/>
    <mergeCell ref="E49:E51"/>
    <mergeCell ref="F49:F51"/>
    <mergeCell ref="A54:A55"/>
    <mergeCell ref="B54:B55"/>
    <mergeCell ref="C54:C55"/>
    <mergeCell ref="D49:D51"/>
    <mergeCell ref="AQ59:AW59"/>
    <mergeCell ref="AY59:AZ59"/>
    <mergeCell ref="BA59:BD59"/>
    <mergeCell ref="BA3:BD3"/>
    <mergeCell ref="L57:AG57"/>
    <mergeCell ref="AI57:BD57"/>
    <mergeCell ref="L58:AG58"/>
    <mergeCell ref="AI58:BD58"/>
    <mergeCell ref="L59:S59"/>
    <mergeCell ref="T59:Z59"/>
    <mergeCell ref="AB59:AC59"/>
    <mergeCell ref="AD59:AG59"/>
    <mergeCell ref="AI59:AP59"/>
    <mergeCell ref="T3:Z3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D4925-725A-4B3B-823D-7F4EBD3C14F4}">
  <dimension ref="A1:AH87"/>
  <sheetViews>
    <sheetView showGridLines="0" topLeftCell="I20" workbookViewId="0">
      <selection activeCell="V44" sqref="V44"/>
    </sheetView>
  </sheetViews>
  <sheetFormatPr defaultRowHeight="11.25" customHeight="1" x14ac:dyDescent="0.3"/>
  <cols>
    <col min="1" max="1" width="9" style="9" bestFit="1" customWidth="1"/>
    <col min="2" max="2" width="26.5546875" style="9" bestFit="1" customWidth="1"/>
    <col min="3" max="3" width="35.5546875" style="9" bestFit="1" customWidth="1"/>
    <col min="4" max="4" width="56.77734375" style="9" bestFit="1" customWidth="1"/>
    <col min="5" max="5" width="65.77734375" style="9" bestFit="1" customWidth="1"/>
    <col min="6" max="6" width="74.88671875" style="9" bestFit="1" customWidth="1"/>
    <col min="7" max="7" width="75.88671875" style="9" bestFit="1" customWidth="1"/>
    <col min="8" max="9" width="7.109375" style="9" bestFit="1" customWidth="1"/>
    <col min="10" max="10" width="8.88671875" style="9"/>
    <col min="11" max="11" width="19.88671875" style="9" bestFit="1" customWidth="1"/>
    <col min="12" max="12" width="7.109375" style="9" bestFit="1" customWidth="1"/>
    <col min="13" max="13" width="7" style="9" bestFit="1" customWidth="1"/>
    <col min="14" max="14" width="5.6640625" style="9" bestFit="1" customWidth="1"/>
    <col min="15" max="15" width="10.33203125" style="9" bestFit="1" customWidth="1"/>
    <col min="16" max="16" width="7.6640625" style="9" bestFit="1" customWidth="1"/>
    <col min="17" max="17" width="14.44140625" style="9" bestFit="1" customWidth="1"/>
    <col min="18" max="18" width="5.5546875" style="9" bestFit="1" customWidth="1"/>
    <col min="19" max="19" width="9.77734375" style="9" bestFit="1" customWidth="1"/>
    <col min="20" max="20" width="6.44140625" style="9" bestFit="1" customWidth="1"/>
    <col min="21" max="21" width="10.33203125" style="9" bestFit="1" customWidth="1"/>
    <col min="22" max="22" width="10.5546875" style="9" bestFit="1" customWidth="1"/>
    <col min="23" max="23" width="8.88671875" style="9"/>
    <col min="24" max="24" width="7.109375" style="9" bestFit="1" customWidth="1"/>
    <col min="25" max="25" width="7" style="9" bestFit="1" customWidth="1"/>
    <col min="26" max="26" width="5.6640625" style="9" bestFit="1" customWidth="1"/>
    <col min="27" max="27" width="10.33203125" style="9" bestFit="1" customWidth="1"/>
    <col min="28" max="28" width="7.6640625" style="9" bestFit="1" customWidth="1"/>
    <col min="29" max="29" width="14.44140625" style="9" bestFit="1" customWidth="1"/>
    <col min="30" max="30" width="5.5546875" style="9" bestFit="1" customWidth="1"/>
    <col min="31" max="31" width="9.77734375" style="9" bestFit="1" customWidth="1"/>
    <col min="32" max="32" width="6.44140625" style="9" bestFit="1" customWidth="1"/>
    <col min="33" max="33" width="10.33203125" style="9" bestFit="1" customWidth="1"/>
    <col min="34" max="34" width="10.5546875" style="9" bestFit="1" customWidth="1"/>
    <col min="35" max="16384" width="8.88671875" style="9"/>
  </cols>
  <sheetData>
    <row r="1" spans="1:34" ht="11.25" customHeight="1" x14ac:dyDescent="0.3">
      <c r="A1" s="152" t="s">
        <v>68</v>
      </c>
      <c r="B1" s="152" t="s">
        <v>69</v>
      </c>
      <c r="C1" s="152" t="s">
        <v>70</v>
      </c>
      <c r="D1" s="152" t="s">
        <v>71</v>
      </c>
      <c r="E1" s="152" t="s">
        <v>72</v>
      </c>
      <c r="F1" s="152" t="s">
        <v>15</v>
      </c>
      <c r="G1" s="152" t="s">
        <v>74</v>
      </c>
      <c r="H1" s="152" t="s">
        <v>75</v>
      </c>
      <c r="I1" s="152" t="s">
        <v>588</v>
      </c>
      <c r="J1" s="134"/>
      <c r="L1" s="153" t="s">
        <v>1051</v>
      </c>
      <c r="M1" s="153"/>
      <c r="N1" s="153"/>
      <c r="O1" s="153"/>
      <c r="P1" s="153"/>
      <c r="Q1" s="153"/>
      <c r="R1" s="153"/>
      <c r="S1" s="153"/>
      <c r="T1" s="153"/>
      <c r="U1" s="153"/>
      <c r="V1" s="153"/>
      <c r="X1" s="153" t="s">
        <v>1052</v>
      </c>
      <c r="Y1" s="153"/>
      <c r="Z1" s="153"/>
      <c r="AA1" s="153"/>
      <c r="AB1" s="153"/>
      <c r="AC1" s="153"/>
      <c r="AD1" s="153"/>
      <c r="AE1" s="153"/>
      <c r="AF1" s="153"/>
      <c r="AG1" s="153"/>
      <c r="AH1" s="153"/>
    </row>
    <row r="2" spans="1:34" ht="11.25" customHeight="1" x14ac:dyDescent="0.3">
      <c r="A2" s="152"/>
      <c r="B2" s="152"/>
      <c r="C2" s="152"/>
      <c r="D2" s="152"/>
      <c r="E2" s="152"/>
      <c r="F2" s="152"/>
      <c r="G2" s="152"/>
      <c r="H2" s="152"/>
      <c r="I2" s="152"/>
      <c r="J2" s="134"/>
      <c r="L2" s="153" t="s">
        <v>515</v>
      </c>
      <c r="M2" s="153"/>
      <c r="N2" s="153"/>
      <c r="O2" s="153"/>
      <c r="P2" s="153"/>
      <c r="Q2" s="153"/>
      <c r="R2" s="153"/>
      <c r="S2" s="153"/>
      <c r="T2" s="153"/>
      <c r="U2" s="153"/>
      <c r="V2" s="153"/>
      <c r="X2" s="153" t="s">
        <v>515</v>
      </c>
      <c r="Y2" s="153"/>
      <c r="Z2" s="153"/>
      <c r="AA2" s="153"/>
      <c r="AB2" s="153"/>
      <c r="AC2" s="153"/>
      <c r="AD2" s="153"/>
      <c r="AE2" s="153"/>
      <c r="AF2" s="153"/>
      <c r="AG2" s="153"/>
      <c r="AH2" s="153"/>
    </row>
    <row r="3" spans="1:34" ht="11.25" customHeight="1" x14ac:dyDescent="0.3">
      <c r="A3" s="152"/>
      <c r="B3" s="152"/>
      <c r="C3" s="152"/>
      <c r="D3" s="152"/>
      <c r="E3" s="152"/>
      <c r="F3" s="152"/>
      <c r="G3" s="152"/>
      <c r="H3" s="152"/>
      <c r="I3" s="152"/>
      <c r="J3" s="134"/>
      <c r="L3" s="153" t="s">
        <v>488</v>
      </c>
      <c r="M3" s="153"/>
      <c r="N3" s="153"/>
      <c r="O3" s="153"/>
      <c r="P3" s="153"/>
      <c r="Q3" s="30" t="s">
        <v>519</v>
      </c>
      <c r="R3" s="153" t="s">
        <v>497</v>
      </c>
      <c r="S3" s="153"/>
      <c r="T3" s="153"/>
      <c r="U3" s="30" t="s">
        <v>507</v>
      </c>
      <c r="V3" s="30" t="s">
        <v>510</v>
      </c>
      <c r="X3" s="153" t="s">
        <v>488</v>
      </c>
      <c r="Y3" s="153"/>
      <c r="Z3" s="153"/>
      <c r="AA3" s="153"/>
      <c r="AB3" s="153"/>
      <c r="AC3" s="30" t="s">
        <v>519</v>
      </c>
      <c r="AD3" s="153" t="s">
        <v>497</v>
      </c>
      <c r="AE3" s="153"/>
      <c r="AF3" s="153"/>
      <c r="AG3" s="30" t="s">
        <v>507</v>
      </c>
      <c r="AH3" s="30" t="s">
        <v>510</v>
      </c>
    </row>
    <row r="4" spans="1:34" ht="11.25" customHeight="1" x14ac:dyDescent="0.3">
      <c r="A4" s="152"/>
      <c r="B4" s="152"/>
      <c r="C4" s="152"/>
      <c r="D4" s="152"/>
      <c r="E4" s="152"/>
      <c r="F4" s="152"/>
      <c r="G4" s="152"/>
      <c r="H4" s="152"/>
      <c r="I4" s="152"/>
      <c r="J4" s="134"/>
      <c r="L4" s="30" t="s">
        <v>490</v>
      </c>
      <c r="M4" s="30" t="s">
        <v>516</v>
      </c>
      <c r="N4" s="30" t="s">
        <v>517</v>
      </c>
      <c r="O4" s="30" t="s">
        <v>576</v>
      </c>
      <c r="P4" s="30" t="s">
        <v>518</v>
      </c>
      <c r="Q4" s="30" t="s">
        <v>520</v>
      </c>
      <c r="R4" s="30" t="s">
        <v>521</v>
      </c>
      <c r="S4" s="30" t="s">
        <v>522</v>
      </c>
      <c r="T4" s="30" t="s">
        <v>523</v>
      </c>
      <c r="U4" s="30" t="s">
        <v>508</v>
      </c>
      <c r="V4" s="30" t="s">
        <v>524</v>
      </c>
      <c r="X4" s="30" t="s">
        <v>490</v>
      </c>
      <c r="Y4" s="30" t="s">
        <v>516</v>
      </c>
      <c r="Z4" s="30" t="s">
        <v>517</v>
      </c>
      <c r="AA4" s="30" t="s">
        <v>576</v>
      </c>
      <c r="AB4" s="30" t="s">
        <v>518</v>
      </c>
      <c r="AC4" s="30" t="s">
        <v>520</v>
      </c>
      <c r="AD4" s="30" t="s">
        <v>521</v>
      </c>
      <c r="AE4" s="30" t="s">
        <v>522</v>
      </c>
      <c r="AF4" s="30" t="s">
        <v>523</v>
      </c>
      <c r="AG4" s="30" t="s">
        <v>508</v>
      </c>
      <c r="AH4" s="30" t="s">
        <v>524</v>
      </c>
    </row>
    <row r="5" spans="1:34" ht="11.25" customHeight="1" x14ac:dyDescent="0.3">
      <c r="A5" s="151" t="s">
        <v>61</v>
      </c>
      <c r="B5" s="151" t="s">
        <v>77</v>
      </c>
      <c r="C5" s="151" t="s">
        <v>25</v>
      </c>
      <c r="D5" s="151" t="s">
        <v>25</v>
      </c>
      <c r="E5" s="151" t="s">
        <v>25</v>
      </c>
      <c r="F5" s="151" t="s">
        <v>25</v>
      </c>
      <c r="G5" s="29" t="s">
        <v>79</v>
      </c>
      <c r="H5" s="29" t="s">
        <v>78</v>
      </c>
      <c r="I5" s="29">
        <f>'MERCADO TE'!$U$2</f>
        <v>0</v>
      </c>
      <c r="J5" s="15"/>
      <c r="L5" s="26">
        <f>('TE BE'!$L$5+'TE BF'!$L$5+'TE CVA'!$L$5)*1</f>
        <v>3.0900241094419632</v>
      </c>
      <c r="M5" s="26">
        <f>('TE BE'!$M$5+'TE BF'!$M$5+'TE CVA'!$M$5)*1</f>
        <v>0</v>
      </c>
      <c r="N5" s="26">
        <f>('TE BE'!$N$5+'TE BF'!$N$5+'TE CVA'!$N$5)*1</f>
        <v>0</v>
      </c>
      <c r="O5" s="26">
        <f>('TE BE'!$O$5+'TE BF'!$O$5+'TE CVA'!$O$5)*1</f>
        <v>5.0923744514318727</v>
      </c>
      <c r="P5" s="26">
        <f>('TE BE'!$P$5+'TE BF'!$P$5+'TE CVA'!$P$5)*1</f>
        <v>0</v>
      </c>
      <c r="Q5" s="26">
        <f>('TE BE'!$R$5+'TE BF'!$R$5+'TE CVA'!$R$5)*1</f>
        <v>471.71289753147164</v>
      </c>
      <c r="R5" s="26">
        <f>('TE BE'!$T$5+'TE BF'!$T$5+'TE CVA'!$T$5)*1</f>
        <v>0</v>
      </c>
      <c r="S5" s="26">
        <f>('TE BE'!$U$5+'TE BF'!$U$5+'TE CVA'!$U$5)*1</f>
        <v>0</v>
      </c>
      <c r="T5" s="26">
        <f>('TE BE'!$V$5+'TE BF'!$V$5+'TE CVA'!$V$5)*1</f>
        <v>0</v>
      </c>
      <c r="U5" s="26">
        <f>('TE BE'!$X$5+'TE BF'!$X$5+'TE CVA'!$X$5)*1</f>
        <v>-18.835009395888743</v>
      </c>
      <c r="V5" s="26">
        <f>('TE BE'!$Z$5+'TE BF'!$Z$5+'TE CVA'!$Z$5)*1</f>
        <v>0</v>
      </c>
      <c r="X5" s="26">
        <v>3.14465389519528</v>
      </c>
      <c r="Y5" s="26">
        <v>0</v>
      </c>
      <c r="Z5" s="26">
        <v>0</v>
      </c>
      <c r="AA5" s="26">
        <v>0</v>
      </c>
      <c r="AB5" s="26">
        <v>0</v>
      </c>
      <c r="AC5" s="26">
        <v>488.99606967211201</v>
      </c>
      <c r="AD5" s="26">
        <v>0</v>
      </c>
      <c r="AE5" s="26">
        <v>0</v>
      </c>
      <c r="AF5" s="26">
        <v>0</v>
      </c>
      <c r="AG5" s="26">
        <v>-8.0132980266807792</v>
      </c>
      <c r="AH5" s="26">
        <v>0</v>
      </c>
    </row>
    <row r="6" spans="1:34" ht="11.25" customHeight="1" x14ac:dyDescent="0.3">
      <c r="A6" s="151"/>
      <c r="B6" s="151"/>
      <c r="C6" s="151"/>
      <c r="D6" s="151"/>
      <c r="E6" s="151"/>
      <c r="F6" s="151"/>
      <c r="G6" s="29" t="s">
        <v>80</v>
      </c>
      <c r="H6" s="29" t="s">
        <v>78</v>
      </c>
      <c r="I6" s="29">
        <f>'MERCADO TE'!$U$3</f>
        <v>0</v>
      </c>
      <c r="J6" s="15"/>
      <c r="L6" s="26">
        <f>('TE BE'!$L$6+'TE BF'!$L$6+'TE CVA'!$L$6)*1</f>
        <v>3.0900241094419632</v>
      </c>
      <c r="M6" s="26">
        <f>('TE BE'!$M$6+'TE BF'!$M$6+'TE CVA'!$M$6)*1</f>
        <v>0</v>
      </c>
      <c r="N6" s="26">
        <f>('TE BE'!$N$6+'TE BF'!$N$6+'TE CVA'!$N$6)*1</f>
        <v>0</v>
      </c>
      <c r="O6" s="26">
        <f>('TE BE'!$O$6+'TE BF'!$O$6+'TE CVA'!$O$6)*1</f>
        <v>5.0923744514318727</v>
      </c>
      <c r="P6" s="26">
        <f>('TE BE'!$P$6+'TE BF'!$P$6+'TE CVA'!$P$6)*1</f>
        <v>0</v>
      </c>
      <c r="Q6" s="26">
        <f>('TE BE'!$R$6+'TE BF'!$R$6+'TE CVA'!$R$6)*1</f>
        <v>274.25168461132074</v>
      </c>
      <c r="R6" s="26">
        <f>('TE BE'!$T$6+'TE BF'!$T$6+'TE CVA'!$T$6)*1</f>
        <v>0</v>
      </c>
      <c r="S6" s="26">
        <f>('TE BE'!$U$6+'TE BF'!$U$6+'TE CVA'!$U$6)*1</f>
        <v>0</v>
      </c>
      <c r="T6" s="26">
        <f>('TE BE'!$V$6+'TE BF'!$V$6+'TE CVA'!$V$6)*1</f>
        <v>0</v>
      </c>
      <c r="U6" s="26">
        <f>('TE BE'!$X$6+'TE BF'!$X$6+'TE CVA'!$X$6)*1</f>
        <v>-11.078916475296824</v>
      </c>
      <c r="V6" s="26">
        <f>('TE BE'!$Z$6+'TE BF'!$Z$6+'TE CVA'!$Z$6)*1</f>
        <v>0</v>
      </c>
      <c r="X6" s="26">
        <v>3.14465389519528</v>
      </c>
      <c r="Y6" s="26">
        <v>0</v>
      </c>
      <c r="Z6" s="26">
        <v>0</v>
      </c>
      <c r="AA6" s="26">
        <v>0</v>
      </c>
      <c r="AB6" s="26">
        <v>0</v>
      </c>
      <c r="AC6" s="26">
        <v>284.30004050704201</v>
      </c>
      <c r="AD6" s="26">
        <v>0</v>
      </c>
      <c r="AE6" s="26">
        <v>0</v>
      </c>
      <c r="AF6" s="26">
        <v>0</v>
      </c>
      <c r="AG6" s="26">
        <v>-4.7087619767166897</v>
      </c>
      <c r="AH6" s="26">
        <v>0</v>
      </c>
    </row>
    <row r="7" spans="1:34" ht="11.25" customHeight="1" x14ac:dyDescent="0.3">
      <c r="A7" s="151" t="s">
        <v>34</v>
      </c>
      <c r="B7" s="151" t="s">
        <v>77</v>
      </c>
      <c r="C7" s="151" t="s">
        <v>25</v>
      </c>
      <c r="D7" s="151" t="s">
        <v>25</v>
      </c>
      <c r="E7" s="151" t="s">
        <v>25</v>
      </c>
      <c r="F7" s="151" t="s">
        <v>25</v>
      </c>
      <c r="G7" s="29" t="s">
        <v>79</v>
      </c>
      <c r="H7" s="29" t="s">
        <v>78</v>
      </c>
      <c r="I7" s="29">
        <f>'MERCADO TE'!$U$4</f>
        <v>256.69644</v>
      </c>
      <c r="J7" s="15"/>
      <c r="L7" s="26">
        <f>('TE BE'!$L$7+'TE BF'!$L$7+'TE CVA'!$L$7)*1</f>
        <v>3.0900241094419632</v>
      </c>
      <c r="M7" s="26">
        <f>('TE BE'!$M$7+'TE BF'!$M$7+'TE CVA'!$M$7)*1</f>
        <v>0</v>
      </c>
      <c r="N7" s="26">
        <f>('TE BE'!$N$7+'TE BF'!$N$7+'TE CVA'!$N$7)*1</f>
        <v>0</v>
      </c>
      <c r="O7" s="26">
        <f>('TE BE'!$O$7+'TE BF'!$O$7+'TE CVA'!$O$7)*1</f>
        <v>5.0923744514318727</v>
      </c>
      <c r="P7" s="26">
        <f>('TE BE'!$P$7+'TE BF'!$P$7+'TE CVA'!$P$7)*1</f>
        <v>0</v>
      </c>
      <c r="Q7" s="26">
        <f>('TE BE'!$R$7+'TE BF'!$R$7+'TE CVA'!$R$7)*1</f>
        <v>471.71289753147164</v>
      </c>
      <c r="R7" s="26">
        <f>('TE BE'!$T$7+'TE BF'!$T$7+'TE CVA'!$T$7)*1</f>
        <v>0</v>
      </c>
      <c r="S7" s="26">
        <f>('TE BE'!$U$7+'TE BF'!$U$7+'TE CVA'!$U$7)*1</f>
        <v>0</v>
      </c>
      <c r="T7" s="26">
        <f>('TE BE'!$V$7+'TE BF'!$V$7+'TE CVA'!$V$7)*1</f>
        <v>0</v>
      </c>
      <c r="U7" s="26">
        <f>('TE BE'!$X$7+'TE BF'!$X$7+'TE CVA'!$X$7)*1</f>
        <v>-18.835009395888743</v>
      </c>
      <c r="V7" s="26">
        <f>('TE BE'!$Z$7+'TE BF'!$Z$7+'TE CVA'!$Z$7)*1</f>
        <v>0</v>
      </c>
      <c r="X7" s="26">
        <v>3.14465389519528</v>
      </c>
      <c r="Y7" s="26">
        <v>0</v>
      </c>
      <c r="Z7" s="26">
        <v>0</v>
      </c>
      <c r="AA7" s="26">
        <v>0</v>
      </c>
      <c r="AB7" s="26">
        <v>0</v>
      </c>
      <c r="AC7" s="26">
        <v>488.99606967211201</v>
      </c>
      <c r="AD7" s="26">
        <v>0</v>
      </c>
      <c r="AE7" s="26">
        <v>0</v>
      </c>
      <c r="AF7" s="26">
        <v>0</v>
      </c>
      <c r="AG7" s="26">
        <v>-8.0132980266807792</v>
      </c>
      <c r="AH7" s="26">
        <v>0</v>
      </c>
    </row>
    <row r="8" spans="1:34" ht="11.25" customHeight="1" x14ac:dyDescent="0.3">
      <c r="A8" s="151"/>
      <c r="B8" s="151"/>
      <c r="C8" s="151"/>
      <c r="D8" s="151"/>
      <c r="E8" s="151"/>
      <c r="F8" s="151"/>
      <c r="G8" s="29" t="s">
        <v>80</v>
      </c>
      <c r="H8" s="29" t="s">
        <v>78</v>
      </c>
      <c r="I8" s="29">
        <f>'MERCADO TE'!$U$5</f>
        <v>3077.9313500000003</v>
      </c>
      <c r="J8" s="15"/>
      <c r="L8" s="26">
        <f>('TE BE'!$L$8+'TE BF'!$L$8+'TE CVA'!$L$8)*1</f>
        <v>3.0900241094419632</v>
      </c>
      <c r="M8" s="26">
        <f>('TE BE'!$M$8+'TE BF'!$M$8+'TE CVA'!$M$8)*1</f>
        <v>0</v>
      </c>
      <c r="N8" s="26">
        <f>('TE BE'!$N$8+'TE BF'!$N$8+'TE CVA'!$N$8)*1</f>
        <v>0</v>
      </c>
      <c r="O8" s="26">
        <f>('TE BE'!$O$8+'TE BF'!$O$8+'TE CVA'!$O$8)*1</f>
        <v>5.0923744514318727</v>
      </c>
      <c r="P8" s="26">
        <f>('TE BE'!$P$8+'TE BF'!$P$8+'TE CVA'!$P$8)*1</f>
        <v>0</v>
      </c>
      <c r="Q8" s="26">
        <f>('TE BE'!$R$8+'TE BF'!$R$8+'TE CVA'!$R$8)*1</f>
        <v>274.25168461132074</v>
      </c>
      <c r="R8" s="26">
        <f>('TE BE'!$T$8+'TE BF'!$T$8+'TE CVA'!$T$8)*1</f>
        <v>0</v>
      </c>
      <c r="S8" s="26">
        <f>('TE BE'!$U$8+'TE BF'!$U$8+'TE CVA'!$U$8)*1</f>
        <v>0</v>
      </c>
      <c r="T8" s="26">
        <f>('TE BE'!$V$8+'TE BF'!$V$8+'TE CVA'!$V$8)*1</f>
        <v>0</v>
      </c>
      <c r="U8" s="26">
        <f>('TE BE'!$X$8+'TE BF'!$X$8+'TE CVA'!$X$8)*1</f>
        <v>-11.078916475296824</v>
      </c>
      <c r="V8" s="26">
        <f>('TE BE'!$Z$8+'TE BF'!$Z$8+'TE CVA'!$Z$8)*1</f>
        <v>0</v>
      </c>
      <c r="X8" s="26">
        <v>3.14465389519528</v>
      </c>
      <c r="Y8" s="26">
        <v>0</v>
      </c>
      <c r="Z8" s="26">
        <v>0</v>
      </c>
      <c r="AA8" s="26">
        <v>0</v>
      </c>
      <c r="AB8" s="26">
        <v>0</v>
      </c>
      <c r="AC8" s="26">
        <v>284.30004050704201</v>
      </c>
      <c r="AD8" s="26">
        <v>0</v>
      </c>
      <c r="AE8" s="26">
        <v>0</v>
      </c>
      <c r="AF8" s="26">
        <v>0</v>
      </c>
      <c r="AG8" s="26">
        <v>-4.7087619767166897</v>
      </c>
      <c r="AH8" s="26">
        <v>0</v>
      </c>
    </row>
    <row r="9" spans="1:34" ht="11.25" customHeight="1" x14ac:dyDescent="0.3">
      <c r="A9" s="151" t="s">
        <v>22</v>
      </c>
      <c r="B9" s="151" t="s">
        <v>77</v>
      </c>
      <c r="C9" s="151" t="s">
        <v>24</v>
      </c>
      <c r="D9" s="151" t="s">
        <v>24</v>
      </c>
      <c r="E9" s="151" t="s">
        <v>25</v>
      </c>
      <c r="F9" s="151" t="s">
        <v>25</v>
      </c>
      <c r="G9" s="29" t="s">
        <v>79</v>
      </c>
      <c r="H9" s="29" t="s">
        <v>78</v>
      </c>
      <c r="I9" s="29">
        <f>'MERCADO TE'!$U$6</f>
        <v>0</v>
      </c>
      <c r="J9" s="15"/>
      <c r="L9" s="26">
        <f>('TE BE'!$L$9+'TE BF'!$L$9+'TE CVA'!$L$9)*1</f>
        <v>3.0900241094419632</v>
      </c>
      <c r="M9" s="26">
        <f>('TE BE'!$M$9+'TE BF'!$M$9+'TE CVA'!$M$9)*1</f>
        <v>0</v>
      </c>
      <c r="N9" s="26">
        <f>('TE BE'!$N$9+'TE BF'!$N$9+'TE CVA'!$N$9)*1</f>
        <v>0</v>
      </c>
      <c r="O9" s="26">
        <f>('TE BE'!$O$9+'TE BF'!$O$9+'TE CVA'!$O$9)*1</f>
        <v>5.0923744514318727</v>
      </c>
      <c r="P9" s="26">
        <f>('TE BE'!$P$9+'TE BF'!$P$9+'TE CVA'!$P$9)*1</f>
        <v>0</v>
      </c>
      <c r="Q9" s="26">
        <f>('TE BE'!$R$9+'TE BF'!$R$9+'TE CVA'!$R$9)*1</f>
        <v>471.71289753147164</v>
      </c>
      <c r="R9" s="26">
        <f>('TE BE'!$T$9+'TE BF'!$T$9+'TE CVA'!$T$9)*1</f>
        <v>0</v>
      </c>
      <c r="S9" s="26">
        <f>('TE BE'!$U$9+'TE BF'!$U$9+'TE CVA'!$U$9)*1</f>
        <v>0</v>
      </c>
      <c r="T9" s="26">
        <f>('TE BE'!$V$9+'TE BF'!$V$9+'TE CVA'!$V$9)*1</f>
        <v>0</v>
      </c>
      <c r="U9" s="26">
        <f>('TE BE'!$X$9+'TE BF'!$X$9+'TE CVA'!$X$9)*1</f>
        <v>-18.835009395888743</v>
      </c>
      <c r="V9" s="26">
        <f>('TE BE'!$Z$9+'TE BF'!$Z$9+'TE CVA'!$Z$9)*1</f>
        <v>0</v>
      </c>
      <c r="X9" s="26">
        <v>3.14465389519528</v>
      </c>
      <c r="Y9" s="26">
        <v>0</v>
      </c>
      <c r="Z9" s="26">
        <v>0</v>
      </c>
      <c r="AA9" s="26">
        <v>0</v>
      </c>
      <c r="AB9" s="26">
        <v>0</v>
      </c>
      <c r="AC9" s="26">
        <v>488.99606967211201</v>
      </c>
      <c r="AD9" s="26">
        <v>0</v>
      </c>
      <c r="AE9" s="26">
        <v>0</v>
      </c>
      <c r="AF9" s="26">
        <v>0</v>
      </c>
      <c r="AG9" s="26">
        <v>-8.0132980266807792</v>
      </c>
      <c r="AH9" s="26">
        <v>0</v>
      </c>
    </row>
    <row r="10" spans="1:34" ht="11.25" customHeight="1" x14ac:dyDescent="0.3">
      <c r="A10" s="151"/>
      <c r="B10" s="151"/>
      <c r="C10" s="151"/>
      <c r="D10" s="151"/>
      <c r="E10" s="151"/>
      <c r="F10" s="151"/>
      <c r="G10" s="29" t="s">
        <v>89</v>
      </c>
      <c r="H10" s="29" t="s">
        <v>78</v>
      </c>
      <c r="I10" s="29">
        <f>'MERCADO TE'!$U$7</f>
        <v>0</v>
      </c>
      <c r="J10" s="15"/>
      <c r="L10" s="26">
        <f>('TE BE'!$L$10+'TE BF'!$L$10+'TE CVA'!$L$10)*1</f>
        <v>3.0900241094419632</v>
      </c>
      <c r="M10" s="26">
        <f>('TE BE'!$M$10+'TE BF'!$M$10+'TE CVA'!$M$10)*1</f>
        <v>0</v>
      </c>
      <c r="N10" s="26">
        <f>('TE BE'!$N$10+'TE BF'!$N$10+'TE CVA'!$N$10)*1</f>
        <v>0</v>
      </c>
      <c r="O10" s="26">
        <f>('TE BE'!$O$10+'TE BF'!$O$10+'TE CVA'!$O$10)*1</f>
        <v>5.0923744514318727</v>
      </c>
      <c r="P10" s="26">
        <f>('TE BE'!$P$10+'TE BF'!$P$10+'TE CVA'!$P$10)*1</f>
        <v>0</v>
      </c>
      <c r="Q10" s="26">
        <f>('TE BE'!$R$10+'TE BF'!$R$10+'TE CVA'!$R$10)*1</f>
        <v>274.25168461132074</v>
      </c>
      <c r="R10" s="26">
        <f>('TE BE'!$T$10+'TE BF'!$T$10+'TE CVA'!$T$10)*1</f>
        <v>0</v>
      </c>
      <c r="S10" s="26">
        <f>('TE BE'!$U$10+'TE BF'!$U$10+'TE CVA'!$U$10)*1</f>
        <v>0</v>
      </c>
      <c r="T10" s="26">
        <f>('TE BE'!$V$10+'TE BF'!$V$10+'TE CVA'!$V$10)*1</f>
        <v>0</v>
      </c>
      <c r="U10" s="26">
        <f>('TE BE'!$X$10+'TE BF'!$X$10+'TE CVA'!$X$10)*1</f>
        <v>-11.078916475296824</v>
      </c>
      <c r="V10" s="26">
        <f>('TE BE'!$Z$10+'TE BF'!$Z$10+'TE CVA'!$Z$10)*1</f>
        <v>0</v>
      </c>
      <c r="X10" s="26">
        <v>3.14465389519528</v>
      </c>
      <c r="Y10" s="26">
        <v>0</v>
      </c>
      <c r="Z10" s="26">
        <v>0</v>
      </c>
      <c r="AA10" s="26">
        <v>0</v>
      </c>
      <c r="AB10" s="26">
        <v>0</v>
      </c>
      <c r="AC10" s="26">
        <v>284.30004050704201</v>
      </c>
      <c r="AD10" s="26">
        <v>0</v>
      </c>
      <c r="AE10" s="26">
        <v>0</v>
      </c>
      <c r="AF10" s="26">
        <v>0</v>
      </c>
      <c r="AG10" s="26">
        <v>-4.7087619767166897</v>
      </c>
      <c r="AH10" s="26">
        <v>0</v>
      </c>
    </row>
    <row r="11" spans="1:34" ht="11.25" customHeight="1" x14ac:dyDescent="0.3">
      <c r="A11" s="151"/>
      <c r="B11" s="151"/>
      <c r="C11" s="151"/>
      <c r="D11" s="151"/>
      <c r="E11" s="151"/>
      <c r="F11" s="151"/>
      <c r="G11" s="29" t="s">
        <v>80</v>
      </c>
      <c r="H11" s="29" t="s">
        <v>78</v>
      </c>
      <c r="I11" s="29">
        <f>'MERCADO TE'!$U$8</f>
        <v>0</v>
      </c>
      <c r="J11" s="15"/>
      <c r="L11" s="26">
        <f>('TE BE'!$L$11+'TE BF'!$L$11+'TE CVA'!$L$11)*1</f>
        <v>3.0900241094419632</v>
      </c>
      <c r="M11" s="26">
        <f>('TE BE'!$M$11+'TE BF'!$M$11+'TE CVA'!$M$11)*1</f>
        <v>0</v>
      </c>
      <c r="N11" s="26">
        <f>('TE BE'!$N$11+'TE BF'!$N$11+'TE CVA'!$N$11)*1</f>
        <v>0</v>
      </c>
      <c r="O11" s="26">
        <f>('TE BE'!$O$11+'TE BF'!$O$11+'TE CVA'!$O$11)*1</f>
        <v>5.0923744514318727</v>
      </c>
      <c r="P11" s="26">
        <f>('TE BE'!$P$11+'TE BF'!$P$11+'TE CVA'!$P$11)*1</f>
        <v>0</v>
      </c>
      <c r="Q11" s="26">
        <f>('TE BE'!$R$11+'TE BF'!$R$11+'TE CVA'!$R$11)*1</f>
        <v>274.25168461132074</v>
      </c>
      <c r="R11" s="26">
        <f>('TE BE'!$T$11+'TE BF'!$T$11+'TE CVA'!$T$11)*1</f>
        <v>0</v>
      </c>
      <c r="S11" s="26">
        <f>('TE BE'!$U$11+'TE BF'!$U$11+'TE CVA'!$U$11)*1</f>
        <v>0</v>
      </c>
      <c r="T11" s="26">
        <f>('TE BE'!$V$11+'TE BF'!$V$11+'TE CVA'!$V$11)*1</f>
        <v>0</v>
      </c>
      <c r="U11" s="26">
        <f>('TE BE'!$X$11+'TE BF'!$X$11+'TE CVA'!$X$11)*1</f>
        <v>-11.078916475296824</v>
      </c>
      <c r="V11" s="26">
        <f>('TE BE'!$Z$11+'TE BF'!$Z$11+'TE CVA'!$Z$11)*1</f>
        <v>0</v>
      </c>
      <c r="X11" s="26">
        <v>3.14465389519528</v>
      </c>
      <c r="Y11" s="26">
        <v>0</v>
      </c>
      <c r="Z11" s="26">
        <v>0</v>
      </c>
      <c r="AA11" s="26">
        <v>0</v>
      </c>
      <c r="AB11" s="26">
        <v>0</v>
      </c>
      <c r="AC11" s="26">
        <v>284.30004050704201</v>
      </c>
      <c r="AD11" s="26">
        <v>0</v>
      </c>
      <c r="AE11" s="26">
        <v>0</v>
      </c>
      <c r="AF11" s="26">
        <v>0</v>
      </c>
      <c r="AG11" s="26">
        <v>-4.7087619767166897</v>
      </c>
      <c r="AH11" s="26">
        <v>0</v>
      </c>
    </row>
    <row r="12" spans="1:34" ht="11.25" customHeight="1" x14ac:dyDescent="0.3">
      <c r="A12" s="151"/>
      <c r="B12" s="151" t="s">
        <v>90</v>
      </c>
      <c r="C12" s="151" t="s">
        <v>24</v>
      </c>
      <c r="D12" s="28" t="s">
        <v>24</v>
      </c>
      <c r="E12" s="28" t="s">
        <v>25</v>
      </c>
      <c r="F12" s="28" t="s">
        <v>25</v>
      </c>
      <c r="G12" s="29" t="s">
        <v>84</v>
      </c>
      <c r="H12" s="29" t="s">
        <v>78</v>
      </c>
      <c r="I12" s="29">
        <f>'MERCADO TE'!$U$9</f>
        <v>11530.447999999999</v>
      </c>
      <c r="J12" s="15"/>
      <c r="L12" s="26">
        <f>('TE BE'!$L$12+'TE BF'!$L$12+'TE CVA'!$L$12)*1</f>
        <v>3.0900241094419632</v>
      </c>
      <c r="M12" s="26">
        <f>('TE BE'!$M$12+'TE BF'!$M$12+'TE CVA'!$M$12)*1</f>
        <v>0</v>
      </c>
      <c r="N12" s="26">
        <f>('TE BE'!$N$12+'TE BF'!$N$12+'TE CVA'!$N$12)*1</f>
        <v>0</v>
      </c>
      <c r="O12" s="26">
        <f>('TE BE'!$O$12+'TE BF'!$O$12+'TE CVA'!$O$12)*1</f>
        <v>5.0923744514318727</v>
      </c>
      <c r="P12" s="26">
        <f>('TE BE'!$P$12+'TE BF'!$P$12+'TE CVA'!$P$12)*1</f>
        <v>0</v>
      </c>
      <c r="Q12" s="26">
        <f>('TE BE'!$R$12+'TE BF'!$R$12+'TE CVA'!$R$12)*1</f>
        <v>290.70678568800002</v>
      </c>
      <c r="R12" s="26">
        <f>('TE BE'!$T$12+'TE BF'!$T$12+'TE CVA'!$T$12)*1</f>
        <v>0</v>
      </c>
      <c r="S12" s="26">
        <f>('TE BE'!$U$12+'TE BF'!$U$12+'TE CVA'!$U$12)*1</f>
        <v>0</v>
      </c>
      <c r="T12" s="26">
        <f>('TE BE'!$V$12+'TE BF'!$V$12+'TE CVA'!$V$12)*1</f>
        <v>0</v>
      </c>
      <c r="U12" s="26">
        <f>('TE BE'!$X$12+'TE BF'!$X$12+'TE CVA'!$X$12)*1</f>
        <v>-11.725257552012819</v>
      </c>
      <c r="V12" s="26">
        <f>('TE BE'!$Z$12+'TE BF'!$Z$12+'TE CVA'!$Z$12)*1</f>
        <v>0</v>
      </c>
      <c r="X12" s="26">
        <v>3.14465389519528</v>
      </c>
      <c r="Y12" s="26">
        <v>0</v>
      </c>
      <c r="Z12" s="26">
        <v>0</v>
      </c>
      <c r="AA12" s="26">
        <v>0</v>
      </c>
      <c r="AB12" s="26">
        <v>0</v>
      </c>
      <c r="AC12" s="26">
        <v>301.35804293746401</v>
      </c>
      <c r="AD12" s="26">
        <v>0</v>
      </c>
      <c r="AE12" s="26">
        <v>0</v>
      </c>
      <c r="AF12" s="26">
        <v>0</v>
      </c>
      <c r="AG12" s="26">
        <v>-4.9841399808803599</v>
      </c>
      <c r="AH12" s="26">
        <v>0</v>
      </c>
    </row>
    <row r="13" spans="1:34" ht="11.25" customHeight="1" x14ac:dyDescent="0.3">
      <c r="A13" s="151"/>
      <c r="B13" s="151"/>
      <c r="C13" s="151"/>
      <c r="D13" s="28" t="s">
        <v>28</v>
      </c>
      <c r="E13" s="28" t="s">
        <v>25</v>
      </c>
      <c r="F13" s="28" t="s">
        <v>25</v>
      </c>
      <c r="G13" s="29" t="s">
        <v>84</v>
      </c>
      <c r="H13" s="29" t="s">
        <v>78</v>
      </c>
      <c r="I13" s="29">
        <f>'MERCADO TE'!$U$10</f>
        <v>121.26</v>
      </c>
      <c r="J13" s="15"/>
      <c r="L13" s="26">
        <f>('TE BE'!$L$13+'TE BF'!$L$13+'TE CVA'!$L$13)*(1 - 0.65)</f>
        <v>1.0815084383046871</v>
      </c>
      <c r="M13" s="26">
        <f>('TE BE'!$M$13+'TE BF'!$M$13+'TE CVA'!$M$13)*(1 - 0.65)</f>
        <v>0</v>
      </c>
      <c r="N13" s="26">
        <f>('TE BE'!$N$13+'TE BF'!$N$13+'TE CVA'!$N$13)*(1 - 0.65)</f>
        <v>0</v>
      </c>
      <c r="O13" s="26">
        <f>('TE BE'!$O$13+'TE BF'!$O$13+'TE CVA'!$O$13)*(1 - 0.65)</f>
        <v>1.7823310580011553</v>
      </c>
      <c r="P13" s="26">
        <f>('TE BE'!$P$13+'TE BF'!$P$13+'TE CVA'!$P$13)*(1 - 0.65)</f>
        <v>0</v>
      </c>
      <c r="Q13" s="26">
        <f>('TE BE'!$R$13+'TE BF'!$R$13+'TE CVA'!$R$13)*(1 - 0.65)</f>
        <v>101.7473749908</v>
      </c>
      <c r="R13" s="26">
        <f>('TE BE'!$T$13+'TE BF'!$T$13+'TE CVA'!$T$13)*(1 - 0.65)</f>
        <v>0</v>
      </c>
      <c r="S13" s="26">
        <f>('TE BE'!$U$13+'TE BF'!$U$13+'TE CVA'!$U$13)*(1 - 0.65)</f>
        <v>0</v>
      </c>
      <c r="T13" s="26">
        <f>('TE BE'!$V$13+'TE BF'!$V$13+'TE CVA'!$V$13)*(1 - 0.65)</f>
        <v>0</v>
      </c>
      <c r="U13" s="26">
        <f>('TE BE'!$X$13+'TE BF'!$X$13+'TE CVA'!$X$13)*(1 - 0.65)</f>
        <v>-4.1038401432044864</v>
      </c>
      <c r="V13" s="26">
        <f>('TE BE'!$Z$13+'TE BF'!$Z$13+'TE CVA'!$Z$13)*(1 - 0.65)</f>
        <v>0</v>
      </c>
      <c r="X13" s="26">
        <v>1.1006288633183501</v>
      </c>
      <c r="Y13" s="26">
        <v>0</v>
      </c>
      <c r="Z13" s="26">
        <v>0</v>
      </c>
      <c r="AA13" s="26">
        <v>0</v>
      </c>
      <c r="AB13" s="26">
        <v>0</v>
      </c>
      <c r="AC13" s="26">
        <v>105.475315028113</v>
      </c>
      <c r="AD13" s="26">
        <v>0</v>
      </c>
      <c r="AE13" s="26">
        <v>0</v>
      </c>
      <c r="AF13" s="26">
        <v>0</v>
      </c>
      <c r="AG13" s="26">
        <v>-1.74444899330813</v>
      </c>
      <c r="AH13" s="26">
        <v>0</v>
      </c>
    </row>
    <row r="14" spans="1:34" ht="11.25" customHeight="1" x14ac:dyDescent="0.3">
      <c r="A14" s="151"/>
      <c r="B14" s="151"/>
      <c r="C14" s="151"/>
      <c r="D14" s="28" t="s">
        <v>29</v>
      </c>
      <c r="E14" s="28" t="s">
        <v>25</v>
      </c>
      <c r="F14" s="28" t="s">
        <v>25</v>
      </c>
      <c r="G14" s="29" t="s">
        <v>84</v>
      </c>
      <c r="H14" s="29" t="s">
        <v>78</v>
      </c>
      <c r="I14" s="29">
        <f>'MERCADO TE'!$U$11</f>
        <v>254.32</v>
      </c>
      <c r="J14" s="15"/>
      <c r="L14" s="26">
        <f>('TE BE'!$L$14+'TE BF'!$L$14+'TE CVA'!$L$14)*(1 - 0.4)</f>
        <v>1.8540144656651778</v>
      </c>
      <c r="M14" s="26">
        <f>('TE BE'!$M$14+'TE BF'!$M$14+'TE CVA'!$M$14)*(1 - 0.4)</f>
        <v>0</v>
      </c>
      <c r="N14" s="26">
        <f>('TE BE'!$N$14+'TE BF'!$N$14+'TE CVA'!$N$14)*(1 - 0.4)</f>
        <v>0</v>
      </c>
      <c r="O14" s="26">
        <f>('TE BE'!$O$14+'TE BF'!$O$14+'TE CVA'!$O$14)*(1 - 0.4)</f>
        <v>3.0554246708591237</v>
      </c>
      <c r="P14" s="26">
        <f>('TE BE'!$P$14+'TE BF'!$P$14+'TE CVA'!$P$14)*(1 - 0.4)</f>
        <v>0</v>
      </c>
      <c r="Q14" s="26">
        <f>('TE BE'!$R$14+'TE BF'!$R$14+'TE CVA'!$R$14)*(1 - 0.4)</f>
        <v>174.4240714128</v>
      </c>
      <c r="R14" s="26">
        <f>('TE BE'!$T$14+'TE BF'!$T$14+'TE CVA'!$T$14)*(1 - 0.4)</f>
        <v>0</v>
      </c>
      <c r="S14" s="26">
        <f>('TE BE'!$U$14+'TE BF'!$U$14+'TE CVA'!$U$14)*(1 - 0.4)</f>
        <v>0</v>
      </c>
      <c r="T14" s="26">
        <f>('TE BE'!$V$14+'TE BF'!$V$14+'TE CVA'!$V$14)*(1 - 0.4)</f>
        <v>0</v>
      </c>
      <c r="U14" s="26">
        <f>('TE BE'!$X$14+'TE BF'!$X$14+'TE CVA'!$X$14)*(1 - 0.4)</f>
        <v>-7.0351545312076906</v>
      </c>
      <c r="V14" s="26">
        <f>('TE BE'!$Z$14+'TE BF'!$Z$14+'TE CVA'!$Z$14)*(1 - 0.4)</f>
        <v>0</v>
      </c>
      <c r="X14" s="26">
        <v>1.88679233711717</v>
      </c>
      <c r="Y14" s="26">
        <v>0</v>
      </c>
      <c r="Z14" s="26">
        <v>0</v>
      </c>
      <c r="AA14" s="26">
        <v>0</v>
      </c>
      <c r="AB14" s="26">
        <v>0</v>
      </c>
      <c r="AC14" s="26">
        <v>180.81482576247899</v>
      </c>
      <c r="AD14" s="26">
        <v>0</v>
      </c>
      <c r="AE14" s="26">
        <v>0</v>
      </c>
      <c r="AF14" s="26">
        <v>0</v>
      </c>
      <c r="AG14" s="26">
        <v>-2.9904839885282199</v>
      </c>
      <c r="AH14" s="26">
        <v>0</v>
      </c>
    </row>
    <row r="15" spans="1:34" ht="11.25" customHeight="1" x14ac:dyDescent="0.3">
      <c r="A15" s="151"/>
      <c r="B15" s="151"/>
      <c r="C15" s="151"/>
      <c r="D15" s="28" t="s">
        <v>30</v>
      </c>
      <c r="E15" s="28" t="s">
        <v>25</v>
      </c>
      <c r="F15" s="28" t="s">
        <v>25</v>
      </c>
      <c r="G15" s="29" t="s">
        <v>84</v>
      </c>
      <c r="H15" s="29" t="s">
        <v>78</v>
      </c>
      <c r="I15" s="29">
        <f>'MERCADO TE'!$U$12</f>
        <v>248.52100000000002</v>
      </c>
      <c r="J15" s="15"/>
      <c r="L15" s="26">
        <f>('TE BE'!$L$15+'TE BF'!$L$15+'TE CVA'!$L$15)*(1 - 0.1)</f>
        <v>2.7810216984977667</v>
      </c>
      <c r="M15" s="26">
        <f>('TE BE'!$M$15+'TE BF'!$M$15+'TE CVA'!$M$15)*(1 - 0.1)</f>
        <v>0</v>
      </c>
      <c r="N15" s="26">
        <f>('TE BE'!$N$15+'TE BF'!$N$15+'TE CVA'!$N$15)*(1 - 0.1)</f>
        <v>0</v>
      </c>
      <c r="O15" s="26">
        <f>('TE BE'!$O$15+'TE BF'!$O$15+'TE CVA'!$O$15)*(1 - 0.1)</f>
        <v>4.5831370062886858</v>
      </c>
      <c r="P15" s="26">
        <f>('TE BE'!$P$15+'TE BF'!$P$15+'TE CVA'!$P$15)*(1 - 0.1)</f>
        <v>0</v>
      </c>
      <c r="Q15" s="26">
        <f>('TE BE'!$R$15+'TE BF'!$R$15+'TE CVA'!$R$15)*(1 - 0.1)</f>
        <v>261.63610711920001</v>
      </c>
      <c r="R15" s="26">
        <f>('TE BE'!$T$15+'TE BF'!$T$15+'TE CVA'!$T$15)*(1 - 0.1)</f>
        <v>0</v>
      </c>
      <c r="S15" s="26">
        <f>('TE BE'!$U$15+'TE BF'!$U$15+'TE CVA'!$U$15)*(1 - 0.1)</f>
        <v>0</v>
      </c>
      <c r="T15" s="26">
        <f>('TE BE'!$V$15+'TE BF'!$V$15+'TE CVA'!$V$15)*(1 - 0.1)</f>
        <v>0</v>
      </c>
      <c r="U15" s="26">
        <f>('TE BE'!$X$15+'TE BF'!$X$15+'TE CVA'!$X$15)*(1 - 0.1)</f>
        <v>-10.552731796811537</v>
      </c>
      <c r="V15" s="26">
        <f>('TE BE'!$Z$15+'TE BF'!$Z$15+'TE CVA'!$Z$15)*(1 - 0.1)</f>
        <v>0</v>
      </c>
      <c r="X15" s="26">
        <v>2.8301885056757601</v>
      </c>
      <c r="Y15" s="26">
        <v>0</v>
      </c>
      <c r="Z15" s="26">
        <v>0</v>
      </c>
      <c r="AA15" s="26">
        <v>0</v>
      </c>
      <c r="AB15" s="26">
        <v>0</v>
      </c>
      <c r="AC15" s="26">
        <v>271.22223864371801</v>
      </c>
      <c r="AD15" s="26">
        <v>0</v>
      </c>
      <c r="AE15" s="26">
        <v>0</v>
      </c>
      <c r="AF15" s="26">
        <v>0</v>
      </c>
      <c r="AG15" s="26">
        <v>-4.4857259827923297</v>
      </c>
      <c r="AH15" s="26">
        <v>0</v>
      </c>
    </row>
    <row r="16" spans="1:34" ht="11.25" customHeight="1" x14ac:dyDescent="0.3">
      <c r="A16" s="151"/>
      <c r="B16" s="151"/>
      <c r="C16" s="151"/>
      <c r="D16" s="28" t="s">
        <v>31</v>
      </c>
      <c r="E16" s="28" t="s">
        <v>25</v>
      </c>
      <c r="F16" s="28" t="s">
        <v>25</v>
      </c>
      <c r="G16" s="29" t="s">
        <v>84</v>
      </c>
      <c r="H16" s="29" t="s">
        <v>78</v>
      </c>
      <c r="I16" s="29">
        <f>'MERCADO TE'!$U$13</f>
        <v>91.992999999999995</v>
      </c>
      <c r="J16" s="15"/>
      <c r="L16" s="26">
        <f>('TE BE'!$L$16+'TE BF'!$L$16+'TE CVA'!$L$16)*1</f>
        <v>3.0900241094419632</v>
      </c>
      <c r="M16" s="26">
        <f>('TE BE'!$M$16+'TE BF'!$M$16+'TE CVA'!$M$16)*1</f>
        <v>0</v>
      </c>
      <c r="N16" s="26">
        <f>('TE BE'!$N$16+'TE BF'!$N$16+'TE CVA'!$N$16)*1</f>
        <v>0</v>
      </c>
      <c r="O16" s="26">
        <f>('TE BE'!$O$16+'TE BF'!$O$16+'TE CVA'!$O$16)*1</f>
        <v>5.0923744514318727</v>
      </c>
      <c r="P16" s="26">
        <f>('TE BE'!$P$16+'TE BF'!$P$16+'TE CVA'!$P$16)*1</f>
        <v>0</v>
      </c>
      <c r="Q16" s="26">
        <f>('TE BE'!$R$16+'TE BF'!$R$16+'TE CVA'!$R$16)*1</f>
        <v>290.70678568800002</v>
      </c>
      <c r="R16" s="26">
        <f>('TE BE'!$T$16+'TE BF'!$T$16+'TE CVA'!$T$16)*1</f>
        <v>0</v>
      </c>
      <c r="S16" s="26">
        <f>('TE BE'!$U$16+'TE BF'!$U$16+'TE CVA'!$U$16)*1</f>
        <v>0</v>
      </c>
      <c r="T16" s="26">
        <f>('TE BE'!$V$16+'TE BF'!$V$16+'TE CVA'!$V$16)*1</f>
        <v>0</v>
      </c>
      <c r="U16" s="26">
        <f>('TE BE'!$X$16+'TE BF'!$X$16+'TE CVA'!$X$16)*1</f>
        <v>-11.725257552012819</v>
      </c>
      <c r="V16" s="26">
        <f>('TE BE'!$Z$16+'TE BF'!$Z$16+'TE CVA'!$Z$16)*1</f>
        <v>0</v>
      </c>
      <c r="X16" s="26">
        <v>3.14465389519528</v>
      </c>
      <c r="Y16" s="26">
        <v>0</v>
      </c>
      <c r="Z16" s="26">
        <v>0</v>
      </c>
      <c r="AA16" s="26">
        <v>0</v>
      </c>
      <c r="AB16" s="26">
        <v>0</v>
      </c>
      <c r="AC16" s="26">
        <v>301.35804293746401</v>
      </c>
      <c r="AD16" s="26">
        <v>0</v>
      </c>
      <c r="AE16" s="26">
        <v>0</v>
      </c>
      <c r="AF16" s="26">
        <v>0</v>
      </c>
      <c r="AG16" s="26">
        <v>-4.9841399808803599</v>
      </c>
      <c r="AH16" s="26">
        <v>0</v>
      </c>
    </row>
    <row r="17" spans="1:34" ht="11.25" customHeight="1" x14ac:dyDescent="0.3">
      <c r="A17" s="151"/>
      <c r="B17" s="151" t="s">
        <v>91</v>
      </c>
      <c r="C17" s="151" t="s">
        <v>24</v>
      </c>
      <c r="D17" s="28" t="s">
        <v>24</v>
      </c>
      <c r="E17" s="28" t="s">
        <v>25</v>
      </c>
      <c r="F17" s="28" t="s">
        <v>25</v>
      </c>
      <c r="G17" s="29" t="s">
        <v>84</v>
      </c>
      <c r="H17" s="29" t="s">
        <v>78</v>
      </c>
      <c r="I17" s="29">
        <f>'MERCADO TE'!$U$14</f>
        <v>0</v>
      </c>
      <c r="J17" s="15"/>
      <c r="L17" s="26">
        <f>('TE BE'!$L$17+'TE BF'!$L$17+'TE CVA'!$L$17)*1</f>
        <v>3.0900241094419632</v>
      </c>
      <c r="M17" s="26">
        <f>('TE BE'!$M$17+'TE BF'!$M$17+'TE CVA'!$M$17)*1</f>
        <v>0</v>
      </c>
      <c r="N17" s="26">
        <f>('TE BE'!$N$17+'TE BF'!$N$17+'TE CVA'!$N$17)*1</f>
        <v>0</v>
      </c>
      <c r="O17" s="26">
        <f>('TE BE'!$O$17+'TE BF'!$O$17+'TE CVA'!$O$17)*1</f>
        <v>5.0923744514318727</v>
      </c>
      <c r="P17" s="26">
        <f>('TE BE'!$P$17+'TE BF'!$P$17+'TE CVA'!$P$17)*1</f>
        <v>0</v>
      </c>
      <c r="Q17" s="26">
        <f>('TE BE'!$R$17+'TE BF'!$R$17+'TE CVA'!$R$17)*1</f>
        <v>290.70678568800002</v>
      </c>
      <c r="R17" s="26">
        <f>('TE BE'!$T$17+'TE BF'!$T$17+'TE CVA'!$T$17)*1</f>
        <v>0</v>
      </c>
      <c r="S17" s="26">
        <f>('TE BE'!$U$17+'TE BF'!$U$17+'TE CVA'!$U$17)*1</f>
        <v>0</v>
      </c>
      <c r="T17" s="26">
        <f>('TE BE'!$V$17+'TE BF'!$V$17+'TE CVA'!$V$17)*1</f>
        <v>0</v>
      </c>
      <c r="U17" s="26">
        <f>('TE BE'!$X$17+'TE BF'!$X$17+'TE CVA'!$X$17)*1</f>
        <v>-11.725257552012819</v>
      </c>
      <c r="V17" s="26">
        <f>('TE BE'!$Z$17+'TE BF'!$Z$17+'TE CVA'!$Z$17)*1</f>
        <v>0</v>
      </c>
      <c r="X17" s="26">
        <v>3.14465389519528</v>
      </c>
      <c r="Y17" s="26">
        <v>0</v>
      </c>
      <c r="Z17" s="26">
        <v>0</v>
      </c>
      <c r="AA17" s="26">
        <v>0</v>
      </c>
      <c r="AB17" s="26">
        <v>0</v>
      </c>
      <c r="AC17" s="26">
        <v>301.35804293746401</v>
      </c>
      <c r="AD17" s="26">
        <v>0</v>
      </c>
      <c r="AE17" s="26">
        <v>0</v>
      </c>
      <c r="AF17" s="26">
        <v>0</v>
      </c>
      <c r="AG17" s="26">
        <v>-4.9841399808803599</v>
      </c>
      <c r="AH17" s="26">
        <v>0</v>
      </c>
    </row>
    <row r="18" spans="1:34" ht="11.25" customHeight="1" x14ac:dyDescent="0.3">
      <c r="A18" s="151"/>
      <c r="B18" s="151"/>
      <c r="C18" s="151"/>
      <c r="D18" s="28" t="s">
        <v>28</v>
      </c>
      <c r="E18" s="28" t="s">
        <v>25</v>
      </c>
      <c r="F18" s="28" t="s">
        <v>25</v>
      </c>
      <c r="G18" s="29" t="s">
        <v>84</v>
      </c>
      <c r="H18" s="29" t="s">
        <v>78</v>
      </c>
      <c r="I18" s="29">
        <f>'MERCADO TE'!$U$15</f>
        <v>0</v>
      </c>
      <c r="J18" s="15"/>
      <c r="L18" s="26">
        <f>('TE BE'!$L$18+'TE BF'!$L$18+'TE CVA'!$L$18)*(1 - 0.65)</f>
        <v>1.0815084383046871</v>
      </c>
      <c r="M18" s="26">
        <f>('TE BE'!$M$18+'TE BF'!$M$18+'TE CVA'!$M$18)*(1 - 0.65)</f>
        <v>0</v>
      </c>
      <c r="N18" s="26">
        <f>('TE BE'!$N$18+'TE BF'!$N$18+'TE CVA'!$N$18)*(1 - 0.65)</f>
        <v>0</v>
      </c>
      <c r="O18" s="26">
        <f>('TE BE'!$O$18+'TE BF'!$O$18+'TE CVA'!$O$18)*(1 - 0.65)</f>
        <v>1.7823310580011553</v>
      </c>
      <c r="P18" s="26">
        <f>('TE BE'!$P$18+'TE BF'!$P$18+'TE CVA'!$P$18)*(1 - 0.65)</f>
        <v>0</v>
      </c>
      <c r="Q18" s="26">
        <f>('TE BE'!$R$18+'TE BF'!$R$18+'TE CVA'!$R$18)*(1 - 0.65)</f>
        <v>101.7473749908</v>
      </c>
      <c r="R18" s="26">
        <f>('TE BE'!$T$18+'TE BF'!$T$18+'TE CVA'!$T$18)*(1 - 0.65)</f>
        <v>0</v>
      </c>
      <c r="S18" s="26">
        <f>('TE BE'!$U$18+'TE BF'!$U$18+'TE CVA'!$U$18)*(1 - 0.65)</f>
        <v>0</v>
      </c>
      <c r="T18" s="26">
        <f>('TE BE'!$V$18+'TE BF'!$V$18+'TE CVA'!$V$18)*(1 - 0.65)</f>
        <v>0</v>
      </c>
      <c r="U18" s="26">
        <f>('TE BE'!$X$18+'TE BF'!$X$18+'TE CVA'!$X$18)*(1 - 0.65)</f>
        <v>-4.1038401432044864</v>
      </c>
      <c r="V18" s="26">
        <f>('TE BE'!$Z$18+'TE BF'!$Z$18+'TE CVA'!$Z$18)*(1 - 0.65)</f>
        <v>0</v>
      </c>
      <c r="X18" s="26">
        <v>1.1006288633183501</v>
      </c>
      <c r="Y18" s="26">
        <v>0</v>
      </c>
      <c r="Z18" s="26">
        <v>0</v>
      </c>
      <c r="AA18" s="26">
        <v>0</v>
      </c>
      <c r="AB18" s="26">
        <v>0</v>
      </c>
      <c r="AC18" s="26">
        <v>105.475315028113</v>
      </c>
      <c r="AD18" s="26">
        <v>0</v>
      </c>
      <c r="AE18" s="26">
        <v>0</v>
      </c>
      <c r="AF18" s="26">
        <v>0</v>
      </c>
      <c r="AG18" s="26">
        <v>-1.74444899330813</v>
      </c>
      <c r="AH18" s="26">
        <v>0</v>
      </c>
    </row>
    <row r="19" spans="1:34" ht="11.25" customHeight="1" x14ac:dyDescent="0.3">
      <c r="A19" s="151"/>
      <c r="B19" s="151"/>
      <c r="C19" s="151"/>
      <c r="D19" s="28" t="s">
        <v>29</v>
      </c>
      <c r="E19" s="28" t="s">
        <v>25</v>
      </c>
      <c r="F19" s="28" t="s">
        <v>25</v>
      </c>
      <c r="G19" s="29" t="s">
        <v>84</v>
      </c>
      <c r="H19" s="29" t="s">
        <v>78</v>
      </c>
      <c r="I19" s="29">
        <f>'MERCADO TE'!$U$16</f>
        <v>0</v>
      </c>
      <c r="J19" s="15"/>
      <c r="L19" s="26">
        <f>('TE BE'!$L$19+'TE BF'!$L$19+'TE CVA'!$L$19)*(1 - 0.4)</f>
        <v>1.8540144656651778</v>
      </c>
      <c r="M19" s="26">
        <f>('TE BE'!$M$19+'TE BF'!$M$19+'TE CVA'!$M$19)*(1 - 0.4)</f>
        <v>0</v>
      </c>
      <c r="N19" s="26">
        <f>('TE BE'!$N$19+'TE BF'!$N$19+'TE CVA'!$N$19)*(1 - 0.4)</f>
        <v>0</v>
      </c>
      <c r="O19" s="26">
        <f>('TE BE'!$O$19+'TE BF'!$O$19+'TE CVA'!$O$19)*(1 - 0.4)</f>
        <v>3.0554246708591237</v>
      </c>
      <c r="P19" s="26">
        <f>('TE BE'!$P$19+'TE BF'!$P$19+'TE CVA'!$P$19)*(1 - 0.4)</f>
        <v>0</v>
      </c>
      <c r="Q19" s="26">
        <f>('TE BE'!$R$19+'TE BF'!$R$19+'TE CVA'!$R$19)*(1 - 0.4)</f>
        <v>174.4240714128</v>
      </c>
      <c r="R19" s="26">
        <f>('TE BE'!$T$19+'TE BF'!$T$19+'TE CVA'!$T$19)*(1 - 0.4)</f>
        <v>0</v>
      </c>
      <c r="S19" s="26">
        <f>('TE BE'!$U$19+'TE BF'!$U$19+'TE CVA'!$U$19)*(1 - 0.4)</f>
        <v>0</v>
      </c>
      <c r="T19" s="26">
        <f>('TE BE'!$V$19+'TE BF'!$V$19+'TE CVA'!$V$19)*(1 - 0.4)</f>
        <v>0</v>
      </c>
      <c r="U19" s="26">
        <f>('TE BE'!$X$19+'TE BF'!$X$19+'TE CVA'!$X$19)*(1 - 0.4)</f>
        <v>-7.0351545312076906</v>
      </c>
      <c r="V19" s="26">
        <f>('TE BE'!$Z$19+'TE BF'!$Z$19+'TE CVA'!$Z$19)*(1 - 0.4)</f>
        <v>0</v>
      </c>
      <c r="X19" s="26">
        <v>1.88679233711717</v>
      </c>
      <c r="Y19" s="26">
        <v>0</v>
      </c>
      <c r="Z19" s="26">
        <v>0</v>
      </c>
      <c r="AA19" s="26">
        <v>0</v>
      </c>
      <c r="AB19" s="26">
        <v>0</v>
      </c>
      <c r="AC19" s="26">
        <v>180.81482576247899</v>
      </c>
      <c r="AD19" s="26">
        <v>0</v>
      </c>
      <c r="AE19" s="26">
        <v>0</v>
      </c>
      <c r="AF19" s="26">
        <v>0</v>
      </c>
      <c r="AG19" s="26">
        <v>-2.9904839885282199</v>
      </c>
      <c r="AH19" s="26">
        <v>0</v>
      </c>
    </row>
    <row r="20" spans="1:34" ht="11.25" customHeight="1" x14ac:dyDescent="0.3">
      <c r="A20" s="151"/>
      <c r="B20" s="151"/>
      <c r="C20" s="151"/>
      <c r="D20" s="28" t="s">
        <v>30</v>
      </c>
      <c r="E20" s="28" t="s">
        <v>25</v>
      </c>
      <c r="F20" s="28" t="s">
        <v>25</v>
      </c>
      <c r="G20" s="29" t="s">
        <v>84</v>
      </c>
      <c r="H20" s="29" t="s">
        <v>78</v>
      </c>
      <c r="I20" s="29">
        <f>'MERCADO TE'!$U$17</f>
        <v>0</v>
      </c>
      <c r="J20" s="15"/>
      <c r="L20" s="26">
        <f>('TE BE'!$L$20+'TE BF'!$L$20+'TE CVA'!$L$20)*(1 - 0.1)</f>
        <v>2.7810216984977667</v>
      </c>
      <c r="M20" s="26">
        <f>('TE BE'!$M$20+'TE BF'!$M$20+'TE CVA'!$M$20)*(1 - 0.1)</f>
        <v>0</v>
      </c>
      <c r="N20" s="26">
        <f>('TE BE'!$N$20+'TE BF'!$N$20+'TE CVA'!$N$20)*(1 - 0.1)</f>
        <v>0</v>
      </c>
      <c r="O20" s="26">
        <f>('TE BE'!$O$20+'TE BF'!$O$20+'TE CVA'!$O$20)*(1 - 0.1)</f>
        <v>4.5831370062886858</v>
      </c>
      <c r="P20" s="26">
        <f>('TE BE'!$P$20+'TE BF'!$P$20+'TE CVA'!$P$20)*(1 - 0.1)</f>
        <v>0</v>
      </c>
      <c r="Q20" s="26">
        <f>('TE BE'!$R$20+'TE BF'!$R$20+'TE CVA'!$R$20)*(1 - 0.1)</f>
        <v>261.63610711920001</v>
      </c>
      <c r="R20" s="26">
        <f>('TE BE'!$T$20+'TE BF'!$T$20+'TE CVA'!$T$20)*(1 - 0.1)</f>
        <v>0</v>
      </c>
      <c r="S20" s="26">
        <f>('TE BE'!$U$20+'TE BF'!$U$20+'TE CVA'!$U$20)*(1 - 0.1)</f>
        <v>0</v>
      </c>
      <c r="T20" s="26">
        <f>('TE BE'!$V$20+'TE BF'!$V$20+'TE CVA'!$V$20)*(1 - 0.1)</f>
        <v>0</v>
      </c>
      <c r="U20" s="26">
        <f>('TE BE'!$X$20+'TE BF'!$X$20+'TE CVA'!$X$20)*(1 - 0.1)</f>
        <v>-10.552731796811537</v>
      </c>
      <c r="V20" s="26">
        <f>('TE BE'!$Z$20+'TE BF'!$Z$20+'TE CVA'!$Z$20)*(1 - 0.1)</f>
        <v>0</v>
      </c>
      <c r="X20" s="26">
        <v>2.8301885056757601</v>
      </c>
      <c r="Y20" s="26">
        <v>0</v>
      </c>
      <c r="Z20" s="26">
        <v>0</v>
      </c>
      <c r="AA20" s="26">
        <v>0</v>
      </c>
      <c r="AB20" s="26">
        <v>0</v>
      </c>
      <c r="AC20" s="26">
        <v>271.22223864371801</v>
      </c>
      <c r="AD20" s="26">
        <v>0</v>
      </c>
      <c r="AE20" s="26">
        <v>0</v>
      </c>
      <c r="AF20" s="26">
        <v>0</v>
      </c>
      <c r="AG20" s="26">
        <v>-4.4857259827923297</v>
      </c>
      <c r="AH20" s="26">
        <v>0</v>
      </c>
    </row>
    <row r="21" spans="1:34" ht="11.25" customHeight="1" x14ac:dyDescent="0.3">
      <c r="A21" s="151"/>
      <c r="B21" s="151"/>
      <c r="C21" s="151"/>
      <c r="D21" s="28" t="s">
        <v>31</v>
      </c>
      <c r="E21" s="28" t="s">
        <v>25</v>
      </c>
      <c r="F21" s="28" t="s">
        <v>25</v>
      </c>
      <c r="G21" s="29" t="s">
        <v>84</v>
      </c>
      <c r="H21" s="29" t="s">
        <v>78</v>
      </c>
      <c r="I21" s="29">
        <f>'MERCADO TE'!$U$18</f>
        <v>0</v>
      </c>
      <c r="J21" s="15"/>
      <c r="L21" s="26">
        <f>('TE BE'!$L$21+'TE BF'!$L$21+'TE CVA'!$L$21)*1</f>
        <v>3.0900241094419632</v>
      </c>
      <c r="M21" s="26">
        <f>('TE BE'!$M$21+'TE BF'!$M$21+'TE CVA'!$M$21)*1</f>
        <v>0</v>
      </c>
      <c r="N21" s="26">
        <f>('TE BE'!$N$21+'TE BF'!$N$21+'TE CVA'!$N$21)*1</f>
        <v>0</v>
      </c>
      <c r="O21" s="26">
        <f>('TE BE'!$O$21+'TE BF'!$O$21+'TE CVA'!$O$21)*1</f>
        <v>5.0923744514318727</v>
      </c>
      <c r="P21" s="26">
        <f>('TE BE'!$P$21+'TE BF'!$P$21+'TE CVA'!$P$21)*1</f>
        <v>0</v>
      </c>
      <c r="Q21" s="26">
        <f>('TE BE'!$R$21+'TE BF'!$R$21+'TE CVA'!$R$21)*1</f>
        <v>290.70678568800002</v>
      </c>
      <c r="R21" s="26">
        <f>('TE BE'!$T$21+'TE BF'!$T$21+'TE CVA'!$T$21)*1</f>
        <v>0</v>
      </c>
      <c r="S21" s="26">
        <f>('TE BE'!$U$21+'TE BF'!$U$21+'TE CVA'!$U$21)*1</f>
        <v>0</v>
      </c>
      <c r="T21" s="26">
        <f>('TE BE'!$V$21+'TE BF'!$V$21+'TE CVA'!$V$21)*1</f>
        <v>0</v>
      </c>
      <c r="U21" s="26">
        <f>('TE BE'!$X$21+'TE BF'!$X$21+'TE CVA'!$X$21)*1</f>
        <v>-11.725257552012819</v>
      </c>
      <c r="V21" s="26">
        <f>('TE BE'!$Z$21+'TE BF'!$Z$21+'TE CVA'!$Z$21)*1</f>
        <v>0</v>
      </c>
      <c r="X21" s="26">
        <v>3.14465389519528</v>
      </c>
      <c r="Y21" s="26">
        <v>0</v>
      </c>
      <c r="Z21" s="26">
        <v>0</v>
      </c>
      <c r="AA21" s="26">
        <v>0</v>
      </c>
      <c r="AB21" s="26">
        <v>0</v>
      </c>
      <c r="AC21" s="26">
        <v>301.35804293746401</v>
      </c>
      <c r="AD21" s="26">
        <v>0</v>
      </c>
      <c r="AE21" s="26">
        <v>0</v>
      </c>
      <c r="AF21" s="26">
        <v>0</v>
      </c>
      <c r="AG21" s="26">
        <v>-4.9841399808803599</v>
      </c>
      <c r="AH21" s="26">
        <v>0</v>
      </c>
    </row>
    <row r="22" spans="1:34" ht="11.25" customHeight="1" x14ac:dyDescent="0.3">
      <c r="A22" s="151" t="s">
        <v>41</v>
      </c>
      <c r="B22" s="151" t="s">
        <v>77</v>
      </c>
      <c r="C22" s="151" t="s">
        <v>42</v>
      </c>
      <c r="D22" s="151" t="s">
        <v>25</v>
      </c>
      <c r="E22" s="151" t="s">
        <v>25</v>
      </c>
      <c r="F22" s="151" t="s">
        <v>25</v>
      </c>
      <c r="G22" s="29" t="s">
        <v>79</v>
      </c>
      <c r="H22" s="29" t="s">
        <v>78</v>
      </c>
      <c r="I22" s="29">
        <f>'MERCADO TE'!$U$19</f>
        <v>0</v>
      </c>
      <c r="J22" s="15"/>
      <c r="L22" s="26">
        <f>('TE BE'!$L$22+'TE BF'!$L$22+'TE CVA'!$L$22)*(1 - CUSTOS!$M$38)</f>
        <v>2.904622662875445</v>
      </c>
      <c r="M22" s="26">
        <f>('TE BE'!$M$22+'TE BF'!$M$22+'TE CVA'!$M$22)*(1 - CUSTOS!$M$38)</f>
        <v>0</v>
      </c>
      <c r="N22" s="26">
        <f>('TE BE'!$N$22+'TE BF'!$N$22+'TE CVA'!$N$22)*(1 - CUSTOS!$M$38)</f>
        <v>0</v>
      </c>
      <c r="O22" s="26">
        <f>('TE BE'!$O$22+'TE BF'!$O$22+'TE CVA'!$O$22)*(1 - CUSTOS!$M$38)</f>
        <v>4.7868319843459597</v>
      </c>
      <c r="P22" s="26">
        <f>('TE BE'!$P$22+'TE BF'!$P$22+'TE CVA'!$P$22)*(1 - CUSTOS!$M$38)</f>
        <v>0</v>
      </c>
      <c r="Q22" s="26">
        <f>('TE BE'!$R$22+'TE BF'!$R$22+'TE CVA'!$R$22)*(1 - CUSTOS!$M$38)</f>
        <v>443.41012367958331</v>
      </c>
      <c r="R22" s="26">
        <f>('TE BE'!$T$22+'TE BF'!$T$22+'TE CVA'!$T$22)*(1 - CUSTOS!$M$38)</f>
        <v>0</v>
      </c>
      <c r="S22" s="26">
        <f>('TE BE'!$U$22+'TE BF'!$U$22+'TE CVA'!$U$22)*(1 - CUSTOS!$M$38)</f>
        <v>0</v>
      </c>
      <c r="T22" s="26">
        <f>('TE BE'!$V$22+'TE BF'!$V$22+'TE CVA'!$V$22)*(1 - CUSTOS!$M$38)</f>
        <v>0</v>
      </c>
      <c r="U22" s="26">
        <f>('TE BE'!$X$22+'TE BF'!$X$22+'TE CVA'!$X$22)*(1 - CUSTOS!$M$38)</f>
        <v>-17.704908832135416</v>
      </c>
      <c r="V22" s="26">
        <f>('TE BE'!$Z$22+'TE BF'!$Z$22+'TE CVA'!$Z$22)*(1 - CUSTOS!$M$38)</f>
        <v>0</v>
      </c>
      <c r="X22" s="26">
        <v>2.7672954277718498</v>
      </c>
      <c r="Y22" s="26">
        <v>0</v>
      </c>
      <c r="Z22" s="26">
        <v>0</v>
      </c>
      <c r="AA22" s="26">
        <v>0</v>
      </c>
      <c r="AB22" s="26">
        <v>0</v>
      </c>
      <c r="AC22" s="26">
        <v>430.31654131145802</v>
      </c>
      <c r="AD22" s="26">
        <v>0</v>
      </c>
      <c r="AE22" s="26">
        <v>0</v>
      </c>
      <c r="AF22" s="26">
        <v>0</v>
      </c>
      <c r="AG22" s="26">
        <v>-7.05170226347908</v>
      </c>
      <c r="AH22" s="26">
        <v>0</v>
      </c>
    </row>
    <row r="23" spans="1:34" ht="11.25" customHeight="1" x14ac:dyDescent="0.3">
      <c r="A23" s="151"/>
      <c r="B23" s="151"/>
      <c r="C23" s="151"/>
      <c r="D23" s="151"/>
      <c r="E23" s="151"/>
      <c r="F23" s="151"/>
      <c r="G23" s="29" t="s">
        <v>89</v>
      </c>
      <c r="H23" s="29" t="s">
        <v>78</v>
      </c>
      <c r="I23" s="29">
        <f>'MERCADO TE'!$U$20</f>
        <v>0</v>
      </c>
      <c r="J23" s="15"/>
      <c r="L23" s="26">
        <f>('TE BE'!$L$23+'TE BF'!$L$23+'TE CVA'!$L$23)*(1 - CUSTOS!$M$38)</f>
        <v>2.904622662875445</v>
      </c>
      <c r="M23" s="26">
        <f>('TE BE'!$M$23+'TE BF'!$M$23+'TE CVA'!$M$23)*(1 - CUSTOS!$M$38)</f>
        <v>0</v>
      </c>
      <c r="N23" s="26">
        <f>('TE BE'!$N$23+'TE BF'!$N$23+'TE CVA'!$N$23)*(1 - CUSTOS!$M$38)</f>
        <v>0</v>
      </c>
      <c r="O23" s="26">
        <f>('TE BE'!$O$23+'TE BF'!$O$23+'TE CVA'!$O$23)*(1 - CUSTOS!$M$38)</f>
        <v>4.7868319843459597</v>
      </c>
      <c r="P23" s="26">
        <f>('TE BE'!$P$23+'TE BF'!$P$23+'TE CVA'!$P$23)*(1 - CUSTOS!$M$38)</f>
        <v>0</v>
      </c>
      <c r="Q23" s="26">
        <f>('TE BE'!$R$23+'TE BF'!$R$23+'TE CVA'!$R$23)*(1 - CUSTOS!$M$38)</f>
        <v>257.79658353464146</v>
      </c>
      <c r="R23" s="26">
        <f>('TE BE'!$T$23+'TE BF'!$T$23+'TE CVA'!$T$23)*(1 - CUSTOS!$M$38)</f>
        <v>0</v>
      </c>
      <c r="S23" s="26">
        <f>('TE BE'!$U$23+'TE BF'!$U$23+'TE CVA'!$U$23)*(1 - CUSTOS!$M$38)</f>
        <v>0</v>
      </c>
      <c r="T23" s="26">
        <f>('TE BE'!$V$23+'TE BF'!$V$23+'TE CVA'!$V$23)*(1 - CUSTOS!$M$38)</f>
        <v>0</v>
      </c>
      <c r="U23" s="26">
        <f>('TE BE'!$X$23+'TE BF'!$X$23+'TE CVA'!$X$23)*(1 - CUSTOS!$M$38)</f>
        <v>-10.414181486779013</v>
      </c>
      <c r="V23" s="26">
        <f>('TE BE'!$Z$23+'TE BF'!$Z$23+'TE CVA'!$Z$23)*(1 - CUSTOS!$M$38)</f>
        <v>0</v>
      </c>
      <c r="X23" s="26">
        <v>2.7672954277718498</v>
      </c>
      <c r="Y23" s="26">
        <v>0</v>
      </c>
      <c r="Z23" s="26">
        <v>0</v>
      </c>
      <c r="AA23" s="26">
        <v>0</v>
      </c>
      <c r="AB23" s="26">
        <v>0</v>
      </c>
      <c r="AC23" s="26">
        <v>250.184035646197</v>
      </c>
      <c r="AD23" s="26">
        <v>0</v>
      </c>
      <c r="AE23" s="26">
        <v>0</v>
      </c>
      <c r="AF23" s="26">
        <v>0</v>
      </c>
      <c r="AG23" s="26">
        <v>-4.1437105395106899</v>
      </c>
      <c r="AH23" s="26">
        <v>0</v>
      </c>
    </row>
    <row r="24" spans="1:34" ht="11.25" customHeight="1" x14ac:dyDescent="0.3">
      <c r="A24" s="151"/>
      <c r="B24" s="151"/>
      <c r="C24" s="151"/>
      <c r="D24" s="151"/>
      <c r="E24" s="151"/>
      <c r="F24" s="151"/>
      <c r="G24" s="29" t="s">
        <v>80</v>
      </c>
      <c r="H24" s="29" t="s">
        <v>78</v>
      </c>
      <c r="I24" s="29">
        <f>'MERCADO TE'!$U$21</f>
        <v>0</v>
      </c>
      <c r="J24" s="15"/>
      <c r="L24" s="26">
        <f>('TE BE'!$L$24+'TE BF'!$L$24+'TE CVA'!$L$24)*(1 - CUSTOS!$M$38)</f>
        <v>2.904622662875445</v>
      </c>
      <c r="M24" s="26">
        <f>('TE BE'!$M$24+'TE BF'!$M$24+'TE CVA'!$M$24)*(1 - CUSTOS!$M$38)</f>
        <v>0</v>
      </c>
      <c r="N24" s="26">
        <f>('TE BE'!$N$24+'TE BF'!$N$24+'TE CVA'!$N$24)*(1 - CUSTOS!$M$38)</f>
        <v>0</v>
      </c>
      <c r="O24" s="26">
        <f>('TE BE'!$O$24+'TE BF'!$O$24+'TE CVA'!$O$24)*(1 - CUSTOS!$M$38)</f>
        <v>4.7868319843459597</v>
      </c>
      <c r="P24" s="26">
        <f>('TE BE'!$P$24+'TE BF'!$P$24+'TE CVA'!$P$24)*(1 - CUSTOS!$M$38)</f>
        <v>0</v>
      </c>
      <c r="Q24" s="26">
        <f>('TE BE'!$R$24+'TE BF'!$R$24+'TE CVA'!$R$24)*(1 - CUSTOS!$M$38)</f>
        <v>257.79658353464146</v>
      </c>
      <c r="R24" s="26">
        <f>('TE BE'!$T$24+'TE BF'!$T$24+'TE CVA'!$T$24)*(1 - CUSTOS!$M$38)</f>
        <v>0</v>
      </c>
      <c r="S24" s="26">
        <f>('TE BE'!$U$24+'TE BF'!$U$24+'TE CVA'!$U$24)*(1 - CUSTOS!$M$38)</f>
        <v>0</v>
      </c>
      <c r="T24" s="26">
        <f>('TE BE'!$V$24+'TE BF'!$V$24+'TE CVA'!$V$24)*(1 - CUSTOS!$M$38)</f>
        <v>0</v>
      </c>
      <c r="U24" s="26">
        <f>('TE BE'!$X$24+'TE BF'!$X$24+'TE CVA'!$X$24)*(1 - CUSTOS!$M$38)</f>
        <v>-10.414181486779013</v>
      </c>
      <c r="V24" s="26">
        <f>('TE BE'!$Z$24+'TE BF'!$Z$24+'TE CVA'!$Z$24)*(1 - CUSTOS!$M$38)</f>
        <v>0</v>
      </c>
      <c r="X24" s="26">
        <v>2.7672954277718498</v>
      </c>
      <c r="Y24" s="26">
        <v>0</v>
      </c>
      <c r="Z24" s="26">
        <v>0</v>
      </c>
      <c r="AA24" s="26">
        <v>0</v>
      </c>
      <c r="AB24" s="26">
        <v>0</v>
      </c>
      <c r="AC24" s="26">
        <v>250.184035646197</v>
      </c>
      <c r="AD24" s="26">
        <v>0</v>
      </c>
      <c r="AE24" s="26">
        <v>0</v>
      </c>
      <c r="AF24" s="26">
        <v>0</v>
      </c>
      <c r="AG24" s="26">
        <v>-4.1437105395106899</v>
      </c>
      <c r="AH24" s="26">
        <v>0</v>
      </c>
    </row>
    <row r="25" spans="1:34" ht="11.25" customHeight="1" x14ac:dyDescent="0.3">
      <c r="A25" s="151"/>
      <c r="B25" s="28" t="s">
        <v>90</v>
      </c>
      <c r="C25" s="28" t="s">
        <v>42</v>
      </c>
      <c r="D25" s="28" t="s">
        <v>25</v>
      </c>
      <c r="E25" s="28" t="s">
        <v>25</v>
      </c>
      <c r="F25" s="28" t="s">
        <v>25</v>
      </c>
      <c r="G25" s="29" t="s">
        <v>84</v>
      </c>
      <c r="H25" s="29" t="s">
        <v>78</v>
      </c>
      <c r="I25" s="29">
        <f>'MERCADO TE'!$U$22</f>
        <v>3112.8609999999999</v>
      </c>
      <c r="J25" s="15"/>
      <c r="L25" s="26">
        <f>('TE BE'!$L$25+'TE BF'!$L$25+'TE CVA'!$L$25)*(1 - CUSTOS!$M$38)</f>
        <v>2.904622662875445</v>
      </c>
      <c r="M25" s="26">
        <f>('TE BE'!$M$25+'TE BF'!$M$25+'TE CVA'!$M$25)*(1 - CUSTOS!$M$38)</f>
        <v>0</v>
      </c>
      <c r="N25" s="26">
        <f>('TE BE'!$N$25+'TE BF'!$N$25+'TE CVA'!$N$25)*(1 - CUSTOS!$M$38)</f>
        <v>0</v>
      </c>
      <c r="O25" s="26">
        <f>('TE BE'!$O$25+'TE BF'!$O$25+'TE CVA'!$O$25)*(1 - CUSTOS!$M$38)</f>
        <v>4.7868319843459597</v>
      </c>
      <c r="P25" s="26">
        <f>('TE BE'!$P$25+'TE BF'!$P$25+'TE CVA'!$P$25)*(1 - CUSTOS!$M$38)</f>
        <v>0</v>
      </c>
      <c r="Q25" s="26">
        <f>('TE BE'!$R$25+'TE BF'!$R$25+'TE CVA'!$R$25)*(1 - CUSTOS!$M$38)</f>
        <v>273.26437854672002</v>
      </c>
      <c r="R25" s="26">
        <f>('TE BE'!$T$25+'TE BF'!$T$25+'TE CVA'!$T$25)*(1 - CUSTOS!$M$38)</f>
        <v>0</v>
      </c>
      <c r="S25" s="26">
        <f>('TE BE'!$U$25+'TE BF'!$U$25+'TE CVA'!$U$25)*(1 - CUSTOS!$M$38)</f>
        <v>0</v>
      </c>
      <c r="T25" s="26">
        <f>('TE BE'!$V$25+'TE BF'!$V$25+'TE CVA'!$V$25)*(1 - CUSTOS!$M$38)</f>
        <v>0</v>
      </c>
      <c r="U25" s="26">
        <f>('TE BE'!$X$25+'TE BF'!$X$25+'TE CVA'!$X$25)*(1 - CUSTOS!$M$38)</f>
        <v>-11.021742098892048</v>
      </c>
      <c r="V25" s="26">
        <f>('TE BE'!$Z$25+'TE BF'!$Z$25+'TE CVA'!$Z$25)*(1 - CUSTOS!$M$38)</f>
        <v>0</v>
      </c>
      <c r="X25" s="26">
        <v>2.7672954277718498</v>
      </c>
      <c r="Y25" s="26">
        <v>0</v>
      </c>
      <c r="Z25" s="26">
        <v>0</v>
      </c>
      <c r="AA25" s="26">
        <v>0</v>
      </c>
      <c r="AB25" s="26">
        <v>0</v>
      </c>
      <c r="AC25" s="26">
        <v>265.19507778496899</v>
      </c>
      <c r="AD25" s="26">
        <v>0</v>
      </c>
      <c r="AE25" s="26">
        <v>0</v>
      </c>
      <c r="AF25" s="26">
        <v>0</v>
      </c>
      <c r="AG25" s="26">
        <v>-4.3860431831747198</v>
      </c>
      <c r="AH25" s="26">
        <v>0</v>
      </c>
    </row>
    <row r="26" spans="1:34" ht="11.25" customHeight="1" x14ac:dyDescent="0.3">
      <c r="A26" s="151"/>
      <c r="B26" s="151" t="s">
        <v>77</v>
      </c>
      <c r="C26" s="151" t="s">
        <v>42</v>
      </c>
      <c r="D26" s="151" t="s">
        <v>93</v>
      </c>
      <c r="E26" s="151" t="s">
        <v>25</v>
      </c>
      <c r="F26" s="151" t="s">
        <v>25</v>
      </c>
      <c r="G26" s="29" t="s">
        <v>79</v>
      </c>
      <c r="H26" s="29" t="s">
        <v>78</v>
      </c>
      <c r="I26" s="29">
        <f>'MERCADO TE'!$U$23</f>
        <v>0</v>
      </c>
      <c r="J26" s="15"/>
      <c r="L26" s="26">
        <f>('TE BE'!$L$26+'TE BF'!$L$26+'TE CVA'!$L$26)*(1 - CUSTOS!$M$39)</f>
        <v>2.904622662875445</v>
      </c>
      <c r="M26" s="26">
        <f>('TE BE'!$M$26+'TE BF'!$M$26+'TE CVA'!$M$26)*(1 - CUSTOS!$M$39)</f>
        <v>0</v>
      </c>
      <c r="N26" s="26">
        <f>('TE BE'!$N$26+'TE BF'!$N$26+'TE CVA'!$N$26)*(1 - CUSTOS!$M$39)</f>
        <v>0</v>
      </c>
      <c r="O26" s="26">
        <f>('TE BE'!$O$26+'TE BF'!$O$26+'TE CVA'!$O$26)*(1 - CUSTOS!$M$39)</f>
        <v>4.7868319843459597</v>
      </c>
      <c r="P26" s="26">
        <f>('TE BE'!$P$26+'TE BF'!$P$26+'TE CVA'!$P$26)*(1 - CUSTOS!$M$39)</f>
        <v>0</v>
      </c>
      <c r="Q26" s="26">
        <f>('TE BE'!$R$26+'TE BF'!$R$26+'TE CVA'!$R$26)*(1 - CUSTOS!$M$39)</f>
        <v>443.41012367958331</v>
      </c>
      <c r="R26" s="26">
        <f>('TE BE'!$T$26+'TE BF'!$T$26+'TE CVA'!$T$26)*(1 - CUSTOS!$M$39)</f>
        <v>0</v>
      </c>
      <c r="S26" s="26">
        <f>('TE BE'!$U$26+'TE BF'!$U$26+'TE CVA'!$U$26)*(1 - CUSTOS!$M$39)</f>
        <v>0</v>
      </c>
      <c r="T26" s="26">
        <f>('TE BE'!$V$26+'TE BF'!$V$26+'TE CVA'!$V$26)*(1 - CUSTOS!$M$39)</f>
        <v>0</v>
      </c>
      <c r="U26" s="26">
        <f>('TE BE'!$X$26+'TE BF'!$X$26+'TE CVA'!$X$26)*(1 - CUSTOS!$M$39)</f>
        <v>-17.704908832135416</v>
      </c>
      <c r="V26" s="26">
        <f>('TE BE'!$Z$26+'TE BF'!$Z$26+'TE CVA'!$Z$26)*(1 - CUSTOS!$M$39)</f>
        <v>0</v>
      </c>
      <c r="X26" s="26">
        <v>2.7672954277718498</v>
      </c>
      <c r="Y26" s="26">
        <v>0</v>
      </c>
      <c r="Z26" s="26">
        <v>0</v>
      </c>
      <c r="AA26" s="26">
        <v>0</v>
      </c>
      <c r="AB26" s="26">
        <v>0</v>
      </c>
      <c r="AC26" s="26">
        <v>430.31654131145802</v>
      </c>
      <c r="AD26" s="26">
        <v>0</v>
      </c>
      <c r="AE26" s="26">
        <v>0</v>
      </c>
      <c r="AF26" s="26">
        <v>0</v>
      </c>
      <c r="AG26" s="26">
        <v>-7.05170226347908</v>
      </c>
      <c r="AH26" s="26">
        <v>0</v>
      </c>
    </row>
    <row r="27" spans="1:34" ht="11.25" customHeight="1" x14ac:dyDescent="0.3">
      <c r="A27" s="151"/>
      <c r="B27" s="151"/>
      <c r="C27" s="151"/>
      <c r="D27" s="151"/>
      <c r="E27" s="151"/>
      <c r="F27" s="151"/>
      <c r="G27" s="29" t="s">
        <v>89</v>
      </c>
      <c r="H27" s="29" t="s">
        <v>78</v>
      </c>
      <c r="I27" s="29">
        <f>'MERCADO TE'!$U$24</f>
        <v>0</v>
      </c>
      <c r="J27" s="15"/>
      <c r="L27" s="26">
        <f>('TE BE'!$L$27+'TE BF'!$L$27+'TE CVA'!$L$27)*(1 - CUSTOS!$M$39)</f>
        <v>2.904622662875445</v>
      </c>
      <c r="M27" s="26">
        <f>('TE BE'!$M$27+'TE BF'!$M$27+'TE CVA'!$M$27)*(1 - CUSTOS!$M$39)</f>
        <v>0</v>
      </c>
      <c r="N27" s="26">
        <f>('TE BE'!$N$27+'TE BF'!$N$27+'TE CVA'!$N$27)*(1 - CUSTOS!$M$39)</f>
        <v>0</v>
      </c>
      <c r="O27" s="26">
        <f>('TE BE'!$O$27+'TE BF'!$O$27+'TE CVA'!$O$27)*(1 - CUSTOS!$M$39)</f>
        <v>4.7868319843459597</v>
      </c>
      <c r="P27" s="26">
        <f>('TE BE'!$P$27+'TE BF'!$P$27+'TE CVA'!$P$27)*(1 - CUSTOS!$M$39)</f>
        <v>0</v>
      </c>
      <c r="Q27" s="26">
        <f>('TE BE'!$R$27+'TE BF'!$R$27+'TE CVA'!$R$27)*(1 - CUSTOS!$M$39)</f>
        <v>257.79658353464146</v>
      </c>
      <c r="R27" s="26">
        <f>('TE BE'!$T$27+'TE BF'!$T$27+'TE CVA'!$T$27)*(1 - CUSTOS!$M$39)</f>
        <v>0</v>
      </c>
      <c r="S27" s="26">
        <f>('TE BE'!$U$27+'TE BF'!$U$27+'TE CVA'!$U$27)*(1 - CUSTOS!$M$39)</f>
        <v>0</v>
      </c>
      <c r="T27" s="26">
        <f>('TE BE'!$V$27+'TE BF'!$V$27+'TE CVA'!$V$27)*(1 - CUSTOS!$M$39)</f>
        <v>0</v>
      </c>
      <c r="U27" s="26">
        <f>('TE BE'!$X$27+'TE BF'!$X$27+'TE CVA'!$X$27)*(1 - CUSTOS!$M$39)</f>
        <v>-10.414181486779013</v>
      </c>
      <c r="V27" s="26">
        <f>('TE BE'!$Z$27+'TE BF'!$Z$27+'TE CVA'!$Z$27)*(1 - CUSTOS!$M$39)</f>
        <v>0</v>
      </c>
      <c r="X27" s="26">
        <v>2.7672954277718498</v>
      </c>
      <c r="Y27" s="26">
        <v>0</v>
      </c>
      <c r="Z27" s="26">
        <v>0</v>
      </c>
      <c r="AA27" s="26">
        <v>0</v>
      </c>
      <c r="AB27" s="26">
        <v>0</v>
      </c>
      <c r="AC27" s="26">
        <v>250.184035646197</v>
      </c>
      <c r="AD27" s="26">
        <v>0</v>
      </c>
      <c r="AE27" s="26">
        <v>0</v>
      </c>
      <c r="AF27" s="26">
        <v>0</v>
      </c>
      <c r="AG27" s="26">
        <v>-4.1437105395106899</v>
      </c>
      <c r="AH27" s="26">
        <v>0</v>
      </c>
    </row>
    <row r="28" spans="1:34" ht="11.25" customHeight="1" x14ac:dyDescent="0.3">
      <c r="A28" s="151"/>
      <c r="B28" s="151"/>
      <c r="C28" s="151"/>
      <c r="D28" s="151"/>
      <c r="E28" s="151"/>
      <c r="F28" s="151"/>
      <c r="G28" s="29" t="s">
        <v>80</v>
      </c>
      <c r="H28" s="29" t="s">
        <v>78</v>
      </c>
      <c r="I28" s="29">
        <f>'MERCADO TE'!$U$25</f>
        <v>0</v>
      </c>
      <c r="J28" s="15"/>
      <c r="L28" s="26">
        <f>('TE BE'!$L$28+'TE BF'!$L$28+'TE CVA'!$L$28)*(1 - CUSTOS!$M$39)</f>
        <v>2.904622662875445</v>
      </c>
      <c r="M28" s="26">
        <f>('TE BE'!$M$28+'TE BF'!$M$28+'TE CVA'!$M$28)*(1 - CUSTOS!$M$39)</f>
        <v>0</v>
      </c>
      <c r="N28" s="26">
        <f>('TE BE'!$N$28+'TE BF'!$N$28+'TE CVA'!$N$28)*(1 - CUSTOS!$M$39)</f>
        <v>0</v>
      </c>
      <c r="O28" s="26">
        <f>('TE BE'!$O$28+'TE BF'!$O$28+'TE CVA'!$O$28)*(1 - CUSTOS!$M$39)</f>
        <v>4.7868319843459597</v>
      </c>
      <c r="P28" s="26">
        <f>('TE BE'!$P$28+'TE BF'!$P$28+'TE CVA'!$P$28)*(1 - CUSTOS!$M$39)</f>
        <v>0</v>
      </c>
      <c r="Q28" s="26">
        <f>('TE BE'!$R$28+'TE BF'!$R$28+'TE CVA'!$R$28)*(1 - CUSTOS!$M$39)</f>
        <v>257.79658353464146</v>
      </c>
      <c r="R28" s="26">
        <f>('TE BE'!$T$28+'TE BF'!$T$28+'TE CVA'!$T$28)*(1 - CUSTOS!$M$39)</f>
        <v>0</v>
      </c>
      <c r="S28" s="26">
        <f>('TE BE'!$U$28+'TE BF'!$U$28+'TE CVA'!$U$28)*(1 - CUSTOS!$M$39)</f>
        <v>0</v>
      </c>
      <c r="T28" s="26">
        <f>('TE BE'!$V$28+'TE BF'!$V$28+'TE CVA'!$V$28)*(1 - CUSTOS!$M$39)</f>
        <v>0</v>
      </c>
      <c r="U28" s="26">
        <f>('TE BE'!$X$28+'TE BF'!$X$28+'TE CVA'!$X$28)*(1 - CUSTOS!$M$39)</f>
        <v>-10.414181486779013</v>
      </c>
      <c r="V28" s="26">
        <f>('TE BE'!$Z$28+'TE BF'!$Z$28+'TE CVA'!$Z$28)*(1 - CUSTOS!$M$39)</f>
        <v>0</v>
      </c>
      <c r="X28" s="26">
        <v>2.7672954277718498</v>
      </c>
      <c r="Y28" s="26">
        <v>0</v>
      </c>
      <c r="Z28" s="26">
        <v>0</v>
      </c>
      <c r="AA28" s="26">
        <v>0</v>
      </c>
      <c r="AB28" s="26">
        <v>0</v>
      </c>
      <c r="AC28" s="26">
        <v>250.184035646197</v>
      </c>
      <c r="AD28" s="26">
        <v>0</v>
      </c>
      <c r="AE28" s="26">
        <v>0</v>
      </c>
      <c r="AF28" s="26">
        <v>0</v>
      </c>
      <c r="AG28" s="26">
        <v>-4.1437105395106899</v>
      </c>
      <c r="AH28" s="26">
        <v>0</v>
      </c>
    </row>
    <row r="29" spans="1:34" ht="11.25" customHeight="1" x14ac:dyDescent="0.3">
      <c r="A29" s="151"/>
      <c r="B29" s="28" t="s">
        <v>90</v>
      </c>
      <c r="C29" s="28" t="s">
        <v>42</v>
      </c>
      <c r="D29" s="28" t="s">
        <v>93</v>
      </c>
      <c r="E29" s="28" t="s">
        <v>25</v>
      </c>
      <c r="F29" s="28" t="s">
        <v>25</v>
      </c>
      <c r="G29" s="29" t="s">
        <v>84</v>
      </c>
      <c r="H29" s="29" t="s">
        <v>78</v>
      </c>
      <c r="I29" s="29">
        <f>'MERCADO TE'!$U$26</f>
        <v>0</v>
      </c>
      <c r="J29" s="15"/>
      <c r="L29" s="26">
        <f>('TE BE'!$L$29+'TE BF'!$L$29+'TE CVA'!$L$29)*(1 - CUSTOS!$M$39)</f>
        <v>2.904622662875445</v>
      </c>
      <c r="M29" s="26">
        <f>('TE BE'!$M$29+'TE BF'!$M$29+'TE CVA'!$M$29)*(1 - CUSTOS!$M$39)</f>
        <v>0</v>
      </c>
      <c r="N29" s="26">
        <f>('TE BE'!$N$29+'TE BF'!$N$29+'TE CVA'!$N$29)*(1 - CUSTOS!$M$39)</f>
        <v>0</v>
      </c>
      <c r="O29" s="26">
        <f>('TE BE'!$O$29+'TE BF'!$O$29+'TE CVA'!$O$29)*(1 - CUSTOS!$M$39)</f>
        <v>4.7868319843459597</v>
      </c>
      <c r="P29" s="26">
        <f>('TE BE'!$P$29+'TE BF'!$P$29+'TE CVA'!$P$29)*(1 - CUSTOS!$M$39)</f>
        <v>0</v>
      </c>
      <c r="Q29" s="26">
        <f>('TE BE'!$R$29+'TE BF'!$R$29+'TE CVA'!$R$29)*(1 - CUSTOS!$M$39)</f>
        <v>273.26437854672002</v>
      </c>
      <c r="R29" s="26">
        <f>('TE BE'!$T$29+'TE BF'!$T$29+'TE CVA'!$T$29)*(1 - CUSTOS!$M$39)</f>
        <v>0</v>
      </c>
      <c r="S29" s="26">
        <f>('TE BE'!$U$29+'TE BF'!$U$29+'TE CVA'!$U$29)*(1 - CUSTOS!$M$39)</f>
        <v>0</v>
      </c>
      <c r="T29" s="26">
        <f>('TE BE'!$V$29+'TE BF'!$V$29+'TE CVA'!$V$29)*(1 - CUSTOS!$M$39)</f>
        <v>0</v>
      </c>
      <c r="U29" s="26">
        <f>('TE BE'!$X$29+'TE BF'!$X$29+'TE CVA'!$X$29)*(1 - CUSTOS!$M$39)</f>
        <v>-11.021742098892048</v>
      </c>
      <c r="V29" s="26">
        <f>('TE BE'!$Z$29+'TE BF'!$Z$29+'TE CVA'!$Z$29)*(1 - CUSTOS!$M$39)</f>
        <v>0</v>
      </c>
      <c r="X29" s="26">
        <v>2.7672954277718498</v>
      </c>
      <c r="Y29" s="26">
        <v>0</v>
      </c>
      <c r="Z29" s="26">
        <v>0</v>
      </c>
      <c r="AA29" s="26">
        <v>0</v>
      </c>
      <c r="AB29" s="26">
        <v>0</v>
      </c>
      <c r="AC29" s="26">
        <v>265.19507778496899</v>
      </c>
      <c r="AD29" s="26">
        <v>0</v>
      </c>
      <c r="AE29" s="26">
        <v>0</v>
      </c>
      <c r="AF29" s="26">
        <v>0</v>
      </c>
      <c r="AG29" s="26">
        <v>-4.3860431831747198</v>
      </c>
      <c r="AH29" s="26">
        <v>0</v>
      </c>
    </row>
    <row r="30" spans="1:34" ht="11.25" customHeight="1" x14ac:dyDescent="0.3">
      <c r="A30" s="151"/>
      <c r="B30" s="151" t="s">
        <v>77</v>
      </c>
      <c r="C30" s="151" t="s">
        <v>42</v>
      </c>
      <c r="D30" s="151" t="s">
        <v>94</v>
      </c>
      <c r="E30" s="151" t="s">
        <v>25</v>
      </c>
      <c r="F30" s="151" t="s">
        <v>25</v>
      </c>
      <c r="G30" s="29" t="s">
        <v>79</v>
      </c>
      <c r="H30" s="29" t="s">
        <v>78</v>
      </c>
      <c r="I30" s="29">
        <f>'MERCADO TE'!$U$27</f>
        <v>0</v>
      </c>
      <c r="J30" s="15"/>
      <c r="L30" s="26">
        <f>('TE BE'!$L$30+'TE BF'!$L$30+'TE CVA'!$L$30)*(1 - CUSTOS!$M$40)</f>
        <v>2.8428221806866061</v>
      </c>
      <c r="M30" s="26">
        <f>('TE BE'!$M$30+'TE BF'!$M$30+'TE CVA'!$M$30)*(1 - CUSTOS!$M$40)</f>
        <v>0</v>
      </c>
      <c r="N30" s="26">
        <f>('TE BE'!$N$30+'TE BF'!$N$30+'TE CVA'!$N$30)*(1 - CUSTOS!$M$40)</f>
        <v>0</v>
      </c>
      <c r="O30" s="26">
        <f>('TE BE'!$O$30+'TE BF'!$O$30+'TE CVA'!$O$30)*(1 - CUSTOS!$M$40)</f>
        <v>4.6849844953173232</v>
      </c>
      <c r="P30" s="26">
        <f>('TE BE'!$P$30+'TE BF'!$P$30+'TE CVA'!$P$30)*(1 - CUSTOS!$M$40)</f>
        <v>0</v>
      </c>
      <c r="Q30" s="26">
        <f>('TE BE'!$R$30+'TE BF'!$R$30+'TE CVA'!$R$30)*(1 - CUSTOS!$M$40)</f>
        <v>433.97586572895392</v>
      </c>
      <c r="R30" s="26">
        <f>('TE BE'!$T$30+'TE BF'!$T$30+'TE CVA'!$T$30)*(1 - CUSTOS!$M$40)</f>
        <v>0</v>
      </c>
      <c r="S30" s="26">
        <f>('TE BE'!$U$30+'TE BF'!$U$30+'TE CVA'!$U$30)*(1 - CUSTOS!$M$40)</f>
        <v>0</v>
      </c>
      <c r="T30" s="26">
        <f>('TE BE'!$V$30+'TE BF'!$V$30+'TE CVA'!$V$30)*(1 - CUSTOS!$M$40)</f>
        <v>0</v>
      </c>
      <c r="U30" s="26">
        <f>('TE BE'!$X$30+'TE BF'!$X$30+'TE CVA'!$X$30)*(1 - CUSTOS!$M$40)</f>
        <v>-17.328208644217646</v>
      </c>
      <c r="V30" s="26">
        <f>('TE BE'!$Z$30+'TE BF'!$Z$30+'TE CVA'!$Z$30)*(1 - CUSTOS!$M$40)</f>
        <v>0</v>
      </c>
      <c r="X30" s="26">
        <v>2.6415092719640398</v>
      </c>
      <c r="Y30" s="26">
        <v>0</v>
      </c>
      <c r="Z30" s="26">
        <v>0</v>
      </c>
      <c r="AA30" s="26">
        <v>0</v>
      </c>
      <c r="AB30" s="26">
        <v>0</v>
      </c>
      <c r="AC30" s="26">
        <v>410.75669852457401</v>
      </c>
      <c r="AD30" s="26">
        <v>0</v>
      </c>
      <c r="AE30" s="26">
        <v>0</v>
      </c>
      <c r="AF30" s="26">
        <v>0</v>
      </c>
      <c r="AG30" s="26">
        <v>-6.7311703424118496</v>
      </c>
      <c r="AH30" s="26">
        <v>0</v>
      </c>
    </row>
    <row r="31" spans="1:34" ht="11.25" customHeight="1" x14ac:dyDescent="0.3">
      <c r="A31" s="151"/>
      <c r="B31" s="151"/>
      <c r="C31" s="151"/>
      <c r="D31" s="151"/>
      <c r="E31" s="151"/>
      <c r="F31" s="151"/>
      <c r="G31" s="29" t="s">
        <v>89</v>
      </c>
      <c r="H31" s="29" t="s">
        <v>78</v>
      </c>
      <c r="I31" s="29">
        <f>'MERCADO TE'!$U$28</f>
        <v>0</v>
      </c>
      <c r="J31" s="15"/>
      <c r="L31" s="26">
        <f>('TE BE'!$L$31+'TE BF'!$L$31+'TE CVA'!$L$31)*(1 - CUSTOS!$M$40)</f>
        <v>2.8428221806866061</v>
      </c>
      <c r="M31" s="26">
        <f>('TE BE'!$M$31+'TE BF'!$M$31+'TE CVA'!$M$31)*(1 - CUSTOS!$M$40)</f>
        <v>0</v>
      </c>
      <c r="N31" s="26">
        <f>('TE BE'!$N$31+'TE BF'!$N$31+'TE CVA'!$N$31)*(1 - CUSTOS!$M$40)</f>
        <v>0</v>
      </c>
      <c r="O31" s="26">
        <f>('TE BE'!$O$31+'TE BF'!$O$31+'TE CVA'!$O$31)*(1 - CUSTOS!$M$40)</f>
        <v>4.6849844953173232</v>
      </c>
      <c r="P31" s="26">
        <f>('TE BE'!$P$31+'TE BF'!$P$31+'TE CVA'!$P$31)*(1 - CUSTOS!$M$40)</f>
        <v>0</v>
      </c>
      <c r="Q31" s="26">
        <f>('TE BE'!$R$31+'TE BF'!$R$31+'TE CVA'!$R$31)*(1 - CUSTOS!$M$40)</f>
        <v>252.3115498424151</v>
      </c>
      <c r="R31" s="26">
        <f>('TE BE'!$T$31+'TE BF'!$T$31+'TE CVA'!$T$31)*(1 - CUSTOS!$M$40)</f>
        <v>0</v>
      </c>
      <c r="S31" s="26">
        <f>('TE BE'!$U$31+'TE BF'!$U$31+'TE CVA'!$U$31)*(1 - CUSTOS!$M$40)</f>
        <v>0</v>
      </c>
      <c r="T31" s="26">
        <f>('TE BE'!$V$31+'TE BF'!$V$31+'TE CVA'!$V$31)*(1 - CUSTOS!$M$40)</f>
        <v>0</v>
      </c>
      <c r="U31" s="26">
        <f>('TE BE'!$X$31+'TE BF'!$X$31+'TE CVA'!$X$31)*(1 - CUSTOS!$M$40)</f>
        <v>-10.192603157273078</v>
      </c>
      <c r="V31" s="26">
        <f>('TE BE'!$Z$31+'TE BF'!$Z$31+'TE CVA'!$Z$31)*(1 - CUSTOS!$M$40)</f>
        <v>0</v>
      </c>
      <c r="X31" s="26">
        <v>2.6415092719640398</v>
      </c>
      <c r="Y31" s="26">
        <v>0</v>
      </c>
      <c r="Z31" s="26">
        <v>0</v>
      </c>
      <c r="AA31" s="26">
        <v>0</v>
      </c>
      <c r="AB31" s="26">
        <v>0</v>
      </c>
      <c r="AC31" s="26">
        <v>238.81203402591501</v>
      </c>
      <c r="AD31" s="26">
        <v>0</v>
      </c>
      <c r="AE31" s="26">
        <v>0</v>
      </c>
      <c r="AF31" s="26">
        <v>0</v>
      </c>
      <c r="AG31" s="26">
        <v>-3.95536006044202</v>
      </c>
      <c r="AH31" s="26">
        <v>0</v>
      </c>
    </row>
    <row r="32" spans="1:34" ht="11.25" customHeight="1" x14ac:dyDescent="0.3">
      <c r="A32" s="151"/>
      <c r="B32" s="151"/>
      <c r="C32" s="151"/>
      <c r="D32" s="151"/>
      <c r="E32" s="151"/>
      <c r="F32" s="151"/>
      <c r="G32" s="29" t="s">
        <v>80</v>
      </c>
      <c r="H32" s="29" t="s">
        <v>78</v>
      </c>
      <c r="I32" s="29">
        <f>'MERCADO TE'!$U$29</f>
        <v>0</v>
      </c>
      <c r="J32" s="15"/>
      <c r="L32" s="26">
        <f>('TE BE'!$L$32+'TE BF'!$L$32+'TE CVA'!$L$32)*(1 - CUSTOS!$M$40)</f>
        <v>2.8428221806866061</v>
      </c>
      <c r="M32" s="26">
        <f>('TE BE'!$M$32+'TE BF'!$M$32+'TE CVA'!$M$32)*(1 - CUSTOS!$M$40)</f>
        <v>0</v>
      </c>
      <c r="N32" s="26">
        <f>('TE BE'!$N$32+'TE BF'!$N$32+'TE CVA'!$N$32)*(1 - CUSTOS!$M$40)</f>
        <v>0</v>
      </c>
      <c r="O32" s="26">
        <f>('TE BE'!$O$32+'TE BF'!$O$32+'TE CVA'!$O$32)*(1 - CUSTOS!$M$40)</f>
        <v>4.6849844953173232</v>
      </c>
      <c r="P32" s="26">
        <f>('TE BE'!$P$32+'TE BF'!$P$32+'TE CVA'!$P$32)*(1 - CUSTOS!$M$40)</f>
        <v>0</v>
      </c>
      <c r="Q32" s="26">
        <f>('TE BE'!$R$32+'TE BF'!$R$32+'TE CVA'!$R$32)*(1 - CUSTOS!$M$40)</f>
        <v>252.3115498424151</v>
      </c>
      <c r="R32" s="26">
        <f>('TE BE'!$T$32+'TE BF'!$T$32+'TE CVA'!$T$32)*(1 - CUSTOS!$M$40)</f>
        <v>0</v>
      </c>
      <c r="S32" s="26">
        <f>('TE BE'!$U$32+'TE BF'!$U$32+'TE CVA'!$U$32)*(1 - CUSTOS!$M$40)</f>
        <v>0</v>
      </c>
      <c r="T32" s="26">
        <f>('TE BE'!$V$32+'TE BF'!$V$32+'TE CVA'!$V$32)*(1 - CUSTOS!$M$40)</f>
        <v>0</v>
      </c>
      <c r="U32" s="26">
        <f>('TE BE'!$X$32+'TE BF'!$X$32+'TE CVA'!$X$32)*(1 - CUSTOS!$M$40)</f>
        <v>-10.192603157273078</v>
      </c>
      <c r="V32" s="26">
        <f>('TE BE'!$Z$32+'TE BF'!$Z$32+'TE CVA'!$Z$32)*(1 - CUSTOS!$M$40)</f>
        <v>0</v>
      </c>
      <c r="X32" s="26">
        <v>2.6415092719640398</v>
      </c>
      <c r="Y32" s="26">
        <v>0</v>
      </c>
      <c r="Z32" s="26">
        <v>0</v>
      </c>
      <c r="AA32" s="26">
        <v>0</v>
      </c>
      <c r="AB32" s="26">
        <v>0</v>
      </c>
      <c r="AC32" s="26">
        <v>238.81203402591501</v>
      </c>
      <c r="AD32" s="26">
        <v>0</v>
      </c>
      <c r="AE32" s="26">
        <v>0</v>
      </c>
      <c r="AF32" s="26">
        <v>0</v>
      </c>
      <c r="AG32" s="26">
        <v>-3.95536006044202</v>
      </c>
      <c r="AH32" s="26">
        <v>0</v>
      </c>
    </row>
    <row r="33" spans="1:34" ht="11.25" customHeight="1" x14ac:dyDescent="0.3">
      <c r="A33" s="151"/>
      <c r="B33" s="28" t="s">
        <v>90</v>
      </c>
      <c r="C33" s="28" t="s">
        <v>42</v>
      </c>
      <c r="D33" s="28" t="s">
        <v>94</v>
      </c>
      <c r="E33" s="28" t="s">
        <v>25</v>
      </c>
      <c r="F33" s="28" t="s">
        <v>25</v>
      </c>
      <c r="G33" s="29" t="s">
        <v>84</v>
      </c>
      <c r="H33" s="29" t="s">
        <v>78</v>
      </c>
      <c r="I33" s="29">
        <f>'MERCADO TE'!$U$30</f>
        <v>0</v>
      </c>
      <c r="J33" s="15"/>
      <c r="L33" s="26">
        <f>('TE BE'!$L$33+'TE BF'!$L$33+'TE CVA'!$L$33)*(1 - CUSTOS!$M$40)</f>
        <v>2.8428221806866061</v>
      </c>
      <c r="M33" s="26">
        <f>('TE BE'!$M$33+'TE BF'!$M$33+'TE CVA'!$M$33)*(1 - CUSTOS!$M$40)</f>
        <v>0</v>
      </c>
      <c r="N33" s="26">
        <f>('TE BE'!$N$33+'TE BF'!$N$33+'TE CVA'!$N$33)*(1 - CUSTOS!$M$40)</f>
        <v>0</v>
      </c>
      <c r="O33" s="26">
        <f>('TE BE'!$O$33+'TE BF'!$O$33+'TE CVA'!$O$33)*(1 - CUSTOS!$M$40)</f>
        <v>4.6849844953173232</v>
      </c>
      <c r="P33" s="26">
        <f>('TE BE'!$P$33+'TE BF'!$P$33+'TE CVA'!$P$33)*(1 - CUSTOS!$M$40)</f>
        <v>0</v>
      </c>
      <c r="Q33" s="26">
        <f>('TE BE'!$R$33+'TE BF'!$R$33+'TE CVA'!$R$33)*(1 - CUSTOS!$M$40)</f>
        <v>267.45024283296004</v>
      </c>
      <c r="R33" s="26">
        <f>('TE BE'!$T$33+'TE BF'!$T$33+'TE CVA'!$T$33)*(1 - CUSTOS!$M$40)</f>
        <v>0</v>
      </c>
      <c r="S33" s="26">
        <f>('TE BE'!$U$33+'TE BF'!$U$33+'TE CVA'!$U$33)*(1 - CUSTOS!$M$40)</f>
        <v>0</v>
      </c>
      <c r="T33" s="26">
        <f>('TE BE'!$V$33+'TE BF'!$V$33+'TE CVA'!$V$33)*(1 - CUSTOS!$M$40)</f>
        <v>0</v>
      </c>
      <c r="U33" s="26">
        <f>('TE BE'!$X$33+'TE BF'!$X$33+'TE CVA'!$X$33)*(1 - CUSTOS!$M$40)</f>
        <v>-10.787236947851794</v>
      </c>
      <c r="V33" s="26">
        <f>('TE BE'!$Z$33+'TE BF'!$Z$33+'TE CVA'!$Z$33)*(1 - CUSTOS!$M$40)</f>
        <v>0</v>
      </c>
      <c r="X33" s="26">
        <v>2.6415092719640398</v>
      </c>
      <c r="Y33" s="26">
        <v>0</v>
      </c>
      <c r="Z33" s="26">
        <v>0</v>
      </c>
      <c r="AA33" s="26">
        <v>0</v>
      </c>
      <c r="AB33" s="26">
        <v>0</v>
      </c>
      <c r="AC33" s="26">
        <v>253.14075606746999</v>
      </c>
      <c r="AD33" s="26">
        <v>0</v>
      </c>
      <c r="AE33" s="26">
        <v>0</v>
      </c>
      <c r="AF33" s="26">
        <v>0</v>
      </c>
      <c r="AG33" s="26">
        <v>-4.1866775839394998</v>
      </c>
      <c r="AH33" s="26">
        <v>0</v>
      </c>
    </row>
    <row r="34" spans="1:34" ht="11.25" customHeight="1" x14ac:dyDescent="0.3">
      <c r="A34" s="151"/>
      <c r="B34" s="151" t="s">
        <v>91</v>
      </c>
      <c r="C34" s="151" t="s">
        <v>42</v>
      </c>
      <c r="D34" s="28" t="s">
        <v>25</v>
      </c>
      <c r="E34" s="28" t="s">
        <v>25</v>
      </c>
      <c r="F34" s="28" t="s">
        <v>25</v>
      </c>
      <c r="G34" s="29" t="s">
        <v>84</v>
      </c>
      <c r="H34" s="29" t="s">
        <v>78</v>
      </c>
      <c r="I34" s="29">
        <f>'MERCADO TE'!$U$31</f>
        <v>0</v>
      </c>
      <c r="J34" s="15"/>
      <c r="L34" s="26">
        <f>('TE BE'!$L$34+'TE BF'!$L$34+'TE CVA'!$L$34)*(1 - CUSTOS!$M$38)</f>
        <v>2.904622662875445</v>
      </c>
      <c r="M34" s="26">
        <f>('TE BE'!$M$34+'TE BF'!$M$34+'TE CVA'!$M$34)*(1 - CUSTOS!$M$38)</f>
        <v>0</v>
      </c>
      <c r="N34" s="26">
        <f>('TE BE'!$N$34+'TE BF'!$N$34+'TE CVA'!$N$34)*(1 - CUSTOS!$M$38)</f>
        <v>0</v>
      </c>
      <c r="O34" s="26">
        <f>('TE BE'!$O$34+'TE BF'!$O$34+'TE CVA'!$O$34)*(1 - CUSTOS!$M$38)</f>
        <v>4.7868319843459597</v>
      </c>
      <c r="P34" s="26">
        <f>('TE BE'!$P$34+'TE BF'!$P$34+'TE CVA'!$P$34)*(1 - CUSTOS!$M$38)</f>
        <v>0</v>
      </c>
      <c r="Q34" s="26">
        <f>('TE BE'!$R$34+'TE BF'!$R$34+'TE CVA'!$R$34)*(1 - CUSTOS!$M$38)</f>
        <v>273.26437854672002</v>
      </c>
      <c r="R34" s="26">
        <f>('TE BE'!$T$34+'TE BF'!$T$34+'TE CVA'!$T$34)*(1 - CUSTOS!$M$38)</f>
        <v>0</v>
      </c>
      <c r="S34" s="26">
        <f>('TE BE'!$U$34+'TE BF'!$U$34+'TE CVA'!$U$34)*(1 - CUSTOS!$M$38)</f>
        <v>0</v>
      </c>
      <c r="T34" s="26">
        <f>('TE BE'!$V$34+'TE BF'!$V$34+'TE CVA'!$V$34)*(1 - CUSTOS!$M$38)</f>
        <v>0</v>
      </c>
      <c r="U34" s="26">
        <f>('TE BE'!$X$34+'TE BF'!$X$34+'TE CVA'!$X$34)*(1 - CUSTOS!$M$38)</f>
        <v>-11.021742098892048</v>
      </c>
      <c r="V34" s="26">
        <f>('TE BE'!$Z$34+'TE BF'!$Z$34+'TE CVA'!$Z$34)*(1 - CUSTOS!$M$38)</f>
        <v>0</v>
      </c>
      <c r="X34" s="26">
        <v>2.7672954277718498</v>
      </c>
      <c r="Y34" s="26">
        <v>0</v>
      </c>
      <c r="Z34" s="26">
        <v>0</v>
      </c>
      <c r="AA34" s="26">
        <v>0</v>
      </c>
      <c r="AB34" s="26">
        <v>0</v>
      </c>
      <c r="AC34" s="26">
        <v>265.19507778496899</v>
      </c>
      <c r="AD34" s="26">
        <v>0</v>
      </c>
      <c r="AE34" s="26">
        <v>0</v>
      </c>
      <c r="AF34" s="26">
        <v>0</v>
      </c>
      <c r="AG34" s="26">
        <v>-4.3860431831747198</v>
      </c>
      <c r="AH34" s="26">
        <v>0</v>
      </c>
    </row>
    <row r="35" spans="1:34" ht="11.25" customHeight="1" x14ac:dyDescent="0.3">
      <c r="A35" s="151"/>
      <c r="B35" s="151"/>
      <c r="C35" s="151"/>
      <c r="D35" s="28" t="s">
        <v>93</v>
      </c>
      <c r="E35" s="28" t="s">
        <v>25</v>
      </c>
      <c r="F35" s="28" t="s">
        <v>25</v>
      </c>
      <c r="G35" s="29" t="s">
        <v>84</v>
      </c>
      <c r="H35" s="29" t="s">
        <v>78</v>
      </c>
      <c r="I35" s="29">
        <f>'MERCADO TE'!$U$32</f>
        <v>0</v>
      </c>
      <c r="J35" s="15"/>
      <c r="L35" s="26">
        <f>('TE BE'!$L$35+'TE BF'!$L$35+'TE CVA'!$L$35)*(1 - CUSTOS!$M$39)</f>
        <v>2.904622662875445</v>
      </c>
      <c r="M35" s="26">
        <f>('TE BE'!$M$35+'TE BF'!$M$35+'TE CVA'!$M$35)*(1 - CUSTOS!$M$39)</f>
        <v>0</v>
      </c>
      <c r="N35" s="26">
        <f>('TE BE'!$N$35+'TE BF'!$N$35+'TE CVA'!$N$35)*(1 - CUSTOS!$M$39)</f>
        <v>0</v>
      </c>
      <c r="O35" s="26">
        <f>('TE BE'!$O$35+'TE BF'!$O$35+'TE CVA'!$O$35)*(1 - CUSTOS!$M$39)</f>
        <v>4.7868319843459597</v>
      </c>
      <c r="P35" s="26">
        <f>('TE BE'!$P$35+'TE BF'!$P$35+'TE CVA'!$P$35)*(1 - CUSTOS!$M$39)</f>
        <v>0</v>
      </c>
      <c r="Q35" s="26">
        <f>('TE BE'!$R$35+'TE BF'!$R$35+'TE CVA'!$R$35)*(1 - CUSTOS!$M$39)</f>
        <v>273.26437854672002</v>
      </c>
      <c r="R35" s="26">
        <f>('TE BE'!$T$35+'TE BF'!$T$35+'TE CVA'!$T$35)*(1 - CUSTOS!$M$39)</f>
        <v>0</v>
      </c>
      <c r="S35" s="26">
        <f>('TE BE'!$U$35+'TE BF'!$U$35+'TE CVA'!$U$35)*(1 - CUSTOS!$M$39)</f>
        <v>0</v>
      </c>
      <c r="T35" s="26">
        <f>('TE BE'!$V$35+'TE BF'!$V$35+'TE CVA'!$V$35)*(1 - CUSTOS!$M$39)</f>
        <v>0</v>
      </c>
      <c r="U35" s="26">
        <f>('TE BE'!$X$35+'TE BF'!$X$35+'TE CVA'!$X$35)*(1 - CUSTOS!$M$39)</f>
        <v>-11.021742098892048</v>
      </c>
      <c r="V35" s="26">
        <f>('TE BE'!$Z$35+'TE BF'!$Z$35+'TE CVA'!$Z$35)*(1 - CUSTOS!$M$39)</f>
        <v>0</v>
      </c>
      <c r="X35" s="26">
        <v>2.7672954277718498</v>
      </c>
      <c r="Y35" s="26">
        <v>0</v>
      </c>
      <c r="Z35" s="26">
        <v>0</v>
      </c>
      <c r="AA35" s="26">
        <v>0</v>
      </c>
      <c r="AB35" s="26">
        <v>0</v>
      </c>
      <c r="AC35" s="26">
        <v>265.19507778496899</v>
      </c>
      <c r="AD35" s="26">
        <v>0</v>
      </c>
      <c r="AE35" s="26">
        <v>0</v>
      </c>
      <c r="AF35" s="26">
        <v>0</v>
      </c>
      <c r="AG35" s="26">
        <v>-4.3860431831747198</v>
      </c>
      <c r="AH35" s="26">
        <v>0</v>
      </c>
    </row>
    <row r="36" spans="1:34" ht="11.25" customHeight="1" x14ac:dyDescent="0.3">
      <c r="A36" s="151"/>
      <c r="B36" s="151"/>
      <c r="C36" s="151"/>
      <c r="D36" s="28" t="s">
        <v>94</v>
      </c>
      <c r="E36" s="28" t="s">
        <v>25</v>
      </c>
      <c r="F36" s="28" t="s">
        <v>25</v>
      </c>
      <c r="G36" s="29" t="s">
        <v>84</v>
      </c>
      <c r="H36" s="29" t="s">
        <v>78</v>
      </c>
      <c r="I36" s="29">
        <f>'MERCADO TE'!$U$33</f>
        <v>0</v>
      </c>
      <c r="J36" s="15"/>
      <c r="L36" s="26">
        <f>('TE BE'!$L$36+'TE BF'!$L$36+'TE CVA'!$L$36)*(1 - CUSTOS!$M$40)</f>
        <v>2.8428221806866061</v>
      </c>
      <c r="M36" s="26">
        <f>('TE BE'!$M$36+'TE BF'!$M$36+'TE CVA'!$M$36)*(1 - CUSTOS!$M$40)</f>
        <v>0</v>
      </c>
      <c r="N36" s="26">
        <f>('TE BE'!$N$36+'TE BF'!$N$36+'TE CVA'!$N$36)*(1 - CUSTOS!$M$40)</f>
        <v>0</v>
      </c>
      <c r="O36" s="26">
        <f>('TE BE'!$O$36+'TE BF'!$O$36+'TE CVA'!$O$36)*(1 - CUSTOS!$M$40)</f>
        <v>4.6849844953173232</v>
      </c>
      <c r="P36" s="26">
        <f>('TE BE'!$P$36+'TE BF'!$P$36+'TE CVA'!$P$36)*(1 - CUSTOS!$M$40)</f>
        <v>0</v>
      </c>
      <c r="Q36" s="26">
        <f>('TE BE'!$R$36+'TE BF'!$R$36+'TE CVA'!$R$36)*(1 - CUSTOS!$M$40)</f>
        <v>267.45024283296004</v>
      </c>
      <c r="R36" s="26">
        <f>('TE BE'!$T$36+'TE BF'!$T$36+'TE CVA'!$T$36)*(1 - CUSTOS!$M$40)</f>
        <v>0</v>
      </c>
      <c r="S36" s="26">
        <f>('TE BE'!$U$36+'TE BF'!$U$36+'TE CVA'!$U$36)*(1 - CUSTOS!$M$40)</f>
        <v>0</v>
      </c>
      <c r="T36" s="26">
        <f>('TE BE'!$V$36+'TE BF'!$V$36+'TE CVA'!$V$36)*(1 - CUSTOS!$M$40)</f>
        <v>0</v>
      </c>
      <c r="U36" s="26">
        <f>('TE BE'!$X$36+'TE BF'!$X$36+'TE CVA'!$X$36)*(1 - CUSTOS!$M$40)</f>
        <v>-10.787236947851794</v>
      </c>
      <c r="V36" s="26">
        <f>('TE BE'!$Z$36+'TE BF'!$Z$36+'TE CVA'!$Z$36)*(1 - CUSTOS!$M$40)</f>
        <v>0</v>
      </c>
      <c r="X36" s="26">
        <v>2.6415092719640398</v>
      </c>
      <c r="Y36" s="26">
        <v>0</v>
      </c>
      <c r="Z36" s="26">
        <v>0</v>
      </c>
      <c r="AA36" s="26">
        <v>0</v>
      </c>
      <c r="AB36" s="26">
        <v>0</v>
      </c>
      <c r="AC36" s="26">
        <v>253.14075606746999</v>
      </c>
      <c r="AD36" s="26">
        <v>0</v>
      </c>
      <c r="AE36" s="26">
        <v>0</v>
      </c>
      <c r="AF36" s="26">
        <v>0</v>
      </c>
      <c r="AG36" s="26">
        <v>-4.1866775839394998</v>
      </c>
      <c r="AH36" s="26">
        <v>0</v>
      </c>
    </row>
    <row r="37" spans="1:34" ht="11.25" customHeight="1" x14ac:dyDescent="0.3">
      <c r="A37" s="151" t="s">
        <v>32</v>
      </c>
      <c r="B37" s="151" t="s">
        <v>77</v>
      </c>
      <c r="C37" s="151" t="s">
        <v>25</v>
      </c>
      <c r="D37" s="151" t="s">
        <v>25</v>
      </c>
      <c r="E37" s="151" t="s">
        <v>25</v>
      </c>
      <c r="F37" s="151" t="s">
        <v>25</v>
      </c>
      <c r="G37" s="29" t="s">
        <v>79</v>
      </c>
      <c r="H37" s="29" t="s">
        <v>78</v>
      </c>
      <c r="I37" s="29">
        <f>'MERCADO TE'!$U$34</f>
        <v>4.4679999999999991</v>
      </c>
      <c r="J37" s="15"/>
      <c r="L37" s="26">
        <f>('TE BE'!$L$37+'TE BF'!$L$37+'TE CVA'!$L$37)*1</f>
        <v>3.0900241094419632</v>
      </c>
      <c r="M37" s="26">
        <f>('TE BE'!$M$37+'TE BF'!$M$37+'TE CVA'!$M$37)*1</f>
        <v>0</v>
      </c>
      <c r="N37" s="26">
        <f>('TE BE'!$N$37+'TE BF'!$N$37+'TE CVA'!$N$37)*1</f>
        <v>0</v>
      </c>
      <c r="O37" s="26">
        <f>('TE BE'!$O$37+'TE BF'!$O$37+'TE CVA'!$O$37)*1</f>
        <v>5.0923744514318727</v>
      </c>
      <c r="P37" s="26">
        <f>('TE BE'!$P$37+'TE BF'!$P$37+'TE CVA'!$P$37)*1</f>
        <v>0</v>
      </c>
      <c r="Q37" s="26">
        <f>('TE BE'!$R$37+'TE BF'!$R$37+'TE CVA'!$R$37)*1</f>
        <v>471.71289753147164</v>
      </c>
      <c r="R37" s="26">
        <f>('TE BE'!$T$37+'TE BF'!$T$37+'TE CVA'!$T$37)*1</f>
        <v>0</v>
      </c>
      <c r="S37" s="26">
        <f>('TE BE'!$U$37+'TE BF'!$U$37+'TE CVA'!$U$37)*1</f>
        <v>0</v>
      </c>
      <c r="T37" s="26">
        <f>('TE BE'!$V$37+'TE BF'!$V$37+'TE CVA'!$V$37)*1</f>
        <v>0</v>
      </c>
      <c r="U37" s="26">
        <f>('TE BE'!$X$37+'TE BF'!$X$37+'TE CVA'!$X$37)*1</f>
        <v>-18.835009395888743</v>
      </c>
      <c r="V37" s="26">
        <f>('TE BE'!$Z$37+'TE BF'!$Z$37+'TE CVA'!$Z$37)*1</f>
        <v>0</v>
      </c>
      <c r="X37" s="26">
        <v>3.14465389519528</v>
      </c>
      <c r="Y37" s="26">
        <v>0</v>
      </c>
      <c r="Z37" s="26">
        <v>0</v>
      </c>
      <c r="AA37" s="26">
        <v>0</v>
      </c>
      <c r="AB37" s="26">
        <v>0</v>
      </c>
      <c r="AC37" s="26">
        <v>488.99606967211201</v>
      </c>
      <c r="AD37" s="26">
        <v>0</v>
      </c>
      <c r="AE37" s="26">
        <v>0</v>
      </c>
      <c r="AF37" s="26">
        <v>0</v>
      </c>
      <c r="AG37" s="26">
        <v>-8.0132980266807792</v>
      </c>
      <c r="AH37" s="26">
        <v>0</v>
      </c>
    </row>
    <row r="38" spans="1:34" ht="11.25" customHeight="1" x14ac:dyDescent="0.3">
      <c r="A38" s="151"/>
      <c r="B38" s="151"/>
      <c r="C38" s="151"/>
      <c r="D38" s="151"/>
      <c r="E38" s="151"/>
      <c r="F38" s="151"/>
      <c r="G38" s="29" t="s">
        <v>89</v>
      </c>
      <c r="H38" s="29" t="s">
        <v>78</v>
      </c>
      <c r="I38" s="29">
        <f>'MERCADO TE'!$U$35</f>
        <v>4.7860000000000005</v>
      </c>
      <c r="J38" s="15"/>
      <c r="L38" s="26">
        <f>('TE BE'!$L$38+'TE BF'!$L$38+'TE CVA'!$L$38)*1</f>
        <v>3.0900241094419632</v>
      </c>
      <c r="M38" s="26">
        <f>('TE BE'!$M$38+'TE BF'!$M$38+'TE CVA'!$M$38)*1</f>
        <v>0</v>
      </c>
      <c r="N38" s="26">
        <f>('TE BE'!$N$38+'TE BF'!$N$38+'TE CVA'!$N$38)*1</f>
        <v>0</v>
      </c>
      <c r="O38" s="26">
        <f>('TE BE'!$O$38+'TE BF'!$O$38+'TE CVA'!$O$38)*1</f>
        <v>5.0923744514318727</v>
      </c>
      <c r="P38" s="26">
        <f>('TE BE'!$P$38+'TE BF'!$P$38+'TE CVA'!$P$38)*1</f>
        <v>0</v>
      </c>
      <c r="Q38" s="26">
        <f>('TE BE'!$R$38+'TE BF'!$R$38+'TE CVA'!$R$38)*1</f>
        <v>274.25168461132074</v>
      </c>
      <c r="R38" s="26">
        <f>('TE BE'!$T$38+'TE BF'!$T$38+'TE CVA'!$T$38)*1</f>
        <v>0</v>
      </c>
      <c r="S38" s="26">
        <f>('TE BE'!$U$38+'TE BF'!$U$38+'TE CVA'!$U$38)*1</f>
        <v>0</v>
      </c>
      <c r="T38" s="26">
        <f>('TE BE'!$V$38+'TE BF'!$V$38+'TE CVA'!$V$38)*1</f>
        <v>0</v>
      </c>
      <c r="U38" s="26">
        <f>('TE BE'!$X$38+'TE BF'!$X$38+'TE CVA'!$X$38)*1</f>
        <v>-11.078916475296824</v>
      </c>
      <c r="V38" s="26">
        <f>('TE BE'!$Z$38+'TE BF'!$Z$38+'TE CVA'!$Z$38)*1</f>
        <v>0</v>
      </c>
      <c r="X38" s="26">
        <v>3.14465389519528</v>
      </c>
      <c r="Y38" s="26">
        <v>0</v>
      </c>
      <c r="Z38" s="26">
        <v>0</v>
      </c>
      <c r="AA38" s="26">
        <v>0</v>
      </c>
      <c r="AB38" s="26">
        <v>0</v>
      </c>
      <c r="AC38" s="26">
        <v>284.30004050704201</v>
      </c>
      <c r="AD38" s="26">
        <v>0</v>
      </c>
      <c r="AE38" s="26">
        <v>0</v>
      </c>
      <c r="AF38" s="26">
        <v>0</v>
      </c>
      <c r="AG38" s="26">
        <v>-4.7087619767166897</v>
      </c>
      <c r="AH38" s="26">
        <v>0</v>
      </c>
    </row>
    <row r="39" spans="1:34" ht="11.25" customHeight="1" x14ac:dyDescent="0.3">
      <c r="A39" s="151"/>
      <c r="B39" s="151"/>
      <c r="C39" s="151"/>
      <c r="D39" s="151"/>
      <c r="E39" s="151"/>
      <c r="F39" s="151"/>
      <c r="G39" s="29" t="s">
        <v>80</v>
      </c>
      <c r="H39" s="29" t="s">
        <v>78</v>
      </c>
      <c r="I39" s="29">
        <f>'MERCADO TE'!$U$36</f>
        <v>153.63399999999999</v>
      </c>
      <c r="J39" s="15"/>
      <c r="L39" s="26">
        <f>('TE BE'!$L$39+'TE BF'!$L$39+'TE CVA'!$L$39)*1</f>
        <v>3.0900241094419632</v>
      </c>
      <c r="M39" s="26">
        <f>('TE BE'!$M$39+'TE BF'!$M$39+'TE CVA'!$M$39)*1</f>
        <v>0</v>
      </c>
      <c r="N39" s="26">
        <f>('TE BE'!$N$39+'TE BF'!$N$39+'TE CVA'!$N$39)*1</f>
        <v>0</v>
      </c>
      <c r="O39" s="26">
        <f>('TE BE'!$O$39+'TE BF'!$O$39+'TE CVA'!$O$39)*1</f>
        <v>5.0923744514318727</v>
      </c>
      <c r="P39" s="26">
        <f>('TE BE'!$P$39+'TE BF'!$P$39+'TE CVA'!$P$39)*1</f>
        <v>0</v>
      </c>
      <c r="Q39" s="26">
        <f>('TE BE'!$R$39+'TE BF'!$R$39+'TE CVA'!$R$39)*1</f>
        <v>274.25168461132074</v>
      </c>
      <c r="R39" s="26">
        <f>('TE BE'!$T$39+'TE BF'!$T$39+'TE CVA'!$T$39)*1</f>
        <v>0</v>
      </c>
      <c r="S39" s="26">
        <f>('TE BE'!$U$39+'TE BF'!$U$39+'TE CVA'!$U$39)*1</f>
        <v>0</v>
      </c>
      <c r="T39" s="26">
        <f>('TE BE'!$V$39+'TE BF'!$V$39+'TE CVA'!$V$39)*1</f>
        <v>0</v>
      </c>
      <c r="U39" s="26">
        <f>('TE BE'!$X$39+'TE BF'!$X$39+'TE CVA'!$X$39)*1</f>
        <v>-11.078916475296824</v>
      </c>
      <c r="V39" s="26">
        <f>('TE BE'!$Z$39+'TE BF'!$Z$39+'TE CVA'!$Z$39)*1</f>
        <v>0</v>
      </c>
      <c r="X39" s="26">
        <v>3.14465389519528</v>
      </c>
      <c r="Y39" s="26">
        <v>0</v>
      </c>
      <c r="Z39" s="26">
        <v>0</v>
      </c>
      <c r="AA39" s="26">
        <v>0</v>
      </c>
      <c r="AB39" s="26">
        <v>0</v>
      </c>
      <c r="AC39" s="26">
        <v>284.30004050704201</v>
      </c>
      <c r="AD39" s="26">
        <v>0</v>
      </c>
      <c r="AE39" s="26">
        <v>0</v>
      </c>
      <c r="AF39" s="26">
        <v>0</v>
      </c>
      <c r="AG39" s="26">
        <v>-4.7087619767166897</v>
      </c>
      <c r="AH39" s="26">
        <v>0</v>
      </c>
    </row>
    <row r="40" spans="1:34" ht="11.25" customHeight="1" x14ac:dyDescent="0.3">
      <c r="A40" s="151"/>
      <c r="B40" s="28" t="s">
        <v>90</v>
      </c>
      <c r="C40" s="28" t="s">
        <v>25</v>
      </c>
      <c r="D40" s="28" t="s">
        <v>25</v>
      </c>
      <c r="E40" s="28" t="s">
        <v>25</v>
      </c>
      <c r="F40" s="28" t="s">
        <v>25</v>
      </c>
      <c r="G40" s="29" t="s">
        <v>84</v>
      </c>
      <c r="H40" s="29" t="s">
        <v>78</v>
      </c>
      <c r="I40" s="29">
        <f>'MERCADO TE'!$U$37</f>
        <v>6434.8159999999998</v>
      </c>
      <c r="J40" s="15"/>
      <c r="L40" s="26">
        <f>('TE BE'!$L$40+'TE BF'!$L$40+'TE CVA'!$L$40)*1</f>
        <v>3.0900241094419632</v>
      </c>
      <c r="M40" s="26">
        <f>('TE BE'!$M$40+'TE BF'!$M$40+'TE CVA'!$M$40)*1</f>
        <v>0</v>
      </c>
      <c r="N40" s="26">
        <f>('TE BE'!$N$40+'TE BF'!$N$40+'TE CVA'!$N$40)*1</f>
        <v>0</v>
      </c>
      <c r="O40" s="26">
        <f>('TE BE'!$O$40+'TE BF'!$O$40+'TE CVA'!$O$40)*1</f>
        <v>5.0923744514318727</v>
      </c>
      <c r="P40" s="26">
        <f>('TE BE'!$P$40+'TE BF'!$P$40+'TE CVA'!$P$40)*1</f>
        <v>0</v>
      </c>
      <c r="Q40" s="26">
        <f>('TE BE'!$R$40+'TE BF'!$R$40+'TE CVA'!$R$40)*1</f>
        <v>290.70678568800002</v>
      </c>
      <c r="R40" s="26">
        <f>('TE BE'!$T$40+'TE BF'!$T$40+'TE CVA'!$T$40)*1</f>
        <v>0</v>
      </c>
      <c r="S40" s="26">
        <f>('TE BE'!$U$40+'TE BF'!$U$40+'TE CVA'!$U$40)*1</f>
        <v>0</v>
      </c>
      <c r="T40" s="26">
        <f>('TE BE'!$V$40+'TE BF'!$V$40+'TE CVA'!$V$40)*1</f>
        <v>0</v>
      </c>
      <c r="U40" s="26">
        <f>('TE BE'!$X$40+'TE BF'!$X$40+'TE CVA'!$X$40)*1</f>
        <v>-11.725257552012819</v>
      </c>
      <c r="V40" s="26">
        <f>('TE BE'!$Z$40+'TE BF'!$Z$40+'TE CVA'!$Z$40)*1</f>
        <v>0</v>
      </c>
      <c r="X40" s="26">
        <v>3.14465389519528</v>
      </c>
      <c r="Y40" s="26">
        <v>0</v>
      </c>
      <c r="Z40" s="26">
        <v>0</v>
      </c>
      <c r="AA40" s="26">
        <v>0</v>
      </c>
      <c r="AB40" s="26">
        <v>0</v>
      </c>
      <c r="AC40" s="26">
        <v>301.35804293746401</v>
      </c>
      <c r="AD40" s="26">
        <v>0</v>
      </c>
      <c r="AE40" s="26">
        <v>0</v>
      </c>
      <c r="AF40" s="26">
        <v>0</v>
      </c>
      <c r="AG40" s="26">
        <v>-4.9841399808803599</v>
      </c>
      <c r="AH40" s="26">
        <v>0</v>
      </c>
    </row>
    <row r="41" spans="1:34" ht="11.25" customHeight="1" x14ac:dyDescent="0.3">
      <c r="A41" s="151"/>
      <c r="B41" s="28" t="s">
        <v>91</v>
      </c>
      <c r="C41" s="28" t="s">
        <v>25</v>
      </c>
      <c r="D41" s="28" t="s">
        <v>25</v>
      </c>
      <c r="E41" s="28" t="s">
        <v>25</v>
      </c>
      <c r="F41" s="28" t="s">
        <v>25</v>
      </c>
      <c r="G41" s="29" t="s">
        <v>84</v>
      </c>
      <c r="H41" s="29" t="s">
        <v>78</v>
      </c>
      <c r="I41" s="29">
        <f>'MERCADO TE'!$U$38</f>
        <v>0</v>
      </c>
      <c r="J41" s="15"/>
      <c r="L41" s="26">
        <f>('TE BE'!$L$41+'TE BF'!$L$41+'TE CVA'!$L$41)*1</f>
        <v>3.0900241094419632</v>
      </c>
      <c r="M41" s="26">
        <f>('TE BE'!$M$41+'TE BF'!$M$41+'TE CVA'!$M$41)*1</f>
        <v>0</v>
      </c>
      <c r="N41" s="26">
        <f>('TE BE'!$N$41+'TE BF'!$N$41+'TE CVA'!$N$41)*1</f>
        <v>0</v>
      </c>
      <c r="O41" s="26">
        <f>('TE BE'!$O$41+'TE BF'!$O$41+'TE CVA'!$O$41)*1</f>
        <v>5.0923744514318727</v>
      </c>
      <c r="P41" s="26">
        <f>('TE BE'!$P$41+'TE BF'!$P$41+'TE CVA'!$P$41)*1</f>
        <v>0</v>
      </c>
      <c r="Q41" s="26">
        <f>('TE BE'!$R$41+'TE BF'!$R$41+'TE CVA'!$R$41)*1</f>
        <v>290.70678568800002</v>
      </c>
      <c r="R41" s="26">
        <f>('TE BE'!$T$41+'TE BF'!$T$41+'TE CVA'!$T$41)*1</f>
        <v>0</v>
      </c>
      <c r="S41" s="26">
        <f>('TE BE'!$U$41+'TE BF'!$U$41+'TE CVA'!$U$41)*1</f>
        <v>0</v>
      </c>
      <c r="T41" s="26">
        <f>('TE BE'!$V$41+'TE BF'!$V$41+'TE CVA'!$V$41)*1</f>
        <v>0</v>
      </c>
      <c r="U41" s="26">
        <f>('TE BE'!$X$41+'TE BF'!$X$41+'TE CVA'!$X$41)*1</f>
        <v>-11.725257552012819</v>
      </c>
      <c r="V41" s="26">
        <f>('TE BE'!$Z$41+'TE BF'!$Z$41+'TE CVA'!$Z$41)*1</f>
        <v>0</v>
      </c>
      <c r="X41" s="26">
        <v>3.14465389519528</v>
      </c>
      <c r="Y41" s="26">
        <v>0</v>
      </c>
      <c r="Z41" s="26">
        <v>0</v>
      </c>
      <c r="AA41" s="26">
        <v>0</v>
      </c>
      <c r="AB41" s="26">
        <v>0</v>
      </c>
      <c r="AC41" s="26">
        <v>301.35804293746401</v>
      </c>
      <c r="AD41" s="26">
        <v>0</v>
      </c>
      <c r="AE41" s="26">
        <v>0</v>
      </c>
      <c r="AF41" s="26">
        <v>0</v>
      </c>
      <c r="AG41" s="26">
        <v>-4.9841399808803599</v>
      </c>
      <c r="AH41" s="26">
        <v>0</v>
      </c>
    </row>
    <row r="42" spans="1:34" ht="11.25" customHeight="1" x14ac:dyDescent="0.3">
      <c r="A42" s="151" t="s">
        <v>44</v>
      </c>
      <c r="B42" s="151" t="s">
        <v>90</v>
      </c>
      <c r="C42" s="151" t="s">
        <v>45</v>
      </c>
      <c r="D42" s="28" t="s">
        <v>46</v>
      </c>
      <c r="E42" s="28" t="s">
        <v>25</v>
      </c>
      <c r="F42" s="28" t="s">
        <v>25</v>
      </c>
      <c r="G42" s="29" t="s">
        <v>84</v>
      </c>
      <c r="H42" s="29" t="s">
        <v>78</v>
      </c>
      <c r="I42" s="29">
        <f>'MERCADO TE'!$U$39</f>
        <v>2415.7070000000003</v>
      </c>
      <c r="J42" s="15"/>
      <c r="L42" s="26">
        <f>('TE BE'!$L$42+'TE BF'!$L$42+'TE CVA'!$L$42)*1</f>
        <v>1.6995132601930798</v>
      </c>
      <c r="M42" s="26">
        <f>('TE BE'!$M$42+'TE BF'!$M$42+'TE CVA'!$M$42)*1</f>
        <v>0</v>
      </c>
      <c r="N42" s="26">
        <f>('TE BE'!$N$42+'TE BF'!$N$42+'TE CVA'!$N$42)*1</f>
        <v>0</v>
      </c>
      <c r="O42" s="26">
        <f>('TE BE'!$O$42+'TE BF'!$O$42+'TE CVA'!$O$42)*1</f>
        <v>2.8008059482875298</v>
      </c>
      <c r="P42" s="26">
        <f>('TE BE'!$P$42+'TE BF'!$P$42+'TE CVA'!$P$42)*1</f>
        <v>0</v>
      </c>
      <c r="Q42" s="26">
        <f>('TE BE'!$R$42+'TE BF'!$R$42+'TE CVA'!$R$42)*1</f>
        <v>159.88873212839999</v>
      </c>
      <c r="R42" s="26">
        <f>('TE BE'!$T$42+'TE BF'!$T$42+'TE CVA'!$T$42)*1</f>
        <v>0</v>
      </c>
      <c r="S42" s="26">
        <f>('TE BE'!$U$42+'TE BF'!$U$42+'TE CVA'!$U$42)*1</f>
        <v>0</v>
      </c>
      <c r="T42" s="26">
        <f>('TE BE'!$V$42+'TE BF'!$V$42+'TE CVA'!$V$42)*1</f>
        <v>0</v>
      </c>
      <c r="U42" s="26">
        <f>('TE BE'!$X$42+'TE BF'!$X$42+'TE CVA'!$X$42)*1</f>
        <v>-6.4488916536070509</v>
      </c>
      <c r="V42" s="26">
        <f>('TE BE'!$Z$42+'TE BF'!$Z$42+'TE CVA'!$Z$42)*1</f>
        <v>0</v>
      </c>
      <c r="X42" s="26">
        <v>1.72955964235741</v>
      </c>
      <c r="Y42" s="26">
        <v>0</v>
      </c>
      <c r="Z42" s="26">
        <v>0</v>
      </c>
      <c r="AA42" s="26">
        <v>0</v>
      </c>
      <c r="AB42" s="26">
        <v>0</v>
      </c>
      <c r="AC42" s="26">
        <v>165.746923615605</v>
      </c>
      <c r="AD42" s="26">
        <v>0</v>
      </c>
      <c r="AE42" s="26">
        <v>0</v>
      </c>
      <c r="AF42" s="26">
        <v>0</v>
      </c>
      <c r="AG42" s="26">
        <v>-2.7412769894842</v>
      </c>
      <c r="AH42" s="26">
        <v>0</v>
      </c>
    </row>
    <row r="43" spans="1:34" ht="11.25" customHeight="1" x14ac:dyDescent="0.3">
      <c r="A43" s="151"/>
      <c r="B43" s="151"/>
      <c r="C43" s="151"/>
      <c r="D43" s="29" t="s">
        <v>95</v>
      </c>
      <c r="E43" s="29" t="s">
        <v>25</v>
      </c>
      <c r="F43" s="29" t="s">
        <v>25</v>
      </c>
      <c r="G43" s="29" t="s">
        <v>84</v>
      </c>
      <c r="H43" s="29" t="s">
        <v>78</v>
      </c>
      <c r="I43" s="29">
        <f>'MERCADO TE'!$U$40</f>
        <v>0</v>
      </c>
      <c r="J43" s="15"/>
      <c r="L43" s="26">
        <f>('TE BE'!$L$43+'TE BF'!$L$43+'TE CVA'!$L$43)*1</f>
        <v>1.854014465665178</v>
      </c>
      <c r="M43" s="26">
        <f>('TE BE'!$M$43+'TE BF'!$M$43+'TE CVA'!$M$43)*1</f>
        <v>0</v>
      </c>
      <c r="N43" s="26">
        <f>('TE BE'!$N$43+'TE BF'!$N$43+'TE CVA'!$N$43)*1</f>
        <v>0</v>
      </c>
      <c r="O43" s="26">
        <f>('TE BE'!$O$43+'TE BF'!$O$43+'TE CVA'!$O$43)*1</f>
        <v>3.0554246708591233</v>
      </c>
      <c r="P43" s="26">
        <f>('TE BE'!$P$43+'TE BF'!$P$43+'TE CVA'!$P$43)*1</f>
        <v>0</v>
      </c>
      <c r="Q43" s="26">
        <f>('TE BE'!$R$43+'TE BF'!$R$43+'TE CVA'!$R$43)*1</f>
        <v>174.42407141279998</v>
      </c>
      <c r="R43" s="26">
        <f>('TE BE'!$T$43+'TE BF'!$T$43+'TE CVA'!$T$43)*1</f>
        <v>0</v>
      </c>
      <c r="S43" s="26">
        <f>('TE BE'!$U$43+'TE BF'!$U$43+'TE CVA'!$U$43)*1</f>
        <v>0</v>
      </c>
      <c r="T43" s="26">
        <f>('TE BE'!$V$43+'TE BF'!$V$43+'TE CVA'!$V$43)*1</f>
        <v>0</v>
      </c>
      <c r="U43" s="26">
        <f>('TE BE'!$X$43+'TE BF'!$X$43+'TE CVA'!$X$43)*1</f>
        <v>-7.0351545312076906</v>
      </c>
      <c r="V43" s="26">
        <f>('TE BE'!$Z$43+'TE BF'!$Z$43+'TE CVA'!$Z$43)*1</f>
        <v>0</v>
      </c>
      <c r="X43" s="26">
        <v>1.88679233711717</v>
      </c>
      <c r="Y43" s="26">
        <v>0</v>
      </c>
      <c r="Z43" s="26">
        <v>0</v>
      </c>
      <c r="AA43" s="26">
        <v>0</v>
      </c>
      <c r="AB43" s="26">
        <v>0</v>
      </c>
      <c r="AC43" s="26">
        <v>180.81482576247899</v>
      </c>
      <c r="AD43" s="26">
        <v>0</v>
      </c>
      <c r="AE43" s="26">
        <v>0</v>
      </c>
      <c r="AF43" s="26">
        <v>0</v>
      </c>
      <c r="AG43" s="26">
        <v>-2.9904839885282199</v>
      </c>
      <c r="AH43" s="26">
        <v>0</v>
      </c>
    </row>
    <row r="45" spans="1:34" ht="11.25" customHeight="1" x14ac:dyDescent="0.3">
      <c r="L45" s="153" t="s">
        <v>1051</v>
      </c>
      <c r="M45" s="153"/>
      <c r="N45" s="153"/>
      <c r="O45" s="153"/>
      <c r="P45" s="153"/>
      <c r="Q45" s="153"/>
      <c r="R45" s="153"/>
      <c r="S45" s="153"/>
      <c r="T45" s="153"/>
      <c r="U45" s="153"/>
      <c r="V45" s="153"/>
      <c r="X45" s="153" t="s">
        <v>1052</v>
      </c>
      <c r="Y45" s="153"/>
      <c r="Z45" s="153"/>
      <c r="AA45" s="153"/>
      <c r="AB45" s="153"/>
      <c r="AC45" s="153"/>
      <c r="AD45" s="153"/>
      <c r="AE45" s="153"/>
      <c r="AF45" s="153"/>
      <c r="AG45" s="153"/>
      <c r="AH45" s="153"/>
    </row>
    <row r="46" spans="1:34" ht="11.25" customHeight="1" x14ac:dyDescent="0.3">
      <c r="L46" s="153" t="s">
        <v>515</v>
      </c>
      <c r="M46" s="153"/>
      <c r="N46" s="153"/>
      <c r="O46" s="153"/>
      <c r="P46" s="153"/>
      <c r="Q46" s="153"/>
      <c r="R46" s="153"/>
      <c r="S46" s="153"/>
      <c r="T46" s="153"/>
      <c r="U46" s="153"/>
      <c r="V46" s="153"/>
      <c r="X46" s="153" t="s">
        <v>515</v>
      </c>
      <c r="Y46" s="153"/>
      <c r="Z46" s="153"/>
      <c r="AA46" s="153"/>
      <c r="AB46" s="153"/>
      <c r="AC46" s="153"/>
      <c r="AD46" s="153"/>
      <c r="AE46" s="153"/>
      <c r="AF46" s="153"/>
      <c r="AG46" s="153"/>
      <c r="AH46" s="153"/>
    </row>
    <row r="47" spans="1:34" ht="11.25" customHeight="1" x14ac:dyDescent="0.3">
      <c r="L47" s="153" t="s">
        <v>488</v>
      </c>
      <c r="M47" s="153"/>
      <c r="N47" s="153"/>
      <c r="O47" s="153"/>
      <c r="P47" s="153"/>
      <c r="Q47" s="30" t="s">
        <v>519</v>
      </c>
      <c r="R47" s="153" t="s">
        <v>497</v>
      </c>
      <c r="S47" s="153"/>
      <c r="T47" s="153"/>
      <c r="U47" s="30" t="s">
        <v>507</v>
      </c>
      <c r="V47" s="30" t="s">
        <v>510</v>
      </c>
      <c r="X47" s="153" t="s">
        <v>488</v>
      </c>
      <c r="Y47" s="153"/>
      <c r="Z47" s="153"/>
      <c r="AA47" s="153"/>
      <c r="AB47" s="153"/>
      <c r="AC47" s="30" t="s">
        <v>519</v>
      </c>
      <c r="AD47" s="153" t="s">
        <v>497</v>
      </c>
      <c r="AE47" s="153"/>
      <c r="AF47" s="153"/>
      <c r="AG47" s="30" t="s">
        <v>507</v>
      </c>
      <c r="AH47" s="30" t="s">
        <v>510</v>
      </c>
    </row>
    <row r="48" spans="1:34" ht="11.25" customHeight="1" x14ac:dyDescent="0.3">
      <c r="L48" s="30" t="s">
        <v>490</v>
      </c>
      <c r="M48" s="30" t="s">
        <v>516</v>
      </c>
      <c r="N48" s="30" t="s">
        <v>517</v>
      </c>
      <c r="O48" s="30" t="s">
        <v>576</v>
      </c>
      <c r="P48" s="30" t="s">
        <v>518</v>
      </c>
      <c r="Q48" s="30" t="s">
        <v>520</v>
      </c>
      <c r="R48" s="30" t="s">
        <v>521</v>
      </c>
      <c r="S48" s="30" t="s">
        <v>522</v>
      </c>
      <c r="T48" s="30" t="s">
        <v>523</v>
      </c>
      <c r="U48" s="30" t="s">
        <v>508</v>
      </c>
      <c r="V48" s="30" t="s">
        <v>524</v>
      </c>
      <c r="X48" s="30" t="s">
        <v>490</v>
      </c>
      <c r="Y48" s="30" t="s">
        <v>516</v>
      </c>
      <c r="Z48" s="30" t="s">
        <v>517</v>
      </c>
      <c r="AA48" s="30" t="s">
        <v>576</v>
      </c>
      <c r="AB48" s="30" t="s">
        <v>518</v>
      </c>
      <c r="AC48" s="30" t="s">
        <v>520</v>
      </c>
      <c r="AD48" s="30" t="s">
        <v>521</v>
      </c>
      <c r="AE48" s="30" t="s">
        <v>522</v>
      </c>
      <c r="AF48" s="30" t="s">
        <v>523</v>
      </c>
      <c r="AG48" s="30" t="s">
        <v>508</v>
      </c>
      <c r="AH48" s="30" t="s">
        <v>524</v>
      </c>
    </row>
    <row r="49" spans="1:34" ht="11.25" customHeight="1" x14ac:dyDescent="0.3">
      <c r="A49" s="9" t="s">
        <v>61</v>
      </c>
      <c r="B49" s="9" t="s">
        <v>1053</v>
      </c>
      <c r="C49" s="9" t="s">
        <v>1054</v>
      </c>
      <c r="D49" s="9" t="s">
        <v>1055</v>
      </c>
      <c r="E49" s="9" t="s">
        <v>1056</v>
      </c>
      <c r="F49" s="9" t="s">
        <v>1057</v>
      </c>
      <c r="G49" s="9" t="s">
        <v>1058</v>
      </c>
      <c r="L49" s="26">
        <f>$I$5*$L$5</f>
        <v>0</v>
      </c>
      <c r="M49" s="26">
        <f>$I$5*$M$5</f>
        <v>0</v>
      </c>
      <c r="N49" s="26">
        <f>$I$5*$N$5</f>
        <v>0</v>
      </c>
      <c r="O49" s="26">
        <f>$I$5*$O$5</f>
        <v>0</v>
      </c>
      <c r="P49" s="26">
        <f>$I$5*$P$5</f>
        <v>0</v>
      </c>
      <c r="Q49" s="26">
        <f>$I$5*$Q$5</f>
        <v>0</v>
      </c>
      <c r="R49" s="26">
        <f>$I$5*$R$5</f>
        <v>0</v>
      </c>
      <c r="S49" s="26">
        <f>$I$5*$S$5</f>
        <v>0</v>
      </c>
      <c r="T49" s="26">
        <f>$I$5*$T$5</f>
        <v>0</v>
      </c>
      <c r="U49" s="26">
        <f>$I$5*$U$5</f>
        <v>0</v>
      </c>
      <c r="V49" s="26">
        <f>$I$5*$V$5</f>
        <v>0</v>
      </c>
      <c r="X49" s="26">
        <f>$I$5*$X$5</f>
        <v>0</v>
      </c>
      <c r="Y49" s="26">
        <f>$I$5*$Y$5</f>
        <v>0</v>
      </c>
      <c r="Z49" s="26">
        <f>$I$5*$Z$5</f>
        <v>0</v>
      </c>
      <c r="AA49" s="26">
        <f>$I$5*$AA$5</f>
        <v>0</v>
      </c>
      <c r="AB49" s="26">
        <f>$I$5*$AB$5</f>
        <v>0</v>
      </c>
      <c r="AC49" s="26">
        <f>$I$5*$AC$5</f>
        <v>0</v>
      </c>
      <c r="AD49" s="26">
        <f>$I$5*$AD$5</f>
        <v>0</v>
      </c>
      <c r="AE49" s="26">
        <f>$I$5*$AE$5</f>
        <v>0</v>
      </c>
      <c r="AF49" s="26">
        <f>$I$5*$AF$5</f>
        <v>0</v>
      </c>
      <c r="AG49" s="26">
        <f>$I$5*$AG$5</f>
        <v>0</v>
      </c>
      <c r="AH49" s="26">
        <f>$I$5*$AH$5</f>
        <v>0</v>
      </c>
    </row>
    <row r="50" spans="1:34" ht="11.25" customHeight="1" x14ac:dyDescent="0.3">
      <c r="A50" s="9" t="s">
        <v>61</v>
      </c>
      <c r="B50" s="9" t="s">
        <v>1053</v>
      </c>
      <c r="C50" s="9" t="s">
        <v>1054</v>
      </c>
      <c r="D50" s="9" t="s">
        <v>1055</v>
      </c>
      <c r="E50" s="9" t="s">
        <v>1056</v>
      </c>
      <c r="F50" s="9" t="s">
        <v>1057</v>
      </c>
      <c r="G50" s="9" t="s">
        <v>1059</v>
      </c>
      <c r="L50" s="26">
        <f>$I$6*$L$6</f>
        <v>0</v>
      </c>
      <c r="M50" s="26">
        <f>$I$6*$M$6</f>
        <v>0</v>
      </c>
      <c r="N50" s="26">
        <f>$I$6*$N$6</f>
        <v>0</v>
      </c>
      <c r="O50" s="26">
        <f>$I$6*$O$6</f>
        <v>0</v>
      </c>
      <c r="P50" s="26">
        <f>$I$6*$P$6</f>
        <v>0</v>
      </c>
      <c r="Q50" s="26">
        <f>$I$6*$Q$6</f>
        <v>0</v>
      </c>
      <c r="R50" s="26">
        <f>$I$6*$R$6</f>
        <v>0</v>
      </c>
      <c r="S50" s="26">
        <f>$I$6*$S$6</f>
        <v>0</v>
      </c>
      <c r="T50" s="26">
        <f>$I$6*$T$6</f>
        <v>0</v>
      </c>
      <c r="U50" s="26">
        <f>$I$6*$U$6</f>
        <v>0</v>
      </c>
      <c r="V50" s="26">
        <f>$I$6*$V$6</f>
        <v>0</v>
      </c>
      <c r="X50" s="26">
        <f>$I$6*$X$6</f>
        <v>0</v>
      </c>
      <c r="Y50" s="26">
        <f>$I$6*$Y$6</f>
        <v>0</v>
      </c>
      <c r="Z50" s="26">
        <f>$I$6*$Z$6</f>
        <v>0</v>
      </c>
      <c r="AA50" s="26">
        <f>$I$6*$AA$6</f>
        <v>0</v>
      </c>
      <c r="AB50" s="26">
        <f>$I$6*$AB$6</f>
        <v>0</v>
      </c>
      <c r="AC50" s="26">
        <f>$I$6*$AC$6</f>
        <v>0</v>
      </c>
      <c r="AD50" s="26">
        <f>$I$6*$AD$6</f>
        <v>0</v>
      </c>
      <c r="AE50" s="26">
        <f>$I$6*$AE$6</f>
        <v>0</v>
      </c>
      <c r="AF50" s="26">
        <f>$I$6*$AF$6</f>
        <v>0</v>
      </c>
      <c r="AG50" s="26">
        <f>$I$6*$AG$6</f>
        <v>0</v>
      </c>
      <c r="AH50" s="26">
        <f>$I$6*$AH$6</f>
        <v>0</v>
      </c>
    </row>
    <row r="51" spans="1:34" ht="11.25" customHeight="1" x14ac:dyDescent="0.3">
      <c r="A51" s="9" t="s">
        <v>34</v>
      </c>
      <c r="B51" s="9" t="s">
        <v>1060</v>
      </c>
      <c r="C51" s="9" t="s">
        <v>1061</v>
      </c>
      <c r="D51" s="9" t="s">
        <v>1062</v>
      </c>
      <c r="E51" s="9" t="s">
        <v>1063</v>
      </c>
      <c r="F51" s="9" t="s">
        <v>1064</v>
      </c>
      <c r="G51" s="9" t="s">
        <v>1065</v>
      </c>
      <c r="L51" s="26">
        <f>$I$7*$L$7</f>
        <v>793.19818840792232</v>
      </c>
      <c r="M51" s="26">
        <f>$I$7*$M$7</f>
        <v>0</v>
      </c>
      <c r="N51" s="26">
        <f>$I$7*$N$7</f>
        <v>0</v>
      </c>
      <c r="O51" s="26">
        <f>$I$7*$O$7</f>
        <v>1307.1943928295145</v>
      </c>
      <c r="P51" s="26">
        <f>$I$7*$P$7</f>
        <v>0</v>
      </c>
      <c r="Q51" s="26">
        <f>$I$7*$Q$7</f>
        <v>121087.02149841355</v>
      </c>
      <c r="R51" s="26">
        <f>$I$7*$R$7</f>
        <v>0</v>
      </c>
      <c r="S51" s="26">
        <f>$I$7*$S$7</f>
        <v>0</v>
      </c>
      <c r="T51" s="26">
        <f>$I$7*$T$7</f>
        <v>0</v>
      </c>
      <c r="U51" s="26">
        <f>$I$7*$U$7</f>
        <v>-4834.8798592911908</v>
      </c>
      <c r="V51" s="26">
        <f>$I$7*$V$7</f>
        <v>0</v>
      </c>
      <c r="X51" s="26">
        <f>$I$7*$X$7</f>
        <v>807.22145992876153</v>
      </c>
      <c r="Y51" s="26">
        <f>$I$7*$Y$7</f>
        <v>0</v>
      </c>
      <c r="Z51" s="26">
        <f>$I$7*$Z$7</f>
        <v>0</v>
      </c>
      <c r="AA51" s="26">
        <f>$I$7*$AA$7</f>
        <v>0</v>
      </c>
      <c r="AB51" s="26">
        <f>$I$7*$AB$7</f>
        <v>0</v>
      </c>
      <c r="AC51" s="26">
        <f>$I$7*$AC$7</f>
        <v>125523.55025882312</v>
      </c>
      <c r="AD51" s="26">
        <f>$I$7*$AD$7</f>
        <v>0</v>
      </c>
      <c r="AE51" s="26">
        <f>$I$7*$AE$7</f>
        <v>0</v>
      </c>
      <c r="AF51" s="26">
        <f>$I$7*$AF$7</f>
        <v>0</v>
      </c>
      <c r="AG51" s="26">
        <f>$I$7*$AG$7</f>
        <v>-2056.9850761079811</v>
      </c>
      <c r="AH51" s="26">
        <f>$I$7*$AH$7</f>
        <v>0</v>
      </c>
    </row>
    <row r="52" spans="1:34" ht="11.25" customHeight="1" x14ac:dyDescent="0.3">
      <c r="A52" s="9" t="s">
        <v>34</v>
      </c>
      <c r="B52" s="9" t="s">
        <v>1060</v>
      </c>
      <c r="C52" s="9" t="s">
        <v>1061</v>
      </c>
      <c r="D52" s="9" t="s">
        <v>1062</v>
      </c>
      <c r="E52" s="9" t="s">
        <v>1063</v>
      </c>
      <c r="F52" s="9" t="s">
        <v>1064</v>
      </c>
      <c r="G52" s="9" t="s">
        <v>1066</v>
      </c>
      <c r="L52" s="26">
        <f>$I$8*$L$8</f>
        <v>9510.8820787072509</v>
      </c>
      <c r="M52" s="26">
        <f>$I$8*$M$8</f>
        <v>0</v>
      </c>
      <c r="N52" s="26">
        <f>$I$8*$N$8</f>
        <v>0</v>
      </c>
      <c r="O52" s="26">
        <f>$I$8*$O$8</f>
        <v>15673.978970001215</v>
      </c>
      <c r="P52" s="26">
        <f>$I$8*$P$8</f>
        <v>0</v>
      </c>
      <c r="Q52" s="26">
        <f>$I$8*$Q$8</f>
        <v>844127.8578554967</v>
      </c>
      <c r="R52" s="26">
        <f>$I$8*$R$8</f>
        <v>0</v>
      </c>
      <c r="S52" s="26">
        <f>$I$8*$S$8</f>
        <v>0</v>
      </c>
      <c r="T52" s="26">
        <f>$I$8*$T$8</f>
        <v>0</v>
      </c>
      <c r="U52" s="26">
        <f>$I$8*$U$8</f>
        <v>-34100.144343347594</v>
      </c>
      <c r="V52" s="26">
        <f>$I$8*$V$8</f>
        <v>0</v>
      </c>
      <c r="X52" s="26">
        <f>$I$8*$X$8</f>
        <v>9679.0288089211681</v>
      </c>
      <c r="Y52" s="26">
        <f>$I$8*$Y$8</f>
        <v>0</v>
      </c>
      <c r="Z52" s="26">
        <f>$I$8*$Z$8</f>
        <v>0</v>
      </c>
      <c r="AA52" s="26">
        <f>$I$8*$AA$8</f>
        <v>0</v>
      </c>
      <c r="AB52" s="26">
        <f>$I$8*$AB$8</f>
        <v>0</v>
      </c>
      <c r="AC52" s="26">
        <f>$I$8*$AC$8</f>
        <v>875056.00748289458</v>
      </c>
      <c r="AD52" s="26">
        <f>$I$8*$AD$8</f>
        <v>0</v>
      </c>
      <c r="AE52" s="26">
        <f>$I$8*$AE$8</f>
        <v>0</v>
      </c>
      <c r="AF52" s="26">
        <f>$I$8*$AF$8</f>
        <v>0</v>
      </c>
      <c r="AG52" s="26">
        <f>$I$8*$AG$8</f>
        <v>-14493.24610782427</v>
      </c>
      <c r="AH52" s="26">
        <f>$I$8*$AH$8</f>
        <v>0</v>
      </c>
    </row>
    <row r="53" spans="1:34" ht="11.25" customHeight="1" x14ac:dyDescent="0.3">
      <c r="A53" s="9" t="s">
        <v>22</v>
      </c>
      <c r="B53" s="9" t="s">
        <v>1067</v>
      </c>
      <c r="C53" s="9" t="s">
        <v>1068</v>
      </c>
      <c r="D53" s="9" t="s">
        <v>1069</v>
      </c>
      <c r="E53" s="9" t="s">
        <v>1070</v>
      </c>
      <c r="F53" s="9" t="s">
        <v>1071</v>
      </c>
      <c r="G53" s="9" t="s">
        <v>1072</v>
      </c>
      <c r="L53" s="26">
        <f>$I$9*$L$9</f>
        <v>0</v>
      </c>
      <c r="M53" s="26">
        <f>$I$9*$M$9</f>
        <v>0</v>
      </c>
      <c r="N53" s="26">
        <f>$I$9*$N$9</f>
        <v>0</v>
      </c>
      <c r="O53" s="26">
        <f>$I$9*$O$9</f>
        <v>0</v>
      </c>
      <c r="P53" s="26">
        <f>$I$9*$P$9</f>
        <v>0</v>
      </c>
      <c r="Q53" s="26">
        <f>$I$9*$Q$9</f>
        <v>0</v>
      </c>
      <c r="R53" s="26">
        <f>$I$9*$R$9</f>
        <v>0</v>
      </c>
      <c r="S53" s="26">
        <f>$I$9*$S$9</f>
        <v>0</v>
      </c>
      <c r="T53" s="26">
        <f>$I$9*$T$9</f>
        <v>0</v>
      </c>
      <c r="U53" s="26">
        <f>$I$9*$U$9</f>
        <v>0</v>
      </c>
      <c r="V53" s="26">
        <f>$I$9*$V$9</f>
        <v>0</v>
      </c>
      <c r="X53" s="26">
        <f>$I$9*$X$9</f>
        <v>0</v>
      </c>
      <c r="Y53" s="26">
        <f>$I$9*$Y$9</f>
        <v>0</v>
      </c>
      <c r="Z53" s="26">
        <f>$I$9*$Z$9</f>
        <v>0</v>
      </c>
      <c r="AA53" s="26">
        <f>$I$9*$AA$9</f>
        <v>0</v>
      </c>
      <c r="AB53" s="26">
        <f>$I$9*$AB$9</f>
        <v>0</v>
      </c>
      <c r="AC53" s="26">
        <f>$I$9*$AC$9</f>
        <v>0</v>
      </c>
      <c r="AD53" s="26">
        <f>$I$9*$AD$9</f>
        <v>0</v>
      </c>
      <c r="AE53" s="26">
        <f>$I$9*$AE$9</f>
        <v>0</v>
      </c>
      <c r="AF53" s="26">
        <f>$I$9*$AF$9</f>
        <v>0</v>
      </c>
      <c r="AG53" s="26">
        <f>$I$9*$AG$9</f>
        <v>0</v>
      </c>
      <c r="AH53" s="26">
        <f>$I$9*$AH$9</f>
        <v>0</v>
      </c>
    </row>
    <row r="54" spans="1:34" ht="11.25" customHeight="1" x14ac:dyDescent="0.3">
      <c r="A54" s="9" t="s">
        <v>22</v>
      </c>
      <c r="B54" s="9" t="s">
        <v>1067</v>
      </c>
      <c r="C54" s="9" t="s">
        <v>1068</v>
      </c>
      <c r="D54" s="9" t="s">
        <v>1069</v>
      </c>
      <c r="E54" s="9" t="s">
        <v>1070</v>
      </c>
      <c r="F54" s="9" t="s">
        <v>1071</v>
      </c>
      <c r="G54" s="9" t="s">
        <v>1073</v>
      </c>
      <c r="L54" s="26">
        <f>$I$10*$L$10</f>
        <v>0</v>
      </c>
      <c r="M54" s="26">
        <f>$I$10*$M$10</f>
        <v>0</v>
      </c>
      <c r="N54" s="26">
        <f>$I$10*$N$10</f>
        <v>0</v>
      </c>
      <c r="O54" s="26">
        <f>$I$10*$O$10</f>
        <v>0</v>
      </c>
      <c r="P54" s="26">
        <f>$I$10*$P$10</f>
        <v>0</v>
      </c>
      <c r="Q54" s="26">
        <f>$I$10*$Q$10</f>
        <v>0</v>
      </c>
      <c r="R54" s="26">
        <f>$I$10*$R$10</f>
        <v>0</v>
      </c>
      <c r="S54" s="26">
        <f>$I$10*$S$10</f>
        <v>0</v>
      </c>
      <c r="T54" s="26">
        <f>$I$10*$T$10</f>
        <v>0</v>
      </c>
      <c r="U54" s="26">
        <f>$I$10*$U$10</f>
        <v>0</v>
      </c>
      <c r="V54" s="26">
        <f>$I$10*$V$10</f>
        <v>0</v>
      </c>
      <c r="X54" s="26">
        <f>$I$10*$X$10</f>
        <v>0</v>
      </c>
      <c r="Y54" s="26">
        <f>$I$10*$Y$10</f>
        <v>0</v>
      </c>
      <c r="Z54" s="26">
        <f>$I$10*$Z$10</f>
        <v>0</v>
      </c>
      <c r="AA54" s="26">
        <f>$I$10*$AA$10</f>
        <v>0</v>
      </c>
      <c r="AB54" s="26">
        <f>$I$10*$AB$10</f>
        <v>0</v>
      </c>
      <c r="AC54" s="26">
        <f>$I$10*$AC$10</f>
        <v>0</v>
      </c>
      <c r="AD54" s="26">
        <f>$I$10*$AD$10</f>
        <v>0</v>
      </c>
      <c r="AE54" s="26">
        <f>$I$10*$AE$10</f>
        <v>0</v>
      </c>
      <c r="AF54" s="26">
        <f>$I$10*$AF$10</f>
        <v>0</v>
      </c>
      <c r="AG54" s="26">
        <f>$I$10*$AG$10</f>
        <v>0</v>
      </c>
      <c r="AH54" s="26">
        <f>$I$10*$AH$10</f>
        <v>0</v>
      </c>
    </row>
    <row r="55" spans="1:34" ht="11.25" customHeight="1" x14ac:dyDescent="0.3">
      <c r="A55" s="9" t="s">
        <v>22</v>
      </c>
      <c r="B55" s="9" t="s">
        <v>1067</v>
      </c>
      <c r="C55" s="9" t="s">
        <v>1068</v>
      </c>
      <c r="D55" s="9" t="s">
        <v>1069</v>
      </c>
      <c r="E55" s="9" t="s">
        <v>1070</v>
      </c>
      <c r="F55" s="9" t="s">
        <v>1071</v>
      </c>
      <c r="G55" s="9" t="s">
        <v>1074</v>
      </c>
      <c r="L55" s="26">
        <f>$I$11*$L$11</f>
        <v>0</v>
      </c>
      <c r="M55" s="26">
        <f>$I$11*$M$11</f>
        <v>0</v>
      </c>
      <c r="N55" s="26">
        <f>$I$11*$N$11</f>
        <v>0</v>
      </c>
      <c r="O55" s="26">
        <f>$I$11*$O$11</f>
        <v>0</v>
      </c>
      <c r="P55" s="26">
        <f>$I$11*$P$11</f>
        <v>0</v>
      </c>
      <c r="Q55" s="26">
        <f>$I$11*$Q$11</f>
        <v>0</v>
      </c>
      <c r="R55" s="26">
        <f>$I$11*$R$11</f>
        <v>0</v>
      </c>
      <c r="S55" s="26">
        <f>$I$11*$S$11</f>
        <v>0</v>
      </c>
      <c r="T55" s="26">
        <f>$I$11*$T$11</f>
        <v>0</v>
      </c>
      <c r="U55" s="26">
        <f>$I$11*$U$11</f>
        <v>0</v>
      </c>
      <c r="V55" s="26">
        <f>$I$11*$V$11</f>
        <v>0</v>
      </c>
      <c r="X55" s="26">
        <f>$I$11*$X$11</f>
        <v>0</v>
      </c>
      <c r="Y55" s="26">
        <f>$I$11*$Y$11</f>
        <v>0</v>
      </c>
      <c r="Z55" s="26">
        <f>$I$11*$Z$11</f>
        <v>0</v>
      </c>
      <c r="AA55" s="26">
        <f>$I$11*$AA$11</f>
        <v>0</v>
      </c>
      <c r="AB55" s="26">
        <f>$I$11*$AB$11</f>
        <v>0</v>
      </c>
      <c r="AC55" s="26">
        <f>$I$11*$AC$11</f>
        <v>0</v>
      </c>
      <c r="AD55" s="26">
        <f>$I$11*$AD$11</f>
        <v>0</v>
      </c>
      <c r="AE55" s="26">
        <f>$I$11*$AE$11</f>
        <v>0</v>
      </c>
      <c r="AF55" s="26">
        <f>$I$11*$AF$11</f>
        <v>0</v>
      </c>
      <c r="AG55" s="26">
        <f>$I$11*$AG$11</f>
        <v>0</v>
      </c>
      <c r="AH55" s="26">
        <f>$I$11*$AH$11</f>
        <v>0</v>
      </c>
    </row>
    <row r="56" spans="1:34" ht="11.25" customHeight="1" x14ac:dyDescent="0.3">
      <c r="A56" s="9" t="s">
        <v>22</v>
      </c>
      <c r="B56" s="9" t="s">
        <v>1075</v>
      </c>
      <c r="C56" s="9" t="s">
        <v>1076</v>
      </c>
      <c r="D56" s="9" t="s">
        <v>1077</v>
      </c>
      <c r="E56" s="9" t="s">
        <v>1078</v>
      </c>
      <c r="F56" s="9" t="s">
        <v>1079</v>
      </c>
      <c r="G56" s="9" t="s">
        <v>1080</v>
      </c>
      <c r="L56" s="26">
        <f>$I$12*$L$12</f>
        <v>35629.362312666861</v>
      </c>
      <c r="M56" s="26">
        <f>$I$12*$M$12</f>
        <v>0</v>
      </c>
      <c r="N56" s="26">
        <f>$I$12*$N$12</f>
        <v>0</v>
      </c>
      <c r="O56" s="26">
        <f>$I$12*$O$12</f>
        <v>58717.358808763725</v>
      </c>
      <c r="P56" s="26">
        <f>$I$12*$P$12</f>
        <v>0</v>
      </c>
      <c r="Q56" s="26">
        <f>$I$12*$Q$12</f>
        <v>3351979.4756226279</v>
      </c>
      <c r="R56" s="26">
        <f>$I$12*$R$12</f>
        <v>0</v>
      </c>
      <c r="S56" s="26">
        <f>$I$12*$S$12</f>
        <v>0</v>
      </c>
      <c r="T56" s="26">
        <f>$I$12*$T$12</f>
        <v>0</v>
      </c>
      <c r="U56" s="26">
        <f>$I$12*$U$12</f>
        <v>-135197.47249009108</v>
      </c>
      <c r="V56" s="26">
        <f>$I$12*$V$12</f>
        <v>0</v>
      </c>
      <c r="X56" s="26">
        <f>$I$12*$X$12</f>
        <v>36259.268216546625</v>
      </c>
      <c r="Y56" s="26">
        <f>$I$12*$Y$12</f>
        <v>0</v>
      </c>
      <c r="Z56" s="26">
        <f>$I$12*$Z$12</f>
        <v>0</v>
      </c>
      <c r="AA56" s="26">
        <f>$I$12*$AA$12</f>
        <v>0</v>
      </c>
      <c r="AB56" s="26">
        <f>$I$12*$AB$12</f>
        <v>0</v>
      </c>
      <c r="AC56" s="26">
        <f>$I$12*$AC$12</f>
        <v>3474793.2434721957</v>
      </c>
      <c r="AD56" s="26">
        <f>$I$12*$AD$12</f>
        <v>0</v>
      </c>
      <c r="AE56" s="26">
        <f>$I$12*$AE$12</f>
        <v>0</v>
      </c>
      <c r="AF56" s="26">
        <f>$I$12*$AF$12</f>
        <v>0</v>
      </c>
      <c r="AG56" s="26">
        <f>$I$12*$AG$12</f>
        <v>-57469.366874261978</v>
      </c>
      <c r="AH56" s="26">
        <f>$I$12*$AH$12</f>
        <v>0</v>
      </c>
    </row>
    <row r="57" spans="1:34" ht="11.25" customHeight="1" x14ac:dyDescent="0.3">
      <c r="A57" s="9" t="s">
        <v>22</v>
      </c>
      <c r="B57" s="9" t="s">
        <v>1075</v>
      </c>
      <c r="C57" s="9" t="s">
        <v>1076</v>
      </c>
      <c r="D57" s="9" t="s">
        <v>1081</v>
      </c>
      <c r="E57" s="9" t="s">
        <v>1082</v>
      </c>
      <c r="F57" s="9" t="s">
        <v>1083</v>
      </c>
      <c r="G57" s="9" t="s">
        <v>1084</v>
      </c>
      <c r="L57" s="26">
        <f>$I$13*$L$13</f>
        <v>131.14371322882636</v>
      </c>
      <c r="M57" s="26">
        <f>$I$13*$M$13</f>
        <v>0</v>
      </c>
      <c r="N57" s="26">
        <f>$I$13*$N$13</f>
        <v>0</v>
      </c>
      <c r="O57" s="26">
        <f>$I$13*$O$13</f>
        <v>216.1254640932201</v>
      </c>
      <c r="P57" s="26">
        <f>$I$13*$P$13</f>
        <v>0</v>
      </c>
      <c r="Q57" s="26">
        <f>$I$13*$Q$13</f>
        <v>12337.886691384409</v>
      </c>
      <c r="R57" s="26">
        <f>$I$13*$R$13</f>
        <v>0</v>
      </c>
      <c r="S57" s="26">
        <f>$I$13*$S$13</f>
        <v>0</v>
      </c>
      <c r="T57" s="26">
        <f>$I$13*$T$13</f>
        <v>0</v>
      </c>
      <c r="U57" s="26">
        <f>$I$13*$U$13</f>
        <v>-497.63165576497602</v>
      </c>
      <c r="V57" s="26">
        <f>$I$13*$V$13</f>
        <v>0</v>
      </c>
      <c r="X57" s="26">
        <f>$I$13*$X$13</f>
        <v>133.46225596598313</v>
      </c>
      <c r="Y57" s="26">
        <f>$I$13*$Y$13</f>
        <v>0</v>
      </c>
      <c r="Z57" s="26">
        <f>$I$13*$Z$13</f>
        <v>0</v>
      </c>
      <c r="AA57" s="26">
        <f>$I$13*$AA$13</f>
        <v>0</v>
      </c>
      <c r="AB57" s="26">
        <f>$I$13*$AB$13</f>
        <v>0</v>
      </c>
      <c r="AC57" s="26">
        <f>$I$13*$AC$13</f>
        <v>12789.936700308983</v>
      </c>
      <c r="AD57" s="26">
        <f>$I$13*$AD$13</f>
        <v>0</v>
      </c>
      <c r="AE57" s="26">
        <f>$I$13*$AE$13</f>
        <v>0</v>
      </c>
      <c r="AF57" s="26">
        <f>$I$13*$AF$13</f>
        <v>0</v>
      </c>
      <c r="AG57" s="26">
        <f>$I$13*$AG$13</f>
        <v>-211.53188492854386</v>
      </c>
      <c r="AH57" s="26">
        <f>$I$13*$AH$13</f>
        <v>0</v>
      </c>
    </row>
    <row r="58" spans="1:34" ht="11.25" customHeight="1" x14ac:dyDescent="0.3">
      <c r="A58" s="9" t="s">
        <v>22</v>
      </c>
      <c r="B58" s="9" t="s">
        <v>1075</v>
      </c>
      <c r="C58" s="9" t="s">
        <v>1076</v>
      </c>
      <c r="D58" s="9" t="s">
        <v>1085</v>
      </c>
      <c r="E58" s="9" t="s">
        <v>1086</v>
      </c>
      <c r="F58" s="9" t="s">
        <v>1087</v>
      </c>
      <c r="G58" s="9" t="s">
        <v>1088</v>
      </c>
      <c r="L58" s="26">
        <f>$I$14*$L$14</f>
        <v>471.51295890796803</v>
      </c>
      <c r="M58" s="26">
        <f>$I$14*$M$14</f>
        <v>0</v>
      </c>
      <c r="N58" s="26">
        <f>$I$14*$N$14</f>
        <v>0</v>
      </c>
      <c r="O58" s="26">
        <f>$I$14*$O$14</f>
        <v>777.05560229289233</v>
      </c>
      <c r="P58" s="26">
        <f>$I$14*$P$14</f>
        <v>0</v>
      </c>
      <c r="Q58" s="26">
        <f>$I$14*$Q$14</f>
        <v>44359.529841703297</v>
      </c>
      <c r="R58" s="26">
        <f>$I$14*$R$14</f>
        <v>0</v>
      </c>
      <c r="S58" s="26">
        <f>$I$14*$S$14</f>
        <v>0</v>
      </c>
      <c r="T58" s="26">
        <f>$I$14*$T$14</f>
        <v>0</v>
      </c>
      <c r="U58" s="26">
        <f>$I$14*$U$14</f>
        <v>-1789.1805003767399</v>
      </c>
      <c r="V58" s="26">
        <f>$I$14*$V$14</f>
        <v>0</v>
      </c>
      <c r="X58" s="26">
        <f>$I$14*$X$14</f>
        <v>479.84902717563864</v>
      </c>
      <c r="Y58" s="26">
        <f>$I$14*$Y$14</f>
        <v>0</v>
      </c>
      <c r="Z58" s="26">
        <f>$I$14*$Z$14</f>
        <v>0</v>
      </c>
      <c r="AA58" s="26">
        <f>$I$14*$AA$14</f>
        <v>0</v>
      </c>
      <c r="AB58" s="26">
        <f>$I$14*$AB$14</f>
        <v>0</v>
      </c>
      <c r="AC58" s="26">
        <f>$I$14*$AC$14</f>
        <v>45984.826487913655</v>
      </c>
      <c r="AD58" s="26">
        <f>$I$14*$AD$14</f>
        <v>0</v>
      </c>
      <c r="AE58" s="26">
        <f>$I$14*$AE$14</f>
        <v>0</v>
      </c>
      <c r="AF58" s="26">
        <f>$I$14*$AF$14</f>
        <v>0</v>
      </c>
      <c r="AG58" s="26">
        <f>$I$14*$AG$14</f>
        <v>-760.53988796249689</v>
      </c>
      <c r="AH58" s="26">
        <f>$I$14*$AH$14</f>
        <v>0</v>
      </c>
    </row>
    <row r="59" spans="1:34" ht="11.25" customHeight="1" x14ac:dyDescent="0.3">
      <c r="A59" s="9" t="s">
        <v>22</v>
      </c>
      <c r="B59" s="9" t="s">
        <v>1075</v>
      </c>
      <c r="C59" s="9" t="s">
        <v>1076</v>
      </c>
      <c r="D59" s="9" t="s">
        <v>1089</v>
      </c>
      <c r="E59" s="9" t="s">
        <v>1090</v>
      </c>
      <c r="F59" s="9" t="s">
        <v>1091</v>
      </c>
      <c r="G59" s="9" t="s">
        <v>1092</v>
      </c>
      <c r="L59" s="26">
        <f>$I$15*$L$15</f>
        <v>691.14229353236351</v>
      </c>
      <c r="M59" s="26">
        <f>$I$15*$M$15</f>
        <v>0</v>
      </c>
      <c r="N59" s="26">
        <f>$I$15*$N$15</f>
        <v>0</v>
      </c>
      <c r="O59" s="26">
        <f>$I$15*$O$15</f>
        <v>1139.0057919398705</v>
      </c>
      <c r="P59" s="26">
        <f>$I$15*$P$15</f>
        <v>0</v>
      </c>
      <c r="Q59" s="26">
        <f>$I$15*$Q$15</f>
        <v>65022.066977370705</v>
      </c>
      <c r="R59" s="26">
        <f>$I$15*$R$15</f>
        <v>0</v>
      </c>
      <c r="S59" s="26">
        <f>$I$15*$S$15</f>
        <v>0</v>
      </c>
      <c r="T59" s="26">
        <f>$I$15*$T$15</f>
        <v>0</v>
      </c>
      <c r="U59" s="26">
        <f>$I$15*$U$15</f>
        <v>-2622.5754588754003</v>
      </c>
      <c r="V59" s="26">
        <f>$I$15*$V$15</f>
        <v>0</v>
      </c>
      <c r="X59" s="26">
        <f>$I$15*$X$15</f>
        <v>703.36127761904561</v>
      </c>
      <c r="Y59" s="26">
        <f>$I$15*$Y$15</f>
        <v>0</v>
      </c>
      <c r="Z59" s="26">
        <f>$I$15*$Z$15</f>
        <v>0</v>
      </c>
      <c r="AA59" s="26">
        <f>$I$15*$AA$15</f>
        <v>0</v>
      </c>
      <c r="AB59" s="26">
        <f>$I$15*$AB$15</f>
        <v>0</v>
      </c>
      <c r="AC59" s="26">
        <f>$I$15*$AC$15</f>
        <v>67404.421969975447</v>
      </c>
      <c r="AD59" s="26">
        <f>$I$15*$AD$15</f>
        <v>0</v>
      </c>
      <c r="AE59" s="26">
        <f>$I$15*$AE$15</f>
        <v>0</v>
      </c>
      <c r="AF59" s="26">
        <f>$I$15*$AF$15</f>
        <v>0</v>
      </c>
      <c r="AG59" s="26">
        <f>$I$15*$AG$15</f>
        <v>-1114.7971069695327</v>
      </c>
      <c r="AH59" s="26">
        <f>$I$15*$AH$15</f>
        <v>0</v>
      </c>
    </row>
    <row r="60" spans="1:34" ht="11.25" customHeight="1" x14ac:dyDescent="0.3">
      <c r="A60" s="9" t="s">
        <v>22</v>
      </c>
      <c r="B60" s="9" t="s">
        <v>1075</v>
      </c>
      <c r="C60" s="9" t="s">
        <v>1076</v>
      </c>
      <c r="D60" s="9" t="s">
        <v>1093</v>
      </c>
      <c r="E60" s="9" t="s">
        <v>1094</v>
      </c>
      <c r="F60" s="9" t="s">
        <v>1095</v>
      </c>
      <c r="G60" s="9" t="s">
        <v>1096</v>
      </c>
      <c r="L60" s="26">
        <f>$I$16*$L$16</f>
        <v>284.26058789989452</v>
      </c>
      <c r="M60" s="26">
        <f>$I$16*$M$16</f>
        <v>0</v>
      </c>
      <c r="N60" s="26">
        <f>$I$16*$N$16</f>
        <v>0</v>
      </c>
      <c r="O60" s="26">
        <f>$I$16*$O$16</f>
        <v>468.46280291057224</v>
      </c>
      <c r="P60" s="26">
        <f>$I$16*$P$16</f>
        <v>0</v>
      </c>
      <c r="Q60" s="26">
        <f>$I$16*$Q$16</f>
        <v>26742.989335796185</v>
      </c>
      <c r="R60" s="26">
        <f>$I$16*$R$16</f>
        <v>0</v>
      </c>
      <c r="S60" s="26">
        <f>$I$16*$S$16</f>
        <v>0</v>
      </c>
      <c r="T60" s="26">
        <f>$I$16*$T$16</f>
        <v>0</v>
      </c>
      <c r="U60" s="26">
        <f>$I$16*$U$16</f>
        <v>-1078.6416179823152</v>
      </c>
      <c r="V60" s="26">
        <f>$I$16*$V$16</f>
        <v>0</v>
      </c>
      <c r="X60" s="26">
        <f>$I$16*$X$16</f>
        <v>289.28614578069937</v>
      </c>
      <c r="Y60" s="26">
        <f>$I$16*$Y$16</f>
        <v>0</v>
      </c>
      <c r="Z60" s="26">
        <f>$I$16*$Z$16</f>
        <v>0</v>
      </c>
      <c r="AA60" s="26">
        <f>$I$16*$AA$16</f>
        <v>0</v>
      </c>
      <c r="AB60" s="26">
        <f>$I$16*$AB$16</f>
        <v>0</v>
      </c>
      <c r="AC60" s="26">
        <f>$I$16*$AC$16</f>
        <v>27722.830443946124</v>
      </c>
      <c r="AD60" s="26">
        <f>$I$16*$AD$16</f>
        <v>0</v>
      </c>
      <c r="AE60" s="26">
        <f>$I$16*$AE$16</f>
        <v>0</v>
      </c>
      <c r="AF60" s="26">
        <f>$I$16*$AF$16</f>
        <v>0</v>
      </c>
      <c r="AG60" s="26">
        <f>$I$16*$AG$16</f>
        <v>-458.5059892611269</v>
      </c>
      <c r="AH60" s="26">
        <f>$I$16*$AH$16</f>
        <v>0</v>
      </c>
    </row>
    <row r="61" spans="1:34" ht="11.25" customHeight="1" x14ac:dyDescent="0.3">
      <c r="A61" s="9" t="s">
        <v>22</v>
      </c>
      <c r="B61" s="9" t="s">
        <v>1097</v>
      </c>
      <c r="C61" s="9" t="s">
        <v>1098</v>
      </c>
      <c r="D61" s="9" t="s">
        <v>1099</v>
      </c>
      <c r="E61" s="9" t="s">
        <v>1100</v>
      </c>
      <c r="F61" s="9" t="s">
        <v>1101</v>
      </c>
      <c r="G61" s="9" t="s">
        <v>1102</v>
      </c>
      <c r="L61" s="26">
        <f>$I$17*$L$17</f>
        <v>0</v>
      </c>
      <c r="M61" s="26">
        <f>$I$17*$M$17</f>
        <v>0</v>
      </c>
      <c r="N61" s="26">
        <f>$I$17*$N$17</f>
        <v>0</v>
      </c>
      <c r="O61" s="26">
        <f>$I$17*$O$17</f>
        <v>0</v>
      </c>
      <c r="P61" s="26">
        <f>$I$17*$P$17</f>
        <v>0</v>
      </c>
      <c r="Q61" s="26">
        <f>$I$17*$Q$17</f>
        <v>0</v>
      </c>
      <c r="R61" s="26">
        <f>$I$17*$R$17</f>
        <v>0</v>
      </c>
      <c r="S61" s="26">
        <f>$I$17*$S$17</f>
        <v>0</v>
      </c>
      <c r="T61" s="26">
        <f>$I$17*$T$17</f>
        <v>0</v>
      </c>
      <c r="U61" s="26">
        <f>$I$17*$U$17</f>
        <v>0</v>
      </c>
      <c r="V61" s="26">
        <f>$I$17*$V$17</f>
        <v>0</v>
      </c>
      <c r="X61" s="26">
        <f>$I$17*$X$17</f>
        <v>0</v>
      </c>
      <c r="Y61" s="26">
        <f>$I$17*$Y$17</f>
        <v>0</v>
      </c>
      <c r="Z61" s="26">
        <f>$I$17*$Z$17</f>
        <v>0</v>
      </c>
      <c r="AA61" s="26">
        <f>$I$17*$AA$17</f>
        <v>0</v>
      </c>
      <c r="AB61" s="26">
        <f>$I$17*$AB$17</f>
        <v>0</v>
      </c>
      <c r="AC61" s="26">
        <f>$I$17*$AC$17</f>
        <v>0</v>
      </c>
      <c r="AD61" s="26">
        <f>$I$17*$AD$17</f>
        <v>0</v>
      </c>
      <c r="AE61" s="26">
        <f>$I$17*$AE$17</f>
        <v>0</v>
      </c>
      <c r="AF61" s="26">
        <f>$I$17*$AF$17</f>
        <v>0</v>
      </c>
      <c r="AG61" s="26">
        <f>$I$17*$AG$17</f>
        <v>0</v>
      </c>
      <c r="AH61" s="26">
        <f>$I$17*$AH$17</f>
        <v>0</v>
      </c>
    </row>
    <row r="62" spans="1:34" ht="11.25" customHeight="1" x14ac:dyDescent="0.3">
      <c r="A62" s="9" t="s">
        <v>22</v>
      </c>
      <c r="B62" s="9" t="s">
        <v>1097</v>
      </c>
      <c r="C62" s="9" t="s">
        <v>1098</v>
      </c>
      <c r="D62" s="9" t="s">
        <v>1103</v>
      </c>
      <c r="E62" s="9" t="s">
        <v>1104</v>
      </c>
      <c r="F62" s="9" t="s">
        <v>1105</v>
      </c>
      <c r="G62" s="9" t="s">
        <v>1106</v>
      </c>
      <c r="L62" s="26">
        <f>$I$18*$L$18</f>
        <v>0</v>
      </c>
      <c r="M62" s="26">
        <f>$I$18*$M$18</f>
        <v>0</v>
      </c>
      <c r="N62" s="26">
        <f>$I$18*$N$18</f>
        <v>0</v>
      </c>
      <c r="O62" s="26">
        <f>$I$18*$O$18</f>
        <v>0</v>
      </c>
      <c r="P62" s="26">
        <f>$I$18*$P$18</f>
        <v>0</v>
      </c>
      <c r="Q62" s="26">
        <f>$I$18*$Q$18</f>
        <v>0</v>
      </c>
      <c r="R62" s="26">
        <f>$I$18*$R$18</f>
        <v>0</v>
      </c>
      <c r="S62" s="26">
        <f>$I$18*$S$18</f>
        <v>0</v>
      </c>
      <c r="T62" s="26">
        <f>$I$18*$T$18</f>
        <v>0</v>
      </c>
      <c r="U62" s="26">
        <f>$I$18*$U$18</f>
        <v>0</v>
      </c>
      <c r="V62" s="26">
        <f>$I$18*$V$18</f>
        <v>0</v>
      </c>
      <c r="X62" s="26">
        <f>$I$18*$X$18</f>
        <v>0</v>
      </c>
      <c r="Y62" s="26">
        <f>$I$18*$Y$18</f>
        <v>0</v>
      </c>
      <c r="Z62" s="26">
        <f>$I$18*$Z$18</f>
        <v>0</v>
      </c>
      <c r="AA62" s="26">
        <f>$I$18*$AA$18</f>
        <v>0</v>
      </c>
      <c r="AB62" s="26">
        <f>$I$18*$AB$18</f>
        <v>0</v>
      </c>
      <c r="AC62" s="26">
        <f>$I$18*$AC$18</f>
        <v>0</v>
      </c>
      <c r="AD62" s="26">
        <f>$I$18*$AD$18</f>
        <v>0</v>
      </c>
      <c r="AE62" s="26">
        <f>$I$18*$AE$18</f>
        <v>0</v>
      </c>
      <c r="AF62" s="26">
        <f>$I$18*$AF$18</f>
        <v>0</v>
      </c>
      <c r="AG62" s="26">
        <f>$I$18*$AG$18</f>
        <v>0</v>
      </c>
      <c r="AH62" s="26">
        <f>$I$18*$AH$18</f>
        <v>0</v>
      </c>
    </row>
    <row r="63" spans="1:34" ht="11.25" customHeight="1" x14ac:dyDescent="0.3">
      <c r="A63" s="9" t="s">
        <v>22</v>
      </c>
      <c r="B63" s="9" t="s">
        <v>1097</v>
      </c>
      <c r="C63" s="9" t="s">
        <v>1098</v>
      </c>
      <c r="D63" s="9" t="s">
        <v>1107</v>
      </c>
      <c r="E63" s="9" t="s">
        <v>1108</v>
      </c>
      <c r="F63" s="9" t="s">
        <v>1109</v>
      </c>
      <c r="G63" s="9" t="s">
        <v>1110</v>
      </c>
      <c r="L63" s="26">
        <f>$I$19*$L$19</f>
        <v>0</v>
      </c>
      <c r="M63" s="26">
        <f>$I$19*$M$19</f>
        <v>0</v>
      </c>
      <c r="N63" s="26">
        <f>$I$19*$N$19</f>
        <v>0</v>
      </c>
      <c r="O63" s="26">
        <f>$I$19*$O$19</f>
        <v>0</v>
      </c>
      <c r="P63" s="26">
        <f>$I$19*$P$19</f>
        <v>0</v>
      </c>
      <c r="Q63" s="26">
        <f>$I$19*$Q$19</f>
        <v>0</v>
      </c>
      <c r="R63" s="26">
        <f>$I$19*$R$19</f>
        <v>0</v>
      </c>
      <c r="S63" s="26">
        <f>$I$19*$S$19</f>
        <v>0</v>
      </c>
      <c r="T63" s="26">
        <f>$I$19*$T$19</f>
        <v>0</v>
      </c>
      <c r="U63" s="26">
        <f>$I$19*$U$19</f>
        <v>0</v>
      </c>
      <c r="V63" s="26">
        <f>$I$19*$V$19</f>
        <v>0</v>
      </c>
      <c r="X63" s="26">
        <f>$I$19*$X$19</f>
        <v>0</v>
      </c>
      <c r="Y63" s="26">
        <f>$I$19*$Y$19</f>
        <v>0</v>
      </c>
      <c r="Z63" s="26">
        <f>$I$19*$Z$19</f>
        <v>0</v>
      </c>
      <c r="AA63" s="26">
        <f>$I$19*$AA$19</f>
        <v>0</v>
      </c>
      <c r="AB63" s="26">
        <f>$I$19*$AB$19</f>
        <v>0</v>
      </c>
      <c r="AC63" s="26">
        <f>$I$19*$AC$19</f>
        <v>0</v>
      </c>
      <c r="AD63" s="26">
        <f>$I$19*$AD$19</f>
        <v>0</v>
      </c>
      <c r="AE63" s="26">
        <f>$I$19*$AE$19</f>
        <v>0</v>
      </c>
      <c r="AF63" s="26">
        <f>$I$19*$AF$19</f>
        <v>0</v>
      </c>
      <c r="AG63" s="26">
        <f>$I$19*$AG$19</f>
        <v>0</v>
      </c>
      <c r="AH63" s="26">
        <f>$I$19*$AH$19</f>
        <v>0</v>
      </c>
    </row>
    <row r="64" spans="1:34" ht="11.25" customHeight="1" x14ac:dyDescent="0.3">
      <c r="A64" s="9" t="s">
        <v>22</v>
      </c>
      <c r="B64" s="9" t="s">
        <v>1097</v>
      </c>
      <c r="C64" s="9" t="s">
        <v>1098</v>
      </c>
      <c r="D64" s="9" t="s">
        <v>1111</v>
      </c>
      <c r="E64" s="9" t="s">
        <v>1112</v>
      </c>
      <c r="F64" s="9" t="s">
        <v>1113</v>
      </c>
      <c r="G64" s="9" t="s">
        <v>1114</v>
      </c>
      <c r="L64" s="26">
        <f>$I$20*$L$20</f>
        <v>0</v>
      </c>
      <c r="M64" s="26">
        <f>$I$20*$M$20</f>
        <v>0</v>
      </c>
      <c r="N64" s="26">
        <f>$I$20*$N$20</f>
        <v>0</v>
      </c>
      <c r="O64" s="26">
        <f>$I$20*$O$20</f>
        <v>0</v>
      </c>
      <c r="P64" s="26">
        <f>$I$20*$P$20</f>
        <v>0</v>
      </c>
      <c r="Q64" s="26">
        <f>$I$20*$Q$20</f>
        <v>0</v>
      </c>
      <c r="R64" s="26">
        <f>$I$20*$R$20</f>
        <v>0</v>
      </c>
      <c r="S64" s="26">
        <f>$I$20*$S$20</f>
        <v>0</v>
      </c>
      <c r="T64" s="26">
        <f>$I$20*$T$20</f>
        <v>0</v>
      </c>
      <c r="U64" s="26">
        <f>$I$20*$U$20</f>
        <v>0</v>
      </c>
      <c r="V64" s="26">
        <f>$I$20*$V$20</f>
        <v>0</v>
      </c>
      <c r="X64" s="26">
        <f>$I$20*$X$20</f>
        <v>0</v>
      </c>
      <c r="Y64" s="26">
        <f>$I$20*$Y$20</f>
        <v>0</v>
      </c>
      <c r="Z64" s="26">
        <f>$I$20*$Z$20</f>
        <v>0</v>
      </c>
      <c r="AA64" s="26">
        <f>$I$20*$AA$20</f>
        <v>0</v>
      </c>
      <c r="AB64" s="26">
        <f>$I$20*$AB$20</f>
        <v>0</v>
      </c>
      <c r="AC64" s="26">
        <f>$I$20*$AC$20</f>
        <v>0</v>
      </c>
      <c r="AD64" s="26">
        <f>$I$20*$AD$20</f>
        <v>0</v>
      </c>
      <c r="AE64" s="26">
        <f>$I$20*$AE$20</f>
        <v>0</v>
      </c>
      <c r="AF64" s="26">
        <f>$I$20*$AF$20</f>
        <v>0</v>
      </c>
      <c r="AG64" s="26">
        <f>$I$20*$AG$20</f>
        <v>0</v>
      </c>
      <c r="AH64" s="26">
        <f>$I$20*$AH$20</f>
        <v>0</v>
      </c>
    </row>
    <row r="65" spans="1:34" ht="11.25" customHeight="1" x14ac:dyDescent="0.3">
      <c r="A65" s="9" t="s">
        <v>22</v>
      </c>
      <c r="B65" s="9" t="s">
        <v>1097</v>
      </c>
      <c r="C65" s="9" t="s">
        <v>1098</v>
      </c>
      <c r="D65" s="9" t="s">
        <v>1115</v>
      </c>
      <c r="E65" s="9" t="s">
        <v>1116</v>
      </c>
      <c r="F65" s="9" t="s">
        <v>1117</v>
      </c>
      <c r="G65" s="9" t="s">
        <v>1118</v>
      </c>
      <c r="L65" s="26">
        <f>$I$21*$L$21</f>
        <v>0</v>
      </c>
      <c r="M65" s="26">
        <f>$I$21*$M$21</f>
        <v>0</v>
      </c>
      <c r="N65" s="26">
        <f>$I$21*$N$21</f>
        <v>0</v>
      </c>
      <c r="O65" s="26">
        <f>$I$21*$O$21</f>
        <v>0</v>
      </c>
      <c r="P65" s="26">
        <f>$I$21*$P$21</f>
        <v>0</v>
      </c>
      <c r="Q65" s="26">
        <f>$I$21*$Q$21</f>
        <v>0</v>
      </c>
      <c r="R65" s="26">
        <f>$I$21*$R$21</f>
        <v>0</v>
      </c>
      <c r="S65" s="26">
        <f>$I$21*$S$21</f>
        <v>0</v>
      </c>
      <c r="T65" s="26">
        <f>$I$21*$T$21</f>
        <v>0</v>
      </c>
      <c r="U65" s="26">
        <f>$I$21*$U$21</f>
        <v>0</v>
      </c>
      <c r="V65" s="26">
        <f>$I$21*$V$21</f>
        <v>0</v>
      </c>
      <c r="X65" s="26">
        <f>$I$21*$X$21</f>
        <v>0</v>
      </c>
      <c r="Y65" s="26">
        <f>$I$21*$Y$21</f>
        <v>0</v>
      </c>
      <c r="Z65" s="26">
        <f>$I$21*$Z$21</f>
        <v>0</v>
      </c>
      <c r="AA65" s="26">
        <f>$I$21*$AA$21</f>
        <v>0</v>
      </c>
      <c r="AB65" s="26">
        <f>$I$21*$AB$21</f>
        <v>0</v>
      </c>
      <c r="AC65" s="26">
        <f>$I$21*$AC$21</f>
        <v>0</v>
      </c>
      <c r="AD65" s="26">
        <f>$I$21*$AD$21</f>
        <v>0</v>
      </c>
      <c r="AE65" s="26">
        <f>$I$21*$AE$21</f>
        <v>0</v>
      </c>
      <c r="AF65" s="26">
        <f>$I$21*$AF$21</f>
        <v>0</v>
      </c>
      <c r="AG65" s="26">
        <f>$I$21*$AG$21</f>
        <v>0</v>
      </c>
      <c r="AH65" s="26">
        <f>$I$21*$AH$21</f>
        <v>0</v>
      </c>
    </row>
    <row r="66" spans="1:34" ht="11.25" customHeight="1" x14ac:dyDescent="0.3">
      <c r="A66" s="9" t="s">
        <v>41</v>
      </c>
      <c r="B66" s="9" t="s">
        <v>1119</v>
      </c>
      <c r="C66" s="9" t="s">
        <v>1120</v>
      </c>
      <c r="D66" s="9" t="s">
        <v>1121</v>
      </c>
      <c r="E66" s="9" t="s">
        <v>1122</v>
      </c>
      <c r="F66" s="9" t="s">
        <v>1123</v>
      </c>
      <c r="G66" s="9" t="s">
        <v>1124</v>
      </c>
      <c r="L66" s="26">
        <f>$I$22*$L$22</f>
        <v>0</v>
      </c>
      <c r="M66" s="26">
        <f>$I$22*$M$22</f>
        <v>0</v>
      </c>
      <c r="N66" s="26">
        <f>$I$22*$N$22</f>
        <v>0</v>
      </c>
      <c r="O66" s="26">
        <f>$I$22*$O$22</f>
        <v>0</v>
      </c>
      <c r="P66" s="26">
        <f>$I$22*$P$22</f>
        <v>0</v>
      </c>
      <c r="Q66" s="26">
        <f>$I$22*$Q$22</f>
        <v>0</v>
      </c>
      <c r="R66" s="26">
        <f>$I$22*$R$22</f>
        <v>0</v>
      </c>
      <c r="S66" s="26">
        <f>$I$22*$S$22</f>
        <v>0</v>
      </c>
      <c r="T66" s="26">
        <f>$I$22*$T$22</f>
        <v>0</v>
      </c>
      <c r="U66" s="26">
        <f>$I$22*$U$22</f>
        <v>0</v>
      </c>
      <c r="V66" s="26">
        <f>$I$22*$V$22</f>
        <v>0</v>
      </c>
      <c r="X66" s="26">
        <f>$I$22*$X$22</f>
        <v>0</v>
      </c>
      <c r="Y66" s="26">
        <f>$I$22*$Y$22</f>
        <v>0</v>
      </c>
      <c r="Z66" s="26">
        <f>$I$22*$Z$22</f>
        <v>0</v>
      </c>
      <c r="AA66" s="26">
        <f>$I$22*$AA$22</f>
        <v>0</v>
      </c>
      <c r="AB66" s="26">
        <f>$I$22*$AB$22</f>
        <v>0</v>
      </c>
      <c r="AC66" s="26">
        <f>$I$22*$AC$22</f>
        <v>0</v>
      </c>
      <c r="AD66" s="26">
        <f>$I$22*$AD$22</f>
        <v>0</v>
      </c>
      <c r="AE66" s="26">
        <f>$I$22*$AE$22</f>
        <v>0</v>
      </c>
      <c r="AF66" s="26">
        <f>$I$22*$AF$22</f>
        <v>0</v>
      </c>
      <c r="AG66" s="26">
        <f>$I$22*$AG$22</f>
        <v>0</v>
      </c>
      <c r="AH66" s="26">
        <f>$I$22*$AH$22</f>
        <v>0</v>
      </c>
    </row>
    <row r="67" spans="1:34" ht="11.25" customHeight="1" x14ac:dyDescent="0.3">
      <c r="A67" s="9" t="s">
        <v>41</v>
      </c>
      <c r="B67" s="9" t="s">
        <v>1119</v>
      </c>
      <c r="C67" s="9" t="s">
        <v>1120</v>
      </c>
      <c r="D67" s="9" t="s">
        <v>1121</v>
      </c>
      <c r="E67" s="9" t="s">
        <v>1122</v>
      </c>
      <c r="F67" s="9" t="s">
        <v>1123</v>
      </c>
      <c r="G67" s="9" t="s">
        <v>1125</v>
      </c>
      <c r="L67" s="26">
        <f>$I$23*$L$23</f>
        <v>0</v>
      </c>
      <c r="M67" s="26">
        <f>$I$23*$M$23</f>
        <v>0</v>
      </c>
      <c r="N67" s="26">
        <f>$I$23*$N$23</f>
        <v>0</v>
      </c>
      <c r="O67" s="26">
        <f>$I$23*$O$23</f>
        <v>0</v>
      </c>
      <c r="P67" s="26">
        <f>$I$23*$P$23</f>
        <v>0</v>
      </c>
      <c r="Q67" s="26">
        <f>$I$23*$Q$23</f>
        <v>0</v>
      </c>
      <c r="R67" s="26">
        <f>$I$23*$R$23</f>
        <v>0</v>
      </c>
      <c r="S67" s="26">
        <f>$I$23*$S$23</f>
        <v>0</v>
      </c>
      <c r="T67" s="26">
        <f>$I$23*$T$23</f>
        <v>0</v>
      </c>
      <c r="U67" s="26">
        <f>$I$23*$U$23</f>
        <v>0</v>
      </c>
      <c r="V67" s="26">
        <f>$I$23*$V$23</f>
        <v>0</v>
      </c>
      <c r="X67" s="26">
        <f>$I$23*$X$23</f>
        <v>0</v>
      </c>
      <c r="Y67" s="26">
        <f>$I$23*$Y$23</f>
        <v>0</v>
      </c>
      <c r="Z67" s="26">
        <f>$I$23*$Z$23</f>
        <v>0</v>
      </c>
      <c r="AA67" s="26">
        <f>$I$23*$AA$23</f>
        <v>0</v>
      </c>
      <c r="AB67" s="26">
        <f>$I$23*$AB$23</f>
        <v>0</v>
      </c>
      <c r="AC67" s="26">
        <f>$I$23*$AC$23</f>
        <v>0</v>
      </c>
      <c r="AD67" s="26">
        <f>$I$23*$AD$23</f>
        <v>0</v>
      </c>
      <c r="AE67" s="26">
        <f>$I$23*$AE$23</f>
        <v>0</v>
      </c>
      <c r="AF67" s="26">
        <f>$I$23*$AF$23</f>
        <v>0</v>
      </c>
      <c r="AG67" s="26">
        <f>$I$23*$AG$23</f>
        <v>0</v>
      </c>
      <c r="AH67" s="26">
        <f>$I$23*$AH$23</f>
        <v>0</v>
      </c>
    </row>
    <row r="68" spans="1:34" ht="11.25" customHeight="1" x14ac:dyDescent="0.3">
      <c r="A68" s="9" t="s">
        <v>41</v>
      </c>
      <c r="B68" s="9" t="s">
        <v>1119</v>
      </c>
      <c r="C68" s="9" t="s">
        <v>1120</v>
      </c>
      <c r="D68" s="9" t="s">
        <v>1121</v>
      </c>
      <c r="E68" s="9" t="s">
        <v>1122</v>
      </c>
      <c r="F68" s="9" t="s">
        <v>1123</v>
      </c>
      <c r="G68" s="9" t="s">
        <v>1126</v>
      </c>
      <c r="L68" s="26">
        <f>$I$24*$L$24</f>
        <v>0</v>
      </c>
      <c r="M68" s="26">
        <f>$I$24*$M$24</f>
        <v>0</v>
      </c>
      <c r="N68" s="26">
        <f>$I$24*$N$24</f>
        <v>0</v>
      </c>
      <c r="O68" s="26">
        <f>$I$24*$O$24</f>
        <v>0</v>
      </c>
      <c r="P68" s="26">
        <f>$I$24*$P$24</f>
        <v>0</v>
      </c>
      <c r="Q68" s="26">
        <f>$I$24*$Q$24</f>
        <v>0</v>
      </c>
      <c r="R68" s="26">
        <f>$I$24*$R$24</f>
        <v>0</v>
      </c>
      <c r="S68" s="26">
        <f>$I$24*$S$24</f>
        <v>0</v>
      </c>
      <c r="T68" s="26">
        <f>$I$24*$T$24</f>
        <v>0</v>
      </c>
      <c r="U68" s="26">
        <f>$I$24*$U$24</f>
        <v>0</v>
      </c>
      <c r="V68" s="26">
        <f>$I$24*$V$24</f>
        <v>0</v>
      </c>
      <c r="X68" s="26">
        <f>$I$24*$X$24</f>
        <v>0</v>
      </c>
      <c r="Y68" s="26">
        <f>$I$24*$Y$24</f>
        <v>0</v>
      </c>
      <c r="Z68" s="26">
        <f>$I$24*$Z$24</f>
        <v>0</v>
      </c>
      <c r="AA68" s="26">
        <f>$I$24*$AA$24</f>
        <v>0</v>
      </c>
      <c r="AB68" s="26">
        <f>$I$24*$AB$24</f>
        <v>0</v>
      </c>
      <c r="AC68" s="26">
        <f>$I$24*$AC$24</f>
        <v>0</v>
      </c>
      <c r="AD68" s="26">
        <f>$I$24*$AD$24</f>
        <v>0</v>
      </c>
      <c r="AE68" s="26">
        <f>$I$24*$AE$24</f>
        <v>0</v>
      </c>
      <c r="AF68" s="26">
        <f>$I$24*$AF$24</f>
        <v>0</v>
      </c>
      <c r="AG68" s="26">
        <f>$I$24*$AG$24</f>
        <v>0</v>
      </c>
      <c r="AH68" s="26">
        <f>$I$24*$AH$24</f>
        <v>0</v>
      </c>
    </row>
    <row r="69" spans="1:34" ht="11.25" customHeight="1" x14ac:dyDescent="0.3">
      <c r="A69" s="9" t="s">
        <v>41</v>
      </c>
      <c r="B69" s="9" t="s">
        <v>1127</v>
      </c>
      <c r="C69" s="9" t="s">
        <v>1128</v>
      </c>
      <c r="D69" s="9" t="s">
        <v>1129</v>
      </c>
      <c r="E69" s="9" t="s">
        <v>1130</v>
      </c>
      <c r="F69" s="9" t="s">
        <v>1131</v>
      </c>
      <c r="G69" s="9" t="s">
        <v>1132</v>
      </c>
      <c r="L69" s="26">
        <f>$I$25*$L$25</f>
        <v>9041.6866069811203</v>
      </c>
      <c r="M69" s="26">
        <f>$I$25*$M$25</f>
        <v>0</v>
      </c>
      <c r="N69" s="26">
        <f>$I$25*$N$25</f>
        <v>0</v>
      </c>
      <c r="O69" s="26">
        <f>$I$25*$O$25</f>
        <v>14900.742597623148</v>
      </c>
      <c r="P69" s="26">
        <f>$I$25*$P$25</f>
        <v>0</v>
      </c>
      <c r="Q69" s="26">
        <f>$I$25*$Q$25</f>
        <v>850634.02666732145</v>
      </c>
      <c r="R69" s="26">
        <f>$I$25*$R$25</f>
        <v>0</v>
      </c>
      <c r="S69" s="26">
        <f>$I$25*$S$25</f>
        <v>0</v>
      </c>
      <c r="T69" s="26">
        <f>$I$25*$T$25</f>
        <v>0</v>
      </c>
      <c r="U69" s="26">
        <f>$I$25*$U$25</f>
        <v>-34309.151131699196</v>
      </c>
      <c r="V69" s="26">
        <f>$I$25*$V$25</f>
        <v>0</v>
      </c>
      <c r="X69" s="26">
        <f>$I$25*$X$25</f>
        <v>8614.2060125893076</v>
      </c>
      <c r="Y69" s="26">
        <f>$I$25*$Y$25</f>
        <v>0</v>
      </c>
      <c r="Z69" s="26">
        <f>$I$25*$Z$25</f>
        <v>0</v>
      </c>
      <c r="AA69" s="26">
        <f>$I$25*$AA$25</f>
        <v>0</v>
      </c>
      <c r="AB69" s="26">
        <f>$I$25*$AB$25</f>
        <v>0</v>
      </c>
      <c r="AC69" s="26">
        <f>$I$25*$AC$25</f>
        <v>825515.4150287963</v>
      </c>
      <c r="AD69" s="26">
        <f>$I$25*$AD$25</f>
        <v>0</v>
      </c>
      <c r="AE69" s="26">
        <f>$I$25*$AE$25</f>
        <v>0</v>
      </c>
      <c r="AF69" s="26">
        <f>$I$25*$AF$25</f>
        <v>0</v>
      </c>
      <c r="AG69" s="26">
        <f>$I$25*$AG$25</f>
        <v>-13653.142769220442</v>
      </c>
      <c r="AH69" s="26">
        <f>$I$25*$AH$25</f>
        <v>0</v>
      </c>
    </row>
    <row r="70" spans="1:34" ht="11.25" customHeight="1" x14ac:dyDescent="0.3">
      <c r="A70" s="9" t="s">
        <v>41</v>
      </c>
      <c r="B70" s="9" t="s">
        <v>1119</v>
      </c>
      <c r="C70" s="9" t="s">
        <v>1120</v>
      </c>
      <c r="D70" s="9" t="s">
        <v>1133</v>
      </c>
      <c r="E70" s="9" t="s">
        <v>1134</v>
      </c>
      <c r="F70" s="9" t="s">
        <v>1135</v>
      </c>
      <c r="G70" s="9" t="s">
        <v>1136</v>
      </c>
      <c r="L70" s="26">
        <f>$I$26*$L$26</f>
        <v>0</v>
      </c>
      <c r="M70" s="26">
        <f>$I$26*$M$26</f>
        <v>0</v>
      </c>
      <c r="N70" s="26">
        <f>$I$26*$N$26</f>
        <v>0</v>
      </c>
      <c r="O70" s="26">
        <f>$I$26*$O$26</f>
        <v>0</v>
      </c>
      <c r="P70" s="26">
        <f>$I$26*$P$26</f>
        <v>0</v>
      </c>
      <c r="Q70" s="26">
        <f>$I$26*$Q$26</f>
        <v>0</v>
      </c>
      <c r="R70" s="26">
        <f>$I$26*$R$26</f>
        <v>0</v>
      </c>
      <c r="S70" s="26">
        <f>$I$26*$S$26</f>
        <v>0</v>
      </c>
      <c r="T70" s="26">
        <f>$I$26*$T$26</f>
        <v>0</v>
      </c>
      <c r="U70" s="26">
        <f>$I$26*$U$26</f>
        <v>0</v>
      </c>
      <c r="V70" s="26">
        <f>$I$26*$V$26</f>
        <v>0</v>
      </c>
      <c r="X70" s="26">
        <f>$I$26*$X$26</f>
        <v>0</v>
      </c>
      <c r="Y70" s="26">
        <f>$I$26*$Y$26</f>
        <v>0</v>
      </c>
      <c r="Z70" s="26">
        <f>$I$26*$Z$26</f>
        <v>0</v>
      </c>
      <c r="AA70" s="26">
        <f>$I$26*$AA$26</f>
        <v>0</v>
      </c>
      <c r="AB70" s="26">
        <f>$I$26*$AB$26</f>
        <v>0</v>
      </c>
      <c r="AC70" s="26">
        <f>$I$26*$AC$26</f>
        <v>0</v>
      </c>
      <c r="AD70" s="26">
        <f>$I$26*$AD$26</f>
        <v>0</v>
      </c>
      <c r="AE70" s="26">
        <f>$I$26*$AE$26</f>
        <v>0</v>
      </c>
      <c r="AF70" s="26">
        <f>$I$26*$AF$26</f>
        <v>0</v>
      </c>
      <c r="AG70" s="26">
        <f>$I$26*$AG$26</f>
        <v>0</v>
      </c>
      <c r="AH70" s="26">
        <f>$I$26*$AH$26</f>
        <v>0</v>
      </c>
    </row>
    <row r="71" spans="1:34" ht="11.25" customHeight="1" x14ac:dyDescent="0.3">
      <c r="A71" s="9" t="s">
        <v>41</v>
      </c>
      <c r="B71" s="9" t="s">
        <v>1119</v>
      </c>
      <c r="C71" s="9" t="s">
        <v>1120</v>
      </c>
      <c r="D71" s="9" t="s">
        <v>1133</v>
      </c>
      <c r="E71" s="9" t="s">
        <v>1134</v>
      </c>
      <c r="F71" s="9" t="s">
        <v>1135</v>
      </c>
      <c r="G71" s="9" t="s">
        <v>1137</v>
      </c>
      <c r="L71" s="26">
        <f>$I$27*$L$27</f>
        <v>0</v>
      </c>
      <c r="M71" s="26">
        <f>$I$27*$M$27</f>
        <v>0</v>
      </c>
      <c r="N71" s="26">
        <f>$I$27*$N$27</f>
        <v>0</v>
      </c>
      <c r="O71" s="26">
        <f>$I$27*$O$27</f>
        <v>0</v>
      </c>
      <c r="P71" s="26">
        <f>$I$27*$P$27</f>
        <v>0</v>
      </c>
      <c r="Q71" s="26">
        <f>$I$27*$Q$27</f>
        <v>0</v>
      </c>
      <c r="R71" s="26">
        <f>$I$27*$R$27</f>
        <v>0</v>
      </c>
      <c r="S71" s="26">
        <f>$I$27*$S$27</f>
        <v>0</v>
      </c>
      <c r="T71" s="26">
        <f>$I$27*$T$27</f>
        <v>0</v>
      </c>
      <c r="U71" s="26">
        <f>$I$27*$U$27</f>
        <v>0</v>
      </c>
      <c r="V71" s="26">
        <f>$I$27*$V$27</f>
        <v>0</v>
      </c>
      <c r="X71" s="26">
        <f>$I$27*$X$27</f>
        <v>0</v>
      </c>
      <c r="Y71" s="26">
        <f>$I$27*$Y$27</f>
        <v>0</v>
      </c>
      <c r="Z71" s="26">
        <f>$I$27*$Z$27</f>
        <v>0</v>
      </c>
      <c r="AA71" s="26">
        <f>$I$27*$AA$27</f>
        <v>0</v>
      </c>
      <c r="AB71" s="26">
        <f>$I$27*$AB$27</f>
        <v>0</v>
      </c>
      <c r="AC71" s="26">
        <f>$I$27*$AC$27</f>
        <v>0</v>
      </c>
      <c r="AD71" s="26">
        <f>$I$27*$AD$27</f>
        <v>0</v>
      </c>
      <c r="AE71" s="26">
        <f>$I$27*$AE$27</f>
        <v>0</v>
      </c>
      <c r="AF71" s="26">
        <f>$I$27*$AF$27</f>
        <v>0</v>
      </c>
      <c r="AG71" s="26">
        <f>$I$27*$AG$27</f>
        <v>0</v>
      </c>
      <c r="AH71" s="26">
        <f>$I$27*$AH$27</f>
        <v>0</v>
      </c>
    </row>
    <row r="72" spans="1:34" ht="11.25" customHeight="1" x14ac:dyDescent="0.3">
      <c r="A72" s="9" t="s">
        <v>41</v>
      </c>
      <c r="B72" s="9" t="s">
        <v>1119</v>
      </c>
      <c r="C72" s="9" t="s">
        <v>1120</v>
      </c>
      <c r="D72" s="9" t="s">
        <v>1133</v>
      </c>
      <c r="E72" s="9" t="s">
        <v>1134</v>
      </c>
      <c r="F72" s="9" t="s">
        <v>1135</v>
      </c>
      <c r="G72" s="9" t="s">
        <v>1138</v>
      </c>
      <c r="L72" s="26">
        <f>$I$28*$L$28</f>
        <v>0</v>
      </c>
      <c r="M72" s="26">
        <f>$I$28*$M$28</f>
        <v>0</v>
      </c>
      <c r="N72" s="26">
        <f>$I$28*$N$28</f>
        <v>0</v>
      </c>
      <c r="O72" s="26">
        <f>$I$28*$O$28</f>
        <v>0</v>
      </c>
      <c r="P72" s="26">
        <f>$I$28*$P$28</f>
        <v>0</v>
      </c>
      <c r="Q72" s="26">
        <f>$I$28*$Q$28</f>
        <v>0</v>
      </c>
      <c r="R72" s="26">
        <f>$I$28*$R$28</f>
        <v>0</v>
      </c>
      <c r="S72" s="26">
        <f>$I$28*$S$28</f>
        <v>0</v>
      </c>
      <c r="T72" s="26">
        <f>$I$28*$T$28</f>
        <v>0</v>
      </c>
      <c r="U72" s="26">
        <f>$I$28*$U$28</f>
        <v>0</v>
      </c>
      <c r="V72" s="26">
        <f>$I$28*$V$28</f>
        <v>0</v>
      </c>
      <c r="X72" s="26">
        <f>$I$28*$X$28</f>
        <v>0</v>
      </c>
      <c r="Y72" s="26">
        <f>$I$28*$Y$28</f>
        <v>0</v>
      </c>
      <c r="Z72" s="26">
        <f>$I$28*$Z$28</f>
        <v>0</v>
      </c>
      <c r="AA72" s="26">
        <f>$I$28*$AA$28</f>
        <v>0</v>
      </c>
      <c r="AB72" s="26">
        <f>$I$28*$AB$28</f>
        <v>0</v>
      </c>
      <c r="AC72" s="26">
        <f>$I$28*$AC$28</f>
        <v>0</v>
      </c>
      <c r="AD72" s="26">
        <f>$I$28*$AD$28</f>
        <v>0</v>
      </c>
      <c r="AE72" s="26">
        <f>$I$28*$AE$28</f>
        <v>0</v>
      </c>
      <c r="AF72" s="26">
        <f>$I$28*$AF$28</f>
        <v>0</v>
      </c>
      <c r="AG72" s="26">
        <f>$I$28*$AG$28</f>
        <v>0</v>
      </c>
      <c r="AH72" s="26">
        <f>$I$28*$AH$28</f>
        <v>0</v>
      </c>
    </row>
    <row r="73" spans="1:34" ht="11.25" customHeight="1" x14ac:dyDescent="0.3">
      <c r="A73" s="9" t="s">
        <v>41</v>
      </c>
      <c r="B73" s="9" t="s">
        <v>1127</v>
      </c>
      <c r="C73" s="9" t="s">
        <v>1128</v>
      </c>
      <c r="D73" s="9" t="s">
        <v>1139</v>
      </c>
      <c r="E73" s="9" t="s">
        <v>1140</v>
      </c>
      <c r="F73" s="9" t="s">
        <v>1141</v>
      </c>
      <c r="G73" s="9" t="s">
        <v>1142</v>
      </c>
      <c r="L73" s="26">
        <f>$I$29*$L$29</f>
        <v>0</v>
      </c>
      <c r="M73" s="26">
        <f>$I$29*$M$29</f>
        <v>0</v>
      </c>
      <c r="N73" s="26">
        <f>$I$29*$N$29</f>
        <v>0</v>
      </c>
      <c r="O73" s="26">
        <f>$I$29*$O$29</f>
        <v>0</v>
      </c>
      <c r="P73" s="26">
        <f>$I$29*$P$29</f>
        <v>0</v>
      </c>
      <c r="Q73" s="26">
        <f>$I$29*$Q$29</f>
        <v>0</v>
      </c>
      <c r="R73" s="26">
        <f>$I$29*$R$29</f>
        <v>0</v>
      </c>
      <c r="S73" s="26">
        <f>$I$29*$S$29</f>
        <v>0</v>
      </c>
      <c r="T73" s="26">
        <f>$I$29*$T$29</f>
        <v>0</v>
      </c>
      <c r="U73" s="26">
        <f>$I$29*$U$29</f>
        <v>0</v>
      </c>
      <c r="V73" s="26">
        <f>$I$29*$V$29</f>
        <v>0</v>
      </c>
      <c r="X73" s="26">
        <f>$I$29*$X$29</f>
        <v>0</v>
      </c>
      <c r="Y73" s="26">
        <f>$I$29*$Y$29</f>
        <v>0</v>
      </c>
      <c r="Z73" s="26">
        <f>$I$29*$Z$29</f>
        <v>0</v>
      </c>
      <c r="AA73" s="26">
        <f>$I$29*$AA$29</f>
        <v>0</v>
      </c>
      <c r="AB73" s="26">
        <f>$I$29*$AB$29</f>
        <v>0</v>
      </c>
      <c r="AC73" s="26">
        <f>$I$29*$AC$29</f>
        <v>0</v>
      </c>
      <c r="AD73" s="26">
        <f>$I$29*$AD$29</f>
        <v>0</v>
      </c>
      <c r="AE73" s="26">
        <f>$I$29*$AE$29</f>
        <v>0</v>
      </c>
      <c r="AF73" s="26">
        <f>$I$29*$AF$29</f>
        <v>0</v>
      </c>
      <c r="AG73" s="26">
        <f>$I$29*$AG$29</f>
        <v>0</v>
      </c>
      <c r="AH73" s="26">
        <f>$I$29*$AH$29</f>
        <v>0</v>
      </c>
    </row>
    <row r="74" spans="1:34" ht="11.25" customHeight="1" x14ac:dyDescent="0.3">
      <c r="A74" s="9" t="s">
        <v>41</v>
      </c>
      <c r="B74" s="9" t="s">
        <v>1119</v>
      </c>
      <c r="C74" s="9" t="s">
        <v>1120</v>
      </c>
      <c r="D74" s="9" t="s">
        <v>1143</v>
      </c>
      <c r="E74" s="9" t="s">
        <v>1144</v>
      </c>
      <c r="F74" s="9" t="s">
        <v>1145</v>
      </c>
      <c r="G74" s="9" t="s">
        <v>1146</v>
      </c>
      <c r="L74" s="26">
        <f>$I$30*$L$30</f>
        <v>0</v>
      </c>
      <c r="M74" s="26">
        <f>$I$30*$M$30</f>
        <v>0</v>
      </c>
      <c r="N74" s="26">
        <f>$I$30*$N$30</f>
        <v>0</v>
      </c>
      <c r="O74" s="26">
        <f>$I$30*$O$30</f>
        <v>0</v>
      </c>
      <c r="P74" s="26">
        <f>$I$30*$P$30</f>
        <v>0</v>
      </c>
      <c r="Q74" s="26">
        <f>$I$30*$Q$30</f>
        <v>0</v>
      </c>
      <c r="R74" s="26">
        <f>$I$30*$R$30</f>
        <v>0</v>
      </c>
      <c r="S74" s="26">
        <f>$I$30*$S$30</f>
        <v>0</v>
      </c>
      <c r="T74" s="26">
        <f>$I$30*$T$30</f>
        <v>0</v>
      </c>
      <c r="U74" s="26">
        <f>$I$30*$U$30</f>
        <v>0</v>
      </c>
      <c r="V74" s="26">
        <f>$I$30*$V$30</f>
        <v>0</v>
      </c>
      <c r="X74" s="26">
        <f>$I$30*$X$30</f>
        <v>0</v>
      </c>
      <c r="Y74" s="26">
        <f>$I$30*$Y$30</f>
        <v>0</v>
      </c>
      <c r="Z74" s="26">
        <f>$I$30*$Z$30</f>
        <v>0</v>
      </c>
      <c r="AA74" s="26">
        <f>$I$30*$AA$30</f>
        <v>0</v>
      </c>
      <c r="AB74" s="26">
        <f>$I$30*$AB$30</f>
        <v>0</v>
      </c>
      <c r="AC74" s="26">
        <f>$I$30*$AC$30</f>
        <v>0</v>
      </c>
      <c r="AD74" s="26">
        <f>$I$30*$AD$30</f>
        <v>0</v>
      </c>
      <c r="AE74" s="26">
        <f>$I$30*$AE$30</f>
        <v>0</v>
      </c>
      <c r="AF74" s="26">
        <f>$I$30*$AF$30</f>
        <v>0</v>
      </c>
      <c r="AG74" s="26">
        <f>$I$30*$AG$30</f>
        <v>0</v>
      </c>
      <c r="AH74" s="26">
        <f>$I$30*$AH$30</f>
        <v>0</v>
      </c>
    </row>
    <row r="75" spans="1:34" ht="11.25" customHeight="1" x14ac:dyDescent="0.3">
      <c r="A75" s="9" t="s">
        <v>41</v>
      </c>
      <c r="B75" s="9" t="s">
        <v>1119</v>
      </c>
      <c r="C75" s="9" t="s">
        <v>1120</v>
      </c>
      <c r="D75" s="9" t="s">
        <v>1143</v>
      </c>
      <c r="E75" s="9" t="s">
        <v>1144</v>
      </c>
      <c r="F75" s="9" t="s">
        <v>1145</v>
      </c>
      <c r="G75" s="9" t="s">
        <v>1147</v>
      </c>
      <c r="L75" s="26">
        <f>$I$31*$L$31</f>
        <v>0</v>
      </c>
      <c r="M75" s="26">
        <f>$I$31*$M$31</f>
        <v>0</v>
      </c>
      <c r="N75" s="26">
        <f>$I$31*$N$31</f>
        <v>0</v>
      </c>
      <c r="O75" s="26">
        <f>$I$31*$O$31</f>
        <v>0</v>
      </c>
      <c r="P75" s="26">
        <f>$I$31*$P$31</f>
        <v>0</v>
      </c>
      <c r="Q75" s="26">
        <f>$I$31*$Q$31</f>
        <v>0</v>
      </c>
      <c r="R75" s="26">
        <f>$I$31*$R$31</f>
        <v>0</v>
      </c>
      <c r="S75" s="26">
        <f>$I$31*$S$31</f>
        <v>0</v>
      </c>
      <c r="T75" s="26">
        <f>$I$31*$T$31</f>
        <v>0</v>
      </c>
      <c r="U75" s="26">
        <f>$I$31*$U$31</f>
        <v>0</v>
      </c>
      <c r="V75" s="26">
        <f>$I$31*$V$31</f>
        <v>0</v>
      </c>
      <c r="X75" s="26">
        <f>$I$31*$X$31</f>
        <v>0</v>
      </c>
      <c r="Y75" s="26">
        <f>$I$31*$Y$31</f>
        <v>0</v>
      </c>
      <c r="Z75" s="26">
        <f>$I$31*$Z$31</f>
        <v>0</v>
      </c>
      <c r="AA75" s="26">
        <f>$I$31*$AA$31</f>
        <v>0</v>
      </c>
      <c r="AB75" s="26">
        <f>$I$31*$AB$31</f>
        <v>0</v>
      </c>
      <c r="AC75" s="26">
        <f>$I$31*$AC$31</f>
        <v>0</v>
      </c>
      <c r="AD75" s="26">
        <f>$I$31*$AD$31</f>
        <v>0</v>
      </c>
      <c r="AE75" s="26">
        <f>$I$31*$AE$31</f>
        <v>0</v>
      </c>
      <c r="AF75" s="26">
        <f>$I$31*$AF$31</f>
        <v>0</v>
      </c>
      <c r="AG75" s="26">
        <f>$I$31*$AG$31</f>
        <v>0</v>
      </c>
      <c r="AH75" s="26">
        <f>$I$31*$AH$31</f>
        <v>0</v>
      </c>
    </row>
    <row r="76" spans="1:34" ht="11.25" customHeight="1" x14ac:dyDescent="0.3">
      <c r="A76" s="9" t="s">
        <v>41</v>
      </c>
      <c r="B76" s="9" t="s">
        <v>1119</v>
      </c>
      <c r="C76" s="9" t="s">
        <v>1120</v>
      </c>
      <c r="D76" s="9" t="s">
        <v>1143</v>
      </c>
      <c r="E76" s="9" t="s">
        <v>1144</v>
      </c>
      <c r="F76" s="9" t="s">
        <v>1145</v>
      </c>
      <c r="G76" s="9" t="s">
        <v>1148</v>
      </c>
      <c r="L76" s="26">
        <f>$I$32*$L$32</f>
        <v>0</v>
      </c>
      <c r="M76" s="26">
        <f>$I$32*$M$32</f>
        <v>0</v>
      </c>
      <c r="N76" s="26">
        <f>$I$32*$N$32</f>
        <v>0</v>
      </c>
      <c r="O76" s="26">
        <f>$I$32*$O$32</f>
        <v>0</v>
      </c>
      <c r="P76" s="26">
        <f>$I$32*$P$32</f>
        <v>0</v>
      </c>
      <c r="Q76" s="26">
        <f>$I$32*$Q$32</f>
        <v>0</v>
      </c>
      <c r="R76" s="26">
        <f>$I$32*$R$32</f>
        <v>0</v>
      </c>
      <c r="S76" s="26">
        <f>$I$32*$S$32</f>
        <v>0</v>
      </c>
      <c r="T76" s="26">
        <f>$I$32*$T$32</f>
        <v>0</v>
      </c>
      <c r="U76" s="26">
        <f>$I$32*$U$32</f>
        <v>0</v>
      </c>
      <c r="V76" s="26">
        <f>$I$32*$V$32</f>
        <v>0</v>
      </c>
      <c r="X76" s="26">
        <f>$I$32*$X$32</f>
        <v>0</v>
      </c>
      <c r="Y76" s="26">
        <f>$I$32*$Y$32</f>
        <v>0</v>
      </c>
      <c r="Z76" s="26">
        <f>$I$32*$Z$32</f>
        <v>0</v>
      </c>
      <c r="AA76" s="26">
        <f>$I$32*$AA$32</f>
        <v>0</v>
      </c>
      <c r="AB76" s="26">
        <f>$I$32*$AB$32</f>
        <v>0</v>
      </c>
      <c r="AC76" s="26">
        <f>$I$32*$AC$32</f>
        <v>0</v>
      </c>
      <c r="AD76" s="26">
        <f>$I$32*$AD$32</f>
        <v>0</v>
      </c>
      <c r="AE76" s="26">
        <f>$I$32*$AE$32</f>
        <v>0</v>
      </c>
      <c r="AF76" s="26">
        <f>$I$32*$AF$32</f>
        <v>0</v>
      </c>
      <c r="AG76" s="26">
        <f>$I$32*$AG$32</f>
        <v>0</v>
      </c>
      <c r="AH76" s="26">
        <f>$I$32*$AH$32</f>
        <v>0</v>
      </c>
    </row>
    <row r="77" spans="1:34" ht="11.25" customHeight="1" x14ac:dyDescent="0.3">
      <c r="A77" s="9" t="s">
        <v>41</v>
      </c>
      <c r="B77" s="9" t="s">
        <v>1127</v>
      </c>
      <c r="C77" s="9" t="s">
        <v>1128</v>
      </c>
      <c r="D77" s="9" t="s">
        <v>1149</v>
      </c>
      <c r="E77" s="9" t="s">
        <v>1150</v>
      </c>
      <c r="F77" s="9" t="s">
        <v>1151</v>
      </c>
      <c r="G77" s="9" t="s">
        <v>1152</v>
      </c>
      <c r="L77" s="26">
        <f>$I$33*$L$33</f>
        <v>0</v>
      </c>
      <c r="M77" s="26">
        <f>$I$33*$M$33</f>
        <v>0</v>
      </c>
      <c r="N77" s="26">
        <f>$I$33*$N$33</f>
        <v>0</v>
      </c>
      <c r="O77" s="26">
        <f>$I$33*$O$33</f>
        <v>0</v>
      </c>
      <c r="P77" s="26">
        <f>$I$33*$P$33</f>
        <v>0</v>
      </c>
      <c r="Q77" s="26">
        <f>$I$33*$Q$33</f>
        <v>0</v>
      </c>
      <c r="R77" s="26">
        <f>$I$33*$R$33</f>
        <v>0</v>
      </c>
      <c r="S77" s="26">
        <f>$I$33*$S$33</f>
        <v>0</v>
      </c>
      <c r="T77" s="26">
        <f>$I$33*$T$33</f>
        <v>0</v>
      </c>
      <c r="U77" s="26">
        <f>$I$33*$U$33</f>
        <v>0</v>
      </c>
      <c r="V77" s="26">
        <f>$I$33*$V$33</f>
        <v>0</v>
      </c>
      <c r="X77" s="26">
        <f>$I$33*$X$33</f>
        <v>0</v>
      </c>
      <c r="Y77" s="26">
        <f>$I$33*$Y$33</f>
        <v>0</v>
      </c>
      <c r="Z77" s="26">
        <f>$I$33*$Z$33</f>
        <v>0</v>
      </c>
      <c r="AA77" s="26">
        <f>$I$33*$AA$33</f>
        <v>0</v>
      </c>
      <c r="AB77" s="26">
        <f>$I$33*$AB$33</f>
        <v>0</v>
      </c>
      <c r="AC77" s="26">
        <f>$I$33*$AC$33</f>
        <v>0</v>
      </c>
      <c r="AD77" s="26">
        <f>$I$33*$AD$33</f>
        <v>0</v>
      </c>
      <c r="AE77" s="26">
        <f>$I$33*$AE$33</f>
        <v>0</v>
      </c>
      <c r="AF77" s="26">
        <f>$I$33*$AF$33</f>
        <v>0</v>
      </c>
      <c r="AG77" s="26">
        <f>$I$33*$AG$33</f>
        <v>0</v>
      </c>
      <c r="AH77" s="26">
        <f>$I$33*$AH$33</f>
        <v>0</v>
      </c>
    </row>
    <row r="78" spans="1:34" ht="11.25" customHeight="1" x14ac:dyDescent="0.3">
      <c r="A78" s="9" t="s">
        <v>41</v>
      </c>
      <c r="B78" s="9" t="s">
        <v>1153</v>
      </c>
      <c r="C78" s="9" t="s">
        <v>1154</v>
      </c>
      <c r="D78" s="9" t="s">
        <v>1155</v>
      </c>
      <c r="E78" s="9" t="s">
        <v>1156</v>
      </c>
      <c r="F78" s="9" t="s">
        <v>1157</v>
      </c>
      <c r="G78" s="9" t="s">
        <v>1158</v>
      </c>
      <c r="L78" s="26">
        <f>$I$34*$L$34</f>
        <v>0</v>
      </c>
      <c r="M78" s="26">
        <f>$I$34*$M$34</f>
        <v>0</v>
      </c>
      <c r="N78" s="26">
        <f>$I$34*$N$34</f>
        <v>0</v>
      </c>
      <c r="O78" s="26">
        <f>$I$34*$O$34</f>
        <v>0</v>
      </c>
      <c r="P78" s="26">
        <f>$I$34*$P$34</f>
        <v>0</v>
      </c>
      <c r="Q78" s="26">
        <f>$I$34*$Q$34</f>
        <v>0</v>
      </c>
      <c r="R78" s="26">
        <f>$I$34*$R$34</f>
        <v>0</v>
      </c>
      <c r="S78" s="26">
        <f>$I$34*$S$34</f>
        <v>0</v>
      </c>
      <c r="T78" s="26">
        <f>$I$34*$T$34</f>
        <v>0</v>
      </c>
      <c r="U78" s="26">
        <f>$I$34*$U$34</f>
        <v>0</v>
      </c>
      <c r="V78" s="26">
        <f>$I$34*$V$34</f>
        <v>0</v>
      </c>
      <c r="X78" s="26">
        <f>$I$34*$X$34</f>
        <v>0</v>
      </c>
      <c r="Y78" s="26">
        <f>$I$34*$Y$34</f>
        <v>0</v>
      </c>
      <c r="Z78" s="26">
        <f>$I$34*$Z$34</f>
        <v>0</v>
      </c>
      <c r="AA78" s="26">
        <f>$I$34*$AA$34</f>
        <v>0</v>
      </c>
      <c r="AB78" s="26">
        <f>$I$34*$AB$34</f>
        <v>0</v>
      </c>
      <c r="AC78" s="26">
        <f>$I$34*$AC$34</f>
        <v>0</v>
      </c>
      <c r="AD78" s="26">
        <f>$I$34*$AD$34</f>
        <v>0</v>
      </c>
      <c r="AE78" s="26">
        <f>$I$34*$AE$34</f>
        <v>0</v>
      </c>
      <c r="AF78" s="26">
        <f>$I$34*$AF$34</f>
        <v>0</v>
      </c>
      <c r="AG78" s="26">
        <f>$I$34*$AG$34</f>
        <v>0</v>
      </c>
      <c r="AH78" s="26">
        <f>$I$34*$AH$34</f>
        <v>0</v>
      </c>
    </row>
    <row r="79" spans="1:34" ht="11.25" customHeight="1" x14ac:dyDescent="0.3">
      <c r="A79" s="9" t="s">
        <v>41</v>
      </c>
      <c r="B79" s="9" t="s">
        <v>1153</v>
      </c>
      <c r="C79" s="9" t="s">
        <v>1154</v>
      </c>
      <c r="D79" s="9" t="s">
        <v>1159</v>
      </c>
      <c r="E79" s="9" t="s">
        <v>1160</v>
      </c>
      <c r="F79" s="9" t="s">
        <v>1161</v>
      </c>
      <c r="G79" s="9" t="s">
        <v>1162</v>
      </c>
      <c r="L79" s="26">
        <f>$I$35*$L$35</f>
        <v>0</v>
      </c>
      <c r="M79" s="26">
        <f>$I$35*$M$35</f>
        <v>0</v>
      </c>
      <c r="N79" s="26">
        <f>$I$35*$N$35</f>
        <v>0</v>
      </c>
      <c r="O79" s="26">
        <f>$I$35*$O$35</f>
        <v>0</v>
      </c>
      <c r="P79" s="26">
        <f>$I$35*$P$35</f>
        <v>0</v>
      </c>
      <c r="Q79" s="26">
        <f>$I$35*$Q$35</f>
        <v>0</v>
      </c>
      <c r="R79" s="26">
        <f>$I$35*$R$35</f>
        <v>0</v>
      </c>
      <c r="S79" s="26">
        <f>$I$35*$S$35</f>
        <v>0</v>
      </c>
      <c r="T79" s="26">
        <f>$I$35*$T$35</f>
        <v>0</v>
      </c>
      <c r="U79" s="26">
        <f>$I$35*$U$35</f>
        <v>0</v>
      </c>
      <c r="V79" s="26">
        <f>$I$35*$V$35</f>
        <v>0</v>
      </c>
      <c r="X79" s="26">
        <f>$I$35*$X$35</f>
        <v>0</v>
      </c>
      <c r="Y79" s="26">
        <f>$I$35*$Y$35</f>
        <v>0</v>
      </c>
      <c r="Z79" s="26">
        <f>$I$35*$Z$35</f>
        <v>0</v>
      </c>
      <c r="AA79" s="26">
        <f>$I$35*$AA$35</f>
        <v>0</v>
      </c>
      <c r="AB79" s="26">
        <f>$I$35*$AB$35</f>
        <v>0</v>
      </c>
      <c r="AC79" s="26">
        <f>$I$35*$AC$35</f>
        <v>0</v>
      </c>
      <c r="AD79" s="26">
        <f>$I$35*$AD$35</f>
        <v>0</v>
      </c>
      <c r="AE79" s="26">
        <f>$I$35*$AE$35</f>
        <v>0</v>
      </c>
      <c r="AF79" s="26">
        <f>$I$35*$AF$35</f>
        <v>0</v>
      </c>
      <c r="AG79" s="26">
        <f>$I$35*$AG$35</f>
        <v>0</v>
      </c>
      <c r="AH79" s="26">
        <f>$I$35*$AH$35</f>
        <v>0</v>
      </c>
    </row>
    <row r="80" spans="1:34" ht="11.25" customHeight="1" x14ac:dyDescent="0.3">
      <c r="A80" s="9" t="s">
        <v>41</v>
      </c>
      <c r="B80" s="9" t="s">
        <v>1153</v>
      </c>
      <c r="C80" s="9" t="s">
        <v>1154</v>
      </c>
      <c r="D80" s="9" t="s">
        <v>1163</v>
      </c>
      <c r="E80" s="9" t="s">
        <v>1164</v>
      </c>
      <c r="F80" s="9" t="s">
        <v>1165</v>
      </c>
      <c r="G80" s="9" t="s">
        <v>1166</v>
      </c>
      <c r="L80" s="26">
        <f>$I$36*$L$36</f>
        <v>0</v>
      </c>
      <c r="M80" s="26">
        <f>$I$36*$M$36</f>
        <v>0</v>
      </c>
      <c r="N80" s="26">
        <f>$I$36*$N$36</f>
        <v>0</v>
      </c>
      <c r="O80" s="26">
        <f>$I$36*$O$36</f>
        <v>0</v>
      </c>
      <c r="P80" s="26">
        <f>$I$36*$P$36</f>
        <v>0</v>
      </c>
      <c r="Q80" s="26">
        <f>$I$36*$Q$36</f>
        <v>0</v>
      </c>
      <c r="R80" s="26">
        <f>$I$36*$R$36</f>
        <v>0</v>
      </c>
      <c r="S80" s="26">
        <f>$I$36*$S$36</f>
        <v>0</v>
      </c>
      <c r="T80" s="26">
        <f>$I$36*$T$36</f>
        <v>0</v>
      </c>
      <c r="U80" s="26">
        <f>$I$36*$U$36</f>
        <v>0</v>
      </c>
      <c r="V80" s="26">
        <f>$I$36*$V$36</f>
        <v>0</v>
      </c>
      <c r="X80" s="26">
        <f>$I$36*$X$36</f>
        <v>0</v>
      </c>
      <c r="Y80" s="26">
        <f>$I$36*$Y$36</f>
        <v>0</v>
      </c>
      <c r="Z80" s="26">
        <f>$I$36*$Z$36</f>
        <v>0</v>
      </c>
      <c r="AA80" s="26">
        <f>$I$36*$AA$36</f>
        <v>0</v>
      </c>
      <c r="AB80" s="26">
        <f>$I$36*$AB$36</f>
        <v>0</v>
      </c>
      <c r="AC80" s="26">
        <f>$I$36*$AC$36</f>
        <v>0</v>
      </c>
      <c r="AD80" s="26">
        <f>$I$36*$AD$36</f>
        <v>0</v>
      </c>
      <c r="AE80" s="26">
        <f>$I$36*$AE$36</f>
        <v>0</v>
      </c>
      <c r="AF80" s="26">
        <f>$I$36*$AF$36</f>
        <v>0</v>
      </c>
      <c r="AG80" s="26">
        <f>$I$36*$AG$36</f>
        <v>0</v>
      </c>
      <c r="AH80" s="26">
        <f>$I$36*$AH$36</f>
        <v>0</v>
      </c>
    </row>
    <row r="81" spans="1:34" ht="11.25" customHeight="1" x14ac:dyDescent="0.3">
      <c r="A81" s="9" t="s">
        <v>32</v>
      </c>
      <c r="B81" s="9" t="s">
        <v>1167</v>
      </c>
      <c r="C81" s="9" t="s">
        <v>1168</v>
      </c>
      <c r="D81" s="9" t="s">
        <v>1169</v>
      </c>
      <c r="E81" s="9" t="s">
        <v>1170</v>
      </c>
      <c r="F81" s="9" t="s">
        <v>1171</v>
      </c>
      <c r="G81" s="9" t="s">
        <v>1172</v>
      </c>
      <c r="L81" s="26">
        <f>$I$37*$L$37</f>
        <v>13.806227720986689</v>
      </c>
      <c r="M81" s="26">
        <f>$I$37*$M$37</f>
        <v>0</v>
      </c>
      <c r="N81" s="26">
        <f>$I$37*$N$37</f>
        <v>0</v>
      </c>
      <c r="O81" s="26">
        <f>$I$37*$O$37</f>
        <v>22.752729048997601</v>
      </c>
      <c r="P81" s="26">
        <f>$I$37*$P$37</f>
        <v>0</v>
      </c>
      <c r="Q81" s="26">
        <f>$I$37*$Q$37</f>
        <v>2107.6132261706148</v>
      </c>
      <c r="R81" s="26">
        <f>$I$37*$R$37</f>
        <v>0</v>
      </c>
      <c r="S81" s="26">
        <f>$I$37*$S$37</f>
        <v>0</v>
      </c>
      <c r="T81" s="26">
        <f>$I$37*$T$37</f>
        <v>0</v>
      </c>
      <c r="U81" s="26">
        <f>$I$37*$U$37</f>
        <v>-84.154821980830889</v>
      </c>
      <c r="V81" s="26">
        <f>$I$37*$V$37</f>
        <v>0</v>
      </c>
      <c r="X81" s="26">
        <f>$I$37*$X$37</f>
        <v>14.050313603732508</v>
      </c>
      <c r="Y81" s="26">
        <f>$I$37*$Y$37</f>
        <v>0</v>
      </c>
      <c r="Z81" s="26">
        <f>$I$37*$Z$37</f>
        <v>0</v>
      </c>
      <c r="AA81" s="26">
        <f>$I$37*$AA$37</f>
        <v>0</v>
      </c>
      <c r="AB81" s="26">
        <f>$I$37*$AB$37</f>
        <v>0</v>
      </c>
      <c r="AC81" s="26">
        <f>$I$37*$AC$37</f>
        <v>2184.8344392949962</v>
      </c>
      <c r="AD81" s="26">
        <f>$I$37*$AD$37</f>
        <v>0</v>
      </c>
      <c r="AE81" s="26">
        <f>$I$37*$AE$37</f>
        <v>0</v>
      </c>
      <c r="AF81" s="26">
        <f>$I$37*$AF$37</f>
        <v>0</v>
      </c>
      <c r="AG81" s="26">
        <f>$I$37*$AG$37</f>
        <v>-35.803415583209713</v>
      </c>
      <c r="AH81" s="26">
        <f>$I$37*$AH$37</f>
        <v>0</v>
      </c>
    </row>
    <row r="82" spans="1:34" ht="11.25" customHeight="1" x14ac:dyDescent="0.3">
      <c r="A82" s="9" t="s">
        <v>32</v>
      </c>
      <c r="B82" s="9" t="s">
        <v>1167</v>
      </c>
      <c r="C82" s="9" t="s">
        <v>1168</v>
      </c>
      <c r="D82" s="9" t="s">
        <v>1169</v>
      </c>
      <c r="E82" s="9" t="s">
        <v>1170</v>
      </c>
      <c r="F82" s="9" t="s">
        <v>1171</v>
      </c>
      <c r="G82" s="9" t="s">
        <v>1173</v>
      </c>
      <c r="L82" s="26">
        <f>$I$38*$L$38</f>
        <v>14.788855387789237</v>
      </c>
      <c r="M82" s="26">
        <f>$I$38*$M$38</f>
        <v>0</v>
      </c>
      <c r="N82" s="26">
        <f>$I$38*$N$38</f>
        <v>0</v>
      </c>
      <c r="O82" s="26">
        <f>$I$38*$O$38</f>
        <v>24.372104124552944</v>
      </c>
      <c r="P82" s="26">
        <f>$I$38*$P$38</f>
        <v>0</v>
      </c>
      <c r="Q82" s="26">
        <f>$I$38*$Q$38</f>
        <v>1312.5685625497813</v>
      </c>
      <c r="R82" s="26">
        <f>$I$38*$R$38</f>
        <v>0</v>
      </c>
      <c r="S82" s="26">
        <f>$I$38*$S$38</f>
        <v>0</v>
      </c>
      <c r="T82" s="26">
        <f>$I$38*$T$38</f>
        <v>0</v>
      </c>
      <c r="U82" s="26">
        <f>$I$38*$U$38</f>
        <v>-53.023694250770603</v>
      </c>
      <c r="V82" s="26">
        <f>$I$38*$V$38</f>
        <v>0</v>
      </c>
      <c r="X82" s="26">
        <f>$I$38*$X$38</f>
        <v>15.050313542404611</v>
      </c>
      <c r="Y82" s="26">
        <f>$I$38*$Y$38</f>
        <v>0</v>
      </c>
      <c r="Z82" s="26">
        <f>$I$38*$Z$38</f>
        <v>0</v>
      </c>
      <c r="AA82" s="26">
        <f>$I$38*$AA$38</f>
        <v>0</v>
      </c>
      <c r="AB82" s="26">
        <f>$I$38*$AB$38</f>
        <v>0</v>
      </c>
      <c r="AC82" s="26">
        <f>$I$38*$AC$38</f>
        <v>1360.6599938667032</v>
      </c>
      <c r="AD82" s="26">
        <f>$I$38*$AD$38</f>
        <v>0</v>
      </c>
      <c r="AE82" s="26">
        <f>$I$38*$AE$38</f>
        <v>0</v>
      </c>
      <c r="AF82" s="26">
        <f>$I$38*$AF$38</f>
        <v>0</v>
      </c>
      <c r="AG82" s="26">
        <f>$I$38*$AG$38</f>
        <v>-22.53613482056608</v>
      </c>
      <c r="AH82" s="26">
        <f>$I$38*$AH$38</f>
        <v>0</v>
      </c>
    </row>
    <row r="83" spans="1:34" ht="11.25" customHeight="1" x14ac:dyDescent="0.3">
      <c r="A83" s="9" t="s">
        <v>32</v>
      </c>
      <c r="B83" s="9" t="s">
        <v>1167</v>
      </c>
      <c r="C83" s="9" t="s">
        <v>1168</v>
      </c>
      <c r="D83" s="9" t="s">
        <v>1169</v>
      </c>
      <c r="E83" s="9" t="s">
        <v>1170</v>
      </c>
      <c r="F83" s="9" t="s">
        <v>1171</v>
      </c>
      <c r="G83" s="9" t="s">
        <v>1174</v>
      </c>
      <c r="L83" s="26">
        <f>$I$39*$L$39</f>
        <v>474.73276403000654</v>
      </c>
      <c r="M83" s="26">
        <f>$I$39*$M$39</f>
        <v>0</v>
      </c>
      <c r="N83" s="26">
        <f>$I$39*$N$39</f>
        <v>0</v>
      </c>
      <c r="O83" s="26">
        <f>$I$39*$O$39</f>
        <v>782.36185647128423</v>
      </c>
      <c r="P83" s="26">
        <f>$I$39*$P$39</f>
        <v>0</v>
      </c>
      <c r="Q83" s="26">
        <f>$I$39*$Q$39</f>
        <v>42134.38331357565</v>
      </c>
      <c r="R83" s="26">
        <f>$I$39*$R$39</f>
        <v>0</v>
      </c>
      <c r="S83" s="26">
        <f>$I$39*$S$39</f>
        <v>0</v>
      </c>
      <c r="T83" s="26">
        <f>$I$39*$T$39</f>
        <v>0</v>
      </c>
      <c r="U83" s="26">
        <f>$I$39*$U$39</f>
        <v>-1702.0982537657521</v>
      </c>
      <c r="V83" s="26">
        <f>$I$39*$V$39</f>
        <v>0</v>
      </c>
      <c r="X83" s="26">
        <f>$I$39*$X$39</f>
        <v>483.12575653443162</v>
      </c>
      <c r="Y83" s="26">
        <f>$I$39*$Y$39</f>
        <v>0</v>
      </c>
      <c r="Z83" s="26">
        <f>$I$39*$Z$39</f>
        <v>0</v>
      </c>
      <c r="AA83" s="26">
        <f>$I$39*$AA$39</f>
        <v>0</v>
      </c>
      <c r="AB83" s="26">
        <f>$I$39*$AB$39</f>
        <v>0</v>
      </c>
      <c r="AC83" s="26">
        <f>$I$39*$AC$39</f>
        <v>43678.152423258885</v>
      </c>
      <c r="AD83" s="26">
        <f>$I$39*$AD$39</f>
        <v>0</v>
      </c>
      <c r="AE83" s="26">
        <f>$I$39*$AE$39</f>
        <v>0</v>
      </c>
      <c r="AF83" s="26">
        <f>$I$39*$AF$39</f>
        <v>0</v>
      </c>
      <c r="AG83" s="26">
        <f>$I$39*$AG$39</f>
        <v>-723.42593753089182</v>
      </c>
      <c r="AH83" s="26">
        <f>$I$39*$AH$39</f>
        <v>0</v>
      </c>
    </row>
    <row r="84" spans="1:34" ht="11.25" customHeight="1" x14ac:dyDescent="0.3">
      <c r="A84" s="9" t="s">
        <v>32</v>
      </c>
      <c r="B84" s="9" t="s">
        <v>1175</v>
      </c>
      <c r="C84" s="9" t="s">
        <v>1176</v>
      </c>
      <c r="D84" s="9" t="s">
        <v>1177</v>
      </c>
      <c r="E84" s="9" t="s">
        <v>1178</v>
      </c>
      <c r="F84" s="9" t="s">
        <v>1179</v>
      </c>
      <c r="G84" s="9" t="s">
        <v>1180</v>
      </c>
      <c r="L84" s="26">
        <f>$I$40*$L$40</f>
        <v>19883.736579822897</v>
      </c>
      <c r="M84" s="26">
        <f>$I$40*$M$40</f>
        <v>0</v>
      </c>
      <c r="N84" s="26">
        <f>$I$40*$N$40</f>
        <v>0</v>
      </c>
      <c r="O84" s="26">
        <f>$I$40*$O$40</f>
        <v>32768.492598065037</v>
      </c>
      <c r="P84" s="26">
        <f>$I$40*$P$40</f>
        <v>0</v>
      </c>
      <c r="Q84" s="26">
        <f>$I$40*$Q$40</f>
        <v>1870644.6758537134</v>
      </c>
      <c r="R84" s="26">
        <f>$I$40*$R$40</f>
        <v>0</v>
      </c>
      <c r="S84" s="26">
        <f>$I$40*$S$40</f>
        <v>0</v>
      </c>
      <c r="T84" s="26">
        <f>$I$40*$T$40</f>
        <v>0</v>
      </c>
      <c r="U84" s="26">
        <f>$I$40*$U$40</f>
        <v>-75449.874899812916</v>
      </c>
      <c r="V84" s="26">
        <f>$I$40*$V$40</f>
        <v>0</v>
      </c>
      <c r="X84" s="26">
        <f>$I$40*$X$40</f>
        <v>20235.269199264909</v>
      </c>
      <c r="Y84" s="26">
        <f>$I$40*$Y$40</f>
        <v>0</v>
      </c>
      <c r="Z84" s="26">
        <f>$I$40*$Z$40</f>
        <v>0</v>
      </c>
      <c r="AA84" s="26">
        <f>$I$40*$AA$40</f>
        <v>0</v>
      </c>
      <c r="AB84" s="26">
        <f>$I$40*$AB$40</f>
        <v>0</v>
      </c>
      <c r="AC84" s="26">
        <f>$I$40*$AC$40</f>
        <v>1939183.5564226804</v>
      </c>
      <c r="AD84" s="26">
        <f>$I$40*$AD$40</f>
        <v>0</v>
      </c>
      <c r="AE84" s="26">
        <f>$I$40*$AE$40</f>
        <v>0</v>
      </c>
      <c r="AF84" s="26">
        <f>$I$40*$AF$40</f>
        <v>0</v>
      </c>
      <c r="AG84" s="26">
        <f>$I$40*$AG$40</f>
        <v>-32072.023695208634</v>
      </c>
      <c r="AH84" s="26">
        <f>$I$40*$AH$40</f>
        <v>0</v>
      </c>
    </row>
    <row r="85" spans="1:34" ht="11.25" customHeight="1" x14ac:dyDescent="0.3">
      <c r="A85" s="9" t="s">
        <v>32</v>
      </c>
      <c r="B85" s="9" t="s">
        <v>1181</v>
      </c>
      <c r="C85" s="9" t="s">
        <v>1182</v>
      </c>
      <c r="D85" s="9" t="s">
        <v>1183</v>
      </c>
      <c r="E85" s="9" t="s">
        <v>1184</v>
      </c>
      <c r="F85" s="9" t="s">
        <v>1185</v>
      </c>
      <c r="G85" s="9" t="s">
        <v>1186</v>
      </c>
      <c r="L85" s="26">
        <f>$I$41*$L$41</f>
        <v>0</v>
      </c>
      <c r="M85" s="26">
        <f>$I$41*$M$41</f>
        <v>0</v>
      </c>
      <c r="N85" s="26">
        <f>$I$41*$N$41</f>
        <v>0</v>
      </c>
      <c r="O85" s="26">
        <f>$I$41*$O$41</f>
        <v>0</v>
      </c>
      <c r="P85" s="26">
        <f>$I$41*$P$41</f>
        <v>0</v>
      </c>
      <c r="Q85" s="26">
        <f>$I$41*$Q$41</f>
        <v>0</v>
      </c>
      <c r="R85" s="26">
        <f>$I$41*$R$41</f>
        <v>0</v>
      </c>
      <c r="S85" s="26">
        <f>$I$41*$S$41</f>
        <v>0</v>
      </c>
      <c r="T85" s="26">
        <f>$I$41*$T$41</f>
        <v>0</v>
      </c>
      <c r="U85" s="26">
        <f>$I$41*$U$41</f>
        <v>0</v>
      </c>
      <c r="V85" s="26">
        <f>$I$41*$V$41</f>
        <v>0</v>
      </c>
      <c r="X85" s="26">
        <f>$I$41*$X$41</f>
        <v>0</v>
      </c>
      <c r="Y85" s="26">
        <f>$I$41*$Y$41</f>
        <v>0</v>
      </c>
      <c r="Z85" s="26">
        <f>$I$41*$Z$41</f>
        <v>0</v>
      </c>
      <c r="AA85" s="26">
        <f>$I$41*$AA$41</f>
        <v>0</v>
      </c>
      <c r="AB85" s="26">
        <f>$I$41*$AB$41</f>
        <v>0</v>
      </c>
      <c r="AC85" s="26">
        <f>$I$41*$AC$41</f>
        <v>0</v>
      </c>
      <c r="AD85" s="26">
        <f>$I$41*$AD$41</f>
        <v>0</v>
      </c>
      <c r="AE85" s="26">
        <f>$I$41*$AE$41</f>
        <v>0</v>
      </c>
      <c r="AF85" s="26">
        <f>$I$41*$AF$41</f>
        <v>0</v>
      </c>
      <c r="AG85" s="26">
        <f>$I$41*$AG$41</f>
        <v>0</v>
      </c>
      <c r="AH85" s="26">
        <f>$I$41*$AH$41</f>
        <v>0</v>
      </c>
    </row>
    <row r="86" spans="1:34" ht="11.25" customHeight="1" x14ac:dyDescent="0.3">
      <c r="A86" s="9" t="s">
        <v>44</v>
      </c>
      <c r="B86" s="9" t="s">
        <v>1187</v>
      </c>
      <c r="C86" s="9" t="s">
        <v>1188</v>
      </c>
      <c r="D86" s="9" t="s">
        <v>1189</v>
      </c>
      <c r="E86" s="9" t="s">
        <v>1190</v>
      </c>
      <c r="F86" s="9" t="s">
        <v>1191</v>
      </c>
      <c r="G86" s="9" t="s">
        <v>1192</v>
      </c>
      <c r="L86" s="26">
        <f>$I$42*$L$42</f>
        <v>4105.5260792412446</v>
      </c>
      <c r="M86" s="26">
        <f>$I$42*$M$42</f>
        <v>0</v>
      </c>
      <c r="N86" s="26">
        <f>$I$42*$N$42</f>
        <v>0</v>
      </c>
      <c r="O86" s="26">
        <f>$I$42*$O$42</f>
        <v>6765.9265349198249</v>
      </c>
      <c r="P86" s="26">
        <f>$I$42*$P$42</f>
        <v>0</v>
      </c>
      <c r="Q86" s="26">
        <f>$I$42*$Q$42</f>
        <v>386244.32942370081</v>
      </c>
      <c r="R86" s="26">
        <f>$I$42*$R$42</f>
        <v>0</v>
      </c>
      <c r="S86" s="26">
        <f>$I$42*$S$42</f>
        <v>0</v>
      </c>
      <c r="T86" s="26">
        <f>$I$42*$T$42</f>
        <v>0</v>
      </c>
      <c r="U86" s="26">
        <f>$I$42*$U$42</f>
        <v>-15578.63270986013</v>
      </c>
      <c r="V86" s="26">
        <f>$I$42*$V$42</f>
        <v>0</v>
      </c>
      <c r="X86" s="26">
        <f>$I$42*$X$42</f>
        <v>4178.1093349602925</v>
      </c>
      <c r="Y86" s="26">
        <f>$I$42*$Y$42</f>
        <v>0</v>
      </c>
      <c r="Z86" s="26">
        <f>$I$42*$Z$42</f>
        <v>0</v>
      </c>
      <c r="AA86" s="26">
        <f>$I$42*$AA$42</f>
        <v>0</v>
      </c>
      <c r="AB86" s="26">
        <f>$I$42*$AB$42</f>
        <v>0</v>
      </c>
      <c r="AC86" s="26">
        <f>$I$42*$AC$42</f>
        <v>400396.00360668235</v>
      </c>
      <c r="AD86" s="26">
        <f>$I$42*$AD$42</f>
        <v>0</v>
      </c>
      <c r="AE86" s="26">
        <f>$I$42*$AE$42</f>
        <v>0</v>
      </c>
      <c r="AF86" s="26">
        <f>$I$42*$AF$42</f>
        <v>0</v>
      </c>
      <c r="AG86" s="26">
        <f>$I$42*$AG$42</f>
        <v>-6622.1220124359088</v>
      </c>
      <c r="AH86" s="26">
        <f>$I$42*$AH$42</f>
        <v>0</v>
      </c>
    </row>
    <row r="87" spans="1:34" ht="11.25" customHeight="1" x14ac:dyDescent="0.3">
      <c r="A87" s="9" t="s">
        <v>44</v>
      </c>
      <c r="B87" s="9" t="s">
        <v>1187</v>
      </c>
      <c r="C87" s="9" t="s">
        <v>1188</v>
      </c>
      <c r="D87" s="9" t="s">
        <v>1193</v>
      </c>
      <c r="E87" s="9" t="s">
        <v>1194</v>
      </c>
      <c r="F87" s="9" t="s">
        <v>1195</v>
      </c>
      <c r="G87" s="9" t="s">
        <v>1196</v>
      </c>
      <c r="L87" s="26">
        <f>$I$43*$L$43</f>
        <v>0</v>
      </c>
      <c r="M87" s="26">
        <f>$I$43*$M$43</f>
        <v>0</v>
      </c>
      <c r="N87" s="26">
        <f>$I$43*$N$43</f>
        <v>0</v>
      </c>
      <c r="O87" s="26">
        <f>$I$43*$O$43</f>
        <v>0</v>
      </c>
      <c r="P87" s="26">
        <f>$I$43*$P$43</f>
        <v>0</v>
      </c>
      <c r="Q87" s="26">
        <f>$I$43*$Q$43</f>
        <v>0</v>
      </c>
      <c r="R87" s="26">
        <f>$I$43*$R$43</f>
        <v>0</v>
      </c>
      <c r="S87" s="26">
        <f>$I$43*$S$43</f>
        <v>0</v>
      </c>
      <c r="T87" s="26">
        <f>$I$43*$T$43</f>
        <v>0</v>
      </c>
      <c r="U87" s="26">
        <f>$I$43*$U$43</f>
        <v>0</v>
      </c>
      <c r="V87" s="26">
        <f>$I$43*$V$43</f>
        <v>0</v>
      </c>
      <c r="X87" s="26">
        <f>$I$43*$X$43</f>
        <v>0</v>
      </c>
      <c r="Y87" s="26">
        <f>$I$43*$Y$43</f>
        <v>0</v>
      </c>
      <c r="Z87" s="26">
        <f>$I$43*$Z$43</f>
        <v>0</v>
      </c>
      <c r="AA87" s="26">
        <f>$I$43*$AA$43</f>
        <v>0</v>
      </c>
      <c r="AB87" s="26">
        <f>$I$43*$AB$43</f>
        <v>0</v>
      </c>
      <c r="AC87" s="26">
        <f>$I$43*$AC$43</f>
        <v>0</v>
      </c>
      <c r="AD87" s="26">
        <f>$I$43*$AD$43</f>
        <v>0</v>
      </c>
      <c r="AE87" s="26">
        <f>$I$43*$AE$43</f>
        <v>0</v>
      </c>
      <c r="AF87" s="26">
        <f>$I$43*$AF$43</f>
        <v>0</v>
      </c>
      <c r="AG87" s="26">
        <f>$I$43*$AG$43</f>
        <v>0</v>
      </c>
      <c r="AH87" s="26">
        <f>$I$43*$AH$43</f>
        <v>0</v>
      </c>
    </row>
  </sheetData>
  <mergeCells count="75">
    <mergeCell ref="F1:F4"/>
    <mergeCell ref="A1:A4"/>
    <mergeCell ref="B1:B4"/>
    <mergeCell ref="C1:C4"/>
    <mergeCell ref="D1:D4"/>
    <mergeCell ref="E1:E4"/>
    <mergeCell ref="G1:G4"/>
    <mergeCell ref="H1:H4"/>
    <mergeCell ref="I1:I4"/>
    <mergeCell ref="J1:J4"/>
    <mergeCell ref="L1:V1"/>
    <mergeCell ref="L2:V2"/>
    <mergeCell ref="L3:P3"/>
    <mergeCell ref="R3:T3"/>
    <mergeCell ref="A5:A6"/>
    <mergeCell ref="B5:B6"/>
    <mergeCell ref="C5:C6"/>
    <mergeCell ref="D5:D6"/>
    <mergeCell ref="E5:E6"/>
    <mergeCell ref="A7:A8"/>
    <mergeCell ref="B7:B8"/>
    <mergeCell ref="C7:C8"/>
    <mergeCell ref="D7:D8"/>
    <mergeCell ref="E7:E8"/>
    <mergeCell ref="A9:A21"/>
    <mergeCell ref="B9:B11"/>
    <mergeCell ref="C9:C11"/>
    <mergeCell ref="D9:D11"/>
    <mergeCell ref="E9:E11"/>
    <mergeCell ref="B12:B16"/>
    <mergeCell ref="C12:C16"/>
    <mergeCell ref="B17:B21"/>
    <mergeCell ref="C17:C21"/>
    <mergeCell ref="A22:A36"/>
    <mergeCell ref="B22:B24"/>
    <mergeCell ref="C22:C24"/>
    <mergeCell ref="D22:D24"/>
    <mergeCell ref="E22:E24"/>
    <mergeCell ref="B26:B28"/>
    <mergeCell ref="C26:C28"/>
    <mergeCell ref="D26:D28"/>
    <mergeCell ref="E26:E28"/>
    <mergeCell ref="X1:AH1"/>
    <mergeCell ref="X2:AH2"/>
    <mergeCell ref="X3:AB3"/>
    <mergeCell ref="AD3:AF3"/>
    <mergeCell ref="B34:B36"/>
    <mergeCell ref="C34:C36"/>
    <mergeCell ref="F26:F28"/>
    <mergeCell ref="B30:B32"/>
    <mergeCell ref="C30:C32"/>
    <mergeCell ref="D30:D32"/>
    <mergeCell ref="E30:E32"/>
    <mergeCell ref="F30:F32"/>
    <mergeCell ref="F22:F24"/>
    <mergeCell ref="F9:F11"/>
    <mergeCell ref="F7:F8"/>
    <mergeCell ref="F5:F6"/>
    <mergeCell ref="E37:E39"/>
    <mergeCell ref="F37:F39"/>
    <mergeCell ref="A42:A43"/>
    <mergeCell ref="B42:B43"/>
    <mergeCell ref="C42:C43"/>
    <mergeCell ref="A37:A41"/>
    <mergeCell ref="B37:B39"/>
    <mergeCell ref="C37:C39"/>
    <mergeCell ref="D37:D39"/>
    <mergeCell ref="L45:V45"/>
    <mergeCell ref="X45:AH45"/>
    <mergeCell ref="L46:V46"/>
    <mergeCell ref="X46:AH46"/>
    <mergeCell ref="L47:P47"/>
    <mergeCell ref="R47:T47"/>
    <mergeCell ref="X47:AB47"/>
    <mergeCell ref="AD47:AF47"/>
  </mergeCells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62057-CC2C-4734-BFB9-7F00F0DD33FD}">
  <dimension ref="A1:AG15"/>
  <sheetViews>
    <sheetView showGridLines="0" workbookViewId="0">
      <selection activeCell="J15" sqref="J15"/>
    </sheetView>
  </sheetViews>
  <sheetFormatPr defaultRowHeight="10.199999999999999" x14ac:dyDescent="0.2"/>
  <cols>
    <col min="1" max="1" width="18.5546875" style="14" bestFit="1" customWidth="1"/>
    <col min="2" max="2" width="11.88671875" style="14" bestFit="1" customWidth="1"/>
    <col min="3" max="6" width="9.5546875" style="14" bestFit="1" customWidth="1"/>
    <col min="7" max="7" width="9.88671875" style="14" bestFit="1" customWidth="1"/>
    <col min="8" max="8" width="9.109375" style="14" bestFit="1" customWidth="1"/>
    <col min="9" max="9" width="7.6640625" style="14" bestFit="1" customWidth="1"/>
    <col min="10" max="10" width="7" style="14" bestFit="1" customWidth="1"/>
    <col min="11" max="11" width="6.88671875" style="14" bestFit="1" customWidth="1"/>
    <col min="12" max="12" width="9" style="14" bestFit="1" customWidth="1"/>
    <col min="13" max="13" width="9.21875" style="14" bestFit="1" customWidth="1"/>
    <col min="14" max="14" width="9.88671875" style="14" bestFit="1" customWidth="1"/>
    <col min="15" max="15" width="6.88671875" style="14" bestFit="1" customWidth="1"/>
    <col min="16" max="16" width="9.21875" style="14" bestFit="1" customWidth="1"/>
    <col min="17" max="17" width="10.6640625" style="14" bestFit="1" customWidth="1"/>
    <col min="18" max="18" width="9.5546875" style="14" bestFit="1" customWidth="1"/>
    <col min="19" max="19" width="6.77734375" style="14" bestFit="1" customWidth="1"/>
    <col min="20" max="20" width="14.44140625" style="14" bestFit="1" customWidth="1"/>
    <col min="21" max="21" width="17.77734375" style="14" bestFit="1" customWidth="1"/>
    <col min="22" max="22" width="18.109375" style="14" bestFit="1" customWidth="1"/>
    <col min="23" max="23" width="7.109375" style="14" bestFit="1" customWidth="1"/>
    <col min="24" max="24" width="9.88671875" style="14" bestFit="1" customWidth="1"/>
    <col min="25" max="26" width="8.88671875" style="14"/>
    <col min="27" max="27" width="2.5546875" style="14" bestFit="1" customWidth="1"/>
    <col min="28" max="28" width="19.44140625" style="14" bestFit="1" customWidth="1"/>
    <col min="29" max="29" width="12.6640625" style="14" bestFit="1" customWidth="1"/>
    <col min="30" max="30" width="23.109375" style="14" bestFit="1" customWidth="1"/>
    <col min="31" max="33" width="9.5546875" style="14" bestFit="1" customWidth="1"/>
    <col min="34" max="16384" width="8.88671875" style="14"/>
  </cols>
  <sheetData>
    <row r="1" spans="1:33" x14ac:dyDescent="0.2">
      <c r="A1" s="14" t="s">
        <v>68</v>
      </c>
      <c r="B1" s="14" t="s">
        <v>69</v>
      </c>
      <c r="C1" s="14" t="s">
        <v>70</v>
      </c>
      <c r="D1" s="14" t="s">
        <v>71</v>
      </c>
      <c r="E1" s="14" t="s">
        <v>72</v>
      </c>
      <c r="F1" s="14" t="s">
        <v>15</v>
      </c>
      <c r="G1" s="14" t="s">
        <v>74</v>
      </c>
      <c r="I1" s="14" t="s">
        <v>1204</v>
      </c>
      <c r="AA1" s="14" t="s">
        <v>61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61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</v>
      </c>
      <c r="AA2" s="14" t="s">
        <v>34</v>
      </c>
      <c r="AB2" s="14" t="s">
        <v>54</v>
      </c>
      <c r="AC2" s="14" t="s">
        <v>24</v>
      </c>
      <c r="AD2" s="14" t="s">
        <v>24</v>
      </c>
      <c r="AE2" s="14" t="s">
        <v>85</v>
      </c>
      <c r="AG2" s="14" t="s">
        <v>82</v>
      </c>
    </row>
    <row r="3" spans="1:33" x14ac:dyDescent="0.2">
      <c r="AA3" s="14" t="s">
        <v>86</v>
      </c>
      <c r="AB3" s="14" t="s">
        <v>57</v>
      </c>
      <c r="AC3" s="14" t="s">
        <v>42</v>
      </c>
      <c r="AD3" s="14" t="s">
        <v>28</v>
      </c>
      <c r="AE3" s="14" t="s">
        <v>87</v>
      </c>
      <c r="AG3" s="14" t="s">
        <v>83</v>
      </c>
    </row>
    <row r="4" spans="1:33" x14ac:dyDescent="0.2">
      <c r="AA4" s="14" t="s">
        <v>22</v>
      </c>
      <c r="AB4" s="14" t="s">
        <v>35</v>
      </c>
      <c r="AC4" s="14" t="s">
        <v>45</v>
      </c>
      <c r="AD4" s="14" t="s">
        <v>29</v>
      </c>
      <c r="AE4" s="14" t="s">
        <v>88</v>
      </c>
      <c r="AG4" s="14" t="s">
        <v>84</v>
      </c>
    </row>
    <row r="5" spans="1:33" x14ac:dyDescent="0.2">
      <c r="A5" s="14" t="s">
        <v>1197</v>
      </c>
      <c r="B5" s="14" t="str">
        <f>TUSD!$AI$4</f>
        <v>CDE Covid TUSD</v>
      </c>
      <c r="C5" s="14" t="str">
        <f>TUSD!$AJ$4</f>
        <v>TFSEE</v>
      </c>
      <c r="D5" s="14" t="str">
        <f>TUSD!$AK$4</f>
        <v>P&amp;D</v>
      </c>
      <c r="E5" s="14" t="str">
        <f>TUSD!$AL$4</f>
        <v>ONS</v>
      </c>
      <c r="F5" s="14" t="str">
        <f>TUSD!$AM$4</f>
        <v>CCC</v>
      </c>
      <c r="G5" s="14" t="str">
        <f>TUSD!$AN$4</f>
        <v>CDE</v>
      </c>
      <c r="H5" s="14" t="str">
        <f>TUSD!$AO$4</f>
        <v>PROINFA</v>
      </c>
      <c r="I5" s="14" t="str">
        <f>TUSD!$AP$4</f>
        <v>LIMINAR 1</v>
      </c>
      <c r="J5" s="14" t="str">
        <f>TUSD!$AQ$4</f>
        <v>TUSD RB</v>
      </c>
      <c r="K5" s="14" t="str">
        <f>TUSD!$AR$4</f>
        <v>TUSD FR</v>
      </c>
      <c r="L5" s="14" t="str">
        <f>TUSD!$AS$4</f>
        <v>CONEXAO T</v>
      </c>
      <c r="M5" s="14" t="str">
        <f>TUSD!$AT$4</f>
        <v>CONEXAO D</v>
      </c>
      <c r="N5" s="14" t="str">
        <f>TUSD!$AU$4</f>
        <v>CUSD</v>
      </c>
      <c r="O5" s="14" t="str">
        <f>TUSD!$AV$4</f>
        <v>TUSDG-T</v>
      </c>
      <c r="P5" s="14" t="str">
        <f>TUSD!$AW$4</f>
        <v>TUSDG-ONS</v>
      </c>
      <c r="Q5" s="14" t="str">
        <f>TUSD!$AX$4</f>
        <v>DISTRIBUICAO</v>
      </c>
      <c r="R5" s="14" t="str">
        <f>TUSD!$AY$4</f>
        <v>SUBSIDIO</v>
      </c>
      <c r="S5" s="14" t="str">
        <f>TUSD!$AZ$4</f>
        <v>OUTROS</v>
      </c>
      <c r="T5" s="14" t="str">
        <f>TUSD!$BA$4</f>
        <v>PERDAS TECNICAS</v>
      </c>
      <c r="U5" s="14" t="str">
        <f>TUSD!$BB$4</f>
        <v>PERDAS RB/ PERDAS D</v>
      </c>
      <c r="V5" s="14" t="str">
        <f>TUSD!$BC$4</f>
        <v>PERDAS NAO TECNICAS</v>
      </c>
      <c r="W5" s="14" t="str">
        <f>TUSD!$BD$4</f>
        <v>RI</v>
      </c>
      <c r="X5" s="14" t="s">
        <v>525</v>
      </c>
      <c r="AA5" s="14" t="s">
        <v>41</v>
      </c>
      <c r="AB5" s="14" t="s">
        <v>38</v>
      </c>
      <c r="AD5" s="14" t="s">
        <v>30</v>
      </c>
      <c r="AG5" s="14" t="s">
        <v>9</v>
      </c>
    </row>
    <row r="6" spans="1:33" x14ac:dyDescent="0.2">
      <c r="A6" s="14" t="s">
        <v>1198</v>
      </c>
      <c r="B6" s="45">
        <f>SUM(TUSD!$AI$61:'TUSD'!$AI$111)</f>
        <v>210554.65642814047</v>
      </c>
      <c r="C6" s="45">
        <f>SUM(TUSD!$AJ$61:'TUSD'!$AJ$111)</f>
        <v>29704.447066503235</v>
      </c>
      <c r="D6" s="45">
        <f>SUM(TUSD!$AK$61:'TUSD'!$AK$111)</f>
        <v>165206.52665689733</v>
      </c>
      <c r="E6" s="45">
        <f>SUM(TUSD!$AL$61:'TUSD'!$AL$111)</f>
        <v>0</v>
      </c>
      <c r="F6" s="45">
        <f>SUM(TUSD!$AM$61:'TUSD'!$AM$111)</f>
        <v>0</v>
      </c>
      <c r="G6" s="45">
        <f>SUM(TUSD!$AN$61:'TUSD'!$AN$111)</f>
        <v>5621054.0055117989</v>
      </c>
      <c r="H6" s="45">
        <f>SUM(TUSD!$AO$61:'TUSD'!$AO$111)</f>
        <v>974671.07386717945</v>
      </c>
      <c r="I6" s="45">
        <f>SUM(TUSD!$AP$61:'TUSD'!$AP$111)</f>
        <v>0</v>
      </c>
      <c r="J6" s="45">
        <f>SUM(TUSD!$AQ$61:'TUSD'!$AQ$111)</f>
        <v>0</v>
      </c>
      <c r="K6" s="45">
        <f>SUM(TUSD!$AR$61:'TUSD'!$AR$111)</f>
        <v>0</v>
      </c>
      <c r="L6" s="45">
        <f>SUM(TUSD!$AS$61:'TUSD'!$AS$111)</f>
        <v>0</v>
      </c>
      <c r="M6" s="45">
        <f>SUM(TUSD!$AT$61:'TUSD'!$AT$111)</f>
        <v>0</v>
      </c>
      <c r="N6" s="45">
        <f>SUM(TUSD!$AU$61:'TUSD'!$AU$111)</f>
        <v>8305639.4824859705</v>
      </c>
      <c r="O6" s="45">
        <f>SUM(TUSD!$AV$61:'TUSD'!$AV$111)</f>
        <v>0</v>
      </c>
      <c r="P6" s="45">
        <f>SUM(TUSD!$AW$61:'TUSD'!$AW$111)</f>
        <v>0</v>
      </c>
      <c r="Q6" s="45">
        <f>SUM(TUSD!$AX$61:'TUSD'!$AX$111)</f>
        <v>7201104.970302498</v>
      </c>
      <c r="R6" s="45">
        <f>SUM(TUSD!$AY$61:'TUSD'!$AY$111)</f>
        <v>-356877.60825302743</v>
      </c>
      <c r="S6" s="45">
        <f>SUM(TUSD!$AZ$61:'TUSD'!$AZ$111)</f>
        <v>0</v>
      </c>
      <c r="T6" s="45">
        <f>SUM(TUSD!$BA$61:'TUSD'!$BA$111)</f>
        <v>1195664.6791105373</v>
      </c>
      <c r="U6" s="45">
        <f>SUM(TUSD!$BB$61:'TUSD'!$BB$111)</f>
        <v>0</v>
      </c>
      <c r="V6" s="45">
        <f>SUM(TUSD!$BC$61:'TUSD'!$BC$111)</f>
        <v>89069.281966637616</v>
      </c>
      <c r="W6" s="45">
        <f>SUM(TUSD!$BD$61:'TUSD'!$BD$111)</f>
        <v>12229.053686745478</v>
      </c>
      <c r="X6" s="45">
        <f t="shared" ref="X6:X11" si="0">SUM(B6:W6)</f>
        <v>23448020.568829883</v>
      </c>
      <c r="AA6" s="14" t="s">
        <v>32</v>
      </c>
      <c r="AB6" s="14" t="s">
        <v>23</v>
      </c>
      <c r="AD6" s="14" t="s">
        <v>31</v>
      </c>
      <c r="AG6" s="14" t="s">
        <v>79</v>
      </c>
    </row>
    <row r="7" spans="1:33" x14ac:dyDescent="0.2">
      <c r="A7" s="14" t="s">
        <v>1199</v>
      </c>
      <c r="B7" s="45">
        <f>SUM(TUSD!$L$61:'TUSD'!$L$111)</f>
        <v>253462.03982087848</v>
      </c>
      <c r="C7" s="45">
        <f>SUM(TUSD!$M$61:'TUSD'!$M$111)</f>
        <v>38364.464548735297</v>
      </c>
      <c r="D7" s="45">
        <f ca="1">SUM(TUSD!$N$61:'TUSD'!$N$111)</f>
        <v>213204.08028801606</v>
      </c>
      <c r="E7" s="45">
        <f>SUM(TUSD!$O$61:'TUSD'!$O$111)</f>
        <v>0</v>
      </c>
      <c r="F7" s="45">
        <f>SUM(TUSD!$P$61:'TUSD'!$P$111)</f>
        <v>0</v>
      </c>
      <c r="G7" s="45">
        <f>SUM(TUSD!$Q$61:'TUSD'!$Q$111)</f>
        <v>11941653.626987467</v>
      </c>
      <c r="H7" s="45">
        <f>SUM(TUSD!$R$61:'TUSD'!$R$111)</f>
        <v>2112981.9256285294</v>
      </c>
      <c r="I7" s="45">
        <f>SUM(TUSD!$S$61:'TUSD'!$S$111)</f>
        <v>0</v>
      </c>
      <c r="J7" s="45">
        <f>SUM(TUSD!$T$61:'TUSD'!$T$111)</f>
        <v>0</v>
      </c>
      <c r="K7" s="45">
        <f>SUM(TUSD!$U$61:'TUSD'!$U$111)</f>
        <v>0</v>
      </c>
      <c r="L7" s="45">
        <f>SUM(TUSD!$V$61:'TUSD'!$V$111)</f>
        <v>0</v>
      </c>
      <c r="M7" s="45">
        <f>SUM(TUSD!$W$61:'TUSD'!$W$111)</f>
        <v>0</v>
      </c>
      <c r="N7" s="45">
        <f>SUM(TUSD!$X$61:'TUSD'!$X$111)</f>
        <v>11671156.08140941</v>
      </c>
      <c r="O7" s="45">
        <f>SUM(TUSD!$Y$61:'TUSD'!$Y$111)</f>
        <v>0</v>
      </c>
      <c r="P7" s="45">
        <f>SUM(TUSD!$Z$61:'TUSD'!$Z$111)</f>
        <v>0</v>
      </c>
      <c r="Q7" s="45">
        <f>SUM(TUSD!$AA$61:'TUSD'!$AA$111)</f>
        <v>8391508.5479052551</v>
      </c>
      <c r="R7" s="45">
        <f ca="1">SUM(TUSD!$AB$61:'TUSD'!$AB$111)</f>
        <v>-1247946.3678849596</v>
      </c>
      <c r="S7" s="45">
        <f ca="1">SUM(TUSD!$AC$61:'TUSD'!$AC$111)</f>
        <v>0</v>
      </c>
      <c r="T7" s="45">
        <f>SUM(TUSD!$AD$61:'TUSD'!$AD$111)</f>
        <v>1150463.2111228062</v>
      </c>
      <c r="U7" s="45">
        <f>SUM(TUSD!$AE$61:'TUSD'!$AE$111)</f>
        <v>0</v>
      </c>
      <c r="V7" s="45">
        <f ca="1">SUM(TUSD!$AF$61:'TUSD'!$AF$111)</f>
        <v>96015.845338072046</v>
      </c>
      <c r="W7" s="45">
        <f ca="1">SUM(TUSD!$AG$61:'TUSD'!$AG$111)</f>
        <v>14478.475872117015</v>
      </c>
      <c r="X7" s="45">
        <f t="shared" ca="1" si="0"/>
        <v>34635341.931036316</v>
      </c>
      <c r="AA7" s="14" t="s">
        <v>44</v>
      </c>
      <c r="AB7" s="14" t="s">
        <v>92</v>
      </c>
      <c r="AD7" s="14" t="s">
        <v>93</v>
      </c>
      <c r="AG7" s="14" t="s">
        <v>80</v>
      </c>
    </row>
    <row r="8" spans="1:33" x14ac:dyDescent="0.2">
      <c r="A8" s="14" t="s">
        <v>1202</v>
      </c>
      <c r="B8" s="45">
        <f>IF($G$2&lt;&gt;"Não se aplica",SUMIF(TUSD!$G$61:'TUSD'!$G$111,$I$2,TUSD!$AI$61:'TUSD'!$AI$111),IF($F$2&lt;&gt;"Não se aplica",SUMIF(TUSD!$F$61:'TUSD'!$F$111,$I$2,TUSD!$AI$61:'TUSD'!$AI$111),IF($E$2&lt;&gt;"Não se aplica",SUMIF(TUSD!$E$61:'TUSD'!$E$111,$I$2,TUSD!$AI$61:'TUSD'!$AI$111),IF($D$2&lt;&gt;"Não se aplica",SUMIF(TUSD!$D$61:'TUSD'!$D$111,$I$2,TUSD!$AI$61:'TUSD'!$AI$111),IF($C$2&lt;&gt;"Não se aplica",SUMIF(TUSD!$C$61:'TUSD'!$C$111,$I$2,TUSD!$AI$61:'TUSD'!$AI$111),IF($B$2&lt;&gt;"Não se aplica",SUMIF(TUSD!$B$61:'TUSD'!$B$111,$I$2,TUSD!$AI$61:'TUSD'!$AI$111),SUMIF(TUSD!$A$61:'TUSD'!$A$111,$I$2,TUSD!$AI$61:'TUSD'!$AI$111)))))))</f>
        <v>11738.685959720222</v>
      </c>
      <c r="C8" s="45">
        <f>IF($G$2&lt;&gt;"Não se aplica",SUMIF(TUSD!$G$61:'TUSD'!$G$111,$I$2,TUSD!$AJ$61:'TUSD'!$AJ$111),IF($F$2&lt;&gt;"Não se aplica",SUMIF(TUSD!$F$61:'TUSD'!$F$111,$I$2,TUSD!$AJ$61:'TUSD'!$AJ$111),IF($E$2&lt;&gt;"Não se aplica",SUMIF(TUSD!$E$61:'TUSD'!$E$111,$I$2,TUSD!$AJ$61:'TUSD'!$AJ$111),IF($D$2&lt;&gt;"Não se aplica",SUMIF(TUSD!$D$61:'TUSD'!$D$111,$I$2,TUSD!$AJ$61:'TUSD'!$AJ$111),IF($C$2&lt;&gt;"Não se aplica",SUMIF(TUSD!$C$61:'TUSD'!$C$111,$I$2,TUSD!$AJ$61:'TUSD'!$AJ$111),IF($B$2&lt;&gt;"Não se aplica",SUMIF(TUSD!$B$61:'TUSD'!$B$111,$I$2,TUSD!$AJ$61:'TUSD'!$AJ$111),SUMIF(TUSD!$A$61:'TUSD'!$A$111,$I$2,TUSD!$AJ$61:'TUSD'!$AJ$111)))))))</f>
        <v>182.48098622236702</v>
      </c>
      <c r="D8" s="45">
        <f>IF($G$2&lt;&gt;"Não se aplica",SUMIF(TUSD!$G$61:'TUSD'!$G$111,$I$2,TUSD!$AK$61:'TUSD'!$AK$111),IF($F$2&lt;&gt;"Não se aplica",SUMIF(TUSD!$F$61:'TUSD'!$F$111,$I$2,TUSD!$AK$61:'TUSD'!$AK$111),IF($E$2&lt;&gt;"Não se aplica",SUMIF(TUSD!$E$61:'TUSD'!$E$111,$I$2,TUSD!$AK$61:'TUSD'!$AK$111),IF($D$2&lt;&gt;"Não se aplica",SUMIF(TUSD!$D$61:'TUSD'!$D$111,$I$2,TUSD!$AK$61:'TUSD'!$AK$111),IF($C$2&lt;&gt;"Não se aplica",SUMIF(TUSD!$C$61:'TUSD'!$C$111,$I$2,TUSD!$AK$61:'TUSD'!$AK$111),IF($B$2&lt;&gt;"Não se aplica",SUMIF(TUSD!$B$61:'TUSD'!$B$111,$I$2,TUSD!$AK$61:'TUSD'!$AK$111),SUMIF(TUSD!$A$61:'TUSD'!$A$111,$I$2,TUSD!$AK$61:'TUSD'!$AK$111)))))))</f>
        <v>1817.5103634880347</v>
      </c>
      <c r="E8" s="45">
        <f>IF($G$2&lt;&gt;"Não se aplica",SUMIF(TUSD!$G$61:'TUSD'!$G$111,$I$2,TUSD!$AL$61:'TUSD'!$AL$111),IF($F$2&lt;&gt;"Não se aplica",SUMIF(TUSD!$F$61:'TUSD'!$F$111,$I$2,TUSD!$AL$61:'TUSD'!$AL$111),IF($E$2&lt;&gt;"Não se aplica",SUMIF(TUSD!$E$61:'TUSD'!$E$111,$I$2,TUSD!$AL$61:'TUSD'!$AL$111),IF($D$2&lt;&gt;"Não se aplica",SUMIF(TUSD!$D$61:'TUSD'!$D$111,$I$2,TUSD!$AL$61:'TUSD'!$AL$111),IF($C$2&lt;&gt;"Não se aplica",SUMIF(TUSD!$C$61:'TUSD'!$C$111,$I$2,TUSD!$AL$61:'TUSD'!$AL$111),IF($B$2&lt;&gt;"Não se aplica",SUMIF(TUSD!$B$61:'TUSD'!$B$111,$I$2,TUSD!$AL$61:'TUSD'!$AL$111),SUMIF(TUSD!$A$61:'TUSD'!$A$111,$I$2,TUSD!$AL$61:'TUSD'!$AL$111)))))))</f>
        <v>0</v>
      </c>
      <c r="F8" s="45">
        <f>IF($G$2&lt;&gt;"Não se aplica",SUMIF(TUSD!$G$61:'TUSD'!$G$111,$I$2,TUSD!$AM$61:'TUSD'!$AM$111),IF($F$2&lt;&gt;"Não se aplica",SUMIF(TUSD!$F$61:'TUSD'!$F$111,$I$2,TUSD!$AM$61:'TUSD'!$AM$111),IF($E$2&lt;&gt;"Não se aplica",SUMIF(TUSD!$E$61:'TUSD'!$E$111,$I$2,TUSD!$AM$61:'TUSD'!$AM$111),IF($D$2&lt;&gt;"Não se aplica",SUMIF(TUSD!$D$61:'TUSD'!$D$111,$I$2,TUSD!$AM$61:'TUSD'!$AM$111),IF($C$2&lt;&gt;"Não se aplica",SUMIF(TUSD!$C$61:'TUSD'!$C$111,$I$2,TUSD!$AM$61:'TUSD'!$AM$111),IF($B$2&lt;&gt;"Não se aplica",SUMIF(TUSD!$B$61:'TUSD'!$B$111,$I$2,TUSD!$AM$61:'TUSD'!$AM$111),SUMIF(TUSD!$A$61:'TUSD'!$A$111,$I$2,TUSD!$AM$61:'TUSD'!$AM$111)))))))</f>
        <v>0</v>
      </c>
      <c r="G8" s="45">
        <f>IF($G$2&lt;&gt;"Não se aplica",SUMIF(TUSD!$G$61:'TUSD'!$G$111,$I$2,TUSD!$AN$61:'TUSD'!$AN$111),IF($F$2&lt;&gt;"Não se aplica",SUMIF(TUSD!$F$61:'TUSD'!$F$111,$I$2,TUSD!$AN$61:'TUSD'!$AN$111),IF($E$2&lt;&gt;"Não se aplica",SUMIF(TUSD!$E$61:'TUSD'!$E$111,$I$2,TUSD!$AN$61:'TUSD'!$AN$111),IF($D$2&lt;&gt;"Não se aplica",SUMIF(TUSD!$D$61:'TUSD'!$D$111,$I$2,TUSD!$AN$61:'TUSD'!$AN$111),IF($C$2&lt;&gt;"Não se aplica",SUMIF(TUSD!$C$61:'TUSD'!$C$111,$I$2,TUSD!$AN$61:'TUSD'!$AN$111),IF($B$2&lt;&gt;"Não se aplica",SUMIF(TUSD!$B$61:'TUSD'!$B$111,$I$2,TUSD!$AN$61:'TUSD'!$AN$111),SUMIF(TUSD!$A$61:'TUSD'!$A$111,$I$2,TUSD!$AN$61:'TUSD'!$AN$111)))))))</f>
        <v>313380.8050255577</v>
      </c>
      <c r="H8" s="45">
        <f>IF($G$2&lt;&gt;"Não se aplica",SUMIF(TUSD!$G$61:'TUSD'!$G$111,$I$2,TUSD!$AO$61:'TUSD'!$AO$111),IF($F$2&lt;&gt;"Não se aplica",SUMIF(TUSD!$F$61:'TUSD'!$F$111,$I$2,TUSD!$AO$61:'TUSD'!$AO$111),IF($E$2&lt;&gt;"Não se aplica",SUMIF(TUSD!$E$61:'TUSD'!$E$111,$I$2,TUSD!$AO$61:'TUSD'!$AO$111),IF($D$2&lt;&gt;"Não se aplica",SUMIF(TUSD!$D$61:'TUSD'!$D$111,$I$2,TUSD!$AO$61:'TUSD'!$AO$111),IF($C$2&lt;&gt;"Não se aplica",SUMIF(TUSD!$C$61:'TUSD'!$C$111,$I$2,TUSD!$AO$61:'TUSD'!$AO$111),IF($B$2&lt;&gt;"Não se aplica",SUMIF(TUSD!$B$61:'TUSD'!$B$111,$I$2,TUSD!$AO$61:'TUSD'!$AO$111),SUMIF(TUSD!$A$61:'TUSD'!$A$111,$I$2,TUSD!$AO$61:'TUSD'!$AO$111)))))))</f>
        <v>71618.100368707441</v>
      </c>
      <c r="I8" s="45">
        <f>IF($G$2&lt;&gt;"Não se aplica",SUMIF(TUSD!$G$61:'TUSD'!$G$111,$I$2,TUSD!$AP$61:'TUSD'!$AP$111),IF($F$2&lt;&gt;"Não se aplica",SUMIF(TUSD!$F$61:'TUSD'!$F$111,$I$2,TUSD!$AP$61:'TUSD'!$AP$111),IF($E$2&lt;&gt;"Não se aplica",SUMIF(TUSD!$E$61:'TUSD'!$E$111,$I$2,TUSD!$AP$61:'TUSD'!$AP$111),IF($D$2&lt;&gt;"Não se aplica",SUMIF(TUSD!$D$61:'TUSD'!$D$111,$I$2,TUSD!$AP$61:'TUSD'!$AP$111),IF($C$2&lt;&gt;"Não se aplica",SUMIF(TUSD!$C$61:'TUSD'!$C$111,$I$2,TUSD!$AP$61:'TUSD'!$AP$111),IF($B$2&lt;&gt;"Não se aplica",SUMIF(TUSD!$B$61:'TUSD'!$B$111,$I$2,TUSD!$AP$61:'TUSD'!$AP$111),SUMIF(TUSD!$A$61:'TUSD'!$A$111,$I$2,TUSD!$AP$61:'TUSD'!$AP$111)))))))</f>
        <v>0</v>
      </c>
      <c r="J8" s="45">
        <f>IF($G$2&lt;&gt;"Não se aplica",SUMIF(TUSD!$G$61:'TUSD'!$G$111,$I$2,TUSD!$AQ$61:'TUSD'!$AQ$111),IF($F$2&lt;&gt;"Não se aplica",SUMIF(TUSD!$F$61:'TUSD'!$F$111,$I$2,TUSD!$AQ$61:'TUSD'!$AQ$111),IF($E$2&lt;&gt;"Não se aplica",SUMIF(TUSD!$E$61:'TUSD'!$E$111,$I$2,TUSD!$AQ$61:'TUSD'!$AQ$111),IF($D$2&lt;&gt;"Não se aplica",SUMIF(TUSD!$D$61:'TUSD'!$D$111,$I$2,TUSD!$AQ$61:'TUSD'!$AQ$111),IF($C$2&lt;&gt;"Não se aplica",SUMIF(TUSD!$C$61:'TUSD'!$C$111,$I$2,TUSD!$AQ$61:'TUSD'!$AQ$111),IF($B$2&lt;&gt;"Não se aplica",SUMIF(TUSD!$B$61:'TUSD'!$B$111,$I$2,TUSD!$AQ$61:'TUSD'!$AQ$111),SUMIF(TUSD!$A$61:'TUSD'!$A$111,$I$2,TUSD!$AQ$61:'TUSD'!$AQ$111)))))))</f>
        <v>0</v>
      </c>
      <c r="K8" s="45">
        <f>IF($G$2&lt;&gt;"Não se aplica",SUMIF(TUSD!$G$61:'TUSD'!$G$111,$I$2,TUSD!$AR$61:'TUSD'!$AR$111),IF($F$2&lt;&gt;"Não se aplica",SUMIF(TUSD!$F$61:'TUSD'!$F$111,$I$2,TUSD!$AR$61:'TUSD'!$AR$111),IF($E$2&lt;&gt;"Não se aplica",SUMIF(TUSD!$E$61:'TUSD'!$E$111,$I$2,TUSD!$AR$61:'TUSD'!$AR$111),IF($D$2&lt;&gt;"Não se aplica",SUMIF(TUSD!$D$61:'TUSD'!$D$111,$I$2,TUSD!$AR$61:'TUSD'!$AR$111),IF($C$2&lt;&gt;"Não se aplica",SUMIF(TUSD!$C$61:'TUSD'!$C$111,$I$2,TUSD!$AR$61:'TUSD'!$AR$111),IF($B$2&lt;&gt;"Não se aplica",SUMIF(TUSD!$B$61:'TUSD'!$B$111,$I$2,TUSD!$AR$61:'TUSD'!$AR$111),SUMIF(TUSD!$A$61:'TUSD'!$A$111,$I$2,TUSD!$AR$61:'TUSD'!$AR$111)))))))</f>
        <v>0</v>
      </c>
      <c r="L8" s="45">
        <f>IF($G$2&lt;&gt;"Não se aplica",SUMIF(TUSD!$G$61:'TUSD'!$G$111,$I$2,TUSD!$AS$61:'TUSD'!$AS$111),IF($F$2&lt;&gt;"Não se aplica",SUMIF(TUSD!$F$61:'TUSD'!$F$111,$I$2,TUSD!$AS$61:'TUSD'!$AS$111),IF($E$2&lt;&gt;"Não se aplica",SUMIF(TUSD!$E$61:'TUSD'!$E$111,$I$2,TUSD!$AS$61:'TUSD'!$AS$111),IF($D$2&lt;&gt;"Não se aplica",SUMIF(TUSD!$D$61:'TUSD'!$D$111,$I$2,TUSD!$AS$61:'TUSD'!$AS$111),IF($C$2&lt;&gt;"Não se aplica",SUMIF(TUSD!$C$61:'TUSD'!$C$111,$I$2,TUSD!$AS$61:'TUSD'!$AS$111),IF($B$2&lt;&gt;"Não se aplica",SUMIF(TUSD!$B$61:'TUSD'!$B$111,$I$2,TUSD!$AS$61:'TUSD'!$AS$111),SUMIF(TUSD!$A$61:'TUSD'!$A$111,$I$2,TUSD!$AS$61:'TUSD'!$AS$111)))))))</f>
        <v>0</v>
      </c>
      <c r="M8" s="45">
        <f>IF($G$2&lt;&gt;"Não se aplica",SUMIF(TUSD!$G$61:'TUSD'!$G$111,$I$2,TUSD!$AT$61:'TUSD'!$AT$111),IF($F$2&lt;&gt;"Não se aplica",SUMIF(TUSD!$F$61:'TUSD'!$F$111,$I$2,TUSD!$AT$61:'TUSD'!$AT$111),IF($E$2&lt;&gt;"Não se aplica",SUMIF(TUSD!$E$61:'TUSD'!$E$111,$I$2,TUSD!$AT$61:'TUSD'!$AT$111),IF($D$2&lt;&gt;"Não se aplica",SUMIF(TUSD!$D$61:'TUSD'!$D$111,$I$2,TUSD!$AT$61:'TUSD'!$AT$111),IF($C$2&lt;&gt;"Não se aplica",SUMIF(TUSD!$C$61:'TUSD'!$C$111,$I$2,TUSD!$AT$61:'TUSD'!$AT$111),IF($B$2&lt;&gt;"Não se aplica",SUMIF(TUSD!$B$61:'TUSD'!$B$111,$I$2,TUSD!$AT$61:'TUSD'!$AT$111),SUMIF(TUSD!$A$61:'TUSD'!$A$111,$I$2,TUSD!$AT$61:'TUSD'!$AT$111)))))))</f>
        <v>0</v>
      </c>
      <c r="N8" s="45">
        <f>IF($G$2&lt;&gt;"Não se aplica",SUMIF(TUSD!$G$61:'TUSD'!$G$111,$I$2,TUSD!$AU$61:'TUSD'!$AU$111),IF($F$2&lt;&gt;"Não se aplica",SUMIF(TUSD!$F$61:'TUSD'!$F$111,$I$2,TUSD!$AU$61:'TUSD'!$AU$111),IF($E$2&lt;&gt;"Não se aplica",SUMIF(TUSD!$E$61:'TUSD'!$E$111,$I$2,TUSD!$AU$61:'TUSD'!$AU$111),IF($D$2&lt;&gt;"Não se aplica",SUMIF(TUSD!$D$61:'TUSD'!$D$111,$I$2,TUSD!$AU$61:'TUSD'!$AU$111),IF($C$2&lt;&gt;"Não se aplica",SUMIF(TUSD!$C$61:'TUSD'!$C$111,$I$2,TUSD!$AU$61:'TUSD'!$AU$111),IF($B$2&lt;&gt;"Não se aplica",SUMIF(TUSD!$B$61:'TUSD'!$B$111,$I$2,TUSD!$AU$61:'TUSD'!$AU$111),SUMIF(TUSD!$A$61:'TUSD'!$A$111,$I$2,TUSD!$AU$61:'TUSD'!$AU$111)))))))</f>
        <v>381611.08128683735</v>
      </c>
      <c r="O8" s="45">
        <f>IF($G$2&lt;&gt;"Não se aplica",SUMIF(TUSD!$G$61:'TUSD'!$G$111,$I$2,TUSD!$AV$61:'TUSD'!$AV$111),IF($F$2&lt;&gt;"Não se aplica",SUMIF(TUSD!$F$61:'TUSD'!$F$111,$I$2,TUSD!$AV$61:'TUSD'!$AV$111),IF($E$2&lt;&gt;"Não se aplica",SUMIF(TUSD!$E$61:'TUSD'!$E$111,$I$2,TUSD!$AV$61:'TUSD'!$AV$111),IF($D$2&lt;&gt;"Não se aplica",SUMIF(TUSD!$D$61:'TUSD'!$D$111,$I$2,TUSD!$AV$61:'TUSD'!$AV$111),IF($C$2&lt;&gt;"Não se aplica",SUMIF(TUSD!$C$61:'TUSD'!$C$111,$I$2,TUSD!$AV$61:'TUSD'!$AV$111),IF($B$2&lt;&gt;"Não se aplica",SUMIF(TUSD!$B$61:'TUSD'!$B$111,$I$2,TUSD!$AV$61:'TUSD'!$AV$111),SUMIF(TUSD!$A$61:'TUSD'!$A$111,$I$2,TUSD!$AV$61:'TUSD'!$AV$111)))))))</f>
        <v>0</v>
      </c>
      <c r="P8" s="45">
        <f>IF($G$2&lt;&gt;"Não se aplica",SUMIF(TUSD!$G$61:'TUSD'!$G$111,$I$2,TUSD!$AW$61:'TUSD'!$AW$111),IF($F$2&lt;&gt;"Não se aplica",SUMIF(TUSD!$F$61:'TUSD'!$F$111,$I$2,TUSD!$AW$61:'TUSD'!$AW$111),IF($E$2&lt;&gt;"Não se aplica",SUMIF(TUSD!$E$61:'TUSD'!$E$111,$I$2,TUSD!$AW$61:'TUSD'!$AW$111),IF($D$2&lt;&gt;"Não se aplica",SUMIF(TUSD!$D$61:'TUSD'!$D$111,$I$2,TUSD!$AW$61:'TUSD'!$AW$111),IF($C$2&lt;&gt;"Não se aplica",SUMIF(TUSD!$C$61:'TUSD'!$C$111,$I$2,TUSD!$AW$61:'TUSD'!$AW$111),IF($B$2&lt;&gt;"Não se aplica",SUMIF(TUSD!$B$61:'TUSD'!$B$111,$I$2,TUSD!$AW$61:'TUSD'!$AW$111),SUMIF(TUSD!$A$61:'TUSD'!$A$111,$I$2,TUSD!$AW$61:'TUSD'!$AW$111)))))))</f>
        <v>0</v>
      </c>
      <c r="Q8" s="45">
        <f>IF($G$2&lt;&gt;"Não se aplica",SUMIF(TUSD!$G$61:'TUSD'!$G$111,$I$2,TUSD!$AX$61:'TUSD'!$AX$111),IF($F$2&lt;&gt;"Não se aplica",SUMIF(TUSD!$F$61:'TUSD'!$F$111,$I$2,TUSD!$AX$61:'TUSD'!$AX$111),IF($E$2&lt;&gt;"Não se aplica",SUMIF(TUSD!$E$61:'TUSD'!$E$111,$I$2,TUSD!$AX$61:'TUSD'!$AX$111),IF($D$2&lt;&gt;"Não se aplica",SUMIF(TUSD!$D$61:'TUSD'!$D$111,$I$2,TUSD!$AX$61:'TUSD'!$AX$111),IF($C$2&lt;&gt;"Não se aplica",SUMIF(TUSD!$C$61:'TUSD'!$C$111,$I$2,TUSD!$AX$61:'TUSD'!$AX$111),IF($B$2&lt;&gt;"Não se aplica",SUMIF(TUSD!$B$61:'TUSD'!$B$111,$I$2,TUSD!$AX$61:'TUSD'!$AX$111),SUMIF(TUSD!$A$61:'TUSD'!$A$111,$I$2,TUSD!$AX$61:'TUSD'!$AX$111)))))))</f>
        <v>163729.4652697547</v>
      </c>
      <c r="R8" s="45">
        <f>IF($G$2&lt;&gt;"Não se aplica",SUMIF(TUSD!$G$61:'TUSD'!$G$111,$I$2,TUSD!$AY$61:'TUSD'!$AY$111),IF($F$2&lt;&gt;"Não se aplica",SUMIF(TUSD!$F$61:'TUSD'!$F$111,$I$2,TUSD!$AY$61:'TUSD'!$AY$111),IF($E$2&lt;&gt;"Não se aplica",SUMIF(TUSD!$E$61:'TUSD'!$E$111,$I$2,TUSD!$AY$61:'TUSD'!$AY$111),IF($D$2&lt;&gt;"Não se aplica",SUMIF(TUSD!$D$61:'TUSD'!$D$111,$I$2,TUSD!$AY$61:'TUSD'!$AY$111),IF($C$2&lt;&gt;"Não se aplica",SUMIF(TUSD!$C$61:'TUSD'!$C$111,$I$2,TUSD!$AY$61:'TUSD'!$AY$111),IF($B$2&lt;&gt;"Não se aplica",SUMIF(TUSD!$B$61:'TUSD'!$B$111,$I$2,TUSD!$AY$61:'TUSD'!$AY$111),SUMIF(TUSD!$A$61:'TUSD'!$A$111,$I$2,TUSD!$AY$61:'TUSD'!$AY$111)))))))</f>
        <v>-14647.155979132931</v>
      </c>
      <c r="S8" s="45">
        <f>IF($G$2&lt;&gt;"Não se aplica",SUMIF(TUSD!$G$61:'TUSD'!$G$111,$I$2,TUSD!$AZ$61:'TUSD'!$AZ$111),IF($F$2&lt;&gt;"Não se aplica",SUMIF(TUSD!$F$61:'TUSD'!$F$111,$I$2,TUSD!$AZ$61:'TUSD'!$AZ$111),IF($E$2&lt;&gt;"Não se aplica",SUMIF(TUSD!$E$61:'TUSD'!$E$111,$I$2,TUSD!$AZ$61:'TUSD'!$AZ$111),IF($D$2&lt;&gt;"Não se aplica",SUMIF(TUSD!$D$61:'TUSD'!$D$111,$I$2,TUSD!$AZ$61:'TUSD'!$AZ$111),IF($C$2&lt;&gt;"Não se aplica",SUMIF(TUSD!$C$61:'TUSD'!$C$111,$I$2,TUSD!$AZ$61:'TUSD'!$AZ$111),IF($B$2&lt;&gt;"Não se aplica",SUMIF(TUSD!$B$61:'TUSD'!$B$111,$I$2,TUSD!$AZ$61:'TUSD'!$AZ$111),SUMIF(TUSD!$A$61:'TUSD'!$A$111,$I$2,TUSD!$AZ$61:'TUSD'!$AZ$111)))))))</f>
        <v>0</v>
      </c>
      <c r="T8" s="45">
        <f>IF($G$2&lt;&gt;"Não se aplica",SUMIF(TUSD!$G$61:'TUSD'!$G$111,$I$2,TUSD!$BA$61:'TUSD'!$BA$111),IF($F$2&lt;&gt;"Não se aplica",SUMIF(TUSD!$F$61:'TUSD'!$F$111,$I$2,TUSD!$BA$61:'TUSD'!$BA$111),IF($E$2&lt;&gt;"Não se aplica",SUMIF(TUSD!$E$61:'TUSD'!$E$111,$I$2,TUSD!$BA$61:'TUSD'!$BA$111),IF($D$2&lt;&gt;"Não se aplica",SUMIF(TUSD!$D$61:'TUSD'!$D$111,$I$2,TUSD!$BA$61:'TUSD'!$BA$111),IF($C$2&lt;&gt;"Não se aplica",SUMIF(TUSD!$C$61:'TUSD'!$C$111,$I$2,TUSD!$BA$61:'TUSD'!$BA$111),IF($B$2&lt;&gt;"Não se aplica",SUMIF(TUSD!$B$61:'TUSD'!$B$111,$I$2,TUSD!$BA$61:'TUSD'!$BA$111),SUMIF(TUSD!$A$61:'TUSD'!$A$111,$I$2,TUSD!$BA$61:'TUSD'!$BA$111)))))))</f>
        <v>47900.937249150003</v>
      </c>
      <c r="U8" s="45">
        <f>IF($G$2&lt;&gt;"Não se aplica",SUMIF(TUSD!$G$61:'TUSD'!$G$111,$I$2,TUSD!$BB$61:'TUSD'!$BB$111),IF($F$2&lt;&gt;"Não se aplica",SUMIF(TUSD!$F$61:'TUSD'!$F$111,$I$2,TUSD!$BB$61:'TUSD'!$BB$111),IF($E$2&lt;&gt;"Não se aplica",SUMIF(TUSD!$E$61:'TUSD'!$E$111,$I$2,TUSD!$BB$61:'TUSD'!$BB$111),IF($D$2&lt;&gt;"Não se aplica",SUMIF(TUSD!$D$61:'TUSD'!$D$111,$I$2,TUSD!$BB$61:'TUSD'!$BB$111),IF($C$2&lt;&gt;"Não se aplica",SUMIF(TUSD!$C$61:'TUSD'!$C$111,$I$2,TUSD!$BB$61:'TUSD'!$BB$111),IF($B$2&lt;&gt;"Não se aplica",SUMIF(TUSD!$B$61:'TUSD'!$B$111,$I$2,TUSD!$BB$61:'TUSD'!$BB$111),SUMIF(TUSD!$A$61:'TUSD'!$A$111,$I$2,TUSD!$BB$61:'TUSD'!$BB$111)))))))</f>
        <v>0</v>
      </c>
      <c r="V8" s="45">
        <f>IF($G$2&lt;&gt;"Não se aplica",SUMIF(TUSD!$G$61:'TUSD'!$G$111,$I$2,TUSD!$BC$61:'TUSD'!$BC$111),IF($F$2&lt;&gt;"Não se aplica",SUMIF(TUSD!$F$61:'TUSD'!$F$111,$I$2,TUSD!$BC$61:'TUSD'!$BC$111),IF($E$2&lt;&gt;"Não se aplica",SUMIF(TUSD!$E$61:'TUSD'!$E$111,$I$2,TUSD!$BC$61:'TUSD'!$BC$111),IF($D$2&lt;&gt;"Não se aplica",SUMIF(TUSD!$D$61:'TUSD'!$D$111,$I$2,TUSD!$BC$61:'TUSD'!$BC$111),IF($C$2&lt;&gt;"Não se aplica",SUMIF(TUSD!$C$61:'TUSD'!$C$111,$I$2,TUSD!$BC$61:'TUSD'!$BC$111),IF($B$2&lt;&gt;"Não se aplica",SUMIF(TUSD!$B$61:'TUSD'!$B$111,$I$2,TUSD!$BC$61:'TUSD'!$BC$111),SUMIF(TUSD!$A$61:'TUSD'!$A$111,$I$2,TUSD!$BC$61:'TUSD'!$BC$111)))))))</f>
        <v>1547.1961200272704</v>
      </c>
      <c r="W8" s="45">
        <f>IF($G$2&lt;&gt;"Não se aplica",SUMIF(TUSD!$G$61:'TUSD'!$G$111,$I$2,TUSD!$BD$61:'TUSD'!$BD$111),IF($F$2&lt;&gt;"Não se aplica",SUMIF(TUSD!$F$61:'TUSD'!$F$111,$I$2,TUSD!$BD$61:'TUSD'!$BD$111),IF($E$2&lt;&gt;"Não se aplica",SUMIF(TUSD!$E$61:'TUSD'!$E$111,$I$2,TUSD!$BD$61:'TUSD'!$BD$111),IF($D$2&lt;&gt;"Não se aplica",SUMIF(TUSD!$D$61:'TUSD'!$D$111,$I$2,TUSD!$BD$61:'TUSD'!$BD$111),IF($C$2&lt;&gt;"Não se aplica",SUMIF(TUSD!$C$61:'TUSD'!$C$111,$I$2,TUSD!$BD$61:'TUSD'!$BD$111),IF($B$2&lt;&gt;"Não se aplica",SUMIF(TUSD!$B$61:'TUSD'!$B$111,$I$2,TUSD!$BD$61:'TUSD'!$BD$111),SUMIF(TUSD!$A$61:'TUSD'!$A$111,$I$2,TUSD!$BD$61:'TUSD'!$BD$111)))))))</f>
        <v>212.4272700752752</v>
      </c>
      <c r="X8" s="45">
        <f t="shared" si="0"/>
        <v>979091.53392040741</v>
      </c>
      <c r="AD8" s="14" t="s">
        <v>94</v>
      </c>
      <c r="AG8" s="14" t="s">
        <v>89</v>
      </c>
    </row>
    <row r="9" spans="1:33" x14ac:dyDescent="0.2">
      <c r="A9" s="14" t="s">
        <v>1203</v>
      </c>
      <c r="B9" s="45">
        <f>IF($G$2&lt;&gt;"Não se aplica",SUMIF(TUSD!$G$61:'TUSD'!$G$111,$I$2,TUSD!$L$61:'TUSD'!$L$111),IF($F$2&lt;&gt;"Não se aplica",SUMIF(TUSD!$F$61:'TUSD'!$F$111,$I$2,TUSD!$L$61:'TUSD'!$L$111),IF($E$2&lt;&gt;"Não se aplica",SUMIF(TUSD!$E$61:'TUSD'!$E$111,$I$2,TUSD!$L$61:'TUSD'!$L$111),IF($D$2&lt;&gt;"Não se aplica",SUMIF(TUSD!$D$61:'TUSD'!$D$111,$I$2,TUSD!$L$61:'TUSD'!$L$111),IF($C$2&lt;&gt;"Não se aplica",SUMIF(TUSD!$C$61:'TUSD'!$C$111,$I$2,TUSD!$L$61:'TUSD'!$L$111),IF($B$2&lt;&gt;"Não se aplica",SUMIF(TUSD!$B$61:'TUSD'!$B$111,$I$2,TUSD!$L$61:'TUSD'!$L$111),SUMIF(TUSD!$A$61:'TUSD'!$A$111,$I$2,TUSD!$L$61:'TUSD'!$L$111)))))))</f>
        <v>13430.213771867966</v>
      </c>
      <c r="C9" s="45">
        <f>IF($G$2&lt;&gt;"Não se aplica",SUMIF(TUSD!$G$61:'TUSD'!$G$111,$I$2,TUSD!$M$61:'TUSD'!$M$111),IF($F$2&lt;&gt;"Não se aplica",SUMIF(TUSD!$F$61:'TUSD'!$F$111,$I$2,TUSD!$M$61:'TUSD'!$M$111),IF($E$2&lt;&gt;"Não se aplica",SUMIF(TUSD!$E$61:'TUSD'!$E$111,$I$2,TUSD!$M$61:'TUSD'!$M$111),IF($D$2&lt;&gt;"Não se aplica",SUMIF(TUSD!$D$61:'TUSD'!$D$111,$I$2,TUSD!$M$61:'TUSD'!$M$111),IF($C$2&lt;&gt;"Não se aplica",SUMIF(TUSD!$C$61:'TUSD'!$C$111,$I$2,TUSD!$M$61:'TUSD'!$M$111),IF($B$2&lt;&gt;"Não se aplica",SUMIF(TUSD!$B$61:'TUSD'!$B$111,$I$2,TUSD!$M$61:'TUSD'!$M$111),SUMIF(TUSD!$A$61:'TUSD'!$A$111,$I$2,TUSD!$M$61:'TUSD'!$M$111)))))))</f>
        <v>872.40927361117508</v>
      </c>
      <c r="D9" s="45">
        <f ca="1">IF($G$2&lt;&gt;"Não se aplica",SUMIF(TUSD!$G$61:'TUSD'!$G$111,$I$2,TUSD!$N$61:'TUSD'!$N$111),IF($F$2&lt;&gt;"Não se aplica",SUMIF(TUSD!$F$61:'TUSD'!$F$111,$I$2,TUSD!$N$61:'TUSD'!$N$111),IF($E$2&lt;&gt;"Não se aplica",SUMIF(TUSD!$E$61:'TUSD'!$E$111,$I$2,TUSD!$N$61:'TUSD'!$N$111),IF($D$2&lt;&gt;"Não se aplica",SUMIF(TUSD!$D$61:'TUSD'!$D$111,$I$2,TUSD!$N$61:'TUSD'!$N$111),IF($C$2&lt;&gt;"Não se aplica",SUMIF(TUSD!$C$61:'TUSD'!$C$111,$I$2,TUSD!$N$61:'TUSD'!$N$111),IF($B$2&lt;&gt;"Não se aplica",SUMIF(TUSD!$B$61:'TUSD'!$B$111,$I$2,TUSD!$N$61:'TUSD'!$N$111),SUMIF(TUSD!$A$61:'TUSD'!$A$111,$I$2,TUSD!$N$61:'TUSD'!$N$111)))))))</f>
        <v>2445.518055074931</v>
      </c>
      <c r="E9" s="45">
        <f>IF($G$2&lt;&gt;"Não se aplica",SUMIF(TUSD!$G$61:'TUSD'!$G$111,$I$2,TUSD!$O$61:'TUSD'!$O$111),IF($F$2&lt;&gt;"Não se aplica",SUMIF(TUSD!$F$61:'TUSD'!$F$111,$I$2,TUSD!$O$61:'TUSD'!$O$111),IF($E$2&lt;&gt;"Não se aplica",SUMIF(TUSD!$E$61:'TUSD'!$E$111,$I$2,TUSD!$O$61:'TUSD'!$O$111),IF($D$2&lt;&gt;"Não se aplica",SUMIF(TUSD!$D$61:'TUSD'!$D$111,$I$2,TUSD!$O$61:'TUSD'!$O$111),IF($C$2&lt;&gt;"Não se aplica",SUMIF(TUSD!$C$61:'TUSD'!$C$111,$I$2,TUSD!$O$61:'TUSD'!$O$111),IF($B$2&lt;&gt;"Não se aplica",SUMIF(TUSD!$B$61:'TUSD'!$B$111,$I$2,TUSD!$O$61:'TUSD'!$O$111),SUMIF(TUSD!$A$61:'TUSD'!$A$111,$I$2,TUSD!$O$61:'TUSD'!$O$111)))))))</f>
        <v>0</v>
      </c>
      <c r="F9" s="45">
        <f>IF($G$2&lt;&gt;"Não se aplica",SUMIF(TUSD!$G$61:'TUSD'!$G$111,$I$2,TUSD!$P$61:'TUSD'!$P$111),IF($F$2&lt;&gt;"Não se aplica",SUMIF(TUSD!$F$61:'TUSD'!$F$111,$I$2,TUSD!$P$61:'TUSD'!$P$111),IF($E$2&lt;&gt;"Não se aplica",SUMIF(TUSD!$E$61:'TUSD'!$E$111,$I$2,TUSD!$P$61:'TUSD'!$P$111),IF($D$2&lt;&gt;"Não se aplica",SUMIF(TUSD!$D$61:'TUSD'!$D$111,$I$2,TUSD!$P$61:'TUSD'!$P$111),IF($C$2&lt;&gt;"Não se aplica",SUMIF(TUSD!$C$61:'TUSD'!$C$111,$I$2,TUSD!$P$61:'TUSD'!$P$111),IF($B$2&lt;&gt;"Não se aplica",SUMIF(TUSD!$B$61:'TUSD'!$B$111,$I$2,TUSD!$P$61:'TUSD'!$P$111),SUMIF(TUSD!$A$61:'TUSD'!$A$111,$I$2,TUSD!$P$61:'TUSD'!$P$111)))))))</f>
        <v>0</v>
      </c>
      <c r="G9" s="45">
        <f>IF($G$2&lt;&gt;"Não se aplica",SUMIF(TUSD!$G$61:'TUSD'!$G$111,$I$2,TUSD!$Q$61:'TUSD'!$Q$111),IF($F$2&lt;&gt;"Não se aplica",SUMIF(TUSD!$F$61:'TUSD'!$F$111,$I$2,TUSD!$Q$61:'TUSD'!$Q$111),IF($E$2&lt;&gt;"Não se aplica",SUMIF(TUSD!$E$61:'TUSD'!$E$111,$I$2,TUSD!$Q$61:'TUSD'!$Q$111),IF($D$2&lt;&gt;"Não se aplica",SUMIF(TUSD!$D$61:'TUSD'!$D$111,$I$2,TUSD!$Q$61:'TUSD'!$Q$111),IF($C$2&lt;&gt;"Não se aplica",SUMIF(TUSD!$C$61:'TUSD'!$C$111,$I$2,TUSD!$Q$61:'TUSD'!$Q$111),IF($B$2&lt;&gt;"Não se aplica",SUMIF(TUSD!$B$61:'TUSD'!$B$111,$I$2,TUSD!$Q$61:'TUSD'!$Q$111),SUMIF(TUSD!$A$61:'TUSD'!$A$111,$I$2,TUSD!$Q$61:'TUSD'!$Q$111)))))))</f>
        <v>632753.37448315299</v>
      </c>
      <c r="H9" s="45">
        <f>IF($G$2&lt;&gt;"Não se aplica",SUMIF(TUSD!$G$61:'TUSD'!$G$111,$I$2,TUSD!$R$61:'TUSD'!$R$111),IF($F$2&lt;&gt;"Não se aplica",SUMIF(TUSD!$F$61:'TUSD'!$F$111,$I$2,TUSD!$R$61:'TUSD'!$R$111),IF($E$2&lt;&gt;"Não se aplica",SUMIF(TUSD!$E$61:'TUSD'!$E$111,$I$2,TUSD!$R$61:'TUSD'!$R$111),IF($D$2&lt;&gt;"Não se aplica",SUMIF(TUSD!$D$61:'TUSD'!$D$111,$I$2,TUSD!$R$61:'TUSD'!$R$111),IF($C$2&lt;&gt;"Não se aplica",SUMIF(TUSD!$C$61:'TUSD'!$C$111,$I$2,TUSD!$R$61:'TUSD'!$R$111),IF($B$2&lt;&gt;"Não se aplica",SUMIF(TUSD!$B$61:'TUSD'!$B$111,$I$2,TUSD!$R$61:'TUSD'!$R$111),SUMIF(TUSD!$A$61:'TUSD'!$A$111,$I$2,TUSD!$R$61:'TUSD'!$R$111)))))))</f>
        <v>154982.00086279199</v>
      </c>
      <c r="I9" s="45">
        <f>IF($G$2&lt;&gt;"Não se aplica",SUMIF(TUSD!$G$61:'TUSD'!$G$111,$I$2,TUSD!$S$61:'TUSD'!$S$111),IF($F$2&lt;&gt;"Não se aplica",SUMIF(TUSD!$F$61:'TUSD'!$F$111,$I$2,TUSD!$S$61:'TUSD'!$S$111),IF($E$2&lt;&gt;"Não se aplica",SUMIF(TUSD!$E$61:'TUSD'!$E$111,$I$2,TUSD!$S$61:'TUSD'!$S$111),IF($D$2&lt;&gt;"Não se aplica",SUMIF(TUSD!$D$61:'TUSD'!$D$111,$I$2,TUSD!$S$61:'TUSD'!$S$111),IF($C$2&lt;&gt;"Não se aplica",SUMIF(TUSD!$C$61:'TUSD'!$C$111,$I$2,TUSD!$S$61:'TUSD'!$S$111),IF($B$2&lt;&gt;"Não se aplica",SUMIF(TUSD!$B$61:'TUSD'!$B$111,$I$2,TUSD!$S$61:'TUSD'!$S$111),SUMIF(TUSD!$A$61:'TUSD'!$A$111,$I$2,TUSD!$S$61:'TUSD'!$S$111)))))))</f>
        <v>0</v>
      </c>
      <c r="J9" s="45">
        <f>IF($G$2&lt;&gt;"Não se aplica",SUMIF(TUSD!$G$61:'TUSD'!$G$111,$I$2,TUSD!$T$61:'TUSD'!$T$111),IF($F$2&lt;&gt;"Não se aplica",SUMIF(TUSD!$F$61:'TUSD'!$F$111,$I$2,TUSD!$T$61:'TUSD'!$T$111),IF($E$2&lt;&gt;"Não se aplica",SUMIF(TUSD!$E$61:'TUSD'!$E$111,$I$2,TUSD!$T$61:'TUSD'!$T$111),IF($D$2&lt;&gt;"Não se aplica",SUMIF(TUSD!$D$61:'TUSD'!$D$111,$I$2,TUSD!$T$61:'TUSD'!$T$111),IF($C$2&lt;&gt;"Não se aplica",SUMIF(TUSD!$C$61:'TUSD'!$C$111,$I$2,TUSD!$T$61:'TUSD'!$T$111),IF($B$2&lt;&gt;"Não se aplica",SUMIF(TUSD!$B$61:'TUSD'!$B$111,$I$2,TUSD!$T$61:'TUSD'!$T$111),SUMIF(TUSD!$A$61:'TUSD'!$A$111,$I$2,TUSD!$T$61:'TUSD'!$T$111)))))))</f>
        <v>0</v>
      </c>
      <c r="K9" s="45">
        <f>IF($G$2&lt;&gt;"Não se aplica",SUMIF(TUSD!$G$61:'TUSD'!$G$111,$I$2,TUSD!$U$61:'TUSD'!$U$111),IF($F$2&lt;&gt;"Não se aplica",SUMIF(TUSD!$F$61:'TUSD'!$F$111,$I$2,TUSD!$U$61:'TUSD'!$U$111),IF($E$2&lt;&gt;"Não se aplica",SUMIF(TUSD!$E$61:'TUSD'!$E$111,$I$2,TUSD!$U$61:'TUSD'!$U$111),IF($D$2&lt;&gt;"Não se aplica",SUMIF(TUSD!$D$61:'TUSD'!$D$111,$I$2,TUSD!$U$61:'TUSD'!$U$111),IF($C$2&lt;&gt;"Não se aplica",SUMIF(TUSD!$C$61:'TUSD'!$C$111,$I$2,TUSD!$U$61:'TUSD'!$U$111),IF($B$2&lt;&gt;"Não se aplica",SUMIF(TUSD!$B$61:'TUSD'!$B$111,$I$2,TUSD!$U$61:'TUSD'!$U$111),SUMIF(TUSD!$A$61:'TUSD'!$A$111,$I$2,TUSD!$U$61:'TUSD'!$U$111)))))))</f>
        <v>0</v>
      </c>
      <c r="L9" s="45">
        <f>IF($G$2&lt;&gt;"Não se aplica",SUMIF(TUSD!$G$61:'TUSD'!$G$111,$I$2,TUSD!$V$61:'TUSD'!$V$111),IF($F$2&lt;&gt;"Não se aplica",SUMIF(TUSD!$F$61:'TUSD'!$F$111,$I$2,TUSD!$V$61:'TUSD'!$V$111),IF($E$2&lt;&gt;"Não se aplica",SUMIF(TUSD!$E$61:'TUSD'!$E$111,$I$2,TUSD!$V$61:'TUSD'!$V$111),IF($D$2&lt;&gt;"Não se aplica",SUMIF(TUSD!$D$61:'TUSD'!$D$111,$I$2,TUSD!$V$61:'TUSD'!$V$111),IF($C$2&lt;&gt;"Não se aplica",SUMIF(TUSD!$C$61:'TUSD'!$C$111,$I$2,TUSD!$V$61:'TUSD'!$V$111),IF($B$2&lt;&gt;"Não se aplica",SUMIF(TUSD!$B$61:'TUSD'!$B$111,$I$2,TUSD!$V$61:'TUSD'!$V$111),SUMIF(TUSD!$A$61:'TUSD'!$A$111,$I$2,TUSD!$V$61:'TUSD'!$V$111)))))))</f>
        <v>0</v>
      </c>
      <c r="M9" s="45">
        <f>IF($G$2&lt;&gt;"Não se aplica",SUMIF(TUSD!$G$61:'TUSD'!$G$111,$I$2,TUSD!$W$61:'TUSD'!$W$111),IF($F$2&lt;&gt;"Não se aplica",SUMIF(TUSD!$F$61:'TUSD'!$F$111,$I$2,TUSD!$W$61:'TUSD'!$W$111),IF($E$2&lt;&gt;"Não se aplica",SUMIF(TUSD!$E$61:'TUSD'!$E$111,$I$2,TUSD!$W$61:'TUSD'!$W$111),IF($D$2&lt;&gt;"Não se aplica",SUMIF(TUSD!$D$61:'TUSD'!$D$111,$I$2,TUSD!$W$61:'TUSD'!$W$111),IF($C$2&lt;&gt;"Não se aplica",SUMIF(TUSD!$C$61:'TUSD'!$C$111,$I$2,TUSD!$W$61:'TUSD'!$W$111),IF($B$2&lt;&gt;"Não se aplica",SUMIF(TUSD!$B$61:'TUSD'!$B$111,$I$2,TUSD!$W$61:'TUSD'!$W$111),SUMIF(TUSD!$A$61:'TUSD'!$A$111,$I$2,TUSD!$W$61:'TUSD'!$W$111)))))))</f>
        <v>0</v>
      </c>
      <c r="N9" s="45">
        <f>IF($G$2&lt;&gt;"Não se aplica",SUMIF(TUSD!$G$61:'TUSD'!$G$111,$I$2,TUSD!$X$61:'TUSD'!$X$111),IF($F$2&lt;&gt;"Não se aplica",SUMIF(TUSD!$F$61:'TUSD'!$F$111,$I$2,TUSD!$X$61:'TUSD'!$X$111),IF($E$2&lt;&gt;"Não se aplica",SUMIF(TUSD!$E$61:'TUSD'!$E$111,$I$2,TUSD!$X$61:'TUSD'!$X$111),IF($D$2&lt;&gt;"Não se aplica",SUMIF(TUSD!$D$61:'TUSD'!$D$111,$I$2,TUSD!$X$61:'TUSD'!$X$111),IF($C$2&lt;&gt;"Não se aplica",SUMIF(TUSD!$C$61:'TUSD'!$C$111,$I$2,TUSD!$X$61:'TUSD'!$X$111),IF($B$2&lt;&gt;"Não se aplica",SUMIF(TUSD!$B$61:'TUSD'!$B$111,$I$2,TUSD!$X$61:'TUSD'!$X$111),SUMIF(TUSD!$A$61:'TUSD'!$A$111,$I$2,TUSD!$X$61:'TUSD'!$X$111)))))))</f>
        <v>535369.22673669003</v>
      </c>
      <c r="O9" s="45">
        <f>IF($G$2&lt;&gt;"Não se aplica",SUMIF(TUSD!$G$61:'TUSD'!$G$111,$I$2,TUSD!$Y$61:'TUSD'!$Y$111),IF($F$2&lt;&gt;"Não se aplica",SUMIF(TUSD!$F$61:'TUSD'!$F$111,$I$2,TUSD!$Y$61:'TUSD'!$Y$111),IF($E$2&lt;&gt;"Não se aplica",SUMIF(TUSD!$E$61:'TUSD'!$E$111,$I$2,TUSD!$Y$61:'TUSD'!$Y$111),IF($D$2&lt;&gt;"Não se aplica",SUMIF(TUSD!$D$61:'TUSD'!$D$111,$I$2,TUSD!$Y$61:'TUSD'!$Y$111),IF($C$2&lt;&gt;"Não se aplica",SUMIF(TUSD!$C$61:'TUSD'!$C$111,$I$2,TUSD!$Y$61:'TUSD'!$Y$111),IF($B$2&lt;&gt;"Não se aplica",SUMIF(TUSD!$B$61:'TUSD'!$B$111,$I$2,TUSD!$Y$61:'TUSD'!$Y$111),SUMIF(TUSD!$A$61:'TUSD'!$A$111,$I$2,TUSD!$Y$61:'TUSD'!$Y$111)))))))</f>
        <v>0</v>
      </c>
      <c r="P9" s="45">
        <f>IF($G$2&lt;&gt;"Não se aplica",SUMIF(TUSD!$G$61:'TUSD'!$G$111,$I$2,TUSD!$Z$61:'TUSD'!$Z$111),IF($F$2&lt;&gt;"Não se aplica",SUMIF(TUSD!$F$61:'TUSD'!$F$111,$I$2,TUSD!$Z$61:'TUSD'!$Z$111),IF($E$2&lt;&gt;"Não se aplica",SUMIF(TUSD!$E$61:'TUSD'!$E$111,$I$2,TUSD!$Z$61:'TUSD'!$Z$111),IF($D$2&lt;&gt;"Não se aplica",SUMIF(TUSD!$D$61:'TUSD'!$D$111,$I$2,TUSD!$Z$61:'TUSD'!$Z$111),IF($C$2&lt;&gt;"Não se aplica",SUMIF(TUSD!$C$61:'TUSD'!$C$111,$I$2,TUSD!$Z$61:'TUSD'!$Z$111),IF($B$2&lt;&gt;"Não se aplica",SUMIF(TUSD!$B$61:'TUSD'!$B$111,$I$2,TUSD!$Z$61:'TUSD'!$Z$111),SUMIF(TUSD!$A$61:'TUSD'!$A$111,$I$2,TUSD!$Z$61:'TUSD'!$Z$111)))))))</f>
        <v>0</v>
      </c>
      <c r="Q9" s="45">
        <f>IF($G$2&lt;&gt;"Não se aplica",SUMIF(TUSD!$G$61:'TUSD'!$G$111,$I$2,TUSD!$AA$61:'TUSD'!$AA$111),IF($F$2&lt;&gt;"Não se aplica",SUMIF(TUSD!$F$61:'TUSD'!$F$111,$I$2,TUSD!$AA$61:'TUSD'!$AA$111),IF($E$2&lt;&gt;"Não se aplica",SUMIF(TUSD!$E$61:'TUSD'!$E$111,$I$2,TUSD!$AA$61:'TUSD'!$AA$111),IF($D$2&lt;&gt;"Não se aplica",SUMIF(TUSD!$D$61:'TUSD'!$D$111,$I$2,TUSD!$AA$61:'TUSD'!$AA$111),IF($C$2&lt;&gt;"Não se aplica",SUMIF(TUSD!$C$61:'TUSD'!$C$111,$I$2,TUSD!$AA$61:'TUSD'!$AA$111),IF($B$2&lt;&gt;"Não se aplica",SUMIF(TUSD!$B$61:'TUSD'!$B$111,$I$2,TUSD!$AA$61:'TUSD'!$AA$111),SUMIF(TUSD!$A$61:'TUSD'!$A$111,$I$2,TUSD!$AA$61:'TUSD'!$AA$111)))))))</f>
        <v>189628.13858381522</v>
      </c>
      <c r="R9" s="45">
        <f ca="1">IF($G$2&lt;&gt;"Não se aplica",SUMIF(TUSD!$G$61:'TUSD'!$G$111,$I$2,TUSD!$AB$61:'TUSD'!$AB$111),IF($F$2&lt;&gt;"Não se aplica",SUMIF(TUSD!$F$61:'TUSD'!$F$111,$I$2,TUSD!$AB$61:'TUSD'!$AB$111),IF($E$2&lt;&gt;"Não se aplica",SUMIF(TUSD!$E$61:'TUSD'!$E$111,$I$2,TUSD!$AB$61:'TUSD'!$AB$111),IF($D$2&lt;&gt;"Não se aplica",SUMIF(TUSD!$D$61:'TUSD'!$D$111,$I$2,TUSD!$AB$61:'TUSD'!$AB$111),IF($C$2&lt;&gt;"Não se aplica",SUMIF(TUSD!$C$61:'TUSD'!$C$111,$I$2,TUSD!$AB$61:'TUSD'!$AB$111),IF($B$2&lt;&gt;"Não se aplica",SUMIF(TUSD!$B$61:'TUSD'!$B$111,$I$2,TUSD!$AB$61:'TUSD'!$AB$111),SUMIF(TUSD!$A$61:'TUSD'!$A$111,$I$2,TUSD!$AB$61:'TUSD'!$AB$111)))))))</f>
        <v>-53315.185969127546</v>
      </c>
      <c r="S9" s="45">
        <f ca="1">IF($G$2&lt;&gt;"Não se aplica",SUMIF(TUSD!$G$61:'TUSD'!$G$111,$I$2,TUSD!$AC$61:'TUSD'!$AC$111),IF($F$2&lt;&gt;"Não se aplica",SUMIF(TUSD!$F$61:'TUSD'!$F$111,$I$2,TUSD!$AC$61:'TUSD'!$AC$111),IF($E$2&lt;&gt;"Não se aplica",SUMIF(TUSD!$E$61:'TUSD'!$E$111,$I$2,TUSD!$AC$61:'TUSD'!$AC$111),IF($D$2&lt;&gt;"Não se aplica",SUMIF(TUSD!$D$61:'TUSD'!$D$111,$I$2,TUSD!$AC$61:'TUSD'!$AC$111),IF($C$2&lt;&gt;"Não se aplica",SUMIF(TUSD!$C$61:'TUSD'!$C$111,$I$2,TUSD!$AC$61:'TUSD'!$AC$111),IF($B$2&lt;&gt;"Não se aplica",SUMIF(TUSD!$B$61:'TUSD'!$B$111,$I$2,TUSD!$AC$61:'TUSD'!$AC$111),SUMIF(TUSD!$A$61:'TUSD'!$A$111,$I$2,TUSD!$AC$61:'TUSD'!$AC$111)))))))</f>
        <v>0</v>
      </c>
      <c r="T9" s="45">
        <f>IF($G$2&lt;&gt;"Não se aplica",SUMIF(TUSD!$G$61:'TUSD'!$G$111,$I$2,TUSD!$AD$61:'TUSD'!$AD$111),IF($F$2&lt;&gt;"Não se aplica",SUMIF(TUSD!$F$61:'TUSD'!$F$111,$I$2,TUSD!$AD$61:'TUSD'!$AD$111),IF($E$2&lt;&gt;"Não se aplica",SUMIF(TUSD!$E$61:'TUSD'!$E$111,$I$2,TUSD!$AD$61:'TUSD'!$AD$111),IF($D$2&lt;&gt;"Não se aplica",SUMIF(TUSD!$D$61:'TUSD'!$D$111,$I$2,TUSD!$AD$61:'TUSD'!$AD$111),IF($C$2&lt;&gt;"Não se aplica",SUMIF(TUSD!$C$61:'TUSD'!$C$111,$I$2,TUSD!$AD$61:'TUSD'!$AD$111),IF($B$2&lt;&gt;"Não se aplica",SUMIF(TUSD!$B$61:'TUSD'!$B$111,$I$2,TUSD!$AD$61:'TUSD'!$AD$111),SUMIF(TUSD!$A$61:'TUSD'!$A$111,$I$2,TUSD!$AD$61:'TUSD'!$AD$111)))))))</f>
        <v>45923.302414264559</v>
      </c>
      <c r="U9" s="45">
        <f>IF($G$2&lt;&gt;"Não se aplica",SUMIF(TUSD!$G$61:'TUSD'!$G$111,$I$2,TUSD!$AE$61:'TUSD'!$AE$111),IF($F$2&lt;&gt;"Não se aplica",SUMIF(TUSD!$F$61:'TUSD'!$F$111,$I$2,TUSD!$AE$61:'TUSD'!$AE$111),IF($E$2&lt;&gt;"Não se aplica",SUMIF(TUSD!$E$61:'TUSD'!$E$111,$I$2,TUSD!$AE$61:'TUSD'!$AE$111),IF($D$2&lt;&gt;"Não se aplica",SUMIF(TUSD!$D$61:'TUSD'!$D$111,$I$2,TUSD!$AE$61:'TUSD'!$AE$111),IF($C$2&lt;&gt;"Não se aplica",SUMIF(TUSD!$C$61:'TUSD'!$C$111,$I$2,TUSD!$AE$61:'TUSD'!$AE$111),IF($B$2&lt;&gt;"Não se aplica",SUMIF(TUSD!$B$61:'TUSD'!$B$111,$I$2,TUSD!$AE$61:'TUSD'!$AE$111),SUMIF(TUSD!$A$61:'TUSD'!$A$111,$I$2,TUSD!$AE$61:'TUSD'!$AE$111)))))))</f>
        <v>0</v>
      </c>
      <c r="V9" s="45">
        <f ca="1">IF($G$2&lt;&gt;"Não se aplica",SUMIF(TUSD!$G$61:'TUSD'!$G$111,$I$2,TUSD!$AF$61:'TUSD'!$AF$111),IF($F$2&lt;&gt;"Não se aplica",SUMIF(TUSD!$F$61:'TUSD'!$F$111,$I$2,TUSD!$AF$61:'TUSD'!$AF$111),IF($E$2&lt;&gt;"Não se aplica",SUMIF(TUSD!$E$61:'TUSD'!$E$111,$I$2,TUSD!$AF$61:'TUSD'!$AF$111),IF($D$2&lt;&gt;"Não se aplica",SUMIF(TUSD!$D$61:'TUSD'!$D$111,$I$2,TUSD!$AF$61:'TUSD'!$AF$111),IF($C$2&lt;&gt;"Não se aplica",SUMIF(TUSD!$C$61:'TUSD'!$C$111,$I$2,TUSD!$AF$61:'TUSD'!$AF$111),IF($B$2&lt;&gt;"Não se aplica",SUMIF(TUSD!$B$61:'TUSD'!$B$111,$I$2,TUSD!$AF$61:'TUSD'!$AF$111),SUMIF(TUSD!$A$61:'TUSD'!$A$111,$I$2,TUSD!$AF$61:'TUSD'!$AF$111)))))))</f>
        <v>4202.2213519804018</v>
      </c>
      <c r="W9" s="45">
        <f ca="1">IF($G$2&lt;&gt;"Não se aplica",SUMIF(TUSD!$G$61:'TUSD'!$G$111,$I$2,TUSD!$AG$61:'TUSD'!$AG$111),IF($F$2&lt;&gt;"Não se aplica",SUMIF(TUSD!$F$61:'TUSD'!$F$111,$I$2,TUSD!$AG$61:'TUSD'!$AG$111),IF($E$2&lt;&gt;"Não se aplica",SUMIF(TUSD!$E$61:'TUSD'!$E$111,$I$2,TUSD!$AG$61:'TUSD'!$AG$111),IF($D$2&lt;&gt;"Não se aplica",SUMIF(TUSD!$D$61:'TUSD'!$D$111,$I$2,TUSD!$AG$61:'TUSD'!$AG$111),IF($C$2&lt;&gt;"Não se aplica",SUMIF(TUSD!$C$61:'TUSD'!$C$111,$I$2,TUSD!$AG$61:'TUSD'!$AG$111),IF($B$2&lt;&gt;"Não se aplica",SUMIF(TUSD!$B$61:'TUSD'!$B$111,$I$2,TUSD!$AG$61:'TUSD'!$AG$111),SUMIF(TUSD!$A$61:'TUSD'!$A$111,$I$2,TUSD!$AG$61:'TUSD'!$AG$111)))))))</f>
        <v>633.66374830861696</v>
      </c>
      <c r="X9" s="45">
        <f t="shared" ca="1" si="0"/>
        <v>1526924.8833124302</v>
      </c>
      <c r="AD9" s="14" t="s">
        <v>46</v>
      </c>
    </row>
    <row r="10" spans="1:33" x14ac:dyDescent="0.2">
      <c r="A10" s="14" t="s">
        <v>1200</v>
      </c>
      <c r="B10" s="45">
        <f>SUMIF(TUSD!$A$61:'TUSD'!$A$111,$A$2,TUSD!$AI$61:'TUSD'!$AI$111)</f>
        <v>11738.685959720222</v>
      </c>
      <c r="C10" s="45">
        <f>SUMIF(TUSD!$A$61:'TUSD'!$A$111,$A$2,TUSD!$AJ$61:'TUSD'!$AJ$111)</f>
        <v>182.48098622236702</v>
      </c>
      <c r="D10" s="45">
        <f>SUMIF(TUSD!$A$61:'TUSD'!$A$111,$A$2,TUSD!$AK$61:'TUSD'!$AK$111)</f>
        <v>1817.5103634880347</v>
      </c>
      <c r="E10" s="45">
        <f>SUMIF(TUSD!$A$61:'TUSD'!$A$111,$A$2,TUSD!$AL$61:'TUSD'!$AL$111)</f>
        <v>0</v>
      </c>
      <c r="F10" s="45">
        <f>SUMIF(TUSD!$A$61:'TUSD'!$A$111,$A$2,TUSD!$AM$61:'TUSD'!$AM$111)</f>
        <v>0</v>
      </c>
      <c r="G10" s="45">
        <f>SUMIF(TUSD!$A$61:'TUSD'!$A$111,$A$2,TUSD!$AN$61:'TUSD'!$AN$111)</f>
        <v>313380.8050255577</v>
      </c>
      <c r="H10" s="45">
        <f>SUMIF(TUSD!$A$61:'TUSD'!$A$111,$A$2,TUSD!$AO$61:'TUSD'!$AO$111)</f>
        <v>71618.100368707441</v>
      </c>
      <c r="I10" s="45">
        <f>SUMIF(TUSD!$A$61:'TUSD'!$A$111,$A$2,TUSD!$AP$61:'TUSD'!$AP$111)</f>
        <v>0</v>
      </c>
      <c r="J10" s="45">
        <f>SUMIF(TUSD!$A$61:'TUSD'!$A$111,$A$2,TUSD!$AQ$61:'TUSD'!$AQ$111)</f>
        <v>0</v>
      </c>
      <c r="K10" s="45">
        <f>SUMIF(TUSD!$A$61:'TUSD'!$A$111,$A$2,TUSD!$AR$61:'TUSD'!$AR$111)</f>
        <v>0</v>
      </c>
      <c r="L10" s="45">
        <f>SUMIF(TUSD!$A$61:'TUSD'!$A$111,$A$2,TUSD!$AS$61:'TUSD'!$AS$111)</f>
        <v>0</v>
      </c>
      <c r="M10" s="45">
        <f>SUMIF(TUSD!$A$61:'TUSD'!$A$111,$A$2,TUSD!$AT$61:'TUSD'!$AT$111)</f>
        <v>0</v>
      </c>
      <c r="N10" s="45">
        <f>SUMIF(TUSD!$A$61:'TUSD'!$A$111,$A$2,TUSD!$AU$61:'TUSD'!$AU$111)</f>
        <v>381611.08128683735</v>
      </c>
      <c r="O10" s="45">
        <f>SUMIF(TUSD!$A$61:'TUSD'!$A$111,$A$2,TUSD!$AV$61:'TUSD'!$AV$111)</f>
        <v>0</v>
      </c>
      <c r="P10" s="45">
        <f>SUMIF(TUSD!$A$61:'TUSD'!$A$111,$A$2,TUSD!$AW$61:'TUSD'!$AW$111)</f>
        <v>0</v>
      </c>
      <c r="Q10" s="45">
        <f>SUMIF(TUSD!$A$61:'TUSD'!$A$111,$A$2,TUSD!$AX$61:'TUSD'!$AX$111)</f>
        <v>163729.4652697547</v>
      </c>
      <c r="R10" s="45">
        <f>SUMIF(TUSD!$A$61:'TUSD'!$A$111,$A$2,TUSD!$AY$61:'TUSD'!$AY$111)</f>
        <v>-14647.155979132931</v>
      </c>
      <c r="S10" s="45">
        <f>SUMIF(TUSD!$A$61:'TUSD'!$A$111,$A$2,TUSD!$AZ$61:'TUSD'!$AZ$111)</f>
        <v>0</v>
      </c>
      <c r="T10" s="45">
        <f>SUMIF(TUSD!$A$61:'TUSD'!$A$111,$A$2,TUSD!$BA$61:'TUSD'!$BA$111)</f>
        <v>47900.937249150003</v>
      </c>
      <c r="U10" s="45">
        <f>SUMIF(TUSD!$A$61:'TUSD'!$A$111,$A$2,TUSD!$BB$61:'TUSD'!$BB$111)</f>
        <v>0</v>
      </c>
      <c r="V10" s="45">
        <f>SUMIF(TUSD!$A$61:'TUSD'!$A$111,$A$2,TUSD!$BC$61:'TUSD'!$BC$111)</f>
        <v>1547.1961200272704</v>
      </c>
      <c r="W10" s="45">
        <f>SUMIF(TUSD!$A$61:'TUSD'!$A$111,$A$2,TUSD!$BD$61:'TUSD'!$BD$111)</f>
        <v>212.4272700752752</v>
      </c>
      <c r="X10" s="45">
        <f t="shared" si="0"/>
        <v>979091.53392040741</v>
      </c>
      <c r="AD10" s="14" t="s">
        <v>95</v>
      </c>
    </row>
    <row r="11" spans="1:33" x14ac:dyDescent="0.2">
      <c r="A11" s="14" t="s">
        <v>1201</v>
      </c>
      <c r="B11" s="45">
        <f>SUMIF(TUSD!$A$61:'TUSD'!$A$111,$A$2,TUSD!$L$61:'TUSD'!$L$111)</f>
        <v>13430.213771867966</v>
      </c>
      <c r="C11" s="45">
        <f>SUMIF(TUSD!$A$61:'TUSD'!$A$111,$A$2,TUSD!$M$61:'TUSD'!$M$111)</f>
        <v>872.40927361117508</v>
      </c>
      <c r="D11" s="45">
        <f ca="1">SUMIF(TUSD!$A$61:'TUSD'!$A$111,$A$2,TUSD!$N$61:'TUSD'!$N$111)</f>
        <v>2445.518055074931</v>
      </c>
      <c r="E11" s="45">
        <f>SUMIF(TUSD!$A$61:'TUSD'!$A$111,$A$2,TUSD!$O$61:'TUSD'!$O$111)</f>
        <v>0</v>
      </c>
      <c r="F11" s="45">
        <f>SUMIF(TUSD!$A$61:'TUSD'!$A$111,$A$2,TUSD!$P$61:'TUSD'!$P$111)</f>
        <v>0</v>
      </c>
      <c r="G11" s="45">
        <f>SUMIF(TUSD!$A$61:'TUSD'!$A$111,$A$2,TUSD!$Q$61:'TUSD'!$Q$111)</f>
        <v>632753.37448315299</v>
      </c>
      <c r="H11" s="45">
        <f>SUMIF(TUSD!$A$61:'TUSD'!$A$111,$A$2,TUSD!$R$61:'TUSD'!$R$111)</f>
        <v>154982.00086279199</v>
      </c>
      <c r="I11" s="45">
        <f>SUMIF(TUSD!$A$61:'TUSD'!$A$111,$A$2,TUSD!$S$61:'TUSD'!$S$111)</f>
        <v>0</v>
      </c>
      <c r="J11" s="45">
        <f>SUMIF(TUSD!$A$61:'TUSD'!$A$111,$A$2,TUSD!$T$61:'TUSD'!$T$111)</f>
        <v>0</v>
      </c>
      <c r="K11" s="45">
        <f>SUMIF(TUSD!$A$61:'TUSD'!$A$111,$A$2,TUSD!$U$61:'TUSD'!$U$111)</f>
        <v>0</v>
      </c>
      <c r="L11" s="45">
        <f>SUMIF(TUSD!$A$61:'TUSD'!$A$111,$A$2,TUSD!$V$61:'TUSD'!$V$111)</f>
        <v>0</v>
      </c>
      <c r="M11" s="45">
        <f>SUMIF(TUSD!$A$61:'TUSD'!$A$111,$A$2,TUSD!$W$61:'TUSD'!$W$111)</f>
        <v>0</v>
      </c>
      <c r="N11" s="45">
        <f>SUMIF(TUSD!$A$61:'TUSD'!$A$111,$A$2,TUSD!$X$61:'TUSD'!$X$111)</f>
        <v>535369.22673669003</v>
      </c>
      <c r="O11" s="45">
        <f>SUMIF(TUSD!$A$61:'TUSD'!$A$111,$A$2,TUSD!$Y$61:'TUSD'!$Y$111)</f>
        <v>0</v>
      </c>
      <c r="P11" s="45">
        <f>SUMIF(TUSD!$A$61:'TUSD'!$A$111,$A$2,TUSD!$Z$61:'TUSD'!$Z$111)</f>
        <v>0</v>
      </c>
      <c r="Q11" s="45">
        <f>SUMIF(TUSD!$A$61:'TUSD'!$A$111,$A$2,TUSD!$AA$61:'TUSD'!$AA$111)</f>
        <v>189628.13858381522</v>
      </c>
      <c r="R11" s="45">
        <f ca="1">SUMIF(TUSD!$A$61:'TUSD'!$A$111,$A$2,TUSD!$AB$61:'TUSD'!$AB$111)</f>
        <v>-53315.185969127546</v>
      </c>
      <c r="S11" s="45">
        <f ca="1">SUMIF(TUSD!$A$61:'TUSD'!$A$111,$A$2,TUSD!$AC$61:'TUSD'!$AC$111)</f>
        <v>0</v>
      </c>
      <c r="T11" s="45">
        <f>SUMIF(TUSD!$A$61:'TUSD'!$A$111,$A$2,TUSD!$AD$61:'TUSD'!$AD$111)</f>
        <v>45923.302414264559</v>
      </c>
      <c r="U11" s="45">
        <f>SUMIF(TUSD!$A$61:'TUSD'!$A$111,$A$2,TUSD!$AE$61:'TUSD'!$AE$111)</f>
        <v>0</v>
      </c>
      <c r="V11" s="45">
        <f ca="1">SUMIF(TUSD!$A$61:'TUSD'!$A$111,$A$2,TUSD!$AF$61:'TUSD'!$AF$111)</f>
        <v>4202.2213519804018</v>
      </c>
      <c r="W11" s="45">
        <f ca="1">SUMIF(TUSD!$A$61:'TUSD'!$A$111,$A$2,TUSD!$AG$61:'TUSD'!$AG$111)</f>
        <v>633.66374830861696</v>
      </c>
      <c r="X11" s="45">
        <f t="shared" ca="1" si="0"/>
        <v>1526924.8833124302</v>
      </c>
    </row>
    <row r="13" spans="1:33" x14ac:dyDescent="0.2">
      <c r="A13" s="14" t="s">
        <v>1205</v>
      </c>
      <c r="B13" s="99">
        <f t="shared" ref="B13:X13" si="1">IF($X$6&lt;&gt;0,(B$7-B$6)/$X$6,0)</f>
        <v>1.8298936264912699E-3</v>
      </c>
      <c r="C13" s="99">
        <f t="shared" si="1"/>
        <v>3.6932829604150331E-4</v>
      </c>
      <c r="D13" s="99">
        <f t="shared" ca="1" si="1"/>
        <v>2.0469767795633564E-3</v>
      </c>
      <c r="E13" s="99">
        <f t="shared" si="1"/>
        <v>0</v>
      </c>
      <c r="F13" s="99">
        <f t="shared" si="1"/>
        <v>0</v>
      </c>
      <c r="G13" s="99">
        <f t="shared" si="1"/>
        <v>0.26955791867044931</v>
      </c>
      <c r="H13" s="99">
        <f t="shared" si="1"/>
        <v>4.8546138400890809E-2</v>
      </c>
      <c r="I13" s="99">
        <f t="shared" si="1"/>
        <v>0</v>
      </c>
      <c r="J13" s="99">
        <f t="shared" si="1"/>
        <v>0</v>
      </c>
      <c r="K13" s="99">
        <f t="shared" si="1"/>
        <v>0</v>
      </c>
      <c r="L13" s="99">
        <f t="shared" si="1"/>
        <v>0</v>
      </c>
      <c r="M13" s="99">
        <f t="shared" si="1"/>
        <v>0</v>
      </c>
      <c r="N13" s="99">
        <f t="shared" si="1"/>
        <v>0.14353094705986891</v>
      </c>
      <c r="O13" s="99">
        <f t="shared" si="1"/>
        <v>0</v>
      </c>
      <c r="P13" s="99">
        <f t="shared" si="1"/>
        <v>0</v>
      </c>
      <c r="Q13" s="99">
        <f t="shared" si="1"/>
        <v>5.076776413209029E-2</v>
      </c>
      <c r="R13" s="99">
        <f t="shared" ca="1" si="1"/>
        <v>-3.8001875553472307E-2</v>
      </c>
      <c r="S13" s="99">
        <f t="shared" ca="1" si="1"/>
        <v>0</v>
      </c>
      <c r="T13" s="99">
        <f t="shared" si="1"/>
        <v>-1.9277306523612782E-3</v>
      </c>
      <c r="U13" s="99">
        <f t="shared" si="1"/>
        <v>0</v>
      </c>
      <c r="V13" s="99">
        <f t="shared" ca="1" si="1"/>
        <v>2.9625372218705285E-4</v>
      </c>
      <c r="W13" s="99">
        <f t="shared" ca="1" si="1"/>
        <v>9.5932284721796842E-5</v>
      </c>
      <c r="X13" s="99">
        <f t="shared" ca="1" si="1"/>
        <v>0.47711154676647016</v>
      </c>
    </row>
    <row r="14" spans="1:33" x14ac:dyDescent="0.2">
      <c r="A14" s="14" t="s">
        <v>1206</v>
      </c>
      <c r="B14" s="99">
        <f t="shared" ref="B14:X14" si="2">IF($X$10&lt;&gt;0,(B$9-B$8)/$X$10,0)</f>
        <v>1.7276503304799818E-3</v>
      </c>
      <c r="C14" s="99">
        <f t="shared" si="2"/>
        <v>7.0466168227014195E-4</v>
      </c>
      <c r="D14" s="99">
        <f t="shared" ca="1" si="2"/>
        <v>6.4141877427156715E-4</v>
      </c>
      <c r="E14" s="99">
        <f t="shared" si="2"/>
        <v>0</v>
      </c>
      <c r="F14" s="99">
        <f t="shared" si="2"/>
        <v>0</v>
      </c>
      <c r="G14" s="99">
        <f t="shared" si="2"/>
        <v>0.32619275970938771</v>
      </c>
      <c r="H14" s="99">
        <f t="shared" si="2"/>
        <v>8.5144133725970295E-2</v>
      </c>
      <c r="I14" s="99">
        <f t="shared" si="2"/>
        <v>0</v>
      </c>
      <c r="J14" s="99">
        <f t="shared" si="2"/>
        <v>0</v>
      </c>
      <c r="K14" s="99">
        <f t="shared" si="2"/>
        <v>0</v>
      </c>
      <c r="L14" s="99">
        <f t="shared" si="2"/>
        <v>0</v>
      </c>
      <c r="M14" s="99">
        <f t="shared" si="2"/>
        <v>0</v>
      </c>
      <c r="N14" s="99">
        <f t="shared" si="2"/>
        <v>0.15704164536505127</v>
      </c>
      <c r="O14" s="99">
        <f t="shared" si="2"/>
        <v>0</v>
      </c>
      <c r="P14" s="99">
        <f t="shared" si="2"/>
        <v>0</v>
      </c>
      <c r="Q14" s="99">
        <f t="shared" si="2"/>
        <v>2.6451738593182325E-2</v>
      </c>
      <c r="R14" s="99">
        <f t="shared" ca="1" si="2"/>
        <v>-3.9493784442362491E-2</v>
      </c>
      <c r="S14" s="99">
        <f t="shared" ca="1" si="2"/>
        <v>0</v>
      </c>
      <c r="T14" s="99">
        <f t="shared" si="2"/>
        <v>-2.019867158861789E-3</v>
      </c>
      <c r="U14" s="99">
        <f t="shared" si="2"/>
        <v>0</v>
      </c>
      <c r="V14" s="99">
        <f t="shared" ca="1" si="2"/>
        <v>2.7117232045936212E-3</v>
      </c>
      <c r="W14" s="99">
        <f t="shared" ca="1" si="2"/>
        <v>4.3023196875848488E-4</v>
      </c>
      <c r="X14" s="99">
        <f t="shared" ca="1" si="2"/>
        <v>0.55953231175274099</v>
      </c>
    </row>
    <row r="15" spans="1:33" x14ac:dyDescent="0.2">
      <c r="A15" s="14" t="s">
        <v>1207</v>
      </c>
      <c r="B15" s="99">
        <f t="shared" ref="B15:X15" si="3">IF($X$8&lt;&gt;0,(B$9-B$8)/$X$8,0)</f>
        <v>1.7276503304799818E-3</v>
      </c>
      <c r="C15" s="99">
        <f t="shared" si="3"/>
        <v>7.0466168227014195E-4</v>
      </c>
      <c r="D15" s="99">
        <f t="shared" ca="1" si="3"/>
        <v>6.4141877427156715E-4</v>
      </c>
      <c r="E15" s="99">
        <f t="shared" si="3"/>
        <v>0</v>
      </c>
      <c r="F15" s="99">
        <f t="shared" si="3"/>
        <v>0</v>
      </c>
      <c r="G15" s="99">
        <f t="shared" si="3"/>
        <v>0.32619275970938771</v>
      </c>
      <c r="H15" s="99">
        <f t="shared" si="3"/>
        <v>8.5144133725970295E-2</v>
      </c>
      <c r="I15" s="99">
        <f t="shared" si="3"/>
        <v>0</v>
      </c>
      <c r="J15" s="99">
        <f t="shared" si="3"/>
        <v>0</v>
      </c>
      <c r="K15" s="99">
        <f t="shared" si="3"/>
        <v>0</v>
      </c>
      <c r="L15" s="99">
        <f t="shared" si="3"/>
        <v>0</v>
      </c>
      <c r="M15" s="99">
        <f t="shared" si="3"/>
        <v>0</v>
      </c>
      <c r="N15" s="99">
        <f t="shared" si="3"/>
        <v>0.15704164536505127</v>
      </c>
      <c r="O15" s="99">
        <f t="shared" si="3"/>
        <v>0</v>
      </c>
      <c r="P15" s="99">
        <f t="shared" si="3"/>
        <v>0</v>
      </c>
      <c r="Q15" s="99">
        <f t="shared" si="3"/>
        <v>2.6451738593182325E-2</v>
      </c>
      <c r="R15" s="99">
        <f t="shared" ca="1" si="3"/>
        <v>-3.9493784442362491E-2</v>
      </c>
      <c r="S15" s="99">
        <f t="shared" ca="1" si="3"/>
        <v>0</v>
      </c>
      <c r="T15" s="99">
        <f t="shared" si="3"/>
        <v>-2.019867158861789E-3</v>
      </c>
      <c r="U15" s="99">
        <f t="shared" si="3"/>
        <v>0</v>
      </c>
      <c r="V15" s="99">
        <f t="shared" ca="1" si="3"/>
        <v>2.7117232045936212E-3</v>
      </c>
      <c r="W15" s="99">
        <f t="shared" ca="1" si="3"/>
        <v>4.3023196875848488E-4</v>
      </c>
      <c r="X15" s="99">
        <f t="shared" ca="1" si="3"/>
        <v>0.55953231175274099</v>
      </c>
    </row>
  </sheetData>
  <dataValidations count="5">
    <dataValidation type="list" allowBlank="1" showInputMessage="1" showErrorMessage="1" error="Deve-se selecionar grupo válido" sqref="A2:B2" xr:uid="{DDA302E1-73BE-4074-8300-18580433A80F}">
      <formula1>AA1:AA7</formula1>
    </dataValidation>
    <dataValidation type="list" allowBlank="1" showInputMessage="1" showErrorMessage="1" error="Deve-se selecionar grupo válido" sqref="C2 E2" xr:uid="{CE47DC24-FF6E-4608-A07F-7C8DFDD12CAB}">
      <formula1>AC1:AC4</formula1>
    </dataValidation>
    <dataValidation type="list" allowBlank="1" showInputMessage="1" showErrorMessage="1" error="Deve-se selecionar grupo válido" sqref="D2" xr:uid="{365612FD-01AF-4BE5-B8FD-873C4714ACD1}">
      <formula1>AD1:AD10</formula1>
    </dataValidation>
    <dataValidation type="list" allowBlank="1" showInputMessage="1" showErrorMessage="1" error="Deve-se selecionar grupo válido" sqref="F2" xr:uid="{B33B3794-FF04-4482-B286-6857906F68CF}">
      <formula1>AF1:AF1</formula1>
    </dataValidation>
    <dataValidation type="list" allowBlank="1" showInputMessage="1" showErrorMessage="1" error="Deve-se selecionar grupo válido" sqref="G2" xr:uid="{2E11B139-F36A-45CE-BADD-090D7FBEF968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D67DE-F766-41B4-B00A-D8D6C6818D30}">
  <dimension ref="A1:AG15"/>
  <sheetViews>
    <sheetView showGridLines="0" workbookViewId="0">
      <selection activeCell="J15" sqref="J15"/>
    </sheetView>
  </sheetViews>
  <sheetFormatPr defaultRowHeight="10.199999999999999" x14ac:dyDescent="0.2"/>
  <cols>
    <col min="1" max="1" width="18.5546875" style="14" bestFit="1" customWidth="1"/>
    <col min="2" max="2" width="10.21875" style="14" bestFit="1" customWidth="1"/>
    <col min="3" max="4" width="9.5546875" style="14" bestFit="1" customWidth="1"/>
    <col min="5" max="5" width="9.88671875" style="14" bestFit="1" customWidth="1"/>
    <col min="6" max="6" width="9.5546875" style="14" bestFit="1" customWidth="1"/>
    <col min="7" max="7" width="14.77734375" style="14" bestFit="1" customWidth="1"/>
    <col min="8" max="8" width="5.33203125" style="14" bestFit="1" customWidth="1"/>
    <col min="9" max="9" width="9.21875" style="14" bestFit="1" customWidth="1"/>
    <col min="10" max="10" width="6.109375" style="14" bestFit="1" customWidth="1"/>
    <col min="11" max="11" width="8.33203125" style="14" bestFit="1" customWidth="1"/>
    <col min="12" max="12" width="10.6640625" style="14" bestFit="1" customWidth="1"/>
    <col min="13" max="13" width="9.109375" style="14" bestFit="1" customWidth="1"/>
    <col min="14" max="26" width="8.88671875" style="14"/>
    <col min="27" max="27" width="2.5546875" style="14" bestFit="1" customWidth="1"/>
    <col min="28" max="28" width="24.6640625" style="14" bestFit="1" customWidth="1"/>
    <col min="29" max="29" width="12.6640625" style="14" bestFit="1" customWidth="1"/>
    <col min="30" max="30" width="23.109375" style="14" bestFit="1" customWidth="1"/>
    <col min="31" max="33" width="9.5546875" style="14" bestFit="1" customWidth="1"/>
    <col min="34" max="16384" width="8.88671875" style="14"/>
  </cols>
  <sheetData>
    <row r="1" spans="1:33" x14ac:dyDescent="0.2">
      <c r="A1" s="14" t="s">
        <v>68</v>
      </c>
      <c r="B1" s="14" t="s">
        <v>69</v>
      </c>
      <c r="C1" s="14" t="s">
        <v>70</v>
      </c>
      <c r="D1" s="14" t="s">
        <v>71</v>
      </c>
      <c r="E1" s="14" t="s">
        <v>72</v>
      </c>
      <c r="F1" s="14" t="s">
        <v>15</v>
      </c>
      <c r="G1" s="14" t="s">
        <v>74</v>
      </c>
      <c r="I1" s="14" t="s">
        <v>1204</v>
      </c>
      <c r="AA1" s="14" t="s">
        <v>61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61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</v>
      </c>
      <c r="AA2" s="14" t="s">
        <v>34</v>
      </c>
      <c r="AB2" s="14" t="s">
        <v>77</v>
      </c>
      <c r="AC2" s="14" t="s">
        <v>24</v>
      </c>
      <c r="AD2" s="14" t="s">
        <v>24</v>
      </c>
      <c r="AG2" s="14" t="s">
        <v>79</v>
      </c>
    </row>
    <row r="3" spans="1:33" x14ac:dyDescent="0.2">
      <c r="AA3" s="14" t="s">
        <v>22</v>
      </c>
      <c r="AB3" s="14" t="s">
        <v>90</v>
      </c>
      <c r="AC3" s="14" t="s">
        <v>42</v>
      </c>
      <c r="AD3" s="14" t="s">
        <v>28</v>
      </c>
      <c r="AG3" s="14" t="s">
        <v>80</v>
      </c>
    </row>
    <row r="4" spans="1:33" x14ac:dyDescent="0.2">
      <c r="AA4" s="14" t="s">
        <v>41</v>
      </c>
      <c r="AB4" s="14" t="s">
        <v>91</v>
      </c>
      <c r="AC4" s="14" t="s">
        <v>45</v>
      </c>
      <c r="AD4" s="14" t="s">
        <v>29</v>
      </c>
      <c r="AG4" s="14" t="s">
        <v>89</v>
      </c>
    </row>
    <row r="5" spans="1:33" x14ac:dyDescent="0.2">
      <c r="A5" s="14" t="s">
        <v>1197</v>
      </c>
      <c r="B5" s="14" t="str">
        <f>TE!$X$4</f>
        <v>P&amp;D</v>
      </c>
      <c r="C5" s="14" t="str">
        <f>TE!$Y$4</f>
        <v>ESS/ERR</v>
      </c>
      <c r="D5" s="14" t="str">
        <f>TE!$Z$4</f>
        <v>CFURH</v>
      </c>
      <c r="E5" s="14" t="str">
        <f>TE!$AA$4</f>
        <v>CDE Covid TE</v>
      </c>
      <c r="F5" s="14" t="str">
        <f>TE!$AB$4</f>
        <v>CDE ELET</v>
      </c>
      <c r="G5" s="14" t="str">
        <f>TE!$AC$4</f>
        <v>ENERGIA REVENDA</v>
      </c>
      <c r="H5" s="14" t="str">
        <f>TE!$AD$4</f>
        <v>ITAIPU</v>
      </c>
      <c r="I5" s="14" t="str">
        <f>TE!$AE$4</f>
        <v>TUST ITAIPU</v>
      </c>
      <c r="J5" s="14" t="str">
        <f>TE!$AF$4</f>
        <v>TUST CI</v>
      </c>
      <c r="K5" s="14" t="str">
        <f>TE!$AG$4</f>
        <v>SUBSIDIO</v>
      </c>
      <c r="L5" s="14" t="str">
        <f>TE!$AH$4</f>
        <v>PERDAS RB/C</v>
      </c>
      <c r="M5" s="14" t="s">
        <v>525</v>
      </c>
      <c r="AA5" s="14" t="s">
        <v>32</v>
      </c>
      <c r="AD5" s="14" t="s">
        <v>30</v>
      </c>
      <c r="AG5" s="14" t="s">
        <v>84</v>
      </c>
    </row>
    <row r="6" spans="1:33" x14ac:dyDescent="0.2">
      <c r="A6" s="14" t="s">
        <v>1198</v>
      </c>
      <c r="B6" s="45">
        <f>SUM(TE!$X$49:'TE'!$X$87)</f>
        <v>81891.288122433005</v>
      </c>
      <c r="C6" s="45">
        <f>SUM(TE!$Y$49:'TE'!$Y$87)</f>
        <v>0</v>
      </c>
      <c r="D6" s="45">
        <f>SUM(TE!$Z$49:'TE'!$Z$87)</f>
        <v>0</v>
      </c>
      <c r="E6" s="45">
        <f>SUM(TE!$AA$49:'TE'!$AA$87)</f>
        <v>0</v>
      </c>
      <c r="F6" s="45">
        <f>SUM(TE!$AB$49:'TE'!$AB$87)</f>
        <v>0</v>
      </c>
      <c r="G6" s="45">
        <f>SUM(TE!$AC$49:'TE'!$AC$87)</f>
        <v>7841593.4387306375</v>
      </c>
      <c r="H6" s="45">
        <f>SUM(TE!$AD$49:'TE'!$AD$87)</f>
        <v>0</v>
      </c>
      <c r="I6" s="45">
        <f>SUM(TE!$AE$49:'TE'!$AE$87)</f>
        <v>0</v>
      </c>
      <c r="J6" s="45">
        <f>SUM(TE!$AF$49:'TE'!$AF$87)</f>
        <v>0</v>
      </c>
      <c r="K6" s="45">
        <f>SUM(TE!$AG$49:'TE'!$AG$87)</f>
        <v>-129694.02689211558</v>
      </c>
      <c r="L6" s="45">
        <f>SUM(TE!$AH$49:'TE'!$AH$87)</f>
        <v>0</v>
      </c>
      <c r="M6" s="45">
        <f t="shared" ref="M6:M11" si="0">SUM(B6:L6)</f>
        <v>7793790.6999609554</v>
      </c>
      <c r="AA6" s="14" t="s">
        <v>44</v>
      </c>
      <c r="AD6" s="14" t="s">
        <v>31</v>
      </c>
    </row>
    <row r="7" spans="1:33" x14ac:dyDescent="0.2">
      <c r="A7" s="14" t="s">
        <v>1199</v>
      </c>
      <c r="B7" s="45">
        <f>SUM(TE!$L$49:'TE'!$L$87)</f>
        <v>81045.779246535138</v>
      </c>
      <c r="C7" s="45">
        <f>SUM(TE!$M$49:'TE'!$M$87)</f>
        <v>0</v>
      </c>
      <c r="D7" s="45">
        <f>SUM(TE!$N$49:'TE'!$N$87)</f>
        <v>0</v>
      </c>
      <c r="E7" s="45">
        <f>SUM(TE!$O$49:'TE'!$O$87)</f>
        <v>133563.83025308384</v>
      </c>
      <c r="F7" s="45">
        <f>SUM(TE!$P$49:'TE'!$P$87)</f>
        <v>0</v>
      </c>
      <c r="G7" s="45">
        <f>SUM(TE!$Q$49:'TE'!$Q$87)</f>
        <v>7618734.4248698233</v>
      </c>
      <c r="H7" s="45">
        <f>SUM(TE!$R$49:'TE'!$R$87)</f>
        <v>0</v>
      </c>
      <c r="I7" s="45">
        <f>SUM(TE!$S$49:'TE'!$S$87)</f>
        <v>0</v>
      </c>
      <c r="J7" s="45">
        <f>SUM(TE!$T$49:'TE'!$T$87)</f>
        <v>0</v>
      </c>
      <c r="K7" s="45">
        <f>SUM(TE!$U$49:'TE'!$U$87)</f>
        <v>-307297.46143709891</v>
      </c>
      <c r="L7" s="45">
        <f>SUM(TE!$V$49:'TE'!$V$87)</f>
        <v>0</v>
      </c>
      <c r="M7" s="45">
        <f t="shared" si="0"/>
        <v>7526046.5729323439</v>
      </c>
      <c r="AD7" s="14" t="s">
        <v>93</v>
      </c>
    </row>
    <row r="8" spans="1:33" x14ac:dyDescent="0.2">
      <c r="A8" s="14" t="s">
        <v>1202</v>
      </c>
      <c r="B8" s="45">
        <f>IF($G$2&lt;&gt;"Não se aplica",SUMIF(TE!$G$49:'TE'!$G$87,$I$2,TE!$X$49:'TE'!$X$87),IF($F$2&lt;&gt;"Não se aplica",SUMIF(TE!$F$49:'TE'!$F$87,$I$2,TE!$X$49:'TE'!$X$87),IF($E$2&lt;&gt;"Não se aplica",SUMIF(TE!$E$49:'TE'!$E$87,$I$2,TE!$X$49:'TE'!$X$87),IF($D$2&lt;&gt;"Não se aplica",SUMIF(TE!$D$49:'TE'!$D$87,$I$2,TE!$X$49:'TE'!$X$87),IF($C$2&lt;&gt;"Não se aplica",SUMIF(TE!$C$49:'TE'!$C$87,$I$2,TE!$X$49:'TE'!$X$87),IF($B$2&lt;&gt;"Não se aplica",SUMIF(TE!$B$49:'TE'!$B$87,$I$2,TE!$X$49:'TE'!$X$87),SUMIF(TE!$A$49:'TE'!$A$87,$I$2,TE!$X$49:'TE'!$X$87)))))))</f>
        <v>0</v>
      </c>
      <c r="C8" s="45">
        <f>IF($G$2&lt;&gt;"Não se aplica",SUMIF(TE!$G$49:'TE'!$G$87,$I$2,TE!$Y$49:'TE'!$Y$87),IF($F$2&lt;&gt;"Não se aplica",SUMIF(TE!$F$49:'TE'!$F$87,$I$2,TE!$Y$49:'TE'!$Y$87),IF($E$2&lt;&gt;"Não se aplica",SUMIF(TE!$E$49:'TE'!$E$87,$I$2,TE!$Y$49:'TE'!$Y$87),IF($D$2&lt;&gt;"Não se aplica",SUMIF(TE!$D$49:'TE'!$D$87,$I$2,TE!$Y$49:'TE'!$Y$87),IF($C$2&lt;&gt;"Não se aplica",SUMIF(TE!$C$49:'TE'!$C$87,$I$2,TE!$Y$49:'TE'!$Y$87),IF($B$2&lt;&gt;"Não se aplica",SUMIF(TE!$B$49:'TE'!$B$87,$I$2,TE!$Y$49:'TE'!$Y$87),SUMIF(TE!$A$49:'TE'!$A$87,$I$2,TE!$Y$49:'TE'!$Y$87)))))))</f>
        <v>0</v>
      </c>
      <c r="D8" s="45">
        <f>IF($G$2&lt;&gt;"Não se aplica",SUMIF(TE!$G$49:'TE'!$G$87,$I$2,TE!$Z$49:'TE'!$Z$87),IF($F$2&lt;&gt;"Não se aplica",SUMIF(TE!$F$49:'TE'!$F$87,$I$2,TE!$Z$49:'TE'!$Z$87),IF($E$2&lt;&gt;"Não se aplica",SUMIF(TE!$E$49:'TE'!$E$87,$I$2,TE!$Z$49:'TE'!$Z$87),IF($D$2&lt;&gt;"Não se aplica",SUMIF(TE!$D$49:'TE'!$D$87,$I$2,TE!$Z$49:'TE'!$Z$87),IF($C$2&lt;&gt;"Não se aplica",SUMIF(TE!$C$49:'TE'!$C$87,$I$2,TE!$Z$49:'TE'!$Z$87),IF($B$2&lt;&gt;"Não se aplica",SUMIF(TE!$B$49:'TE'!$B$87,$I$2,TE!$Z$49:'TE'!$Z$87),SUMIF(TE!$A$49:'TE'!$A$87,$I$2,TE!$Z$49:'TE'!$Z$87)))))))</f>
        <v>0</v>
      </c>
      <c r="E8" s="45">
        <f>IF($G$2&lt;&gt;"Não se aplica",SUMIF(TE!$G$49:'TE'!$G$87,$I$2,TE!$AA$49:'TE'!$AA$87),IF($F$2&lt;&gt;"Não se aplica",SUMIF(TE!$F$49:'TE'!$F$87,$I$2,TE!$AA$49:'TE'!$AA$87),IF($E$2&lt;&gt;"Não se aplica",SUMIF(TE!$E$49:'TE'!$E$87,$I$2,TE!$AA$49:'TE'!$AA$87),IF($D$2&lt;&gt;"Não se aplica",SUMIF(TE!$D$49:'TE'!$D$87,$I$2,TE!$AA$49:'TE'!$AA$87),IF($C$2&lt;&gt;"Não se aplica",SUMIF(TE!$C$49:'TE'!$C$87,$I$2,TE!$AA$49:'TE'!$AA$87),IF($B$2&lt;&gt;"Não se aplica",SUMIF(TE!$B$49:'TE'!$B$87,$I$2,TE!$AA$49:'TE'!$AA$87),SUMIF(TE!$A$49:'TE'!$A$87,$I$2,TE!$AA$49:'TE'!$AA$87)))))))</f>
        <v>0</v>
      </c>
      <c r="F8" s="45">
        <f>IF($G$2&lt;&gt;"Não se aplica",SUMIF(TE!$G$49:'TE'!$G$87,$I$2,TE!$AB$49:'TE'!$AB$87),IF($F$2&lt;&gt;"Não se aplica",SUMIF(TE!$F$49:'TE'!$F$87,$I$2,TE!$AB$49:'TE'!$AB$87),IF($E$2&lt;&gt;"Não se aplica",SUMIF(TE!$E$49:'TE'!$E$87,$I$2,TE!$AB$49:'TE'!$AB$87),IF($D$2&lt;&gt;"Não se aplica",SUMIF(TE!$D$49:'TE'!$D$87,$I$2,TE!$AB$49:'TE'!$AB$87),IF($C$2&lt;&gt;"Não se aplica",SUMIF(TE!$C$49:'TE'!$C$87,$I$2,TE!$AB$49:'TE'!$AB$87),IF($B$2&lt;&gt;"Não se aplica",SUMIF(TE!$B$49:'TE'!$B$87,$I$2,TE!$AB$49:'TE'!$AB$87),SUMIF(TE!$A$49:'TE'!$A$87,$I$2,TE!$AB$49:'TE'!$AB$87)))))))</f>
        <v>0</v>
      </c>
      <c r="G8" s="45">
        <f>IF($G$2&lt;&gt;"Não se aplica",SUMIF(TE!$G$49:'TE'!$G$87,$I$2,TE!$AC$49:'TE'!$AC$87),IF($F$2&lt;&gt;"Não se aplica",SUMIF(TE!$F$49:'TE'!$F$87,$I$2,TE!$AC$49:'TE'!$AC$87),IF($E$2&lt;&gt;"Não se aplica",SUMIF(TE!$E$49:'TE'!$E$87,$I$2,TE!$AC$49:'TE'!$AC$87),IF($D$2&lt;&gt;"Não se aplica",SUMIF(TE!$D$49:'TE'!$D$87,$I$2,TE!$AC$49:'TE'!$AC$87),IF($C$2&lt;&gt;"Não se aplica",SUMIF(TE!$C$49:'TE'!$C$87,$I$2,TE!$AC$49:'TE'!$AC$87),IF($B$2&lt;&gt;"Não se aplica",SUMIF(TE!$B$49:'TE'!$B$87,$I$2,TE!$AC$49:'TE'!$AC$87),SUMIF(TE!$A$49:'TE'!$A$87,$I$2,TE!$AC$49:'TE'!$AC$87)))))))</f>
        <v>0</v>
      </c>
      <c r="H8" s="45">
        <f>IF($G$2&lt;&gt;"Não se aplica",SUMIF(TE!$G$49:'TE'!$G$87,$I$2,TE!$AD$49:'TE'!$AD$87),IF($F$2&lt;&gt;"Não se aplica",SUMIF(TE!$F$49:'TE'!$F$87,$I$2,TE!$AD$49:'TE'!$AD$87),IF($E$2&lt;&gt;"Não se aplica",SUMIF(TE!$E$49:'TE'!$E$87,$I$2,TE!$AD$49:'TE'!$AD$87),IF($D$2&lt;&gt;"Não se aplica",SUMIF(TE!$D$49:'TE'!$D$87,$I$2,TE!$AD$49:'TE'!$AD$87),IF($C$2&lt;&gt;"Não se aplica",SUMIF(TE!$C$49:'TE'!$C$87,$I$2,TE!$AD$49:'TE'!$AD$87),IF($B$2&lt;&gt;"Não se aplica",SUMIF(TE!$B$49:'TE'!$B$87,$I$2,TE!$AD$49:'TE'!$AD$87),SUMIF(TE!$A$49:'TE'!$A$87,$I$2,TE!$AD$49:'TE'!$AD$87)))))))</f>
        <v>0</v>
      </c>
      <c r="I8" s="45">
        <f>IF($G$2&lt;&gt;"Não se aplica",SUMIF(TE!$G$49:'TE'!$G$87,$I$2,TE!$AE$49:'TE'!$AE$87),IF($F$2&lt;&gt;"Não se aplica",SUMIF(TE!$F$49:'TE'!$F$87,$I$2,TE!$AE$49:'TE'!$AE$87),IF($E$2&lt;&gt;"Não se aplica",SUMIF(TE!$E$49:'TE'!$E$87,$I$2,TE!$AE$49:'TE'!$AE$87),IF($D$2&lt;&gt;"Não se aplica",SUMIF(TE!$D$49:'TE'!$D$87,$I$2,TE!$AE$49:'TE'!$AE$87),IF($C$2&lt;&gt;"Não se aplica",SUMIF(TE!$C$49:'TE'!$C$87,$I$2,TE!$AE$49:'TE'!$AE$87),IF($B$2&lt;&gt;"Não se aplica",SUMIF(TE!$B$49:'TE'!$B$87,$I$2,TE!$AE$49:'TE'!$AE$87),SUMIF(TE!$A$49:'TE'!$A$87,$I$2,TE!$AE$49:'TE'!$AE$87)))))))</f>
        <v>0</v>
      </c>
      <c r="J8" s="45">
        <f>IF($G$2&lt;&gt;"Não se aplica",SUMIF(TE!$G$49:'TE'!$G$87,$I$2,TE!$AF$49:'TE'!$AF$87),IF($F$2&lt;&gt;"Não se aplica",SUMIF(TE!$F$49:'TE'!$F$87,$I$2,TE!$AF$49:'TE'!$AF$87),IF($E$2&lt;&gt;"Não se aplica",SUMIF(TE!$E$49:'TE'!$E$87,$I$2,TE!$AF$49:'TE'!$AF$87),IF($D$2&lt;&gt;"Não se aplica",SUMIF(TE!$D$49:'TE'!$D$87,$I$2,TE!$AF$49:'TE'!$AF$87),IF($C$2&lt;&gt;"Não se aplica",SUMIF(TE!$C$49:'TE'!$C$87,$I$2,TE!$AF$49:'TE'!$AF$87),IF($B$2&lt;&gt;"Não se aplica",SUMIF(TE!$B$49:'TE'!$B$87,$I$2,TE!$AF$49:'TE'!$AF$87),SUMIF(TE!$A$49:'TE'!$A$87,$I$2,TE!$AF$49:'TE'!$AF$87)))))))</f>
        <v>0</v>
      </c>
      <c r="K8" s="45">
        <f>IF($G$2&lt;&gt;"Não se aplica",SUMIF(TE!$G$49:'TE'!$G$87,$I$2,TE!$AG$49:'TE'!$AG$87),IF($F$2&lt;&gt;"Não se aplica",SUMIF(TE!$F$49:'TE'!$F$87,$I$2,TE!$AG$49:'TE'!$AG$87),IF($E$2&lt;&gt;"Não se aplica",SUMIF(TE!$E$49:'TE'!$E$87,$I$2,TE!$AG$49:'TE'!$AG$87),IF($D$2&lt;&gt;"Não se aplica",SUMIF(TE!$D$49:'TE'!$D$87,$I$2,TE!$AG$49:'TE'!$AG$87),IF($C$2&lt;&gt;"Não se aplica",SUMIF(TE!$C$49:'TE'!$C$87,$I$2,TE!$AG$49:'TE'!$AG$87),IF($B$2&lt;&gt;"Não se aplica",SUMIF(TE!$B$49:'TE'!$B$87,$I$2,TE!$AG$49:'TE'!$AG$87),SUMIF(TE!$A$49:'TE'!$A$87,$I$2,TE!$AG$49:'TE'!$AG$87)))))))</f>
        <v>0</v>
      </c>
      <c r="L8" s="45">
        <f>IF($G$2&lt;&gt;"Não se aplica",SUMIF(TE!$G$49:'TE'!$G$87,$I$2,TE!$AH$49:'TE'!$AH$87),IF($F$2&lt;&gt;"Não se aplica",SUMIF(TE!$F$49:'TE'!$F$87,$I$2,TE!$AH$49:'TE'!$AH$87),IF($E$2&lt;&gt;"Não se aplica",SUMIF(TE!$E$49:'TE'!$E$87,$I$2,TE!$AH$49:'TE'!$AH$87),IF($D$2&lt;&gt;"Não se aplica",SUMIF(TE!$D$49:'TE'!$D$87,$I$2,TE!$AH$49:'TE'!$AH$87),IF($C$2&lt;&gt;"Não se aplica",SUMIF(TE!$C$49:'TE'!$C$87,$I$2,TE!$AH$49:'TE'!$AH$87),IF($B$2&lt;&gt;"Não se aplica",SUMIF(TE!$B$49:'TE'!$B$87,$I$2,TE!$AH$49:'TE'!$AH$87),SUMIF(TE!$A$49:'TE'!$A$87,$I$2,TE!$AH$49:'TE'!$AH$87)))))))</f>
        <v>0</v>
      </c>
      <c r="M8" s="45">
        <f t="shared" si="0"/>
        <v>0</v>
      </c>
      <c r="AD8" s="14" t="s">
        <v>94</v>
      </c>
    </row>
    <row r="9" spans="1:33" x14ac:dyDescent="0.2">
      <c r="A9" s="14" t="s">
        <v>1203</v>
      </c>
      <c r="B9" s="45">
        <f>IF($G$2&lt;&gt;"Não se aplica",SUMIF(TE!$G$49:'TE'!$G$87,$I$2,TE!$L$49:'TE'!$L$87),IF($F$2&lt;&gt;"Não se aplica",SUMIF(TE!$F$49:'TE'!$F$87,$I$2,TE!$L$49:'TE'!$L$87),IF($E$2&lt;&gt;"Não se aplica",SUMIF(TE!$E$49:'TE'!$E$87,$I$2,TE!$L$49:'TE'!$L$87),IF($D$2&lt;&gt;"Não se aplica",SUMIF(TE!$D$49:'TE'!$D$87,$I$2,TE!$L$49:'TE'!$L$87),IF($C$2&lt;&gt;"Não se aplica",SUMIF(TE!$C$49:'TE'!$C$87,$I$2,TE!$L$49:'TE'!$L$87),IF($B$2&lt;&gt;"Não se aplica",SUMIF(TE!$B$49:'TE'!$B$87,$I$2,TE!$L$49:'TE'!$L$87),SUMIF(TE!$A$49:'TE'!$A$87,$I$2,TE!$L$49:'TE'!$L$87)))))))</f>
        <v>0</v>
      </c>
      <c r="C9" s="45">
        <f>IF($G$2&lt;&gt;"Não se aplica",SUMIF(TE!$G$49:'TE'!$G$87,$I$2,TE!$M$49:'TE'!$M$87),IF($F$2&lt;&gt;"Não se aplica",SUMIF(TE!$F$49:'TE'!$F$87,$I$2,TE!$M$49:'TE'!$M$87),IF($E$2&lt;&gt;"Não se aplica",SUMIF(TE!$E$49:'TE'!$E$87,$I$2,TE!$M$49:'TE'!$M$87),IF($D$2&lt;&gt;"Não se aplica",SUMIF(TE!$D$49:'TE'!$D$87,$I$2,TE!$M$49:'TE'!$M$87),IF($C$2&lt;&gt;"Não se aplica",SUMIF(TE!$C$49:'TE'!$C$87,$I$2,TE!$M$49:'TE'!$M$87),IF($B$2&lt;&gt;"Não se aplica",SUMIF(TE!$B$49:'TE'!$B$87,$I$2,TE!$M$49:'TE'!$M$87),SUMIF(TE!$A$49:'TE'!$A$87,$I$2,TE!$M$49:'TE'!$M$87)))))))</f>
        <v>0</v>
      </c>
      <c r="D9" s="45">
        <f>IF($G$2&lt;&gt;"Não se aplica",SUMIF(TE!$G$49:'TE'!$G$87,$I$2,TE!$N$49:'TE'!$N$87),IF($F$2&lt;&gt;"Não se aplica",SUMIF(TE!$F$49:'TE'!$F$87,$I$2,TE!$N$49:'TE'!$N$87),IF($E$2&lt;&gt;"Não se aplica",SUMIF(TE!$E$49:'TE'!$E$87,$I$2,TE!$N$49:'TE'!$N$87),IF($D$2&lt;&gt;"Não se aplica",SUMIF(TE!$D$49:'TE'!$D$87,$I$2,TE!$N$49:'TE'!$N$87),IF($C$2&lt;&gt;"Não se aplica",SUMIF(TE!$C$49:'TE'!$C$87,$I$2,TE!$N$49:'TE'!$N$87),IF($B$2&lt;&gt;"Não se aplica",SUMIF(TE!$B$49:'TE'!$B$87,$I$2,TE!$N$49:'TE'!$N$87),SUMIF(TE!$A$49:'TE'!$A$87,$I$2,TE!$N$49:'TE'!$N$87)))))))</f>
        <v>0</v>
      </c>
      <c r="E9" s="45">
        <f>IF($G$2&lt;&gt;"Não se aplica",SUMIF(TE!$G$49:'TE'!$G$87,$I$2,TE!$O$49:'TE'!$O$87),IF($F$2&lt;&gt;"Não se aplica",SUMIF(TE!$F$49:'TE'!$F$87,$I$2,TE!$O$49:'TE'!$O$87),IF($E$2&lt;&gt;"Não se aplica",SUMIF(TE!$E$49:'TE'!$E$87,$I$2,TE!$O$49:'TE'!$O$87),IF($D$2&lt;&gt;"Não se aplica",SUMIF(TE!$D$49:'TE'!$D$87,$I$2,TE!$O$49:'TE'!$O$87),IF($C$2&lt;&gt;"Não se aplica",SUMIF(TE!$C$49:'TE'!$C$87,$I$2,TE!$O$49:'TE'!$O$87),IF($B$2&lt;&gt;"Não se aplica",SUMIF(TE!$B$49:'TE'!$B$87,$I$2,TE!$O$49:'TE'!$O$87),SUMIF(TE!$A$49:'TE'!$A$87,$I$2,TE!$O$49:'TE'!$O$87)))))))</f>
        <v>0</v>
      </c>
      <c r="F9" s="45">
        <f>IF($G$2&lt;&gt;"Não se aplica",SUMIF(TE!$G$49:'TE'!$G$87,$I$2,TE!$P$49:'TE'!$P$87),IF($F$2&lt;&gt;"Não se aplica",SUMIF(TE!$F$49:'TE'!$F$87,$I$2,TE!$P$49:'TE'!$P$87),IF($E$2&lt;&gt;"Não se aplica",SUMIF(TE!$E$49:'TE'!$E$87,$I$2,TE!$P$49:'TE'!$P$87),IF($D$2&lt;&gt;"Não se aplica",SUMIF(TE!$D$49:'TE'!$D$87,$I$2,TE!$P$49:'TE'!$P$87),IF($C$2&lt;&gt;"Não se aplica",SUMIF(TE!$C$49:'TE'!$C$87,$I$2,TE!$P$49:'TE'!$P$87),IF($B$2&lt;&gt;"Não se aplica",SUMIF(TE!$B$49:'TE'!$B$87,$I$2,TE!$P$49:'TE'!$P$87),SUMIF(TE!$A$49:'TE'!$A$87,$I$2,TE!$P$49:'TE'!$P$87)))))))</f>
        <v>0</v>
      </c>
      <c r="G9" s="45">
        <f>IF($G$2&lt;&gt;"Não se aplica",SUMIF(TE!$G$49:'TE'!$G$87,$I$2,TE!$Q$49:'TE'!$Q$87),IF($F$2&lt;&gt;"Não se aplica",SUMIF(TE!$F$49:'TE'!$F$87,$I$2,TE!$Q$49:'TE'!$Q$87),IF($E$2&lt;&gt;"Não se aplica",SUMIF(TE!$E$49:'TE'!$E$87,$I$2,TE!$Q$49:'TE'!$Q$87),IF($D$2&lt;&gt;"Não se aplica",SUMIF(TE!$D$49:'TE'!$D$87,$I$2,TE!$Q$49:'TE'!$Q$87),IF($C$2&lt;&gt;"Não se aplica",SUMIF(TE!$C$49:'TE'!$C$87,$I$2,TE!$Q$49:'TE'!$Q$87),IF($B$2&lt;&gt;"Não se aplica",SUMIF(TE!$B$49:'TE'!$B$87,$I$2,TE!$Q$49:'TE'!$Q$87),SUMIF(TE!$A$49:'TE'!$A$87,$I$2,TE!$Q$49:'TE'!$Q$87)))))))</f>
        <v>0</v>
      </c>
      <c r="H9" s="45">
        <f>IF($G$2&lt;&gt;"Não se aplica",SUMIF(TE!$G$49:'TE'!$G$87,$I$2,TE!$R$49:'TE'!$R$87),IF($F$2&lt;&gt;"Não se aplica",SUMIF(TE!$F$49:'TE'!$F$87,$I$2,TE!$R$49:'TE'!$R$87),IF($E$2&lt;&gt;"Não se aplica",SUMIF(TE!$E$49:'TE'!$E$87,$I$2,TE!$R$49:'TE'!$R$87),IF($D$2&lt;&gt;"Não se aplica",SUMIF(TE!$D$49:'TE'!$D$87,$I$2,TE!$R$49:'TE'!$R$87),IF($C$2&lt;&gt;"Não se aplica",SUMIF(TE!$C$49:'TE'!$C$87,$I$2,TE!$R$49:'TE'!$R$87),IF($B$2&lt;&gt;"Não se aplica",SUMIF(TE!$B$49:'TE'!$B$87,$I$2,TE!$R$49:'TE'!$R$87),SUMIF(TE!$A$49:'TE'!$A$87,$I$2,TE!$R$49:'TE'!$R$87)))))))</f>
        <v>0</v>
      </c>
      <c r="I9" s="45">
        <f>IF($G$2&lt;&gt;"Não se aplica",SUMIF(TE!$G$49:'TE'!$G$87,$I$2,TE!$S$49:'TE'!$S$87),IF($F$2&lt;&gt;"Não se aplica",SUMIF(TE!$F$49:'TE'!$F$87,$I$2,TE!$S$49:'TE'!$S$87),IF($E$2&lt;&gt;"Não se aplica",SUMIF(TE!$E$49:'TE'!$E$87,$I$2,TE!$S$49:'TE'!$S$87),IF($D$2&lt;&gt;"Não se aplica",SUMIF(TE!$D$49:'TE'!$D$87,$I$2,TE!$S$49:'TE'!$S$87),IF($C$2&lt;&gt;"Não se aplica",SUMIF(TE!$C$49:'TE'!$C$87,$I$2,TE!$S$49:'TE'!$S$87),IF($B$2&lt;&gt;"Não se aplica",SUMIF(TE!$B$49:'TE'!$B$87,$I$2,TE!$S$49:'TE'!$S$87),SUMIF(TE!$A$49:'TE'!$A$87,$I$2,TE!$S$49:'TE'!$S$87)))))))</f>
        <v>0</v>
      </c>
      <c r="J9" s="45">
        <f>IF($G$2&lt;&gt;"Não se aplica",SUMIF(TE!$G$49:'TE'!$G$87,$I$2,TE!$T$49:'TE'!$T$87),IF($F$2&lt;&gt;"Não se aplica",SUMIF(TE!$F$49:'TE'!$F$87,$I$2,TE!$T$49:'TE'!$T$87),IF($E$2&lt;&gt;"Não se aplica",SUMIF(TE!$E$49:'TE'!$E$87,$I$2,TE!$T$49:'TE'!$T$87),IF($D$2&lt;&gt;"Não se aplica",SUMIF(TE!$D$49:'TE'!$D$87,$I$2,TE!$T$49:'TE'!$T$87),IF($C$2&lt;&gt;"Não se aplica",SUMIF(TE!$C$49:'TE'!$C$87,$I$2,TE!$T$49:'TE'!$T$87),IF($B$2&lt;&gt;"Não se aplica",SUMIF(TE!$B$49:'TE'!$B$87,$I$2,TE!$T$49:'TE'!$T$87),SUMIF(TE!$A$49:'TE'!$A$87,$I$2,TE!$T$49:'TE'!$T$87)))))))</f>
        <v>0</v>
      </c>
      <c r="K9" s="45">
        <f>IF($G$2&lt;&gt;"Não se aplica",SUMIF(TE!$G$49:'TE'!$G$87,$I$2,TE!$U$49:'TE'!$U$87),IF($F$2&lt;&gt;"Não se aplica",SUMIF(TE!$F$49:'TE'!$F$87,$I$2,TE!$U$49:'TE'!$U$87),IF($E$2&lt;&gt;"Não se aplica",SUMIF(TE!$E$49:'TE'!$E$87,$I$2,TE!$U$49:'TE'!$U$87),IF($D$2&lt;&gt;"Não se aplica",SUMIF(TE!$D$49:'TE'!$D$87,$I$2,TE!$U$49:'TE'!$U$87),IF($C$2&lt;&gt;"Não se aplica",SUMIF(TE!$C$49:'TE'!$C$87,$I$2,TE!$U$49:'TE'!$U$87),IF($B$2&lt;&gt;"Não se aplica",SUMIF(TE!$B$49:'TE'!$B$87,$I$2,TE!$U$49:'TE'!$U$87),SUMIF(TE!$A$49:'TE'!$A$87,$I$2,TE!$U$49:'TE'!$U$87)))))))</f>
        <v>0</v>
      </c>
      <c r="L9" s="45">
        <f>IF($G$2&lt;&gt;"Não se aplica",SUMIF(TE!$G$49:'TE'!$G$87,$I$2,TE!$V$49:'TE'!$V$87),IF($F$2&lt;&gt;"Não se aplica",SUMIF(TE!$F$49:'TE'!$F$87,$I$2,TE!$V$49:'TE'!$V$87),IF($E$2&lt;&gt;"Não se aplica",SUMIF(TE!$E$49:'TE'!$E$87,$I$2,TE!$V$49:'TE'!$V$87),IF($D$2&lt;&gt;"Não se aplica",SUMIF(TE!$D$49:'TE'!$D$87,$I$2,TE!$V$49:'TE'!$V$87),IF($C$2&lt;&gt;"Não se aplica",SUMIF(TE!$C$49:'TE'!$C$87,$I$2,TE!$V$49:'TE'!$V$87),IF($B$2&lt;&gt;"Não se aplica",SUMIF(TE!$B$49:'TE'!$B$87,$I$2,TE!$V$49:'TE'!$V$87),SUMIF(TE!$A$49:'TE'!$A$87,$I$2,TE!$V$49:'TE'!$V$87)))))))</f>
        <v>0</v>
      </c>
      <c r="M9" s="45">
        <f t="shared" si="0"/>
        <v>0</v>
      </c>
      <c r="AD9" s="14" t="s">
        <v>46</v>
      </c>
    </row>
    <row r="10" spans="1:33" x14ac:dyDescent="0.2">
      <c r="A10" s="14" t="s">
        <v>1200</v>
      </c>
      <c r="B10" s="45">
        <f>SUMIF(TE!$A$49:'TE'!$A$87,$A$2,TE!$X$49:'TE'!$X$87)</f>
        <v>0</v>
      </c>
      <c r="C10" s="45">
        <f>SUMIF(TE!$A$49:'TE'!$A$87,$A$2,TE!$Y$49:'TE'!$Y$87)</f>
        <v>0</v>
      </c>
      <c r="D10" s="45">
        <f>SUMIF(TE!$A$49:'TE'!$A$87,$A$2,TE!$Z$49:'TE'!$Z$87)</f>
        <v>0</v>
      </c>
      <c r="E10" s="45">
        <f>SUMIF(TE!$A$49:'TE'!$A$87,$A$2,TE!$AA$49:'TE'!$AA$87)</f>
        <v>0</v>
      </c>
      <c r="F10" s="45">
        <f>SUMIF(TE!$A$49:'TE'!$A$87,$A$2,TE!$AB$49:'TE'!$AB$87)</f>
        <v>0</v>
      </c>
      <c r="G10" s="45">
        <f>SUMIF(TE!$A$49:'TE'!$A$87,$A$2,TE!$AC$49:'TE'!$AC$87)</f>
        <v>0</v>
      </c>
      <c r="H10" s="45">
        <f>SUMIF(TE!$A$49:'TE'!$A$87,$A$2,TE!$AD$49:'TE'!$AD$87)</f>
        <v>0</v>
      </c>
      <c r="I10" s="45">
        <f>SUMIF(TE!$A$49:'TE'!$A$87,$A$2,TE!$AE$49:'TE'!$AE$87)</f>
        <v>0</v>
      </c>
      <c r="J10" s="45">
        <f>SUMIF(TE!$A$49:'TE'!$A$87,$A$2,TE!$AF$49:'TE'!$AF$87)</f>
        <v>0</v>
      </c>
      <c r="K10" s="45">
        <f>SUMIF(TE!$A$49:'TE'!$A$87,$A$2,TE!$AG$49:'TE'!$AG$87)</f>
        <v>0</v>
      </c>
      <c r="L10" s="45">
        <f>SUMIF(TE!$A$49:'TE'!$A$87,$A$2,TE!$AH$49:'TE'!$AH$87)</f>
        <v>0</v>
      </c>
      <c r="M10" s="45">
        <f t="shared" si="0"/>
        <v>0</v>
      </c>
      <c r="AD10" s="14" t="s">
        <v>95</v>
      </c>
    </row>
    <row r="11" spans="1:33" x14ac:dyDescent="0.2">
      <c r="A11" s="14" t="s">
        <v>1201</v>
      </c>
      <c r="B11" s="45">
        <f>SUMIF(TE!$A$49:'TE'!$A$87,$A$2,TE!$L$49:'TE'!$L$87)</f>
        <v>0</v>
      </c>
      <c r="C11" s="45">
        <f>SUMIF(TE!$A$49:'TE'!$A$87,$A$2,TE!$M$49:'TE'!$M$87)</f>
        <v>0</v>
      </c>
      <c r="D11" s="45">
        <f>SUMIF(TE!$A$49:'TE'!$A$87,$A$2,TE!$N$49:'TE'!$N$87)</f>
        <v>0</v>
      </c>
      <c r="E11" s="45">
        <f>SUMIF(TE!$A$49:'TE'!$A$87,$A$2,TE!$O$49:'TE'!$O$87)</f>
        <v>0</v>
      </c>
      <c r="F11" s="45">
        <f>SUMIF(TE!$A$49:'TE'!$A$87,$A$2,TE!$P$49:'TE'!$P$87)</f>
        <v>0</v>
      </c>
      <c r="G11" s="45">
        <f>SUMIF(TE!$A$49:'TE'!$A$87,$A$2,TE!$Q$49:'TE'!$Q$87)</f>
        <v>0</v>
      </c>
      <c r="H11" s="45">
        <f>SUMIF(TE!$A$49:'TE'!$A$87,$A$2,TE!$R$49:'TE'!$R$87)</f>
        <v>0</v>
      </c>
      <c r="I11" s="45">
        <f>SUMIF(TE!$A$49:'TE'!$A$87,$A$2,TE!$S$49:'TE'!$S$87)</f>
        <v>0</v>
      </c>
      <c r="J11" s="45">
        <f>SUMIF(TE!$A$49:'TE'!$A$87,$A$2,TE!$T$49:'TE'!$T$87)</f>
        <v>0</v>
      </c>
      <c r="K11" s="45">
        <f>SUMIF(TE!$A$49:'TE'!$A$87,$A$2,TE!$U$49:'TE'!$U$87)</f>
        <v>0</v>
      </c>
      <c r="L11" s="45">
        <f>SUMIF(TE!$A$49:'TE'!$A$87,$A$2,TE!$V$49:'TE'!$V$87)</f>
        <v>0</v>
      </c>
      <c r="M11" s="45">
        <f t="shared" si="0"/>
        <v>0</v>
      </c>
    </row>
    <row r="13" spans="1:33" x14ac:dyDescent="0.2">
      <c r="A13" s="14" t="s">
        <v>1205</v>
      </c>
      <c r="B13" s="99">
        <f t="shared" ref="B13:M13" si="1">IF($M$6&lt;&gt;0,(B$7-B$6)/$M$6,0)</f>
        <v>-1.0848493479586294E-4</v>
      </c>
      <c r="C13" s="99">
        <f t="shared" si="1"/>
        <v>0</v>
      </c>
      <c r="D13" s="99">
        <f t="shared" si="1"/>
        <v>0</v>
      </c>
      <c r="E13" s="99">
        <f t="shared" si="1"/>
        <v>1.7137210299187654E-2</v>
      </c>
      <c r="F13" s="99">
        <f t="shared" si="1"/>
        <v>0</v>
      </c>
      <c r="G13" s="99">
        <f t="shared" si="1"/>
        <v>-2.8594431444243267E-2</v>
      </c>
      <c r="H13" s="99">
        <f t="shared" si="1"/>
        <v>0</v>
      </c>
      <c r="I13" s="99">
        <f t="shared" si="1"/>
        <v>0</v>
      </c>
      <c r="J13" s="99">
        <f t="shared" si="1"/>
        <v>0</v>
      </c>
      <c r="K13" s="99">
        <f t="shared" si="1"/>
        <v>-2.2787811654458857E-2</v>
      </c>
      <c r="L13" s="99">
        <f t="shared" si="1"/>
        <v>0</v>
      </c>
      <c r="M13" s="99">
        <f t="shared" si="1"/>
        <v>-3.4353517734310314E-2</v>
      </c>
    </row>
    <row r="14" spans="1:33" x14ac:dyDescent="0.2">
      <c r="A14" s="14" t="s">
        <v>1206</v>
      </c>
      <c r="B14" s="99">
        <f t="shared" ref="B14:M14" si="2">IF($M$10&lt;&gt;0,(B$9-B$8)/$M$10,0)</f>
        <v>0</v>
      </c>
      <c r="C14" s="99">
        <f t="shared" si="2"/>
        <v>0</v>
      </c>
      <c r="D14" s="99">
        <f t="shared" si="2"/>
        <v>0</v>
      </c>
      <c r="E14" s="99">
        <f t="shared" si="2"/>
        <v>0</v>
      </c>
      <c r="F14" s="99">
        <f t="shared" si="2"/>
        <v>0</v>
      </c>
      <c r="G14" s="99">
        <f t="shared" si="2"/>
        <v>0</v>
      </c>
      <c r="H14" s="99">
        <f t="shared" si="2"/>
        <v>0</v>
      </c>
      <c r="I14" s="99">
        <f t="shared" si="2"/>
        <v>0</v>
      </c>
      <c r="J14" s="99">
        <f t="shared" si="2"/>
        <v>0</v>
      </c>
      <c r="K14" s="99">
        <f t="shared" si="2"/>
        <v>0</v>
      </c>
      <c r="L14" s="99">
        <f t="shared" si="2"/>
        <v>0</v>
      </c>
      <c r="M14" s="99">
        <f t="shared" si="2"/>
        <v>0</v>
      </c>
    </row>
    <row r="15" spans="1:33" x14ac:dyDescent="0.2">
      <c r="A15" s="14" t="s">
        <v>1207</v>
      </c>
      <c r="B15" s="99">
        <f t="shared" ref="B15:M15" si="3">IF($M$8&lt;&gt;0,(B$9-B$8)/$M$8,0)</f>
        <v>0</v>
      </c>
      <c r="C15" s="99">
        <f t="shared" si="3"/>
        <v>0</v>
      </c>
      <c r="D15" s="99">
        <f t="shared" si="3"/>
        <v>0</v>
      </c>
      <c r="E15" s="99">
        <f t="shared" si="3"/>
        <v>0</v>
      </c>
      <c r="F15" s="99">
        <f t="shared" si="3"/>
        <v>0</v>
      </c>
      <c r="G15" s="99">
        <f t="shared" si="3"/>
        <v>0</v>
      </c>
      <c r="H15" s="99">
        <f t="shared" si="3"/>
        <v>0</v>
      </c>
      <c r="I15" s="99">
        <f t="shared" si="3"/>
        <v>0</v>
      </c>
      <c r="J15" s="99">
        <f t="shared" si="3"/>
        <v>0</v>
      </c>
      <c r="K15" s="99">
        <f t="shared" si="3"/>
        <v>0</v>
      </c>
      <c r="L15" s="99">
        <f t="shared" si="3"/>
        <v>0</v>
      </c>
      <c r="M15" s="99">
        <f t="shared" si="3"/>
        <v>0</v>
      </c>
    </row>
  </sheetData>
  <dataValidations count="5">
    <dataValidation type="list" allowBlank="1" showInputMessage="1" showErrorMessage="1" sqref="A2" xr:uid="{339B0D9E-10B8-40FA-B2DD-F82C33A459F5}">
      <formula1>AA1:AA6</formula1>
    </dataValidation>
    <dataValidation type="list" allowBlank="1" showInputMessage="1" showErrorMessage="1" sqref="B2 C2" xr:uid="{B123766E-16AD-493C-8C70-56BFA3559A6F}">
      <formula1>AB1:AB4</formula1>
    </dataValidation>
    <dataValidation type="list" allowBlank="1" showInputMessage="1" showErrorMessage="1" sqref="D2" xr:uid="{6DE7F409-BC32-455B-B057-BDBEA33BC8AA}">
      <formula1>AD1:AD10</formula1>
    </dataValidation>
    <dataValidation type="list" allowBlank="1" showInputMessage="1" showErrorMessage="1" sqref="E2 F2" xr:uid="{CA32E2FD-185A-4D7D-8EA5-A7A800AB1BB8}">
      <formula1>AE1:AE1</formula1>
    </dataValidation>
    <dataValidation type="list" allowBlank="1" showInputMessage="1" showErrorMessage="1" sqref="G2" xr:uid="{9F628C04-C1B2-4353-A106-7F141C9E5C1F}">
      <formula1>AG1:AG5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A4643-B1FD-478B-90A2-AA2301E37EA3}">
  <sheetPr>
    <tabColor indexed="12" tint="-0.249977111117893"/>
  </sheetPr>
  <dimension ref="A1:BC62"/>
  <sheetViews>
    <sheetView showGridLines="0" topLeftCell="AA40" workbookViewId="0">
      <selection activeCell="AO57" sqref="AO57:AP59"/>
    </sheetView>
  </sheetViews>
  <sheetFormatPr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9" width="7.88671875" style="9" bestFit="1" customWidth="1"/>
    <col min="10" max="10" width="8.88671875" style="9"/>
    <col min="11" max="11" width="14.109375" style="9" bestFit="1" customWidth="1"/>
    <col min="12" max="12" width="12.44140625" style="9" bestFit="1" customWidth="1"/>
    <col min="13" max="13" width="7.109375" style="9" bestFit="1" customWidth="1"/>
    <col min="14" max="14" width="7.88671875" style="9" bestFit="1" customWidth="1"/>
    <col min="15" max="15" width="3.88671875" style="9" bestFit="1" customWidth="1"/>
    <col min="16" max="16" width="3.77734375" style="9" bestFit="1" customWidth="1"/>
    <col min="17" max="18" width="9.109375" style="9" bestFit="1" customWidth="1"/>
    <col min="19" max="19" width="8" style="9" bestFit="1" customWidth="1"/>
    <col min="20" max="20" width="9.88671875" style="9" bestFit="1" customWidth="1"/>
    <col min="21" max="21" width="7.109375" style="9" bestFit="1" customWidth="1"/>
    <col min="22" max="22" width="7" style="9" bestFit="1" customWidth="1"/>
    <col min="23" max="23" width="9.21875" style="9" bestFit="1" customWidth="1"/>
    <col min="24" max="24" width="9.33203125" style="9" bestFit="1" customWidth="1"/>
    <col min="25" max="25" width="9.88671875" style="9" bestFit="1" customWidth="1"/>
    <col min="26" max="26" width="7.109375" style="9" bestFit="1" customWidth="1"/>
    <col min="27" max="27" width="9.33203125" style="9" bestFit="1" customWidth="1"/>
    <col min="28" max="28" width="9.88671875" style="9" bestFit="1" customWidth="1"/>
    <col min="29" max="29" width="11.109375" style="9" bestFit="1" customWidth="1"/>
    <col min="30" max="30" width="9.109375" style="9" bestFit="1" customWidth="1"/>
    <col min="31" max="31" width="9.5546875" style="9" bestFit="1" customWidth="1"/>
    <col min="32" max="32" width="6.88671875" style="9" bestFit="1" customWidth="1"/>
    <col min="33" max="33" width="9.5546875" style="9" bestFit="1" customWidth="1"/>
    <col min="34" max="34" width="14.44140625" style="9" bestFit="1" customWidth="1"/>
    <col min="35" max="35" width="17.5546875" style="9" bestFit="1" customWidth="1"/>
    <col min="36" max="36" width="18.109375" style="9" bestFit="1" customWidth="1"/>
    <col min="37" max="37" width="7.109375" style="9" bestFit="1" customWidth="1"/>
    <col min="38" max="38" width="9.109375" style="9" bestFit="1" customWidth="1"/>
    <col min="39" max="39" width="9.88671875" style="9" bestFit="1" customWidth="1"/>
    <col min="40" max="40" width="8.88671875" style="9"/>
    <col min="41" max="42" width="9.88671875" style="9" bestFit="1" customWidth="1"/>
    <col min="43" max="16384" width="8.88671875" style="9"/>
  </cols>
  <sheetData>
    <row r="1" spans="1:55" ht="11.25" customHeight="1" x14ac:dyDescent="0.3">
      <c r="A1" s="143" t="s">
        <v>68</v>
      </c>
      <c r="B1" s="143" t="s">
        <v>69</v>
      </c>
      <c r="C1" s="143" t="s">
        <v>70</v>
      </c>
      <c r="D1" s="143" t="s">
        <v>71</v>
      </c>
      <c r="E1" s="143" t="s">
        <v>72</v>
      </c>
      <c r="F1" s="143" t="s">
        <v>15</v>
      </c>
      <c r="G1" s="143" t="s">
        <v>74</v>
      </c>
      <c r="H1" s="143" t="s">
        <v>75</v>
      </c>
      <c r="I1" s="143" t="s">
        <v>588</v>
      </c>
      <c r="J1" s="134"/>
      <c r="L1" s="144" t="s">
        <v>605</v>
      </c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O1" s="26"/>
      <c r="AP1" s="148" t="s">
        <v>590</v>
      </c>
      <c r="AQ1" s="162" t="s">
        <v>1</v>
      </c>
      <c r="AR1" s="164" t="s">
        <v>2</v>
      </c>
      <c r="AS1" s="164" t="s">
        <v>3</v>
      </c>
      <c r="AT1" s="164" t="s">
        <v>4</v>
      </c>
      <c r="AU1" s="164" t="s">
        <v>5</v>
      </c>
      <c r="AV1" s="164" t="s">
        <v>809</v>
      </c>
      <c r="AW1" s="164" t="s">
        <v>810</v>
      </c>
      <c r="AX1" s="164" t="s">
        <v>811</v>
      </c>
      <c r="AY1" s="164" t="s">
        <v>812</v>
      </c>
      <c r="AZ1" s="164" t="s">
        <v>813</v>
      </c>
      <c r="BC1" s="164" t="s">
        <v>814</v>
      </c>
    </row>
    <row r="2" spans="1:55" ht="11.25" customHeight="1" x14ac:dyDescent="0.3">
      <c r="A2" s="143"/>
      <c r="B2" s="143"/>
      <c r="C2" s="143"/>
      <c r="D2" s="143"/>
      <c r="E2" s="143"/>
      <c r="F2" s="143"/>
      <c r="G2" s="143"/>
      <c r="H2" s="143"/>
      <c r="I2" s="143"/>
      <c r="J2" s="134"/>
      <c r="L2" s="144" t="s">
        <v>487</v>
      </c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4"/>
      <c r="AM2" s="144"/>
      <c r="AO2" s="26"/>
      <c r="AP2" s="149"/>
      <c r="AQ2" s="163"/>
      <c r="AR2" s="165"/>
      <c r="AS2" s="165"/>
      <c r="AT2" s="165"/>
      <c r="AU2" s="165"/>
      <c r="AV2" s="165"/>
      <c r="AW2" s="165"/>
      <c r="AX2" s="165"/>
      <c r="AY2" s="165"/>
      <c r="AZ2" s="165"/>
      <c r="BC2" s="165"/>
    </row>
    <row r="3" spans="1:55" ht="11.25" customHeight="1" x14ac:dyDescent="0.3">
      <c r="A3" s="143"/>
      <c r="B3" s="143"/>
      <c r="C3" s="143"/>
      <c r="D3" s="143"/>
      <c r="E3" s="143"/>
      <c r="F3" s="143"/>
      <c r="G3" s="143"/>
      <c r="H3" s="143"/>
      <c r="I3" s="143"/>
      <c r="J3" s="134"/>
      <c r="L3" s="144" t="s">
        <v>488</v>
      </c>
      <c r="M3" s="144"/>
      <c r="N3" s="144"/>
      <c r="O3" s="144"/>
      <c r="P3" s="144"/>
      <c r="Q3" s="144"/>
      <c r="R3" s="144"/>
      <c r="S3" s="144"/>
      <c r="T3" s="144"/>
      <c r="U3" s="144" t="s">
        <v>497</v>
      </c>
      <c r="V3" s="144"/>
      <c r="W3" s="144"/>
      <c r="X3" s="144"/>
      <c r="Y3" s="144"/>
      <c r="Z3" s="144"/>
      <c r="AA3" s="144"/>
      <c r="AB3" s="144"/>
      <c r="AC3" s="144" t="s">
        <v>505</v>
      </c>
      <c r="AD3" s="144"/>
      <c r="AE3" s="144" t="s">
        <v>507</v>
      </c>
      <c r="AF3" s="144"/>
      <c r="AG3" s="144"/>
      <c r="AH3" s="144" t="s">
        <v>510</v>
      </c>
      <c r="AI3" s="144"/>
      <c r="AJ3" s="144"/>
      <c r="AK3" s="144"/>
      <c r="AL3" s="144"/>
      <c r="AM3" s="144" t="s">
        <v>496</v>
      </c>
      <c r="AO3" s="26"/>
      <c r="AP3" s="149"/>
      <c r="AQ3" s="163"/>
      <c r="AR3" s="165"/>
      <c r="AS3" s="165"/>
      <c r="AT3" s="165"/>
      <c r="AU3" s="165"/>
      <c r="AV3" s="165"/>
      <c r="AW3" s="165"/>
      <c r="AX3" s="165"/>
      <c r="AY3" s="165"/>
      <c r="AZ3" s="165"/>
      <c r="BC3" s="165"/>
    </row>
    <row r="4" spans="1:55" ht="11.25" customHeight="1" x14ac:dyDescent="0.3">
      <c r="A4" s="143"/>
      <c r="B4" s="143"/>
      <c r="C4" s="143"/>
      <c r="D4" s="143"/>
      <c r="E4" s="143"/>
      <c r="F4" s="143"/>
      <c r="G4" s="143"/>
      <c r="H4" s="143"/>
      <c r="I4" s="143"/>
      <c r="J4" s="134"/>
      <c r="L4" s="10" t="s">
        <v>573</v>
      </c>
      <c r="M4" s="10" t="s">
        <v>489</v>
      </c>
      <c r="N4" s="10" t="s">
        <v>490</v>
      </c>
      <c r="O4" s="10" t="s">
        <v>491</v>
      </c>
      <c r="P4" s="10" t="s">
        <v>492</v>
      </c>
      <c r="Q4" s="10" t="s">
        <v>493</v>
      </c>
      <c r="R4" s="10" t="s">
        <v>494</v>
      </c>
      <c r="S4" s="10" t="s">
        <v>495</v>
      </c>
      <c r="T4" s="10" t="s">
        <v>496</v>
      </c>
      <c r="U4" s="10" t="s">
        <v>498</v>
      </c>
      <c r="V4" s="10" t="s">
        <v>499</v>
      </c>
      <c r="W4" s="10" t="s">
        <v>500</v>
      </c>
      <c r="X4" s="10" t="s">
        <v>501</v>
      </c>
      <c r="Y4" s="10" t="s">
        <v>502</v>
      </c>
      <c r="Z4" s="10" t="s">
        <v>503</v>
      </c>
      <c r="AA4" s="10" t="s">
        <v>504</v>
      </c>
      <c r="AB4" s="10" t="s">
        <v>496</v>
      </c>
      <c r="AC4" s="10" t="s">
        <v>506</v>
      </c>
      <c r="AD4" s="10" t="s">
        <v>496</v>
      </c>
      <c r="AE4" s="10" t="s">
        <v>508</v>
      </c>
      <c r="AF4" s="10" t="s">
        <v>509</v>
      </c>
      <c r="AG4" s="10" t="s">
        <v>496</v>
      </c>
      <c r="AH4" s="10" t="s">
        <v>511</v>
      </c>
      <c r="AI4" s="10" t="s">
        <v>512</v>
      </c>
      <c r="AJ4" s="10" t="s">
        <v>513</v>
      </c>
      <c r="AK4" s="10" t="s">
        <v>514</v>
      </c>
      <c r="AL4" s="10" t="s">
        <v>496</v>
      </c>
      <c r="AM4" s="147"/>
      <c r="AO4" s="27" t="s">
        <v>607</v>
      </c>
      <c r="AP4" s="150"/>
      <c r="AQ4" s="163"/>
      <c r="AR4" s="165"/>
      <c r="AS4" s="165"/>
      <c r="AT4" s="165"/>
      <c r="AU4" s="165"/>
      <c r="AV4" s="165"/>
      <c r="AW4" s="165"/>
      <c r="AX4" s="165"/>
      <c r="AY4" s="165"/>
      <c r="AZ4" s="165"/>
      <c r="BC4" s="165"/>
    </row>
    <row r="5" spans="1:55" ht="11.25" customHeight="1" x14ac:dyDescent="0.3">
      <c r="A5" s="146" t="s">
        <v>61</v>
      </c>
      <c r="B5" s="146" t="s">
        <v>54</v>
      </c>
      <c r="C5" s="146" t="s">
        <v>25</v>
      </c>
      <c r="D5" s="146" t="s">
        <v>25</v>
      </c>
      <c r="E5" s="146" t="s">
        <v>25</v>
      </c>
      <c r="F5" s="146" t="s">
        <v>25</v>
      </c>
      <c r="G5" s="24" t="s">
        <v>82</v>
      </c>
      <c r="H5" s="24" t="s">
        <v>81</v>
      </c>
      <c r="I5" s="24">
        <f>'MERCADO TUSD'!$U$2</f>
        <v>14877.2</v>
      </c>
      <c r="J5" s="15"/>
      <c r="L5" s="13">
        <f>'TUSD BE'!$L$5*'TUSD BE'!$L$62</f>
        <v>0</v>
      </c>
      <c r="M5" s="13">
        <f>'TUSD BE'!$M$5*'TUSD BE'!$M$62</f>
        <v>0</v>
      </c>
      <c r="N5" s="13">
        <f ca="1">'TUSD BE'!$N$5*'TUSD BE'!$N$62</f>
        <v>0</v>
      </c>
      <c r="O5" s="13">
        <f>'TUSD BE'!$O$5*'TUSD BE'!$O$62</f>
        <v>0</v>
      </c>
      <c r="P5" s="13">
        <f>'TUSD BE'!$P$5*'TUSD BE'!$P$62</f>
        <v>0</v>
      </c>
      <c r="Q5" s="13">
        <f>'TUSD BE'!$Q$5*'TUSD BE'!$Q$62</f>
        <v>0</v>
      </c>
      <c r="R5" s="13">
        <f>'TUSD BE'!$R$5*'TUSD BE'!$R$62</f>
        <v>0</v>
      </c>
      <c r="S5" s="13">
        <f>'TUSD BE'!$R$5*'TUSD BE'!$S$62</f>
        <v>0</v>
      </c>
      <c r="T5" s="13">
        <f ca="1">SUM($L$5:$S$5)</f>
        <v>0</v>
      </c>
      <c r="U5" s="13">
        <f>'TUSD BE'!$U$5*'TUSD BE'!$U$62</f>
        <v>0</v>
      </c>
      <c r="V5" s="13">
        <f>'TUSD BE'!$V$5*'TUSD BE'!$V$62</f>
        <v>0</v>
      </c>
      <c r="W5" s="13">
        <f>'TUSD BE'!$W$5*'TUSD BE'!$W$62</f>
        <v>0</v>
      </c>
      <c r="X5" s="13">
        <f>'TUSD BE'!$X$5*'TUSD BE'!$X$62</f>
        <v>0</v>
      </c>
      <c r="Y5" s="13">
        <f>'TUSD BE'!$Y$5*'TUSD BE'!$Y$62</f>
        <v>1.6607146641592962</v>
      </c>
      <c r="Z5" s="13">
        <f>'TUSD BE'!$Z$5*'TUSD BE'!$Z$62</f>
        <v>0</v>
      </c>
      <c r="AA5" s="13">
        <f>'TUSD BE'!$AA$5*'TUSD BE'!$AA$62</f>
        <v>0</v>
      </c>
      <c r="AB5" s="13">
        <f>SUM($U$5:$AA$5)</f>
        <v>1.6607146641592962</v>
      </c>
      <c r="AC5" s="13">
        <f>'TUSD BE'!$AC$5*'TUSD BE'!$AC$62</f>
        <v>2.5606297230566398E-4</v>
      </c>
      <c r="AD5" s="13">
        <f>SUM($AC$5:$AC$5)</f>
        <v>2.5606297230566398E-4</v>
      </c>
      <c r="AE5" s="13">
        <f ca="1">$AO$5*$AO$59</f>
        <v>-1.1160168606262193</v>
      </c>
      <c r="AF5" s="13">
        <f ca="1">$AP$5*$AP$59</f>
        <v>0</v>
      </c>
      <c r="AG5" s="13">
        <f ca="1">SUM($AE$5:$AF$5)</f>
        <v>-1.1160168606262193</v>
      </c>
      <c r="AH5" s="13">
        <f>'TUSD BE'!$AH$5*'TUSD BE'!$AH$62</f>
        <v>0</v>
      </c>
      <c r="AI5" s="13">
        <f>'TUSD BE'!$AI$5*'TUSD BE'!$AI$62</f>
        <v>0</v>
      </c>
      <c r="AJ5" s="13">
        <f ca="1">'TUSD BE'!$AJ$5*'TUSD BE'!$AJ$62</f>
        <v>0</v>
      </c>
      <c r="AK5" s="13">
        <f ca="1">'TUSD BE'!$AK$5*'TUSD BE'!$AK$62</f>
        <v>0</v>
      </c>
      <c r="AL5" s="13">
        <f ca="1">SUM($AH$5:$AK$5)</f>
        <v>0</v>
      </c>
      <c r="AM5" s="13">
        <f ca="1">SUMIF($L$4:$AL$4,"SUBTOTAL",$L$5:$AL$5)+AZ5</f>
        <v>-6.0885308926907253</v>
      </c>
      <c r="AO5" s="26">
        <f ca="1">+'TUSD BE'!$T$5+'TUSD BE'!$AB$5+'TUSD BE'!$AD$5+'TUSD BE'!$AL$5</f>
        <v>28.408530892690727</v>
      </c>
      <c r="AP5" s="26">
        <f ca="1">+'TUSD BE'!$T$5+'TUSD BE'!$AB$5+'TUSD BE'!$AD$5+'TUSD BE'!$AL$5</f>
        <v>28.408530892690727</v>
      </c>
      <c r="AQ5" s="9" t="str">
        <f t="shared" ref="AQ5:AQ36" si="0">IF($A5="",AQ4,$A5)</f>
        <v>A3</v>
      </c>
      <c r="AR5" s="9" t="str">
        <f t="shared" ref="AR5:AR36" si="1">IF($B5="",AR4,$B5)</f>
        <v>Azul</v>
      </c>
      <c r="AS5" s="9" t="str">
        <f t="shared" ref="AS5:AS36" si="2">IF($C5="",AS4,$C5)</f>
        <v>Não se aplica</v>
      </c>
      <c r="AT5" s="9" t="str">
        <f t="shared" ref="AT5:AT36" si="3">IF($D5="",AT4,$D5)</f>
        <v>Não se aplica</v>
      </c>
      <c r="AU5" s="9" t="str">
        <f t="shared" ref="AU5:AU36" si="4">IF($E5="",AU4,$E5)</f>
        <v>Não se aplica</v>
      </c>
      <c r="AV5" s="9">
        <f t="shared" ref="AV5:AV36" si="5">IF(OR(AR5="Distribuição",AR5="Geração"),0,1)</f>
        <v>1</v>
      </c>
      <c r="AW5" s="9">
        <f ca="1">IFERROR(VLOOKUP(AQ5,TarifaMedia!$C$22:$G$23,5,0),0)</f>
        <v>1</v>
      </c>
      <c r="AX5" s="15">
        <f ca="1">'TUSD BE'!$AM5+'TUSD BF'!$AM5+'TUSD CVA'!$AM5</f>
        <v>28.953484759196108</v>
      </c>
      <c r="AY5" s="9">
        <v>22.32</v>
      </c>
      <c r="AZ5" s="9">
        <f t="shared" ref="AZ5:AZ36" ca="1" si="6">(AY5-AX5)*AW5*AV5</f>
        <v>-6.6334847591961079</v>
      </c>
      <c r="BC5" s="87" t="s">
        <v>815</v>
      </c>
    </row>
    <row r="6" spans="1:55" ht="11.25" customHeight="1" x14ac:dyDescent="0.3">
      <c r="A6" s="146"/>
      <c r="B6" s="146"/>
      <c r="C6" s="146"/>
      <c r="D6" s="146"/>
      <c r="E6" s="146"/>
      <c r="F6" s="146"/>
      <c r="G6" s="24" t="s">
        <v>83</v>
      </c>
      <c r="H6" s="24" t="s">
        <v>81</v>
      </c>
      <c r="I6" s="24">
        <f>'MERCADO TUSD'!$U$3</f>
        <v>15070.4</v>
      </c>
      <c r="J6" s="15"/>
      <c r="L6" s="13">
        <f>'TUSD BE'!$L$6*'TUSD BE'!$L$62</f>
        <v>0</v>
      </c>
      <c r="M6" s="13">
        <f>'TUSD BE'!$M$6*'TUSD BE'!$M$62</f>
        <v>0</v>
      </c>
      <c r="N6" s="13">
        <f ca="1">'TUSD BE'!$N$6*'TUSD BE'!$N$62</f>
        <v>0</v>
      </c>
      <c r="O6" s="13">
        <f>'TUSD BE'!$O$6*'TUSD BE'!$O$62</f>
        <v>0</v>
      </c>
      <c r="P6" s="13">
        <f>'TUSD BE'!$P$6*'TUSD BE'!$P$62</f>
        <v>0</v>
      </c>
      <c r="Q6" s="13">
        <f>'TUSD BE'!$Q$6*'TUSD BE'!$Q$62</f>
        <v>0</v>
      </c>
      <c r="R6" s="13">
        <f>'TUSD BE'!$R$6*'TUSD BE'!$R$62</f>
        <v>0</v>
      </c>
      <c r="S6" s="13">
        <f>'TUSD BE'!$R$6*'TUSD BE'!$S$62</f>
        <v>0</v>
      </c>
      <c r="T6" s="13">
        <f ca="1">SUM($L$6:$S$6)</f>
        <v>0</v>
      </c>
      <c r="U6" s="13">
        <f>'TUSD BE'!$U$6*'TUSD BE'!$U$62</f>
        <v>0</v>
      </c>
      <c r="V6" s="13">
        <f>'TUSD BE'!$V$6*'TUSD BE'!$V$62</f>
        <v>0</v>
      </c>
      <c r="W6" s="13">
        <f>'TUSD BE'!$W$6*'TUSD BE'!$W$62</f>
        <v>0</v>
      </c>
      <c r="X6" s="13">
        <f>'TUSD BE'!$X$6*'TUSD BE'!$X$62</f>
        <v>0</v>
      </c>
      <c r="Y6" s="13">
        <f>'TUSD BE'!$Y$6*'TUSD BE'!$Y$62</f>
        <v>0.84593137795928408</v>
      </c>
      <c r="Z6" s="13">
        <f>'TUSD BE'!$Z$6*'TUSD BE'!$Z$62</f>
        <v>0</v>
      </c>
      <c r="AA6" s="13">
        <f>'TUSD BE'!$AA$6*'TUSD BE'!$AA$62</f>
        <v>0</v>
      </c>
      <c r="AB6" s="13">
        <f>SUM($U$6:$AA$6)</f>
        <v>0.84593137795928408</v>
      </c>
      <c r="AC6" s="13">
        <f>'TUSD BE'!$AC$6*'TUSD BE'!$AC$62</f>
        <v>2.5606297230566398E-4</v>
      </c>
      <c r="AD6" s="13">
        <f>SUM($AC$6:$AC$6)</f>
        <v>2.5606297230566398E-4</v>
      </c>
      <c r="AE6" s="13">
        <f ca="1">$AO$6*$AO$59</f>
        <v>-0.6905115539129737</v>
      </c>
      <c r="AF6" s="13">
        <f ca="1">$AP$6*$AP$59</f>
        <v>0</v>
      </c>
      <c r="AG6" s="13">
        <f ca="1">SUM($AE$6:$AF$6)</f>
        <v>-0.6905115539129737</v>
      </c>
      <c r="AH6" s="13">
        <f>'TUSD BE'!$AH$6*'TUSD BE'!$AH$62</f>
        <v>0</v>
      </c>
      <c r="AI6" s="13">
        <f>'TUSD BE'!$AI$6*'TUSD BE'!$AI$62</f>
        <v>0</v>
      </c>
      <c r="AJ6" s="13">
        <f ca="1">'TUSD BE'!$AJ$6*'TUSD BE'!$AJ$62</f>
        <v>0</v>
      </c>
      <c r="AK6" s="13">
        <f ca="1">'TUSD BE'!$AK$6*'TUSD BE'!$AK$62</f>
        <v>0</v>
      </c>
      <c r="AL6" s="13">
        <f ca="1">SUM($AH$6:$AK$6)</f>
        <v>0</v>
      </c>
      <c r="AM6" s="13">
        <f ca="1">SUMIF($L$4:$AL$4,"SUBTOTAL",$L$6:$AL$6)+AZ6</f>
        <v>-5.2871706532188307</v>
      </c>
      <c r="AO6" s="26">
        <f ca="1">+'TUSD BE'!$T$6+'TUSD BE'!$AB$6+'TUSD BE'!$AD$6+'TUSD BE'!$AL$6</f>
        <v>17.577170653218829</v>
      </c>
      <c r="AP6" s="26">
        <f ca="1">+'TUSD BE'!$T$6+'TUSD BE'!$AB$6+'TUSD BE'!$AD$6+'TUSD BE'!$AL$6</f>
        <v>17.577170653218829</v>
      </c>
      <c r="AQ6" s="9" t="str">
        <f t="shared" si="0"/>
        <v>A3</v>
      </c>
      <c r="AR6" s="9" t="str">
        <f t="shared" si="1"/>
        <v>Azul</v>
      </c>
      <c r="AS6" s="9" t="str">
        <f t="shared" si="2"/>
        <v>Não se aplica</v>
      </c>
      <c r="AT6" s="9" t="str">
        <f t="shared" si="3"/>
        <v>Não se aplica</v>
      </c>
      <c r="AU6" s="9" t="str">
        <f t="shared" si="4"/>
        <v>Não se aplica</v>
      </c>
      <c r="AV6" s="9">
        <f t="shared" si="5"/>
        <v>1</v>
      </c>
      <c r="AW6" s="9">
        <f ca="1">IFERROR(VLOOKUP(AQ6,TarifaMedia!$C$22:$G$23,5,0),0)</f>
        <v>1</v>
      </c>
      <c r="AX6" s="15">
        <f ca="1">'TUSD BE'!$AM6+'TUSD BF'!$AM6+'TUSD CVA'!$AM6</f>
        <v>17.732846540237446</v>
      </c>
      <c r="AY6" s="9">
        <v>12.29</v>
      </c>
      <c r="AZ6" s="9">
        <f t="shared" ca="1" si="6"/>
        <v>-5.4428465402374471</v>
      </c>
      <c r="BC6" s="87" t="s">
        <v>816</v>
      </c>
    </row>
    <row r="7" spans="1:55" ht="11.25" customHeight="1" x14ac:dyDescent="0.3">
      <c r="A7" s="146"/>
      <c r="B7" s="146"/>
      <c r="C7" s="146"/>
      <c r="D7" s="146"/>
      <c r="E7" s="146"/>
      <c r="F7" s="146"/>
      <c r="G7" s="24" t="s">
        <v>84</v>
      </c>
      <c r="H7" s="24" t="s">
        <v>78</v>
      </c>
      <c r="I7" s="24">
        <f>'MERCADO TUSD'!$U$4</f>
        <v>7641.8726999999999</v>
      </c>
      <c r="J7" s="15"/>
      <c r="L7" s="13">
        <f>'TUSD BE'!$L$7*'TUSD BE'!$L$62</f>
        <v>7.1810956871746212E-2</v>
      </c>
      <c r="M7" s="13">
        <f>'TUSD BE'!$M$7*'TUSD BE'!$M$62</f>
        <v>3.9035482903422574E-3</v>
      </c>
      <c r="N7" s="13">
        <f ca="1">'TUSD BE'!$N$7*'TUSD BE'!$N$62</f>
        <v>1.3749244111186911E-7</v>
      </c>
      <c r="O7" s="13">
        <f>'TUSD BE'!$O$7*'TUSD BE'!$O$62</f>
        <v>0</v>
      </c>
      <c r="P7" s="13">
        <f>'TUSD BE'!$P$7*'TUSD BE'!$P$62</f>
        <v>0</v>
      </c>
      <c r="Q7" s="13">
        <f>'TUSD BE'!$Q$7*'TUSD BE'!$Q$62</f>
        <v>2.4750971202904446</v>
      </c>
      <c r="R7" s="13">
        <f>'TUSD BE'!$R$7*'TUSD BE'!$R$62</f>
        <v>0.46136832062853605</v>
      </c>
      <c r="S7" s="13">
        <f>'TUSD BE'!$R$7*'TUSD BE'!$S$62</f>
        <v>0</v>
      </c>
      <c r="T7" s="13">
        <f ca="1">SUM($L$7:$S$7)</f>
        <v>3.0121800835735102</v>
      </c>
      <c r="U7" s="13">
        <f>'TUSD BE'!$U$7*'TUSD BE'!$U$62</f>
        <v>0</v>
      </c>
      <c r="V7" s="13">
        <f>'TUSD BE'!$V$7*'TUSD BE'!$V$62</f>
        <v>0</v>
      </c>
      <c r="W7" s="13">
        <f>'TUSD BE'!$W$7*'TUSD BE'!$W$62</f>
        <v>0</v>
      </c>
      <c r="X7" s="13">
        <f>'TUSD BE'!$X$7*'TUSD BE'!$X$62</f>
        <v>0</v>
      </c>
      <c r="Y7" s="13">
        <f>'TUSD BE'!$Y$7*'TUSD BE'!$Y$62</f>
        <v>0</v>
      </c>
      <c r="Z7" s="13">
        <f>'TUSD BE'!$Z$7*'TUSD BE'!$Z$62</f>
        <v>0</v>
      </c>
      <c r="AA7" s="13">
        <f>'TUSD BE'!$AA$7*'TUSD BE'!$AA$62</f>
        <v>0</v>
      </c>
      <c r="AB7" s="13">
        <f>SUM($U$7:$AA$7)</f>
        <v>0</v>
      </c>
      <c r="AC7" s="13">
        <f>'TUSD BE'!$AC$7*'TUSD BE'!$AC$62</f>
        <v>0</v>
      </c>
      <c r="AD7" s="13">
        <f>SUM($AC$7:$AC$7)</f>
        <v>0</v>
      </c>
      <c r="AE7" s="13">
        <f ca="1">$AO$7*$AO$59</f>
        <v>-3.4423099730683928</v>
      </c>
      <c r="AF7" s="13">
        <f ca="1">$AP$7*$AP$59</f>
        <v>0</v>
      </c>
      <c r="AG7" s="13">
        <f ca="1">SUM($AE$7:$AF$7)</f>
        <v>-3.4423099730683928</v>
      </c>
      <c r="AH7" s="13">
        <f>'TUSD BE'!$AH$7*'TUSD BE'!$AH$62</f>
        <v>2.6105273951646447E-2</v>
      </c>
      <c r="AI7" s="13">
        <f>'TUSD BE'!$AI$7*'TUSD BE'!$AI$62</f>
        <v>0</v>
      </c>
      <c r="AJ7" s="13">
        <f ca="1">'TUSD BE'!$AJ$7*'TUSD BE'!$AJ$62</f>
        <v>2.3887685299572841E-3</v>
      </c>
      <c r="AK7" s="13">
        <f ca="1">'TUSD BE'!$AK$7*'TUSD BE'!$AK$62</f>
        <v>5.8649502254861426E-3</v>
      </c>
      <c r="AL7" s="13">
        <f ca="1">SUM($AH$7:$AK$7)</f>
        <v>3.4358992707089878E-2</v>
      </c>
      <c r="AM7" s="13">
        <f ca="1">SUMIF($L$4:$AL$4,"SUBTOTAL",$L$7:$AL$7)+AZ7</f>
        <v>-14.728790782727996</v>
      </c>
      <c r="AO7" s="26">
        <f ca="1">+'TUSD BE'!$T$7+'TUSD BE'!$AB$7+'TUSD BE'!$AD$7+'TUSD BE'!$AL$7</f>
        <v>87.624992652224222</v>
      </c>
      <c r="AP7" s="26">
        <f ca="1">+'TUSD BE'!$T$7+'TUSD BE'!$AB$7+'TUSD BE'!$AD$7+'TUSD BE'!$AL$7</f>
        <v>87.624992652224222</v>
      </c>
      <c r="AQ7" s="9" t="str">
        <f t="shared" si="0"/>
        <v>A3</v>
      </c>
      <c r="AR7" s="9" t="str">
        <f t="shared" si="1"/>
        <v>Azul</v>
      </c>
      <c r="AS7" s="9" t="str">
        <f t="shared" si="2"/>
        <v>Não se aplica</v>
      </c>
      <c r="AT7" s="9" t="str">
        <f t="shared" si="3"/>
        <v>Não se aplica</v>
      </c>
      <c r="AU7" s="9" t="str">
        <f t="shared" si="4"/>
        <v>Não se aplica</v>
      </c>
      <c r="AV7" s="9">
        <f t="shared" si="5"/>
        <v>1</v>
      </c>
      <c r="AW7" s="9">
        <f ca="1">IFERROR(VLOOKUP(AQ7,TarifaMedia!$C$22:$G$23,5,0),0)</f>
        <v>1</v>
      </c>
      <c r="AX7" s="15">
        <f ca="1">'TUSD BE'!$AM7+'TUSD BF'!$AM7+'TUSD CVA'!$AM7</f>
        <v>108.4730198859402</v>
      </c>
      <c r="AY7" s="9">
        <v>94.14</v>
      </c>
      <c r="AZ7" s="9">
        <f t="shared" ca="1" si="6"/>
        <v>-14.333019885940203</v>
      </c>
      <c r="BC7" s="87" t="s">
        <v>817</v>
      </c>
    </row>
    <row r="8" spans="1:55" ht="11.25" customHeight="1" x14ac:dyDescent="0.3">
      <c r="A8" s="146"/>
      <c r="B8" s="146"/>
      <c r="C8" s="146"/>
      <c r="D8" s="146"/>
      <c r="E8" s="23" t="s">
        <v>85</v>
      </c>
      <c r="F8" s="23" t="s">
        <v>25</v>
      </c>
      <c r="G8" s="24" t="s">
        <v>84</v>
      </c>
      <c r="H8" s="24" t="s">
        <v>78</v>
      </c>
      <c r="I8" s="24">
        <f>'MERCADO TUSD'!$U$5</f>
        <v>0</v>
      </c>
      <c r="J8" s="15"/>
      <c r="L8" s="13">
        <f>'TUSD BE'!$L$8*'TUSD BE'!$L$62</f>
        <v>0</v>
      </c>
      <c r="M8" s="13">
        <f>'TUSD BE'!$M$8*'TUSD BE'!$M$62</f>
        <v>3.9035482903422574E-3</v>
      </c>
      <c r="N8" s="13">
        <f ca="1">'TUSD BE'!$N$8*'TUSD BE'!$N$62</f>
        <v>1.2892232747476969E-7</v>
      </c>
      <c r="O8" s="13">
        <f>'TUSD BE'!$O$8*'TUSD BE'!$O$62</f>
        <v>0</v>
      </c>
      <c r="P8" s="13">
        <f>'TUSD BE'!$P$8*'TUSD BE'!$P$62</f>
        <v>0</v>
      </c>
      <c r="Q8" s="13">
        <f>'TUSD BE'!$Q$8*'TUSD BE'!$Q$62</f>
        <v>0</v>
      </c>
      <c r="R8" s="13">
        <f>'TUSD BE'!$R$8*'TUSD BE'!$R$62</f>
        <v>0</v>
      </c>
      <c r="S8" s="13">
        <f>'TUSD BE'!$R$8*'TUSD BE'!$S$62</f>
        <v>0</v>
      </c>
      <c r="T8" s="13">
        <f ca="1">SUM($L$8:$S$8)</f>
        <v>3.903677212669732E-3</v>
      </c>
      <c r="U8" s="13">
        <f>'TUSD BE'!$U$8*'TUSD BE'!$U$62</f>
        <v>0</v>
      </c>
      <c r="V8" s="13">
        <f>'TUSD BE'!$V$8*'TUSD BE'!$V$62</f>
        <v>0</v>
      </c>
      <c r="W8" s="13">
        <f>'TUSD BE'!$W$8*'TUSD BE'!$W$62</f>
        <v>0</v>
      </c>
      <c r="X8" s="13">
        <f>'TUSD BE'!$X$8*'TUSD BE'!$X$62</f>
        <v>0</v>
      </c>
      <c r="Y8" s="13">
        <f>'TUSD BE'!$Y$8*'TUSD BE'!$Y$62</f>
        <v>0</v>
      </c>
      <c r="Z8" s="13">
        <f>'TUSD BE'!$Z$8*'TUSD BE'!$Z$62</f>
        <v>0</v>
      </c>
      <c r="AA8" s="13">
        <f>'TUSD BE'!$AA$8*'TUSD BE'!$AA$62</f>
        <v>0</v>
      </c>
      <c r="AB8" s="13">
        <f>SUM($U$8:$AA$8)</f>
        <v>0</v>
      </c>
      <c r="AC8" s="13">
        <f>'TUSD BE'!$AC$8*'TUSD BE'!$AC$62</f>
        <v>0</v>
      </c>
      <c r="AD8" s="13">
        <f>SUM($AC$8:$AC$8)</f>
        <v>0</v>
      </c>
      <c r="AE8" s="13">
        <f ca="1">$AO$8*$AO$59</f>
        <v>-0.27679074762087597</v>
      </c>
      <c r="AF8" s="13">
        <f ca="1">$AP$8*$AP$59</f>
        <v>0</v>
      </c>
      <c r="AG8" s="13">
        <f ca="1">SUM($AE$8:$AF$8)</f>
        <v>-0.27679074762087597</v>
      </c>
      <c r="AH8" s="13">
        <f>'TUSD BE'!$AH$8*'TUSD BE'!$AH$62</f>
        <v>2.6105273951646447E-2</v>
      </c>
      <c r="AI8" s="13">
        <f>'TUSD BE'!$AI$8*'TUSD BE'!$AI$62</f>
        <v>0</v>
      </c>
      <c r="AJ8" s="13">
        <f ca="1">'TUSD BE'!$AJ$8*'TUSD BE'!$AJ$62</f>
        <v>2.3887685299572841E-3</v>
      </c>
      <c r="AK8" s="13">
        <f ca="1">'TUSD BE'!$AK$8*'TUSD BE'!$AK$62</f>
        <v>5.8649502254861426E-3</v>
      </c>
      <c r="AL8" s="13">
        <f ca="1">SUM($AH$8:$AK$8)</f>
        <v>3.4358992707089878E-2</v>
      </c>
      <c r="AM8" s="13">
        <f ca="1">SUMIF($L$4:$AL$4,"SUBTOTAL",$L$8:$AL$8)+AZ8</f>
        <v>4.6617878909620636</v>
      </c>
      <c r="AO8" s="26">
        <f ca="1">+'TUSD BE'!$T$8+'TUSD BE'!$AB$8+'TUSD BE'!$AD$8+'TUSD BE'!$AL$8</f>
        <v>7.0457882689930047</v>
      </c>
      <c r="AP8" s="26">
        <f ca="1">+'TUSD BE'!$T$8+'TUSD BE'!$AB$8+'TUSD BE'!$AD$8+'TUSD BE'!$AL$8</f>
        <v>7.0457882689930047</v>
      </c>
      <c r="AQ8" s="9" t="str">
        <f t="shared" si="0"/>
        <v>A3</v>
      </c>
      <c r="AR8" s="9" t="str">
        <f t="shared" si="1"/>
        <v>Azul</v>
      </c>
      <c r="AS8" s="9" t="str">
        <f t="shared" si="2"/>
        <v>Não se aplica</v>
      </c>
      <c r="AT8" s="9" t="str">
        <f t="shared" si="3"/>
        <v>Não se aplica</v>
      </c>
      <c r="AU8" s="9" t="str">
        <f t="shared" si="4"/>
        <v>APE</v>
      </c>
      <c r="AV8" s="9">
        <f t="shared" si="5"/>
        <v>1</v>
      </c>
      <c r="AW8" s="9">
        <f ca="1">IFERROR(VLOOKUP(AQ8,TarifaMedia!$C$22:$G$23,5,0),0)</f>
        <v>1</v>
      </c>
      <c r="AX8" s="15">
        <f ca="1">'TUSD BE'!$AM8+'TUSD BF'!$AM8+'TUSD CVA'!$AM8</f>
        <v>6.7796840313368198</v>
      </c>
      <c r="AY8" s="9">
        <v>11.68</v>
      </c>
      <c r="AZ8" s="9">
        <f t="shared" ca="1" si="6"/>
        <v>4.9003159686631799</v>
      </c>
      <c r="BC8" s="87" t="s">
        <v>818</v>
      </c>
    </row>
    <row r="9" spans="1:55" ht="11.25" customHeight="1" x14ac:dyDescent="0.3">
      <c r="A9" s="146" t="s">
        <v>34</v>
      </c>
      <c r="B9" s="146" t="s">
        <v>54</v>
      </c>
      <c r="C9" s="146" t="s">
        <v>25</v>
      </c>
      <c r="D9" s="146" t="s">
        <v>25</v>
      </c>
      <c r="E9" s="146" t="s">
        <v>25</v>
      </c>
      <c r="F9" s="146" t="s">
        <v>25</v>
      </c>
      <c r="G9" s="24" t="s">
        <v>82</v>
      </c>
      <c r="H9" s="24" t="s">
        <v>81</v>
      </c>
      <c r="I9" s="24">
        <f>'MERCADO TUSD'!$U$6</f>
        <v>74447</v>
      </c>
      <c r="J9" s="15"/>
      <c r="L9" s="13">
        <f>'TUSD BE'!$L$9*'TUSD BE'!$L$62</f>
        <v>0</v>
      </c>
      <c r="M9" s="13">
        <f>'TUSD BE'!$M$9*'TUSD BE'!$M$62</f>
        <v>0</v>
      </c>
      <c r="N9" s="13">
        <f ca="1">'TUSD BE'!$N$9*'TUSD BE'!$N$62</f>
        <v>0</v>
      </c>
      <c r="O9" s="13">
        <f>'TUSD BE'!$O$9*'TUSD BE'!$O$62</f>
        <v>0</v>
      </c>
      <c r="P9" s="13">
        <f>'TUSD BE'!$P$9*'TUSD BE'!$P$62</f>
        <v>0</v>
      </c>
      <c r="Q9" s="13">
        <f>'TUSD BE'!$Q$9*'TUSD BE'!$Q$62</f>
        <v>0</v>
      </c>
      <c r="R9" s="13">
        <f>'TUSD BE'!$R$9*'TUSD BE'!$R$62</f>
        <v>0</v>
      </c>
      <c r="S9" s="13">
        <f>'TUSD BE'!$R$9*'TUSD BE'!$S$62</f>
        <v>0</v>
      </c>
      <c r="T9" s="13">
        <f ca="1">SUM($L$9:$S$9)</f>
        <v>0</v>
      </c>
      <c r="U9" s="13">
        <f>'TUSD BE'!$U$9*'TUSD BE'!$U$62</f>
        <v>0</v>
      </c>
      <c r="V9" s="13">
        <f>'TUSD BE'!$V$9*'TUSD BE'!$V$62</f>
        <v>0</v>
      </c>
      <c r="W9" s="13">
        <f>'TUSD BE'!$W$9*'TUSD BE'!$W$62</f>
        <v>0</v>
      </c>
      <c r="X9" s="13">
        <f>'TUSD BE'!$X$9*'TUSD BE'!$X$62</f>
        <v>0</v>
      </c>
      <c r="Y9" s="13">
        <f>'TUSD BE'!$Y$9*'TUSD BE'!$Y$62</f>
        <v>2.2142862188790615</v>
      </c>
      <c r="Z9" s="13">
        <f>'TUSD BE'!$Z$9*'TUSD BE'!$Z$62</f>
        <v>0</v>
      </c>
      <c r="AA9" s="13">
        <f>'TUSD BE'!$AA$9*'TUSD BE'!$AA$62</f>
        <v>0</v>
      </c>
      <c r="AB9" s="13">
        <f>SUM($U$9:$AA$9)</f>
        <v>2.2142862188790615</v>
      </c>
      <c r="AC9" s="13">
        <f>'TUSD BE'!$AC$9*'TUSD BE'!$AC$62</f>
        <v>3.4141879435114895E-4</v>
      </c>
      <c r="AD9" s="13">
        <f>SUM($AC$9:$AC$9)</f>
        <v>3.4141879435114895E-4</v>
      </c>
      <c r="AE9" s="13">
        <f ca="1">$AO$9*$AO$59</f>
        <v>-1.4880239359383549</v>
      </c>
      <c r="AF9" s="13">
        <f ca="1">$AP$9*$AP$59</f>
        <v>0</v>
      </c>
      <c r="AG9" s="13">
        <f ca="1">SUM($AE$9:$AF$9)</f>
        <v>-1.4880239359383549</v>
      </c>
      <c r="AH9" s="13">
        <f>'TUSD BE'!$AH$9*'TUSD BE'!$AH$62</f>
        <v>0</v>
      </c>
      <c r="AI9" s="13">
        <f>'TUSD BE'!$AI$9*'TUSD BE'!$AI$62</f>
        <v>0</v>
      </c>
      <c r="AJ9" s="13">
        <f ca="1">'TUSD BE'!$AJ$9*'TUSD BE'!$AJ$62</f>
        <v>0</v>
      </c>
      <c r="AK9" s="13">
        <f ca="1">'TUSD BE'!$AK$9*'TUSD BE'!$AK$62</f>
        <v>0</v>
      </c>
      <c r="AL9" s="13">
        <f ca="1">SUM($AH$9:$AK$9)</f>
        <v>0</v>
      </c>
      <c r="AM9" s="13">
        <f ca="1">SUMIF($L$4:$AL$4,"SUBTOTAL",$L$9:$AL$9)+AZ9</f>
        <v>-5.5280782303306921</v>
      </c>
      <c r="AO9" s="26">
        <f ca="1">+'TUSD BE'!$T$9+'TUSD BE'!$AB$9+'TUSD BE'!$AD$9+'TUSD BE'!$AL$9</f>
        <v>37.878078230330694</v>
      </c>
      <c r="AP9" s="26">
        <f ca="1">+'TUSD BE'!$T$9+'TUSD BE'!$AB$9+'TUSD BE'!$AD$9+'TUSD BE'!$AL$9</f>
        <v>37.878078230330694</v>
      </c>
      <c r="AQ9" s="9" t="str">
        <f t="shared" si="0"/>
        <v>A4</v>
      </c>
      <c r="AR9" s="9" t="str">
        <f t="shared" si="1"/>
        <v>Azul</v>
      </c>
      <c r="AS9" s="9" t="str">
        <f t="shared" si="2"/>
        <v>Não se aplica</v>
      </c>
      <c r="AT9" s="9" t="str">
        <f t="shared" si="3"/>
        <v>Não se aplica</v>
      </c>
      <c r="AU9" s="9" t="str">
        <f t="shared" si="4"/>
        <v>Não se aplica</v>
      </c>
      <c r="AV9" s="9">
        <f t="shared" si="5"/>
        <v>1</v>
      </c>
      <c r="AW9" s="9">
        <f ca="1">IFERROR(VLOOKUP(AQ9,TarifaMedia!$C$22:$G$23,5,0),0)</f>
        <v>1</v>
      </c>
      <c r="AX9" s="15">
        <f ca="1">'TUSD BE'!$AM9+'TUSD BF'!$AM9+'TUSD CVA'!$AM9</f>
        <v>38.604681932065752</v>
      </c>
      <c r="AY9" s="9">
        <v>32.35</v>
      </c>
      <c r="AZ9" s="9">
        <f t="shared" ca="1" si="6"/>
        <v>-6.2546819320657505</v>
      </c>
      <c r="BC9" s="87" t="s">
        <v>819</v>
      </c>
    </row>
    <row r="10" spans="1:55" ht="11.25" customHeight="1" x14ac:dyDescent="0.3">
      <c r="A10" s="146"/>
      <c r="B10" s="146"/>
      <c r="C10" s="146"/>
      <c r="D10" s="146"/>
      <c r="E10" s="146"/>
      <c r="F10" s="146"/>
      <c r="G10" s="24" t="s">
        <v>83</v>
      </c>
      <c r="H10" s="24" t="s">
        <v>81</v>
      </c>
      <c r="I10" s="24">
        <f>'MERCADO TUSD'!$U$7</f>
        <v>79182</v>
      </c>
      <c r="J10" s="15"/>
      <c r="L10" s="13">
        <f>'TUSD BE'!$L$10*'TUSD BE'!$L$62</f>
        <v>0</v>
      </c>
      <c r="M10" s="13">
        <f>'TUSD BE'!$M$10*'TUSD BE'!$M$62</f>
        <v>0</v>
      </c>
      <c r="N10" s="13">
        <f ca="1">'TUSD BE'!$N$10*'TUSD BE'!$N$62</f>
        <v>0</v>
      </c>
      <c r="O10" s="13">
        <f>'TUSD BE'!$O$10*'TUSD BE'!$O$62</f>
        <v>0</v>
      </c>
      <c r="P10" s="13">
        <f>'TUSD BE'!$P$10*'TUSD BE'!$P$62</f>
        <v>0</v>
      </c>
      <c r="Q10" s="13">
        <f>'TUSD BE'!$Q$10*'TUSD BE'!$Q$62</f>
        <v>0</v>
      </c>
      <c r="R10" s="13">
        <f>'TUSD BE'!$R$10*'TUSD BE'!$R$62</f>
        <v>0</v>
      </c>
      <c r="S10" s="13">
        <f>'TUSD BE'!$R$10*'TUSD BE'!$S$62</f>
        <v>0</v>
      </c>
      <c r="T10" s="13">
        <f ca="1">SUM($L$10:$S$10)</f>
        <v>0</v>
      </c>
      <c r="U10" s="13">
        <f>'TUSD BE'!$U$10*'TUSD BE'!$U$62</f>
        <v>0</v>
      </c>
      <c r="V10" s="13">
        <f>'TUSD BE'!$V$10*'TUSD BE'!$V$62</f>
        <v>0</v>
      </c>
      <c r="W10" s="13">
        <f>'TUSD BE'!$W$10*'TUSD BE'!$W$62</f>
        <v>0</v>
      </c>
      <c r="X10" s="13">
        <f>'TUSD BE'!$X$10*'TUSD BE'!$X$62</f>
        <v>0</v>
      </c>
      <c r="Y10" s="13">
        <f>'TUSD BE'!$Y$10*'TUSD BE'!$Y$62</f>
        <v>1.127912573995596</v>
      </c>
      <c r="Z10" s="13">
        <f>'TUSD BE'!$Z$10*'TUSD BE'!$Z$62</f>
        <v>0</v>
      </c>
      <c r="AA10" s="13">
        <f>'TUSD BE'!$AA$10*'TUSD BE'!$AA$62</f>
        <v>0</v>
      </c>
      <c r="AB10" s="13">
        <f>SUM($U$10:$AA$10)</f>
        <v>1.127912573995596</v>
      </c>
      <c r="AC10" s="13">
        <f>'TUSD BE'!$AC$10*'TUSD BE'!$AC$62</f>
        <v>3.4141879435114895E-4</v>
      </c>
      <c r="AD10" s="13">
        <f>SUM($AC$10:$AC$10)</f>
        <v>3.4141879435114895E-4</v>
      </c>
      <c r="AE10" s="13">
        <f ca="1">$AO$10*$AO$59</f>
        <v>-0.92068565249466261</v>
      </c>
      <c r="AF10" s="13">
        <f ca="1">$AP$10*$AP$59</f>
        <v>0</v>
      </c>
      <c r="AG10" s="13">
        <f ca="1">SUM($AE$10:$AF$10)</f>
        <v>-0.92068565249466261</v>
      </c>
      <c r="AH10" s="13">
        <f>'TUSD BE'!$AH$10*'TUSD BE'!$AH$62</f>
        <v>0</v>
      </c>
      <c r="AI10" s="13">
        <f>'TUSD BE'!$AI$10*'TUSD BE'!$AI$62</f>
        <v>0</v>
      </c>
      <c r="AJ10" s="13">
        <f ca="1">'TUSD BE'!$AJ$10*'TUSD BE'!$AJ$62</f>
        <v>0</v>
      </c>
      <c r="AK10" s="13">
        <f ca="1">'TUSD BE'!$AK$10*'TUSD BE'!$AK$62</f>
        <v>0</v>
      </c>
      <c r="AL10" s="13">
        <f ca="1">SUM($AH$10:$AK$10)</f>
        <v>0</v>
      </c>
      <c r="AM10" s="13">
        <f ca="1">SUMIF($L$4:$AL$4,"SUBTOTAL",$L$10:$AL$10)+AZ10</f>
        <v>-7.7963186831025704</v>
      </c>
      <c r="AO10" s="26">
        <f ca="1">+'TUSD BE'!$T$10+'TUSD BE'!$AB$10+'TUSD BE'!$AD$10+'TUSD BE'!$AL$10</f>
        <v>23.43631868310257</v>
      </c>
      <c r="AP10" s="26">
        <f ca="1">+'TUSD BE'!$T$10+'TUSD BE'!$AB$10+'TUSD BE'!$AD$10+'TUSD BE'!$AL$10</f>
        <v>23.43631868310257</v>
      </c>
      <c r="AQ10" s="9" t="str">
        <f t="shared" si="0"/>
        <v>A4</v>
      </c>
      <c r="AR10" s="9" t="str">
        <f t="shared" si="1"/>
        <v>Azul</v>
      </c>
      <c r="AS10" s="9" t="str">
        <f t="shared" si="2"/>
        <v>Não se aplica</v>
      </c>
      <c r="AT10" s="9" t="str">
        <f t="shared" si="3"/>
        <v>Não se aplica</v>
      </c>
      <c r="AU10" s="9" t="str">
        <f t="shared" si="4"/>
        <v>Não se aplica</v>
      </c>
      <c r="AV10" s="9">
        <f t="shared" si="5"/>
        <v>1</v>
      </c>
      <c r="AW10" s="9">
        <f ca="1">IFERROR(VLOOKUP(AQ10,TarifaMedia!$C$22:$G$23,5,0),0)</f>
        <v>1</v>
      </c>
      <c r="AX10" s="15">
        <f ca="1">'TUSD BE'!$AM10+'TUSD BF'!$AM10+'TUSD CVA'!$AM10</f>
        <v>23.643887023397856</v>
      </c>
      <c r="AY10" s="9">
        <v>15.64</v>
      </c>
      <c r="AZ10" s="9">
        <f t="shared" ca="1" si="6"/>
        <v>-8.003887023397855</v>
      </c>
      <c r="BC10" s="87" t="s">
        <v>820</v>
      </c>
    </row>
    <row r="11" spans="1:55" ht="11.25" customHeight="1" x14ac:dyDescent="0.3">
      <c r="A11" s="146"/>
      <c r="B11" s="146"/>
      <c r="C11" s="146"/>
      <c r="D11" s="146"/>
      <c r="E11" s="146"/>
      <c r="F11" s="146"/>
      <c r="G11" s="24" t="s">
        <v>84</v>
      </c>
      <c r="H11" s="24" t="s">
        <v>78</v>
      </c>
      <c r="I11" s="24">
        <f>'MERCADO TUSD'!$U$8</f>
        <v>33099.82804</v>
      </c>
      <c r="J11" s="15"/>
      <c r="L11" s="13">
        <f>'TUSD BE'!$L$11*'TUSD BE'!$L$62</f>
        <v>9.7292264148817448E-2</v>
      </c>
      <c r="M11" s="13">
        <f>'TUSD BE'!$M$11*'TUSD BE'!$M$62</f>
        <v>7.0988547704970966E-3</v>
      </c>
      <c r="N11" s="13">
        <f ca="1">'TUSD BE'!$N$11*'TUSD BE'!$N$62</f>
        <v>1.7977832501732532E-7</v>
      </c>
      <c r="O11" s="13">
        <f>'TUSD BE'!$O$11*'TUSD BE'!$O$62</f>
        <v>0</v>
      </c>
      <c r="P11" s="13">
        <f>'TUSD BE'!$P$11*'TUSD BE'!$P$62</f>
        <v>0</v>
      </c>
      <c r="Q11" s="13">
        <f>'TUSD BE'!$Q$11*'TUSD BE'!$Q$62</f>
        <v>3.3533573887806027</v>
      </c>
      <c r="R11" s="13">
        <f>'TUSD BE'!$R$11*'TUSD BE'!$R$62</f>
        <v>0.46136832062853605</v>
      </c>
      <c r="S11" s="13">
        <f>'TUSD BE'!$R$11*'TUSD BE'!$S$62</f>
        <v>0</v>
      </c>
      <c r="T11" s="13">
        <f ca="1">SUM($L$11:$S$11)</f>
        <v>3.9191170081067783</v>
      </c>
      <c r="U11" s="13">
        <f>'TUSD BE'!$U$11*'TUSD BE'!$U$62</f>
        <v>0</v>
      </c>
      <c r="V11" s="13">
        <f>'TUSD BE'!$V$11*'TUSD BE'!$V$62</f>
        <v>0</v>
      </c>
      <c r="W11" s="13">
        <f>'TUSD BE'!$W$11*'TUSD BE'!$W$62</f>
        <v>0</v>
      </c>
      <c r="X11" s="13">
        <f>'TUSD BE'!$X$11*'TUSD BE'!$X$62</f>
        <v>0</v>
      </c>
      <c r="Y11" s="13">
        <f>'TUSD BE'!$Y$11*'TUSD BE'!$Y$62</f>
        <v>0</v>
      </c>
      <c r="Z11" s="13">
        <f>'TUSD BE'!$Z$11*'TUSD BE'!$Z$62</f>
        <v>0</v>
      </c>
      <c r="AA11" s="13">
        <f>'TUSD BE'!$AA$11*'TUSD BE'!$AA$62</f>
        <v>0</v>
      </c>
      <c r="AB11" s="13">
        <f>SUM($U$11:$AA$11)</f>
        <v>0</v>
      </c>
      <c r="AC11" s="13">
        <f>'TUSD BE'!$AC$11*'TUSD BE'!$AC$62</f>
        <v>0</v>
      </c>
      <c r="AD11" s="13">
        <f>SUM($AC$11:$AC$11)</f>
        <v>0</v>
      </c>
      <c r="AE11" s="13">
        <f ca="1">$AO$11*$AO$59</f>
        <v>-4.452642629207725</v>
      </c>
      <c r="AF11" s="13">
        <f ca="1">$AP$11*$AP$59</f>
        <v>0</v>
      </c>
      <c r="AG11" s="13">
        <f ca="1">SUM($AE$11:$AF$11)</f>
        <v>-4.452642629207725</v>
      </c>
      <c r="AH11" s="13">
        <f>'TUSD BE'!$AH$11*'TUSD BE'!$AH$62</f>
        <v>3.4806896491174334E-2</v>
      </c>
      <c r="AI11" s="13">
        <f>'TUSD BE'!$AI$11*'TUSD BE'!$AI$62</f>
        <v>0</v>
      </c>
      <c r="AJ11" s="13">
        <f ca="1">'TUSD BE'!$AJ$11*'TUSD BE'!$AJ$62</f>
        <v>3.6248768574563997E-3</v>
      </c>
      <c r="AK11" s="13">
        <f ca="1">'TUSD BE'!$AK$11*'TUSD BE'!$AK$62</f>
        <v>8.8998670552975587E-3</v>
      </c>
      <c r="AL11" s="13">
        <f ca="1">SUM($AH$11:$AK$11)</f>
        <v>4.7331640403928288E-2</v>
      </c>
      <c r="AM11" s="13">
        <f ca="1">SUMIF($L$4:$AL$4,"SUBTOTAL",$L$11:$AL$11)+AZ11</f>
        <v>-14.22587339957685</v>
      </c>
      <c r="AO11" s="26">
        <f ca="1">+'TUSD BE'!$T$11+'TUSD BE'!$AB$11+'TUSD BE'!$AD$11+'TUSD BE'!$AL$11</f>
        <v>113.34330165494234</v>
      </c>
      <c r="AP11" s="26">
        <f ca="1">+'TUSD BE'!$T$11+'TUSD BE'!$AB$11+'TUSD BE'!$AD$11+'TUSD BE'!$AL$11</f>
        <v>113.34330165494234</v>
      </c>
      <c r="AQ11" s="9" t="str">
        <f t="shared" si="0"/>
        <v>A4</v>
      </c>
      <c r="AR11" s="9" t="str">
        <f t="shared" si="1"/>
        <v>Azul</v>
      </c>
      <c r="AS11" s="9" t="str">
        <f t="shared" si="2"/>
        <v>Não se aplica</v>
      </c>
      <c r="AT11" s="9" t="str">
        <f t="shared" si="3"/>
        <v>Não se aplica</v>
      </c>
      <c r="AU11" s="9" t="str">
        <f t="shared" si="4"/>
        <v>Não se aplica</v>
      </c>
      <c r="AV11" s="9">
        <f t="shared" si="5"/>
        <v>1</v>
      </c>
      <c r="AW11" s="9">
        <f ca="1">IFERROR(VLOOKUP(AQ11,TarifaMedia!$C$22:$G$23,5,0),0)</f>
        <v>1</v>
      </c>
      <c r="AX11" s="15">
        <f ca="1">'TUSD BE'!$AM11+'TUSD BF'!$AM11+'TUSD CVA'!$AM11</f>
        <v>139.98967941887983</v>
      </c>
      <c r="AY11" s="9">
        <v>126.25</v>
      </c>
      <c r="AZ11" s="9">
        <f t="shared" ca="1" si="6"/>
        <v>-13.739679418879831</v>
      </c>
      <c r="BC11" s="87" t="s">
        <v>821</v>
      </c>
    </row>
    <row r="12" spans="1:55" ht="11.25" customHeight="1" x14ac:dyDescent="0.3">
      <c r="A12" s="146"/>
      <c r="B12" s="146"/>
      <c r="C12" s="146"/>
      <c r="D12" s="146"/>
      <c r="E12" s="23" t="s">
        <v>85</v>
      </c>
      <c r="F12" s="23" t="s">
        <v>25</v>
      </c>
      <c r="G12" s="24" t="s">
        <v>84</v>
      </c>
      <c r="H12" s="24" t="s">
        <v>78</v>
      </c>
      <c r="I12" s="24">
        <f>'MERCADO TUSD'!$U$9</f>
        <v>0</v>
      </c>
      <c r="J12" s="15"/>
      <c r="L12" s="13">
        <f>'TUSD BE'!$L$12*'TUSD BE'!$L$62</f>
        <v>0</v>
      </c>
      <c r="M12" s="13">
        <f>'TUSD BE'!$M$12*'TUSD BE'!$M$62</f>
        <v>7.0988547704970966E-3</v>
      </c>
      <c r="N12" s="13">
        <f ca="1">'TUSD BE'!$N$12*'TUSD BE'!$N$62</f>
        <v>1.7120821138022584E-7</v>
      </c>
      <c r="O12" s="13">
        <f>'TUSD BE'!$O$12*'TUSD BE'!$O$62</f>
        <v>0</v>
      </c>
      <c r="P12" s="13">
        <f>'TUSD BE'!$P$12*'TUSD BE'!$P$62</f>
        <v>0</v>
      </c>
      <c r="Q12" s="13">
        <f>'TUSD BE'!$Q$12*'TUSD BE'!$Q$62</f>
        <v>0</v>
      </c>
      <c r="R12" s="13">
        <f>'TUSD BE'!$R$12*'TUSD BE'!$R$62</f>
        <v>0</v>
      </c>
      <c r="S12" s="13">
        <f>'TUSD BE'!$R$12*'TUSD BE'!$S$62</f>
        <v>0</v>
      </c>
      <c r="T12" s="13">
        <f ca="1">SUM($L$12:$S$12)</f>
        <v>7.0990259787084772E-3</v>
      </c>
      <c r="U12" s="13">
        <f>'TUSD BE'!$U$12*'TUSD BE'!$U$62</f>
        <v>0</v>
      </c>
      <c r="V12" s="13">
        <f>'TUSD BE'!$V$12*'TUSD BE'!$V$62</f>
        <v>0</v>
      </c>
      <c r="W12" s="13">
        <f>'TUSD BE'!$W$12*'TUSD BE'!$W$62</f>
        <v>0</v>
      </c>
      <c r="X12" s="13">
        <f>'TUSD BE'!$X$12*'TUSD BE'!$X$62</f>
        <v>0</v>
      </c>
      <c r="Y12" s="13">
        <f>'TUSD BE'!$Y$12*'TUSD BE'!$Y$62</f>
        <v>0</v>
      </c>
      <c r="Z12" s="13">
        <f>'TUSD BE'!$Z$12*'TUSD BE'!$Z$62</f>
        <v>0</v>
      </c>
      <c r="AA12" s="13">
        <f>'TUSD BE'!$AA$12*'TUSD BE'!$AA$62</f>
        <v>0</v>
      </c>
      <c r="AB12" s="13">
        <f>SUM($U$12:$AA$12)</f>
        <v>0</v>
      </c>
      <c r="AC12" s="13">
        <f>'TUSD BE'!$AC$12*'TUSD BE'!$AC$62</f>
        <v>0</v>
      </c>
      <c r="AD12" s="13">
        <f>SUM($AC$12:$AC$12)</f>
        <v>0</v>
      </c>
      <c r="AE12" s="13">
        <f ca="1">$AO$12*$AO$59</f>
        <v>-0.37562647414091088</v>
      </c>
      <c r="AF12" s="13">
        <f ca="1">$AP$12*$AP$59</f>
        <v>0</v>
      </c>
      <c r="AG12" s="13">
        <f ca="1">SUM($AE$12:$AF$12)</f>
        <v>-0.37562647414091088</v>
      </c>
      <c r="AH12" s="13">
        <f>'TUSD BE'!$AH$12*'TUSD BE'!$AH$62</f>
        <v>3.4806896491174334E-2</v>
      </c>
      <c r="AI12" s="13">
        <f>'TUSD BE'!$AI$12*'TUSD BE'!$AI$62</f>
        <v>0</v>
      </c>
      <c r="AJ12" s="13">
        <f ca="1">'TUSD BE'!$AJ$12*'TUSD BE'!$AJ$62</f>
        <v>3.6248768574563997E-3</v>
      </c>
      <c r="AK12" s="13">
        <f ca="1">'TUSD BE'!$AK$12*'TUSD BE'!$AK$62</f>
        <v>8.8998670552975587E-3</v>
      </c>
      <c r="AL12" s="13">
        <f ca="1">SUM($AH$12:$AK$12)</f>
        <v>4.7331640403928288E-2</v>
      </c>
      <c r="AM12" s="13">
        <f ca="1">SUMIF($L$4:$AL$4,"SUBTOTAL",$L$12:$AL$12)+AZ12</f>
        <v>10.965513587162679</v>
      </c>
      <c r="AO12" s="26">
        <f ca="1">+'TUSD BE'!$T$12+'TUSD BE'!$AB$12+'TUSD BE'!$AD$12+'TUSD BE'!$AL$12</f>
        <v>9.5616801781622289</v>
      </c>
      <c r="AP12" s="26">
        <f ca="1">+'TUSD BE'!$T$12+'TUSD BE'!$AB$12+'TUSD BE'!$AD$12+'TUSD BE'!$AL$12</f>
        <v>9.5616801781622289</v>
      </c>
      <c r="AQ12" s="9" t="str">
        <f t="shared" si="0"/>
        <v>A4</v>
      </c>
      <c r="AR12" s="9" t="str">
        <f t="shared" si="1"/>
        <v>Azul</v>
      </c>
      <c r="AS12" s="9" t="str">
        <f t="shared" si="2"/>
        <v>Não se aplica</v>
      </c>
      <c r="AT12" s="9" t="str">
        <f t="shared" si="3"/>
        <v>Não se aplica</v>
      </c>
      <c r="AU12" s="9" t="str">
        <f t="shared" si="4"/>
        <v>APE</v>
      </c>
      <c r="AV12" s="9">
        <f t="shared" si="5"/>
        <v>1</v>
      </c>
      <c r="AW12" s="9">
        <f ca="1">IFERROR(VLOOKUP(AQ12,TarifaMedia!$C$22:$G$23,5,0),0)</f>
        <v>1</v>
      </c>
      <c r="AX12" s="15">
        <f ca="1">'TUSD BE'!$AM12+'TUSD BF'!$AM12+'TUSD CVA'!$AM12</f>
        <v>9.2032906050790455</v>
      </c>
      <c r="AY12" s="9">
        <v>20.49</v>
      </c>
      <c r="AZ12" s="9">
        <f t="shared" ca="1" si="6"/>
        <v>11.286709394920953</v>
      </c>
      <c r="BC12" s="87" t="s">
        <v>822</v>
      </c>
    </row>
    <row r="13" spans="1:55" ht="11.25" customHeight="1" x14ac:dyDescent="0.3">
      <c r="A13" s="146"/>
      <c r="B13" s="23" t="s">
        <v>57</v>
      </c>
      <c r="C13" s="23" t="s">
        <v>25</v>
      </c>
      <c r="D13" s="23" t="s">
        <v>25</v>
      </c>
      <c r="E13" s="23" t="s">
        <v>25</v>
      </c>
      <c r="F13" s="23" t="s">
        <v>25</v>
      </c>
      <c r="G13" s="24" t="s">
        <v>9</v>
      </c>
      <c r="H13" s="24" t="s">
        <v>81</v>
      </c>
      <c r="I13" s="24">
        <f>'MERCADO TUSD'!$U$10</f>
        <v>33000</v>
      </c>
      <c r="J13" s="15"/>
      <c r="L13" s="13">
        <f>'TUSD BE'!$L$13*'TUSD BE'!$L$62</f>
        <v>0</v>
      </c>
      <c r="M13" s="13">
        <f>'TUSD BE'!$M$13*'TUSD BE'!$M$62</f>
        <v>1.0752217335830664E-3</v>
      </c>
      <c r="N13" s="13">
        <f ca="1">'TUSD BE'!$N$13*'TUSD BE'!$N$62</f>
        <v>6.5389967051068944E-8</v>
      </c>
      <c r="O13" s="13">
        <f>'TUSD BE'!$O$13*'TUSD BE'!$O$62</f>
        <v>0</v>
      </c>
      <c r="P13" s="13">
        <f>'TUSD BE'!$P$13*'TUSD BE'!$P$62</f>
        <v>0</v>
      </c>
      <c r="Q13" s="13">
        <f>'TUSD BE'!$Q$13*'TUSD BE'!$Q$62</f>
        <v>0</v>
      </c>
      <c r="R13" s="13">
        <f>'TUSD BE'!$R$13*'TUSD BE'!$R$62</f>
        <v>0</v>
      </c>
      <c r="S13" s="13">
        <f>'TUSD BE'!$R$13*'TUSD BE'!$S$62</f>
        <v>0</v>
      </c>
      <c r="T13" s="13">
        <f ca="1">SUM($L$13:$S$13)</f>
        <v>1.0752871235501175E-3</v>
      </c>
      <c r="U13" s="13">
        <f>'TUSD BE'!$U$13*'TUSD BE'!$U$62</f>
        <v>0</v>
      </c>
      <c r="V13" s="13">
        <f>'TUSD BE'!$V$13*'TUSD BE'!$V$62</f>
        <v>0</v>
      </c>
      <c r="W13" s="13">
        <f>'TUSD BE'!$W$13*'TUSD BE'!$W$62</f>
        <v>0</v>
      </c>
      <c r="X13" s="13">
        <f>'TUSD BE'!$X$13*'TUSD BE'!$X$62</f>
        <v>0</v>
      </c>
      <c r="Y13" s="13">
        <f>'TUSD BE'!$Y$13*'TUSD BE'!$Y$62</f>
        <v>0</v>
      </c>
      <c r="Z13" s="13">
        <f>'TUSD BE'!$Z$13*'TUSD BE'!$Z$62</f>
        <v>0</v>
      </c>
      <c r="AA13" s="13">
        <f>'TUSD BE'!$AA$13*'TUSD BE'!$AA$62</f>
        <v>0</v>
      </c>
      <c r="AB13" s="13">
        <f>SUM($U$13:$AA$13)</f>
        <v>0</v>
      </c>
      <c r="AC13" s="13">
        <f>'TUSD BE'!$AC$13*'TUSD BE'!$AC$62</f>
        <v>3.4142328818194005E-4</v>
      </c>
      <c r="AD13" s="13">
        <f>SUM($AC$13:$AC$13)</f>
        <v>3.4142328818194005E-4</v>
      </c>
      <c r="AE13" s="13">
        <f ca="1">$AO$13*$AO$59</f>
        <v>-0.33891534852056121</v>
      </c>
      <c r="AF13" s="13">
        <f ca="1">$AP$13*$AP$59</f>
        <v>0</v>
      </c>
      <c r="AG13" s="13">
        <f ca="1">SUM($AE$13:$AF$13)</f>
        <v>-0.33891534852056121</v>
      </c>
      <c r="AH13" s="13">
        <f>'TUSD BE'!$AH$13*'TUSD BE'!$AH$62</f>
        <v>9.3456604440411593E-6</v>
      </c>
      <c r="AI13" s="13">
        <f>'TUSD BE'!$AI$13*'TUSD BE'!$AI$62</f>
        <v>0</v>
      </c>
      <c r="AJ13" s="13">
        <f ca="1">'TUSD BE'!$AJ$13*'TUSD BE'!$AJ$62</f>
        <v>0</v>
      </c>
      <c r="AK13" s="13">
        <f ca="1">'TUSD BE'!$AK$13*'TUSD BE'!$AK$62</f>
        <v>0</v>
      </c>
      <c r="AL13" s="13">
        <f ca="1">SUM($AH$13:$AK$13)</f>
        <v>9.3456604440411593E-6</v>
      </c>
      <c r="AM13" s="13">
        <f ca="1">SUMIF($L$4:$AL$4,"SUBTOTAL",$L$13:$AL$13)+AZ13</f>
        <v>-0.3374892924483851</v>
      </c>
      <c r="AO13" s="26">
        <f ca="1">+'TUSD BE'!$T$13+'TUSD BE'!$AB$13+'TUSD BE'!$AD$13+'TUSD BE'!$AL$13</f>
        <v>8.6271878930672212</v>
      </c>
      <c r="AP13" s="26">
        <f ca="1">+'TUSD BE'!$T$13+'TUSD BE'!$AB$13+'TUSD BE'!$AD$13+'TUSD BE'!$AL$13</f>
        <v>8.6271878930672212</v>
      </c>
      <c r="AQ13" s="9" t="str">
        <f t="shared" si="0"/>
        <v>A4</v>
      </c>
      <c r="AR13" s="9" t="str">
        <f t="shared" si="1"/>
        <v>Geração</v>
      </c>
      <c r="AS13" s="9" t="str">
        <f t="shared" si="2"/>
        <v>Não se aplica</v>
      </c>
      <c r="AT13" s="9" t="str">
        <f t="shared" si="3"/>
        <v>Não se aplica</v>
      </c>
      <c r="AU13" s="9" t="str">
        <f t="shared" si="4"/>
        <v>Não se aplica</v>
      </c>
      <c r="AV13" s="9">
        <f t="shared" si="5"/>
        <v>0</v>
      </c>
      <c r="AW13" s="9">
        <f ca="1">IFERROR(VLOOKUP(AQ13,TarifaMedia!$C$22:$G$23,5,0),0)</f>
        <v>1</v>
      </c>
      <c r="AX13" s="15">
        <f ca="1">'TUSD BE'!$AM13+'TUSD BF'!$AM13+'TUSD CVA'!$AM13</f>
        <v>8.2896895560114423</v>
      </c>
      <c r="AY13" s="9">
        <v>3.46</v>
      </c>
      <c r="AZ13" s="9">
        <f t="shared" ca="1" si="6"/>
        <v>0</v>
      </c>
      <c r="BC13" s="87" t="s">
        <v>823</v>
      </c>
    </row>
    <row r="14" spans="1:55" ht="11.25" customHeight="1" x14ac:dyDescent="0.3">
      <c r="A14" s="146"/>
      <c r="B14" s="146" t="s">
        <v>35</v>
      </c>
      <c r="C14" s="146" t="s">
        <v>25</v>
      </c>
      <c r="D14" s="146" t="s">
        <v>25</v>
      </c>
      <c r="E14" s="146" t="s">
        <v>25</v>
      </c>
      <c r="F14" s="146" t="s">
        <v>25</v>
      </c>
      <c r="G14" s="24" t="s">
        <v>9</v>
      </c>
      <c r="H14" s="24" t="s">
        <v>81</v>
      </c>
      <c r="I14" s="24">
        <f>'MERCADO TUSD'!$U$11</f>
        <v>161517.14000000001</v>
      </c>
      <c r="J14" s="15"/>
      <c r="L14" s="13">
        <f>'TUSD BE'!$L$14*'TUSD BE'!$L$62</f>
        <v>0</v>
      </c>
      <c r="M14" s="13">
        <f>'TUSD BE'!$M$14*'TUSD BE'!$M$62</f>
        <v>0</v>
      </c>
      <c r="N14" s="13">
        <f ca="1">'TUSD BE'!$N$14*'TUSD BE'!$N$62</f>
        <v>0</v>
      </c>
      <c r="O14" s="13">
        <f>'TUSD BE'!$O$14*'TUSD BE'!$O$62</f>
        <v>0</v>
      </c>
      <c r="P14" s="13">
        <f>'TUSD BE'!$P$14*'TUSD BE'!$P$62</f>
        <v>0</v>
      </c>
      <c r="Q14" s="13">
        <f>'TUSD BE'!$Q$14*'TUSD BE'!$Q$62</f>
        <v>0</v>
      </c>
      <c r="R14" s="13">
        <f>'TUSD BE'!$R$14*'TUSD BE'!$R$62</f>
        <v>0</v>
      </c>
      <c r="S14" s="13">
        <f>'TUSD BE'!$R$14*'TUSD BE'!$S$62</f>
        <v>0</v>
      </c>
      <c r="T14" s="13">
        <f ca="1">SUM($L$14:$S$14)</f>
        <v>0</v>
      </c>
      <c r="U14" s="13">
        <f>'TUSD BE'!$U$14*'TUSD BE'!$U$62</f>
        <v>0</v>
      </c>
      <c r="V14" s="13">
        <f>'TUSD BE'!$V$14*'TUSD BE'!$V$62</f>
        <v>0</v>
      </c>
      <c r="W14" s="13">
        <f>'TUSD BE'!$W$14*'TUSD BE'!$W$62</f>
        <v>0</v>
      </c>
      <c r="X14" s="13">
        <f>'TUSD BE'!$X$14*'TUSD BE'!$X$62</f>
        <v>0</v>
      </c>
      <c r="Y14" s="13">
        <f>'TUSD BE'!$Y$14*'TUSD BE'!$Y$62</f>
        <v>1.127912573995596</v>
      </c>
      <c r="Z14" s="13">
        <f>'TUSD BE'!$Z$14*'TUSD BE'!$Z$62</f>
        <v>0</v>
      </c>
      <c r="AA14" s="13">
        <f>'TUSD BE'!$AA$14*'TUSD BE'!$AA$62</f>
        <v>0</v>
      </c>
      <c r="AB14" s="13">
        <f>SUM($U$14:$AA$14)</f>
        <v>1.127912573995596</v>
      </c>
      <c r="AC14" s="13">
        <f>'TUSD BE'!$AC$14*'TUSD BE'!$AC$62</f>
        <v>3.4141879435114895E-4</v>
      </c>
      <c r="AD14" s="13">
        <f>SUM($AC$14:$AC$14)</f>
        <v>3.4141879435114895E-4</v>
      </c>
      <c r="AE14" s="13">
        <f ca="1">$AO$14*$AO$59</f>
        <v>-0.92068565249466261</v>
      </c>
      <c r="AF14" s="13">
        <f ca="1">$AP$14*$AP$59</f>
        <v>0</v>
      </c>
      <c r="AG14" s="13">
        <f ca="1">SUM($AE$14:$AF$14)</f>
        <v>-0.92068565249466261</v>
      </c>
      <c r="AH14" s="13">
        <f>'TUSD BE'!$AH$14*'TUSD BE'!$AH$62</f>
        <v>0</v>
      </c>
      <c r="AI14" s="13">
        <f>'TUSD BE'!$AI$14*'TUSD BE'!$AI$62</f>
        <v>0</v>
      </c>
      <c r="AJ14" s="13">
        <f ca="1">'TUSD BE'!$AJ$14*'TUSD BE'!$AJ$62</f>
        <v>0</v>
      </c>
      <c r="AK14" s="13">
        <f ca="1">'TUSD BE'!$AK$14*'TUSD BE'!$AK$62</f>
        <v>0</v>
      </c>
      <c r="AL14" s="13">
        <f ca="1">SUM($AH$14:$AK$14)</f>
        <v>0</v>
      </c>
      <c r="AM14" s="13">
        <f ca="1">SUMIF($L$4:$AL$4,"SUBTOTAL",$L$14:$AL$14)+AZ14</f>
        <v>-7.7963186831025704</v>
      </c>
      <c r="AO14" s="26">
        <f ca="1">+'TUSD BE'!$T$14+'TUSD BE'!$AB$14+'TUSD BE'!$AD$14+'TUSD BE'!$AL$14</f>
        <v>23.43631868310257</v>
      </c>
      <c r="AP14" s="26">
        <f ca="1">+'TUSD BE'!$T$14+'TUSD BE'!$AB$14+'TUSD BE'!$AD$14+'TUSD BE'!$AL$14</f>
        <v>23.43631868310257</v>
      </c>
      <c r="AQ14" s="9" t="str">
        <f t="shared" si="0"/>
        <v>A4</v>
      </c>
      <c r="AR14" s="9" t="str">
        <f t="shared" si="1"/>
        <v>Verde</v>
      </c>
      <c r="AS14" s="9" t="str">
        <f t="shared" si="2"/>
        <v>Não se aplica</v>
      </c>
      <c r="AT14" s="9" t="str">
        <f t="shared" si="3"/>
        <v>Não se aplica</v>
      </c>
      <c r="AU14" s="9" t="str">
        <f t="shared" si="4"/>
        <v>Não se aplica</v>
      </c>
      <c r="AV14" s="9">
        <f t="shared" si="5"/>
        <v>1</v>
      </c>
      <c r="AW14" s="9">
        <f ca="1">IFERROR(VLOOKUP(AQ14,TarifaMedia!$C$22:$G$23,5,0),0)</f>
        <v>1</v>
      </c>
      <c r="AX14" s="15">
        <f ca="1">'TUSD BE'!$AM14+'TUSD BF'!$AM14+'TUSD CVA'!$AM14</f>
        <v>23.643887023397856</v>
      </c>
      <c r="AY14" s="9">
        <v>15.64</v>
      </c>
      <c r="AZ14" s="9">
        <f t="shared" ca="1" si="6"/>
        <v>-8.003887023397855</v>
      </c>
      <c r="BC14" s="87" t="s">
        <v>824</v>
      </c>
    </row>
    <row r="15" spans="1:55" ht="11.25" customHeight="1" x14ac:dyDescent="0.3">
      <c r="A15" s="146"/>
      <c r="B15" s="146"/>
      <c r="C15" s="146"/>
      <c r="D15" s="146"/>
      <c r="E15" s="146"/>
      <c r="F15" s="146"/>
      <c r="G15" s="24" t="s">
        <v>79</v>
      </c>
      <c r="H15" s="24" t="s">
        <v>78</v>
      </c>
      <c r="I15" s="24">
        <f>'MERCADO TUSD'!$U$12</f>
        <v>3378.5688100000007</v>
      </c>
      <c r="J15" s="15"/>
      <c r="L15" s="13">
        <f>'TUSD BE'!$L$15*'TUSD BE'!$L$62</f>
        <v>9.7292264148817448E-2</v>
      </c>
      <c r="M15" s="13">
        <f>'TUSD BE'!$M$15*'TUSD BE'!$M$62</f>
        <v>7.0988547704970966E-3</v>
      </c>
      <c r="N15" s="13">
        <f ca="1">'TUSD BE'!$N$15*'TUSD BE'!$N$62</f>
        <v>5.4834874205863397E-6</v>
      </c>
      <c r="O15" s="13">
        <f>'TUSD BE'!$O$15*'TUSD BE'!$O$62</f>
        <v>0</v>
      </c>
      <c r="P15" s="13">
        <f>'TUSD BE'!$P$15*'TUSD BE'!$P$62</f>
        <v>0</v>
      </c>
      <c r="Q15" s="13">
        <f>'TUSD BE'!$Q$15*'TUSD BE'!$Q$62</f>
        <v>3.3533573887806027</v>
      </c>
      <c r="R15" s="13">
        <f>'TUSD BE'!$R$15*'TUSD BE'!$R$62</f>
        <v>0.46136832062853605</v>
      </c>
      <c r="S15" s="13">
        <f>'TUSD BE'!$R$15*'TUSD BE'!$S$62</f>
        <v>0</v>
      </c>
      <c r="T15" s="13">
        <f ca="1">SUM($L$15:$S$15)</f>
        <v>3.9191223118158738</v>
      </c>
      <c r="U15" s="13">
        <f>'TUSD BE'!$U$15*'TUSD BE'!$U$62</f>
        <v>0</v>
      </c>
      <c r="V15" s="13">
        <f>'TUSD BE'!$V$15*'TUSD BE'!$V$62</f>
        <v>0</v>
      </c>
      <c r="W15" s="13">
        <f>'TUSD BE'!$W$15*'TUSD BE'!$W$62</f>
        <v>0</v>
      </c>
      <c r="X15" s="13">
        <f>'TUSD BE'!$X$15*'TUSD BE'!$X$62</f>
        <v>0</v>
      </c>
      <c r="Y15" s="13">
        <f>'TUSD BE'!$Y$15*'TUSD BE'!$Y$62</f>
        <v>53.253517629233315</v>
      </c>
      <c r="Z15" s="13">
        <f>'TUSD BE'!$Z$15*'TUSD BE'!$Z$62</f>
        <v>0</v>
      </c>
      <c r="AA15" s="13">
        <f>'TUSD BE'!$AA$15*'TUSD BE'!$AA$62</f>
        <v>0</v>
      </c>
      <c r="AB15" s="13">
        <f>SUM($U$15:$AA$15)</f>
        <v>53.253517629233315</v>
      </c>
      <c r="AC15" s="13">
        <f>'TUSD BE'!$AC$15*'TUSD BE'!$AC$62</f>
        <v>8.211109646110458E-3</v>
      </c>
      <c r="AD15" s="13">
        <f>SUM($AC$15:$AC$15)</f>
        <v>8.211109646110458E-3</v>
      </c>
      <c r="AE15" s="13">
        <f ca="1">$AO$15*$AO$59</f>
        <v>-40.724518252434152</v>
      </c>
      <c r="AF15" s="13">
        <f ca="1">$AP$15*$AP$59</f>
        <v>0</v>
      </c>
      <c r="AG15" s="13">
        <f ca="1">SUM($AE$15:$AF$15)</f>
        <v>-40.724518252434152</v>
      </c>
      <c r="AH15" s="13">
        <f>'TUSD BE'!$AH$15*'TUSD BE'!$AH$62</f>
        <v>3.4806896491174334E-2</v>
      </c>
      <c r="AI15" s="13">
        <f>'TUSD BE'!$AI$15*'TUSD BE'!$AI$62</f>
        <v>0</v>
      </c>
      <c r="AJ15" s="13">
        <f ca="1">'TUSD BE'!$AJ$15*'TUSD BE'!$AJ$62</f>
        <v>3.6248768574563997E-3</v>
      </c>
      <c r="AK15" s="13">
        <f ca="1">'TUSD BE'!$AK$15*'TUSD BE'!$AK$62</f>
        <v>8.8998670552975587E-3</v>
      </c>
      <c r="AL15" s="13">
        <f ca="1">SUM($AH$15:$AK$15)</f>
        <v>4.7331640403928288E-2</v>
      </c>
      <c r="AM15" s="13">
        <f ca="1">SUMIF($L$4:$AL$4,"SUBTOTAL",$L$15:$AL$15)+AZ15</f>
        <v>-151.9469231986528</v>
      </c>
      <c r="AO15" s="26">
        <f ca="1">+'TUSD BE'!$T$15+'TUSD BE'!$AB$15+'TUSD BE'!$AD$15+'TUSD BE'!$AL$15</f>
        <v>1036.6543514540183</v>
      </c>
      <c r="AP15" s="26">
        <f ca="1">+'TUSD BE'!$T$15+'TUSD BE'!$AB$15+'TUSD BE'!$AD$15+'TUSD BE'!$AL$15</f>
        <v>1036.6543514540183</v>
      </c>
      <c r="AQ15" s="9" t="str">
        <f t="shared" si="0"/>
        <v>A4</v>
      </c>
      <c r="AR15" s="9" t="str">
        <f t="shared" si="1"/>
        <v>Verde</v>
      </c>
      <c r="AS15" s="9" t="str">
        <f t="shared" si="2"/>
        <v>Não se aplica</v>
      </c>
      <c r="AT15" s="9" t="str">
        <f t="shared" si="3"/>
        <v>Não se aplica</v>
      </c>
      <c r="AU15" s="9" t="str">
        <f t="shared" si="4"/>
        <v>Não se aplica</v>
      </c>
      <c r="AV15" s="9">
        <f t="shared" si="5"/>
        <v>1</v>
      </c>
      <c r="AW15" s="9">
        <f ca="1">IFERROR(VLOOKUP(AQ15,TarifaMedia!$C$22:$G$23,5,0),0)</f>
        <v>1</v>
      </c>
      <c r="AX15" s="15">
        <f ca="1">'TUSD BE'!$AM15+'TUSD BF'!$AM15+'TUSD CVA'!$AM15</f>
        <v>1080.2905876373179</v>
      </c>
      <c r="AY15" s="9">
        <v>911.84</v>
      </c>
      <c r="AZ15" s="9">
        <f t="shared" ca="1" si="6"/>
        <v>-168.45058763731788</v>
      </c>
      <c r="BC15" s="87" t="s">
        <v>825</v>
      </c>
    </row>
    <row r="16" spans="1:55" ht="11.25" customHeight="1" x14ac:dyDescent="0.3">
      <c r="A16" s="146"/>
      <c r="B16" s="146"/>
      <c r="C16" s="146"/>
      <c r="D16" s="146"/>
      <c r="E16" s="146"/>
      <c r="F16" s="146"/>
      <c r="G16" s="24" t="s">
        <v>80</v>
      </c>
      <c r="H16" s="24" t="s">
        <v>78</v>
      </c>
      <c r="I16" s="24">
        <f>'MERCADO TUSD'!$U$13</f>
        <v>37684.03847</v>
      </c>
      <c r="J16" s="15"/>
      <c r="L16" s="13">
        <f>'TUSD BE'!$L$16*'TUSD BE'!$L$62</f>
        <v>9.7292264148817448E-2</v>
      </c>
      <c r="M16" s="13">
        <f>'TUSD BE'!$M$16*'TUSD BE'!$M$62</f>
        <v>7.0988547704970966E-3</v>
      </c>
      <c r="N16" s="13">
        <f ca="1">'TUSD BE'!$N$16*'TUSD BE'!$N$62</f>
        <v>1.7977832501732532E-7</v>
      </c>
      <c r="O16" s="13">
        <f>'TUSD BE'!$O$16*'TUSD BE'!$O$62</f>
        <v>0</v>
      </c>
      <c r="P16" s="13">
        <f>'TUSD BE'!$P$16*'TUSD BE'!$P$62</f>
        <v>0</v>
      </c>
      <c r="Q16" s="13">
        <f>'TUSD BE'!$Q$16*'TUSD BE'!$Q$62</f>
        <v>3.3533573887806027</v>
      </c>
      <c r="R16" s="13">
        <f>'TUSD BE'!$R$16*'TUSD BE'!$R$62</f>
        <v>0.46136832062853605</v>
      </c>
      <c r="S16" s="13">
        <f>'TUSD BE'!$R$16*'TUSD BE'!$S$62</f>
        <v>0</v>
      </c>
      <c r="T16" s="13">
        <f ca="1">SUM($L$16:$S$16)</f>
        <v>3.9191170081067783</v>
      </c>
      <c r="U16" s="13">
        <f>'TUSD BE'!$U$16*'TUSD BE'!$U$62</f>
        <v>0</v>
      </c>
      <c r="V16" s="13">
        <f>'TUSD BE'!$V$16*'TUSD BE'!$V$62</f>
        <v>0</v>
      </c>
      <c r="W16" s="13">
        <f>'TUSD BE'!$W$16*'TUSD BE'!$W$62</f>
        <v>0</v>
      </c>
      <c r="X16" s="13">
        <f>'TUSD BE'!$X$16*'TUSD BE'!$X$62</f>
        <v>0</v>
      </c>
      <c r="Y16" s="13">
        <f>'TUSD BE'!$Y$16*'TUSD BE'!$Y$62</f>
        <v>0</v>
      </c>
      <c r="Z16" s="13">
        <f>'TUSD BE'!$Z$16*'TUSD BE'!$Z$62</f>
        <v>0</v>
      </c>
      <c r="AA16" s="13">
        <f>'TUSD BE'!$AA$16*'TUSD BE'!$AA$62</f>
        <v>0</v>
      </c>
      <c r="AB16" s="13">
        <f>SUM($U$16:$AA$16)</f>
        <v>0</v>
      </c>
      <c r="AC16" s="13">
        <f>'TUSD BE'!$AC$16*'TUSD BE'!$AC$62</f>
        <v>0</v>
      </c>
      <c r="AD16" s="13">
        <f>SUM($AC$16:$AC$16)</f>
        <v>0</v>
      </c>
      <c r="AE16" s="13">
        <f ca="1">$AO$16*$AO$59</f>
        <v>-4.452642629207725</v>
      </c>
      <c r="AF16" s="13">
        <f ca="1">$AP$16*$AP$59</f>
        <v>0</v>
      </c>
      <c r="AG16" s="13">
        <f ca="1">SUM($AE$16:$AF$16)</f>
        <v>-4.452642629207725</v>
      </c>
      <c r="AH16" s="13">
        <f>'TUSD BE'!$AH$16*'TUSD BE'!$AH$62</f>
        <v>3.4806896491174334E-2</v>
      </c>
      <c r="AI16" s="13">
        <f>'TUSD BE'!$AI$16*'TUSD BE'!$AI$62</f>
        <v>0</v>
      </c>
      <c r="AJ16" s="13">
        <f ca="1">'TUSD BE'!$AJ$16*'TUSD BE'!$AJ$62</f>
        <v>3.6248768574563997E-3</v>
      </c>
      <c r="AK16" s="13">
        <f ca="1">'TUSD BE'!$AK$16*'TUSD BE'!$AK$62</f>
        <v>8.8998670552975587E-3</v>
      </c>
      <c r="AL16" s="13">
        <f ca="1">SUM($AH$16:$AK$16)</f>
        <v>4.7331640403928288E-2</v>
      </c>
      <c r="AM16" s="13">
        <f ca="1">SUMIF($L$4:$AL$4,"SUBTOTAL",$L$16:$AL$16)+AZ16</f>
        <v>-14.22587339957685</v>
      </c>
      <c r="AO16" s="26">
        <f ca="1">+'TUSD BE'!$T$16+'TUSD BE'!$AB$16+'TUSD BE'!$AD$16+'TUSD BE'!$AL$16</f>
        <v>113.34330165494234</v>
      </c>
      <c r="AP16" s="26">
        <f ca="1">+'TUSD BE'!$T$16+'TUSD BE'!$AB$16+'TUSD BE'!$AD$16+'TUSD BE'!$AL$16</f>
        <v>113.34330165494234</v>
      </c>
      <c r="AQ16" s="9" t="str">
        <f t="shared" si="0"/>
        <v>A4</v>
      </c>
      <c r="AR16" s="9" t="str">
        <f t="shared" si="1"/>
        <v>Verde</v>
      </c>
      <c r="AS16" s="9" t="str">
        <f t="shared" si="2"/>
        <v>Não se aplica</v>
      </c>
      <c r="AT16" s="9" t="str">
        <f t="shared" si="3"/>
        <v>Não se aplica</v>
      </c>
      <c r="AU16" s="9" t="str">
        <f t="shared" si="4"/>
        <v>Não se aplica</v>
      </c>
      <c r="AV16" s="9">
        <f t="shared" si="5"/>
        <v>1</v>
      </c>
      <c r="AW16" s="9">
        <f ca="1">IFERROR(VLOOKUP(AQ16,TarifaMedia!$C$22:$G$23,5,0),0)</f>
        <v>1</v>
      </c>
      <c r="AX16" s="15">
        <f ca="1">'TUSD BE'!$AM16+'TUSD BF'!$AM16+'TUSD CVA'!$AM16</f>
        <v>139.98967941887983</v>
      </c>
      <c r="AY16" s="9">
        <v>126.25</v>
      </c>
      <c r="AZ16" s="9">
        <f t="shared" ca="1" si="6"/>
        <v>-13.739679418879831</v>
      </c>
      <c r="BC16" s="87" t="s">
        <v>826</v>
      </c>
    </row>
    <row r="17" spans="1:55" ht="11.25" customHeight="1" x14ac:dyDescent="0.3">
      <c r="A17" s="146"/>
      <c r="B17" s="146"/>
      <c r="C17" s="146"/>
      <c r="D17" s="146"/>
      <c r="E17" s="146" t="s">
        <v>85</v>
      </c>
      <c r="F17" s="146" t="s">
        <v>25</v>
      </c>
      <c r="G17" s="24" t="s">
        <v>79</v>
      </c>
      <c r="H17" s="24" t="s">
        <v>78</v>
      </c>
      <c r="I17" s="24">
        <f>'MERCADO TUSD'!$U$14</f>
        <v>0</v>
      </c>
      <c r="J17" s="15"/>
      <c r="L17" s="13">
        <f>'TUSD BE'!$L$17*'TUSD BE'!$L$62</f>
        <v>0</v>
      </c>
      <c r="M17" s="13">
        <f>'TUSD BE'!$M$17*'TUSD BE'!$M$62</f>
        <v>7.0988547704970966E-3</v>
      </c>
      <c r="N17" s="13">
        <f ca="1">'TUSD BE'!$N$17*'TUSD BE'!$N$62</f>
        <v>5.4749173069492408E-6</v>
      </c>
      <c r="O17" s="13">
        <f>'TUSD BE'!$O$17*'TUSD BE'!$O$62</f>
        <v>0</v>
      </c>
      <c r="P17" s="13">
        <f>'TUSD BE'!$P$17*'TUSD BE'!$P$62</f>
        <v>0</v>
      </c>
      <c r="Q17" s="13">
        <f>'TUSD BE'!$Q$17*'TUSD BE'!$Q$62</f>
        <v>0</v>
      </c>
      <c r="R17" s="13">
        <f>'TUSD BE'!$R$17*'TUSD BE'!$R$62</f>
        <v>0</v>
      </c>
      <c r="S17" s="13">
        <f>'TUSD BE'!$R$17*'TUSD BE'!$S$62</f>
        <v>0</v>
      </c>
      <c r="T17" s="13">
        <f ca="1">SUM($L$17:$S$17)</f>
        <v>7.1043296878040459E-3</v>
      </c>
      <c r="U17" s="13">
        <f>'TUSD BE'!$U$17*'TUSD BE'!$U$62</f>
        <v>0</v>
      </c>
      <c r="V17" s="13">
        <f>'TUSD BE'!$V$17*'TUSD BE'!$V$62</f>
        <v>0</v>
      </c>
      <c r="W17" s="13">
        <f>'TUSD BE'!$W$17*'TUSD BE'!$W$62</f>
        <v>0</v>
      </c>
      <c r="X17" s="13">
        <f>'TUSD BE'!$X$17*'TUSD BE'!$X$62</f>
        <v>0</v>
      </c>
      <c r="Y17" s="13">
        <f>'TUSD BE'!$Y$17*'TUSD BE'!$Y$62</f>
        <v>53.253517629233315</v>
      </c>
      <c r="Z17" s="13">
        <f>'TUSD BE'!$Z$17*'TUSD BE'!$Z$62</f>
        <v>0</v>
      </c>
      <c r="AA17" s="13">
        <f>'TUSD BE'!$AA$17*'TUSD BE'!$AA$62</f>
        <v>0</v>
      </c>
      <c r="AB17" s="13">
        <f>SUM($U$17:$AA$17)</f>
        <v>53.253517629233315</v>
      </c>
      <c r="AC17" s="13">
        <f>'TUSD BE'!$AC$17*'TUSD BE'!$AC$62</f>
        <v>8.211109646110458E-3</v>
      </c>
      <c r="AD17" s="13">
        <f>SUM($AC$17:$AC$17)</f>
        <v>8.211109646110458E-3</v>
      </c>
      <c r="AE17" s="13">
        <f ca="1">$AO$17*$AO$59</f>
        <v>-36.647502097367337</v>
      </c>
      <c r="AF17" s="13">
        <f ca="1">$AP$17*$AP$59</f>
        <v>0</v>
      </c>
      <c r="AG17" s="13">
        <f ca="1">SUM($AE$17:$AF$17)</f>
        <v>-36.647502097367337</v>
      </c>
      <c r="AH17" s="13">
        <f>'TUSD BE'!$AH$17*'TUSD BE'!$AH$62</f>
        <v>3.4806896491174334E-2</v>
      </c>
      <c r="AI17" s="13">
        <f>'TUSD BE'!$AI$17*'TUSD BE'!$AI$62</f>
        <v>0</v>
      </c>
      <c r="AJ17" s="13">
        <f ca="1">'TUSD BE'!$AJ$17*'TUSD BE'!$AJ$62</f>
        <v>3.6248768574563997E-3</v>
      </c>
      <c r="AK17" s="13">
        <f ca="1">'TUSD BE'!$AK$17*'TUSD BE'!$AK$62</f>
        <v>8.8998670552975587E-3</v>
      </c>
      <c r="AL17" s="13">
        <f ca="1">SUM($AH$17:$AK$17)</f>
        <v>4.7331640403928288E-2</v>
      </c>
      <c r="AM17" s="13">
        <f ca="1">SUMIF($L$4:$AL$4,"SUBTOTAL",$L$17:$AL$17)+AZ17</f>
        <v>-126.75553621191321</v>
      </c>
      <c r="AO17" s="26">
        <f ca="1">+'TUSD BE'!$T$17+'TUSD BE'!$AB$17+'TUSD BE'!$AD$17+'TUSD BE'!$AL$17</f>
        <v>932.87272997723812</v>
      </c>
      <c r="AP17" s="26">
        <f ca="1">+'TUSD BE'!$T$17+'TUSD BE'!$AB$17+'TUSD BE'!$AD$17+'TUSD BE'!$AL$17</f>
        <v>932.87272997723812</v>
      </c>
      <c r="AQ17" s="9" t="str">
        <f t="shared" si="0"/>
        <v>A4</v>
      </c>
      <c r="AR17" s="9" t="str">
        <f t="shared" si="1"/>
        <v>Verde</v>
      </c>
      <c r="AS17" s="9" t="str">
        <f t="shared" si="2"/>
        <v>Não se aplica</v>
      </c>
      <c r="AT17" s="9" t="str">
        <f t="shared" si="3"/>
        <v>Não se aplica</v>
      </c>
      <c r="AU17" s="9" t="str">
        <f t="shared" si="4"/>
        <v>APE</v>
      </c>
      <c r="AV17" s="9">
        <f t="shared" si="5"/>
        <v>1</v>
      </c>
      <c r="AW17" s="9">
        <f ca="1">IFERROR(VLOOKUP(AQ17,TarifaMedia!$C$22:$G$23,5,0),0)</f>
        <v>1</v>
      </c>
      <c r="AX17" s="15">
        <f ca="1">'TUSD BE'!$AM17+'TUSD BF'!$AM17+'TUSD CVA'!$AM17</f>
        <v>949.50419882351707</v>
      </c>
      <c r="AY17" s="9">
        <v>806.08</v>
      </c>
      <c r="AZ17" s="9">
        <f t="shared" ca="1" si="6"/>
        <v>-143.42419882351703</v>
      </c>
      <c r="BC17" s="87" t="s">
        <v>827</v>
      </c>
    </row>
    <row r="18" spans="1:55" ht="11.25" customHeight="1" x14ac:dyDescent="0.3">
      <c r="A18" s="146"/>
      <c r="B18" s="146"/>
      <c r="C18" s="146"/>
      <c r="D18" s="146"/>
      <c r="E18" s="146"/>
      <c r="F18" s="146"/>
      <c r="G18" s="24" t="s">
        <v>80</v>
      </c>
      <c r="H18" s="24" t="s">
        <v>78</v>
      </c>
      <c r="I18" s="24">
        <f>'MERCADO TUSD'!$U$15</f>
        <v>0</v>
      </c>
      <c r="J18" s="15"/>
      <c r="L18" s="13">
        <f>'TUSD BE'!$L$18*'TUSD BE'!$L$62</f>
        <v>0</v>
      </c>
      <c r="M18" s="13">
        <f>'TUSD BE'!$M$18*'TUSD BE'!$M$62</f>
        <v>7.0988547704970966E-3</v>
      </c>
      <c r="N18" s="13">
        <f ca="1">'TUSD BE'!$N$18*'TUSD BE'!$N$62</f>
        <v>1.7120821138022584E-7</v>
      </c>
      <c r="O18" s="13">
        <f>'TUSD BE'!$O$18*'TUSD BE'!$O$62</f>
        <v>0</v>
      </c>
      <c r="P18" s="13">
        <f>'TUSD BE'!$P$18*'TUSD BE'!$P$62</f>
        <v>0</v>
      </c>
      <c r="Q18" s="13">
        <f>'TUSD BE'!$Q$18*'TUSD BE'!$Q$62</f>
        <v>0</v>
      </c>
      <c r="R18" s="13">
        <f>'TUSD BE'!$R$18*'TUSD BE'!$R$62</f>
        <v>0</v>
      </c>
      <c r="S18" s="13">
        <f>'TUSD BE'!$R$18*'TUSD BE'!$S$62</f>
        <v>0</v>
      </c>
      <c r="T18" s="13">
        <f ca="1">SUM($L$18:$S$18)</f>
        <v>7.0990259787084772E-3</v>
      </c>
      <c r="U18" s="13">
        <f>'TUSD BE'!$U$18*'TUSD BE'!$U$62</f>
        <v>0</v>
      </c>
      <c r="V18" s="13">
        <f>'TUSD BE'!$V$18*'TUSD BE'!$V$62</f>
        <v>0</v>
      </c>
      <c r="W18" s="13">
        <f>'TUSD BE'!$W$18*'TUSD BE'!$W$62</f>
        <v>0</v>
      </c>
      <c r="X18" s="13">
        <f>'TUSD BE'!$X$18*'TUSD BE'!$X$62</f>
        <v>0</v>
      </c>
      <c r="Y18" s="13">
        <f>'TUSD BE'!$Y$18*'TUSD BE'!$Y$62</f>
        <v>0</v>
      </c>
      <c r="Z18" s="13">
        <f>'TUSD BE'!$Z$18*'TUSD BE'!$Z$62</f>
        <v>0</v>
      </c>
      <c r="AA18" s="13">
        <f>'TUSD BE'!$AA$18*'TUSD BE'!$AA$62</f>
        <v>0</v>
      </c>
      <c r="AB18" s="13">
        <f>SUM($U$18:$AA$18)</f>
        <v>0</v>
      </c>
      <c r="AC18" s="13">
        <f>'TUSD BE'!$AC$18*'TUSD BE'!$AC$62</f>
        <v>0</v>
      </c>
      <c r="AD18" s="13">
        <f>SUM($AC$18:$AC$18)</f>
        <v>0</v>
      </c>
      <c r="AE18" s="13">
        <f ca="1">$AO$18*$AO$59</f>
        <v>-0.37562647414091088</v>
      </c>
      <c r="AF18" s="13">
        <f ca="1">$AP$18*$AP$59</f>
        <v>0</v>
      </c>
      <c r="AG18" s="13">
        <f ca="1">SUM($AE$18:$AF$18)</f>
        <v>-0.37562647414091088</v>
      </c>
      <c r="AH18" s="13">
        <f>'TUSD BE'!$AH$18*'TUSD BE'!$AH$62</f>
        <v>3.4806896491174334E-2</v>
      </c>
      <c r="AI18" s="13">
        <f>'TUSD BE'!$AI$18*'TUSD BE'!$AI$62</f>
        <v>0</v>
      </c>
      <c r="AJ18" s="13">
        <f ca="1">'TUSD BE'!$AJ$18*'TUSD BE'!$AJ$62</f>
        <v>3.6248768574563997E-3</v>
      </c>
      <c r="AK18" s="13">
        <f ca="1">'TUSD BE'!$AK$18*'TUSD BE'!$AK$62</f>
        <v>8.8998670552975587E-3</v>
      </c>
      <c r="AL18" s="13">
        <f ca="1">SUM($AH$18:$AK$18)</f>
        <v>4.7331640403928288E-2</v>
      </c>
      <c r="AM18" s="13">
        <f ca="1">SUMIF($L$4:$AL$4,"SUBTOTAL",$L$18:$AL$18)+AZ18</f>
        <v>10.965513587162679</v>
      </c>
      <c r="AO18" s="26">
        <f ca="1">+'TUSD BE'!$T$18+'TUSD BE'!$AB$18+'TUSD BE'!$AD$18+'TUSD BE'!$AL$18</f>
        <v>9.5616801781622289</v>
      </c>
      <c r="AP18" s="26">
        <f ca="1">+'TUSD BE'!$T$18+'TUSD BE'!$AB$18+'TUSD BE'!$AD$18+'TUSD BE'!$AL$18</f>
        <v>9.5616801781622289</v>
      </c>
      <c r="AQ18" s="9" t="str">
        <f t="shared" si="0"/>
        <v>A4</v>
      </c>
      <c r="AR18" s="9" t="str">
        <f t="shared" si="1"/>
        <v>Verde</v>
      </c>
      <c r="AS18" s="9" t="str">
        <f t="shared" si="2"/>
        <v>Não se aplica</v>
      </c>
      <c r="AT18" s="9" t="str">
        <f t="shared" si="3"/>
        <v>Não se aplica</v>
      </c>
      <c r="AU18" s="9" t="str">
        <f t="shared" si="4"/>
        <v>APE</v>
      </c>
      <c r="AV18" s="9">
        <f t="shared" si="5"/>
        <v>1</v>
      </c>
      <c r="AW18" s="9">
        <f ca="1">IFERROR(VLOOKUP(AQ18,TarifaMedia!$C$22:$G$23,5,0),0)</f>
        <v>1</v>
      </c>
      <c r="AX18" s="15">
        <f ca="1">'TUSD BE'!$AM18+'TUSD BF'!$AM18+'TUSD CVA'!$AM18</f>
        <v>9.2032906050790455</v>
      </c>
      <c r="AY18" s="9">
        <v>20.49</v>
      </c>
      <c r="AZ18" s="9">
        <f t="shared" ca="1" si="6"/>
        <v>11.286709394920953</v>
      </c>
      <c r="BC18" s="87" t="s">
        <v>828</v>
      </c>
    </row>
    <row r="19" spans="1:55" ht="11.25" customHeight="1" x14ac:dyDescent="0.3">
      <c r="A19" s="146" t="s">
        <v>86</v>
      </c>
      <c r="B19" s="146" t="s">
        <v>57</v>
      </c>
      <c r="C19" s="146" t="s">
        <v>25</v>
      </c>
      <c r="D19" s="146" t="s">
        <v>25</v>
      </c>
      <c r="E19" s="23" t="s">
        <v>87</v>
      </c>
      <c r="F19" s="23" t="s">
        <v>25</v>
      </c>
      <c r="G19" s="24" t="s">
        <v>9</v>
      </c>
      <c r="H19" s="24" t="s">
        <v>81</v>
      </c>
      <c r="I19" s="24">
        <f>'MERCADO TUSD'!$U$16+0.00000001</f>
        <v>1E-8</v>
      </c>
      <c r="J19" s="15"/>
      <c r="L19" s="13">
        <f>'TUSD BE'!$L$19*'TUSD BE'!$L$62</f>
        <v>0</v>
      </c>
      <c r="M19" s="13">
        <f>'TUSD BE'!$M$19*'TUSD BE'!$M$62</f>
        <v>1.3440271669788329E-3</v>
      </c>
      <c r="N19" s="13">
        <f ca="1">'TUSD BE'!$N$19*'TUSD BE'!$N$62</f>
        <v>8.1673182961557934E-8</v>
      </c>
      <c r="O19" s="13">
        <f>'TUSD BE'!$O$19*'TUSD BE'!$O$62</f>
        <v>0</v>
      </c>
      <c r="P19" s="13">
        <f>'TUSD BE'!$P$19*'TUSD BE'!$P$62</f>
        <v>0</v>
      </c>
      <c r="Q19" s="13">
        <f>'TUSD BE'!$Q$19*'TUSD BE'!$Q$62</f>
        <v>0</v>
      </c>
      <c r="R19" s="13">
        <f>'TUSD BE'!$R$19*'TUSD BE'!$R$62</f>
        <v>0</v>
      </c>
      <c r="S19" s="13">
        <f>'TUSD BE'!$R$19*'TUSD BE'!$S$62</f>
        <v>0</v>
      </c>
      <c r="T19" s="13">
        <f ca="1">SUM($L$19:$S$19)</f>
        <v>1.3441088401617944E-3</v>
      </c>
      <c r="U19" s="13">
        <f>'TUSD BE'!$U$19*'TUSD BE'!$U$62</f>
        <v>0</v>
      </c>
      <c r="V19" s="13">
        <f>'TUSD BE'!$V$19*'TUSD BE'!$V$62</f>
        <v>0</v>
      </c>
      <c r="W19" s="13">
        <f>'TUSD BE'!$W$19*'TUSD BE'!$W$62</f>
        <v>0</v>
      </c>
      <c r="X19" s="13">
        <f>'TUSD BE'!$X$19*'TUSD BE'!$X$62</f>
        <v>0</v>
      </c>
      <c r="Y19" s="13">
        <f>'TUSD BE'!$Y$19*'TUSD BE'!$Y$62</f>
        <v>0</v>
      </c>
      <c r="Z19" s="13">
        <f>'TUSD BE'!$Z$19*'TUSD BE'!$Z$62</f>
        <v>0</v>
      </c>
      <c r="AA19" s="13">
        <f>'TUSD BE'!$AA$19*'TUSD BE'!$AA$62</f>
        <v>0</v>
      </c>
      <c r="AB19" s="13">
        <f>SUM($U$19:$AA$19)</f>
        <v>0</v>
      </c>
      <c r="AC19" s="13">
        <f>'TUSD BE'!$AC$19*'TUSD BE'!$AC$62</f>
        <v>4.2652296187233437E-4</v>
      </c>
      <c r="AD19" s="13">
        <f>SUM($AC$19:$AC$19)</f>
        <v>4.2652296187233437E-4</v>
      </c>
      <c r="AE19" s="13">
        <f ca="1">$AO$19*$AO$59</f>
        <v>-0.42328385613141895</v>
      </c>
      <c r="AF19" s="13">
        <f ca="1">$AP$19*$AP$59</f>
        <v>0</v>
      </c>
      <c r="AG19" s="13">
        <f ca="1">SUM($AE$19:$AF$19)</f>
        <v>-0.42328385613141895</v>
      </c>
      <c r="AH19" s="13">
        <f>'TUSD BE'!$AH$19*'TUSD BE'!$AH$62</f>
        <v>0</v>
      </c>
      <c r="AI19" s="13">
        <f>'TUSD BE'!$AI$19*'TUSD BE'!$AI$62</f>
        <v>0</v>
      </c>
      <c r="AJ19" s="13">
        <f ca="1">'TUSD BE'!$AJ$19*'TUSD BE'!$AJ$62</f>
        <v>0</v>
      </c>
      <c r="AK19" s="13">
        <f ca="1">'TUSD BE'!$AK$19*'TUSD BE'!$AK$62</f>
        <v>0</v>
      </c>
      <c r="AL19" s="13">
        <f ca="1">SUM($AH$19:$AK$19)</f>
        <v>0</v>
      </c>
      <c r="AM19" s="13">
        <f ca="1">SUMIF($L$4:$AL$4,"SUBTOTAL",$L$19:$AL$19)+AZ19</f>
        <v>-0.42151322432938482</v>
      </c>
      <c r="AO19" s="26">
        <f ca="1">+'TUSD BE'!$T$19+'TUSD BE'!$AB$19+'TUSD BE'!$AD$19+'TUSD BE'!$AL$19</f>
        <v>10.774812574551316</v>
      </c>
      <c r="AP19" s="26">
        <f ca="1">+'TUSD BE'!$T$19+'TUSD BE'!$AB$19+'TUSD BE'!$AD$19+'TUSD BE'!$AL$19</f>
        <v>10.774812574551316</v>
      </c>
      <c r="AQ19" s="9" t="str">
        <f t="shared" si="0"/>
        <v>B</v>
      </c>
      <c r="AR19" s="9" t="str">
        <f t="shared" si="1"/>
        <v>Geração</v>
      </c>
      <c r="AS19" s="9" t="str">
        <f t="shared" si="2"/>
        <v>Não se aplica</v>
      </c>
      <c r="AT19" s="9" t="str">
        <f t="shared" si="3"/>
        <v>Não se aplica</v>
      </c>
      <c r="AU19" s="9" t="str">
        <f t="shared" si="4"/>
        <v>TIPO 01</v>
      </c>
      <c r="AV19" s="9">
        <f t="shared" si="5"/>
        <v>0</v>
      </c>
      <c r="AW19" s="9">
        <f ca="1">TarifaMedia!$G$28</f>
        <v>1</v>
      </c>
      <c r="AX19" s="15">
        <f ca="1">'TUSD BE'!$AM19+'TUSD BF'!$AM19+'TUSD CVA'!$AM19</f>
        <v>10.353299350221931</v>
      </c>
      <c r="AY19" s="9">
        <v>1.99</v>
      </c>
      <c r="AZ19" s="9">
        <f t="shared" ca="1" si="6"/>
        <v>0</v>
      </c>
      <c r="BC19" s="87" t="s">
        <v>829</v>
      </c>
    </row>
    <row r="20" spans="1:55" ht="11.25" customHeight="1" x14ac:dyDescent="0.3">
      <c r="A20" s="146"/>
      <c r="B20" s="146"/>
      <c r="C20" s="146"/>
      <c r="D20" s="146"/>
      <c r="E20" s="23" t="s">
        <v>88</v>
      </c>
      <c r="F20" s="23" t="s">
        <v>25</v>
      </c>
      <c r="G20" s="24" t="s">
        <v>9</v>
      </c>
      <c r="H20" s="24" t="s">
        <v>81</v>
      </c>
      <c r="I20" s="24">
        <f>'MERCADO TUSD'!$U$17+0.00000001</f>
        <v>1E-8</v>
      </c>
      <c r="J20" s="15"/>
      <c r="L20" s="13">
        <f>'TUSD BE'!$L$20*'TUSD BE'!$L$62</f>
        <v>0</v>
      </c>
      <c r="M20" s="13">
        <f>'TUSD BE'!$M$20*'TUSD BE'!$M$62</f>
        <v>1.3440271669788329E-3</v>
      </c>
      <c r="N20" s="13">
        <f ca="1">'TUSD BE'!$N$20*'TUSD BE'!$N$62</f>
        <v>8.1673182961557934E-8</v>
      </c>
      <c r="O20" s="13">
        <f>'TUSD BE'!$O$20*'TUSD BE'!$O$62</f>
        <v>0</v>
      </c>
      <c r="P20" s="13">
        <f>'TUSD BE'!$P$20*'TUSD BE'!$P$62</f>
        <v>0</v>
      </c>
      <c r="Q20" s="13">
        <f>'TUSD BE'!$Q$20*'TUSD BE'!$Q$62</f>
        <v>0</v>
      </c>
      <c r="R20" s="13">
        <f>'TUSD BE'!$R$20*'TUSD BE'!$R$62</f>
        <v>0</v>
      </c>
      <c r="S20" s="13">
        <f>'TUSD BE'!$R$20*'TUSD BE'!$S$62</f>
        <v>0</v>
      </c>
      <c r="T20" s="13">
        <f ca="1">SUM($L$20:$S$20)</f>
        <v>1.3441088401617944E-3</v>
      </c>
      <c r="U20" s="13">
        <f>'TUSD BE'!$U$20*'TUSD BE'!$U$62</f>
        <v>0</v>
      </c>
      <c r="V20" s="13">
        <f>'TUSD BE'!$V$20*'TUSD BE'!$V$62</f>
        <v>0</v>
      </c>
      <c r="W20" s="13">
        <f>'TUSD BE'!$W$20*'TUSD BE'!$W$62</f>
        <v>0</v>
      </c>
      <c r="X20" s="13">
        <f>'TUSD BE'!$X$20*'TUSD BE'!$X$62</f>
        <v>0</v>
      </c>
      <c r="Y20" s="13">
        <f>'TUSD BE'!$Y$20*'TUSD BE'!$Y$62</f>
        <v>0</v>
      </c>
      <c r="Z20" s="13">
        <f>'TUSD BE'!$Z$20*'TUSD BE'!$Z$62</f>
        <v>0</v>
      </c>
      <c r="AA20" s="13">
        <f>'TUSD BE'!$AA$20*'TUSD BE'!$AA$62</f>
        <v>0</v>
      </c>
      <c r="AB20" s="13">
        <f>SUM($U$20:$AA$20)</f>
        <v>0</v>
      </c>
      <c r="AC20" s="13">
        <f>'TUSD BE'!$AC$20*'TUSD BE'!$AC$62</f>
        <v>6.6292093063629871E-4</v>
      </c>
      <c r="AD20" s="13">
        <f>SUM($AC$20:$AC$20)</f>
        <v>6.6292093063629871E-4</v>
      </c>
      <c r="AE20" s="13">
        <f ca="1">$AO$20*$AO$59</f>
        <v>-0.65292099856924624</v>
      </c>
      <c r="AF20" s="13">
        <f ca="1">$AP$20*$AP$59</f>
        <v>0</v>
      </c>
      <c r="AG20" s="13">
        <f ca="1">SUM($AE$20:$AF$20)</f>
        <v>-0.65292099856924624</v>
      </c>
      <c r="AH20" s="13">
        <f>'TUSD BE'!$AH$20*'TUSD BE'!$AH$62</f>
        <v>0</v>
      </c>
      <c r="AI20" s="13">
        <f>'TUSD BE'!$AI$20*'TUSD BE'!$AI$62</f>
        <v>0</v>
      </c>
      <c r="AJ20" s="13">
        <f ca="1">'TUSD BE'!$AJ$20*'TUSD BE'!$AJ$62</f>
        <v>0</v>
      </c>
      <c r="AK20" s="13">
        <f ca="1">'TUSD BE'!$AK$20*'TUSD BE'!$AK$62</f>
        <v>0</v>
      </c>
      <c r="AL20" s="13">
        <f ca="1">SUM($AH$20:$AK$20)</f>
        <v>0</v>
      </c>
      <c r="AM20" s="13">
        <f ca="1">SUMIF($L$4:$AL$4,"SUBTOTAL",$L$20:$AL$20)+AZ20</f>
        <v>-0.65091396879844809</v>
      </c>
      <c r="AO20" s="26">
        <f ca="1">+'TUSD BE'!$T$20+'TUSD BE'!$AB$20+'TUSD BE'!$AD$20+'TUSD BE'!$AL$20</f>
        <v>16.620292231008911</v>
      </c>
      <c r="AP20" s="26">
        <f ca="1">+'TUSD BE'!$T$20+'TUSD BE'!$AB$20+'TUSD BE'!$AD$20+'TUSD BE'!$AL$20</f>
        <v>16.620292231008911</v>
      </c>
      <c r="AQ20" s="9" t="str">
        <f t="shared" si="0"/>
        <v>B</v>
      </c>
      <c r="AR20" s="9" t="str">
        <f t="shared" si="1"/>
        <v>Geração</v>
      </c>
      <c r="AS20" s="9" t="str">
        <f t="shared" si="2"/>
        <v>Não se aplica</v>
      </c>
      <c r="AT20" s="9" t="str">
        <f t="shared" si="3"/>
        <v>Não se aplica</v>
      </c>
      <c r="AU20" s="9" t="str">
        <f t="shared" si="4"/>
        <v>TIPO 02</v>
      </c>
      <c r="AV20" s="9">
        <f t="shared" si="5"/>
        <v>0</v>
      </c>
      <c r="AW20" s="9">
        <f ca="1">TarifaMedia!$G$28</f>
        <v>1</v>
      </c>
      <c r="AX20" s="15">
        <f ca="1">'TUSD BE'!$AM20+'TUSD BF'!$AM20+'TUSD CVA'!$AM20</f>
        <v>15.969378262210462</v>
      </c>
      <c r="AY20" s="9">
        <v>5.86</v>
      </c>
      <c r="AZ20" s="9">
        <f t="shared" ca="1" si="6"/>
        <v>0</v>
      </c>
      <c r="BC20" s="87" t="s">
        <v>830</v>
      </c>
    </row>
    <row r="21" spans="1:55" ht="11.25" customHeight="1" x14ac:dyDescent="0.3">
      <c r="A21" s="146" t="s">
        <v>22</v>
      </c>
      <c r="B21" s="146" t="s">
        <v>38</v>
      </c>
      <c r="C21" s="146" t="s">
        <v>24</v>
      </c>
      <c r="D21" s="146" t="s">
        <v>24</v>
      </c>
      <c r="E21" s="146" t="s">
        <v>25</v>
      </c>
      <c r="F21" s="146" t="s">
        <v>25</v>
      </c>
      <c r="G21" s="24" t="s">
        <v>79</v>
      </c>
      <c r="H21" s="24" t="s">
        <v>78</v>
      </c>
      <c r="I21" s="24">
        <f>'MERCADO TUSD'!$U$18</f>
        <v>0</v>
      </c>
      <c r="J21" s="15"/>
      <c r="L21" s="13">
        <f>'TUSD BE'!$L$21*'TUSD BE'!$L$62</f>
        <v>0.11582412398668746</v>
      </c>
      <c r="M21" s="13">
        <f>'TUSD BE'!$M$21*'TUSD BE'!$M$62</f>
        <v>3.1450776225263023E-2</v>
      </c>
      <c r="N21" s="13">
        <f ca="1">'TUSD BE'!$N$21*'TUSD BE'!$N$62</f>
        <v>1.1561708445232482E-5</v>
      </c>
      <c r="O21" s="13">
        <f>'TUSD BE'!$O$21*'TUSD BE'!$O$62</f>
        <v>0</v>
      </c>
      <c r="P21" s="13">
        <f>'TUSD BE'!$P$21*'TUSD BE'!$P$62</f>
        <v>0</v>
      </c>
      <c r="Q21" s="13">
        <f>'TUSD BE'!$Q$21*'TUSD BE'!$Q$62</f>
        <v>3.9920921295007172</v>
      </c>
      <c r="R21" s="13">
        <f>'TUSD BE'!$R$21*'TUSD BE'!$R$62</f>
        <v>0.46136832062853605</v>
      </c>
      <c r="S21" s="13">
        <f>'TUSD BE'!$R$21*'TUSD BE'!$S$62</f>
        <v>0</v>
      </c>
      <c r="T21" s="13">
        <f ca="1">SUM($L$21:$S$21)</f>
        <v>4.6007469120496491</v>
      </c>
      <c r="U21" s="13">
        <f>'TUSD BE'!$U$21*'TUSD BE'!$U$62</f>
        <v>0</v>
      </c>
      <c r="V21" s="13">
        <f>'TUSD BE'!$V$21*'TUSD BE'!$V$62</f>
        <v>0</v>
      </c>
      <c r="W21" s="13">
        <f>'TUSD BE'!$W$21*'TUSD BE'!$W$62</f>
        <v>0</v>
      </c>
      <c r="X21" s="13">
        <f>'TUSD BE'!$X$21*'TUSD BE'!$X$62</f>
        <v>0</v>
      </c>
      <c r="Y21" s="13">
        <f>'TUSD BE'!$Y$21*'TUSD BE'!$Y$62</f>
        <v>38.703915515451683</v>
      </c>
      <c r="Z21" s="13">
        <f>'TUSD BE'!$Z$21*'TUSD BE'!$Z$62</f>
        <v>0</v>
      </c>
      <c r="AA21" s="13">
        <f>'TUSD BE'!$AA$21*'TUSD BE'!$AA$62</f>
        <v>0</v>
      </c>
      <c r="AB21" s="13">
        <f>SUM($U$21:$AA$21)</f>
        <v>38.703915515451683</v>
      </c>
      <c r="AC21" s="13">
        <f>'TUSD BE'!$AC$21*'TUSD BE'!$AC$62</f>
        <v>4.3993322702749048E-2</v>
      </c>
      <c r="AD21" s="13">
        <f>SUM($AC$21:$AC$21)</f>
        <v>4.3993322702749048E-2</v>
      </c>
      <c r="AE21" s="13">
        <f ca="1">$AO$21*$AO$59</f>
        <v>-69.712700363016253</v>
      </c>
      <c r="AF21" s="13">
        <f ca="1">$AP$21*$AP$59</f>
        <v>0</v>
      </c>
      <c r="AG21" s="13">
        <f ca="1">SUM($AE$21:$AF$21)</f>
        <v>-69.712700363016253</v>
      </c>
      <c r="AH21" s="13">
        <f>'TUSD BE'!$AH$21*'TUSD BE'!$AH$62</f>
        <v>9.6817791535764128E-2</v>
      </c>
      <c r="AI21" s="13">
        <f>'TUSD BE'!$AI$21*'TUSD BE'!$AI$62</f>
        <v>0</v>
      </c>
      <c r="AJ21" s="13">
        <f ca="1">'TUSD BE'!$AJ$21*'TUSD BE'!$AJ$62</f>
        <v>5.679034148595657E-3</v>
      </c>
      <c r="AK21" s="13">
        <f ca="1">'TUSD BE'!$AK$21*'TUSD BE'!$AK$62</f>
        <v>1.3943273361419074E-2</v>
      </c>
      <c r="AL21" s="13">
        <f ca="1">SUM($AH$21:$AK$21)</f>
        <v>0.11644009904577887</v>
      </c>
      <c r="AM21" s="13">
        <f ca="1">SUMIF($L$4:$AL$4,"SUBTOTAL",$L$21:$AL$21)+AZ21</f>
        <v>-1234.3271927727883</v>
      </c>
      <c r="AO21" s="26">
        <f ca="1">+'TUSD BE'!$T$21+'TUSD BE'!$AB$21+'TUSD BE'!$AD$21+'TUSD BE'!$AL$21</f>
        <v>1774.5568832753813</v>
      </c>
      <c r="AP21" s="26">
        <f ca="1">+'TUSD BE'!$T$21+'TUSD BE'!$AB$21+'TUSD BE'!$AD$21+'TUSD BE'!$AL$21</f>
        <v>1774.5568832753813</v>
      </c>
      <c r="AQ21" s="9" t="str">
        <f t="shared" si="0"/>
        <v>B1</v>
      </c>
      <c r="AR21" s="9" t="str">
        <f t="shared" si="1"/>
        <v>Branca</v>
      </c>
      <c r="AS21" s="9" t="str">
        <f t="shared" si="2"/>
        <v>Residencial</v>
      </c>
      <c r="AT21" s="9" t="str">
        <f t="shared" si="3"/>
        <v>Residencial</v>
      </c>
      <c r="AU21" s="9" t="str">
        <f t="shared" si="4"/>
        <v>Não se aplica</v>
      </c>
      <c r="AV21" s="9">
        <f t="shared" si="5"/>
        <v>1</v>
      </c>
      <c r="AW21" s="9">
        <f ca="1">TarifaMedia!$G$28</f>
        <v>1</v>
      </c>
      <c r="AX21" s="15">
        <f ca="1">'TUSD BE'!$AM21+'TUSD BF'!$AM21+'TUSD CVA'!$AM21</f>
        <v>1779.669588259022</v>
      </c>
      <c r="AY21" s="9">
        <v>571.59</v>
      </c>
      <c r="AZ21" s="9">
        <f t="shared" ca="1" si="6"/>
        <v>-1208.0795882590219</v>
      </c>
      <c r="BC21" s="87" t="s">
        <v>831</v>
      </c>
    </row>
    <row r="22" spans="1:55" ht="11.25" customHeight="1" x14ac:dyDescent="0.3">
      <c r="A22" s="146"/>
      <c r="B22" s="146"/>
      <c r="C22" s="146"/>
      <c r="D22" s="146"/>
      <c r="E22" s="146"/>
      <c r="F22" s="146"/>
      <c r="G22" s="24" t="s">
        <v>89</v>
      </c>
      <c r="H22" s="24" t="s">
        <v>78</v>
      </c>
      <c r="I22" s="24">
        <f>'MERCADO TUSD'!$U$19</f>
        <v>0</v>
      </c>
      <c r="J22" s="15"/>
      <c r="L22" s="13">
        <f>'TUSD BE'!$L$22*'TUSD BE'!$L$62</f>
        <v>0.11582412398668746</v>
      </c>
      <c r="M22" s="13">
        <f>'TUSD BE'!$M$22*'TUSD BE'!$M$62</f>
        <v>3.1450776225263023E-2</v>
      </c>
      <c r="N22" s="13">
        <f ca="1">'TUSD BE'!$N$22*'TUSD BE'!$N$62</f>
        <v>1.7566311488906176E-6</v>
      </c>
      <c r="O22" s="13">
        <f>'TUSD BE'!$O$22*'TUSD BE'!$O$62</f>
        <v>0</v>
      </c>
      <c r="P22" s="13">
        <f>'TUSD BE'!$P$22*'TUSD BE'!$P$62</f>
        <v>0</v>
      </c>
      <c r="Q22" s="13">
        <f>'TUSD BE'!$Q$22*'TUSD BE'!$Q$62</f>
        <v>3.9920921295007172</v>
      </c>
      <c r="R22" s="13">
        <f>'TUSD BE'!$R$22*'TUSD BE'!$R$62</f>
        <v>0.46136832062853605</v>
      </c>
      <c r="S22" s="13">
        <f>'TUSD BE'!$R$22*'TUSD BE'!$S$62</f>
        <v>0</v>
      </c>
      <c r="T22" s="13">
        <f ca="1">SUM($L$22:$S$22)</f>
        <v>4.6007371069723533</v>
      </c>
      <c r="U22" s="13">
        <f>'TUSD BE'!$U$22*'TUSD BE'!$U$62</f>
        <v>0</v>
      </c>
      <c r="V22" s="13">
        <f>'TUSD BE'!$V$22*'TUSD BE'!$V$62</f>
        <v>0</v>
      </c>
      <c r="W22" s="13">
        <f>'TUSD BE'!$W$22*'TUSD BE'!$W$62</f>
        <v>0</v>
      </c>
      <c r="X22" s="13">
        <f>'TUSD BE'!$X$22*'TUSD BE'!$X$62</f>
        <v>0</v>
      </c>
      <c r="Y22" s="13">
        <f>'TUSD BE'!$Y$22*'TUSD BE'!$Y$62</f>
        <v>4.53508157316233</v>
      </c>
      <c r="Z22" s="13">
        <f>'TUSD BE'!$Z$22*'TUSD BE'!$Z$62</f>
        <v>0</v>
      </c>
      <c r="AA22" s="13">
        <f>'TUSD BE'!$AA$22*'TUSD BE'!$AA$62</f>
        <v>0</v>
      </c>
      <c r="AB22" s="13">
        <f>SUM($U$22:$AA$22)</f>
        <v>4.53508157316233</v>
      </c>
      <c r="AC22" s="13">
        <f>'TUSD BE'!$AC$22*'TUSD BE'!$AC$62</f>
        <v>5.1548688065996533E-3</v>
      </c>
      <c r="AD22" s="13">
        <f>SUM($AC$22:$AC$22)</f>
        <v>5.1548688065996533E-3</v>
      </c>
      <c r="AE22" s="13">
        <f ca="1">$AO$22*$AO$59</f>
        <v>-13.244436797598592</v>
      </c>
      <c r="AF22" s="13">
        <f ca="1">$AP$22*$AP$59</f>
        <v>0</v>
      </c>
      <c r="AG22" s="13">
        <f ca="1">SUM($AE$22:$AF$22)</f>
        <v>-13.244436797598592</v>
      </c>
      <c r="AH22" s="13">
        <f>'TUSD BE'!$AH$22*'TUSD BE'!$AH$62</f>
        <v>9.6817791535764128E-2</v>
      </c>
      <c r="AI22" s="13">
        <f>'TUSD BE'!$AI$22*'TUSD BE'!$AI$62</f>
        <v>0</v>
      </c>
      <c r="AJ22" s="13">
        <f ca="1">'TUSD BE'!$AJ$22*'TUSD BE'!$AJ$62</f>
        <v>5.679034148595657E-3</v>
      </c>
      <c r="AK22" s="13">
        <f ca="1">'TUSD BE'!$AK$22*'TUSD BE'!$AK$62</f>
        <v>1.3943273361419074E-2</v>
      </c>
      <c r="AL22" s="13">
        <f ca="1">SUM($AH$22:$AK$22)</f>
        <v>0.11644009904577887</v>
      </c>
      <c r="AM22" s="13">
        <f ca="1">SUMIF($L$4:$AL$4,"SUBTOTAL",$L$22:$AL$22)+AZ22</f>
        <v>37.208733949530341</v>
      </c>
      <c r="AO22" s="26">
        <f ca="1">+'TUSD BE'!$T$22+'TUSD BE'!$AB$22+'TUSD BE'!$AD$22+'TUSD BE'!$AL$22</f>
        <v>337.14095655306249</v>
      </c>
      <c r="AP22" s="26">
        <f ca="1">+'TUSD BE'!$T$22+'TUSD BE'!$AB$22+'TUSD BE'!$AD$22+'TUSD BE'!$AL$22</f>
        <v>337.14095655306249</v>
      </c>
      <c r="AQ22" s="9" t="str">
        <f t="shared" si="0"/>
        <v>B1</v>
      </c>
      <c r="AR22" s="9" t="str">
        <f t="shared" si="1"/>
        <v>Branca</v>
      </c>
      <c r="AS22" s="9" t="str">
        <f t="shared" si="2"/>
        <v>Residencial</v>
      </c>
      <c r="AT22" s="9" t="str">
        <f t="shared" si="3"/>
        <v>Residencial</v>
      </c>
      <c r="AU22" s="9" t="str">
        <f t="shared" si="4"/>
        <v>Não se aplica</v>
      </c>
      <c r="AV22" s="9">
        <f t="shared" si="5"/>
        <v>1</v>
      </c>
      <c r="AW22" s="9">
        <f ca="1">TarifaMedia!$G$28</f>
        <v>1</v>
      </c>
      <c r="AX22" s="15">
        <f ca="1">'TUSD BE'!$AM22+'TUSD BF'!$AM22+'TUSD CVA'!$AM22</f>
        <v>364.51424290085811</v>
      </c>
      <c r="AY22" s="9">
        <v>405.71</v>
      </c>
      <c r="AZ22" s="9">
        <f t="shared" ca="1" si="6"/>
        <v>41.195757099141872</v>
      </c>
      <c r="BC22" s="87" t="s">
        <v>832</v>
      </c>
    </row>
    <row r="23" spans="1:55" ht="11.25" customHeight="1" x14ac:dyDescent="0.3">
      <c r="A23" s="146"/>
      <c r="B23" s="146"/>
      <c r="C23" s="146"/>
      <c r="D23" s="146"/>
      <c r="E23" s="146"/>
      <c r="F23" s="146"/>
      <c r="G23" s="24" t="s">
        <v>80</v>
      </c>
      <c r="H23" s="24" t="s">
        <v>78</v>
      </c>
      <c r="I23" s="24">
        <f>'MERCADO TUSD'!$U$20</f>
        <v>0</v>
      </c>
      <c r="J23" s="15"/>
      <c r="L23" s="13">
        <f>'TUSD BE'!$L$23*'TUSD BE'!$L$62</f>
        <v>0.11582412398668746</v>
      </c>
      <c r="M23" s="13">
        <f>'TUSD BE'!$M$23*'TUSD BE'!$M$62</f>
        <v>3.1450776225263023E-2</v>
      </c>
      <c r="N23" s="13">
        <f ca="1">'TUSD BE'!$N$23*'TUSD BE'!$N$62</f>
        <v>8.4371693392587052E-7</v>
      </c>
      <c r="O23" s="13">
        <f>'TUSD BE'!$O$23*'TUSD BE'!$O$62</f>
        <v>0</v>
      </c>
      <c r="P23" s="13">
        <f>'TUSD BE'!$P$23*'TUSD BE'!$P$62</f>
        <v>0</v>
      </c>
      <c r="Q23" s="13">
        <f>'TUSD BE'!$Q$23*'TUSD BE'!$Q$62</f>
        <v>3.9920921295007172</v>
      </c>
      <c r="R23" s="13">
        <f>'TUSD BE'!$R$23*'TUSD BE'!$R$62</f>
        <v>0.46136832062853605</v>
      </c>
      <c r="S23" s="13">
        <f>'TUSD BE'!$R$23*'TUSD BE'!$S$62</f>
        <v>0</v>
      </c>
      <c r="T23" s="13">
        <f ca="1">SUM($L$23:$S$23)</f>
        <v>4.6007361940581379</v>
      </c>
      <c r="U23" s="13">
        <f>'TUSD BE'!$U$23*'TUSD BE'!$U$62</f>
        <v>0</v>
      </c>
      <c r="V23" s="13">
        <f>'TUSD BE'!$V$23*'TUSD BE'!$V$62</f>
        <v>0</v>
      </c>
      <c r="W23" s="13">
        <f>'TUSD BE'!$W$23*'TUSD BE'!$W$62</f>
        <v>0</v>
      </c>
      <c r="X23" s="13">
        <f>'TUSD BE'!$X$23*'TUSD BE'!$X$62</f>
        <v>0</v>
      </c>
      <c r="Y23" s="13">
        <f>'TUSD BE'!$Y$23*'TUSD BE'!$Y$62</f>
        <v>1.3537515019373825</v>
      </c>
      <c r="Z23" s="13">
        <f>'TUSD BE'!$Z$23*'TUSD BE'!$Z$62</f>
        <v>0</v>
      </c>
      <c r="AA23" s="13">
        <f>'TUSD BE'!$AA$23*'TUSD BE'!$AA$62</f>
        <v>0</v>
      </c>
      <c r="AB23" s="13">
        <f>SUM($U$23:$AA$23)</f>
        <v>1.3537515019373825</v>
      </c>
      <c r="AC23" s="13">
        <f>'TUSD BE'!$AC$23*'TUSD BE'!$AC$62</f>
        <v>1.5387640579840392E-3</v>
      </c>
      <c r="AD23" s="13">
        <f>SUM($AC$23:$AC$23)</f>
        <v>1.5387640579840392E-3</v>
      </c>
      <c r="AE23" s="13">
        <f ca="1">$AO$23*$AO$59</f>
        <v>-7.9868876213635849</v>
      </c>
      <c r="AF23" s="13">
        <f ca="1">$AP$23*$AP$59</f>
        <v>0</v>
      </c>
      <c r="AG23" s="13">
        <f ca="1">SUM($AE$23:$AF$23)</f>
        <v>-7.9868876213635849</v>
      </c>
      <c r="AH23" s="13">
        <f>'TUSD BE'!$AH$23*'TUSD BE'!$AH$62</f>
        <v>9.6817791535764128E-2</v>
      </c>
      <c r="AI23" s="13">
        <f>'TUSD BE'!$AI$23*'TUSD BE'!$AI$62</f>
        <v>0</v>
      </c>
      <c r="AJ23" s="13">
        <f ca="1">'TUSD BE'!$AJ$23*'TUSD BE'!$AJ$62</f>
        <v>5.679034148595657E-3</v>
      </c>
      <c r="AK23" s="13">
        <f ca="1">'TUSD BE'!$AK$23*'TUSD BE'!$AK$62</f>
        <v>1.3943273361419074E-2</v>
      </c>
      <c r="AL23" s="13">
        <f ca="1">SUM($AH$23:$AK$23)</f>
        <v>0.11644009904577887</v>
      </c>
      <c r="AM23" s="13">
        <f ca="1">SUMIF($L$4:$AL$4,"SUBTOTAL",$L$23:$AL$23)+AZ23</f>
        <v>5.1611637831660682</v>
      </c>
      <c r="AO23" s="26">
        <f ca="1">+'TUSD BE'!$T$23+'TUSD BE'!$AB$23+'TUSD BE'!$AD$23+'TUSD BE'!$AL$23</f>
        <v>203.30852671942682</v>
      </c>
      <c r="AP23" s="26">
        <f ca="1">+'TUSD BE'!$T$23+'TUSD BE'!$AB$23+'TUSD BE'!$AD$23+'TUSD BE'!$AL$23</f>
        <v>203.30852671942682</v>
      </c>
      <c r="AQ23" s="9" t="str">
        <f t="shared" si="0"/>
        <v>B1</v>
      </c>
      <c r="AR23" s="9" t="str">
        <f t="shared" si="1"/>
        <v>Branca</v>
      </c>
      <c r="AS23" s="9" t="str">
        <f t="shared" si="2"/>
        <v>Residencial</v>
      </c>
      <c r="AT23" s="9" t="str">
        <f t="shared" si="3"/>
        <v>Residencial</v>
      </c>
      <c r="AU23" s="9" t="str">
        <f t="shared" si="4"/>
        <v>Não se aplica</v>
      </c>
      <c r="AV23" s="9">
        <f t="shared" si="5"/>
        <v>1</v>
      </c>
      <c r="AW23" s="9">
        <f ca="1">TarifaMedia!$G$28</f>
        <v>1</v>
      </c>
      <c r="AX23" s="15">
        <f ca="1">'TUSD BE'!$AM23+'TUSD BF'!$AM23+'TUSD CVA'!$AM23</f>
        <v>232.75441515456964</v>
      </c>
      <c r="AY23" s="9">
        <v>239.83</v>
      </c>
      <c r="AZ23" s="9">
        <f t="shared" ca="1" si="6"/>
        <v>7.0755848454303703</v>
      </c>
      <c r="BC23" s="87" t="s">
        <v>833</v>
      </c>
    </row>
    <row r="24" spans="1:55" ht="11.25" customHeight="1" x14ac:dyDescent="0.3">
      <c r="A24" s="146"/>
      <c r="B24" s="146" t="s">
        <v>23</v>
      </c>
      <c r="C24" s="146" t="s">
        <v>24</v>
      </c>
      <c r="D24" s="23" t="s">
        <v>24</v>
      </c>
      <c r="E24" s="23" t="s">
        <v>25</v>
      </c>
      <c r="F24" s="23" t="s">
        <v>25</v>
      </c>
      <c r="G24" s="24" t="s">
        <v>84</v>
      </c>
      <c r="H24" s="24" t="s">
        <v>78</v>
      </c>
      <c r="I24" s="24">
        <f>'MERCADO TUSD'!$U$21</f>
        <v>11530.447999999999</v>
      </c>
      <c r="J24" s="15"/>
      <c r="L24" s="13">
        <f>'TUSD BE'!$L$24*'TUSD BE'!$L$62</f>
        <v>0.11582412398668746</v>
      </c>
      <c r="M24" s="13">
        <f>'TUSD BE'!$M$24*'TUSD BE'!$M$62</f>
        <v>3.1450776225263023E-2</v>
      </c>
      <c r="N24" s="13">
        <f ca="1">'TUSD BE'!$N$24*'TUSD BE'!$N$62</f>
        <v>2.4998425446476113E-6</v>
      </c>
      <c r="O24" s="13">
        <f>'TUSD BE'!$O$24*'TUSD BE'!$O$62</f>
        <v>0</v>
      </c>
      <c r="P24" s="13">
        <f>'TUSD BE'!$P$24*'TUSD BE'!$P$62</f>
        <v>0</v>
      </c>
      <c r="Q24" s="13">
        <f>'TUSD BE'!$Q$24*'TUSD BE'!$Q$62</f>
        <v>3.9920921295007172</v>
      </c>
      <c r="R24" s="13">
        <f>'TUSD BE'!$R$24*'TUSD BE'!$R$62</f>
        <v>0.46136832062853605</v>
      </c>
      <c r="S24" s="13">
        <f>'TUSD BE'!$R$24*'TUSD BE'!$S$62</f>
        <v>0</v>
      </c>
      <c r="T24" s="13">
        <f ca="1">SUM($L$24:$S$24)</f>
        <v>4.6007378501837488</v>
      </c>
      <c r="U24" s="13">
        <f>'TUSD BE'!$U$24*'TUSD BE'!$U$62</f>
        <v>0</v>
      </c>
      <c r="V24" s="13">
        <f>'TUSD BE'!$V$24*'TUSD BE'!$V$62</f>
        <v>0</v>
      </c>
      <c r="W24" s="13">
        <f>'TUSD BE'!$W$24*'TUSD BE'!$W$62</f>
        <v>0</v>
      </c>
      <c r="X24" s="13">
        <f>'TUSD BE'!$X$24*'TUSD BE'!$X$62</f>
        <v>0</v>
      </c>
      <c r="Y24" s="13">
        <f>'TUSD BE'!$Y$24*'TUSD BE'!$Y$62</f>
        <v>7.1250374663485365</v>
      </c>
      <c r="Z24" s="13">
        <f>'TUSD BE'!$Z$24*'TUSD BE'!$Z$62</f>
        <v>0</v>
      </c>
      <c r="AA24" s="13">
        <f>'TUSD BE'!$AA$24*'TUSD BE'!$AA$62</f>
        <v>0</v>
      </c>
      <c r="AB24" s="13">
        <f>SUM($U$24:$AA$24)</f>
        <v>7.1250374663485365</v>
      </c>
      <c r="AC24" s="13">
        <f>'TUSD BE'!$AC$24*'TUSD BE'!$AC$62</f>
        <v>8.0987683701646291E-3</v>
      </c>
      <c r="AD24" s="13">
        <f>SUM($AC$24:$AC$24)</f>
        <v>8.0987683701646291E-3</v>
      </c>
      <c r="AE24" s="13">
        <f ca="1">$AO$24*$AO$59</f>
        <v>-17.524654495650299</v>
      </c>
      <c r="AF24" s="13">
        <f ca="1">$AP$24*$AP$59</f>
        <v>0</v>
      </c>
      <c r="AG24" s="13">
        <f ca="1">SUM($AE$24:$AF$24)</f>
        <v>-17.524654495650299</v>
      </c>
      <c r="AH24" s="13">
        <f>'TUSD BE'!$AH$24*'TUSD BE'!$AH$62</f>
        <v>9.6817791535764128E-2</v>
      </c>
      <c r="AI24" s="13">
        <f>'TUSD BE'!$AI$24*'TUSD BE'!$AI$62</f>
        <v>0</v>
      </c>
      <c r="AJ24" s="13">
        <f ca="1">'TUSD BE'!$AJ$24*'TUSD BE'!$AJ$62</f>
        <v>5.679034148595657E-3</v>
      </c>
      <c r="AK24" s="13">
        <f ca="1">'TUSD BE'!$AK$24*'TUSD BE'!$AK$62</f>
        <v>1.3943273361419074E-2</v>
      </c>
      <c r="AL24" s="13">
        <f ca="1">SUM($AH$24:$AK$24)</f>
        <v>0.11644009904577887</v>
      </c>
      <c r="AM24" s="13">
        <f ca="1">SUMIF($L$4:$AL$4,"SUBTOTAL",$L$24:$AL$24)+AZ24</f>
        <v>-166.96544137924943</v>
      </c>
      <c r="AO24" s="26">
        <f ca="1">+'TUSD BE'!$T$24+'TUSD BE'!$AB$24+'TUSD BE'!$AD$24+'TUSD BE'!$AL$24</f>
        <v>446.09513188184229</v>
      </c>
      <c r="AP24" s="26">
        <f ca="1">+'TUSD BE'!$T$24+'TUSD BE'!$AB$24+'TUSD BE'!$AD$24+'TUSD BE'!$AL$24</f>
        <v>446.09513188184229</v>
      </c>
      <c r="AQ24" s="9" t="str">
        <f t="shared" si="0"/>
        <v>B1</v>
      </c>
      <c r="AR24" s="9" t="str">
        <f t="shared" si="1"/>
        <v>Convencional</v>
      </c>
      <c r="AS24" s="9" t="str">
        <f t="shared" si="2"/>
        <v>Residencial</v>
      </c>
      <c r="AT24" s="9" t="str">
        <f t="shared" si="3"/>
        <v>Residencial</v>
      </c>
      <c r="AU24" s="9" t="str">
        <f t="shared" si="4"/>
        <v>Não se aplica</v>
      </c>
      <c r="AV24" s="9">
        <f t="shared" si="5"/>
        <v>1</v>
      </c>
      <c r="AW24" s="9">
        <f ca="1">TarifaMedia!$G$28</f>
        <v>1</v>
      </c>
      <c r="AX24" s="15">
        <f ca="1">'TUSD BE'!$AM24+'TUSD BF'!$AM24+'TUSD CVA'!$AM24</f>
        <v>471.78110106754735</v>
      </c>
      <c r="AY24" s="9">
        <v>310.49</v>
      </c>
      <c r="AZ24" s="9">
        <f t="shared" ca="1" si="6"/>
        <v>-161.29110106754734</v>
      </c>
      <c r="BC24" s="87" t="s">
        <v>834</v>
      </c>
    </row>
    <row r="25" spans="1:55" ht="11.25" customHeight="1" x14ac:dyDescent="0.3">
      <c r="A25" s="146"/>
      <c r="B25" s="146"/>
      <c r="C25" s="146"/>
      <c r="D25" s="23" t="s">
        <v>28</v>
      </c>
      <c r="E25" s="23" t="s">
        <v>25</v>
      </c>
      <c r="F25" s="23" t="s">
        <v>25</v>
      </c>
      <c r="G25" s="24" t="s">
        <v>84</v>
      </c>
      <c r="H25" s="24" t="s">
        <v>78</v>
      </c>
      <c r="I25" s="24">
        <f>'MERCADO TUSD'!$U$22</f>
        <v>121.26</v>
      </c>
      <c r="J25" s="15"/>
      <c r="L25" s="13">
        <f>'TUSD BE'!$L$25*'TUSD BE'!$L$62</f>
        <v>0</v>
      </c>
      <c r="M25" s="13">
        <f>'TUSD BE'!$M$25*'TUSD BE'!$M$62</f>
        <v>3.1450776225263023E-2</v>
      </c>
      <c r="N25" s="13">
        <f ca="1">'TUSD BE'!$N$25*'TUSD BE'!$N$62</f>
        <v>2.4912724310105115E-6</v>
      </c>
      <c r="O25" s="13">
        <f>'TUSD BE'!$O$25*'TUSD BE'!$O$62</f>
        <v>0</v>
      </c>
      <c r="P25" s="13">
        <f>'TUSD BE'!$P$25*'TUSD BE'!$P$62</f>
        <v>0</v>
      </c>
      <c r="Q25" s="13">
        <f>'TUSD BE'!$Q$25*'TUSD BE'!$Q$62</f>
        <v>0</v>
      </c>
      <c r="R25" s="13">
        <f>'TUSD BE'!$R$25*'TUSD BE'!$R$62</f>
        <v>0</v>
      </c>
      <c r="S25" s="13">
        <f>'TUSD BE'!$R$25*'TUSD BE'!$S$62</f>
        <v>0</v>
      </c>
      <c r="T25" s="13">
        <f ca="1">SUM($L$25:$S$25)</f>
        <v>3.1453267497694032E-2</v>
      </c>
      <c r="U25" s="13">
        <f>'TUSD BE'!$U$25*'TUSD BE'!$U$62</f>
        <v>0</v>
      </c>
      <c r="V25" s="13">
        <f>'TUSD BE'!$V$25*'TUSD BE'!$V$62</f>
        <v>0</v>
      </c>
      <c r="W25" s="13">
        <f>'TUSD BE'!$W$25*'TUSD BE'!$W$62</f>
        <v>0</v>
      </c>
      <c r="X25" s="13">
        <f>'TUSD BE'!$X$25*'TUSD BE'!$X$62</f>
        <v>0</v>
      </c>
      <c r="Y25" s="13">
        <f>'TUSD BE'!$Y$25*'TUSD BE'!$Y$62</f>
        <v>7.1250374663485365</v>
      </c>
      <c r="Z25" s="13">
        <f>'TUSD BE'!$Z$25*'TUSD BE'!$Z$62</f>
        <v>0</v>
      </c>
      <c r="AA25" s="13">
        <f>'TUSD BE'!$AA$25*'TUSD BE'!$AA$62</f>
        <v>0</v>
      </c>
      <c r="AB25" s="13">
        <f>SUM($U$25:$AA$25)</f>
        <v>7.1250374663485365</v>
      </c>
      <c r="AC25" s="13">
        <f>'TUSD BE'!$AC$25*'TUSD BE'!$AC$62</f>
        <v>8.0987683701646291E-3</v>
      </c>
      <c r="AD25" s="13">
        <f>SUM($AC$25:$AC$25)</f>
        <v>8.0987683701646291E-3</v>
      </c>
      <c r="AE25" s="13">
        <f ca="1">$AO$25*$AO$59</f>
        <v>-12.78473148267854</v>
      </c>
      <c r="AF25" s="13">
        <f ca="1">$AP$25*$AP$59</f>
        <v>0</v>
      </c>
      <c r="AG25" s="13">
        <f ca="1">SUM($AE$25:$AF$25)</f>
        <v>-12.78473148267854</v>
      </c>
      <c r="AH25" s="13">
        <f>'TUSD BE'!$AH$25*'TUSD BE'!$AH$62</f>
        <v>9.6817791535764128E-2</v>
      </c>
      <c r="AI25" s="13">
        <f>'TUSD BE'!$AI$25*'TUSD BE'!$AI$62</f>
        <v>0</v>
      </c>
      <c r="AJ25" s="13">
        <f ca="1">'TUSD BE'!$AJ$25*'TUSD BE'!$AJ$62</f>
        <v>5.679034148595657E-3</v>
      </c>
      <c r="AK25" s="13">
        <f ca="1">'TUSD BE'!$AK$25*'TUSD BE'!$AK$62</f>
        <v>1.3943273361419074E-2</v>
      </c>
      <c r="AL25" s="13">
        <f ca="1">SUM($AH$25:$AK$25)</f>
        <v>0.11644009904577887</v>
      </c>
      <c r="AM25" s="13">
        <f ca="1">SUMIF($L$4:$AL$4,"SUBTOTAL",$L$25:$AL$25)+AZ25</f>
        <v>-137.55983016483751</v>
      </c>
      <c r="AO25" s="26">
        <f ca="1">+'TUSD BE'!$T$25+'TUSD BE'!$AB$25+'TUSD BE'!$AD$25+'TUSD BE'!$AL$25</f>
        <v>325.43902524611752</v>
      </c>
      <c r="AP25" s="26">
        <f ca="1">+'TUSD BE'!$T$25+'TUSD BE'!$AB$25+'TUSD BE'!$AD$25+'TUSD BE'!$AL$25</f>
        <v>325.43902524611752</v>
      </c>
      <c r="AQ25" s="9" t="str">
        <f t="shared" si="0"/>
        <v>B1</v>
      </c>
      <c r="AR25" s="9" t="str">
        <f t="shared" si="1"/>
        <v>Convencional</v>
      </c>
      <c r="AS25" s="9" t="str">
        <f t="shared" si="2"/>
        <v>Residencial</v>
      </c>
      <c r="AT25" s="9" t="str">
        <f t="shared" si="3"/>
        <v>Residencial baixa renda – faixa 01</v>
      </c>
      <c r="AU25" s="9" t="str">
        <f t="shared" si="4"/>
        <v>Não se aplica</v>
      </c>
      <c r="AV25" s="9">
        <f t="shared" si="5"/>
        <v>1</v>
      </c>
      <c r="AW25" s="9">
        <f ca="1">TarifaMedia!$G$28</f>
        <v>1</v>
      </c>
      <c r="AX25" s="15">
        <f ca="1">'TUSD BE'!$AM25+'TUSD BF'!$AM25+'TUSD CVA'!$AM25</f>
        <v>319.83612828342115</v>
      </c>
      <c r="AY25" s="9">
        <v>187.78</v>
      </c>
      <c r="AZ25" s="9">
        <f t="shared" ca="1" si="6"/>
        <v>-132.05612828342115</v>
      </c>
      <c r="BC25" s="87" t="s">
        <v>835</v>
      </c>
    </row>
    <row r="26" spans="1:55" ht="11.25" customHeight="1" x14ac:dyDescent="0.3">
      <c r="A26" s="146"/>
      <c r="B26" s="146"/>
      <c r="C26" s="146"/>
      <c r="D26" s="23" t="s">
        <v>29</v>
      </c>
      <c r="E26" s="23" t="s">
        <v>25</v>
      </c>
      <c r="F26" s="23" t="s">
        <v>25</v>
      </c>
      <c r="G26" s="24" t="s">
        <v>84</v>
      </c>
      <c r="H26" s="24" t="s">
        <v>78</v>
      </c>
      <c r="I26" s="24">
        <f>'MERCADO TUSD'!$U$23</f>
        <v>254.32</v>
      </c>
      <c r="J26" s="15"/>
      <c r="L26" s="13">
        <f>'TUSD BE'!$L$26*'TUSD BE'!$L$62</f>
        <v>0</v>
      </c>
      <c r="M26" s="13">
        <f>'TUSD BE'!$M$26*'TUSD BE'!$M$62</f>
        <v>3.1450776225263023E-2</v>
      </c>
      <c r="N26" s="13">
        <f ca="1">'TUSD BE'!$N$26*'TUSD BE'!$N$62</f>
        <v>2.4912724310105115E-6</v>
      </c>
      <c r="O26" s="13">
        <f>'TUSD BE'!$O$26*'TUSD BE'!$O$62</f>
        <v>0</v>
      </c>
      <c r="P26" s="13">
        <f>'TUSD BE'!$P$26*'TUSD BE'!$P$62</f>
        <v>0</v>
      </c>
      <c r="Q26" s="13">
        <f>'TUSD BE'!$Q$26*'TUSD BE'!$Q$62</f>
        <v>0</v>
      </c>
      <c r="R26" s="13">
        <f>'TUSD BE'!$R$26*'TUSD BE'!$R$62</f>
        <v>0</v>
      </c>
      <c r="S26" s="13">
        <f>'TUSD BE'!$R$26*'TUSD BE'!$S$62</f>
        <v>0</v>
      </c>
      <c r="T26" s="13">
        <f ca="1">SUM($L$26:$S$26)</f>
        <v>3.1453267497694032E-2</v>
      </c>
      <c r="U26" s="13">
        <f>'TUSD BE'!$U$26*'TUSD BE'!$U$62</f>
        <v>0</v>
      </c>
      <c r="V26" s="13">
        <f>'TUSD BE'!$V$26*'TUSD BE'!$V$62</f>
        <v>0</v>
      </c>
      <c r="W26" s="13">
        <f>'TUSD BE'!$W$26*'TUSD BE'!$W$62</f>
        <v>0</v>
      </c>
      <c r="X26" s="13">
        <f>'TUSD BE'!$X$26*'TUSD BE'!$X$62</f>
        <v>0</v>
      </c>
      <c r="Y26" s="13">
        <f>'TUSD BE'!$Y$26*'TUSD BE'!$Y$62</f>
        <v>7.1250374663485365</v>
      </c>
      <c r="Z26" s="13">
        <f>'TUSD BE'!$Z$26*'TUSD BE'!$Z$62</f>
        <v>0</v>
      </c>
      <c r="AA26" s="13">
        <f>'TUSD BE'!$AA$26*'TUSD BE'!$AA$62</f>
        <v>0</v>
      </c>
      <c r="AB26" s="13">
        <f>SUM($U$26:$AA$26)</f>
        <v>7.1250374663485365</v>
      </c>
      <c r="AC26" s="13">
        <f>'TUSD BE'!$AC$26*'TUSD BE'!$AC$62</f>
        <v>8.0987683701646291E-3</v>
      </c>
      <c r="AD26" s="13">
        <f>SUM($AC$26:$AC$26)</f>
        <v>8.0987683701646291E-3</v>
      </c>
      <c r="AE26" s="13">
        <f ca="1">$AO$26*$AO$59</f>
        <v>-12.78473148267854</v>
      </c>
      <c r="AF26" s="13">
        <f ca="1">$AP$26*$AP$59</f>
        <v>0</v>
      </c>
      <c r="AG26" s="13">
        <f ca="1">SUM($AE$26:$AF$26)</f>
        <v>-12.78473148267854</v>
      </c>
      <c r="AH26" s="13">
        <f>'TUSD BE'!$AH$26*'TUSD BE'!$AH$62</f>
        <v>9.6817791535764128E-2</v>
      </c>
      <c r="AI26" s="13">
        <f>'TUSD BE'!$AI$26*'TUSD BE'!$AI$62</f>
        <v>0</v>
      </c>
      <c r="AJ26" s="13">
        <f ca="1">'TUSD BE'!$AJ$26*'TUSD BE'!$AJ$62</f>
        <v>5.679034148595657E-3</v>
      </c>
      <c r="AK26" s="13">
        <f ca="1">'TUSD BE'!$AK$26*'TUSD BE'!$AK$62</f>
        <v>1.3943273361419074E-2</v>
      </c>
      <c r="AL26" s="13">
        <f ca="1">SUM($AH$26:$AK$26)</f>
        <v>0.11644009904577887</v>
      </c>
      <c r="AM26" s="13">
        <f ca="1">SUMIF($L$4:$AL$4,"SUBTOTAL",$L$26:$AL$26)+AZ26</f>
        <v>-137.55983016483751</v>
      </c>
      <c r="AO26" s="26">
        <f ca="1">+'TUSD BE'!$T$26+'TUSD BE'!$AB$26+'TUSD BE'!$AD$26+'TUSD BE'!$AL$26</f>
        <v>325.43902524611752</v>
      </c>
      <c r="AP26" s="26">
        <f ca="1">+'TUSD BE'!$T$26+'TUSD BE'!$AB$26+'TUSD BE'!$AD$26+'TUSD BE'!$AL$26</f>
        <v>325.43902524611752</v>
      </c>
      <c r="AQ26" s="9" t="str">
        <f t="shared" si="0"/>
        <v>B1</v>
      </c>
      <c r="AR26" s="9" t="str">
        <f t="shared" si="1"/>
        <v>Convencional</v>
      </c>
      <c r="AS26" s="9" t="str">
        <f t="shared" si="2"/>
        <v>Residencial</v>
      </c>
      <c r="AT26" s="9" t="str">
        <f t="shared" si="3"/>
        <v>Residencial baixa renda – faixa 02</v>
      </c>
      <c r="AU26" s="9" t="str">
        <f t="shared" si="4"/>
        <v>Não se aplica</v>
      </c>
      <c r="AV26" s="9">
        <f t="shared" si="5"/>
        <v>1</v>
      </c>
      <c r="AW26" s="9">
        <f ca="1">TarifaMedia!$G$28</f>
        <v>1</v>
      </c>
      <c r="AX26" s="15">
        <f ca="1">'TUSD BE'!$AM26+'TUSD BF'!$AM26+'TUSD CVA'!$AM26</f>
        <v>319.83612828342115</v>
      </c>
      <c r="AY26" s="9">
        <v>187.78</v>
      </c>
      <c r="AZ26" s="9">
        <f t="shared" ca="1" si="6"/>
        <v>-132.05612828342115</v>
      </c>
      <c r="BC26" s="87" t="s">
        <v>835</v>
      </c>
    </row>
    <row r="27" spans="1:55" ht="11.25" customHeight="1" x14ac:dyDescent="0.3">
      <c r="A27" s="146"/>
      <c r="B27" s="146"/>
      <c r="C27" s="146"/>
      <c r="D27" s="23" t="s">
        <v>30</v>
      </c>
      <c r="E27" s="23" t="s">
        <v>25</v>
      </c>
      <c r="F27" s="23" t="s">
        <v>25</v>
      </c>
      <c r="G27" s="24" t="s">
        <v>84</v>
      </c>
      <c r="H27" s="24" t="s">
        <v>78</v>
      </c>
      <c r="I27" s="24">
        <f>'MERCADO TUSD'!$U$24</f>
        <v>248.52100000000002</v>
      </c>
      <c r="J27" s="15"/>
      <c r="L27" s="13">
        <f>'TUSD BE'!$L$27*'TUSD BE'!$L$62</f>
        <v>0</v>
      </c>
      <c r="M27" s="13">
        <f>'TUSD BE'!$M$27*'TUSD BE'!$M$62</f>
        <v>3.1450776225263023E-2</v>
      </c>
      <c r="N27" s="13">
        <f ca="1">'TUSD BE'!$N$27*'TUSD BE'!$N$62</f>
        <v>2.4912724310105115E-6</v>
      </c>
      <c r="O27" s="13">
        <f>'TUSD BE'!$O$27*'TUSD BE'!$O$62</f>
        <v>0</v>
      </c>
      <c r="P27" s="13">
        <f>'TUSD BE'!$P$27*'TUSD BE'!$P$62</f>
        <v>0</v>
      </c>
      <c r="Q27" s="13">
        <f>'TUSD BE'!$Q$27*'TUSD BE'!$Q$62</f>
        <v>0</v>
      </c>
      <c r="R27" s="13">
        <f>'TUSD BE'!$R$27*'TUSD BE'!$R$62</f>
        <v>0</v>
      </c>
      <c r="S27" s="13">
        <f>'TUSD BE'!$R$27*'TUSD BE'!$S$62</f>
        <v>0</v>
      </c>
      <c r="T27" s="13">
        <f ca="1">SUM($L$27:$S$27)</f>
        <v>3.1453267497694032E-2</v>
      </c>
      <c r="U27" s="13">
        <f>'TUSD BE'!$U$27*'TUSD BE'!$U$62</f>
        <v>0</v>
      </c>
      <c r="V27" s="13">
        <f>'TUSD BE'!$V$27*'TUSD BE'!$V$62</f>
        <v>0</v>
      </c>
      <c r="W27" s="13">
        <f>'TUSD BE'!$W$27*'TUSD BE'!$W$62</f>
        <v>0</v>
      </c>
      <c r="X27" s="13">
        <f>'TUSD BE'!$X$27*'TUSD BE'!$X$62</f>
        <v>0</v>
      </c>
      <c r="Y27" s="13">
        <f>'TUSD BE'!$Y$27*'TUSD BE'!$Y$62</f>
        <v>7.1250374663485365</v>
      </c>
      <c r="Z27" s="13">
        <f>'TUSD BE'!$Z$27*'TUSD BE'!$Z$62</f>
        <v>0</v>
      </c>
      <c r="AA27" s="13">
        <f>'TUSD BE'!$AA$27*'TUSD BE'!$AA$62</f>
        <v>0</v>
      </c>
      <c r="AB27" s="13">
        <f>SUM($U$27:$AA$27)</f>
        <v>7.1250374663485365</v>
      </c>
      <c r="AC27" s="13">
        <f>'TUSD BE'!$AC$27*'TUSD BE'!$AC$62</f>
        <v>8.0987683701646291E-3</v>
      </c>
      <c r="AD27" s="13">
        <f>SUM($AC$27:$AC$27)</f>
        <v>8.0987683701646291E-3</v>
      </c>
      <c r="AE27" s="13">
        <f ca="1">$AO$27*$AO$59</f>
        <v>-12.78473148267854</v>
      </c>
      <c r="AF27" s="13">
        <f ca="1">$AP$27*$AP$59</f>
        <v>0</v>
      </c>
      <c r="AG27" s="13">
        <f ca="1">SUM($AE$27:$AF$27)</f>
        <v>-12.78473148267854</v>
      </c>
      <c r="AH27" s="13">
        <f>'TUSD BE'!$AH$27*'TUSD BE'!$AH$62</f>
        <v>9.6817791535764128E-2</v>
      </c>
      <c r="AI27" s="13">
        <f>'TUSD BE'!$AI$27*'TUSD BE'!$AI$62</f>
        <v>0</v>
      </c>
      <c r="AJ27" s="13">
        <f ca="1">'TUSD BE'!$AJ$27*'TUSD BE'!$AJ$62</f>
        <v>5.679034148595657E-3</v>
      </c>
      <c r="AK27" s="13">
        <f ca="1">'TUSD BE'!$AK$27*'TUSD BE'!$AK$62</f>
        <v>1.3943273361419074E-2</v>
      </c>
      <c r="AL27" s="13">
        <f ca="1">SUM($AH$27:$AK$27)</f>
        <v>0.11644009904577887</v>
      </c>
      <c r="AM27" s="13">
        <f ca="1">SUMIF($L$4:$AL$4,"SUBTOTAL",$L$27:$AL$27)+AZ27</f>
        <v>-137.55983016483751</v>
      </c>
      <c r="AO27" s="26">
        <f ca="1">+'TUSD BE'!$T$27+'TUSD BE'!$AB$27+'TUSD BE'!$AD$27+'TUSD BE'!$AL$27</f>
        <v>325.43902524611752</v>
      </c>
      <c r="AP27" s="26">
        <f ca="1">+'TUSD BE'!$T$27+'TUSD BE'!$AB$27+'TUSD BE'!$AD$27+'TUSD BE'!$AL$27</f>
        <v>325.43902524611752</v>
      </c>
      <c r="AQ27" s="9" t="str">
        <f t="shared" si="0"/>
        <v>B1</v>
      </c>
      <c r="AR27" s="9" t="str">
        <f t="shared" si="1"/>
        <v>Convencional</v>
      </c>
      <c r="AS27" s="9" t="str">
        <f t="shared" si="2"/>
        <v>Residencial</v>
      </c>
      <c r="AT27" s="9" t="str">
        <f t="shared" si="3"/>
        <v>Residencial baixa renda – faixa 03</v>
      </c>
      <c r="AU27" s="9" t="str">
        <f t="shared" si="4"/>
        <v>Não se aplica</v>
      </c>
      <c r="AV27" s="9">
        <f t="shared" si="5"/>
        <v>1</v>
      </c>
      <c r="AW27" s="9">
        <f ca="1">TarifaMedia!$G$28</f>
        <v>1</v>
      </c>
      <c r="AX27" s="15">
        <f ca="1">'TUSD BE'!$AM27+'TUSD BF'!$AM27+'TUSD CVA'!$AM27</f>
        <v>319.83612828342115</v>
      </c>
      <c r="AY27" s="9">
        <v>187.78</v>
      </c>
      <c r="AZ27" s="9">
        <f t="shared" ca="1" si="6"/>
        <v>-132.05612828342115</v>
      </c>
      <c r="BC27" s="87" t="s">
        <v>835</v>
      </c>
    </row>
    <row r="28" spans="1:55" ht="11.25" customHeight="1" x14ac:dyDescent="0.3">
      <c r="A28" s="146"/>
      <c r="B28" s="146"/>
      <c r="C28" s="146"/>
      <c r="D28" s="23" t="s">
        <v>31</v>
      </c>
      <c r="E28" s="23" t="s">
        <v>25</v>
      </c>
      <c r="F28" s="23" t="s">
        <v>25</v>
      </c>
      <c r="G28" s="24" t="s">
        <v>84</v>
      </c>
      <c r="H28" s="24" t="s">
        <v>78</v>
      </c>
      <c r="I28" s="24">
        <f>'MERCADO TUSD'!$U$25</f>
        <v>91.992999999999995</v>
      </c>
      <c r="J28" s="15"/>
      <c r="L28" s="13">
        <f>'TUSD BE'!$L$28*'TUSD BE'!$L$62</f>
        <v>0</v>
      </c>
      <c r="M28" s="13">
        <f>'TUSD BE'!$M$28*'TUSD BE'!$M$62</f>
        <v>3.1450776225263023E-2</v>
      </c>
      <c r="N28" s="13">
        <f ca="1">'TUSD BE'!$N$28*'TUSD BE'!$N$62</f>
        <v>2.4912724310105115E-6</v>
      </c>
      <c r="O28" s="13">
        <f>'TUSD BE'!$O$28*'TUSD BE'!$O$62</f>
        <v>0</v>
      </c>
      <c r="P28" s="13">
        <f>'TUSD BE'!$P$28*'TUSD BE'!$P$62</f>
        <v>0</v>
      </c>
      <c r="Q28" s="13">
        <f>'TUSD BE'!$Q$28*'TUSD BE'!$Q$62</f>
        <v>0</v>
      </c>
      <c r="R28" s="13">
        <f>'TUSD BE'!$R$28*'TUSD BE'!$R$62</f>
        <v>0</v>
      </c>
      <c r="S28" s="13">
        <f>'TUSD BE'!$R$28*'TUSD BE'!$S$62</f>
        <v>0</v>
      </c>
      <c r="T28" s="13">
        <f ca="1">SUM($L$28:$S$28)</f>
        <v>3.1453267497694032E-2</v>
      </c>
      <c r="U28" s="13">
        <f>'TUSD BE'!$U$28*'TUSD BE'!$U$62</f>
        <v>0</v>
      </c>
      <c r="V28" s="13">
        <f>'TUSD BE'!$V$28*'TUSD BE'!$V$62</f>
        <v>0</v>
      </c>
      <c r="W28" s="13">
        <f>'TUSD BE'!$W$28*'TUSD BE'!$W$62</f>
        <v>0</v>
      </c>
      <c r="X28" s="13">
        <f>'TUSD BE'!$X$28*'TUSD BE'!$X$62</f>
        <v>0</v>
      </c>
      <c r="Y28" s="13">
        <f>'TUSD BE'!$Y$28*'TUSD BE'!$Y$62</f>
        <v>7.1250374663485365</v>
      </c>
      <c r="Z28" s="13">
        <f>'TUSD BE'!$Z$28*'TUSD BE'!$Z$62</f>
        <v>0</v>
      </c>
      <c r="AA28" s="13">
        <f>'TUSD BE'!$AA$28*'TUSD BE'!$AA$62</f>
        <v>0</v>
      </c>
      <c r="AB28" s="13">
        <f>SUM($U$28:$AA$28)</f>
        <v>7.1250374663485365</v>
      </c>
      <c r="AC28" s="13">
        <f>'TUSD BE'!$AC$28*'TUSD BE'!$AC$62</f>
        <v>8.0987683701646291E-3</v>
      </c>
      <c r="AD28" s="13">
        <f>SUM($AC$28:$AC$28)</f>
        <v>8.0987683701646291E-3</v>
      </c>
      <c r="AE28" s="13">
        <f ca="1">$AO$28*$AO$59</f>
        <v>-12.78473148267854</v>
      </c>
      <c r="AF28" s="13">
        <f ca="1">$AP$28*$AP$59</f>
        <v>0</v>
      </c>
      <c r="AG28" s="13">
        <f ca="1">SUM($AE$28:$AF$28)</f>
        <v>-12.78473148267854</v>
      </c>
      <c r="AH28" s="13">
        <f>'TUSD BE'!$AH$28*'TUSD BE'!$AH$62</f>
        <v>9.6817791535764128E-2</v>
      </c>
      <c r="AI28" s="13">
        <f>'TUSD BE'!$AI$28*'TUSD BE'!$AI$62</f>
        <v>0</v>
      </c>
      <c r="AJ28" s="13">
        <f ca="1">'TUSD BE'!$AJ$28*'TUSD BE'!$AJ$62</f>
        <v>5.679034148595657E-3</v>
      </c>
      <c r="AK28" s="13">
        <f ca="1">'TUSD BE'!$AK$28*'TUSD BE'!$AK$62</f>
        <v>1.3943273361419074E-2</v>
      </c>
      <c r="AL28" s="13">
        <f ca="1">SUM($AH$28:$AK$28)</f>
        <v>0.11644009904577887</v>
      </c>
      <c r="AM28" s="13">
        <f ca="1">SUMIF($L$4:$AL$4,"SUBTOTAL",$L$28:$AL$28)+AZ28</f>
        <v>-137.55983016483751</v>
      </c>
      <c r="AO28" s="26">
        <f ca="1">+'TUSD BE'!$T$28+'TUSD BE'!$AB$28+'TUSD BE'!$AD$28+'TUSD BE'!$AL$28</f>
        <v>325.43902524611752</v>
      </c>
      <c r="AP28" s="26">
        <f ca="1">+'TUSD BE'!$T$28+'TUSD BE'!$AB$28+'TUSD BE'!$AD$28+'TUSD BE'!$AL$28</f>
        <v>325.43902524611752</v>
      </c>
      <c r="AQ28" s="9" t="str">
        <f t="shared" si="0"/>
        <v>B1</v>
      </c>
      <c r="AR28" s="9" t="str">
        <f t="shared" si="1"/>
        <v>Convencional</v>
      </c>
      <c r="AS28" s="9" t="str">
        <f t="shared" si="2"/>
        <v>Residencial</v>
      </c>
      <c r="AT28" s="9" t="str">
        <f t="shared" si="3"/>
        <v>Residencial baixa renda – faixa 04</v>
      </c>
      <c r="AU28" s="9" t="str">
        <f t="shared" si="4"/>
        <v>Não se aplica</v>
      </c>
      <c r="AV28" s="9">
        <f t="shared" si="5"/>
        <v>1</v>
      </c>
      <c r="AW28" s="9">
        <f ca="1">TarifaMedia!$G$28</f>
        <v>1</v>
      </c>
      <c r="AX28" s="15">
        <f ca="1">'TUSD BE'!$AM28+'TUSD BF'!$AM28+'TUSD CVA'!$AM28</f>
        <v>319.83612828342115</v>
      </c>
      <c r="AY28" s="9">
        <v>187.78</v>
      </c>
      <c r="AZ28" s="9">
        <f t="shared" ca="1" si="6"/>
        <v>-132.05612828342115</v>
      </c>
      <c r="BC28" s="87" t="s">
        <v>835</v>
      </c>
    </row>
    <row r="29" spans="1:55" ht="11.25" customHeight="1" x14ac:dyDescent="0.3">
      <c r="A29" s="146"/>
      <c r="B29" s="146" t="s">
        <v>92</v>
      </c>
      <c r="C29" s="146" t="s">
        <v>24</v>
      </c>
      <c r="D29" s="23" t="s">
        <v>24</v>
      </c>
      <c r="E29" s="23" t="s">
        <v>25</v>
      </c>
      <c r="F29" s="23" t="s">
        <v>25</v>
      </c>
      <c r="G29" s="24" t="s">
        <v>84</v>
      </c>
      <c r="H29" s="24" t="s">
        <v>78</v>
      </c>
      <c r="I29" s="24">
        <f>'MERCADO TUSD'!$U$26</f>
        <v>0</v>
      </c>
      <c r="J29" s="15"/>
      <c r="L29" s="13">
        <f>'TUSD BE'!$L$29*'TUSD BE'!$L$62</f>
        <v>0.11582412398668746</v>
      </c>
      <c r="M29" s="13">
        <f>'TUSD BE'!$M$29*'TUSD BE'!$M$62</f>
        <v>3.1450776225263023E-2</v>
      </c>
      <c r="N29" s="13">
        <f ca="1">'TUSD BE'!$N$29*'TUSD BE'!$N$62</f>
        <v>2.4998425446476113E-6</v>
      </c>
      <c r="O29" s="13">
        <f>'TUSD BE'!$O$29*'TUSD BE'!$O$62</f>
        <v>0</v>
      </c>
      <c r="P29" s="13">
        <f>'TUSD BE'!$P$29*'TUSD BE'!$P$62</f>
        <v>0</v>
      </c>
      <c r="Q29" s="13">
        <f>'TUSD BE'!$Q$29*'TUSD BE'!$Q$62</f>
        <v>3.9920921295007172</v>
      </c>
      <c r="R29" s="13">
        <f>'TUSD BE'!$R$29*'TUSD BE'!$R$62</f>
        <v>0.46136832062853605</v>
      </c>
      <c r="S29" s="13">
        <f>'TUSD BE'!$R$29*'TUSD BE'!$S$62</f>
        <v>0</v>
      </c>
      <c r="T29" s="13">
        <f ca="1">SUM($L$29:$S$29)</f>
        <v>4.6007378501837488</v>
      </c>
      <c r="U29" s="13">
        <f>'TUSD BE'!$U$29*'TUSD BE'!$U$62</f>
        <v>0</v>
      </c>
      <c r="V29" s="13">
        <f>'TUSD BE'!$V$29*'TUSD BE'!$V$62</f>
        <v>0</v>
      </c>
      <c r="W29" s="13">
        <f>'TUSD BE'!$W$29*'TUSD BE'!$W$62</f>
        <v>0</v>
      </c>
      <c r="X29" s="13">
        <f>'TUSD BE'!$X$29*'TUSD BE'!$X$62</f>
        <v>0</v>
      </c>
      <c r="Y29" s="13">
        <f>'TUSD BE'!$Y$29*'TUSD BE'!$Y$62</f>
        <v>7.1250374663485365</v>
      </c>
      <c r="Z29" s="13">
        <f>'TUSD BE'!$Z$29*'TUSD BE'!$Z$62</f>
        <v>0</v>
      </c>
      <c r="AA29" s="13">
        <f>'TUSD BE'!$AA$29*'TUSD BE'!$AA$62</f>
        <v>0</v>
      </c>
      <c r="AB29" s="13">
        <f>SUM($U$29:$AA$29)</f>
        <v>7.1250374663485365</v>
      </c>
      <c r="AC29" s="13">
        <f>'TUSD BE'!$AC$29*'TUSD BE'!$AC$62</f>
        <v>8.0987683701646291E-3</v>
      </c>
      <c r="AD29" s="13">
        <f>SUM($AC$29:$AC$29)</f>
        <v>8.0987683701646291E-3</v>
      </c>
      <c r="AE29" s="13">
        <f ca="1">$AO$29*$AO$59</f>
        <v>-17.524654495650299</v>
      </c>
      <c r="AF29" s="13">
        <f ca="1">$AP$29*$AP$59</f>
        <v>0</v>
      </c>
      <c r="AG29" s="13">
        <f ca="1">SUM($AE$29:$AF$29)</f>
        <v>-17.524654495650299</v>
      </c>
      <c r="AH29" s="13">
        <f>'TUSD BE'!$AH$29*'TUSD BE'!$AH$62</f>
        <v>9.6817791535764128E-2</v>
      </c>
      <c r="AI29" s="13">
        <f>'TUSD BE'!$AI$29*'TUSD BE'!$AI$62</f>
        <v>0</v>
      </c>
      <c r="AJ29" s="13">
        <f ca="1">'TUSD BE'!$AJ$29*'TUSD BE'!$AJ$62</f>
        <v>5.679034148595657E-3</v>
      </c>
      <c r="AK29" s="13">
        <f ca="1">'TUSD BE'!$AK$29*'TUSD BE'!$AK$62</f>
        <v>1.3943273361419074E-2</v>
      </c>
      <c r="AL29" s="13">
        <f ca="1">SUM($AH$29:$AK$29)</f>
        <v>0.11644009904577887</v>
      </c>
      <c r="AM29" s="13">
        <f ca="1">SUMIF($L$4:$AL$4,"SUBTOTAL",$L$29:$AL$29)+AZ29</f>
        <v>-166.96544137924943</v>
      </c>
      <c r="AO29" s="26">
        <f ca="1">+'TUSD BE'!$T$29+'TUSD BE'!$AB$29+'TUSD BE'!$AD$29+'TUSD BE'!$AL$29</f>
        <v>446.09513188184229</v>
      </c>
      <c r="AP29" s="26">
        <f ca="1">+'TUSD BE'!$T$29+'TUSD BE'!$AB$29+'TUSD BE'!$AD$29+'TUSD BE'!$AL$29</f>
        <v>446.09513188184229</v>
      </c>
      <c r="AQ29" s="9" t="str">
        <f t="shared" si="0"/>
        <v>B1</v>
      </c>
      <c r="AR29" s="9" t="str">
        <f t="shared" si="1"/>
        <v>Convencional pré-pagamento</v>
      </c>
      <c r="AS29" s="9" t="str">
        <f t="shared" si="2"/>
        <v>Residencial</v>
      </c>
      <c r="AT29" s="9" t="str">
        <f t="shared" si="3"/>
        <v>Residencial</v>
      </c>
      <c r="AU29" s="9" t="str">
        <f t="shared" si="4"/>
        <v>Não se aplica</v>
      </c>
      <c r="AV29" s="9">
        <f t="shared" si="5"/>
        <v>1</v>
      </c>
      <c r="AW29" s="9">
        <f ca="1">TarifaMedia!$G$28</f>
        <v>1</v>
      </c>
      <c r="AX29" s="15">
        <f ca="1">'TUSD BE'!$AM29+'TUSD BF'!$AM29+'TUSD CVA'!$AM29</f>
        <v>471.78110106754735</v>
      </c>
      <c r="AY29" s="9">
        <v>310.49</v>
      </c>
      <c r="AZ29" s="9">
        <f t="shared" ca="1" si="6"/>
        <v>-161.29110106754734</v>
      </c>
      <c r="BC29" s="87" t="s">
        <v>836</v>
      </c>
    </row>
    <row r="30" spans="1:55" ht="11.25" customHeight="1" x14ac:dyDescent="0.3">
      <c r="A30" s="146"/>
      <c r="B30" s="146"/>
      <c r="C30" s="146"/>
      <c r="D30" s="23" t="s">
        <v>28</v>
      </c>
      <c r="E30" s="23" t="s">
        <v>25</v>
      </c>
      <c r="F30" s="23" t="s">
        <v>25</v>
      </c>
      <c r="G30" s="24" t="s">
        <v>84</v>
      </c>
      <c r="H30" s="24" t="s">
        <v>78</v>
      </c>
      <c r="I30" s="24">
        <f>'MERCADO TUSD'!$U$27</f>
        <v>0</v>
      </c>
      <c r="J30" s="15"/>
      <c r="L30" s="13">
        <f>'TUSD BE'!$L$30*'TUSD BE'!$L$62</f>
        <v>0</v>
      </c>
      <c r="M30" s="13">
        <f>'TUSD BE'!$M$30*'TUSD BE'!$M$62</f>
        <v>3.1450776225263023E-2</v>
      </c>
      <c r="N30" s="13">
        <f ca="1">'TUSD BE'!$N$30*'TUSD BE'!$N$62</f>
        <v>2.4912724310105115E-6</v>
      </c>
      <c r="O30" s="13">
        <f>'TUSD BE'!$O$30*'TUSD BE'!$O$62</f>
        <v>0</v>
      </c>
      <c r="P30" s="13">
        <f>'TUSD BE'!$P$30*'TUSD BE'!$P$62</f>
        <v>0</v>
      </c>
      <c r="Q30" s="13">
        <f>'TUSD BE'!$Q$30*'TUSD BE'!$Q$62</f>
        <v>0</v>
      </c>
      <c r="R30" s="13">
        <f>'TUSD BE'!$R$30*'TUSD BE'!$R$62</f>
        <v>0</v>
      </c>
      <c r="S30" s="13">
        <f>'TUSD BE'!$R$30*'TUSD BE'!$S$62</f>
        <v>0</v>
      </c>
      <c r="T30" s="13">
        <f ca="1">SUM($L$30:$S$30)</f>
        <v>3.1453267497694032E-2</v>
      </c>
      <c r="U30" s="13">
        <f>'TUSD BE'!$U$30*'TUSD BE'!$U$62</f>
        <v>0</v>
      </c>
      <c r="V30" s="13">
        <f>'TUSD BE'!$V$30*'TUSD BE'!$V$62</f>
        <v>0</v>
      </c>
      <c r="W30" s="13">
        <f>'TUSD BE'!$W$30*'TUSD BE'!$W$62</f>
        <v>0</v>
      </c>
      <c r="X30" s="13">
        <f>'TUSD BE'!$X$30*'TUSD BE'!$X$62</f>
        <v>0</v>
      </c>
      <c r="Y30" s="13">
        <f>'TUSD BE'!$Y$30*'TUSD BE'!$Y$62</f>
        <v>7.1250374663485365</v>
      </c>
      <c r="Z30" s="13">
        <f>'TUSD BE'!$Z$30*'TUSD BE'!$Z$62</f>
        <v>0</v>
      </c>
      <c r="AA30" s="13">
        <f>'TUSD BE'!$AA$30*'TUSD BE'!$AA$62</f>
        <v>0</v>
      </c>
      <c r="AB30" s="13">
        <f>SUM($U$30:$AA$30)</f>
        <v>7.1250374663485365</v>
      </c>
      <c r="AC30" s="13">
        <f>'TUSD BE'!$AC$30*'TUSD BE'!$AC$62</f>
        <v>8.0987683701646291E-3</v>
      </c>
      <c r="AD30" s="13">
        <f>SUM($AC$30:$AC$30)</f>
        <v>8.0987683701646291E-3</v>
      </c>
      <c r="AE30" s="13">
        <f ca="1">$AO$30*$AO$59</f>
        <v>-12.78473148267854</v>
      </c>
      <c r="AF30" s="13">
        <f ca="1">$AP$30*$AP$59</f>
        <v>0</v>
      </c>
      <c r="AG30" s="13">
        <f ca="1">SUM($AE$30:$AF$30)</f>
        <v>-12.78473148267854</v>
      </c>
      <c r="AH30" s="13">
        <f>'TUSD BE'!$AH$30*'TUSD BE'!$AH$62</f>
        <v>9.6817791535764128E-2</v>
      </c>
      <c r="AI30" s="13">
        <f>'TUSD BE'!$AI$30*'TUSD BE'!$AI$62</f>
        <v>0</v>
      </c>
      <c r="AJ30" s="13">
        <f ca="1">'TUSD BE'!$AJ$30*'TUSD BE'!$AJ$62</f>
        <v>5.679034148595657E-3</v>
      </c>
      <c r="AK30" s="13">
        <f ca="1">'TUSD BE'!$AK$30*'TUSD BE'!$AK$62</f>
        <v>1.3943273361419074E-2</v>
      </c>
      <c r="AL30" s="13">
        <f ca="1">SUM($AH$30:$AK$30)</f>
        <v>0.11644009904577887</v>
      </c>
      <c r="AM30" s="13">
        <f ca="1">SUMIF($L$4:$AL$4,"SUBTOTAL",$L$30:$AL$30)+AZ30</f>
        <v>-137.55983016483751</v>
      </c>
      <c r="AO30" s="26">
        <f ca="1">+'TUSD BE'!$T$30+'TUSD BE'!$AB$30+'TUSD BE'!$AD$30+'TUSD BE'!$AL$30</f>
        <v>325.43902524611752</v>
      </c>
      <c r="AP30" s="26">
        <f ca="1">+'TUSD BE'!$T$30+'TUSD BE'!$AB$30+'TUSD BE'!$AD$30+'TUSD BE'!$AL$30</f>
        <v>325.43902524611752</v>
      </c>
      <c r="AQ30" s="9" t="str">
        <f t="shared" si="0"/>
        <v>B1</v>
      </c>
      <c r="AR30" s="9" t="str">
        <f t="shared" si="1"/>
        <v>Convencional pré-pagamento</v>
      </c>
      <c r="AS30" s="9" t="str">
        <f t="shared" si="2"/>
        <v>Residencial</v>
      </c>
      <c r="AT30" s="9" t="str">
        <f t="shared" si="3"/>
        <v>Residencial baixa renda – faixa 01</v>
      </c>
      <c r="AU30" s="9" t="str">
        <f t="shared" si="4"/>
        <v>Não se aplica</v>
      </c>
      <c r="AV30" s="9">
        <f t="shared" si="5"/>
        <v>1</v>
      </c>
      <c r="AW30" s="9">
        <f ca="1">TarifaMedia!$G$28</f>
        <v>1</v>
      </c>
      <c r="AX30" s="15">
        <f ca="1">'TUSD BE'!$AM30+'TUSD BF'!$AM30+'TUSD CVA'!$AM30</f>
        <v>319.83612828342115</v>
      </c>
      <c r="AY30" s="9">
        <v>187.78</v>
      </c>
      <c r="AZ30" s="9">
        <f t="shared" ca="1" si="6"/>
        <v>-132.05612828342115</v>
      </c>
      <c r="BC30" s="87" t="s">
        <v>837</v>
      </c>
    </row>
    <row r="31" spans="1:55" ht="11.25" customHeight="1" x14ac:dyDescent="0.3">
      <c r="A31" s="146"/>
      <c r="B31" s="146"/>
      <c r="C31" s="146"/>
      <c r="D31" s="23" t="s">
        <v>29</v>
      </c>
      <c r="E31" s="23" t="s">
        <v>25</v>
      </c>
      <c r="F31" s="23" t="s">
        <v>25</v>
      </c>
      <c r="G31" s="24" t="s">
        <v>84</v>
      </c>
      <c r="H31" s="24" t="s">
        <v>78</v>
      </c>
      <c r="I31" s="24">
        <f>'MERCADO TUSD'!$U$28</f>
        <v>0</v>
      </c>
      <c r="J31" s="15"/>
      <c r="L31" s="13">
        <f>'TUSD BE'!$L$31*'TUSD BE'!$L$62</f>
        <v>0</v>
      </c>
      <c r="M31" s="13">
        <f>'TUSD BE'!$M$31*'TUSD BE'!$M$62</f>
        <v>3.1450776225263023E-2</v>
      </c>
      <c r="N31" s="13">
        <f ca="1">'TUSD BE'!$N$31*'TUSD BE'!$N$62</f>
        <v>2.4912724310105115E-6</v>
      </c>
      <c r="O31" s="13">
        <f>'TUSD BE'!$O$31*'TUSD BE'!$O$62</f>
        <v>0</v>
      </c>
      <c r="P31" s="13">
        <f>'TUSD BE'!$P$31*'TUSD BE'!$P$62</f>
        <v>0</v>
      </c>
      <c r="Q31" s="13">
        <f>'TUSD BE'!$Q$31*'TUSD BE'!$Q$62</f>
        <v>0</v>
      </c>
      <c r="R31" s="13">
        <f>'TUSD BE'!$R$31*'TUSD BE'!$R$62</f>
        <v>0</v>
      </c>
      <c r="S31" s="13">
        <f>'TUSD BE'!$R$31*'TUSD BE'!$S$62</f>
        <v>0</v>
      </c>
      <c r="T31" s="13">
        <f ca="1">SUM($L$31:$S$31)</f>
        <v>3.1453267497694032E-2</v>
      </c>
      <c r="U31" s="13">
        <f>'TUSD BE'!$U$31*'TUSD BE'!$U$62</f>
        <v>0</v>
      </c>
      <c r="V31" s="13">
        <f>'TUSD BE'!$V$31*'TUSD BE'!$V$62</f>
        <v>0</v>
      </c>
      <c r="W31" s="13">
        <f>'TUSD BE'!$W$31*'TUSD BE'!$W$62</f>
        <v>0</v>
      </c>
      <c r="X31" s="13">
        <f>'TUSD BE'!$X$31*'TUSD BE'!$X$62</f>
        <v>0</v>
      </c>
      <c r="Y31" s="13">
        <f>'TUSD BE'!$Y$31*'TUSD BE'!$Y$62</f>
        <v>7.1250374663485365</v>
      </c>
      <c r="Z31" s="13">
        <f>'TUSD BE'!$Z$31*'TUSD BE'!$Z$62</f>
        <v>0</v>
      </c>
      <c r="AA31" s="13">
        <f>'TUSD BE'!$AA$31*'TUSD BE'!$AA$62</f>
        <v>0</v>
      </c>
      <c r="AB31" s="13">
        <f>SUM($U$31:$AA$31)</f>
        <v>7.1250374663485365</v>
      </c>
      <c r="AC31" s="13">
        <f>'TUSD BE'!$AC$31*'TUSD BE'!$AC$62</f>
        <v>8.0987683701646291E-3</v>
      </c>
      <c r="AD31" s="13">
        <f>SUM($AC$31:$AC$31)</f>
        <v>8.0987683701646291E-3</v>
      </c>
      <c r="AE31" s="13">
        <f ca="1">$AO$31*$AO$59</f>
        <v>-12.78473148267854</v>
      </c>
      <c r="AF31" s="13">
        <f ca="1">$AP$31*$AP$59</f>
        <v>0</v>
      </c>
      <c r="AG31" s="13">
        <f ca="1">SUM($AE$31:$AF$31)</f>
        <v>-12.78473148267854</v>
      </c>
      <c r="AH31" s="13">
        <f>'TUSD BE'!$AH$31*'TUSD BE'!$AH$62</f>
        <v>9.6817791535764128E-2</v>
      </c>
      <c r="AI31" s="13">
        <f>'TUSD BE'!$AI$31*'TUSD BE'!$AI$62</f>
        <v>0</v>
      </c>
      <c r="AJ31" s="13">
        <f ca="1">'TUSD BE'!$AJ$31*'TUSD BE'!$AJ$62</f>
        <v>5.679034148595657E-3</v>
      </c>
      <c r="AK31" s="13">
        <f ca="1">'TUSD BE'!$AK$31*'TUSD BE'!$AK$62</f>
        <v>1.3943273361419074E-2</v>
      </c>
      <c r="AL31" s="13">
        <f ca="1">SUM($AH$31:$AK$31)</f>
        <v>0.11644009904577887</v>
      </c>
      <c r="AM31" s="13">
        <f ca="1">SUMIF($L$4:$AL$4,"SUBTOTAL",$L$31:$AL$31)+AZ31</f>
        <v>-137.55983016483751</v>
      </c>
      <c r="AO31" s="26">
        <f ca="1">+'TUSD BE'!$T$31+'TUSD BE'!$AB$31+'TUSD BE'!$AD$31+'TUSD BE'!$AL$31</f>
        <v>325.43902524611752</v>
      </c>
      <c r="AP31" s="26">
        <f ca="1">+'TUSD BE'!$T$31+'TUSD BE'!$AB$31+'TUSD BE'!$AD$31+'TUSD BE'!$AL$31</f>
        <v>325.43902524611752</v>
      </c>
      <c r="AQ31" s="9" t="str">
        <f t="shared" si="0"/>
        <v>B1</v>
      </c>
      <c r="AR31" s="9" t="str">
        <f t="shared" si="1"/>
        <v>Convencional pré-pagamento</v>
      </c>
      <c r="AS31" s="9" t="str">
        <f t="shared" si="2"/>
        <v>Residencial</v>
      </c>
      <c r="AT31" s="9" t="str">
        <f t="shared" si="3"/>
        <v>Residencial baixa renda – faixa 02</v>
      </c>
      <c r="AU31" s="9" t="str">
        <f t="shared" si="4"/>
        <v>Não se aplica</v>
      </c>
      <c r="AV31" s="9">
        <f t="shared" si="5"/>
        <v>1</v>
      </c>
      <c r="AW31" s="9">
        <f ca="1">TarifaMedia!$G$28</f>
        <v>1</v>
      </c>
      <c r="AX31" s="15">
        <f ca="1">'TUSD BE'!$AM31+'TUSD BF'!$AM31+'TUSD CVA'!$AM31</f>
        <v>319.83612828342115</v>
      </c>
      <c r="AY31" s="9">
        <v>187.78</v>
      </c>
      <c r="AZ31" s="9">
        <f t="shared" ca="1" si="6"/>
        <v>-132.05612828342115</v>
      </c>
      <c r="BC31" s="87" t="s">
        <v>837</v>
      </c>
    </row>
    <row r="32" spans="1:55" ht="11.25" customHeight="1" x14ac:dyDescent="0.3">
      <c r="A32" s="146"/>
      <c r="B32" s="146"/>
      <c r="C32" s="146"/>
      <c r="D32" s="23" t="s">
        <v>30</v>
      </c>
      <c r="E32" s="23" t="s">
        <v>25</v>
      </c>
      <c r="F32" s="23" t="s">
        <v>25</v>
      </c>
      <c r="G32" s="24" t="s">
        <v>84</v>
      </c>
      <c r="H32" s="24" t="s">
        <v>78</v>
      </c>
      <c r="I32" s="24">
        <f>'MERCADO TUSD'!$U$29</f>
        <v>0</v>
      </c>
      <c r="J32" s="15"/>
      <c r="L32" s="13">
        <f>'TUSD BE'!$L$32*'TUSD BE'!$L$62</f>
        <v>0</v>
      </c>
      <c r="M32" s="13">
        <f>'TUSD BE'!$M$32*'TUSD BE'!$M$62</f>
        <v>3.1450776225263023E-2</v>
      </c>
      <c r="N32" s="13">
        <f ca="1">'TUSD BE'!$N$32*'TUSD BE'!$N$62</f>
        <v>2.4912724310105115E-6</v>
      </c>
      <c r="O32" s="13">
        <f>'TUSD BE'!$O$32*'TUSD BE'!$O$62</f>
        <v>0</v>
      </c>
      <c r="P32" s="13">
        <f>'TUSD BE'!$P$32*'TUSD BE'!$P$62</f>
        <v>0</v>
      </c>
      <c r="Q32" s="13">
        <f>'TUSD BE'!$Q$32*'TUSD BE'!$Q$62</f>
        <v>0</v>
      </c>
      <c r="R32" s="13">
        <f>'TUSD BE'!$R$32*'TUSD BE'!$R$62</f>
        <v>0</v>
      </c>
      <c r="S32" s="13">
        <f>'TUSD BE'!$R$32*'TUSD BE'!$S$62</f>
        <v>0</v>
      </c>
      <c r="T32" s="13">
        <f ca="1">SUM($L$32:$S$32)</f>
        <v>3.1453267497694032E-2</v>
      </c>
      <c r="U32" s="13">
        <f>'TUSD BE'!$U$32*'TUSD BE'!$U$62</f>
        <v>0</v>
      </c>
      <c r="V32" s="13">
        <f>'TUSD BE'!$V$32*'TUSD BE'!$V$62</f>
        <v>0</v>
      </c>
      <c r="W32" s="13">
        <f>'TUSD BE'!$W$32*'TUSD BE'!$W$62</f>
        <v>0</v>
      </c>
      <c r="X32" s="13">
        <f>'TUSD BE'!$X$32*'TUSD BE'!$X$62</f>
        <v>0</v>
      </c>
      <c r="Y32" s="13">
        <f>'TUSD BE'!$Y$32*'TUSD BE'!$Y$62</f>
        <v>7.1250374663485365</v>
      </c>
      <c r="Z32" s="13">
        <f>'TUSD BE'!$Z$32*'TUSD BE'!$Z$62</f>
        <v>0</v>
      </c>
      <c r="AA32" s="13">
        <f>'TUSD BE'!$AA$32*'TUSD BE'!$AA$62</f>
        <v>0</v>
      </c>
      <c r="AB32" s="13">
        <f>SUM($U$32:$AA$32)</f>
        <v>7.1250374663485365</v>
      </c>
      <c r="AC32" s="13">
        <f>'TUSD BE'!$AC$32*'TUSD BE'!$AC$62</f>
        <v>8.0987683701646291E-3</v>
      </c>
      <c r="AD32" s="13">
        <f>SUM($AC$32:$AC$32)</f>
        <v>8.0987683701646291E-3</v>
      </c>
      <c r="AE32" s="13">
        <f ca="1">$AO$32*$AO$59</f>
        <v>-12.78473148267854</v>
      </c>
      <c r="AF32" s="13">
        <f ca="1">$AP$32*$AP$59</f>
        <v>0</v>
      </c>
      <c r="AG32" s="13">
        <f ca="1">SUM($AE$32:$AF$32)</f>
        <v>-12.78473148267854</v>
      </c>
      <c r="AH32" s="13">
        <f>'TUSD BE'!$AH$32*'TUSD BE'!$AH$62</f>
        <v>9.6817791535764128E-2</v>
      </c>
      <c r="AI32" s="13">
        <f>'TUSD BE'!$AI$32*'TUSD BE'!$AI$62</f>
        <v>0</v>
      </c>
      <c r="AJ32" s="13">
        <f ca="1">'TUSD BE'!$AJ$32*'TUSD BE'!$AJ$62</f>
        <v>5.679034148595657E-3</v>
      </c>
      <c r="AK32" s="13">
        <f ca="1">'TUSD BE'!$AK$32*'TUSD BE'!$AK$62</f>
        <v>1.3943273361419074E-2</v>
      </c>
      <c r="AL32" s="13">
        <f ca="1">SUM($AH$32:$AK$32)</f>
        <v>0.11644009904577887</v>
      </c>
      <c r="AM32" s="13">
        <f ca="1">SUMIF($L$4:$AL$4,"SUBTOTAL",$L$32:$AL$32)+AZ32</f>
        <v>-137.55983016483751</v>
      </c>
      <c r="AO32" s="26">
        <f ca="1">+'TUSD BE'!$T$32+'TUSD BE'!$AB$32+'TUSD BE'!$AD$32+'TUSD BE'!$AL$32</f>
        <v>325.43902524611752</v>
      </c>
      <c r="AP32" s="26">
        <f ca="1">+'TUSD BE'!$T$32+'TUSD BE'!$AB$32+'TUSD BE'!$AD$32+'TUSD BE'!$AL$32</f>
        <v>325.43902524611752</v>
      </c>
      <c r="AQ32" s="9" t="str">
        <f t="shared" si="0"/>
        <v>B1</v>
      </c>
      <c r="AR32" s="9" t="str">
        <f t="shared" si="1"/>
        <v>Convencional pré-pagamento</v>
      </c>
      <c r="AS32" s="9" t="str">
        <f t="shared" si="2"/>
        <v>Residencial</v>
      </c>
      <c r="AT32" s="9" t="str">
        <f t="shared" si="3"/>
        <v>Residencial baixa renda – faixa 03</v>
      </c>
      <c r="AU32" s="9" t="str">
        <f t="shared" si="4"/>
        <v>Não se aplica</v>
      </c>
      <c r="AV32" s="9">
        <f t="shared" si="5"/>
        <v>1</v>
      </c>
      <c r="AW32" s="9">
        <f ca="1">TarifaMedia!$G$28</f>
        <v>1</v>
      </c>
      <c r="AX32" s="15">
        <f ca="1">'TUSD BE'!$AM32+'TUSD BF'!$AM32+'TUSD CVA'!$AM32</f>
        <v>319.83612828342115</v>
      </c>
      <c r="AY32" s="9">
        <v>187.78</v>
      </c>
      <c r="AZ32" s="9">
        <f t="shared" ca="1" si="6"/>
        <v>-132.05612828342115</v>
      </c>
      <c r="BC32" s="87" t="s">
        <v>837</v>
      </c>
    </row>
    <row r="33" spans="1:55" ht="11.25" customHeight="1" x14ac:dyDescent="0.3">
      <c r="A33" s="146"/>
      <c r="B33" s="146"/>
      <c r="C33" s="146"/>
      <c r="D33" s="23" t="s">
        <v>31</v>
      </c>
      <c r="E33" s="23" t="s">
        <v>25</v>
      </c>
      <c r="F33" s="23" t="s">
        <v>25</v>
      </c>
      <c r="G33" s="24" t="s">
        <v>84</v>
      </c>
      <c r="H33" s="24" t="s">
        <v>78</v>
      </c>
      <c r="I33" s="24">
        <f>'MERCADO TUSD'!$U$30</f>
        <v>0</v>
      </c>
      <c r="J33" s="15"/>
      <c r="L33" s="13">
        <f>'TUSD BE'!$L$33*'TUSD BE'!$L$62</f>
        <v>0</v>
      </c>
      <c r="M33" s="13">
        <f>'TUSD BE'!$M$33*'TUSD BE'!$M$62</f>
        <v>3.1450776225263023E-2</v>
      </c>
      <c r="N33" s="13">
        <f ca="1">'TUSD BE'!$N$33*'TUSD BE'!$N$62</f>
        <v>2.4912724310105115E-6</v>
      </c>
      <c r="O33" s="13">
        <f>'TUSD BE'!$O$33*'TUSD BE'!$O$62</f>
        <v>0</v>
      </c>
      <c r="P33" s="13">
        <f>'TUSD BE'!$P$33*'TUSD BE'!$P$62</f>
        <v>0</v>
      </c>
      <c r="Q33" s="13">
        <f>'TUSD BE'!$Q$33*'TUSD BE'!$Q$62</f>
        <v>0</v>
      </c>
      <c r="R33" s="13">
        <f>'TUSD BE'!$R$33*'TUSD BE'!$R$62</f>
        <v>0</v>
      </c>
      <c r="S33" s="13">
        <f>'TUSD BE'!$R$33*'TUSD BE'!$S$62</f>
        <v>0</v>
      </c>
      <c r="T33" s="13">
        <f ca="1">SUM($L$33:$S$33)</f>
        <v>3.1453267497694032E-2</v>
      </c>
      <c r="U33" s="13">
        <f>'TUSD BE'!$U$33*'TUSD BE'!$U$62</f>
        <v>0</v>
      </c>
      <c r="V33" s="13">
        <f>'TUSD BE'!$V$33*'TUSD BE'!$V$62</f>
        <v>0</v>
      </c>
      <c r="W33" s="13">
        <f>'TUSD BE'!$W$33*'TUSD BE'!$W$62</f>
        <v>0</v>
      </c>
      <c r="X33" s="13">
        <f>'TUSD BE'!$X$33*'TUSD BE'!$X$62</f>
        <v>0</v>
      </c>
      <c r="Y33" s="13">
        <f>'TUSD BE'!$Y$33*'TUSD BE'!$Y$62</f>
        <v>7.1250374663485365</v>
      </c>
      <c r="Z33" s="13">
        <f>'TUSD BE'!$Z$33*'TUSD BE'!$Z$62</f>
        <v>0</v>
      </c>
      <c r="AA33" s="13">
        <f>'TUSD BE'!$AA$33*'TUSD BE'!$AA$62</f>
        <v>0</v>
      </c>
      <c r="AB33" s="13">
        <f>SUM($U$33:$AA$33)</f>
        <v>7.1250374663485365</v>
      </c>
      <c r="AC33" s="13">
        <f>'TUSD BE'!$AC$33*'TUSD BE'!$AC$62</f>
        <v>8.0987683701646291E-3</v>
      </c>
      <c r="AD33" s="13">
        <f>SUM($AC$33:$AC$33)</f>
        <v>8.0987683701646291E-3</v>
      </c>
      <c r="AE33" s="13">
        <f ca="1">$AO$33*$AO$59</f>
        <v>-12.78473148267854</v>
      </c>
      <c r="AF33" s="13">
        <f ca="1">$AP$33*$AP$59</f>
        <v>0</v>
      </c>
      <c r="AG33" s="13">
        <f ca="1">SUM($AE$33:$AF$33)</f>
        <v>-12.78473148267854</v>
      </c>
      <c r="AH33" s="13">
        <f>'TUSD BE'!$AH$33*'TUSD BE'!$AH$62</f>
        <v>9.6817791535764128E-2</v>
      </c>
      <c r="AI33" s="13">
        <f>'TUSD BE'!$AI$33*'TUSD BE'!$AI$62</f>
        <v>0</v>
      </c>
      <c r="AJ33" s="13">
        <f ca="1">'TUSD BE'!$AJ$33*'TUSD BE'!$AJ$62</f>
        <v>5.679034148595657E-3</v>
      </c>
      <c r="AK33" s="13">
        <f ca="1">'TUSD BE'!$AK$33*'TUSD BE'!$AK$62</f>
        <v>1.3943273361419074E-2</v>
      </c>
      <c r="AL33" s="13">
        <f ca="1">SUM($AH$33:$AK$33)</f>
        <v>0.11644009904577887</v>
      </c>
      <c r="AM33" s="13">
        <f ca="1">SUMIF($L$4:$AL$4,"SUBTOTAL",$L$33:$AL$33)+AZ33</f>
        <v>-137.55983016483751</v>
      </c>
      <c r="AO33" s="26">
        <f ca="1">+'TUSD BE'!$T$33+'TUSD BE'!$AB$33+'TUSD BE'!$AD$33+'TUSD BE'!$AL$33</f>
        <v>325.43902524611752</v>
      </c>
      <c r="AP33" s="26">
        <f ca="1">+'TUSD BE'!$T$33+'TUSD BE'!$AB$33+'TUSD BE'!$AD$33+'TUSD BE'!$AL$33</f>
        <v>325.43902524611752</v>
      </c>
      <c r="AQ33" s="9" t="str">
        <f t="shared" si="0"/>
        <v>B1</v>
      </c>
      <c r="AR33" s="9" t="str">
        <f t="shared" si="1"/>
        <v>Convencional pré-pagamento</v>
      </c>
      <c r="AS33" s="9" t="str">
        <f t="shared" si="2"/>
        <v>Residencial</v>
      </c>
      <c r="AT33" s="9" t="str">
        <f t="shared" si="3"/>
        <v>Residencial baixa renda – faixa 04</v>
      </c>
      <c r="AU33" s="9" t="str">
        <f t="shared" si="4"/>
        <v>Não se aplica</v>
      </c>
      <c r="AV33" s="9">
        <f t="shared" si="5"/>
        <v>1</v>
      </c>
      <c r="AW33" s="9">
        <f ca="1">TarifaMedia!$G$28</f>
        <v>1</v>
      </c>
      <c r="AX33" s="15">
        <f ca="1">'TUSD BE'!$AM33+'TUSD BF'!$AM33+'TUSD CVA'!$AM33</f>
        <v>319.83612828342115</v>
      </c>
      <c r="AY33" s="9">
        <v>187.78</v>
      </c>
      <c r="AZ33" s="9">
        <f t="shared" ca="1" si="6"/>
        <v>-132.05612828342115</v>
      </c>
      <c r="BC33" s="87" t="s">
        <v>837</v>
      </c>
    </row>
    <row r="34" spans="1:55" ht="11.25" customHeight="1" x14ac:dyDescent="0.3">
      <c r="A34" s="146" t="s">
        <v>41</v>
      </c>
      <c r="B34" s="146" t="s">
        <v>38</v>
      </c>
      <c r="C34" s="146" t="s">
        <v>42</v>
      </c>
      <c r="D34" s="146" t="s">
        <v>25</v>
      </c>
      <c r="E34" s="146" t="s">
        <v>25</v>
      </c>
      <c r="F34" s="146" t="s">
        <v>25</v>
      </c>
      <c r="G34" s="24" t="s">
        <v>79</v>
      </c>
      <c r="H34" s="24" t="s">
        <v>78</v>
      </c>
      <c r="I34" s="24">
        <f>'MERCADO TUSD'!$U$31</f>
        <v>0</v>
      </c>
      <c r="J34" s="15"/>
      <c r="L34" s="13">
        <f>'TUSD BE'!$L$34*'TUSD BE'!$L$62</f>
        <v>0.11582412398668746</v>
      </c>
      <c r="M34" s="13">
        <f>'TUSD BE'!$M$34*'TUSD BE'!$M$62</f>
        <v>3.1450776225263023E-2</v>
      </c>
      <c r="N34" s="13">
        <f ca="1">'TUSD BE'!$N$34*'TUSD BE'!$N$62</f>
        <v>1.2946925050783235E-5</v>
      </c>
      <c r="O34" s="13">
        <f>'TUSD BE'!$O$34*'TUSD BE'!$O$62</f>
        <v>0</v>
      </c>
      <c r="P34" s="13">
        <f>'TUSD BE'!$P$34*'TUSD BE'!$P$62</f>
        <v>0</v>
      </c>
      <c r="Q34" s="13">
        <f>'TUSD BE'!$Q$34*'TUSD BE'!$Q$62</f>
        <v>3.9920921295007172</v>
      </c>
      <c r="R34" s="13">
        <f>'TUSD BE'!$R$34*'TUSD BE'!$R$62</f>
        <v>0.46136832062853605</v>
      </c>
      <c r="S34" s="13">
        <f>'TUSD BE'!$R$34*'TUSD BE'!$S$62</f>
        <v>0</v>
      </c>
      <c r="T34" s="13">
        <f ca="1">SUM($L$34:$S$34)</f>
        <v>4.6007482972662546</v>
      </c>
      <c r="U34" s="13">
        <f>'TUSD BE'!$U$34*'TUSD BE'!$U$62</f>
        <v>0</v>
      </c>
      <c r="V34" s="13">
        <f>'TUSD BE'!$V$34*'TUSD BE'!$V$62</f>
        <v>0</v>
      </c>
      <c r="W34" s="13">
        <f>'TUSD BE'!$W$34*'TUSD BE'!$W$62</f>
        <v>0</v>
      </c>
      <c r="X34" s="13">
        <f>'TUSD BE'!$X$34*'TUSD BE'!$X$62</f>
        <v>0</v>
      </c>
      <c r="Y34" s="13">
        <f>'TUSD BE'!$Y$34*'TUSD BE'!$Y$62</f>
        <v>43.531137129159823</v>
      </c>
      <c r="Z34" s="13">
        <f>'TUSD BE'!$Z$34*'TUSD BE'!$Z$62</f>
        <v>0</v>
      </c>
      <c r="AA34" s="13">
        <f>'TUSD BE'!$AA$34*'TUSD BE'!$AA$62</f>
        <v>0</v>
      </c>
      <c r="AB34" s="13">
        <f>SUM($U$34:$AA$34)</f>
        <v>43.531137129159823</v>
      </c>
      <c r="AC34" s="13">
        <f>'TUSD BE'!$AC$34*'TUSD BE'!$AC$62</f>
        <v>4.9480240666500475E-2</v>
      </c>
      <c r="AD34" s="13">
        <f>SUM($AC$34:$AC$34)</f>
        <v>4.9480240666500475E-2</v>
      </c>
      <c r="AE34" s="13">
        <f ca="1">$AO$34*$AO$59</f>
        <v>-77.690279876750139</v>
      </c>
      <c r="AF34" s="13">
        <f ca="1">$AP$34*$AP$59</f>
        <v>0</v>
      </c>
      <c r="AG34" s="13">
        <f ca="1">SUM($AE$34:$AF$34)</f>
        <v>-77.690279876750139</v>
      </c>
      <c r="AH34" s="13">
        <f>'TUSD BE'!$AH$34*'TUSD BE'!$AH$62</f>
        <v>9.6817791535764128E-2</v>
      </c>
      <c r="AI34" s="13">
        <f>'TUSD BE'!$AI$34*'TUSD BE'!$AI$62</f>
        <v>0</v>
      </c>
      <c r="AJ34" s="13">
        <f ca="1">'TUSD BE'!$AJ$34*'TUSD BE'!$AJ$62</f>
        <v>5.679034148595657E-3</v>
      </c>
      <c r="AK34" s="13">
        <f ca="1">'TUSD BE'!$AK$34*'TUSD BE'!$AK$62</f>
        <v>1.3943273361419074E-2</v>
      </c>
      <c r="AL34" s="13">
        <f ca="1">SUM($AH$34:$AK$34)</f>
        <v>0.11644009904577887</v>
      </c>
      <c r="AM34" s="13">
        <f ca="1">SUMIF($L$4:$AL$4,"SUBTOTAL",$L$34:$AL$34)+AZ34</f>
        <v>-1398.9987789293257</v>
      </c>
      <c r="AO34" s="26">
        <f ca="1">+'TUSD BE'!$T$34+'TUSD BE'!$AB$34+'TUSD BE'!$AD$34+'TUSD BE'!$AL$34</f>
        <v>1977.6284694319186</v>
      </c>
      <c r="AP34" s="26">
        <f ca="1">+'TUSD BE'!$T$34+'TUSD BE'!$AB$34+'TUSD BE'!$AD$34+'TUSD BE'!$AL$34</f>
        <v>1977.6284694319186</v>
      </c>
      <c r="AQ34" s="9" t="str">
        <f t="shared" si="0"/>
        <v>B2</v>
      </c>
      <c r="AR34" s="9" t="str">
        <f t="shared" si="1"/>
        <v>Branca</v>
      </c>
      <c r="AS34" s="9" t="str">
        <f t="shared" si="2"/>
        <v>Rural</v>
      </c>
      <c r="AT34" s="9" t="str">
        <f t="shared" si="3"/>
        <v>Não se aplica</v>
      </c>
      <c r="AU34" s="9" t="str">
        <f t="shared" si="4"/>
        <v>Não se aplica</v>
      </c>
      <c r="AV34" s="9">
        <f t="shared" si="5"/>
        <v>1</v>
      </c>
      <c r="AW34" s="9">
        <f ca="1">TarifaMedia!$G$28</f>
        <v>1</v>
      </c>
      <c r="AX34" s="15">
        <f ca="1">'TUSD BE'!$AM34+'TUSD BF'!$AM34+'TUSD CVA'!$AM34</f>
        <v>1979.5963048187139</v>
      </c>
      <c r="AY34" s="9">
        <f>ROUND(573.39/(1-CUSTOS!$M$38),2)</f>
        <v>609.99</v>
      </c>
      <c r="AZ34" s="9">
        <f t="shared" ca="1" si="6"/>
        <v>-1369.6063048187139</v>
      </c>
      <c r="BC34" s="87" t="s">
        <v>838</v>
      </c>
    </row>
    <row r="35" spans="1:55" ht="11.25" customHeight="1" x14ac:dyDescent="0.3">
      <c r="A35" s="146"/>
      <c r="B35" s="146"/>
      <c r="C35" s="146"/>
      <c r="D35" s="146"/>
      <c r="E35" s="146"/>
      <c r="F35" s="146"/>
      <c r="G35" s="24" t="s">
        <v>89</v>
      </c>
      <c r="H35" s="24" t="s">
        <v>78</v>
      </c>
      <c r="I35" s="24">
        <f>'MERCADO TUSD'!$U$32</f>
        <v>0</v>
      </c>
      <c r="J35" s="15"/>
      <c r="L35" s="13">
        <f>'TUSD BE'!$L$35*'TUSD BE'!$L$62</f>
        <v>0.11582412398668746</v>
      </c>
      <c r="M35" s="13">
        <f>'TUSD BE'!$M$35*'TUSD BE'!$M$62</f>
        <v>3.1450776225263023E-2</v>
      </c>
      <c r="N35" s="13">
        <f ca="1">'TUSD BE'!$N$35*'TUSD BE'!$N$62</f>
        <v>3.9302442173386072E-6</v>
      </c>
      <c r="O35" s="13">
        <f>'TUSD BE'!$O$35*'TUSD BE'!$O$62</f>
        <v>0</v>
      </c>
      <c r="P35" s="13">
        <f>'TUSD BE'!$P$35*'TUSD BE'!$P$62</f>
        <v>0</v>
      </c>
      <c r="Q35" s="13">
        <f>'TUSD BE'!$Q$35*'TUSD BE'!$Q$62</f>
        <v>3.9920921295007172</v>
      </c>
      <c r="R35" s="13">
        <f>'TUSD BE'!$R$35*'TUSD BE'!$R$62</f>
        <v>0.46136832062853605</v>
      </c>
      <c r="S35" s="13">
        <f>'TUSD BE'!$R$35*'TUSD BE'!$S$62</f>
        <v>0</v>
      </c>
      <c r="T35" s="13">
        <f ca="1">SUM($L$35:$S$35)</f>
        <v>4.6007392805854215</v>
      </c>
      <c r="U35" s="13">
        <f>'TUSD BE'!$U$35*'TUSD BE'!$U$62</f>
        <v>0</v>
      </c>
      <c r="V35" s="13">
        <f>'TUSD BE'!$V$35*'TUSD BE'!$V$62</f>
        <v>0</v>
      </c>
      <c r="W35" s="13">
        <f>'TUSD BE'!$W$35*'TUSD BE'!$W$62</f>
        <v>0</v>
      </c>
      <c r="X35" s="13">
        <f>'TUSD BE'!$X$35*'TUSD BE'!$X$62</f>
        <v>0</v>
      </c>
      <c r="Y35" s="13">
        <f>'TUSD BE'!$Y$35*'TUSD BE'!$Y$62</f>
        <v>12.109721169953797</v>
      </c>
      <c r="Z35" s="13">
        <f>'TUSD BE'!$Z$35*'TUSD BE'!$Z$62</f>
        <v>0</v>
      </c>
      <c r="AA35" s="13">
        <f>'TUSD BE'!$AA$35*'TUSD BE'!$AA$62</f>
        <v>0</v>
      </c>
      <c r="AB35" s="13">
        <f>SUM($U$35:$AA$35)</f>
        <v>12.109721169953797</v>
      </c>
      <c r="AC35" s="13">
        <f>'TUSD BE'!$AC$35*'TUSD BE'!$AC$62</f>
        <v>1.376466662666259E-2</v>
      </c>
      <c r="AD35" s="13">
        <f>SUM($AC$35:$AC$35)</f>
        <v>1.376466662666259E-2</v>
      </c>
      <c r="AE35" s="13">
        <f ca="1">$AO$35*$AO$59</f>
        <v>-25.762458721649082</v>
      </c>
      <c r="AF35" s="13">
        <f ca="1">$AP$35*$AP$59</f>
        <v>0</v>
      </c>
      <c r="AG35" s="13">
        <f ca="1">SUM($AE$35:$AF$35)</f>
        <v>-25.762458721649082</v>
      </c>
      <c r="AH35" s="13">
        <f>'TUSD BE'!$AH$35*'TUSD BE'!$AH$62</f>
        <v>9.6817791535764128E-2</v>
      </c>
      <c r="AI35" s="13">
        <f>'TUSD BE'!$AI$35*'TUSD BE'!$AI$62</f>
        <v>0</v>
      </c>
      <c r="AJ35" s="13">
        <f ca="1">'TUSD BE'!$AJ$35*'TUSD BE'!$AJ$62</f>
        <v>5.679034148595657E-3</v>
      </c>
      <c r="AK35" s="13">
        <f ca="1">'TUSD BE'!$AK$35*'TUSD BE'!$AK$62</f>
        <v>1.3943273361419074E-2</v>
      </c>
      <c r="AL35" s="13">
        <f ca="1">SUM($AH$35:$AK$35)</f>
        <v>0.11644009904577887</v>
      </c>
      <c r="AM35" s="13">
        <f ca="1">SUMIF($L$4:$AL$4,"SUBTOTAL",$L$35:$AL$35)+AZ35</f>
        <v>-258.39112259943204</v>
      </c>
      <c r="AO35" s="26">
        <f ca="1">+'TUSD BE'!$T$35+'TUSD BE'!$AB$35+'TUSD BE'!$AD$35+'TUSD BE'!$AL$35</f>
        <v>655.79081310202491</v>
      </c>
      <c r="AP35" s="26">
        <f ca="1">+'TUSD BE'!$T$35+'TUSD BE'!$AB$35+'TUSD BE'!$AD$35+'TUSD BE'!$AL$35</f>
        <v>655.79081310202491</v>
      </c>
      <c r="AQ35" s="9" t="str">
        <f t="shared" si="0"/>
        <v>B2</v>
      </c>
      <c r="AR35" s="9" t="str">
        <f t="shared" si="1"/>
        <v>Branca</v>
      </c>
      <c r="AS35" s="9" t="str">
        <f t="shared" si="2"/>
        <v>Rural</v>
      </c>
      <c r="AT35" s="9" t="str">
        <f t="shared" si="3"/>
        <v>Não se aplica</v>
      </c>
      <c r="AU35" s="9" t="str">
        <f t="shared" si="4"/>
        <v>Não se aplica</v>
      </c>
      <c r="AV35" s="9">
        <f t="shared" si="5"/>
        <v>1</v>
      </c>
      <c r="AW35" s="9">
        <f ca="1">TarifaMedia!$G$28</f>
        <v>1</v>
      </c>
      <c r="AX35" s="15">
        <f ca="1">'TUSD BE'!$AM35+'TUSD BF'!$AM35+'TUSD CVA'!$AM35</f>
        <v>678.22932909399458</v>
      </c>
      <c r="AY35" s="9">
        <f>ROUND(403.03/(1-CUSTOS!$M$38),2)</f>
        <v>428.76</v>
      </c>
      <c r="AZ35" s="9">
        <f t="shared" ca="1" si="6"/>
        <v>-249.46932909399459</v>
      </c>
      <c r="BC35" s="87" t="s">
        <v>839</v>
      </c>
    </row>
    <row r="36" spans="1:55" ht="11.25" customHeight="1" x14ac:dyDescent="0.3">
      <c r="A36" s="146"/>
      <c r="B36" s="146"/>
      <c r="C36" s="146"/>
      <c r="D36" s="146"/>
      <c r="E36" s="146"/>
      <c r="F36" s="146"/>
      <c r="G36" s="24" t="s">
        <v>80</v>
      </c>
      <c r="H36" s="24" t="s">
        <v>78</v>
      </c>
      <c r="I36" s="24">
        <f>'MERCADO TUSD'!$U$33</f>
        <v>0</v>
      </c>
      <c r="J36" s="15"/>
      <c r="L36" s="13">
        <f>'TUSD BE'!$L$36*'TUSD BE'!$L$62</f>
        <v>0.11582412398668746</v>
      </c>
      <c r="M36" s="13">
        <f>'TUSD BE'!$M$36*'TUSD BE'!$M$62</f>
        <v>3.1450776225263023E-2</v>
      </c>
      <c r="N36" s="13">
        <f ca="1">'TUSD BE'!$N$36*'TUSD BE'!$N$62</f>
        <v>1.0277318429075793E-6</v>
      </c>
      <c r="O36" s="13">
        <f>'TUSD BE'!$O$36*'TUSD BE'!$O$62</f>
        <v>0</v>
      </c>
      <c r="P36" s="13">
        <f>'TUSD BE'!$P$36*'TUSD BE'!$P$62</f>
        <v>0</v>
      </c>
      <c r="Q36" s="13">
        <f>'TUSD BE'!$Q$36*'TUSD BE'!$Q$62</f>
        <v>3.9920921295007172</v>
      </c>
      <c r="R36" s="13">
        <f>'TUSD BE'!$R$36*'TUSD BE'!$R$62</f>
        <v>0.46136832062853605</v>
      </c>
      <c r="S36" s="13">
        <f>'TUSD BE'!$R$36*'TUSD BE'!$S$62</f>
        <v>0</v>
      </c>
      <c r="T36" s="13">
        <f ca="1">SUM($L$36:$S$36)</f>
        <v>4.600736378073047</v>
      </c>
      <c r="U36" s="13">
        <f>'TUSD BE'!$U$36*'TUSD BE'!$U$62</f>
        <v>0</v>
      </c>
      <c r="V36" s="13">
        <f>'TUSD BE'!$V$36*'TUSD BE'!$V$62</f>
        <v>0</v>
      </c>
      <c r="W36" s="13">
        <f>'TUSD BE'!$W$36*'TUSD BE'!$W$62</f>
        <v>0</v>
      </c>
      <c r="X36" s="13">
        <f>'TUSD BE'!$X$36*'TUSD BE'!$X$62</f>
        <v>0</v>
      </c>
      <c r="Y36" s="13">
        <f>'TUSD BE'!$Y$36*'TUSD BE'!$Y$62</f>
        <v>1.9950163514494224</v>
      </c>
      <c r="Z36" s="13">
        <f>'TUSD BE'!$Z$36*'TUSD BE'!$Z$62</f>
        <v>0</v>
      </c>
      <c r="AA36" s="13">
        <f>'TUSD BE'!$AA$36*'TUSD BE'!$AA$62</f>
        <v>0</v>
      </c>
      <c r="AB36" s="13">
        <f>SUM($U$36:$AA$36)</f>
        <v>1.9950163514494224</v>
      </c>
      <c r="AC36" s="13">
        <f>'TUSD BE'!$AC$36*'TUSD BE'!$AC$62</f>
        <v>2.2676544246331694E-3</v>
      </c>
      <c r="AD36" s="13">
        <f>SUM($AC$36:$AC$36)</f>
        <v>2.2676544246331694E-3</v>
      </c>
      <c r="AE36" s="13">
        <f ca="1">$AO$36*$AO$59</f>
        <v>-9.0466462214406427</v>
      </c>
      <c r="AF36" s="13">
        <f ca="1">$AP$36*$AP$59</f>
        <v>0</v>
      </c>
      <c r="AG36" s="13">
        <f ca="1">SUM($AE$36:$AF$36)</f>
        <v>-9.0466462214406427</v>
      </c>
      <c r="AH36" s="13">
        <f>'TUSD BE'!$AH$36*'TUSD BE'!$AH$62</f>
        <v>9.6817791535764128E-2</v>
      </c>
      <c r="AI36" s="13">
        <f>'TUSD BE'!$AI$36*'TUSD BE'!$AI$62</f>
        <v>0</v>
      </c>
      <c r="AJ36" s="13">
        <f ca="1">'TUSD BE'!$AJ$36*'TUSD BE'!$AJ$62</f>
        <v>5.679034148595657E-3</v>
      </c>
      <c r="AK36" s="13">
        <f ca="1">'TUSD BE'!$AK$36*'TUSD BE'!$AK$62</f>
        <v>1.3943273361419074E-2</v>
      </c>
      <c r="AL36" s="13">
        <f ca="1">SUM($AH$36:$AK$36)</f>
        <v>0.11644009904577887</v>
      </c>
      <c r="AM36" s="13">
        <f ca="1">SUMIF($L$4:$AL$4,"SUBTOTAL",$L$36:$AL$36)+AZ36</f>
        <v>-14.135296870117072</v>
      </c>
      <c r="AO36" s="26">
        <f ca="1">+'TUSD BE'!$T$36+'TUSD BE'!$AB$36+'TUSD BE'!$AD$36+'TUSD BE'!$AL$36</f>
        <v>230.28498737270996</v>
      </c>
      <c r="AP36" s="26">
        <f ca="1">+'TUSD BE'!$T$36+'TUSD BE'!$AB$36+'TUSD BE'!$AD$36+'TUSD BE'!$AL$36</f>
        <v>230.28498737270996</v>
      </c>
      <c r="AQ36" s="9" t="str">
        <f t="shared" si="0"/>
        <v>B2</v>
      </c>
      <c r="AR36" s="9" t="str">
        <f t="shared" si="1"/>
        <v>Branca</v>
      </c>
      <c r="AS36" s="9" t="str">
        <f t="shared" si="2"/>
        <v>Rural</v>
      </c>
      <c r="AT36" s="9" t="str">
        <f t="shared" si="3"/>
        <v>Não se aplica</v>
      </c>
      <c r="AU36" s="9" t="str">
        <f t="shared" si="4"/>
        <v>Não se aplica</v>
      </c>
      <c r="AV36" s="9">
        <f t="shared" si="5"/>
        <v>1</v>
      </c>
      <c r="AW36" s="9">
        <f ca="1">TarifaMedia!$G$28</f>
        <v>1</v>
      </c>
      <c r="AX36" s="15">
        <f ca="1">'TUSD BE'!$AM36+'TUSD BF'!$AM36+'TUSD CVA'!$AM36</f>
        <v>259.3131111316693</v>
      </c>
      <c r="AY36" s="9">
        <f>ROUND(232.66/(1-CUSTOS!$M$38),2)</f>
        <v>247.51</v>
      </c>
      <c r="AZ36" s="9">
        <f t="shared" ca="1" si="6"/>
        <v>-11.803111131669311</v>
      </c>
      <c r="BC36" s="87" t="s">
        <v>840</v>
      </c>
    </row>
    <row r="37" spans="1:55" ht="11.25" customHeight="1" x14ac:dyDescent="0.3">
      <c r="A37" s="146"/>
      <c r="B37" s="23" t="s">
        <v>23</v>
      </c>
      <c r="C37" s="23" t="s">
        <v>42</v>
      </c>
      <c r="D37" s="23" t="s">
        <v>25</v>
      </c>
      <c r="E37" s="23" t="s">
        <v>25</v>
      </c>
      <c r="F37" s="23" t="s">
        <v>25</v>
      </c>
      <c r="G37" s="24" t="s">
        <v>84</v>
      </c>
      <c r="H37" s="24" t="s">
        <v>78</v>
      </c>
      <c r="I37" s="24">
        <f>'MERCADO TUSD'!$U$34</f>
        <v>3112.8609999999999</v>
      </c>
      <c r="J37" s="15"/>
      <c r="L37" s="13">
        <f>'TUSD BE'!$L$37*'TUSD BE'!$L$62</f>
        <v>0.11582412398668746</v>
      </c>
      <c r="M37" s="13">
        <f>'TUSD BE'!$M$37*'TUSD BE'!$M$62</f>
        <v>3.1450776225263023E-2</v>
      </c>
      <c r="N37" s="13">
        <f ca="1">'TUSD BE'!$N$37*'TUSD BE'!$N$62</f>
        <v>2.4998425446476113E-6</v>
      </c>
      <c r="O37" s="13">
        <f>'TUSD BE'!$O$37*'TUSD BE'!$O$62</f>
        <v>0</v>
      </c>
      <c r="P37" s="13">
        <f>'TUSD BE'!$P$37*'TUSD BE'!$P$62</f>
        <v>0</v>
      </c>
      <c r="Q37" s="13">
        <f>'TUSD BE'!$Q$37*'TUSD BE'!$Q$62</f>
        <v>3.9920921295007172</v>
      </c>
      <c r="R37" s="13">
        <f>'TUSD BE'!$R$37*'TUSD BE'!$R$62</f>
        <v>0.46136832062853605</v>
      </c>
      <c r="S37" s="13">
        <f>'TUSD BE'!$R$37*'TUSD BE'!$S$62</f>
        <v>0</v>
      </c>
      <c r="T37" s="13">
        <f ca="1">SUM($L$37:$S$37)</f>
        <v>4.6007378501837488</v>
      </c>
      <c r="U37" s="13">
        <f>'TUSD BE'!$U$37*'TUSD BE'!$U$62</f>
        <v>0</v>
      </c>
      <c r="V37" s="13">
        <f>'TUSD BE'!$V$37*'TUSD BE'!$V$62</f>
        <v>0</v>
      </c>
      <c r="W37" s="13">
        <f>'TUSD BE'!$W$37*'TUSD BE'!$W$62</f>
        <v>0</v>
      </c>
      <c r="X37" s="13">
        <f>'TUSD BE'!$X$37*'TUSD BE'!$X$62</f>
        <v>0</v>
      </c>
      <c r="Y37" s="13">
        <f>'TUSD BE'!$Y$37*'TUSD BE'!$Y$62</f>
        <v>7.1250374663485365</v>
      </c>
      <c r="Z37" s="13">
        <f>'TUSD BE'!$Z$37*'TUSD BE'!$Z$62</f>
        <v>0</v>
      </c>
      <c r="AA37" s="13">
        <f>'TUSD BE'!$AA$37*'TUSD BE'!$AA$62</f>
        <v>0</v>
      </c>
      <c r="AB37" s="13">
        <f>SUM($U$37:$AA$37)</f>
        <v>7.1250374663485365</v>
      </c>
      <c r="AC37" s="13">
        <f>'TUSD BE'!$AC$37*'TUSD BE'!$AC$62</f>
        <v>8.0987683701646291E-3</v>
      </c>
      <c r="AD37" s="13">
        <f>SUM($AC$37:$AC$37)</f>
        <v>8.0987683701646291E-3</v>
      </c>
      <c r="AE37" s="13">
        <f ca="1">$AO$37*$AO$59</f>
        <v>-17.524654495650299</v>
      </c>
      <c r="AF37" s="13">
        <f ca="1">$AP$37*$AP$59</f>
        <v>0</v>
      </c>
      <c r="AG37" s="13">
        <f ca="1">SUM($AE$37:$AF$37)</f>
        <v>-17.524654495650299</v>
      </c>
      <c r="AH37" s="13">
        <f>'TUSD BE'!$AH$37*'TUSD BE'!$AH$62</f>
        <v>9.6817791535764128E-2</v>
      </c>
      <c r="AI37" s="13">
        <f>'TUSD BE'!$AI$37*'TUSD BE'!$AI$62</f>
        <v>0</v>
      </c>
      <c r="AJ37" s="13">
        <f ca="1">'TUSD BE'!$AJ$37*'TUSD BE'!$AJ$62</f>
        <v>5.679034148595657E-3</v>
      </c>
      <c r="AK37" s="13">
        <f ca="1">'TUSD BE'!$AK$37*'TUSD BE'!$AK$62</f>
        <v>1.3943273361419074E-2</v>
      </c>
      <c r="AL37" s="13">
        <f ca="1">SUM($AH$37:$AK$37)</f>
        <v>0.11644009904577887</v>
      </c>
      <c r="AM37" s="13">
        <f ca="1">SUMIF($L$4:$AL$4,"SUBTOTAL",$L$37:$AL$37)+AZ37</f>
        <v>-166.96544137924943</v>
      </c>
      <c r="AO37" s="26">
        <f ca="1">+'TUSD BE'!$T$37+'TUSD BE'!$AB$37+'TUSD BE'!$AD$37+'TUSD BE'!$AL$37</f>
        <v>446.09513188184229</v>
      </c>
      <c r="AP37" s="26">
        <f ca="1">+'TUSD BE'!$T$37+'TUSD BE'!$AB$37+'TUSD BE'!$AD$37+'TUSD BE'!$AL$37</f>
        <v>446.09513188184229</v>
      </c>
      <c r="AQ37" s="9" t="str">
        <f t="shared" ref="AQ37:AQ55" si="7">IF($A37="",AQ36,$A37)</f>
        <v>B2</v>
      </c>
      <c r="AR37" s="9" t="str">
        <f t="shared" ref="AR37:AR55" si="8">IF($B37="",AR36,$B37)</f>
        <v>Convencional</v>
      </c>
      <c r="AS37" s="9" t="str">
        <f t="shared" ref="AS37:AS55" si="9">IF($C37="",AS36,$C37)</f>
        <v>Rural</v>
      </c>
      <c r="AT37" s="9" t="str">
        <f t="shared" ref="AT37:AT55" si="10">IF($D37="",AT36,$D37)</f>
        <v>Não se aplica</v>
      </c>
      <c r="AU37" s="9" t="str">
        <f t="shared" ref="AU37:AU55" si="11">IF($E37="",AU36,$E37)</f>
        <v>Não se aplica</v>
      </c>
      <c r="AV37" s="9">
        <f t="shared" ref="AV37:AV55" si="12">IF(OR(AR37="Distribuição",AR37="Geração"),0,1)</f>
        <v>1</v>
      </c>
      <c r="AW37" s="9">
        <f ca="1">TarifaMedia!$G$28</f>
        <v>1</v>
      </c>
      <c r="AX37" s="15">
        <f ca="1">'TUSD BE'!$AM37+'TUSD BF'!$AM37+'TUSD CVA'!$AM37</f>
        <v>471.78110106754735</v>
      </c>
      <c r="AY37" s="9">
        <v>310.49</v>
      </c>
      <c r="AZ37" s="9">
        <f t="shared" ref="AZ37:AZ55" ca="1" si="13">(AY37-AX37)*AW37*AV37</f>
        <v>-161.29110106754734</v>
      </c>
      <c r="BC37" s="87" t="s">
        <v>834</v>
      </c>
    </row>
    <row r="38" spans="1:55" ht="11.25" customHeight="1" x14ac:dyDescent="0.3">
      <c r="A38" s="146"/>
      <c r="B38" s="146" t="s">
        <v>38</v>
      </c>
      <c r="C38" s="146" t="s">
        <v>42</v>
      </c>
      <c r="D38" s="146" t="s">
        <v>93</v>
      </c>
      <c r="E38" s="146" t="s">
        <v>25</v>
      </c>
      <c r="F38" s="146" t="s">
        <v>25</v>
      </c>
      <c r="G38" s="24" t="s">
        <v>79</v>
      </c>
      <c r="H38" s="24" t="s">
        <v>78</v>
      </c>
      <c r="I38" s="24">
        <f>'MERCADO TUSD'!$U$35</f>
        <v>0</v>
      </c>
      <c r="J38" s="15"/>
      <c r="L38" s="13">
        <f>'TUSD BE'!$L$38*'TUSD BE'!$L$62</f>
        <v>0.11582412398668746</v>
      </c>
      <c r="M38" s="13">
        <f>'TUSD BE'!$M$38*'TUSD BE'!$M$62</f>
        <v>3.1450776225263023E-2</v>
      </c>
      <c r="N38" s="13">
        <f ca="1">'TUSD BE'!$N$38*'TUSD BE'!$N$62</f>
        <v>1.2946925050783235E-5</v>
      </c>
      <c r="O38" s="13">
        <f>'TUSD BE'!$O$38*'TUSD BE'!$O$62</f>
        <v>0</v>
      </c>
      <c r="P38" s="13">
        <f>'TUSD BE'!$P$38*'TUSD BE'!$P$62</f>
        <v>0</v>
      </c>
      <c r="Q38" s="13">
        <f>'TUSD BE'!$Q$38*'TUSD BE'!$Q$62</f>
        <v>3.9920921295007172</v>
      </c>
      <c r="R38" s="13">
        <f>'TUSD BE'!$R$38*'TUSD BE'!$R$62</f>
        <v>0.46136832062853605</v>
      </c>
      <c r="S38" s="13">
        <f>'TUSD BE'!$R$38*'TUSD BE'!$S$62</f>
        <v>0</v>
      </c>
      <c r="T38" s="13">
        <f ca="1">SUM($L$38:$S$38)</f>
        <v>4.6007482972662546</v>
      </c>
      <c r="U38" s="13">
        <f>'TUSD BE'!$U$38*'TUSD BE'!$U$62</f>
        <v>0</v>
      </c>
      <c r="V38" s="13">
        <f>'TUSD BE'!$V$38*'TUSD BE'!$V$62</f>
        <v>0</v>
      </c>
      <c r="W38" s="13">
        <f>'TUSD BE'!$W$38*'TUSD BE'!$W$62</f>
        <v>0</v>
      </c>
      <c r="X38" s="13">
        <f>'TUSD BE'!$X$38*'TUSD BE'!$X$62</f>
        <v>0</v>
      </c>
      <c r="Y38" s="13">
        <f>'TUSD BE'!$Y$38*'TUSD BE'!$Y$62</f>
        <v>43.531137129159823</v>
      </c>
      <c r="Z38" s="13">
        <f>'TUSD BE'!$Z$38*'TUSD BE'!$Z$62</f>
        <v>0</v>
      </c>
      <c r="AA38" s="13">
        <f>'TUSD BE'!$AA$38*'TUSD BE'!$AA$62</f>
        <v>0</v>
      </c>
      <c r="AB38" s="13">
        <f>SUM($U$38:$AA$38)</f>
        <v>43.531137129159823</v>
      </c>
      <c r="AC38" s="13">
        <f>'TUSD BE'!$AC$38*'TUSD BE'!$AC$62</f>
        <v>4.9480240666500475E-2</v>
      </c>
      <c r="AD38" s="13">
        <f>SUM($AC$38:$AC$38)</f>
        <v>4.9480240666500475E-2</v>
      </c>
      <c r="AE38" s="13">
        <f ca="1">$AO$38*$AO$59</f>
        <v>-77.690279876750139</v>
      </c>
      <c r="AF38" s="13">
        <f ca="1">$AP$38*$AP$59</f>
        <v>0</v>
      </c>
      <c r="AG38" s="13">
        <f ca="1">SUM($AE$38:$AF$38)</f>
        <v>-77.690279876750139</v>
      </c>
      <c r="AH38" s="13">
        <f>'TUSD BE'!$AH$38*'TUSD BE'!$AH$62</f>
        <v>9.6817791535764128E-2</v>
      </c>
      <c r="AI38" s="13">
        <f>'TUSD BE'!$AI$38*'TUSD BE'!$AI$62</f>
        <v>0</v>
      </c>
      <c r="AJ38" s="13">
        <f ca="1">'TUSD BE'!$AJ$38*'TUSD BE'!$AJ$62</f>
        <v>5.679034148595657E-3</v>
      </c>
      <c r="AK38" s="13">
        <f ca="1">'TUSD BE'!$AK$38*'TUSD BE'!$AK$62</f>
        <v>1.3943273361419074E-2</v>
      </c>
      <c r="AL38" s="13">
        <f ca="1">SUM($AH$38:$AK$38)</f>
        <v>0.11644009904577887</v>
      </c>
      <c r="AM38" s="13">
        <f ca="1">SUMIF($L$4:$AL$4,"SUBTOTAL",$L$38:$AL$38)+AZ38</f>
        <v>-1398.9987789293257</v>
      </c>
      <c r="AO38" s="26">
        <f ca="1">+'TUSD BE'!$T$38+'TUSD BE'!$AB$38+'TUSD BE'!$AD$38+'TUSD BE'!$AL$38</f>
        <v>1977.6284694319186</v>
      </c>
      <c r="AP38" s="26">
        <f ca="1">+'TUSD BE'!$T$38+'TUSD BE'!$AB$38+'TUSD BE'!$AD$38+'TUSD BE'!$AL$38</f>
        <v>1977.6284694319186</v>
      </c>
      <c r="AQ38" s="9" t="str">
        <f t="shared" si="7"/>
        <v>B2</v>
      </c>
      <c r="AR38" s="9" t="str">
        <f t="shared" si="8"/>
        <v>Branca</v>
      </c>
      <c r="AS38" s="9" t="str">
        <f t="shared" si="9"/>
        <v>Rural</v>
      </c>
      <c r="AT38" s="9" t="str">
        <f t="shared" si="10"/>
        <v>Cooperativa de eletrificação rural</v>
      </c>
      <c r="AU38" s="9" t="str">
        <f t="shared" si="11"/>
        <v>Não se aplica</v>
      </c>
      <c r="AV38" s="9">
        <f t="shared" si="12"/>
        <v>1</v>
      </c>
      <c r="AW38" s="9">
        <f ca="1">TarifaMedia!$G$28</f>
        <v>1</v>
      </c>
      <c r="AX38" s="15">
        <f ca="1">'TUSD BE'!$AM38+'TUSD BF'!$AM38+'TUSD CVA'!$AM38</f>
        <v>1979.5963048187139</v>
      </c>
      <c r="AY38" s="9">
        <f>ROUND(573.39/(1-CUSTOS!$M$38),2)</f>
        <v>609.99</v>
      </c>
      <c r="AZ38" s="9">
        <f t="shared" ca="1" si="13"/>
        <v>-1369.6063048187139</v>
      </c>
      <c r="BC38" s="87" t="s">
        <v>838</v>
      </c>
    </row>
    <row r="39" spans="1:55" ht="11.25" customHeight="1" x14ac:dyDescent="0.3">
      <c r="A39" s="146"/>
      <c r="B39" s="146"/>
      <c r="C39" s="146"/>
      <c r="D39" s="146"/>
      <c r="E39" s="146"/>
      <c r="F39" s="146"/>
      <c r="G39" s="24" t="s">
        <v>89</v>
      </c>
      <c r="H39" s="24" t="s">
        <v>78</v>
      </c>
      <c r="I39" s="24">
        <f>'MERCADO TUSD'!$U$36</f>
        <v>0</v>
      </c>
      <c r="J39" s="15"/>
      <c r="L39" s="13">
        <f>'TUSD BE'!$L$39*'TUSD BE'!$L$62</f>
        <v>0.11582412398668746</v>
      </c>
      <c r="M39" s="13">
        <f>'TUSD BE'!$M$39*'TUSD BE'!$M$62</f>
        <v>3.1450776225263023E-2</v>
      </c>
      <c r="N39" s="13">
        <f ca="1">'TUSD BE'!$N$39*'TUSD BE'!$N$62</f>
        <v>3.9302442173386072E-6</v>
      </c>
      <c r="O39" s="13">
        <f>'TUSD BE'!$O$39*'TUSD BE'!$O$62</f>
        <v>0</v>
      </c>
      <c r="P39" s="13">
        <f>'TUSD BE'!$P$39*'TUSD BE'!$P$62</f>
        <v>0</v>
      </c>
      <c r="Q39" s="13">
        <f>'TUSD BE'!$Q$39*'TUSD BE'!$Q$62</f>
        <v>3.9920921295007172</v>
      </c>
      <c r="R39" s="13">
        <f>'TUSD BE'!$R$39*'TUSD BE'!$R$62</f>
        <v>0.46136832062853605</v>
      </c>
      <c r="S39" s="13">
        <f>'TUSD BE'!$R$39*'TUSD BE'!$S$62</f>
        <v>0</v>
      </c>
      <c r="T39" s="13">
        <f ca="1">SUM($L$39:$S$39)</f>
        <v>4.6007392805854215</v>
      </c>
      <c r="U39" s="13">
        <f>'TUSD BE'!$U$39*'TUSD BE'!$U$62</f>
        <v>0</v>
      </c>
      <c r="V39" s="13">
        <f>'TUSD BE'!$V$39*'TUSD BE'!$V$62</f>
        <v>0</v>
      </c>
      <c r="W39" s="13">
        <f>'TUSD BE'!$W$39*'TUSD BE'!$W$62</f>
        <v>0</v>
      </c>
      <c r="X39" s="13">
        <f>'TUSD BE'!$X$39*'TUSD BE'!$X$62</f>
        <v>0</v>
      </c>
      <c r="Y39" s="13">
        <f>'TUSD BE'!$Y$39*'TUSD BE'!$Y$62</f>
        <v>12.109721169953797</v>
      </c>
      <c r="Z39" s="13">
        <f>'TUSD BE'!$Z$39*'TUSD BE'!$Z$62</f>
        <v>0</v>
      </c>
      <c r="AA39" s="13">
        <f>'TUSD BE'!$AA$39*'TUSD BE'!$AA$62</f>
        <v>0</v>
      </c>
      <c r="AB39" s="13">
        <f>SUM($U$39:$AA$39)</f>
        <v>12.109721169953797</v>
      </c>
      <c r="AC39" s="13">
        <f>'TUSD BE'!$AC$39*'TUSD BE'!$AC$62</f>
        <v>1.376466662666259E-2</v>
      </c>
      <c r="AD39" s="13">
        <f>SUM($AC$39:$AC$39)</f>
        <v>1.376466662666259E-2</v>
      </c>
      <c r="AE39" s="13">
        <f ca="1">$AO$39*$AO$59</f>
        <v>-25.762458721649082</v>
      </c>
      <c r="AF39" s="13">
        <f ca="1">$AP$39*$AP$59</f>
        <v>0</v>
      </c>
      <c r="AG39" s="13">
        <f ca="1">SUM($AE$39:$AF$39)</f>
        <v>-25.762458721649082</v>
      </c>
      <c r="AH39" s="13">
        <f>'TUSD BE'!$AH$39*'TUSD BE'!$AH$62</f>
        <v>9.6817791535764128E-2</v>
      </c>
      <c r="AI39" s="13">
        <f>'TUSD BE'!$AI$39*'TUSD BE'!$AI$62</f>
        <v>0</v>
      </c>
      <c r="AJ39" s="13">
        <f ca="1">'TUSD BE'!$AJ$39*'TUSD BE'!$AJ$62</f>
        <v>5.679034148595657E-3</v>
      </c>
      <c r="AK39" s="13">
        <f ca="1">'TUSD BE'!$AK$39*'TUSD BE'!$AK$62</f>
        <v>1.3943273361419074E-2</v>
      </c>
      <c r="AL39" s="13">
        <f ca="1">SUM($AH$39:$AK$39)</f>
        <v>0.11644009904577887</v>
      </c>
      <c r="AM39" s="13">
        <f ca="1">SUMIF($L$4:$AL$4,"SUBTOTAL",$L$39:$AL$39)+AZ39</f>
        <v>-258.39112259943204</v>
      </c>
      <c r="AO39" s="26">
        <f ca="1">+'TUSD BE'!$T$39+'TUSD BE'!$AB$39+'TUSD BE'!$AD$39+'TUSD BE'!$AL$39</f>
        <v>655.79081310202491</v>
      </c>
      <c r="AP39" s="26">
        <f ca="1">+'TUSD BE'!$T$39+'TUSD BE'!$AB$39+'TUSD BE'!$AD$39+'TUSD BE'!$AL$39</f>
        <v>655.79081310202491</v>
      </c>
      <c r="AQ39" s="9" t="str">
        <f t="shared" si="7"/>
        <v>B2</v>
      </c>
      <c r="AR39" s="9" t="str">
        <f t="shared" si="8"/>
        <v>Branca</v>
      </c>
      <c r="AS39" s="9" t="str">
        <f t="shared" si="9"/>
        <v>Rural</v>
      </c>
      <c r="AT39" s="9" t="str">
        <f t="shared" si="10"/>
        <v>Cooperativa de eletrificação rural</v>
      </c>
      <c r="AU39" s="9" t="str">
        <f t="shared" si="11"/>
        <v>Não se aplica</v>
      </c>
      <c r="AV39" s="9">
        <f t="shared" si="12"/>
        <v>1</v>
      </c>
      <c r="AW39" s="9">
        <f ca="1">TarifaMedia!$G$28</f>
        <v>1</v>
      </c>
      <c r="AX39" s="15">
        <f ca="1">'TUSD BE'!$AM39+'TUSD BF'!$AM39+'TUSD CVA'!$AM39</f>
        <v>678.22932909399458</v>
      </c>
      <c r="AY39" s="9">
        <f>ROUND(403.03/(1-CUSTOS!$M$38),2)</f>
        <v>428.76</v>
      </c>
      <c r="AZ39" s="9">
        <f t="shared" ca="1" si="13"/>
        <v>-249.46932909399459</v>
      </c>
      <c r="BC39" s="87" t="s">
        <v>839</v>
      </c>
    </row>
    <row r="40" spans="1:55" ht="11.25" customHeight="1" x14ac:dyDescent="0.3">
      <c r="A40" s="146"/>
      <c r="B40" s="146"/>
      <c r="C40" s="146"/>
      <c r="D40" s="146"/>
      <c r="E40" s="146"/>
      <c r="F40" s="146"/>
      <c r="G40" s="24" t="s">
        <v>80</v>
      </c>
      <c r="H40" s="24" t="s">
        <v>78</v>
      </c>
      <c r="I40" s="24">
        <f>'MERCADO TUSD'!$U$37</f>
        <v>0</v>
      </c>
      <c r="J40" s="15"/>
      <c r="L40" s="13">
        <f>'TUSD BE'!$L$40*'TUSD BE'!$L$62</f>
        <v>0.11582412398668746</v>
      </c>
      <c r="M40" s="13">
        <f>'TUSD BE'!$M$40*'TUSD BE'!$M$62</f>
        <v>3.1450776225263023E-2</v>
      </c>
      <c r="N40" s="13">
        <f ca="1">'TUSD BE'!$N$40*'TUSD BE'!$N$62</f>
        <v>1.0277318429075793E-6</v>
      </c>
      <c r="O40" s="13">
        <f>'TUSD BE'!$O$40*'TUSD BE'!$O$62</f>
        <v>0</v>
      </c>
      <c r="P40" s="13">
        <f>'TUSD BE'!$P$40*'TUSD BE'!$P$62</f>
        <v>0</v>
      </c>
      <c r="Q40" s="13">
        <f>'TUSD BE'!$Q$40*'TUSD BE'!$Q$62</f>
        <v>3.9920921295007172</v>
      </c>
      <c r="R40" s="13">
        <f>'TUSD BE'!$R$40*'TUSD BE'!$R$62</f>
        <v>0.46136832062853605</v>
      </c>
      <c r="S40" s="13">
        <f>'TUSD BE'!$R$40*'TUSD BE'!$S$62</f>
        <v>0</v>
      </c>
      <c r="T40" s="13">
        <f ca="1">SUM($L$40:$S$40)</f>
        <v>4.600736378073047</v>
      </c>
      <c r="U40" s="13">
        <f>'TUSD BE'!$U$40*'TUSD BE'!$U$62</f>
        <v>0</v>
      </c>
      <c r="V40" s="13">
        <f>'TUSD BE'!$V$40*'TUSD BE'!$V$62</f>
        <v>0</v>
      </c>
      <c r="W40" s="13">
        <f>'TUSD BE'!$W$40*'TUSD BE'!$W$62</f>
        <v>0</v>
      </c>
      <c r="X40" s="13">
        <f>'TUSD BE'!$X$40*'TUSD BE'!$X$62</f>
        <v>0</v>
      </c>
      <c r="Y40" s="13">
        <f>'TUSD BE'!$Y$40*'TUSD BE'!$Y$62</f>
        <v>1.9950163514494224</v>
      </c>
      <c r="Z40" s="13">
        <f>'TUSD BE'!$Z$40*'TUSD BE'!$Z$62</f>
        <v>0</v>
      </c>
      <c r="AA40" s="13">
        <f>'TUSD BE'!$AA$40*'TUSD BE'!$AA$62</f>
        <v>0</v>
      </c>
      <c r="AB40" s="13">
        <f>SUM($U$40:$AA$40)</f>
        <v>1.9950163514494224</v>
      </c>
      <c r="AC40" s="13">
        <f>'TUSD BE'!$AC$40*'TUSD BE'!$AC$62</f>
        <v>2.2676544246331694E-3</v>
      </c>
      <c r="AD40" s="13">
        <f>SUM($AC$40:$AC$40)</f>
        <v>2.2676544246331694E-3</v>
      </c>
      <c r="AE40" s="13">
        <f ca="1">$AO$40*$AO$59</f>
        <v>-9.0466462214406427</v>
      </c>
      <c r="AF40" s="13">
        <f ca="1">$AP$40*$AP$59</f>
        <v>0</v>
      </c>
      <c r="AG40" s="13">
        <f ca="1">SUM($AE$40:$AF$40)</f>
        <v>-9.0466462214406427</v>
      </c>
      <c r="AH40" s="13">
        <f>'TUSD BE'!$AH$40*'TUSD BE'!$AH$62</f>
        <v>9.6817791535764128E-2</v>
      </c>
      <c r="AI40" s="13">
        <f>'TUSD BE'!$AI$40*'TUSD BE'!$AI$62</f>
        <v>0</v>
      </c>
      <c r="AJ40" s="13">
        <f ca="1">'TUSD BE'!$AJ$40*'TUSD BE'!$AJ$62</f>
        <v>5.679034148595657E-3</v>
      </c>
      <c r="AK40" s="13">
        <f ca="1">'TUSD BE'!$AK$40*'TUSD BE'!$AK$62</f>
        <v>1.3943273361419074E-2</v>
      </c>
      <c r="AL40" s="13">
        <f ca="1">SUM($AH$40:$AK$40)</f>
        <v>0.11644009904577887</v>
      </c>
      <c r="AM40" s="13">
        <f ca="1">SUMIF($L$4:$AL$4,"SUBTOTAL",$L$40:$AL$40)+AZ40</f>
        <v>-14.135296870117072</v>
      </c>
      <c r="AO40" s="26">
        <f ca="1">+'TUSD BE'!$T$40+'TUSD BE'!$AB$40+'TUSD BE'!$AD$40+'TUSD BE'!$AL$40</f>
        <v>230.28498737270996</v>
      </c>
      <c r="AP40" s="26">
        <f ca="1">+'TUSD BE'!$T$40+'TUSD BE'!$AB$40+'TUSD BE'!$AD$40+'TUSD BE'!$AL$40</f>
        <v>230.28498737270996</v>
      </c>
      <c r="AQ40" s="9" t="str">
        <f t="shared" si="7"/>
        <v>B2</v>
      </c>
      <c r="AR40" s="9" t="str">
        <f t="shared" si="8"/>
        <v>Branca</v>
      </c>
      <c r="AS40" s="9" t="str">
        <f t="shared" si="9"/>
        <v>Rural</v>
      </c>
      <c r="AT40" s="9" t="str">
        <f t="shared" si="10"/>
        <v>Cooperativa de eletrificação rural</v>
      </c>
      <c r="AU40" s="9" t="str">
        <f t="shared" si="11"/>
        <v>Não se aplica</v>
      </c>
      <c r="AV40" s="9">
        <f t="shared" si="12"/>
        <v>1</v>
      </c>
      <c r="AW40" s="9">
        <f ca="1">TarifaMedia!$G$28</f>
        <v>1</v>
      </c>
      <c r="AX40" s="15">
        <f ca="1">'TUSD BE'!$AM40+'TUSD BF'!$AM40+'TUSD CVA'!$AM40</f>
        <v>259.3131111316693</v>
      </c>
      <c r="AY40" s="9">
        <f>ROUND(232.66/(1-CUSTOS!$M$38),2)</f>
        <v>247.51</v>
      </c>
      <c r="AZ40" s="9">
        <f t="shared" ca="1" si="13"/>
        <v>-11.803111131669311</v>
      </c>
      <c r="BC40" s="87" t="s">
        <v>840</v>
      </c>
    </row>
    <row r="41" spans="1:55" ht="11.25" customHeight="1" x14ac:dyDescent="0.3">
      <c r="A41" s="146"/>
      <c r="B41" s="23" t="s">
        <v>23</v>
      </c>
      <c r="C41" s="23" t="s">
        <v>42</v>
      </c>
      <c r="D41" s="23" t="s">
        <v>93</v>
      </c>
      <c r="E41" s="23" t="s">
        <v>25</v>
      </c>
      <c r="F41" s="23" t="s">
        <v>25</v>
      </c>
      <c r="G41" s="24" t="s">
        <v>84</v>
      </c>
      <c r="H41" s="24" t="s">
        <v>78</v>
      </c>
      <c r="I41" s="24">
        <f>'MERCADO TUSD'!$U$38</f>
        <v>0</v>
      </c>
      <c r="J41" s="15"/>
      <c r="L41" s="13">
        <f>'TUSD BE'!$L$41*'TUSD BE'!$L$62</f>
        <v>0.11582412398668746</v>
      </c>
      <c r="M41" s="13">
        <f>'TUSD BE'!$M$41*'TUSD BE'!$M$62</f>
        <v>3.1450776225263023E-2</v>
      </c>
      <c r="N41" s="13">
        <f ca="1">'TUSD BE'!$N$41*'TUSD BE'!$N$62</f>
        <v>2.4998425446476113E-6</v>
      </c>
      <c r="O41" s="13">
        <f>'TUSD BE'!$O$41*'TUSD BE'!$O$62</f>
        <v>0</v>
      </c>
      <c r="P41" s="13">
        <f>'TUSD BE'!$P$41*'TUSD BE'!$P$62</f>
        <v>0</v>
      </c>
      <c r="Q41" s="13">
        <f>'TUSD BE'!$Q$41*'TUSD BE'!$Q$62</f>
        <v>3.9920921295007172</v>
      </c>
      <c r="R41" s="13">
        <f>'TUSD BE'!$R$41*'TUSD BE'!$R$62</f>
        <v>0.46136832062853605</v>
      </c>
      <c r="S41" s="13">
        <f>'TUSD BE'!$R$41*'TUSD BE'!$S$62</f>
        <v>0</v>
      </c>
      <c r="T41" s="13">
        <f ca="1">SUM($L$41:$S$41)</f>
        <v>4.6007378501837488</v>
      </c>
      <c r="U41" s="13">
        <f>'TUSD BE'!$U$41*'TUSD BE'!$U$62</f>
        <v>0</v>
      </c>
      <c r="V41" s="13">
        <f>'TUSD BE'!$V$41*'TUSD BE'!$V$62</f>
        <v>0</v>
      </c>
      <c r="W41" s="13">
        <f>'TUSD BE'!$W$41*'TUSD BE'!$W$62</f>
        <v>0</v>
      </c>
      <c r="X41" s="13">
        <f>'TUSD BE'!$X$41*'TUSD BE'!$X$62</f>
        <v>0</v>
      </c>
      <c r="Y41" s="13">
        <f>'TUSD BE'!$Y$41*'TUSD BE'!$Y$62</f>
        <v>7.1250374663485365</v>
      </c>
      <c r="Z41" s="13">
        <f>'TUSD BE'!$Z$41*'TUSD BE'!$Z$62</f>
        <v>0</v>
      </c>
      <c r="AA41" s="13">
        <f>'TUSD BE'!$AA$41*'TUSD BE'!$AA$62</f>
        <v>0</v>
      </c>
      <c r="AB41" s="13">
        <f>SUM($U$41:$AA$41)</f>
        <v>7.1250374663485365</v>
      </c>
      <c r="AC41" s="13">
        <f>'TUSD BE'!$AC$41*'TUSD BE'!$AC$62</f>
        <v>8.0987683701646291E-3</v>
      </c>
      <c r="AD41" s="13">
        <f>SUM($AC$41:$AC$41)</f>
        <v>8.0987683701646291E-3</v>
      </c>
      <c r="AE41" s="13">
        <f ca="1">$AO$41*$AO$59</f>
        <v>-17.524654495650299</v>
      </c>
      <c r="AF41" s="13">
        <f ca="1">$AP$41*$AP$59</f>
        <v>0</v>
      </c>
      <c r="AG41" s="13">
        <f ca="1">SUM($AE$41:$AF$41)</f>
        <v>-17.524654495650299</v>
      </c>
      <c r="AH41" s="13">
        <f>'TUSD BE'!$AH$41*'TUSD BE'!$AH$62</f>
        <v>9.6817791535764128E-2</v>
      </c>
      <c r="AI41" s="13">
        <f>'TUSD BE'!$AI$41*'TUSD BE'!$AI$62</f>
        <v>0</v>
      </c>
      <c r="AJ41" s="13">
        <f ca="1">'TUSD BE'!$AJ$41*'TUSD BE'!$AJ$62</f>
        <v>5.679034148595657E-3</v>
      </c>
      <c r="AK41" s="13">
        <f ca="1">'TUSD BE'!$AK$41*'TUSD BE'!$AK$62</f>
        <v>1.3943273361419074E-2</v>
      </c>
      <c r="AL41" s="13">
        <f ca="1">SUM($AH$41:$AK$41)</f>
        <v>0.11644009904577887</v>
      </c>
      <c r="AM41" s="13">
        <f ca="1">SUMIF($L$4:$AL$4,"SUBTOTAL",$L$41:$AL$41)+AZ41</f>
        <v>-166.96544137924943</v>
      </c>
      <c r="AO41" s="26">
        <f ca="1">+'TUSD BE'!$T$41+'TUSD BE'!$AB$41+'TUSD BE'!$AD$41+'TUSD BE'!$AL$41</f>
        <v>446.09513188184229</v>
      </c>
      <c r="AP41" s="26">
        <f ca="1">+'TUSD BE'!$T$41+'TUSD BE'!$AB$41+'TUSD BE'!$AD$41+'TUSD BE'!$AL$41</f>
        <v>446.09513188184229</v>
      </c>
      <c r="AQ41" s="9" t="str">
        <f t="shared" si="7"/>
        <v>B2</v>
      </c>
      <c r="AR41" s="9" t="str">
        <f t="shared" si="8"/>
        <v>Convencional</v>
      </c>
      <c r="AS41" s="9" t="str">
        <f t="shared" si="9"/>
        <v>Rural</v>
      </c>
      <c r="AT41" s="9" t="str">
        <f t="shared" si="10"/>
        <v>Cooperativa de eletrificação rural</v>
      </c>
      <c r="AU41" s="9" t="str">
        <f t="shared" si="11"/>
        <v>Não se aplica</v>
      </c>
      <c r="AV41" s="9">
        <f t="shared" si="12"/>
        <v>1</v>
      </c>
      <c r="AW41" s="9">
        <f ca="1">TarifaMedia!$G$28</f>
        <v>1</v>
      </c>
      <c r="AX41" s="15">
        <f ca="1">'TUSD BE'!$AM41+'TUSD BF'!$AM41+'TUSD CVA'!$AM41</f>
        <v>471.78110106754735</v>
      </c>
      <c r="AY41" s="9">
        <v>310.49</v>
      </c>
      <c r="AZ41" s="9">
        <f t="shared" ca="1" si="13"/>
        <v>-161.29110106754734</v>
      </c>
      <c r="BC41" s="87" t="s">
        <v>834</v>
      </c>
    </row>
    <row r="42" spans="1:55" ht="11.25" customHeight="1" x14ac:dyDescent="0.3">
      <c r="A42" s="146"/>
      <c r="B42" s="146" t="s">
        <v>38</v>
      </c>
      <c r="C42" s="146" t="s">
        <v>42</v>
      </c>
      <c r="D42" s="146" t="s">
        <v>94</v>
      </c>
      <c r="E42" s="146" t="s">
        <v>25</v>
      </c>
      <c r="F42" s="146" t="s">
        <v>25</v>
      </c>
      <c r="G42" s="24" t="s">
        <v>79</v>
      </c>
      <c r="H42" s="24" t="s">
        <v>78</v>
      </c>
      <c r="I42" s="24">
        <f>'MERCADO TUSD'!$U$39</f>
        <v>0</v>
      </c>
      <c r="J42" s="15"/>
      <c r="L42" s="13">
        <f>'TUSD BE'!$L$42*'TUSD BE'!$L$62</f>
        <v>0.11582412398668746</v>
      </c>
      <c r="M42" s="13">
        <f>'TUSD BE'!$M$42*'TUSD BE'!$M$62</f>
        <v>3.1450776225263023E-2</v>
      </c>
      <c r="N42" s="13">
        <f ca="1">'TUSD BE'!$N$42*'TUSD BE'!$N$62</f>
        <v>1.2946925050783235E-5</v>
      </c>
      <c r="O42" s="13">
        <f>'TUSD BE'!$O$42*'TUSD BE'!$O$62</f>
        <v>0</v>
      </c>
      <c r="P42" s="13">
        <f>'TUSD BE'!$P$42*'TUSD BE'!$P$62</f>
        <v>0</v>
      </c>
      <c r="Q42" s="13">
        <f>'TUSD BE'!$Q$42*'TUSD BE'!$Q$62</f>
        <v>3.9920921295007172</v>
      </c>
      <c r="R42" s="13">
        <f>'TUSD BE'!$R$42*'TUSD BE'!$R$62</f>
        <v>0.46136832062853605</v>
      </c>
      <c r="S42" s="13">
        <f>'TUSD BE'!$R$42*'TUSD BE'!$S$62</f>
        <v>0</v>
      </c>
      <c r="T42" s="13">
        <f ca="1">SUM($L$42:$S$42)</f>
        <v>4.6007482972662546</v>
      </c>
      <c r="U42" s="13">
        <f>'TUSD BE'!$U$42*'TUSD BE'!$U$62</f>
        <v>0</v>
      </c>
      <c r="V42" s="13">
        <f>'TUSD BE'!$V$42*'TUSD BE'!$V$62</f>
        <v>0</v>
      </c>
      <c r="W42" s="13">
        <f>'TUSD BE'!$W$42*'TUSD BE'!$W$62</f>
        <v>0</v>
      </c>
      <c r="X42" s="13">
        <f>'TUSD BE'!$X$42*'TUSD BE'!$X$62</f>
        <v>0</v>
      </c>
      <c r="Y42" s="13">
        <f>'TUSD BE'!$Y$42*'TUSD BE'!$Y$62</f>
        <v>43.531137129159823</v>
      </c>
      <c r="Z42" s="13">
        <f>'TUSD BE'!$Z$42*'TUSD BE'!$Z$62</f>
        <v>0</v>
      </c>
      <c r="AA42" s="13">
        <f>'TUSD BE'!$AA$42*'TUSD BE'!$AA$62</f>
        <v>0</v>
      </c>
      <c r="AB42" s="13">
        <f>SUM($U$42:$AA$42)</f>
        <v>43.531137129159823</v>
      </c>
      <c r="AC42" s="13">
        <f>'TUSD BE'!$AC$42*'TUSD BE'!$AC$62</f>
        <v>4.9480240666500475E-2</v>
      </c>
      <c r="AD42" s="13">
        <f>SUM($AC$42:$AC$42)</f>
        <v>4.9480240666500475E-2</v>
      </c>
      <c r="AE42" s="13">
        <f ca="1">$AO$42*$AO$59</f>
        <v>-77.690279876750139</v>
      </c>
      <c r="AF42" s="13">
        <f ca="1">$AP$42*$AP$59</f>
        <v>0</v>
      </c>
      <c r="AG42" s="13">
        <f ca="1">SUM($AE$42:$AF$42)</f>
        <v>-77.690279876750139</v>
      </c>
      <c r="AH42" s="13">
        <f>'TUSD BE'!$AH$42*'TUSD BE'!$AH$62</f>
        <v>9.6817791535764128E-2</v>
      </c>
      <c r="AI42" s="13">
        <f>'TUSD BE'!$AI$42*'TUSD BE'!$AI$62</f>
        <v>0</v>
      </c>
      <c r="AJ42" s="13">
        <f ca="1">'TUSD BE'!$AJ$42*'TUSD BE'!$AJ$62</f>
        <v>5.679034148595657E-3</v>
      </c>
      <c r="AK42" s="13">
        <f ca="1">'TUSD BE'!$AK$42*'TUSD BE'!$AK$62</f>
        <v>1.3943273361419074E-2</v>
      </c>
      <c r="AL42" s="13">
        <f ca="1">SUM($AH$42:$AK$42)</f>
        <v>0.11644009904577887</v>
      </c>
      <c r="AM42" s="13">
        <f ca="1">SUMIF($L$4:$AL$4,"SUBTOTAL",$L$42:$AL$42)+AZ42</f>
        <v>-1398.9987789293257</v>
      </c>
      <c r="AO42" s="26">
        <f ca="1">+'TUSD BE'!$T$42+'TUSD BE'!$AB$42+'TUSD BE'!$AD$42+'TUSD BE'!$AL$42</f>
        <v>1977.6284694319186</v>
      </c>
      <c r="AP42" s="26">
        <f ca="1">+'TUSD BE'!$T$42+'TUSD BE'!$AB$42+'TUSD BE'!$AD$42+'TUSD BE'!$AL$42</f>
        <v>1977.6284694319186</v>
      </c>
      <c r="AQ42" s="9" t="str">
        <f t="shared" si="7"/>
        <v>B2</v>
      </c>
      <c r="AR42" s="9" t="str">
        <f t="shared" si="8"/>
        <v>Branca</v>
      </c>
      <c r="AS42" s="9" t="str">
        <f t="shared" si="9"/>
        <v>Rural</v>
      </c>
      <c r="AT42" s="9" t="str">
        <f t="shared" si="10"/>
        <v>Serviço público de irrigação rural</v>
      </c>
      <c r="AU42" s="9" t="str">
        <f t="shared" si="11"/>
        <v>Não se aplica</v>
      </c>
      <c r="AV42" s="9">
        <f t="shared" si="12"/>
        <v>1</v>
      </c>
      <c r="AW42" s="9">
        <f ca="1">TarifaMedia!$G$28</f>
        <v>1</v>
      </c>
      <c r="AX42" s="15">
        <f ca="1">'TUSD BE'!$AM42+'TUSD BF'!$AM42+'TUSD CVA'!$AM42</f>
        <v>1979.5963048187139</v>
      </c>
      <c r="AY42" s="9">
        <f>ROUND(573.39/(1-CUSTOS!$M$38),2)</f>
        <v>609.99</v>
      </c>
      <c r="AZ42" s="9">
        <f t="shared" ca="1" si="13"/>
        <v>-1369.6063048187139</v>
      </c>
      <c r="BC42" s="87" t="s">
        <v>838</v>
      </c>
    </row>
    <row r="43" spans="1:55" ht="11.25" customHeight="1" x14ac:dyDescent="0.3">
      <c r="A43" s="146"/>
      <c r="B43" s="146"/>
      <c r="C43" s="146"/>
      <c r="D43" s="146"/>
      <c r="E43" s="146"/>
      <c r="F43" s="146"/>
      <c r="G43" s="24" t="s">
        <v>89</v>
      </c>
      <c r="H43" s="24" t="s">
        <v>78</v>
      </c>
      <c r="I43" s="24">
        <f>'MERCADO TUSD'!$U$40</f>
        <v>0</v>
      </c>
      <c r="J43" s="15"/>
      <c r="L43" s="13">
        <f>'TUSD BE'!$L$43*'TUSD BE'!$L$62</f>
        <v>0.11582412398668746</v>
      </c>
      <c r="M43" s="13">
        <f>'TUSD BE'!$M$43*'TUSD BE'!$M$62</f>
        <v>3.1450776225263023E-2</v>
      </c>
      <c r="N43" s="13">
        <f ca="1">'TUSD BE'!$N$43*'TUSD BE'!$N$62</f>
        <v>3.9302442173386072E-6</v>
      </c>
      <c r="O43" s="13">
        <f>'TUSD BE'!$O$43*'TUSD BE'!$O$62</f>
        <v>0</v>
      </c>
      <c r="P43" s="13">
        <f>'TUSD BE'!$P$43*'TUSD BE'!$P$62</f>
        <v>0</v>
      </c>
      <c r="Q43" s="13">
        <f>'TUSD BE'!$Q$43*'TUSD BE'!$Q$62</f>
        <v>3.9920921295007172</v>
      </c>
      <c r="R43" s="13">
        <f>'TUSD BE'!$R$43*'TUSD BE'!$R$62</f>
        <v>0.46136832062853605</v>
      </c>
      <c r="S43" s="13">
        <f>'TUSD BE'!$R$43*'TUSD BE'!$S$62</f>
        <v>0</v>
      </c>
      <c r="T43" s="13">
        <f ca="1">SUM($L$43:$S$43)</f>
        <v>4.6007392805854215</v>
      </c>
      <c r="U43" s="13">
        <f>'TUSD BE'!$U$43*'TUSD BE'!$U$62</f>
        <v>0</v>
      </c>
      <c r="V43" s="13">
        <f>'TUSD BE'!$V$43*'TUSD BE'!$V$62</f>
        <v>0</v>
      </c>
      <c r="W43" s="13">
        <f>'TUSD BE'!$W$43*'TUSD BE'!$W$62</f>
        <v>0</v>
      </c>
      <c r="X43" s="13">
        <f>'TUSD BE'!$X$43*'TUSD BE'!$X$62</f>
        <v>0</v>
      </c>
      <c r="Y43" s="13">
        <f>'TUSD BE'!$Y$43*'TUSD BE'!$Y$62</f>
        <v>12.109721169953797</v>
      </c>
      <c r="Z43" s="13">
        <f>'TUSD BE'!$Z$43*'TUSD BE'!$Z$62</f>
        <v>0</v>
      </c>
      <c r="AA43" s="13">
        <f>'TUSD BE'!$AA$43*'TUSD BE'!$AA$62</f>
        <v>0</v>
      </c>
      <c r="AB43" s="13">
        <f>SUM($U$43:$AA$43)</f>
        <v>12.109721169953797</v>
      </c>
      <c r="AC43" s="13">
        <f>'TUSD BE'!$AC$43*'TUSD BE'!$AC$62</f>
        <v>1.376466662666259E-2</v>
      </c>
      <c r="AD43" s="13">
        <f>SUM($AC$43:$AC$43)</f>
        <v>1.376466662666259E-2</v>
      </c>
      <c r="AE43" s="13">
        <f ca="1">$AO$43*$AO$59</f>
        <v>-25.762458721649082</v>
      </c>
      <c r="AF43" s="13">
        <f ca="1">$AP$43*$AP$59</f>
        <v>0</v>
      </c>
      <c r="AG43" s="13">
        <f ca="1">SUM($AE$43:$AF$43)</f>
        <v>-25.762458721649082</v>
      </c>
      <c r="AH43" s="13">
        <f>'TUSD BE'!$AH$43*'TUSD BE'!$AH$62</f>
        <v>9.6817791535764128E-2</v>
      </c>
      <c r="AI43" s="13">
        <f>'TUSD BE'!$AI$43*'TUSD BE'!$AI$62</f>
        <v>0</v>
      </c>
      <c r="AJ43" s="13">
        <f ca="1">'TUSD BE'!$AJ$43*'TUSD BE'!$AJ$62</f>
        <v>5.679034148595657E-3</v>
      </c>
      <c r="AK43" s="13">
        <f ca="1">'TUSD BE'!$AK$43*'TUSD BE'!$AK$62</f>
        <v>1.3943273361419074E-2</v>
      </c>
      <c r="AL43" s="13">
        <f ca="1">SUM($AH$43:$AK$43)</f>
        <v>0.11644009904577887</v>
      </c>
      <c r="AM43" s="13">
        <f ca="1">SUMIF($L$4:$AL$4,"SUBTOTAL",$L$43:$AL$43)+AZ43</f>
        <v>-258.39112259943204</v>
      </c>
      <c r="AO43" s="26">
        <f ca="1">+'TUSD BE'!$T$43+'TUSD BE'!$AB$43+'TUSD BE'!$AD$43+'TUSD BE'!$AL$43</f>
        <v>655.79081310202491</v>
      </c>
      <c r="AP43" s="26">
        <f ca="1">+'TUSD BE'!$T$43+'TUSD BE'!$AB$43+'TUSD BE'!$AD$43+'TUSD BE'!$AL$43</f>
        <v>655.79081310202491</v>
      </c>
      <c r="AQ43" s="9" t="str">
        <f t="shared" si="7"/>
        <v>B2</v>
      </c>
      <c r="AR43" s="9" t="str">
        <f t="shared" si="8"/>
        <v>Branca</v>
      </c>
      <c r="AS43" s="9" t="str">
        <f t="shared" si="9"/>
        <v>Rural</v>
      </c>
      <c r="AT43" s="9" t="str">
        <f t="shared" si="10"/>
        <v>Serviço público de irrigação rural</v>
      </c>
      <c r="AU43" s="9" t="str">
        <f t="shared" si="11"/>
        <v>Não se aplica</v>
      </c>
      <c r="AV43" s="9">
        <f t="shared" si="12"/>
        <v>1</v>
      </c>
      <c r="AW43" s="9">
        <f ca="1">TarifaMedia!$G$28</f>
        <v>1</v>
      </c>
      <c r="AX43" s="15">
        <f ca="1">'TUSD BE'!$AM43+'TUSD BF'!$AM43+'TUSD CVA'!$AM43</f>
        <v>678.22932909399458</v>
      </c>
      <c r="AY43" s="9">
        <f>ROUND(403.03/(1-CUSTOS!$M$38),2)</f>
        <v>428.76</v>
      </c>
      <c r="AZ43" s="9">
        <f t="shared" ca="1" si="13"/>
        <v>-249.46932909399459</v>
      </c>
      <c r="BC43" s="87" t="s">
        <v>839</v>
      </c>
    </row>
    <row r="44" spans="1:55" ht="11.25" customHeight="1" x14ac:dyDescent="0.3">
      <c r="A44" s="146"/>
      <c r="B44" s="146"/>
      <c r="C44" s="146"/>
      <c r="D44" s="146"/>
      <c r="E44" s="146"/>
      <c r="F44" s="146"/>
      <c r="G44" s="24" t="s">
        <v>80</v>
      </c>
      <c r="H44" s="24" t="s">
        <v>78</v>
      </c>
      <c r="I44" s="24">
        <f>'MERCADO TUSD'!$U$41</f>
        <v>0</v>
      </c>
      <c r="J44" s="15"/>
      <c r="L44" s="13">
        <f>'TUSD BE'!$L$44*'TUSD BE'!$L$62</f>
        <v>0.11582412398668746</v>
      </c>
      <c r="M44" s="13">
        <f>'TUSD BE'!$M$44*'TUSD BE'!$M$62</f>
        <v>3.1450776225263023E-2</v>
      </c>
      <c r="N44" s="13">
        <f ca="1">'TUSD BE'!$N$44*'TUSD BE'!$N$62</f>
        <v>1.0277318429075793E-6</v>
      </c>
      <c r="O44" s="13">
        <f>'TUSD BE'!$O$44*'TUSD BE'!$O$62</f>
        <v>0</v>
      </c>
      <c r="P44" s="13">
        <f>'TUSD BE'!$P$44*'TUSD BE'!$P$62</f>
        <v>0</v>
      </c>
      <c r="Q44" s="13">
        <f>'TUSD BE'!$Q$44*'TUSD BE'!$Q$62</f>
        <v>3.9920921295007172</v>
      </c>
      <c r="R44" s="13">
        <f>'TUSD BE'!$R$44*'TUSD BE'!$R$62</f>
        <v>0.46136832062853605</v>
      </c>
      <c r="S44" s="13">
        <f>'TUSD BE'!$R$44*'TUSD BE'!$S$62</f>
        <v>0</v>
      </c>
      <c r="T44" s="13">
        <f ca="1">SUM($L$44:$S$44)</f>
        <v>4.600736378073047</v>
      </c>
      <c r="U44" s="13">
        <f>'TUSD BE'!$U$44*'TUSD BE'!$U$62</f>
        <v>0</v>
      </c>
      <c r="V44" s="13">
        <f>'TUSD BE'!$V$44*'TUSD BE'!$V$62</f>
        <v>0</v>
      </c>
      <c r="W44" s="13">
        <f>'TUSD BE'!$W$44*'TUSD BE'!$W$62</f>
        <v>0</v>
      </c>
      <c r="X44" s="13">
        <f>'TUSD BE'!$X$44*'TUSD BE'!$X$62</f>
        <v>0</v>
      </c>
      <c r="Y44" s="13">
        <f>'TUSD BE'!$Y$44*'TUSD BE'!$Y$62</f>
        <v>1.9950163514494224</v>
      </c>
      <c r="Z44" s="13">
        <f>'TUSD BE'!$Z$44*'TUSD BE'!$Z$62</f>
        <v>0</v>
      </c>
      <c r="AA44" s="13">
        <f>'TUSD BE'!$AA$44*'TUSD BE'!$AA$62</f>
        <v>0</v>
      </c>
      <c r="AB44" s="13">
        <f>SUM($U$44:$AA$44)</f>
        <v>1.9950163514494224</v>
      </c>
      <c r="AC44" s="13">
        <f>'TUSD BE'!$AC$44*'TUSD BE'!$AC$62</f>
        <v>2.2676544246331694E-3</v>
      </c>
      <c r="AD44" s="13">
        <f>SUM($AC$44:$AC$44)</f>
        <v>2.2676544246331694E-3</v>
      </c>
      <c r="AE44" s="13">
        <f ca="1">$AO$44*$AO$59</f>
        <v>-9.0466462214406427</v>
      </c>
      <c r="AF44" s="13">
        <f ca="1">$AP$44*$AP$59</f>
        <v>0</v>
      </c>
      <c r="AG44" s="13">
        <f ca="1">SUM($AE$44:$AF$44)</f>
        <v>-9.0466462214406427</v>
      </c>
      <c r="AH44" s="13">
        <f>'TUSD BE'!$AH$44*'TUSD BE'!$AH$62</f>
        <v>9.6817791535764128E-2</v>
      </c>
      <c r="AI44" s="13">
        <f>'TUSD BE'!$AI$44*'TUSD BE'!$AI$62</f>
        <v>0</v>
      </c>
      <c r="AJ44" s="13">
        <f ca="1">'TUSD BE'!$AJ$44*'TUSD BE'!$AJ$62</f>
        <v>5.679034148595657E-3</v>
      </c>
      <c r="AK44" s="13">
        <f ca="1">'TUSD BE'!$AK$44*'TUSD BE'!$AK$62</f>
        <v>1.3943273361419074E-2</v>
      </c>
      <c r="AL44" s="13">
        <f ca="1">SUM($AH$44:$AK$44)</f>
        <v>0.11644009904577887</v>
      </c>
      <c r="AM44" s="13">
        <f ca="1">SUMIF($L$4:$AL$4,"SUBTOTAL",$L$44:$AL$44)+AZ44</f>
        <v>-14.135296870117072</v>
      </c>
      <c r="AO44" s="26">
        <f ca="1">+'TUSD BE'!$T$44+'TUSD BE'!$AB$44+'TUSD BE'!$AD$44+'TUSD BE'!$AL$44</f>
        <v>230.28498737270996</v>
      </c>
      <c r="AP44" s="26">
        <f ca="1">+'TUSD BE'!$T$44+'TUSD BE'!$AB$44+'TUSD BE'!$AD$44+'TUSD BE'!$AL$44</f>
        <v>230.28498737270996</v>
      </c>
      <c r="AQ44" s="9" t="str">
        <f t="shared" si="7"/>
        <v>B2</v>
      </c>
      <c r="AR44" s="9" t="str">
        <f t="shared" si="8"/>
        <v>Branca</v>
      </c>
      <c r="AS44" s="9" t="str">
        <f t="shared" si="9"/>
        <v>Rural</v>
      </c>
      <c r="AT44" s="9" t="str">
        <f t="shared" si="10"/>
        <v>Serviço público de irrigação rural</v>
      </c>
      <c r="AU44" s="9" t="str">
        <f t="shared" si="11"/>
        <v>Não se aplica</v>
      </c>
      <c r="AV44" s="9">
        <f t="shared" si="12"/>
        <v>1</v>
      </c>
      <c r="AW44" s="9">
        <f ca="1">TarifaMedia!$G$28</f>
        <v>1</v>
      </c>
      <c r="AX44" s="15">
        <f ca="1">'TUSD BE'!$AM44+'TUSD BF'!$AM44+'TUSD CVA'!$AM44</f>
        <v>259.3131111316693</v>
      </c>
      <c r="AY44" s="9">
        <f>ROUND(232.66/(1-CUSTOS!$M$38),2)</f>
        <v>247.51</v>
      </c>
      <c r="AZ44" s="9">
        <f t="shared" ca="1" si="13"/>
        <v>-11.803111131669311</v>
      </c>
      <c r="BC44" s="87" t="s">
        <v>840</v>
      </c>
    </row>
    <row r="45" spans="1:55" ht="11.25" customHeight="1" x14ac:dyDescent="0.3">
      <c r="A45" s="146"/>
      <c r="B45" s="23" t="s">
        <v>23</v>
      </c>
      <c r="C45" s="23" t="s">
        <v>42</v>
      </c>
      <c r="D45" s="23" t="s">
        <v>94</v>
      </c>
      <c r="E45" s="23" t="s">
        <v>25</v>
      </c>
      <c r="F45" s="23" t="s">
        <v>25</v>
      </c>
      <c r="G45" s="24" t="s">
        <v>84</v>
      </c>
      <c r="H45" s="24" t="s">
        <v>78</v>
      </c>
      <c r="I45" s="24">
        <f>'MERCADO TUSD'!$U$42</f>
        <v>0</v>
      </c>
      <c r="J45" s="15"/>
      <c r="L45" s="13">
        <f>'TUSD BE'!$L$45*'TUSD BE'!$L$62</f>
        <v>0.11582412398668746</v>
      </c>
      <c r="M45" s="13">
        <f>'TUSD BE'!$M$45*'TUSD BE'!$M$62</f>
        <v>3.1450776225263023E-2</v>
      </c>
      <c r="N45" s="13">
        <f ca="1">'TUSD BE'!$N$45*'TUSD BE'!$N$62</f>
        <v>2.4998425446476113E-6</v>
      </c>
      <c r="O45" s="13">
        <f>'TUSD BE'!$O$45*'TUSD BE'!$O$62</f>
        <v>0</v>
      </c>
      <c r="P45" s="13">
        <f>'TUSD BE'!$P$45*'TUSD BE'!$P$62</f>
        <v>0</v>
      </c>
      <c r="Q45" s="13">
        <f>'TUSD BE'!$Q$45*'TUSD BE'!$Q$62</f>
        <v>3.9920921295007172</v>
      </c>
      <c r="R45" s="13">
        <f>'TUSD BE'!$R$45*'TUSD BE'!$R$62</f>
        <v>0.46136832062853605</v>
      </c>
      <c r="S45" s="13">
        <f>'TUSD BE'!$R$45*'TUSD BE'!$S$62</f>
        <v>0</v>
      </c>
      <c r="T45" s="13">
        <f ca="1">SUM($L$45:$S$45)</f>
        <v>4.6007378501837488</v>
      </c>
      <c r="U45" s="13">
        <f>'TUSD BE'!$U$45*'TUSD BE'!$U$62</f>
        <v>0</v>
      </c>
      <c r="V45" s="13">
        <f>'TUSD BE'!$V$45*'TUSD BE'!$V$62</f>
        <v>0</v>
      </c>
      <c r="W45" s="13">
        <f>'TUSD BE'!$W$45*'TUSD BE'!$W$62</f>
        <v>0</v>
      </c>
      <c r="X45" s="13">
        <f>'TUSD BE'!$X$45*'TUSD BE'!$X$62</f>
        <v>0</v>
      </c>
      <c r="Y45" s="13">
        <f>'TUSD BE'!$Y$45*'TUSD BE'!$Y$62</f>
        <v>7.1250374663485365</v>
      </c>
      <c r="Z45" s="13">
        <f>'TUSD BE'!$Z$45*'TUSD BE'!$Z$62</f>
        <v>0</v>
      </c>
      <c r="AA45" s="13">
        <f>'TUSD BE'!$AA$45*'TUSD BE'!$AA$62</f>
        <v>0</v>
      </c>
      <c r="AB45" s="13">
        <f>SUM($U$45:$AA$45)</f>
        <v>7.1250374663485365</v>
      </c>
      <c r="AC45" s="13">
        <f>'TUSD BE'!$AC$45*'TUSD BE'!$AC$62</f>
        <v>8.0987683701646291E-3</v>
      </c>
      <c r="AD45" s="13">
        <f>SUM($AC$45:$AC$45)</f>
        <v>8.0987683701646291E-3</v>
      </c>
      <c r="AE45" s="13">
        <f ca="1">$AO$45*$AO$59</f>
        <v>-17.524654495650299</v>
      </c>
      <c r="AF45" s="13">
        <f ca="1">$AP$45*$AP$59</f>
        <v>0</v>
      </c>
      <c r="AG45" s="13">
        <f ca="1">SUM($AE$45:$AF$45)</f>
        <v>-17.524654495650299</v>
      </c>
      <c r="AH45" s="13">
        <f>'TUSD BE'!$AH$45*'TUSD BE'!$AH$62</f>
        <v>9.6817791535764128E-2</v>
      </c>
      <c r="AI45" s="13">
        <f>'TUSD BE'!$AI$45*'TUSD BE'!$AI$62</f>
        <v>0</v>
      </c>
      <c r="AJ45" s="13">
        <f ca="1">'TUSD BE'!$AJ$45*'TUSD BE'!$AJ$62</f>
        <v>5.679034148595657E-3</v>
      </c>
      <c r="AK45" s="13">
        <f ca="1">'TUSD BE'!$AK$45*'TUSD BE'!$AK$62</f>
        <v>1.3943273361419074E-2</v>
      </c>
      <c r="AL45" s="13">
        <f ca="1">SUM($AH$45:$AK$45)</f>
        <v>0.11644009904577887</v>
      </c>
      <c r="AM45" s="13">
        <f ca="1">SUMIF($L$4:$AL$4,"SUBTOTAL",$L$45:$AL$45)+AZ45</f>
        <v>-166.96544137924943</v>
      </c>
      <c r="AO45" s="26">
        <f ca="1">+'TUSD BE'!$T$45+'TUSD BE'!$AB$45+'TUSD BE'!$AD$45+'TUSD BE'!$AL$45</f>
        <v>446.09513188184229</v>
      </c>
      <c r="AP45" s="26">
        <f ca="1">+'TUSD BE'!$T$45+'TUSD BE'!$AB$45+'TUSD BE'!$AD$45+'TUSD BE'!$AL$45</f>
        <v>446.09513188184229</v>
      </c>
      <c r="AQ45" s="9" t="str">
        <f t="shared" si="7"/>
        <v>B2</v>
      </c>
      <c r="AR45" s="9" t="str">
        <f t="shared" si="8"/>
        <v>Convencional</v>
      </c>
      <c r="AS45" s="9" t="str">
        <f t="shared" si="9"/>
        <v>Rural</v>
      </c>
      <c r="AT45" s="9" t="str">
        <f t="shared" si="10"/>
        <v>Serviço público de irrigação rural</v>
      </c>
      <c r="AU45" s="9" t="str">
        <f t="shared" si="11"/>
        <v>Não se aplica</v>
      </c>
      <c r="AV45" s="9">
        <f t="shared" si="12"/>
        <v>1</v>
      </c>
      <c r="AW45" s="9">
        <f ca="1">TarifaMedia!$G$28</f>
        <v>1</v>
      </c>
      <c r="AX45" s="15">
        <f ca="1">'TUSD BE'!$AM45+'TUSD BF'!$AM45+'TUSD CVA'!$AM45</f>
        <v>471.78110106754735</v>
      </c>
      <c r="AY45" s="9">
        <v>310.49</v>
      </c>
      <c r="AZ45" s="9">
        <f t="shared" ca="1" si="13"/>
        <v>-161.29110106754734</v>
      </c>
      <c r="BC45" s="87" t="s">
        <v>834</v>
      </c>
    </row>
    <row r="46" spans="1:55" ht="11.25" customHeight="1" x14ac:dyDescent="0.3">
      <c r="A46" s="146"/>
      <c r="B46" s="146" t="s">
        <v>92</v>
      </c>
      <c r="C46" s="146" t="s">
        <v>42</v>
      </c>
      <c r="D46" s="23" t="s">
        <v>25</v>
      </c>
      <c r="E46" s="23" t="s">
        <v>25</v>
      </c>
      <c r="F46" s="23" t="s">
        <v>25</v>
      </c>
      <c r="G46" s="24" t="s">
        <v>84</v>
      </c>
      <c r="H46" s="24" t="s">
        <v>78</v>
      </c>
      <c r="I46" s="24">
        <f>'MERCADO TUSD'!$U$43</f>
        <v>0</v>
      </c>
      <c r="J46" s="15"/>
      <c r="L46" s="13">
        <f>'TUSD BE'!$L$46*'TUSD BE'!$L$62</f>
        <v>0.11582412398668746</v>
      </c>
      <c r="M46" s="13">
        <f>'TUSD BE'!$M$46*'TUSD BE'!$M$62</f>
        <v>3.1450776225263023E-2</v>
      </c>
      <c r="N46" s="13">
        <f ca="1">'TUSD BE'!$N$46*'TUSD BE'!$N$62</f>
        <v>2.4998425446476113E-6</v>
      </c>
      <c r="O46" s="13">
        <f>'TUSD BE'!$O$46*'TUSD BE'!$O$62</f>
        <v>0</v>
      </c>
      <c r="P46" s="13">
        <f>'TUSD BE'!$P$46*'TUSD BE'!$P$62</f>
        <v>0</v>
      </c>
      <c r="Q46" s="13">
        <f>'TUSD BE'!$Q$46*'TUSD BE'!$Q$62</f>
        <v>3.9920921295007172</v>
      </c>
      <c r="R46" s="13">
        <f>'TUSD BE'!$R$46*'TUSD BE'!$R$62</f>
        <v>0.46136832062853605</v>
      </c>
      <c r="S46" s="13">
        <f>'TUSD BE'!$R$46*'TUSD BE'!$S$62</f>
        <v>0</v>
      </c>
      <c r="T46" s="13">
        <f ca="1">SUM($L$46:$S$46)</f>
        <v>4.6007378501837488</v>
      </c>
      <c r="U46" s="13">
        <f>'TUSD BE'!$U$46*'TUSD BE'!$U$62</f>
        <v>0</v>
      </c>
      <c r="V46" s="13">
        <f>'TUSD BE'!$V$46*'TUSD BE'!$V$62</f>
        <v>0</v>
      </c>
      <c r="W46" s="13">
        <f>'TUSD BE'!$W$46*'TUSD BE'!$W$62</f>
        <v>0</v>
      </c>
      <c r="X46" s="13">
        <f>'TUSD BE'!$X$46*'TUSD BE'!$X$62</f>
        <v>0</v>
      </c>
      <c r="Y46" s="13">
        <f>'TUSD BE'!$Y$46*'TUSD BE'!$Y$62</f>
        <v>7.1250374663485365</v>
      </c>
      <c r="Z46" s="13">
        <f>'TUSD BE'!$Z$46*'TUSD BE'!$Z$62</f>
        <v>0</v>
      </c>
      <c r="AA46" s="13">
        <f>'TUSD BE'!$AA$46*'TUSD BE'!$AA$62</f>
        <v>0</v>
      </c>
      <c r="AB46" s="13">
        <f>SUM($U$46:$AA$46)</f>
        <v>7.1250374663485365</v>
      </c>
      <c r="AC46" s="13">
        <f>'TUSD BE'!$AC$46*'TUSD BE'!$AC$62</f>
        <v>8.0987683701646291E-3</v>
      </c>
      <c r="AD46" s="13">
        <f>SUM($AC$46:$AC$46)</f>
        <v>8.0987683701646291E-3</v>
      </c>
      <c r="AE46" s="13">
        <f ca="1">$AO$46*$AO$59</f>
        <v>-17.524654495650299</v>
      </c>
      <c r="AF46" s="13">
        <f ca="1">$AP$46*$AP$59</f>
        <v>0</v>
      </c>
      <c r="AG46" s="13">
        <f ca="1">SUM($AE$46:$AF$46)</f>
        <v>-17.524654495650299</v>
      </c>
      <c r="AH46" s="13">
        <f>'TUSD BE'!$AH$46*'TUSD BE'!$AH$62</f>
        <v>9.6817791535764128E-2</v>
      </c>
      <c r="AI46" s="13">
        <f>'TUSD BE'!$AI$46*'TUSD BE'!$AI$62</f>
        <v>0</v>
      </c>
      <c r="AJ46" s="13">
        <f ca="1">'TUSD BE'!$AJ$46*'TUSD BE'!$AJ$62</f>
        <v>5.679034148595657E-3</v>
      </c>
      <c r="AK46" s="13">
        <f ca="1">'TUSD BE'!$AK$46*'TUSD BE'!$AK$62</f>
        <v>1.3943273361419074E-2</v>
      </c>
      <c r="AL46" s="13">
        <f ca="1">SUM($AH$46:$AK$46)</f>
        <v>0.11644009904577887</v>
      </c>
      <c r="AM46" s="13">
        <f ca="1">SUMIF($L$4:$AL$4,"SUBTOTAL",$L$46:$AL$46)+AZ46</f>
        <v>-166.96544137924943</v>
      </c>
      <c r="AO46" s="26">
        <f ca="1">+'TUSD BE'!$T$46+'TUSD BE'!$AB$46+'TUSD BE'!$AD$46+'TUSD BE'!$AL$46</f>
        <v>446.09513188184229</v>
      </c>
      <c r="AP46" s="26">
        <f ca="1">+'TUSD BE'!$T$46+'TUSD BE'!$AB$46+'TUSD BE'!$AD$46+'TUSD BE'!$AL$46</f>
        <v>446.09513188184229</v>
      </c>
      <c r="AQ46" s="9" t="str">
        <f t="shared" si="7"/>
        <v>B2</v>
      </c>
      <c r="AR46" s="9" t="str">
        <f t="shared" si="8"/>
        <v>Convencional pré-pagamento</v>
      </c>
      <c r="AS46" s="9" t="str">
        <f t="shared" si="9"/>
        <v>Rural</v>
      </c>
      <c r="AT46" s="9" t="str">
        <f t="shared" si="10"/>
        <v>Não se aplica</v>
      </c>
      <c r="AU46" s="9" t="str">
        <f t="shared" si="11"/>
        <v>Não se aplica</v>
      </c>
      <c r="AV46" s="9">
        <f t="shared" si="12"/>
        <v>1</v>
      </c>
      <c r="AW46" s="9">
        <f ca="1">TarifaMedia!$G$28</f>
        <v>1</v>
      </c>
      <c r="AX46" s="15">
        <f ca="1">'TUSD BE'!$AM46+'TUSD BF'!$AM46+'TUSD CVA'!$AM46</f>
        <v>471.78110106754735</v>
      </c>
      <c r="AY46" s="9">
        <v>310.49</v>
      </c>
      <c r="AZ46" s="9">
        <f t="shared" ca="1" si="13"/>
        <v>-161.29110106754734</v>
      </c>
      <c r="BC46" s="87" t="s">
        <v>834</v>
      </c>
    </row>
    <row r="47" spans="1:55" ht="11.25" customHeight="1" x14ac:dyDescent="0.3">
      <c r="A47" s="146"/>
      <c r="B47" s="146"/>
      <c r="C47" s="146"/>
      <c r="D47" s="23" t="s">
        <v>93</v>
      </c>
      <c r="E47" s="23" t="s">
        <v>25</v>
      </c>
      <c r="F47" s="23" t="s">
        <v>25</v>
      </c>
      <c r="G47" s="24" t="s">
        <v>84</v>
      </c>
      <c r="H47" s="24" t="s">
        <v>78</v>
      </c>
      <c r="I47" s="24">
        <f>'MERCADO TUSD'!$U$44</f>
        <v>0</v>
      </c>
      <c r="J47" s="15"/>
      <c r="L47" s="13">
        <f>'TUSD BE'!$L$47*'TUSD BE'!$L$62</f>
        <v>0.11582412398668746</v>
      </c>
      <c r="M47" s="13">
        <f>'TUSD BE'!$M$47*'TUSD BE'!$M$62</f>
        <v>3.1450776225263023E-2</v>
      </c>
      <c r="N47" s="13">
        <f ca="1">'TUSD BE'!$N$47*'TUSD BE'!$N$62</f>
        <v>2.4998425446476113E-6</v>
      </c>
      <c r="O47" s="13">
        <f>'TUSD BE'!$O$47*'TUSD BE'!$O$62</f>
        <v>0</v>
      </c>
      <c r="P47" s="13">
        <f>'TUSD BE'!$P$47*'TUSD BE'!$P$62</f>
        <v>0</v>
      </c>
      <c r="Q47" s="13">
        <f>'TUSD BE'!$Q$47*'TUSD BE'!$Q$62</f>
        <v>3.9920921295007172</v>
      </c>
      <c r="R47" s="13">
        <f>'TUSD BE'!$R$47*'TUSD BE'!$R$62</f>
        <v>0.46136832062853605</v>
      </c>
      <c r="S47" s="13">
        <f>'TUSD BE'!$R$47*'TUSD BE'!$S$62</f>
        <v>0</v>
      </c>
      <c r="T47" s="13">
        <f ca="1">SUM($L$47:$S$47)</f>
        <v>4.6007378501837488</v>
      </c>
      <c r="U47" s="13">
        <f>'TUSD BE'!$U$47*'TUSD BE'!$U$62</f>
        <v>0</v>
      </c>
      <c r="V47" s="13">
        <f>'TUSD BE'!$V$47*'TUSD BE'!$V$62</f>
        <v>0</v>
      </c>
      <c r="W47" s="13">
        <f>'TUSD BE'!$W$47*'TUSD BE'!$W$62</f>
        <v>0</v>
      </c>
      <c r="X47" s="13">
        <f>'TUSD BE'!$X$47*'TUSD BE'!$X$62</f>
        <v>0</v>
      </c>
      <c r="Y47" s="13">
        <f>'TUSD BE'!$Y$47*'TUSD BE'!$Y$62</f>
        <v>7.1250374663485365</v>
      </c>
      <c r="Z47" s="13">
        <f>'TUSD BE'!$Z$47*'TUSD BE'!$Z$62</f>
        <v>0</v>
      </c>
      <c r="AA47" s="13">
        <f>'TUSD BE'!$AA$47*'TUSD BE'!$AA$62</f>
        <v>0</v>
      </c>
      <c r="AB47" s="13">
        <f>SUM($U$47:$AA$47)</f>
        <v>7.1250374663485365</v>
      </c>
      <c r="AC47" s="13">
        <f>'TUSD BE'!$AC$47*'TUSD BE'!$AC$62</f>
        <v>8.0987683701646291E-3</v>
      </c>
      <c r="AD47" s="13">
        <f>SUM($AC$47:$AC$47)</f>
        <v>8.0987683701646291E-3</v>
      </c>
      <c r="AE47" s="13">
        <f ca="1">$AO$47*$AO$59</f>
        <v>-17.524654495650299</v>
      </c>
      <c r="AF47" s="13">
        <f ca="1">$AP$47*$AP$59</f>
        <v>0</v>
      </c>
      <c r="AG47" s="13">
        <f ca="1">SUM($AE$47:$AF$47)</f>
        <v>-17.524654495650299</v>
      </c>
      <c r="AH47" s="13">
        <f>'TUSD BE'!$AH$47*'TUSD BE'!$AH$62</f>
        <v>9.6817791535764128E-2</v>
      </c>
      <c r="AI47" s="13">
        <f>'TUSD BE'!$AI$47*'TUSD BE'!$AI$62</f>
        <v>0</v>
      </c>
      <c r="AJ47" s="13">
        <f ca="1">'TUSD BE'!$AJ$47*'TUSD BE'!$AJ$62</f>
        <v>5.679034148595657E-3</v>
      </c>
      <c r="AK47" s="13">
        <f ca="1">'TUSD BE'!$AK$47*'TUSD BE'!$AK$62</f>
        <v>1.3943273361419074E-2</v>
      </c>
      <c r="AL47" s="13">
        <f ca="1">SUM($AH$47:$AK$47)</f>
        <v>0.11644009904577887</v>
      </c>
      <c r="AM47" s="13">
        <f ca="1">SUMIF($L$4:$AL$4,"SUBTOTAL",$L$47:$AL$47)+AZ47</f>
        <v>-166.96544137924943</v>
      </c>
      <c r="AO47" s="26">
        <f ca="1">+'TUSD BE'!$T$47+'TUSD BE'!$AB$47+'TUSD BE'!$AD$47+'TUSD BE'!$AL$47</f>
        <v>446.09513188184229</v>
      </c>
      <c r="AP47" s="26">
        <f ca="1">+'TUSD BE'!$T$47+'TUSD BE'!$AB$47+'TUSD BE'!$AD$47+'TUSD BE'!$AL$47</f>
        <v>446.09513188184229</v>
      </c>
      <c r="AQ47" s="9" t="str">
        <f t="shared" si="7"/>
        <v>B2</v>
      </c>
      <c r="AR47" s="9" t="str">
        <f t="shared" si="8"/>
        <v>Convencional pré-pagamento</v>
      </c>
      <c r="AS47" s="9" t="str">
        <f t="shared" si="9"/>
        <v>Rural</v>
      </c>
      <c r="AT47" s="9" t="str">
        <f t="shared" si="10"/>
        <v>Cooperativa de eletrificação rural</v>
      </c>
      <c r="AU47" s="9" t="str">
        <f t="shared" si="11"/>
        <v>Não se aplica</v>
      </c>
      <c r="AV47" s="9">
        <f t="shared" si="12"/>
        <v>1</v>
      </c>
      <c r="AW47" s="9">
        <f ca="1">TarifaMedia!$G$28</f>
        <v>1</v>
      </c>
      <c r="AX47" s="15">
        <f ca="1">'TUSD BE'!$AM47+'TUSD BF'!$AM47+'TUSD CVA'!$AM47</f>
        <v>471.78110106754735</v>
      </c>
      <c r="AY47" s="9">
        <v>310.49</v>
      </c>
      <c r="AZ47" s="9">
        <f t="shared" ca="1" si="13"/>
        <v>-161.29110106754734</v>
      </c>
      <c r="BC47" s="87" t="s">
        <v>834</v>
      </c>
    </row>
    <row r="48" spans="1:55" ht="11.25" customHeight="1" x14ac:dyDescent="0.3">
      <c r="A48" s="146"/>
      <c r="B48" s="146"/>
      <c r="C48" s="146"/>
      <c r="D48" s="23" t="s">
        <v>94</v>
      </c>
      <c r="E48" s="23" t="s">
        <v>25</v>
      </c>
      <c r="F48" s="23" t="s">
        <v>25</v>
      </c>
      <c r="G48" s="24" t="s">
        <v>84</v>
      </c>
      <c r="H48" s="24" t="s">
        <v>78</v>
      </c>
      <c r="I48" s="24">
        <f>'MERCADO TUSD'!$U$45</f>
        <v>0</v>
      </c>
      <c r="J48" s="15"/>
      <c r="L48" s="13">
        <f>'TUSD BE'!$L$48*'TUSD BE'!$L$62</f>
        <v>0.11582412398668746</v>
      </c>
      <c r="M48" s="13">
        <f>'TUSD BE'!$M$48*'TUSD BE'!$M$62</f>
        <v>3.1450776225263023E-2</v>
      </c>
      <c r="N48" s="13">
        <f ca="1">'TUSD BE'!$N$48*'TUSD BE'!$N$62</f>
        <v>2.4998425446476113E-6</v>
      </c>
      <c r="O48" s="13">
        <f>'TUSD BE'!$O$48*'TUSD BE'!$O$62</f>
        <v>0</v>
      </c>
      <c r="P48" s="13">
        <f>'TUSD BE'!$P$48*'TUSD BE'!$P$62</f>
        <v>0</v>
      </c>
      <c r="Q48" s="13">
        <f>'TUSD BE'!$Q$48*'TUSD BE'!$Q$62</f>
        <v>3.9920921295007172</v>
      </c>
      <c r="R48" s="13">
        <f>'TUSD BE'!$R$48*'TUSD BE'!$R$62</f>
        <v>0.46136832062853605</v>
      </c>
      <c r="S48" s="13">
        <f>'TUSD BE'!$R$48*'TUSD BE'!$S$62</f>
        <v>0</v>
      </c>
      <c r="T48" s="13">
        <f ca="1">SUM($L$48:$S$48)</f>
        <v>4.6007378501837488</v>
      </c>
      <c r="U48" s="13">
        <f>'TUSD BE'!$U$48*'TUSD BE'!$U$62</f>
        <v>0</v>
      </c>
      <c r="V48" s="13">
        <f>'TUSD BE'!$V$48*'TUSD BE'!$V$62</f>
        <v>0</v>
      </c>
      <c r="W48" s="13">
        <f>'TUSD BE'!$W$48*'TUSD BE'!$W$62</f>
        <v>0</v>
      </c>
      <c r="X48" s="13">
        <f>'TUSD BE'!$X$48*'TUSD BE'!$X$62</f>
        <v>0</v>
      </c>
      <c r="Y48" s="13">
        <f>'TUSD BE'!$Y$48*'TUSD BE'!$Y$62</f>
        <v>7.1250374663485365</v>
      </c>
      <c r="Z48" s="13">
        <f>'TUSD BE'!$Z$48*'TUSD BE'!$Z$62</f>
        <v>0</v>
      </c>
      <c r="AA48" s="13">
        <f>'TUSD BE'!$AA$48*'TUSD BE'!$AA$62</f>
        <v>0</v>
      </c>
      <c r="AB48" s="13">
        <f>SUM($U$48:$AA$48)</f>
        <v>7.1250374663485365</v>
      </c>
      <c r="AC48" s="13">
        <f>'TUSD BE'!$AC$48*'TUSD BE'!$AC$62</f>
        <v>8.0987683701646291E-3</v>
      </c>
      <c r="AD48" s="13">
        <f>SUM($AC$48:$AC$48)</f>
        <v>8.0987683701646291E-3</v>
      </c>
      <c r="AE48" s="13">
        <f ca="1">$AO$48*$AO$59</f>
        <v>-17.524654495650299</v>
      </c>
      <c r="AF48" s="13">
        <f ca="1">$AP$48*$AP$59</f>
        <v>0</v>
      </c>
      <c r="AG48" s="13">
        <f ca="1">SUM($AE$48:$AF$48)</f>
        <v>-17.524654495650299</v>
      </c>
      <c r="AH48" s="13">
        <f>'TUSD BE'!$AH$48*'TUSD BE'!$AH$62</f>
        <v>9.6817791535764128E-2</v>
      </c>
      <c r="AI48" s="13">
        <f>'TUSD BE'!$AI$48*'TUSD BE'!$AI$62</f>
        <v>0</v>
      </c>
      <c r="AJ48" s="13">
        <f ca="1">'TUSD BE'!$AJ$48*'TUSD BE'!$AJ$62</f>
        <v>5.679034148595657E-3</v>
      </c>
      <c r="AK48" s="13">
        <f ca="1">'TUSD BE'!$AK$48*'TUSD BE'!$AK$62</f>
        <v>1.3943273361419074E-2</v>
      </c>
      <c r="AL48" s="13">
        <f ca="1">SUM($AH$48:$AK$48)</f>
        <v>0.11644009904577887</v>
      </c>
      <c r="AM48" s="13">
        <f ca="1">SUMIF($L$4:$AL$4,"SUBTOTAL",$L$48:$AL$48)+AZ48</f>
        <v>-166.96544137924943</v>
      </c>
      <c r="AO48" s="26">
        <f ca="1">+'TUSD BE'!$T$48+'TUSD BE'!$AB$48+'TUSD BE'!$AD$48+'TUSD BE'!$AL$48</f>
        <v>446.09513188184229</v>
      </c>
      <c r="AP48" s="26">
        <f ca="1">+'TUSD BE'!$T$48+'TUSD BE'!$AB$48+'TUSD BE'!$AD$48+'TUSD BE'!$AL$48</f>
        <v>446.09513188184229</v>
      </c>
      <c r="AQ48" s="9" t="str">
        <f t="shared" si="7"/>
        <v>B2</v>
      </c>
      <c r="AR48" s="9" t="str">
        <f t="shared" si="8"/>
        <v>Convencional pré-pagamento</v>
      </c>
      <c r="AS48" s="9" t="str">
        <f t="shared" si="9"/>
        <v>Rural</v>
      </c>
      <c r="AT48" s="9" t="str">
        <f t="shared" si="10"/>
        <v>Serviço público de irrigação rural</v>
      </c>
      <c r="AU48" s="9" t="str">
        <f t="shared" si="11"/>
        <v>Não se aplica</v>
      </c>
      <c r="AV48" s="9">
        <f t="shared" si="12"/>
        <v>1</v>
      </c>
      <c r="AW48" s="9">
        <f ca="1">TarifaMedia!$G$28</f>
        <v>1</v>
      </c>
      <c r="AX48" s="15">
        <f ca="1">'TUSD BE'!$AM48+'TUSD BF'!$AM48+'TUSD CVA'!$AM48</f>
        <v>471.78110106754735</v>
      </c>
      <c r="AY48" s="9">
        <v>310.49</v>
      </c>
      <c r="AZ48" s="9">
        <f t="shared" ca="1" si="13"/>
        <v>-161.29110106754734</v>
      </c>
      <c r="BC48" s="87" t="s">
        <v>834</v>
      </c>
    </row>
    <row r="49" spans="1:55" ht="11.25" customHeight="1" x14ac:dyDescent="0.3">
      <c r="A49" s="146" t="s">
        <v>32</v>
      </c>
      <c r="B49" s="146" t="s">
        <v>38</v>
      </c>
      <c r="C49" s="146" t="s">
        <v>25</v>
      </c>
      <c r="D49" s="146" t="s">
        <v>25</v>
      </c>
      <c r="E49" s="146" t="s">
        <v>25</v>
      </c>
      <c r="F49" s="146" t="s">
        <v>25</v>
      </c>
      <c r="G49" s="24" t="s">
        <v>79</v>
      </c>
      <c r="H49" s="24" t="s">
        <v>78</v>
      </c>
      <c r="I49" s="24">
        <f>'MERCADO TUSD'!$U$46</f>
        <v>4.4679999999999991</v>
      </c>
      <c r="J49" s="15"/>
      <c r="L49" s="13">
        <f>'TUSD BE'!$L$49*'TUSD BE'!$L$62</f>
        <v>0.11582412398668746</v>
      </c>
      <c r="M49" s="13">
        <f>'TUSD BE'!$M$49*'TUSD BE'!$M$62</f>
        <v>3.1450776225263023E-2</v>
      </c>
      <c r="N49" s="13">
        <f ca="1">'TUSD BE'!$N$49*'TUSD BE'!$N$62</f>
        <v>1.5520665583799671E-5</v>
      </c>
      <c r="O49" s="13">
        <f>'TUSD BE'!$O$49*'TUSD BE'!$O$62</f>
        <v>0</v>
      </c>
      <c r="P49" s="13">
        <f>'TUSD BE'!$P$49*'TUSD BE'!$P$62</f>
        <v>0</v>
      </c>
      <c r="Q49" s="13">
        <f>'TUSD BE'!$Q$49*'TUSD BE'!$Q$62</f>
        <v>3.9920921295007172</v>
      </c>
      <c r="R49" s="13">
        <f>'TUSD BE'!$R$49*'TUSD BE'!$R$62</f>
        <v>0.46136832062853605</v>
      </c>
      <c r="S49" s="13">
        <f>'TUSD BE'!$R$49*'TUSD BE'!$S$62</f>
        <v>0</v>
      </c>
      <c r="T49" s="13">
        <f ca="1">SUM($L$49:$S$49)</f>
        <v>4.6007508710067881</v>
      </c>
      <c r="U49" s="13">
        <f>'TUSD BE'!$U$49*'TUSD BE'!$U$62</f>
        <v>0</v>
      </c>
      <c r="V49" s="13">
        <f>'TUSD BE'!$V$49*'TUSD BE'!$V$62</f>
        <v>0</v>
      </c>
      <c r="W49" s="13">
        <f>'TUSD BE'!$W$49*'TUSD BE'!$W$62</f>
        <v>0</v>
      </c>
      <c r="X49" s="13">
        <f>'TUSD BE'!$X$49*'TUSD BE'!$X$62</f>
        <v>0</v>
      </c>
      <c r="Y49" s="13">
        <f>'TUSD BE'!$Y$49*'TUSD BE'!$Y$62</f>
        <v>52.500126975477684</v>
      </c>
      <c r="Z49" s="13">
        <f>'TUSD BE'!$Z$49*'TUSD BE'!$Z$62</f>
        <v>0</v>
      </c>
      <c r="AA49" s="13">
        <f>'TUSD BE'!$AA$49*'TUSD BE'!$AA$62</f>
        <v>0</v>
      </c>
      <c r="AB49" s="13">
        <f>SUM($U$49:$AA$49)</f>
        <v>52.500126975477684</v>
      </c>
      <c r="AC49" s="13">
        <f>'TUSD BE'!$AC$49*'TUSD BE'!$AC$62</f>
        <v>5.9674972162094851E-2</v>
      </c>
      <c r="AD49" s="13">
        <f>SUM($AC$49:$AC$49)</f>
        <v>5.9674972162094851E-2</v>
      </c>
      <c r="AE49" s="13">
        <f ca="1">$AO$49*$AO$59</f>
        <v>-92.512666499300352</v>
      </c>
      <c r="AF49" s="13">
        <f ca="1">$AP$49*$AP$59</f>
        <v>0</v>
      </c>
      <c r="AG49" s="13">
        <f ca="1">SUM($AE$49:$AF$49)</f>
        <v>-92.512666499300352</v>
      </c>
      <c r="AH49" s="13">
        <f>'TUSD BE'!$AH$49*'TUSD BE'!$AH$62</f>
        <v>9.6817791535764128E-2</v>
      </c>
      <c r="AI49" s="13">
        <f>'TUSD BE'!$AI$49*'TUSD BE'!$AI$62</f>
        <v>0</v>
      </c>
      <c r="AJ49" s="13">
        <f ca="1">'TUSD BE'!$AJ$49*'TUSD BE'!$AJ$62</f>
        <v>5.679034148595657E-3</v>
      </c>
      <c r="AK49" s="13">
        <f ca="1">'TUSD BE'!$AK$49*'TUSD BE'!$AK$62</f>
        <v>1.3943273361419074E-2</v>
      </c>
      <c r="AL49" s="13">
        <f ca="1">SUM($AH$49:$AK$49)</f>
        <v>0.11644009904577887</v>
      </c>
      <c r="AM49" s="13">
        <f ca="1">SUMIF($L$4:$AL$4,"SUBTOTAL",$L$49:$AL$49)+AZ49</f>
        <v>-1707.1869031397837</v>
      </c>
      <c r="AO49" s="26">
        <f ca="1">+'TUSD BE'!$T$49+'TUSD BE'!$AB$49+'TUSD BE'!$AD$49+'TUSD BE'!$AL$49</f>
        <v>2354.9365936423769</v>
      </c>
      <c r="AP49" s="26">
        <f ca="1">+'TUSD BE'!$T$49+'TUSD BE'!$AB$49+'TUSD BE'!$AD$49+'TUSD BE'!$AL$49</f>
        <v>2354.9365936423769</v>
      </c>
      <c r="AQ49" s="9" t="str">
        <f t="shared" si="7"/>
        <v>B3</v>
      </c>
      <c r="AR49" s="9" t="str">
        <f t="shared" si="8"/>
        <v>Branca</v>
      </c>
      <c r="AS49" s="9" t="str">
        <f t="shared" si="9"/>
        <v>Não se aplica</v>
      </c>
      <c r="AT49" s="9" t="str">
        <f t="shared" si="10"/>
        <v>Não se aplica</v>
      </c>
      <c r="AU49" s="9" t="str">
        <f t="shared" si="11"/>
        <v>Não se aplica</v>
      </c>
      <c r="AV49" s="9">
        <f t="shared" si="12"/>
        <v>1</v>
      </c>
      <c r="AW49" s="9">
        <f ca="1">TarifaMedia!$G$28</f>
        <v>1</v>
      </c>
      <c r="AX49" s="15">
        <f ca="1">'TUSD BE'!$AM49+'TUSD BF'!$AM49+'TUSD CVA'!$AM49</f>
        <v>2351.0612295581759</v>
      </c>
      <c r="AY49" s="9">
        <v>679.11</v>
      </c>
      <c r="AZ49" s="9">
        <f t="shared" ca="1" si="13"/>
        <v>-1671.9512295581758</v>
      </c>
      <c r="BC49" s="87" t="s">
        <v>841</v>
      </c>
    </row>
    <row r="50" spans="1:55" ht="11.25" customHeight="1" x14ac:dyDescent="0.3">
      <c r="A50" s="146"/>
      <c r="B50" s="146"/>
      <c r="C50" s="146"/>
      <c r="D50" s="146"/>
      <c r="E50" s="146"/>
      <c r="F50" s="146"/>
      <c r="G50" s="24" t="s">
        <v>89</v>
      </c>
      <c r="H50" s="24" t="s">
        <v>78</v>
      </c>
      <c r="I50" s="24">
        <f>'MERCADO TUSD'!$U$47</f>
        <v>4.7860000000000005</v>
      </c>
      <c r="J50" s="15"/>
      <c r="L50" s="13">
        <f>'TUSD BE'!$L$50*'TUSD BE'!$L$62</f>
        <v>0.11582412398668746</v>
      </c>
      <c r="M50" s="13">
        <f>'TUSD BE'!$M$50*'TUSD BE'!$M$62</f>
        <v>3.1450776225263023E-2</v>
      </c>
      <c r="N50" s="13">
        <f ca="1">'TUSD BE'!$N$50*'TUSD BE'!$N$62</f>
        <v>4.165781792495195E-6</v>
      </c>
      <c r="O50" s="13">
        <f>'TUSD BE'!$O$50*'TUSD BE'!$O$62</f>
        <v>0</v>
      </c>
      <c r="P50" s="13">
        <f>'TUSD BE'!$P$50*'TUSD BE'!$P$62</f>
        <v>0</v>
      </c>
      <c r="Q50" s="13">
        <f>'TUSD BE'!$Q$50*'TUSD BE'!$Q$62</f>
        <v>3.9920921295007172</v>
      </c>
      <c r="R50" s="13">
        <f>'TUSD BE'!$R$50*'TUSD BE'!$R$62</f>
        <v>0.46136832062853605</v>
      </c>
      <c r="S50" s="13">
        <f>'TUSD BE'!$R$50*'TUSD BE'!$S$62</f>
        <v>0</v>
      </c>
      <c r="T50" s="13">
        <f ca="1">SUM($L$50:$S$50)</f>
        <v>4.6007395161229967</v>
      </c>
      <c r="U50" s="13">
        <f>'TUSD BE'!$U$50*'TUSD BE'!$U$62</f>
        <v>0</v>
      </c>
      <c r="V50" s="13">
        <f>'TUSD BE'!$V$50*'TUSD BE'!$V$62</f>
        <v>0</v>
      </c>
      <c r="W50" s="13">
        <f>'TUSD BE'!$W$50*'TUSD BE'!$W$62</f>
        <v>0</v>
      </c>
      <c r="X50" s="13">
        <f>'TUSD BE'!$X$50*'TUSD BE'!$X$62</f>
        <v>0</v>
      </c>
      <c r="Y50" s="13">
        <f>'TUSD BE'!$Y$50*'TUSD BE'!$Y$62</f>
        <v>12.93052405993167</v>
      </c>
      <c r="Z50" s="13">
        <f>'TUSD BE'!$Z$50*'TUSD BE'!$Z$62</f>
        <v>0</v>
      </c>
      <c r="AA50" s="13">
        <f>'TUSD BE'!$AA$50*'TUSD BE'!$AA$62</f>
        <v>0</v>
      </c>
      <c r="AB50" s="13">
        <f>SUM($U$50:$AA$50)</f>
        <v>12.93052405993167</v>
      </c>
      <c r="AC50" s="13">
        <f>'TUSD BE'!$AC$50*'TUSD BE'!$AC$62</f>
        <v>1.4697644318687928E-2</v>
      </c>
      <c r="AD50" s="13">
        <f>SUM($AC$50:$AC$50)</f>
        <v>1.4697644318687928E-2</v>
      </c>
      <c r="AE50" s="13">
        <f ca="1">$AO$50*$AO$59</f>
        <v>-27.118939254086747</v>
      </c>
      <c r="AF50" s="13">
        <f ca="1">$AP$50*$AP$59</f>
        <v>0</v>
      </c>
      <c r="AG50" s="13">
        <f ca="1">SUM($AE$50:$AF$50)</f>
        <v>-27.118939254086747</v>
      </c>
      <c r="AH50" s="13">
        <f>'TUSD BE'!$AH$50*'TUSD BE'!$AH$62</f>
        <v>9.6817791535764128E-2</v>
      </c>
      <c r="AI50" s="13">
        <f>'TUSD BE'!$AI$50*'TUSD BE'!$AI$62</f>
        <v>0</v>
      </c>
      <c r="AJ50" s="13">
        <f ca="1">'TUSD BE'!$AJ$50*'TUSD BE'!$AJ$62</f>
        <v>5.679034148595657E-3</v>
      </c>
      <c r="AK50" s="13">
        <f ca="1">'TUSD BE'!$AK$50*'TUSD BE'!$AK$62</f>
        <v>1.3943273361419074E-2</v>
      </c>
      <c r="AL50" s="13">
        <f ca="1">SUM($AH$50:$AK$50)</f>
        <v>0.11644009904577887</v>
      </c>
      <c r="AM50" s="13">
        <f ca="1">SUMIF($L$4:$AL$4,"SUBTOTAL",$L$50:$AL$50)+AZ50</f>
        <v>-251.46072557466471</v>
      </c>
      <c r="AO50" s="26">
        <f ca="1">+'TUSD BE'!$T$50+'TUSD BE'!$AB$50+'TUSD BE'!$AD$50+'TUSD BE'!$AL$50</f>
        <v>690.32041607725762</v>
      </c>
      <c r="AP50" s="26">
        <f ca="1">+'TUSD BE'!$T$50+'TUSD BE'!$AB$50+'TUSD BE'!$AD$50+'TUSD BE'!$AL$50</f>
        <v>690.32041607725762</v>
      </c>
      <c r="AQ50" s="9" t="str">
        <f t="shared" si="7"/>
        <v>B3</v>
      </c>
      <c r="AR50" s="9" t="str">
        <f t="shared" si="8"/>
        <v>Branca</v>
      </c>
      <c r="AS50" s="9" t="str">
        <f t="shared" si="9"/>
        <v>Não se aplica</v>
      </c>
      <c r="AT50" s="9" t="str">
        <f t="shared" si="10"/>
        <v>Não se aplica</v>
      </c>
      <c r="AU50" s="9" t="str">
        <f t="shared" si="11"/>
        <v>Não se aplica</v>
      </c>
      <c r="AV50" s="9">
        <f t="shared" si="12"/>
        <v>1</v>
      </c>
      <c r="AW50" s="9">
        <f ca="1">TarifaMedia!$G$28</f>
        <v>1</v>
      </c>
      <c r="AX50" s="15">
        <f ca="1">'TUSD BE'!$AM50+'TUSD BF'!$AM50+'TUSD CVA'!$AM50</f>
        <v>712.22418763999713</v>
      </c>
      <c r="AY50" s="9">
        <v>470.22</v>
      </c>
      <c r="AZ50" s="9">
        <f t="shared" ca="1" si="13"/>
        <v>-242.0041876399971</v>
      </c>
      <c r="BC50" s="87" t="s">
        <v>842</v>
      </c>
    </row>
    <row r="51" spans="1:55" ht="11.25" customHeight="1" x14ac:dyDescent="0.3">
      <c r="A51" s="146"/>
      <c r="B51" s="146"/>
      <c r="C51" s="146"/>
      <c r="D51" s="146"/>
      <c r="E51" s="146"/>
      <c r="F51" s="146"/>
      <c r="G51" s="24" t="s">
        <v>80</v>
      </c>
      <c r="H51" s="24" t="s">
        <v>78</v>
      </c>
      <c r="I51" s="24">
        <f>'MERCADO TUSD'!$U$48</f>
        <v>153.63399999999999</v>
      </c>
      <c r="J51" s="15"/>
      <c r="L51" s="13">
        <f>'TUSD BE'!$L$51*'TUSD BE'!$L$62</f>
        <v>0.11582412398668746</v>
      </c>
      <c r="M51" s="13">
        <f>'TUSD BE'!$M$51*'TUSD BE'!$M$62</f>
        <v>3.1450776225263023E-2</v>
      </c>
      <c r="N51" s="13">
        <f ca="1">'TUSD BE'!$N$51*'TUSD BE'!$N$62</f>
        <v>1.5184359814951656E-6</v>
      </c>
      <c r="O51" s="13">
        <f>'TUSD BE'!$O$51*'TUSD BE'!$O$62</f>
        <v>0</v>
      </c>
      <c r="P51" s="13">
        <f>'TUSD BE'!$P$51*'TUSD BE'!$P$62</f>
        <v>0</v>
      </c>
      <c r="Q51" s="13">
        <f>'TUSD BE'!$Q$51*'TUSD BE'!$Q$62</f>
        <v>3.9920921295007172</v>
      </c>
      <c r="R51" s="13">
        <f>'TUSD BE'!$R$51*'TUSD BE'!$R$62</f>
        <v>0.46136832062853605</v>
      </c>
      <c r="S51" s="13">
        <f>'TUSD BE'!$R$51*'TUSD BE'!$S$62</f>
        <v>0</v>
      </c>
      <c r="T51" s="13">
        <f ca="1">SUM($L$51:$S$51)</f>
        <v>4.6007368687771857</v>
      </c>
      <c r="U51" s="13">
        <f>'TUSD BE'!$U$51*'TUSD BE'!$U$62</f>
        <v>0</v>
      </c>
      <c r="V51" s="13">
        <f>'TUSD BE'!$V$51*'TUSD BE'!$V$62</f>
        <v>0</v>
      </c>
      <c r="W51" s="13">
        <f>'TUSD BE'!$W$51*'TUSD BE'!$W$62</f>
        <v>0</v>
      </c>
      <c r="X51" s="13">
        <f>'TUSD BE'!$X$51*'TUSD BE'!$X$62</f>
        <v>0</v>
      </c>
      <c r="Y51" s="13">
        <f>'TUSD BE'!$Y$51*'TUSD BE'!$Y$62</f>
        <v>3.7050233897491274</v>
      </c>
      <c r="Z51" s="13">
        <f>'TUSD BE'!$Z$51*'TUSD BE'!$Z$62</f>
        <v>0</v>
      </c>
      <c r="AA51" s="13">
        <f>'TUSD BE'!$AA$51*'TUSD BE'!$AA$62</f>
        <v>0</v>
      </c>
      <c r="AB51" s="13">
        <f>SUM($U$51:$AA$51)</f>
        <v>3.7050233897491274</v>
      </c>
      <c r="AC51" s="13">
        <f>'TUSD BE'!$AC$51*'TUSD BE'!$AC$62</f>
        <v>4.2113620690308494E-3</v>
      </c>
      <c r="AD51" s="13">
        <f>SUM($AC$51:$AC$51)</f>
        <v>4.2113620690308494E-3</v>
      </c>
      <c r="AE51" s="13">
        <f ca="1">$AO$51*$AO$59</f>
        <v>-11.872651941958067</v>
      </c>
      <c r="AF51" s="13">
        <f ca="1">$AP$51*$AP$59</f>
        <v>0</v>
      </c>
      <c r="AG51" s="13">
        <f ca="1">SUM($AE$51:$AF$51)</f>
        <v>-11.872651941958067</v>
      </c>
      <c r="AH51" s="13">
        <f>'TUSD BE'!$AH$51*'TUSD BE'!$AH$62</f>
        <v>9.6817791535764128E-2</v>
      </c>
      <c r="AI51" s="13">
        <f>'TUSD BE'!$AI$51*'TUSD BE'!$AI$62</f>
        <v>0</v>
      </c>
      <c r="AJ51" s="13">
        <f ca="1">'TUSD BE'!$AJ$51*'TUSD BE'!$AJ$62</f>
        <v>5.679034148595657E-3</v>
      </c>
      <c r="AK51" s="13">
        <f ca="1">'TUSD BE'!$AK$51*'TUSD BE'!$AK$62</f>
        <v>1.3943273361419074E-2</v>
      </c>
      <c r="AL51" s="13">
        <f ca="1">SUM($AH$51:$AK$51)</f>
        <v>0.11644009904577887</v>
      </c>
      <c r="AM51" s="13">
        <f ca="1">SUMIF($L$4:$AL$4,"SUBTOTAL",$L$51:$AL$51)+AZ51</f>
        <v>-72.242087116450605</v>
      </c>
      <c r="AO51" s="26">
        <f ca="1">+'TUSD BE'!$T$51+'TUSD BE'!$AB$51+'TUSD BE'!$AD$51+'TUSD BE'!$AL$51</f>
        <v>302.22177761904345</v>
      </c>
      <c r="AP51" s="26">
        <f ca="1">+'TUSD BE'!$T$51+'TUSD BE'!$AB$51+'TUSD BE'!$AD$51+'TUSD BE'!$AL$51</f>
        <v>302.22177761904345</v>
      </c>
      <c r="AQ51" s="9" t="str">
        <f t="shared" si="7"/>
        <v>B3</v>
      </c>
      <c r="AR51" s="9" t="str">
        <f t="shared" si="8"/>
        <v>Branca</v>
      </c>
      <c r="AS51" s="9" t="str">
        <f t="shared" si="9"/>
        <v>Não se aplica</v>
      </c>
      <c r="AT51" s="9" t="str">
        <f t="shared" si="10"/>
        <v>Não se aplica</v>
      </c>
      <c r="AU51" s="9" t="str">
        <f t="shared" si="11"/>
        <v>Não se aplica</v>
      </c>
      <c r="AV51" s="9">
        <f t="shared" si="12"/>
        <v>1</v>
      </c>
      <c r="AW51" s="9">
        <f ca="1">TarifaMedia!$G$28</f>
        <v>1</v>
      </c>
      <c r="AX51" s="15">
        <f ca="1">'TUSD BE'!$AM51+'TUSD BF'!$AM51+'TUSD CVA'!$AM51</f>
        <v>330.13584689413364</v>
      </c>
      <c r="AY51" s="9">
        <v>261.33999999999997</v>
      </c>
      <c r="AZ51" s="9">
        <f t="shared" ca="1" si="13"/>
        <v>-68.79584689413366</v>
      </c>
      <c r="BC51" s="87" t="s">
        <v>843</v>
      </c>
    </row>
    <row r="52" spans="1:55" ht="11.25" customHeight="1" x14ac:dyDescent="0.3">
      <c r="A52" s="146"/>
      <c r="B52" s="23" t="s">
        <v>23</v>
      </c>
      <c r="C52" s="23" t="s">
        <v>25</v>
      </c>
      <c r="D52" s="23" t="s">
        <v>25</v>
      </c>
      <c r="E52" s="23" t="s">
        <v>25</v>
      </c>
      <c r="F52" s="23" t="s">
        <v>25</v>
      </c>
      <c r="G52" s="24" t="s">
        <v>84</v>
      </c>
      <c r="H52" s="24" t="s">
        <v>78</v>
      </c>
      <c r="I52" s="24">
        <f>'MERCADO TUSD'!$U$49</f>
        <v>6434.8159999999998</v>
      </c>
      <c r="J52" s="15"/>
      <c r="L52" s="13">
        <f>'TUSD BE'!$L$52*'TUSD BE'!$L$62</f>
        <v>0.11582412398668746</v>
      </c>
      <c r="M52" s="13">
        <f>'TUSD BE'!$M$52*'TUSD BE'!$M$62</f>
        <v>3.1450776225263023E-2</v>
      </c>
      <c r="N52" s="13">
        <f ca="1">'TUSD BE'!$N$52*'TUSD BE'!$N$62</f>
        <v>2.4998425446476113E-6</v>
      </c>
      <c r="O52" s="13">
        <f>'TUSD BE'!$O$52*'TUSD BE'!$O$62</f>
        <v>0</v>
      </c>
      <c r="P52" s="13">
        <f>'TUSD BE'!$P$52*'TUSD BE'!$P$62</f>
        <v>0</v>
      </c>
      <c r="Q52" s="13">
        <f>'TUSD BE'!$Q$52*'TUSD BE'!$Q$62</f>
        <v>3.9920921295007172</v>
      </c>
      <c r="R52" s="13">
        <f>'TUSD BE'!$R$52*'TUSD BE'!$R$62</f>
        <v>0.46136832062853605</v>
      </c>
      <c r="S52" s="13">
        <f>'TUSD BE'!$R$52*'TUSD BE'!$S$62</f>
        <v>0</v>
      </c>
      <c r="T52" s="13">
        <f ca="1">SUM($L$52:$S$52)</f>
        <v>4.6007378501837488</v>
      </c>
      <c r="U52" s="13">
        <f>'TUSD BE'!$U$52*'TUSD BE'!$U$62</f>
        <v>0</v>
      </c>
      <c r="V52" s="13">
        <f>'TUSD BE'!$V$52*'TUSD BE'!$V$62</f>
        <v>0</v>
      </c>
      <c r="W52" s="13">
        <f>'TUSD BE'!$W$52*'TUSD BE'!$W$62</f>
        <v>0</v>
      </c>
      <c r="X52" s="13">
        <f>'TUSD BE'!$X$52*'TUSD BE'!$X$62</f>
        <v>0</v>
      </c>
      <c r="Y52" s="13">
        <f>'TUSD BE'!$Y$52*'TUSD BE'!$Y$62</f>
        <v>7.1250374663485365</v>
      </c>
      <c r="Z52" s="13">
        <f>'TUSD BE'!$Z$52*'TUSD BE'!$Z$62</f>
        <v>0</v>
      </c>
      <c r="AA52" s="13">
        <f>'TUSD BE'!$AA$52*'TUSD BE'!$AA$62</f>
        <v>0</v>
      </c>
      <c r="AB52" s="13">
        <f>SUM($U$52:$AA$52)</f>
        <v>7.1250374663485365</v>
      </c>
      <c r="AC52" s="13">
        <f>'TUSD BE'!$AC$52*'TUSD BE'!$AC$62</f>
        <v>8.0987683701646291E-3</v>
      </c>
      <c r="AD52" s="13">
        <f>SUM($AC$52:$AC$52)</f>
        <v>8.0987683701646291E-3</v>
      </c>
      <c r="AE52" s="13">
        <f ca="1">$AO$52*$AO$59</f>
        <v>-17.524654495650299</v>
      </c>
      <c r="AF52" s="13">
        <f ca="1">$AP$52*$AP$59</f>
        <v>0</v>
      </c>
      <c r="AG52" s="13">
        <f ca="1">SUM($AE$52:$AF$52)</f>
        <v>-17.524654495650299</v>
      </c>
      <c r="AH52" s="13">
        <f>'TUSD BE'!$AH$52*'TUSD BE'!$AH$62</f>
        <v>9.6817791535764128E-2</v>
      </c>
      <c r="AI52" s="13">
        <f>'TUSD BE'!$AI$52*'TUSD BE'!$AI$62</f>
        <v>0</v>
      </c>
      <c r="AJ52" s="13">
        <f ca="1">'TUSD BE'!$AJ$52*'TUSD BE'!$AJ$62</f>
        <v>5.679034148595657E-3</v>
      </c>
      <c r="AK52" s="13">
        <f ca="1">'TUSD BE'!$AK$52*'TUSD BE'!$AK$62</f>
        <v>1.3943273361419074E-2</v>
      </c>
      <c r="AL52" s="13">
        <f ca="1">SUM($AH$52:$AK$52)</f>
        <v>0.11644009904577887</v>
      </c>
      <c r="AM52" s="13">
        <f ca="1">SUMIF($L$4:$AL$4,"SUBTOTAL",$L$52:$AL$52)+AZ52</f>
        <v>-166.96544137924943</v>
      </c>
      <c r="AO52" s="26">
        <f ca="1">+'TUSD BE'!$T$52+'TUSD BE'!$AB$52+'TUSD BE'!$AD$52+'TUSD BE'!$AL$52</f>
        <v>446.09513188184229</v>
      </c>
      <c r="AP52" s="26">
        <f ca="1">+'TUSD BE'!$T$52+'TUSD BE'!$AB$52+'TUSD BE'!$AD$52+'TUSD BE'!$AL$52</f>
        <v>446.09513188184229</v>
      </c>
      <c r="AQ52" s="9" t="str">
        <f t="shared" si="7"/>
        <v>B3</v>
      </c>
      <c r="AR52" s="9" t="str">
        <f t="shared" si="8"/>
        <v>Convencional</v>
      </c>
      <c r="AS52" s="9" t="str">
        <f t="shared" si="9"/>
        <v>Não se aplica</v>
      </c>
      <c r="AT52" s="9" t="str">
        <f t="shared" si="10"/>
        <v>Não se aplica</v>
      </c>
      <c r="AU52" s="9" t="str">
        <f t="shared" si="11"/>
        <v>Não se aplica</v>
      </c>
      <c r="AV52" s="9">
        <f t="shared" si="12"/>
        <v>1</v>
      </c>
      <c r="AW52" s="9">
        <f ca="1">TarifaMedia!$G$28</f>
        <v>1</v>
      </c>
      <c r="AX52" s="15">
        <f ca="1">'TUSD BE'!$AM52+'TUSD BF'!$AM52+'TUSD CVA'!$AM52</f>
        <v>471.78110106754735</v>
      </c>
      <c r="AY52" s="9">
        <v>310.49</v>
      </c>
      <c r="AZ52" s="9">
        <f t="shared" ca="1" si="13"/>
        <v>-161.29110106754734</v>
      </c>
      <c r="BC52" s="87" t="s">
        <v>844</v>
      </c>
    </row>
    <row r="53" spans="1:55" ht="11.25" customHeight="1" x14ac:dyDescent="0.3">
      <c r="A53" s="146"/>
      <c r="B53" s="23" t="s">
        <v>92</v>
      </c>
      <c r="C53" s="23" t="s">
        <v>25</v>
      </c>
      <c r="D53" s="23" t="s">
        <v>25</v>
      </c>
      <c r="E53" s="23" t="s">
        <v>25</v>
      </c>
      <c r="F53" s="23" t="s">
        <v>25</v>
      </c>
      <c r="G53" s="24" t="s">
        <v>84</v>
      </c>
      <c r="H53" s="24" t="s">
        <v>78</v>
      </c>
      <c r="I53" s="24">
        <f>'MERCADO TUSD'!$U$50</f>
        <v>0</v>
      </c>
      <c r="J53" s="15"/>
      <c r="L53" s="13">
        <f>'TUSD BE'!$L$53*'TUSD BE'!$L$62</f>
        <v>0.11582412398668746</v>
      </c>
      <c r="M53" s="13">
        <f>'TUSD BE'!$M$53*'TUSD BE'!$M$62</f>
        <v>3.1450776225263023E-2</v>
      </c>
      <c r="N53" s="13">
        <f ca="1">'TUSD BE'!$N$53*'TUSD BE'!$N$62</f>
        <v>2.4998425446476113E-6</v>
      </c>
      <c r="O53" s="13">
        <f>'TUSD BE'!$O$53*'TUSD BE'!$O$62</f>
        <v>0</v>
      </c>
      <c r="P53" s="13">
        <f>'TUSD BE'!$P$53*'TUSD BE'!$P$62</f>
        <v>0</v>
      </c>
      <c r="Q53" s="13">
        <f>'TUSD BE'!$Q$53*'TUSD BE'!$Q$62</f>
        <v>3.9920921295007172</v>
      </c>
      <c r="R53" s="13">
        <f>'TUSD BE'!$R$53*'TUSD BE'!$R$62</f>
        <v>0.46136832062853605</v>
      </c>
      <c r="S53" s="13">
        <f>'TUSD BE'!$R$53*'TUSD BE'!$S$62</f>
        <v>0</v>
      </c>
      <c r="T53" s="13">
        <f ca="1">SUM($L$53:$S$53)</f>
        <v>4.6007378501837488</v>
      </c>
      <c r="U53" s="13">
        <f>'TUSD BE'!$U$53*'TUSD BE'!$U$62</f>
        <v>0</v>
      </c>
      <c r="V53" s="13">
        <f>'TUSD BE'!$V$53*'TUSD BE'!$V$62</f>
        <v>0</v>
      </c>
      <c r="W53" s="13">
        <f>'TUSD BE'!$W$53*'TUSD BE'!$W$62</f>
        <v>0</v>
      </c>
      <c r="X53" s="13">
        <f>'TUSD BE'!$X$53*'TUSD BE'!$X$62</f>
        <v>0</v>
      </c>
      <c r="Y53" s="13">
        <f>'TUSD BE'!$Y$53*'TUSD BE'!$Y$62</f>
        <v>7.1250374663485365</v>
      </c>
      <c r="Z53" s="13">
        <f>'TUSD BE'!$Z$53*'TUSD BE'!$Z$62</f>
        <v>0</v>
      </c>
      <c r="AA53" s="13">
        <f>'TUSD BE'!$AA$53*'TUSD BE'!$AA$62</f>
        <v>0</v>
      </c>
      <c r="AB53" s="13">
        <f>SUM($U$53:$AA$53)</f>
        <v>7.1250374663485365</v>
      </c>
      <c r="AC53" s="13">
        <f>'TUSD BE'!$AC$53*'TUSD BE'!$AC$62</f>
        <v>8.0987683701646291E-3</v>
      </c>
      <c r="AD53" s="13">
        <f>SUM($AC$53:$AC$53)</f>
        <v>8.0987683701646291E-3</v>
      </c>
      <c r="AE53" s="13">
        <f ca="1">$AO$53*$AO$59</f>
        <v>-17.524654495650299</v>
      </c>
      <c r="AF53" s="13">
        <f ca="1">$AP$53*$AP$59</f>
        <v>0</v>
      </c>
      <c r="AG53" s="13">
        <f ca="1">SUM($AE$53:$AF$53)</f>
        <v>-17.524654495650299</v>
      </c>
      <c r="AH53" s="13">
        <f>'TUSD BE'!$AH$53*'TUSD BE'!$AH$62</f>
        <v>9.6817791535764128E-2</v>
      </c>
      <c r="AI53" s="13">
        <f>'TUSD BE'!$AI$53*'TUSD BE'!$AI$62</f>
        <v>0</v>
      </c>
      <c r="AJ53" s="13">
        <f ca="1">'TUSD BE'!$AJ$53*'TUSD BE'!$AJ$62</f>
        <v>5.679034148595657E-3</v>
      </c>
      <c r="AK53" s="13">
        <f ca="1">'TUSD BE'!$AK$53*'TUSD BE'!$AK$62</f>
        <v>1.3943273361419074E-2</v>
      </c>
      <c r="AL53" s="13">
        <f ca="1">SUM($AH$53:$AK$53)</f>
        <v>0.11644009904577887</v>
      </c>
      <c r="AM53" s="13">
        <f ca="1">SUMIF($L$4:$AL$4,"SUBTOTAL",$L$53:$AL$53)+AZ53</f>
        <v>-166.96544137924943</v>
      </c>
      <c r="AO53" s="26">
        <f ca="1">+'TUSD BE'!$T$53+'TUSD BE'!$AB$53+'TUSD BE'!$AD$53+'TUSD BE'!$AL$53</f>
        <v>446.09513188184229</v>
      </c>
      <c r="AP53" s="26">
        <f ca="1">+'TUSD BE'!$T$53+'TUSD BE'!$AB$53+'TUSD BE'!$AD$53+'TUSD BE'!$AL$53</f>
        <v>446.09513188184229</v>
      </c>
      <c r="AQ53" s="9" t="str">
        <f t="shared" si="7"/>
        <v>B3</v>
      </c>
      <c r="AR53" s="9" t="str">
        <f t="shared" si="8"/>
        <v>Convencional pré-pagamento</v>
      </c>
      <c r="AS53" s="9" t="str">
        <f t="shared" si="9"/>
        <v>Não se aplica</v>
      </c>
      <c r="AT53" s="9" t="str">
        <f t="shared" si="10"/>
        <v>Não se aplica</v>
      </c>
      <c r="AU53" s="9" t="str">
        <f t="shared" si="11"/>
        <v>Não se aplica</v>
      </c>
      <c r="AV53" s="9">
        <f t="shared" si="12"/>
        <v>1</v>
      </c>
      <c r="AW53" s="9">
        <f ca="1">TarifaMedia!$G$28</f>
        <v>1</v>
      </c>
      <c r="AX53" s="15">
        <f ca="1">'TUSD BE'!$AM53+'TUSD BF'!$AM53+'TUSD CVA'!$AM53</f>
        <v>471.78110106754735</v>
      </c>
      <c r="AY53" s="9">
        <v>310.49</v>
      </c>
      <c r="AZ53" s="9">
        <f t="shared" ca="1" si="13"/>
        <v>-161.29110106754734</v>
      </c>
      <c r="BC53" s="87" t="s">
        <v>845</v>
      </c>
    </row>
    <row r="54" spans="1:55" ht="11.25" customHeight="1" x14ac:dyDescent="0.3">
      <c r="A54" s="146" t="s">
        <v>44</v>
      </c>
      <c r="B54" s="146" t="s">
        <v>23</v>
      </c>
      <c r="C54" s="146" t="s">
        <v>45</v>
      </c>
      <c r="D54" s="23" t="s">
        <v>46</v>
      </c>
      <c r="E54" s="23" t="s">
        <v>25</v>
      </c>
      <c r="F54" s="23" t="s">
        <v>25</v>
      </c>
      <c r="G54" s="24" t="s">
        <v>84</v>
      </c>
      <c r="H54" s="24" t="s">
        <v>78</v>
      </c>
      <c r="I54" s="24">
        <f>'MERCADO TUSD'!$U$51</f>
        <v>2415.7070000000003</v>
      </c>
      <c r="J54" s="15"/>
      <c r="L54" s="13">
        <f>'TUSD BE'!$L$54*'TUSD BE'!$L$62</f>
        <v>6.3703268192678103E-2</v>
      </c>
      <c r="M54" s="13">
        <f>'TUSD BE'!$M$54*'TUSD BE'!$M$62</f>
        <v>1.7297926923894664E-2</v>
      </c>
      <c r="N54" s="13">
        <f ca="1">'TUSD BE'!$N$54*'TUSD BE'!$N$62</f>
        <v>1.3749133995561861E-6</v>
      </c>
      <c r="O54" s="13">
        <f>'TUSD BE'!$O$54*'TUSD BE'!$O$62</f>
        <v>0</v>
      </c>
      <c r="P54" s="13">
        <f>'TUSD BE'!$P$54*'TUSD BE'!$P$62</f>
        <v>0</v>
      </c>
      <c r="Q54" s="13">
        <f>'TUSD BE'!$Q$54*'TUSD BE'!$Q$62</f>
        <v>2.1956506712253945</v>
      </c>
      <c r="R54" s="13">
        <f>'TUSD BE'!$R$54*'TUSD BE'!$R$62</f>
        <v>0.25375257634569487</v>
      </c>
      <c r="S54" s="13">
        <f>'TUSD BE'!$R$54*'TUSD BE'!$S$62</f>
        <v>0</v>
      </c>
      <c r="T54" s="13">
        <f ca="1">SUM($L$54:$S$54)</f>
        <v>2.5304058176010615</v>
      </c>
      <c r="U54" s="13">
        <f>'TUSD BE'!$U$54*'TUSD BE'!$U$62</f>
        <v>0</v>
      </c>
      <c r="V54" s="13">
        <f>'TUSD BE'!$V$54*'TUSD BE'!$V$62</f>
        <v>0</v>
      </c>
      <c r="W54" s="13">
        <f>'TUSD BE'!$W$54*'TUSD BE'!$W$62</f>
        <v>0</v>
      </c>
      <c r="X54" s="13">
        <f>'TUSD BE'!$X$54*'TUSD BE'!$X$62</f>
        <v>0</v>
      </c>
      <c r="Y54" s="13">
        <f>'TUSD BE'!$Y$54*'TUSD BE'!$Y$62</f>
        <v>3.9187706064916958</v>
      </c>
      <c r="Z54" s="13">
        <f>'TUSD BE'!$Z$54*'TUSD BE'!$Z$62</f>
        <v>0</v>
      </c>
      <c r="AA54" s="13">
        <f>'TUSD BE'!$AA$54*'TUSD BE'!$AA$62</f>
        <v>0</v>
      </c>
      <c r="AB54" s="13">
        <f>SUM($U$54:$AA$54)</f>
        <v>3.9187706064916958</v>
      </c>
      <c r="AC54" s="13">
        <f>'TUSD BE'!$AC$54*'TUSD BE'!$AC$62</f>
        <v>4.4543226035905457E-3</v>
      </c>
      <c r="AD54" s="13">
        <f>SUM($AC$54:$AC$54)</f>
        <v>4.4543226035905457E-3</v>
      </c>
      <c r="AE54" s="13">
        <f ca="1">$AO$54*$AO$59</f>
        <v>-9.6385599726076645</v>
      </c>
      <c r="AF54" s="13">
        <f ca="1">$AP$54*$AP$59</f>
        <v>0</v>
      </c>
      <c r="AG54" s="13">
        <f ca="1">SUM($AE$54:$AF$54)</f>
        <v>-9.6385599726076645</v>
      </c>
      <c r="AH54" s="13">
        <f>'TUSD BE'!$AH$54*'TUSD BE'!$AH$62</f>
        <v>5.3249785344670279E-2</v>
      </c>
      <c r="AI54" s="13">
        <f>'TUSD BE'!$AI$54*'TUSD BE'!$AI$62</f>
        <v>0</v>
      </c>
      <c r="AJ54" s="13">
        <f ca="1">'TUSD BE'!$AJ$54*'TUSD BE'!$AJ$62</f>
        <v>3.1234687817276118E-3</v>
      </c>
      <c r="AK54" s="13">
        <f ca="1">'TUSD BE'!$AK$54*'TUSD BE'!$AK$62</f>
        <v>7.6688003487804923E-3</v>
      </c>
      <c r="AL54" s="13">
        <f ca="1">SUM($AH$54:$AK$54)</f>
        <v>6.4042054475178384E-2</v>
      </c>
      <c r="AM54" s="13">
        <f ca="1">SUMIF($L$4:$AL$4,"SUBTOTAL",$L$54:$AL$54)+AZ54</f>
        <v>-91.830492758587198</v>
      </c>
      <c r="AO54" s="26">
        <f ca="1">+'TUSD BE'!$T$54+'TUSD BE'!$AB$54+'TUSD BE'!$AD$54+'TUSD BE'!$AL$54</f>
        <v>245.35232253501329</v>
      </c>
      <c r="AP54" s="26">
        <f ca="1">+'TUSD BE'!$T$54+'TUSD BE'!$AB$54+'TUSD BE'!$AD$54+'TUSD BE'!$AL$54</f>
        <v>245.35232253501329</v>
      </c>
      <c r="AQ54" s="9" t="str">
        <f t="shared" si="7"/>
        <v>B4</v>
      </c>
      <c r="AR54" s="9" t="str">
        <f t="shared" si="8"/>
        <v>Convencional</v>
      </c>
      <c r="AS54" s="9" t="str">
        <f t="shared" si="9"/>
        <v>Iluminação pública</v>
      </c>
      <c r="AT54" s="9" t="str">
        <f t="shared" si="10"/>
        <v>Iluminação pública – B4a</v>
      </c>
      <c r="AU54" s="9" t="str">
        <f t="shared" si="11"/>
        <v>Não se aplica</v>
      </c>
      <c r="AV54" s="9">
        <f t="shared" si="12"/>
        <v>1</v>
      </c>
      <c r="AW54" s="9">
        <f ca="1">TarifaMedia!$G$28</f>
        <v>1</v>
      </c>
      <c r="AX54" s="15">
        <f ca="1">'TUSD BE'!$AM54+'TUSD BF'!$AM54+'TUSD CVA'!$AM54</f>
        <v>259.47960558715107</v>
      </c>
      <c r="AY54" s="9">
        <v>170.77</v>
      </c>
      <c r="AZ54" s="9">
        <f t="shared" ca="1" si="13"/>
        <v>-88.70960558715106</v>
      </c>
      <c r="BC54" s="87" t="s">
        <v>846</v>
      </c>
    </row>
    <row r="55" spans="1:55" ht="11.25" customHeight="1" x14ac:dyDescent="0.3">
      <c r="A55" s="146"/>
      <c r="B55" s="146"/>
      <c r="C55" s="146"/>
      <c r="D55" s="24" t="s">
        <v>95</v>
      </c>
      <c r="E55" s="24" t="s">
        <v>25</v>
      </c>
      <c r="F55" s="24" t="s">
        <v>25</v>
      </c>
      <c r="G55" s="24" t="s">
        <v>84</v>
      </c>
      <c r="H55" s="24" t="s">
        <v>78</v>
      </c>
      <c r="I55" s="24">
        <f>'MERCADO TUSD'!$U$52</f>
        <v>0</v>
      </c>
      <c r="J55" s="15"/>
      <c r="L55" s="13">
        <f>'TUSD BE'!$L$55*'TUSD BE'!$L$62</f>
        <v>6.9494474392012465E-2</v>
      </c>
      <c r="M55" s="13">
        <f>'TUSD BE'!$M$55*'TUSD BE'!$M$62</f>
        <v>1.8870465735157813E-2</v>
      </c>
      <c r="N55" s="13">
        <f ca="1">'TUSD BE'!$N$55*'TUSD BE'!$N$62</f>
        <v>1.4999055267885669E-6</v>
      </c>
      <c r="O55" s="13">
        <f>'TUSD BE'!$O$55*'TUSD BE'!$O$62</f>
        <v>0</v>
      </c>
      <c r="P55" s="13">
        <f>'TUSD BE'!$P$55*'TUSD BE'!$P$62</f>
        <v>0</v>
      </c>
      <c r="Q55" s="13">
        <f>'TUSD BE'!$Q$55*'TUSD BE'!$Q$62</f>
        <v>2.3952552777004303</v>
      </c>
      <c r="R55" s="13">
        <f>'TUSD BE'!$R$55*'TUSD BE'!$R$62</f>
        <v>0.27682099237712166</v>
      </c>
      <c r="S55" s="13">
        <f>'TUSD BE'!$R$55*'TUSD BE'!$S$62</f>
        <v>0</v>
      </c>
      <c r="T55" s="13">
        <f ca="1">SUM($L$55:$S$55)</f>
        <v>2.7604427101102491</v>
      </c>
      <c r="U55" s="13">
        <f>'TUSD BE'!$U$55*'TUSD BE'!$U$62</f>
        <v>0</v>
      </c>
      <c r="V55" s="13">
        <f>'TUSD BE'!$V$55*'TUSD BE'!$V$62</f>
        <v>0</v>
      </c>
      <c r="W55" s="13">
        <f>'TUSD BE'!$W$55*'TUSD BE'!$W$62</f>
        <v>0</v>
      </c>
      <c r="X55" s="13">
        <f>'TUSD BE'!$X$55*'TUSD BE'!$X$62</f>
        <v>0</v>
      </c>
      <c r="Y55" s="13">
        <f>'TUSD BE'!$Y$55*'TUSD BE'!$Y$62</f>
        <v>4.2750224798091212</v>
      </c>
      <c r="Z55" s="13">
        <f>'TUSD BE'!$Z$55*'TUSD BE'!$Z$62</f>
        <v>0</v>
      </c>
      <c r="AA55" s="13">
        <f>'TUSD BE'!$AA$55*'TUSD BE'!$AA$62</f>
        <v>0</v>
      </c>
      <c r="AB55" s="13">
        <f>SUM($U$55:$AA$55)</f>
        <v>4.2750224798091212</v>
      </c>
      <c r="AC55" s="13">
        <f>'TUSD BE'!$AC$55*'TUSD BE'!$AC$62</f>
        <v>4.8592610220987769E-3</v>
      </c>
      <c r="AD55" s="13">
        <f>SUM($AC$55:$AC$55)</f>
        <v>4.8592610220987769E-3</v>
      </c>
      <c r="AE55" s="13">
        <f ca="1">$AO$55*$AO$59</f>
        <v>-10.514792697390178</v>
      </c>
      <c r="AF55" s="13">
        <f ca="1">$AP$55*$AP$59</f>
        <v>0</v>
      </c>
      <c r="AG55" s="13">
        <f ca="1">SUM($AE$55:$AF$55)</f>
        <v>-10.514792697390178</v>
      </c>
      <c r="AH55" s="13">
        <f>'TUSD BE'!$AH$55*'TUSD BE'!$AH$62</f>
        <v>5.8090674921458474E-2</v>
      </c>
      <c r="AI55" s="13">
        <f>'TUSD BE'!$AI$55*'TUSD BE'!$AI$62</f>
        <v>0</v>
      </c>
      <c r="AJ55" s="13">
        <f ca="1">'TUSD BE'!$AJ$55*'TUSD BE'!$AJ$62</f>
        <v>3.4074204891573943E-3</v>
      </c>
      <c r="AK55" s="13">
        <f ca="1">'TUSD BE'!$AK$55*'TUSD BE'!$AK$62</f>
        <v>8.3659640168514456E-3</v>
      </c>
      <c r="AL55" s="13">
        <f ca="1">SUM($AH$55:$AK$55)</f>
        <v>6.9864059427467318E-2</v>
      </c>
      <c r="AM55" s="13">
        <f ca="1">SUMIF($L$4:$AL$4,"SUBTOTAL",$L$55:$AL$55)+AZ55</f>
        <v>-100.18326482754962</v>
      </c>
      <c r="AO55" s="26">
        <f ca="1">+'TUSD BE'!$T$55+'TUSD BE'!$AB$55+'TUSD BE'!$AD$55+'TUSD BE'!$AL$55</f>
        <v>267.65707912910534</v>
      </c>
      <c r="AP55" s="26">
        <f ca="1">+'TUSD BE'!$T$55+'TUSD BE'!$AB$55+'TUSD BE'!$AD$55+'TUSD BE'!$AL$55</f>
        <v>267.65707912910534</v>
      </c>
      <c r="AQ55" s="9" t="str">
        <f t="shared" si="7"/>
        <v>B4</v>
      </c>
      <c r="AR55" s="9" t="str">
        <f t="shared" si="8"/>
        <v>Convencional</v>
      </c>
      <c r="AS55" s="9" t="str">
        <f t="shared" si="9"/>
        <v>Iluminação pública</v>
      </c>
      <c r="AT55" s="9" t="str">
        <f t="shared" si="10"/>
        <v>Iluminação pública – B4b</v>
      </c>
      <c r="AU55" s="9" t="str">
        <f t="shared" si="11"/>
        <v>Não se aplica</v>
      </c>
      <c r="AV55" s="9">
        <f t="shared" si="12"/>
        <v>1</v>
      </c>
      <c r="AW55" s="9">
        <f ca="1">TarifaMedia!$G$28</f>
        <v>1</v>
      </c>
      <c r="AX55" s="15">
        <f ca="1">'TUSD BE'!$AM55+'TUSD BF'!$AM55+'TUSD CVA'!$AM55</f>
        <v>283.06866064052838</v>
      </c>
      <c r="AY55" s="9">
        <v>186.29</v>
      </c>
      <c r="AZ55" s="9">
        <f t="shared" ca="1" si="13"/>
        <v>-96.778660640528386</v>
      </c>
      <c r="BC55" s="87" t="s">
        <v>847</v>
      </c>
    </row>
    <row r="57" spans="1:55" ht="11.25" customHeight="1" x14ac:dyDescent="0.3">
      <c r="K57" s="16" t="s">
        <v>597</v>
      </c>
      <c r="L57" s="13">
        <f>SUMPRODUCT($I$5:$I55,$L$5:$L55)</f>
        <v>10378.311592162872</v>
      </c>
      <c r="M57" s="13">
        <f>SUMPRODUCT($I$5:$I55,$M$5:$M55)</f>
        <v>1324.1358760511278</v>
      </c>
      <c r="N57" s="13">
        <f ca="1">SUMPRODUCT($I$5:$I55,$N$5:$N55)</f>
        <v>9.258024713289667E-2</v>
      </c>
      <c r="O57" s="13">
        <f>SUMPRODUCT($I$5:$I55,$O$5:$O55)</f>
        <v>0</v>
      </c>
      <c r="P57" s="13">
        <f>SUMPRODUCT($I$5:$I55,$P$5:$P55)</f>
        <v>0</v>
      </c>
      <c r="Q57" s="13">
        <f>SUMPRODUCT($I$5:$I55,$Q$5:$Q55)</f>
        <v>357707.65707963798</v>
      </c>
      <c r="R57" s="13">
        <f>SUMPRODUCT($I$5:$I55,$R$5:$R55)</f>
        <v>48154.83858257212</v>
      </c>
      <c r="S57" s="13">
        <f>SUMPRODUCT($I$5:$I55,$S$5:$S55)</f>
        <v>0</v>
      </c>
      <c r="T57" s="13">
        <f ca="1">SUMPRODUCT($I$5:$I55,$T$5:$T55)</f>
        <v>417565.03571067122</v>
      </c>
      <c r="U57" s="13">
        <f>SUMPRODUCT($I$5:$I55,$U$5:$U55)</f>
        <v>0</v>
      </c>
      <c r="V57" s="13">
        <f>SUMPRODUCT($I$5:$I55,$V$5:$V55)</f>
        <v>0</v>
      </c>
      <c r="W57" s="13">
        <f>SUMPRODUCT($I$5:$I55,$W$5:$W55)</f>
        <v>0</v>
      </c>
      <c r="X57" s="13">
        <f>SUMPRODUCT($I$5:$I55,$X$5:$X55)</f>
        <v>0</v>
      </c>
      <c r="Y57" s="13">
        <f>SUMPRODUCT($I$5:$I55,$Y$5:$Y55)</f>
        <v>819327.43694699625</v>
      </c>
      <c r="Z57" s="13">
        <f>SUMPRODUCT($I$5:$I55,$Z$5:$Z55)</f>
        <v>0</v>
      </c>
      <c r="AA57" s="13">
        <f>SUMPRODUCT($I$5:$I55,$AA$5:$AA55)</f>
        <v>0</v>
      </c>
      <c r="AB57" s="13">
        <f>SUMPRODUCT($I$5:$I55,$AB$5:$AB55)</f>
        <v>819327.43694699625</v>
      </c>
      <c r="AC57" s="13">
        <f>SUMPRODUCT($I$5:$I55,$AC$5:$AC55)</f>
        <v>342.52470297332911</v>
      </c>
      <c r="AD57" s="13">
        <f>SUMPRODUCT($I$5:$I55,$AD$5:$AD55)</f>
        <v>342.52470297332911</v>
      </c>
      <c r="AE57" s="13">
        <f ca="1">SUMPRODUCT($I$5:$I55,$AE$5:$AE55)</f>
        <v>-1253845.4490363223</v>
      </c>
      <c r="AF57" s="13">
        <f ca="1">SUMPRODUCT($I$5:$I55,$AF$5:$AF55)</f>
        <v>0</v>
      </c>
      <c r="AG57" s="13">
        <f ca="1">SUMPRODUCT($I$5:$I55,$AG$5:$AG55)</f>
        <v>-1253845.4490363223</v>
      </c>
      <c r="AH57" s="13">
        <f>SUMPRODUCT($I$5:$I55,$AH$5:$AH55)</f>
        <v>5035.640284308497</v>
      </c>
      <c r="AI57" s="13">
        <f>SUMPRODUCT($I$5:$I55,$AI$5:$AI55)</f>
        <v>0</v>
      </c>
      <c r="AJ57" s="13">
        <f ca="1">SUMPRODUCT($I$5:$I55,$AJ$5:$AJ55)</f>
        <v>419.32490635744443</v>
      </c>
      <c r="AK57" s="13">
        <f ca="1">SUMPRODUCT($I$5:$I55,$AK$5:$AK55)</f>
        <v>1029.5345376711853</v>
      </c>
      <c r="AL57" s="13">
        <f ca="1">SUMPRODUCT($I$5:$I55,$AL$5:$AL55)</f>
        <v>6484.4997283371267</v>
      </c>
      <c r="AM57" s="13">
        <f ca="1">SUMPRODUCT($I$5:$I55,$AM$5:$AM55)</f>
        <v>-7961984.0808390435</v>
      </c>
      <c r="AO57" s="24">
        <f ca="1">SUMPRODUCT($I$5:$I55,$AO$5:$AO55)</f>
        <v>31916997.341438912</v>
      </c>
      <c r="AP57" s="24">
        <f ca="1">SUMPRODUCT($I$5:$I55,$AP$5:$AP55)</f>
        <v>31916997.341438912</v>
      </c>
    </row>
    <row r="58" spans="1:55" ht="11.25" customHeight="1" x14ac:dyDescent="0.3">
      <c r="K58" s="16" t="s">
        <v>529</v>
      </c>
      <c r="L58" s="13">
        <f>'TR TUSD'!$L$60</f>
        <v>223863.69726668682</v>
      </c>
      <c r="M58" s="13">
        <f>'TR TUSD'!$M$60</f>
        <v>37401.046408800925</v>
      </c>
      <c r="N58" s="13">
        <f>'TR TUSD'!$N$60</f>
        <v>215481.70395079016</v>
      </c>
      <c r="O58" s="13">
        <f>'TR TUSD'!$O$60</f>
        <v>0</v>
      </c>
      <c r="P58" s="13">
        <f>'TR TUSD'!$P$60</f>
        <v>0</v>
      </c>
      <c r="Q58" s="13">
        <f>'TR TUSD'!$Q$60</f>
        <v>9226276.0333921351</v>
      </c>
      <c r="R58" s="13">
        <f>'TR TUSD'!$R$60</f>
        <v>1583418.4495755318</v>
      </c>
      <c r="S58" s="13">
        <f>'TR TUSD'!$S$60</f>
        <v>0</v>
      </c>
      <c r="T58" s="13">
        <f>'TR TUSD'!$T$60</f>
        <v>11286440.930593945</v>
      </c>
      <c r="U58" s="13">
        <f>'TR TUSD'!$U$60</f>
        <v>0</v>
      </c>
      <c r="V58" s="13">
        <f>'TR TUSD'!$V$60</f>
        <v>0</v>
      </c>
      <c r="W58" s="13">
        <f>'TR TUSD'!$W$60</f>
        <v>0</v>
      </c>
      <c r="X58" s="13">
        <f>'TR TUSD'!$X$60</f>
        <v>0</v>
      </c>
      <c r="Y58" s="13">
        <f>'TR TUSD'!$Y$60</f>
        <v>10891768.12284</v>
      </c>
      <c r="Z58" s="13">
        <f>'TR TUSD'!$Z$60</f>
        <v>0</v>
      </c>
      <c r="AA58" s="13">
        <f>'TR TUSD'!$AA$60</f>
        <v>0</v>
      </c>
      <c r="AB58" s="13">
        <f>'TR TUSD'!$AB$60</f>
        <v>10891768.12284</v>
      </c>
      <c r="AC58" s="13">
        <f>'TR TUSD'!$AC$60</f>
        <v>8469705.5289164912</v>
      </c>
      <c r="AD58" s="13">
        <f>'TR TUSD'!$AD$60</f>
        <v>8469705.5289164912</v>
      </c>
      <c r="AE58" s="13">
        <f>'TR TUSD'!$AE$60</f>
        <v>0</v>
      </c>
      <c r="AF58" s="13">
        <f>'TR TUSD'!$AF$60</f>
        <v>0</v>
      </c>
      <c r="AG58" s="13">
        <f>'TR TUSD'!$AG$60</f>
        <v>0</v>
      </c>
      <c r="AH58" s="13">
        <f>'TR TUSD'!$AH$60</f>
        <v>1159041.4804804064</v>
      </c>
      <c r="AI58" s="13">
        <f>'TR TUSD'!$AI$60</f>
        <v>0</v>
      </c>
      <c r="AJ58" s="13">
        <f>'TR TUSD'!$AJ$60</f>
        <v>96515.027449698071</v>
      </c>
      <c r="AK58" s="13">
        <f>'TR TUSD'!$AK$60</f>
        <v>13526.251158373994</v>
      </c>
      <c r="AL58" s="13">
        <f>'TR TUSD'!$AL$60</f>
        <v>1269082.7590884785</v>
      </c>
      <c r="AM58" s="13">
        <f>'TUSD BE'!$AM$58</f>
        <v>31916997.341438919</v>
      </c>
      <c r="AO58" s="24">
        <f>$AE$59</f>
        <v>-1253845.4490363225</v>
      </c>
      <c r="AP58" s="24">
        <f>$AF$59</f>
        <v>0</v>
      </c>
    </row>
    <row r="59" spans="1:55" ht="11.25" customHeight="1" x14ac:dyDescent="0.3">
      <c r="K59" s="16" t="s">
        <v>530</v>
      </c>
      <c r="L59" s="13">
        <f>CUSTOS!$E$2</f>
        <v>10378.311592162874</v>
      </c>
      <c r="M59" s="13">
        <f>CUSTOS!$E$3</f>
        <v>1324.1358760511275</v>
      </c>
      <c r="N59" s="13">
        <f>CUSTOS!$E$4</f>
        <v>9.2580247132896643E-2</v>
      </c>
      <c r="O59" s="13">
        <f>CUSTOS!$E$5</f>
        <v>0</v>
      </c>
      <c r="P59" s="13">
        <f>CUSTOS!$E$6</f>
        <v>0</v>
      </c>
      <c r="Q59" s="13">
        <f>CUSTOS!$E$7</f>
        <v>357707.65707963798</v>
      </c>
      <c r="R59" s="13">
        <f>CUSTOS!$E$8</f>
        <v>48154.83858257212</v>
      </c>
      <c r="S59" s="13">
        <f>CUSTOS!$E$9</f>
        <v>0</v>
      </c>
      <c r="T59" s="13">
        <f>CUSTOS!$E$10</f>
        <v>417565.03571067122</v>
      </c>
      <c r="U59" s="13">
        <f>CUSTOS!$E$11</f>
        <v>0</v>
      </c>
      <c r="V59" s="13">
        <f>CUSTOS!$E$12</f>
        <v>0</v>
      </c>
      <c r="W59" s="13">
        <f>CUSTOS!$E$13</f>
        <v>0</v>
      </c>
      <c r="X59" s="13">
        <f>CUSTOS!$E$14</f>
        <v>0</v>
      </c>
      <c r="Y59" s="13">
        <f>CUSTOS!$E$15</f>
        <v>819327.43694699625</v>
      </c>
      <c r="Z59" s="13">
        <f>CUSTOS!$E$16</f>
        <v>0</v>
      </c>
      <c r="AA59" s="13">
        <f>CUSTOS!$E$17</f>
        <v>0</v>
      </c>
      <c r="AB59" s="13">
        <f>CUSTOS!$E$18</f>
        <v>819327.43694699625</v>
      </c>
      <c r="AC59" s="13">
        <f>CUSTOS!$E$19</f>
        <v>342.52470297332911</v>
      </c>
      <c r="AD59" s="13">
        <f>CUSTOS!$E$20</f>
        <v>342.52470297332911</v>
      </c>
      <c r="AE59" s="13">
        <f>CUSTOS!$E$21</f>
        <v>-1253845.4490363225</v>
      </c>
      <c r="AF59" s="13">
        <f>CUSTOS!$E$22</f>
        <v>0</v>
      </c>
      <c r="AG59" s="13">
        <f>CUSTOS!$E$23</f>
        <v>-1253845.4490363225</v>
      </c>
      <c r="AH59" s="13">
        <f>CUSTOS!$E$24</f>
        <v>5035.6402843084979</v>
      </c>
      <c r="AI59" s="13">
        <f>CUSTOS!$E$25</f>
        <v>0</v>
      </c>
      <c r="AJ59" s="13">
        <f>CUSTOS!$E$26</f>
        <v>419.32490635744438</v>
      </c>
      <c r="AK59" s="13">
        <f>CUSTOS!$E$27</f>
        <v>1029.5345376711853</v>
      </c>
      <c r="AL59" s="13">
        <f>CUSTOS!$E$28</f>
        <v>6484.4997283371267</v>
      </c>
      <c r="AM59" s="13">
        <f>CUSTOS!$E$29</f>
        <v>-10125.951947344503</v>
      </c>
      <c r="AO59" s="24">
        <f ca="1">IF(AO57&lt;&gt;0,AO58/AO57,0)</f>
        <v>-3.9284567894123698E-2</v>
      </c>
      <c r="AP59" s="24">
        <f ca="1">IF(AP57&lt;&gt;0,AP58/AP57,0)</f>
        <v>0</v>
      </c>
    </row>
    <row r="60" spans="1:55" ht="11.25" customHeight="1" x14ac:dyDescent="0.3">
      <c r="K60" s="16" t="s">
        <v>531</v>
      </c>
      <c r="L60" s="13">
        <f>CUSTOS!$F$2</f>
        <v>19749.453488121715</v>
      </c>
      <c r="M60" s="13">
        <f>CUSTOS!$F$3</f>
        <v>0</v>
      </c>
      <c r="N60" s="13">
        <f>CUSTOS!$F$4</f>
        <v>0</v>
      </c>
      <c r="O60" s="13">
        <f>CUSTOS!$F$5</f>
        <v>0</v>
      </c>
      <c r="P60" s="13">
        <f>CUSTOS!$F$6</f>
        <v>0</v>
      </c>
      <c r="Q60" s="13">
        <f>CUSTOS!$F$7</f>
        <v>2382613.2393999998</v>
      </c>
      <c r="R60" s="13">
        <f>CUSTOS!$F$8</f>
        <v>485196.48460000003</v>
      </c>
      <c r="S60" s="13">
        <f>CUSTOS!$F$9</f>
        <v>0</v>
      </c>
      <c r="T60" s="13">
        <f>CUSTOS!$F$10</f>
        <v>2887559.1774881217</v>
      </c>
      <c r="U60" s="13">
        <f>CUSTOS!$F$11</f>
        <v>0</v>
      </c>
      <c r="V60" s="13">
        <f>CUSTOS!$F$12</f>
        <v>0</v>
      </c>
      <c r="W60" s="13">
        <f>CUSTOS!$F$13</f>
        <v>0</v>
      </c>
      <c r="X60" s="13">
        <f>CUSTOS!$F$14</f>
        <v>0</v>
      </c>
      <c r="Y60" s="13">
        <f>CUSTOS!$F$15</f>
        <v>0</v>
      </c>
      <c r="Z60" s="13">
        <f>CUSTOS!$F$16</f>
        <v>0</v>
      </c>
      <c r="AA60" s="13">
        <f>CUSTOS!$F$17</f>
        <v>0</v>
      </c>
      <c r="AB60" s="13">
        <f>CUSTOS!$F$18</f>
        <v>0</v>
      </c>
      <c r="AC60" s="13">
        <f>CUSTOS!$F$19</f>
        <v>0</v>
      </c>
      <c r="AD60" s="13">
        <f>CUSTOS!$F$20</f>
        <v>0</v>
      </c>
      <c r="AE60" s="13">
        <f>CUSTOS!$F$21</f>
        <v>0</v>
      </c>
      <c r="AF60" s="13">
        <f>CUSTOS!$F$22</f>
        <v>0</v>
      </c>
      <c r="AG60" s="13">
        <f>CUSTOS!$F$23</f>
        <v>0</v>
      </c>
      <c r="AH60" s="13">
        <f>CUSTOS!$F$24</f>
        <v>-4873.4265082228922</v>
      </c>
      <c r="AI60" s="13">
        <f>CUSTOS!$F$25</f>
        <v>0</v>
      </c>
      <c r="AJ60" s="13">
        <f>CUSTOS!$F$26</f>
        <v>-405.8171352247561</v>
      </c>
      <c r="AK60" s="13">
        <f>CUSTOS!$F$27</f>
        <v>0</v>
      </c>
      <c r="AL60" s="13">
        <f>CUSTOS!$F$28</f>
        <v>-5279.2436434476485</v>
      </c>
      <c r="AM60" s="13">
        <f>CUSTOS!$F$29</f>
        <v>2882279.9338446739</v>
      </c>
    </row>
    <row r="61" spans="1:55" ht="11.25" customHeight="1" x14ac:dyDescent="0.3">
      <c r="K61" s="16" t="s">
        <v>594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f>SUM($L$61:$S$61)</f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f>SUM($U$61:$AA$61)</f>
        <v>0</v>
      </c>
      <c r="AC61" s="13">
        <v>0</v>
      </c>
      <c r="AD61" s="13">
        <f>SUM($AC$61:$AC$61)</f>
        <v>0</v>
      </c>
      <c r="AE61" s="13">
        <v>0</v>
      </c>
      <c r="AF61" s="13">
        <v>0</v>
      </c>
      <c r="AG61" s="13">
        <f>SUM($AE$61:$AF$61)</f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f>SUM($AH$61:$AK$61)</f>
        <v>0</v>
      </c>
      <c r="AM61" s="13"/>
    </row>
    <row r="62" spans="1:55" ht="11.25" customHeight="1" x14ac:dyDescent="0.3">
      <c r="K62" s="16" t="s">
        <v>606</v>
      </c>
      <c r="L62" s="13">
        <f t="shared" ref="L62:R62" si="14">IF((L58-(0))&lt;&gt;0,(L60)/(L58-(0)),0)</f>
        <v>8.8220884981607212E-2</v>
      </c>
      <c r="M62" s="13">
        <f t="shared" si="14"/>
        <v>0</v>
      </c>
      <c r="N62" s="13">
        <f t="shared" si="14"/>
        <v>0</v>
      </c>
      <c r="O62" s="13">
        <f t="shared" si="14"/>
        <v>0</v>
      </c>
      <c r="P62" s="13">
        <f t="shared" si="14"/>
        <v>0</v>
      </c>
      <c r="Q62" s="13">
        <f t="shared" si="14"/>
        <v>0.25824213699836679</v>
      </c>
      <c r="R62" s="13">
        <f t="shared" si="14"/>
        <v>0.30642341241512439</v>
      </c>
      <c r="S62" s="13">
        <f>IF((R57-(0)&lt;&gt;0),(S59)/(R57-(0)),0)</f>
        <v>0</v>
      </c>
      <c r="T62" s="13"/>
      <c r="U62" s="13">
        <f t="shared" ref="U62:AA62" si="15">IF((U58-(0))&lt;&gt;0,(U60)/(U58-(0)),0)</f>
        <v>0</v>
      </c>
      <c r="V62" s="13">
        <f t="shared" si="15"/>
        <v>0</v>
      </c>
      <c r="W62" s="13">
        <f t="shared" si="15"/>
        <v>0</v>
      </c>
      <c r="X62" s="13">
        <f t="shared" si="15"/>
        <v>0</v>
      </c>
      <c r="Y62" s="13">
        <f t="shared" si="15"/>
        <v>0</v>
      </c>
      <c r="Z62" s="13">
        <f t="shared" si="15"/>
        <v>0</v>
      </c>
      <c r="AA62" s="13">
        <f t="shared" si="15"/>
        <v>0</v>
      </c>
      <c r="AB62" s="13"/>
      <c r="AC62" s="13">
        <f>IF((AC58-(0))&lt;&gt;0,(AC60)/(AC58-(0)),0)</f>
        <v>0</v>
      </c>
      <c r="AD62" s="13"/>
      <c r="AE62" s="13">
        <f ca="1">IF(($AM57-(0))&lt;&gt;0,(AE59)/($AM57-(0)),0)</f>
        <v>0.15747901984051579</v>
      </c>
      <c r="AF62" s="13">
        <f ca="1">IF(($AM57-(0))&lt;&gt;0,(AF59)/($AM57-(0)),0)</f>
        <v>0</v>
      </c>
      <c r="AG62" s="13"/>
      <c r="AH62" s="13">
        <f>IF((AH58-(0))&lt;&gt;0,(AH60)/(AH58-(0)),0)</f>
        <v>-4.2047041372522105E-3</v>
      </c>
      <c r="AI62" s="13">
        <f>IF((AI58-(0))&lt;&gt;0,(AI60)/(AI58-(0)),0)</f>
        <v>0</v>
      </c>
      <c r="AJ62" s="13">
        <f>IF((AJ58-(0))&lt;&gt;0,(AJ60)/(AJ58-(0)),0)</f>
        <v>-4.2047041372522097E-3</v>
      </c>
      <c r="AK62" s="13">
        <f>IF((AK58-(0))&lt;&gt;0,(AK60)/(AK58-(0)),0)</f>
        <v>0</v>
      </c>
      <c r="AL62" s="13"/>
      <c r="AM62" s="13"/>
    </row>
  </sheetData>
  <mergeCells count="90">
    <mergeCell ref="AX1:AX4"/>
    <mergeCell ref="AY1:AY4"/>
    <mergeCell ref="AZ1:AZ4"/>
    <mergeCell ref="BC1:BC4"/>
    <mergeCell ref="AR1:AR4"/>
    <mergeCell ref="AS1:AS4"/>
    <mergeCell ref="AT1:AT4"/>
    <mergeCell ref="AU1:AU4"/>
    <mergeCell ref="AV1:AV4"/>
    <mergeCell ref="AW1:AW4"/>
    <mergeCell ref="E49:E51"/>
    <mergeCell ref="F49:F51"/>
    <mergeCell ref="A54:A55"/>
    <mergeCell ref="B54:B55"/>
    <mergeCell ref="C54:C55"/>
    <mergeCell ref="AQ1:AQ4"/>
    <mergeCell ref="B46:B48"/>
    <mergeCell ref="C46:C48"/>
    <mergeCell ref="A49:A53"/>
    <mergeCell ref="B49:B51"/>
    <mergeCell ref="C49:C51"/>
    <mergeCell ref="D49:D51"/>
    <mergeCell ref="F38:F40"/>
    <mergeCell ref="B42:B44"/>
    <mergeCell ref="C42:C44"/>
    <mergeCell ref="D42:D44"/>
    <mergeCell ref="E42:E44"/>
    <mergeCell ref="F42:F44"/>
    <mergeCell ref="A34:A48"/>
    <mergeCell ref="B34:B36"/>
    <mergeCell ref="C34:C36"/>
    <mergeCell ref="D34:D36"/>
    <mergeCell ref="E34:E36"/>
    <mergeCell ref="F34:F36"/>
    <mergeCell ref="B38:B40"/>
    <mergeCell ref="C38:C40"/>
    <mergeCell ref="D38:D40"/>
    <mergeCell ref="E38:E40"/>
    <mergeCell ref="A21:A33"/>
    <mergeCell ref="B21:B23"/>
    <mergeCell ref="C21:C23"/>
    <mergeCell ref="D21:D23"/>
    <mergeCell ref="E21:E23"/>
    <mergeCell ref="F21:F23"/>
    <mergeCell ref="B24:B28"/>
    <mergeCell ref="C24:C28"/>
    <mergeCell ref="B29:B33"/>
    <mergeCell ref="C29:C33"/>
    <mergeCell ref="F14:F16"/>
    <mergeCell ref="E17:E18"/>
    <mergeCell ref="F17:F18"/>
    <mergeCell ref="A19:A20"/>
    <mergeCell ref="B19:B20"/>
    <mergeCell ref="C19:C20"/>
    <mergeCell ref="D19:D20"/>
    <mergeCell ref="A9:A18"/>
    <mergeCell ref="B9:B12"/>
    <mergeCell ref="C9:C12"/>
    <mergeCell ref="D9:D12"/>
    <mergeCell ref="E9:E11"/>
    <mergeCell ref="F9:F11"/>
    <mergeCell ref="B14:B18"/>
    <mergeCell ref="C14:C18"/>
    <mergeCell ref="D14:D18"/>
    <mergeCell ref="E14:E16"/>
    <mergeCell ref="AE3:AG3"/>
    <mergeCell ref="AH3:AL3"/>
    <mergeCell ref="AM3:AM4"/>
    <mergeCell ref="A5:A8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M1"/>
    <mergeCell ref="A1:A4"/>
    <mergeCell ref="AP1:AP4"/>
    <mergeCell ref="L2:AM2"/>
    <mergeCell ref="L3:T3"/>
    <mergeCell ref="U3:AB3"/>
    <mergeCell ref="AC3:AD3"/>
    <mergeCell ref="B1:B4"/>
    <mergeCell ref="C1:C4"/>
    <mergeCell ref="D1:D4"/>
    <mergeCell ref="E1:E4"/>
    <mergeCell ref="F1:F4"/>
  </mergeCells>
  <conditionalFormatting sqref="L57">
    <cfRule type="cellIs" dxfId="307" priority="55" operator="notEqual">
      <formula>$L$59</formula>
    </cfRule>
    <cfRule type="cellIs" dxfId="306" priority="56" operator="equal">
      <formula>$L$59</formula>
    </cfRule>
  </conditionalFormatting>
  <conditionalFormatting sqref="M57">
    <cfRule type="cellIs" dxfId="305" priority="53" operator="notEqual">
      <formula>$M$59</formula>
    </cfRule>
    <cfRule type="cellIs" dxfId="304" priority="54" operator="equal">
      <formula>$M$59</formula>
    </cfRule>
  </conditionalFormatting>
  <conditionalFormatting sqref="N57">
    <cfRule type="cellIs" dxfId="303" priority="51" operator="notEqual">
      <formula>$N$59</formula>
    </cfRule>
    <cfRule type="cellIs" dxfId="302" priority="52" operator="equal">
      <formula>$N$59</formula>
    </cfRule>
  </conditionalFormatting>
  <conditionalFormatting sqref="O57">
    <cfRule type="cellIs" dxfId="301" priority="49" operator="notEqual">
      <formula>$O$59</formula>
    </cfRule>
    <cfRule type="cellIs" dxfId="300" priority="50" operator="equal">
      <formula>$O$59</formula>
    </cfRule>
  </conditionalFormatting>
  <conditionalFormatting sqref="P57">
    <cfRule type="cellIs" dxfId="299" priority="47" operator="notEqual">
      <formula>$P$59</formula>
    </cfRule>
    <cfRule type="cellIs" dxfId="298" priority="48" operator="equal">
      <formula>$P$59</formula>
    </cfRule>
  </conditionalFormatting>
  <conditionalFormatting sqref="Q57">
    <cfRule type="cellIs" dxfId="297" priority="45" operator="notEqual">
      <formula>$Q$59</formula>
    </cfRule>
    <cfRule type="cellIs" dxfId="296" priority="46" operator="equal">
      <formula>$Q$59</formula>
    </cfRule>
  </conditionalFormatting>
  <conditionalFormatting sqref="R57">
    <cfRule type="cellIs" dxfId="295" priority="43" operator="notEqual">
      <formula>$R$59</formula>
    </cfRule>
    <cfRule type="cellIs" dxfId="294" priority="44" operator="equal">
      <formula>$R$59</formula>
    </cfRule>
  </conditionalFormatting>
  <conditionalFormatting sqref="S57">
    <cfRule type="cellIs" dxfId="293" priority="41" operator="notEqual">
      <formula>$S$59</formula>
    </cfRule>
    <cfRule type="cellIs" dxfId="292" priority="42" operator="equal">
      <formula>$S$59</formula>
    </cfRule>
  </conditionalFormatting>
  <conditionalFormatting sqref="T57">
    <cfRule type="cellIs" dxfId="291" priority="39" operator="notEqual">
      <formula>$T$59</formula>
    </cfRule>
    <cfRule type="cellIs" dxfId="290" priority="40" operator="equal">
      <formula>$T$59</formula>
    </cfRule>
  </conditionalFormatting>
  <conditionalFormatting sqref="U57">
    <cfRule type="cellIs" dxfId="289" priority="37" operator="notEqual">
      <formula>$U$59</formula>
    </cfRule>
    <cfRule type="cellIs" dxfId="288" priority="38" operator="equal">
      <formula>$U$59</formula>
    </cfRule>
  </conditionalFormatting>
  <conditionalFormatting sqref="V57">
    <cfRule type="cellIs" dxfId="287" priority="35" operator="notEqual">
      <formula>$V$59</formula>
    </cfRule>
    <cfRule type="cellIs" dxfId="286" priority="36" operator="equal">
      <formula>$V$59</formula>
    </cfRule>
  </conditionalFormatting>
  <conditionalFormatting sqref="W57">
    <cfRule type="cellIs" dxfId="285" priority="33" operator="notEqual">
      <formula>$W$59</formula>
    </cfRule>
    <cfRule type="cellIs" dxfId="284" priority="34" operator="equal">
      <formula>$W$59</formula>
    </cfRule>
  </conditionalFormatting>
  <conditionalFormatting sqref="X57">
    <cfRule type="cellIs" dxfId="283" priority="31" operator="notEqual">
      <formula>$X$59</formula>
    </cfRule>
    <cfRule type="cellIs" dxfId="282" priority="32" operator="equal">
      <formula>$X$59</formula>
    </cfRule>
  </conditionalFormatting>
  <conditionalFormatting sqref="Y57">
    <cfRule type="cellIs" dxfId="281" priority="29" operator="notEqual">
      <formula>$Y$59</formula>
    </cfRule>
    <cfRule type="cellIs" dxfId="280" priority="30" operator="equal">
      <formula>$Y$59</formula>
    </cfRule>
  </conditionalFormatting>
  <conditionalFormatting sqref="Z57">
    <cfRule type="cellIs" dxfId="279" priority="27" operator="notEqual">
      <formula>$Z$59</formula>
    </cfRule>
    <cfRule type="cellIs" dxfId="278" priority="28" operator="equal">
      <formula>$Z$59</formula>
    </cfRule>
  </conditionalFormatting>
  <conditionalFormatting sqref="AA57">
    <cfRule type="cellIs" dxfId="277" priority="25" operator="notEqual">
      <formula>$AA$59</formula>
    </cfRule>
    <cfRule type="cellIs" dxfId="276" priority="26" operator="equal">
      <formula>$AA$59</formula>
    </cfRule>
  </conditionalFormatting>
  <conditionalFormatting sqref="AB57">
    <cfRule type="cellIs" dxfId="275" priority="23" operator="notEqual">
      <formula>$AB$59</formula>
    </cfRule>
    <cfRule type="cellIs" dxfId="274" priority="24" operator="equal">
      <formula>$AB$59</formula>
    </cfRule>
  </conditionalFormatting>
  <conditionalFormatting sqref="AC57">
    <cfRule type="cellIs" dxfId="273" priority="21" operator="notEqual">
      <formula>$AC$59</formula>
    </cfRule>
    <cfRule type="cellIs" dxfId="272" priority="22" operator="equal">
      <formula>$AC$59</formula>
    </cfRule>
  </conditionalFormatting>
  <conditionalFormatting sqref="AD57">
    <cfRule type="cellIs" dxfId="271" priority="19" operator="notEqual">
      <formula>$AD$59</formula>
    </cfRule>
    <cfRule type="cellIs" dxfId="270" priority="20" operator="equal">
      <formula>$AD$59</formula>
    </cfRule>
  </conditionalFormatting>
  <conditionalFormatting sqref="AE57">
    <cfRule type="cellIs" dxfId="269" priority="17" operator="notEqual">
      <formula>$AE$59</formula>
    </cfRule>
    <cfRule type="cellIs" dxfId="268" priority="18" operator="equal">
      <formula>$AE$59</formula>
    </cfRule>
  </conditionalFormatting>
  <conditionalFormatting sqref="AF57">
    <cfRule type="cellIs" dxfId="267" priority="16" operator="equal">
      <formula>$AF$59</formula>
    </cfRule>
  </conditionalFormatting>
  <conditionalFormatting sqref="AF57">
    <cfRule type="cellIs" dxfId="266" priority="15" operator="notEqual">
      <formula>$AF$59</formula>
    </cfRule>
  </conditionalFormatting>
  <conditionalFormatting sqref="AG57">
    <cfRule type="cellIs" dxfId="265" priority="14" operator="equal">
      <formula>$AG$59</formula>
    </cfRule>
  </conditionalFormatting>
  <conditionalFormatting sqref="AG57">
    <cfRule type="cellIs" dxfId="264" priority="13" operator="notEqual">
      <formula>$AG$59</formula>
    </cfRule>
  </conditionalFormatting>
  <conditionalFormatting sqref="AH57">
    <cfRule type="cellIs" dxfId="263" priority="12" operator="equal">
      <formula>$AH$59</formula>
    </cfRule>
  </conditionalFormatting>
  <conditionalFormatting sqref="AH57">
    <cfRule type="cellIs" dxfId="262" priority="11" operator="notEqual">
      <formula>$AH$59</formula>
    </cfRule>
  </conditionalFormatting>
  <conditionalFormatting sqref="AI57">
    <cfRule type="cellIs" dxfId="261" priority="10" operator="equal">
      <formula>$AI$59</formula>
    </cfRule>
  </conditionalFormatting>
  <conditionalFormatting sqref="AI57">
    <cfRule type="cellIs" dxfId="260" priority="9" operator="notEqual">
      <formula>$AI$59</formula>
    </cfRule>
  </conditionalFormatting>
  <conditionalFormatting sqref="AJ57">
    <cfRule type="cellIs" dxfId="259" priority="8" operator="equal">
      <formula>$AJ$59</formula>
    </cfRule>
  </conditionalFormatting>
  <conditionalFormatting sqref="AJ57">
    <cfRule type="cellIs" dxfId="258" priority="7" operator="notEqual">
      <formula>$AJ$59</formula>
    </cfRule>
  </conditionalFormatting>
  <conditionalFormatting sqref="AK57">
    <cfRule type="cellIs" dxfId="257" priority="6" operator="equal">
      <formula>$AK$59</formula>
    </cfRule>
  </conditionalFormatting>
  <conditionalFormatting sqref="AK57">
    <cfRule type="cellIs" dxfId="256" priority="5" operator="notEqual">
      <formula>$AK$59</formula>
    </cfRule>
  </conditionalFormatting>
  <conditionalFormatting sqref="AL57">
    <cfRule type="cellIs" dxfId="255" priority="4" operator="equal">
      <formula>$AL$59</formula>
    </cfRule>
  </conditionalFormatting>
  <conditionalFormatting sqref="AL57">
    <cfRule type="cellIs" dxfId="254" priority="3" operator="notEqual">
      <formula>$AL$59</formula>
    </cfRule>
  </conditionalFormatting>
  <conditionalFormatting sqref="AM57">
    <cfRule type="cellIs" dxfId="253" priority="2" operator="equal">
      <formula>$AM$59</formula>
    </cfRule>
  </conditionalFormatting>
  <conditionalFormatting sqref="AM57">
    <cfRule type="cellIs" dxfId="252" priority="1" operator="notEqual">
      <formula>$AM$59</formula>
    </cfRule>
  </conditionalFormatting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B7468-9E63-4565-A705-A881AD945B0A}">
  <sheetPr>
    <tabColor indexed="12" tint="-0.249977111117893"/>
  </sheetPr>
  <dimension ref="A1:AO51"/>
  <sheetViews>
    <sheetView showGridLines="0" topLeftCell="I28" workbookViewId="0">
      <selection activeCell="AB45" sqref="AB45"/>
    </sheetView>
  </sheetViews>
  <sheetFormatPr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9" width="7.109375" style="9" bestFit="1" customWidth="1"/>
    <col min="10" max="10" width="8.88671875" style="9"/>
    <col min="11" max="11" width="19.88671875" style="9" bestFit="1" customWidth="1"/>
    <col min="12" max="14" width="7.109375" style="9" bestFit="1" customWidth="1"/>
    <col min="15" max="15" width="10.33203125" style="9" bestFit="1" customWidth="1"/>
    <col min="16" max="16" width="7.6640625" style="9" bestFit="1" customWidth="1"/>
    <col min="17" max="17" width="8.5546875" style="9" bestFit="1" customWidth="1"/>
    <col min="18" max="18" width="14.44140625" style="9" bestFit="1" customWidth="1"/>
    <col min="19" max="19" width="9.109375" style="9" bestFit="1" customWidth="1"/>
    <col min="20" max="20" width="7.109375" style="9" bestFit="1" customWidth="1"/>
    <col min="21" max="21" width="9.77734375" style="9" bestFit="1" customWidth="1"/>
    <col min="22" max="22" width="7.109375" style="9" bestFit="1" customWidth="1"/>
    <col min="23" max="23" width="8.5546875" style="9" bestFit="1" customWidth="1"/>
    <col min="24" max="24" width="8.33203125" style="9" bestFit="1" customWidth="1"/>
    <col min="25" max="25" width="8.5546875" style="9" bestFit="1" customWidth="1"/>
    <col min="26" max="26" width="10.5546875" style="9" bestFit="1" customWidth="1"/>
    <col min="27" max="27" width="8.5546875" style="9" bestFit="1" customWidth="1"/>
    <col min="28" max="28" width="9.109375" style="9" bestFit="1" customWidth="1"/>
    <col min="29" max="16384" width="8.88671875" style="9"/>
  </cols>
  <sheetData>
    <row r="1" spans="1:41" ht="11.25" customHeight="1" x14ac:dyDescent="0.3">
      <c r="A1" s="152" t="s">
        <v>68</v>
      </c>
      <c r="B1" s="152" t="s">
        <v>69</v>
      </c>
      <c r="C1" s="152" t="s">
        <v>70</v>
      </c>
      <c r="D1" s="152" t="s">
        <v>71</v>
      </c>
      <c r="E1" s="152" t="s">
        <v>72</v>
      </c>
      <c r="F1" s="152" t="s">
        <v>15</v>
      </c>
      <c r="G1" s="152" t="s">
        <v>74</v>
      </c>
      <c r="H1" s="152" t="s">
        <v>75</v>
      </c>
      <c r="I1" s="152" t="s">
        <v>588</v>
      </c>
      <c r="J1" s="134"/>
      <c r="L1" s="153" t="s">
        <v>615</v>
      </c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153"/>
      <c r="AB1" s="153"/>
      <c r="AC1" s="162" t="s">
        <v>1</v>
      </c>
      <c r="AD1" s="164" t="s">
        <v>2</v>
      </c>
      <c r="AE1" s="164" t="s">
        <v>3</v>
      </c>
      <c r="AF1" s="164" t="s">
        <v>4</v>
      </c>
      <c r="AG1" s="164" t="s">
        <v>5</v>
      </c>
      <c r="AH1" s="164" t="s">
        <v>809</v>
      </c>
      <c r="AI1" s="164" t="s">
        <v>848</v>
      </c>
      <c r="AJ1" s="164" t="s">
        <v>811</v>
      </c>
      <c r="AK1" s="164" t="s">
        <v>812</v>
      </c>
      <c r="AL1" s="164" t="s">
        <v>813</v>
      </c>
      <c r="AO1" s="164" t="s">
        <v>814</v>
      </c>
    </row>
    <row r="2" spans="1:41" ht="11.25" customHeight="1" x14ac:dyDescent="0.3">
      <c r="A2" s="152"/>
      <c r="B2" s="152"/>
      <c r="C2" s="152"/>
      <c r="D2" s="152"/>
      <c r="E2" s="152"/>
      <c r="F2" s="152"/>
      <c r="G2" s="152"/>
      <c r="H2" s="152"/>
      <c r="I2" s="152"/>
      <c r="J2" s="134"/>
      <c r="L2" s="153" t="s">
        <v>515</v>
      </c>
      <c r="M2" s="153"/>
      <c r="N2" s="153"/>
      <c r="O2" s="153"/>
      <c r="P2" s="153"/>
      <c r="Q2" s="153"/>
      <c r="R2" s="153"/>
      <c r="S2" s="153"/>
      <c r="T2" s="153"/>
      <c r="U2" s="153"/>
      <c r="V2" s="153"/>
      <c r="W2" s="153"/>
      <c r="X2" s="153"/>
      <c r="Y2" s="153"/>
      <c r="Z2" s="153"/>
      <c r="AA2" s="153"/>
      <c r="AB2" s="153"/>
      <c r="AC2" s="163"/>
      <c r="AD2" s="165"/>
      <c r="AE2" s="165"/>
      <c r="AF2" s="165"/>
      <c r="AG2" s="165"/>
      <c r="AH2" s="165"/>
      <c r="AI2" s="165"/>
      <c r="AJ2" s="165"/>
      <c r="AK2" s="165"/>
      <c r="AL2" s="165"/>
      <c r="AO2" s="165"/>
    </row>
    <row r="3" spans="1:41" ht="11.25" customHeight="1" x14ac:dyDescent="0.3">
      <c r="A3" s="152"/>
      <c r="B3" s="152"/>
      <c r="C3" s="152"/>
      <c r="D3" s="152"/>
      <c r="E3" s="152"/>
      <c r="F3" s="152"/>
      <c r="G3" s="152"/>
      <c r="H3" s="152"/>
      <c r="I3" s="152"/>
      <c r="J3" s="134"/>
      <c r="L3" s="153" t="s">
        <v>488</v>
      </c>
      <c r="M3" s="153"/>
      <c r="N3" s="153"/>
      <c r="O3" s="153"/>
      <c r="P3" s="153"/>
      <c r="Q3" s="153"/>
      <c r="R3" s="153" t="s">
        <v>519</v>
      </c>
      <c r="S3" s="153"/>
      <c r="T3" s="153" t="s">
        <v>497</v>
      </c>
      <c r="U3" s="153"/>
      <c r="V3" s="153"/>
      <c r="W3" s="153"/>
      <c r="X3" s="153" t="s">
        <v>507</v>
      </c>
      <c r="Y3" s="153"/>
      <c r="Z3" s="153" t="s">
        <v>510</v>
      </c>
      <c r="AA3" s="153"/>
      <c r="AB3" s="153" t="s">
        <v>496</v>
      </c>
      <c r="AC3" s="163"/>
      <c r="AD3" s="165"/>
      <c r="AE3" s="165"/>
      <c r="AF3" s="165"/>
      <c r="AG3" s="165"/>
      <c r="AH3" s="165"/>
      <c r="AI3" s="165"/>
      <c r="AJ3" s="165"/>
      <c r="AK3" s="165"/>
      <c r="AL3" s="165"/>
      <c r="AO3" s="165"/>
    </row>
    <row r="4" spans="1:41" ht="11.25" customHeight="1" x14ac:dyDescent="0.3">
      <c r="A4" s="152"/>
      <c r="B4" s="152"/>
      <c r="C4" s="152"/>
      <c r="D4" s="152"/>
      <c r="E4" s="152"/>
      <c r="F4" s="152"/>
      <c r="G4" s="152"/>
      <c r="H4" s="152"/>
      <c r="I4" s="152"/>
      <c r="J4" s="134"/>
      <c r="L4" s="30" t="s">
        <v>490</v>
      </c>
      <c r="M4" s="30" t="s">
        <v>516</v>
      </c>
      <c r="N4" s="30" t="s">
        <v>517</v>
      </c>
      <c r="O4" s="30" t="s">
        <v>576</v>
      </c>
      <c r="P4" s="30" t="s">
        <v>518</v>
      </c>
      <c r="Q4" s="30" t="s">
        <v>496</v>
      </c>
      <c r="R4" s="30" t="s">
        <v>520</v>
      </c>
      <c r="S4" s="30" t="s">
        <v>496</v>
      </c>
      <c r="T4" s="30" t="s">
        <v>521</v>
      </c>
      <c r="U4" s="30" t="s">
        <v>522</v>
      </c>
      <c r="V4" s="30" t="s">
        <v>523</v>
      </c>
      <c r="W4" s="30" t="s">
        <v>496</v>
      </c>
      <c r="X4" s="30" t="s">
        <v>508</v>
      </c>
      <c r="Y4" s="30" t="s">
        <v>496</v>
      </c>
      <c r="Z4" s="30" t="s">
        <v>524</v>
      </c>
      <c r="AA4" s="30" t="s">
        <v>496</v>
      </c>
      <c r="AB4" s="154"/>
      <c r="AC4" s="163"/>
      <c r="AD4" s="165"/>
      <c r="AE4" s="165"/>
      <c r="AF4" s="165"/>
      <c r="AG4" s="165"/>
      <c r="AH4" s="165"/>
      <c r="AI4" s="165"/>
      <c r="AJ4" s="165"/>
      <c r="AK4" s="165"/>
      <c r="AL4" s="165"/>
      <c r="AO4" s="165"/>
    </row>
    <row r="5" spans="1:41" ht="11.25" customHeight="1" x14ac:dyDescent="0.3">
      <c r="A5" s="151" t="s">
        <v>61</v>
      </c>
      <c r="B5" s="151" t="s">
        <v>77</v>
      </c>
      <c r="C5" s="151" t="s">
        <v>25</v>
      </c>
      <c r="D5" s="151" t="s">
        <v>25</v>
      </c>
      <c r="E5" s="151" t="s">
        <v>25</v>
      </c>
      <c r="F5" s="151" t="s">
        <v>25</v>
      </c>
      <c r="G5" s="29" t="s">
        <v>79</v>
      </c>
      <c r="H5" s="29" t="s">
        <v>78</v>
      </c>
      <c r="I5" s="29">
        <f>'MERCADO TE'!$U$2</f>
        <v>0</v>
      </c>
      <c r="J5" s="15"/>
      <c r="L5" s="26">
        <f>'TE BE'!$L$5*'TE BE'!$L$50</f>
        <v>1.3276072517686684E-6</v>
      </c>
      <c r="M5" s="26">
        <f>'TE BE'!$M$5*'TE BE'!$M$50</f>
        <v>0</v>
      </c>
      <c r="N5" s="26">
        <f>'TE BE'!$N$5*'TE BE'!$N$50</f>
        <v>0</v>
      </c>
      <c r="O5" s="26">
        <f>'TE BE'!$O$5*'TE BE'!$O$50</f>
        <v>-3.7153476583987141E-2</v>
      </c>
      <c r="P5" s="26">
        <f>'TE BE'!$P$5*'TE BE'!$P$50</f>
        <v>0</v>
      </c>
      <c r="Q5" s="26">
        <f>SUM($L$5:$P$5)</f>
        <v>-3.7152148976735369E-2</v>
      </c>
      <c r="R5" s="26">
        <f>'TE BE'!$R$5*'TE BE'!$R$50</f>
        <v>2.0491450132592277</v>
      </c>
      <c r="S5" s="26">
        <f>SUM($R$5:$R$5)</f>
        <v>2.0491450132592277</v>
      </c>
      <c r="T5" s="26">
        <f>'TE BE'!$T$5*'TE BE'!$T$50</f>
        <v>0</v>
      </c>
      <c r="U5" s="26">
        <f>'TE BE'!$U$5*'TE BE'!$U$50</f>
        <v>0</v>
      </c>
      <c r="V5" s="26">
        <f>'TE BE'!$V$5*'TE BE'!$V$50</f>
        <v>0</v>
      </c>
      <c r="W5" s="26">
        <f>SUM($T$5:$V$5)</f>
        <v>0</v>
      </c>
      <c r="X5" s="26">
        <f>'TE BE'!$AB$5*'TE BE'!$X$50</f>
        <v>-18.835009395888743</v>
      </c>
      <c r="Y5" s="26">
        <f>SUM($X$5:$X$5)</f>
        <v>-18.835009395888743</v>
      </c>
      <c r="Z5" s="26">
        <f>'TE BE'!$Z$5*'TE BE'!$Z$50</f>
        <v>0</v>
      </c>
      <c r="AA5" s="26">
        <f>SUM($Z$5:$Z$5)</f>
        <v>0</v>
      </c>
      <c r="AB5" s="26">
        <f ca="1">SUMIF($L$4:$AA$4,"SUBTOTAL",$L$5:$AA$5)+AL5</f>
        <v>-78.043303228062996</v>
      </c>
      <c r="AC5" s="9" t="str">
        <f t="shared" ref="AC5:AC43" si="0">IF($A5="",AC4,$A5)</f>
        <v>A3</v>
      </c>
      <c r="AD5" s="9" t="str">
        <f t="shared" ref="AD5:AD43" si="1">IF($B5="",AD4,$B5)</f>
        <v>Energia horária</v>
      </c>
      <c r="AE5" s="9" t="str">
        <f t="shared" ref="AE5:AE43" si="2">IF($C5="",AE4,$C5)</f>
        <v>Não se aplica</v>
      </c>
      <c r="AF5" s="9" t="str">
        <f t="shared" ref="AF5:AF43" si="3">IF($D5="",AF4,$D5)</f>
        <v>Não se aplica</v>
      </c>
      <c r="AG5" s="9" t="str">
        <f t="shared" ref="AG5:AG43" si="4">IF($E5="",AG4,$E5)</f>
        <v>Não se aplica</v>
      </c>
      <c r="AH5" s="9">
        <v>1</v>
      </c>
      <c r="AI5" s="9">
        <f ca="1">IFERROR(VLOOKUP(AC5,TarifaMedia!$C$24:$G$25,5,0),0)</f>
        <v>1</v>
      </c>
      <c r="AJ5" s="15">
        <f>'TE BE'!$AB5+'TE BF'!$AB5+'TE CVA'!$AB5</f>
        <v>461.06028669645673</v>
      </c>
      <c r="AK5" s="9">
        <v>399.84</v>
      </c>
      <c r="AL5" s="9">
        <f t="shared" ref="AL5:AL43" ca="1" si="5">(AK5-AJ5)*AI5*AH5</f>
        <v>-61.220286696456753</v>
      </c>
      <c r="AO5" s="87" t="s">
        <v>849</v>
      </c>
    </row>
    <row r="6" spans="1:41" ht="11.25" customHeight="1" x14ac:dyDescent="0.3">
      <c r="A6" s="151"/>
      <c r="B6" s="151"/>
      <c r="C6" s="151"/>
      <c r="D6" s="151"/>
      <c r="E6" s="151"/>
      <c r="F6" s="151"/>
      <c r="G6" s="29" t="s">
        <v>80</v>
      </c>
      <c r="H6" s="29" t="s">
        <v>78</v>
      </c>
      <c r="I6" s="29">
        <f>'MERCADO TE'!$U$3</f>
        <v>0</v>
      </c>
      <c r="J6" s="15"/>
      <c r="L6" s="26">
        <f>'TE BE'!$L$6*'TE BE'!$L$50</f>
        <v>1.3276072517686684E-6</v>
      </c>
      <c r="M6" s="26">
        <f>'TE BE'!$M$6*'TE BE'!$M$50</f>
        <v>0</v>
      </c>
      <c r="N6" s="26">
        <f>'TE BE'!$N$6*'TE BE'!$N$50</f>
        <v>0</v>
      </c>
      <c r="O6" s="26">
        <f>'TE BE'!$O$6*'TE BE'!$O$50</f>
        <v>-3.7153476583987141E-2</v>
      </c>
      <c r="P6" s="26">
        <f>'TE BE'!$P$6*'TE BE'!$P$50</f>
        <v>0</v>
      </c>
      <c r="Q6" s="26">
        <f>SUM($L$6:$P$6)</f>
        <v>-3.7152148976735369E-2</v>
      </c>
      <c r="R6" s="26">
        <f>'TE BE'!$R$6*'TE BE'!$R$50</f>
        <v>1.1913633798018768</v>
      </c>
      <c r="S6" s="26">
        <f>SUM($R$6:$R$6)</f>
        <v>1.1913633798018768</v>
      </c>
      <c r="T6" s="26">
        <f>'TE BE'!$T$6*'TE BE'!$T$50</f>
        <v>0</v>
      </c>
      <c r="U6" s="26">
        <f>'TE BE'!$U$6*'TE BE'!$U$50</f>
        <v>0</v>
      </c>
      <c r="V6" s="26">
        <f>'TE BE'!$V$6*'TE BE'!$V$50</f>
        <v>0</v>
      </c>
      <c r="W6" s="26">
        <f>SUM($T$6:$V$6)</f>
        <v>0</v>
      </c>
      <c r="X6" s="26">
        <f>'TE BE'!$AB$6*'TE BE'!$X$50</f>
        <v>-11.078916475296824</v>
      </c>
      <c r="Y6" s="26">
        <f>SUM($X$6:$X$6)</f>
        <v>-11.078916475296824</v>
      </c>
      <c r="Z6" s="26">
        <f>'TE BE'!$Z$6*'TE BE'!$Z$50</f>
        <v>0</v>
      </c>
      <c r="AA6" s="26">
        <f>SUM($Z$6:$Z$6)</f>
        <v>0</v>
      </c>
      <c r="AB6" s="26">
        <f ca="1">SUMIF($L$4:$AA$4,"SUBTOTAL",$L$6:$AA$6)+AL6</f>
        <v>-31.239871941369444</v>
      </c>
      <c r="AC6" s="9" t="str">
        <f t="shared" si="0"/>
        <v>A3</v>
      </c>
      <c r="AD6" s="9" t="str">
        <f t="shared" si="1"/>
        <v>Energia horária</v>
      </c>
      <c r="AE6" s="9" t="str">
        <f t="shared" si="2"/>
        <v>Não se aplica</v>
      </c>
      <c r="AF6" s="9" t="str">
        <f t="shared" si="3"/>
        <v>Não se aplica</v>
      </c>
      <c r="AG6" s="9" t="str">
        <f t="shared" si="4"/>
        <v>Não se aplica</v>
      </c>
      <c r="AH6" s="9">
        <v>1</v>
      </c>
      <c r="AI6" s="9">
        <f ca="1">IFERROR(VLOOKUP(AC6,TarifaMedia!$C$24:$G$25,5,0),0)</f>
        <v>1</v>
      </c>
      <c r="AJ6" s="15">
        <f>'TE BE'!$AB6+'TE BF'!$AB6+'TE CVA'!$AB6</f>
        <v>271.35516669689775</v>
      </c>
      <c r="AK6" s="9">
        <v>250.04</v>
      </c>
      <c r="AL6" s="9">
        <f t="shared" ca="1" si="5"/>
        <v>-21.315166696897762</v>
      </c>
      <c r="AO6" s="87" t="s">
        <v>850</v>
      </c>
    </row>
    <row r="7" spans="1:41" ht="11.25" customHeight="1" x14ac:dyDescent="0.3">
      <c r="A7" s="151" t="s">
        <v>34</v>
      </c>
      <c r="B7" s="151" t="s">
        <v>77</v>
      </c>
      <c r="C7" s="151" t="s">
        <v>25</v>
      </c>
      <c r="D7" s="151" t="s">
        <v>25</v>
      </c>
      <c r="E7" s="151" t="s">
        <v>25</v>
      </c>
      <c r="F7" s="151" t="s">
        <v>25</v>
      </c>
      <c r="G7" s="29" t="s">
        <v>79</v>
      </c>
      <c r="H7" s="29" t="s">
        <v>78</v>
      </c>
      <c r="I7" s="29">
        <f>'MERCADO TE'!$U$4</f>
        <v>256.69644</v>
      </c>
      <c r="J7" s="15"/>
      <c r="L7" s="26">
        <f>'TE BE'!$L$7*'TE BE'!$L$50</f>
        <v>1.3276072517686684E-6</v>
      </c>
      <c r="M7" s="26">
        <f>'TE BE'!$M$7*'TE BE'!$M$50</f>
        <v>0</v>
      </c>
      <c r="N7" s="26">
        <f>'TE BE'!$N$7*'TE BE'!$N$50</f>
        <v>0</v>
      </c>
      <c r="O7" s="26">
        <f>'TE BE'!$O$7*'TE BE'!$O$50</f>
        <v>-3.7153476583987141E-2</v>
      </c>
      <c r="P7" s="26">
        <f>'TE BE'!$P$7*'TE BE'!$P$50</f>
        <v>0</v>
      </c>
      <c r="Q7" s="26">
        <f>SUM($L$7:$P$7)</f>
        <v>-3.7152148976735369E-2</v>
      </c>
      <c r="R7" s="26">
        <f>'TE BE'!$R$7*'TE BE'!$R$50</f>
        <v>2.0491450132592277</v>
      </c>
      <c r="S7" s="26">
        <f>SUM($R$7:$R$7)</f>
        <v>2.0491450132592277</v>
      </c>
      <c r="T7" s="26">
        <f>'TE BE'!$T$7*'TE BE'!$T$50</f>
        <v>0</v>
      </c>
      <c r="U7" s="26">
        <f>'TE BE'!$U$7*'TE BE'!$U$50</f>
        <v>0</v>
      </c>
      <c r="V7" s="26">
        <f>'TE BE'!$V$7*'TE BE'!$V$50</f>
        <v>0</v>
      </c>
      <c r="W7" s="26">
        <f>SUM($T$7:$V$7)</f>
        <v>0</v>
      </c>
      <c r="X7" s="26">
        <f>'TE BE'!$AB$7*'TE BE'!$X$50</f>
        <v>-18.835009395888743</v>
      </c>
      <c r="Y7" s="26">
        <f>SUM($X$7:$X$7)</f>
        <v>-18.835009395888743</v>
      </c>
      <c r="Z7" s="26">
        <f>'TE BE'!$Z$7*'TE BE'!$Z$50</f>
        <v>0</v>
      </c>
      <c r="AA7" s="26">
        <f>SUM($Z$7:$Z$7)</f>
        <v>0</v>
      </c>
      <c r="AB7" s="26">
        <f ca="1">SUMIF($L$4:$AA$4,"SUBTOTAL",$L$7:$AA$7)+AL7</f>
        <v>-78.043303228062996</v>
      </c>
      <c r="AC7" s="9" t="str">
        <f t="shared" si="0"/>
        <v>A4</v>
      </c>
      <c r="AD7" s="9" t="str">
        <f t="shared" si="1"/>
        <v>Energia horária</v>
      </c>
      <c r="AE7" s="9" t="str">
        <f t="shared" si="2"/>
        <v>Não se aplica</v>
      </c>
      <c r="AF7" s="9" t="str">
        <f t="shared" si="3"/>
        <v>Não se aplica</v>
      </c>
      <c r="AG7" s="9" t="str">
        <f t="shared" si="4"/>
        <v>Não se aplica</v>
      </c>
      <c r="AH7" s="9">
        <v>1</v>
      </c>
      <c r="AI7" s="9">
        <f ca="1">IFERROR(VLOOKUP(AC7,TarifaMedia!$C$24:$G$25,5,0),0)</f>
        <v>1</v>
      </c>
      <c r="AJ7" s="15">
        <f>'TE BE'!$AB7+'TE BF'!$AB7+'TE CVA'!$AB7</f>
        <v>461.06028669645673</v>
      </c>
      <c r="AK7" s="9">
        <v>399.84</v>
      </c>
      <c r="AL7" s="9">
        <f t="shared" ca="1" si="5"/>
        <v>-61.220286696456753</v>
      </c>
      <c r="AO7" s="87" t="s">
        <v>851</v>
      </c>
    </row>
    <row r="8" spans="1:41" ht="11.25" customHeight="1" x14ac:dyDescent="0.3">
      <c r="A8" s="151"/>
      <c r="B8" s="151"/>
      <c r="C8" s="151"/>
      <c r="D8" s="151"/>
      <c r="E8" s="151"/>
      <c r="F8" s="151"/>
      <c r="G8" s="29" t="s">
        <v>80</v>
      </c>
      <c r="H8" s="29" t="s">
        <v>78</v>
      </c>
      <c r="I8" s="29">
        <f>'MERCADO TE'!$U$5</f>
        <v>3077.9313500000003</v>
      </c>
      <c r="J8" s="15"/>
      <c r="L8" s="26">
        <f>'TE BE'!$L$8*'TE BE'!$L$50</f>
        <v>1.3276072517686684E-6</v>
      </c>
      <c r="M8" s="26">
        <f>'TE BE'!$M$8*'TE BE'!$M$50</f>
        <v>0</v>
      </c>
      <c r="N8" s="26">
        <f>'TE BE'!$N$8*'TE BE'!$N$50</f>
        <v>0</v>
      </c>
      <c r="O8" s="26">
        <f>'TE BE'!$O$8*'TE BE'!$O$50</f>
        <v>-3.7153476583987141E-2</v>
      </c>
      <c r="P8" s="26">
        <f>'TE BE'!$P$8*'TE BE'!$P$50</f>
        <v>0</v>
      </c>
      <c r="Q8" s="26">
        <f>SUM($L$8:$P$8)</f>
        <v>-3.7152148976735369E-2</v>
      </c>
      <c r="R8" s="26">
        <f>'TE BE'!$R$8*'TE BE'!$R$50</f>
        <v>1.1913633798018768</v>
      </c>
      <c r="S8" s="26">
        <f>SUM($R$8:$R$8)</f>
        <v>1.1913633798018768</v>
      </c>
      <c r="T8" s="26">
        <f>'TE BE'!$T$8*'TE BE'!$T$50</f>
        <v>0</v>
      </c>
      <c r="U8" s="26">
        <f>'TE BE'!$U$8*'TE BE'!$U$50</f>
        <v>0</v>
      </c>
      <c r="V8" s="26">
        <f>'TE BE'!$V$8*'TE BE'!$V$50</f>
        <v>0</v>
      </c>
      <c r="W8" s="26">
        <f>SUM($T$8:$V$8)</f>
        <v>0</v>
      </c>
      <c r="X8" s="26">
        <f>'TE BE'!$AB$8*'TE BE'!$X$50</f>
        <v>-11.078916475296824</v>
      </c>
      <c r="Y8" s="26">
        <f>SUM($X$8:$X$8)</f>
        <v>-11.078916475296824</v>
      </c>
      <c r="Z8" s="26">
        <f>'TE BE'!$Z$8*'TE BE'!$Z$50</f>
        <v>0</v>
      </c>
      <c r="AA8" s="26">
        <f>SUM($Z$8:$Z$8)</f>
        <v>0</v>
      </c>
      <c r="AB8" s="26">
        <f ca="1">SUMIF($L$4:$AA$4,"SUBTOTAL",$L$8:$AA$8)+AL8</f>
        <v>-31.239871941369444</v>
      </c>
      <c r="AC8" s="9" t="str">
        <f t="shared" si="0"/>
        <v>A4</v>
      </c>
      <c r="AD8" s="9" t="str">
        <f t="shared" si="1"/>
        <v>Energia horária</v>
      </c>
      <c r="AE8" s="9" t="str">
        <f t="shared" si="2"/>
        <v>Não se aplica</v>
      </c>
      <c r="AF8" s="9" t="str">
        <f t="shared" si="3"/>
        <v>Não se aplica</v>
      </c>
      <c r="AG8" s="9" t="str">
        <f t="shared" si="4"/>
        <v>Não se aplica</v>
      </c>
      <c r="AH8" s="9">
        <v>1</v>
      </c>
      <c r="AI8" s="9">
        <f ca="1">IFERROR(VLOOKUP(AC8,TarifaMedia!$C$24:$G$25,5,0),0)</f>
        <v>1</v>
      </c>
      <c r="AJ8" s="15">
        <f>'TE BE'!$AB8+'TE BF'!$AB8+'TE CVA'!$AB8</f>
        <v>271.35516669689775</v>
      </c>
      <c r="AK8" s="9">
        <v>250.04</v>
      </c>
      <c r="AL8" s="9">
        <f t="shared" ca="1" si="5"/>
        <v>-21.315166696897762</v>
      </c>
      <c r="AO8" s="87" t="s">
        <v>852</v>
      </c>
    </row>
    <row r="9" spans="1:41" ht="11.25" customHeight="1" x14ac:dyDescent="0.3">
      <c r="A9" s="151" t="s">
        <v>22</v>
      </c>
      <c r="B9" s="151" t="s">
        <v>77</v>
      </c>
      <c r="C9" s="151" t="s">
        <v>24</v>
      </c>
      <c r="D9" s="151" t="s">
        <v>24</v>
      </c>
      <c r="E9" s="151" t="s">
        <v>25</v>
      </c>
      <c r="F9" s="151" t="s">
        <v>25</v>
      </c>
      <c r="G9" s="29" t="s">
        <v>79</v>
      </c>
      <c r="H9" s="29" t="s">
        <v>78</v>
      </c>
      <c r="I9" s="29">
        <f>'MERCADO TE'!$U$6</f>
        <v>0</v>
      </c>
      <c r="J9" s="15"/>
      <c r="L9" s="26">
        <f>'TE BE'!$L$9*'TE BE'!$L$50</f>
        <v>1.3276072517686684E-6</v>
      </c>
      <c r="M9" s="26">
        <f>'TE BE'!$M$9*'TE BE'!$M$50</f>
        <v>0</v>
      </c>
      <c r="N9" s="26">
        <f>'TE BE'!$N$9*'TE BE'!$N$50</f>
        <v>0</v>
      </c>
      <c r="O9" s="26">
        <f>'TE BE'!$O$9*'TE BE'!$O$50</f>
        <v>-3.7153476583987141E-2</v>
      </c>
      <c r="P9" s="26">
        <f>'TE BE'!$P$9*'TE BE'!$P$50</f>
        <v>0</v>
      </c>
      <c r="Q9" s="26">
        <f>SUM($L$9:$P$9)</f>
        <v>-3.7152148976735369E-2</v>
      </c>
      <c r="R9" s="26">
        <f>'TE BE'!$R$9*'TE BE'!$R$50</f>
        <v>2.0491450132592277</v>
      </c>
      <c r="S9" s="26">
        <f>SUM($R$9:$R$9)</f>
        <v>2.0491450132592277</v>
      </c>
      <c r="T9" s="26">
        <f>'TE BE'!$T$9*'TE BE'!$T$50</f>
        <v>0</v>
      </c>
      <c r="U9" s="26">
        <f>'TE BE'!$U$9*'TE BE'!$U$50</f>
        <v>0</v>
      </c>
      <c r="V9" s="26">
        <f>'TE BE'!$V$9*'TE BE'!$V$50</f>
        <v>0</v>
      </c>
      <c r="W9" s="26">
        <f>SUM($T$9:$V$9)</f>
        <v>0</v>
      </c>
      <c r="X9" s="26">
        <f>'TE BE'!$AB$9*'TE BE'!$X$50</f>
        <v>-18.835009395888743</v>
      </c>
      <c r="Y9" s="26">
        <f>SUM($X$9:$X$9)</f>
        <v>-18.835009395888743</v>
      </c>
      <c r="Z9" s="26">
        <f>'TE BE'!$Z$9*'TE BE'!$Z$50</f>
        <v>0</v>
      </c>
      <c r="AA9" s="26">
        <f>SUM($Z$9:$Z$9)</f>
        <v>0</v>
      </c>
      <c r="AB9" s="26">
        <f ca="1">SUMIF($L$4:$AA$4,"SUBTOTAL",$L$9:$AA$9)+AL9</f>
        <v>-78.043303228062996</v>
      </c>
      <c r="AC9" s="9" t="str">
        <f t="shared" si="0"/>
        <v>B1</v>
      </c>
      <c r="AD9" s="9" t="str">
        <f t="shared" si="1"/>
        <v>Energia horária</v>
      </c>
      <c r="AE9" s="9" t="str">
        <f t="shared" si="2"/>
        <v>Residencial</v>
      </c>
      <c r="AF9" s="9" t="str">
        <f t="shared" si="3"/>
        <v>Residencial</v>
      </c>
      <c r="AG9" s="9" t="str">
        <f t="shared" si="4"/>
        <v>Não se aplica</v>
      </c>
      <c r="AH9" s="9">
        <v>1</v>
      </c>
      <c r="AI9" s="9">
        <f ca="1">TarifaMedia!$G$28</f>
        <v>1</v>
      </c>
      <c r="AJ9" s="15">
        <f>'TE BE'!$AB9+'TE BF'!$AB9+'TE CVA'!$AB9</f>
        <v>461.06028669645673</v>
      </c>
      <c r="AK9" s="9">
        <v>399.84</v>
      </c>
      <c r="AL9" s="9">
        <f t="shared" ca="1" si="5"/>
        <v>-61.220286696456753</v>
      </c>
      <c r="AO9" s="87" t="s">
        <v>853</v>
      </c>
    </row>
    <row r="10" spans="1:41" ht="11.25" customHeight="1" x14ac:dyDescent="0.3">
      <c r="A10" s="151"/>
      <c r="B10" s="151"/>
      <c r="C10" s="151"/>
      <c r="D10" s="151"/>
      <c r="E10" s="151"/>
      <c r="F10" s="151"/>
      <c r="G10" s="29" t="s">
        <v>89</v>
      </c>
      <c r="H10" s="29" t="s">
        <v>78</v>
      </c>
      <c r="I10" s="29">
        <f>'MERCADO TE'!$U$7</f>
        <v>0</v>
      </c>
      <c r="J10" s="15"/>
      <c r="L10" s="26">
        <f>'TE BE'!$L$10*'TE BE'!$L$50</f>
        <v>1.3276072517686684E-6</v>
      </c>
      <c r="M10" s="26">
        <f>'TE BE'!$M$10*'TE BE'!$M$50</f>
        <v>0</v>
      </c>
      <c r="N10" s="26">
        <f>'TE BE'!$N$10*'TE BE'!$N$50</f>
        <v>0</v>
      </c>
      <c r="O10" s="26">
        <f>'TE BE'!$O$10*'TE BE'!$O$50</f>
        <v>-3.7153476583987141E-2</v>
      </c>
      <c r="P10" s="26">
        <f>'TE BE'!$P$10*'TE BE'!$P$50</f>
        <v>0</v>
      </c>
      <c r="Q10" s="26">
        <f>SUM($L$10:$P$10)</f>
        <v>-3.7152148976735369E-2</v>
      </c>
      <c r="R10" s="26">
        <f>'TE BE'!$R$10*'TE BE'!$R$50</f>
        <v>1.1913633798018768</v>
      </c>
      <c r="S10" s="26">
        <f>SUM($R$10:$R$10)</f>
        <v>1.1913633798018768</v>
      </c>
      <c r="T10" s="26">
        <f>'TE BE'!$T$10*'TE BE'!$T$50</f>
        <v>0</v>
      </c>
      <c r="U10" s="26">
        <f>'TE BE'!$U$10*'TE BE'!$U$50</f>
        <v>0</v>
      </c>
      <c r="V10" s="26">
        <f>'TE BE'!$V$10*'TE BE'!$V$50</f>
        <v>0</v>
      </c>
      <c r="W10" s="26">
        <f>SUM($T$10:$V$10)</f>
        <v>0</v>
      </c>
      <c r="X10" s="26">
        <f>'TE BE'!$AB$10*'TE BE'!$X$50</f>
        <v>-11.078916475296824</v>
      </c>
      <c r="Y10" s="26">
        <f>SUM($X$10:$X$10)</f>
        <v>-11.078916475296824</v>
      </c>
      <c r="Z10" s="26">
        <f>'TE BE'!$Z$10*'TE BE'!$Z$50</f>
        <v>0</v>
      </c>
      <c r="AA10" s="26">
        <f>SUM($Z$10:$Z$10)</f>
        <v>0</v>
      </c>
      <c r="AB10" s="26">
        <f ca="1">SUMIF($L$4:$AA$4,"SUBTOTAL",$L$10:$AA$10)+AL10</f>
        <v>-31.239871941369444</v>
      </c>
      <c r="AC10" s="9" t="str">
        <f t="shared" si="0"/>
        <v>B1</v>
      </c>
      <c r="AD10" s="9" t="str">
        <f t="shared" si="1"/>
        <v>Energia horária</v>
      </c>
      <c r="AE10" s="9" t="str">
        <f t="shared" si="2"/>
        <v>Residencial</v>
      </c>
      <c r="AF10" s="9" t="str">
        <f t="shared" si="3"/>
        <v>Residencial</v>
      </c>
      <c r="AG10" s="9" t="str">
        <f t="shared" si="4"/>
        <v>Não se aplica</v>
      </c>
      <c r="AH10" s="9">
        <v>1</v>
      </c>
      <c r="AI10" s="9">
        <f ca="1">TarifaMedia!$G$28</f>
        <v>1</v>
      </c>
      <c r="AJ10" s="15">
        <f>'TE BE'!$AB10+'TE BF'!$AB10+'TE CVA'!$AB10</f>
        <v>271.35516669689775</v>
      </c>
      <c r="AK10" s="9">
        <v>250.04</v>
      </c>
      <c r="AL10" s="9">
        <f t="shared" ca="1" si="5"/>
        <v>-21.315166696897762</v>
      </c>
      <c r="AO10" s="87" t="s">
        <v>854</v>
      </c>
    </row>
    <row r="11" spans="1:41" ht="11.25" customHeight="1" x14ac:dyDescent="0.3">
      <c r="A11" s="151"/>
      <c r="B11" s="151"/>
      <c r="C11" s="151"/>
      <c r="D11" s="151"/>
      <c r="E11" s="151"/>
      <c r="F11" s="151"/>
      <c r="G11" s="29" t="s">
        <v>80</v>
      </c>
      <c r="H11" s="29" t="s">
        <v>78</v>
      </c>
      <c r="I11" s="29">
        <f>'MERCADO TE'!$U$8</f>
        <v>0</v>
      </c>
      <c r="J11" s="15"/>
      <c r="L11" s="26">
        <f>'TE BE'!$L$11*'TE BE'!$L$50</f>
        <v>1.3276072517686684E-6</v>
      </c>
      <c r="M11" s="26">
        <f>'TE BE'!$M$11*'TE BE'!$M$50</f>
        <v>0</v>
      </c>
      <c r="N11" s="26">
        <f>'TE BE'!$N$11*'TE BE'!$N$50</f>
        <v>0</v>
      </c>
      <c r="O11" s="26">
        <f>'TE BE'!$O$11*'TE BE'!$O$50</f>
        <v>-3.7153476583987141E-2</v>
      </c>
      <c r="P11" s="26">
        <f>'TE BE'!$P$11*'TE BE'!$P$50</f>
        <v>0</v>
      </c>
      <c r="Q11" s="26">
        <f>SUM($L$11:$P$11)</f>
        <v>-3.7152148976735369E-2</v>
      </c>
      <c r="R11" s="26">
        <f>'TE BE'!$R$11*'TE BE'!$R$50</f>
        <v>1.1913633798018768</v>
      </c>
      <c r="S11" s="26">
        <f>SUM($R$11:$R$11)</f>
        <v>1.1913633798018768</v>
      </c>
      <c r="T11" s="26">
        <f>'TE BE'!$T$11*'TE BE'!$T$50</f>
        <v>0</v>
      </c>
      <c r="U11" s="26">
        <f>'TE BE'!$U$11*'TE BE'!$U$50</f>
        <v>0</v>
      </c>
      <c r="V11" s="26">
        <f>'TE BE'!$V$11*'TE BE'!$V$50</f>
        <v>0</v>
      </c>
      <c r="W11" s="26">
        <f>SUM($T$11:$V$11)</f>
        <v>0</v>
      </c>
      <c r="X11" s="26">
        <f>'TE BE'!$AB$11*'TE BE'!$X$50</f>
        <v>-11.078916475296824</v>
      </c>
      <c r="Y11" s="26">
        <f>SUM($X$11:$X$11)</f>
        <v>-11.078916475296824</v>
      </c>
      <c r="Z11" s="26">
        <f>'TE BE'!$Z$11*'TE BE'!$Z$50</f>
        <v>0</v>
      </c>
      <c r="AA11" s="26">
        <f>SUM($Z$11:$Z$11)</f>
        <v>0</v>
      </c>
      <c r="AB11" s="26">
        <f ca="1">SUMIF($L$4:$AA$4,"SUBTOTAL",$L$11:$AA$11)+AL11</f>
        <v>-31.239871941369444</v>
      </c>
      <c r="AC11" s="9" t="str">
        <f t="shared" si="0"/>
        <v>B1</v>
      </c>
      <c r="AD11" s="9" t="str">
        <f t="shared" si="1"/>
        <v>Energia horária</v>
      </c>
      <c r="AE11" s="9" t="str">
        <f t="shared" si="2"/>
        <v>Residencial</v>
      </c>
      <c r="AF11" s="9" t="str">
        <f t="shared" si="3"/>
        <v>Residencial</v>
      </c>
      <c r="AG11" s="9" t="str">
        <f t="shared" si="4"/>
        <v>Não se aplica</v>
      </c>
      <c r="AH11" s="9">
        <v>1</v>
      </c>
      <c r="AI11" s="9">
        <f ca="1">TarifaMedia!$G$28</f>
        <v>1</v>
      </c>
      <c r="AJ11" s="15">
        <f>'TE BE'!$AB11+'TE BF'!$AB11+'TE CVA'!$AB11</f>
        <v>271.35516669689775</v>
      </c>
      <c r="AK11" s="9">
        <v>250.04</v>
      </c>
      <c r="AL11" s="9">
        <f t="shared" ca="1" si="5"/>
        <v>-21.315166696897762</v>
      </c>
      <c r="AO11" s="87" t="s">
        <v>855</v>
      </c>
    </row>
    <row r="12" spans="1:41" ht="11.25" customHeight="1" x14ac:dyDescent="0.3">
      <c r="A12" s="151"/>
      <c r="B12" s="151" t="s">
        <v>90</v>
      </c>
      <c r="C12" s="151" t="s">
        <v>24</v>
      </c>
      <c r="D12" s="28" t="s">
        <v>24</v>
      </c>
      <c r="E12" s="28" t="s">
        <v>25</v>
      </c>
      <c r="F12" s="28" t="s">
        <v>25</v>
      </c>
      <c r="G12" s="29" t="s">
        <v>84</v>
      </c>
      <c r="H12" s="29" t="s">
        <v>78</v>
      </c>
      <c r="I12" s="29">
        <f>'MERCADO TE'!$U$9</f>
        <v>11530.447999999999</v>
      </c>
      <c r="J12" s="15"/>
      <c r="L12" s="26">
        <f>'TE BE'!$L$12*'TE BE'!$L$50</f>
        <v>1.3276072517686684E-6</v>
      </c>
      <c r="M12" s="26">
        <f>'TE BE'!$M$12*'TE BE'!$M$50</f>
        <v>0</v>
      </c>
      <c r="N12" s="26">
        <f>'TE BE'!$N$12*'TE BE'!$N$50</f>
        <v>0</v>
      </c>
      <c r="O12" s="26">
        <f>'TE BE'!$O$12*'TE BE'!$O$50</f>
        <v>-3.7153476583987141E-2</v>
      </c>
      <c r="P12" s="26">
        <f>'TE BE'!$P$12*'TE BE'!$P$50</f>
        <v>0</v>
      </c>
      <c r="Q12" s="26">
        <f>SUM($L$12:$P$12)</f>
        <v>-3.7152148976735369E-2</v>
      </c>
      <c r="R12" s="26">
        <f>'TE BE'!$R$12*'TE BE'!$R$50</f>
        <v>1.2628451825899896</v>
      </c>
      <c r="S12" s="26">
        <f>SUM($R$12:$R$12)</f>
        <v>1.2628451825899896</v>
      </c>
      <c r="T12" s="26">
        <f>'TE BE'!$T$12*'TE BE'!$T$50</f>
        <v>0</v>
      </c>
      <c r="U12" s="26">
        <f>'TE BE'!$U$12*'TE BE'!$U$50</f>
        <v>0</v>
      </c>
      <c r="V12" s="26">
        <f>'TE BE'!$V$12*'TE BE'!$V$50</f>
        <v>0</v>
      </c>
      <c r="W12" s="26">
        <f>SUM($T$12:$V$12)</f>
        <v>0</v>
      </c>
      <c r="X12" s="26">
        <f>'TE BE'!$AB$12*'TE BE'!$X$50</f>
        <v>-11.725257552012819</v>
      </c>
      <c r="Y12" s="26">
        <f>SUM($X$12:$X$12)</f>
        <v>-11.725257552012819</v>
      </c>
      <c r="Z12" s="26">
        <f>'TE BE'!$Z$12*'TE BE'!$Z$50</f>
        <v>0</v>
      </c>
      <c r="AA12" s="26">
        <f>SUM($Z$12:$Z$12)</f>
        <v>0</v>
      </c>
      <c r="AB12" s="26">
        <f ca="1">SUMIF($L$4:$AA$4,"SUBTOTAL",$L$12:$AA$12)+AL12</f>
        <v>-35.133491215260634</v>
      </c>
      <c r="AC12" s="9" t="str">
        <f t="shared" si="0"/>
        <v>B1</v>
      </c>
      <c r="AD12" s="9" t="str">
        <f t="shared" si="1"/>
        <v>Energia convencional</v>
      </c>
      <c r="AE12" s="9" t="str">
        <f t="shared" si="2"/>
        <v>Residencial</v>
      </c>
      <c r="AF12" s="9" t="str">
        <f t="shared" si="3"/>
        <v>Residencial</v>
      </c>
      <c r="AG12" s="9" t="str">
        <f t="shared" si="4"/>
        <v>Não se aplica</v>
      </c>
      <c r="AH12" s="9">
        <v>1</v>
      </c>
      <c r="AI12" s="9">
        <f ca="1">TarifaMedia!$G$28</f>
        <v>1</v>
      </c>
      <c r="AJ12" s="15">
        <f>'TE BE'!$AB12+'TE BF'!$AB12+'TE CVA'!$AB12</f>
        <v>287.16392669686104</v>
      </c>
      <c r="AK12" s="9">
        <v>262.52999999999997</v>
      </c>
      <c r="AL12" s="9">
        <f t="shared" ca="1" si="5"/>
        <v>-24.633926696861067</v>
      </c>
      <c r="AO12" s="87" t="s">
        <v>856</v>
      </c>
    </row>
    <row r="13" spans="1:41" ht="11.25" customHeight="1" x14ac:dyDescent="0.3">
      <c r="A13" s="151"/>
      <c r="B13" s="151"/>
      <c r="C13" s="151"/>
      <c r="D13" s="28" t="s">
        <v>28</v>
      </c>
      <c r="E13" s="28" t="s">
        <v>25</v>
      </c>
      <c r="F13" s="28" t="s">
        <v>25</v>
      </c>
      <c r="G13" s="29" t="s">
        <v>84</v>
      </c>
      <c r="H13" s="29" t="s">
        <v>78</v>
      </c>
      <c r="I13" s="29">
        <f>'MERCADO TE'!$U$10</f>
        <v>121.26</v>
      </c>
      <c r="J13" s="15"/>
      <c r="L13" s="26">
        <f>'TE BE'!$L$13*'TE BE'!$L$50</f>
        <v>1.3276072517686684E-6</v>
      </c>
      <c r="M13" s="26">
        <f>'TE BE'!$M$13*'TE BE'!$M$50</f>
        <v>0</v>
      </c>
      <c r="N13" s="26">
        <f>'TE BE'!$N$13*'TE BE'!$N$50</f>
        <v>0</v>
      </c>
      <c r="O13" s="26">
        <f>'TE BE'!$O$13*'TE BE'!$O$50</f>
        <v>-3.7153476583987141E-2</v>
      </c>
      <c r="P13" s="26">
        <f>'TE BE'!$P$13*'TE BE'!$P$50</f>
        <v>0</v>
      </c>
      <c r="Q13" s="26">
        <f>SUM($L$13:$P$13)</f>
        <v>-3.7152148976735369E-2</v>
      </c>
      <c r="R13" s="26">
        <f>'TE BE'!$R$13*'TE BE'!$R$50</f>
        <v>1.2628451825899896</v>
      </c>
      <c r="S13" s="26">
        <f>SUM($R$13:$R$13)</f>
        <v>1.2628451825899896</v>
      </c>
      <c r="T13" s="26">
        <f>'TE BE'!$T$13*'TE BE'!$T$50</f>
        <v>0</v>
      </c>
      <c r="U13" s="26">
        <f>'TE BE'!$U$13*'TE BE'!$U$50</f>
        <v>0</v>
      </c>
      <c r="V13" s="26">
        <f>'TE BE'!$V$13*'TE BE'!$V$50</f>
        <v>0</v>
      </c>
      <c r="W13" s="26">
        <f>SUM($T$13:$V$13)</f>
        <v>0</v>
      </c>
      <c r="X13" s="26">
        <f>'TE BE'!$AB$13*'TE BE'!$X$50</f>
        <v>-11.725257552012819</v>
      </c>
      <c r="Y13" s="26">
        <f>SUM($X$13:$X$13)</f>
        <v>-11.725257552012819</v>
      </c>
      <c r="Z13" s="26">
        <f>'TE BE'!$Z$13*'TE BE'!$Z$50</f>
        <v>0</v>
      </c>
      <c r="AA13" s="26">
        <f>SUM($Z$13:$Z$13)</f>
        <v>0</v>
      </c>
      <c r="AB13" s="26">
        <f ca="1">SUMIF($L$4:$AA$4,"SUBTOTAL",$L$13:$AA$13)+AL13</f>
        <v>-35.133491215260634</v>
      </c>
      <c r="AC13" s="9" t="str">
        <f t="shared" si="0"/>
        <v>B1</v>
      </c>
      <c r="AD13" s="9" t="str">
        <f t="shared" si="1"/>
        <v>Energia convencional</v>
      </c>
      <c r="AE13" s="9" t="str">
        <f t="shared" si="2"/>
        <v>Residencial</v>
      </c>
      <c r="AF13" s="9" t="str">
        <f t="shared" si="3"/>
        <v>Residencial baixa renda – faixa 01</v>
      </c>
      <c r="AG13" s="9" t="str">
        <f t="shared" si="4"/>
        <v>Não se aplica</v>
      </c>
      <c r="AH13" s="9">
        <v>1</v>
      </c>
      <c r="AI13" s="9">
        <f ca="1">TarifaMedia!$G$28</f>
        <v>1</v>
      </c>
      <c r="AJ13" s="15">
        <f>'TE BE'!$AB13+'TE BF'!$AB13+'TE CVA'!$AB13</f>
        <v>287.16392669686104</v>
      </c>
      <c r="AK13" s="9">
        <v>262.52999999999997</v>
      </c>
      <c r="AL13" s="9">
        <f t="shared" ca="1" si="5"/>
        <v>-24.633926696861067</v>
      </c>
      <c r="AO13" s="87" t="s">
        <v>857</v>
      </c>
    </row>
    <row r="14" spans="1:41" ht="11.25" customHeight="1" x14ac:dyDescent="0.3">
      <c r="A14" s="151"/>
      <c r="B14" s="151"/>
      <c r="C14" s="151"/>
      <c r="D14" s="28" t="s">
        <v>29</v>
      </c>
      <c r="E14" s="28" t="s">
        <v>25</v>
      </c>
      <c r="F14" s="28" t="s">
        <v>25</v>
      </c>
      <c r="G14" s="29" t="s">
        <v>84</v>
      </c>
      <c r="H14" s="29" t="s">
        <v>78</v>
      </c>
      <c r="I14" s="29">
        <f>'MERCADO TE'!$U$11</f>
        <v>254.32</v>
      </c>
      <c r="J14" s="15"/>
      <c r="L14" s="26">
        <f>'TE BE'!$L$14*'TE BE'!$L$50</f>
        <v>1.3276072517686684E-6</v>
      </c>
      <c r="M14" s="26">
        <f>'TE BE'!$M$14*'TE BE'!$M$50</f>
        <v>0</v>
      </c>
      <c r="N14" s="26">
        <f>'TE BE'!$N$14*'TE BE'!$N$50</f>
        <v>0</v>
      </c>
      <c r="O14" s="26">
        <f>'TE BE'!$O$14*'TE BE'!$O$50</f>
        <v>-3.7153476583987141E-2</v>
      </c>
      <c r="P14" s="26">
        <f>'TE BE'!$P$14*'TE BE'!$P$50</f>
        <v>0</v>
      </c>
      <c r="Q14" s="26">
        <f>SUM($L$14:$P$14)</f>
        <v>-3.7152148976735369E-2</v>
      </c>
      <c r="R14" s="26">
        <f>'TE BE'!$R$14*'TE BE'!$R$50</f>
        <v>1.2628451825899896</v>
      </c>
      <c r="S14" s="26">
        <f>SUM($R$14:$R$14)</f>
        <v>1.2628451825899896</v>
      </c>
      <c r="T14" s="26">
        <f>'TE BE'!$T$14*'TE BE'!$T$50</f>
        <v>0</v>
      </c>
      <c r="U14" s="26">
        <f>'TE BE'!$U$14*'TE BE'!$U$50</f>
        <v>0</v>
      </c>
      <c r="V14" s="26">
        <f>'TE BE'!$V$14*'TE BE'!$V$50</f>
        <v>0</v>
      </c>
      <c r="W14" s="26">
        <f>SUM($T$14:$V$14)</f>
        <v>0</v>
      </c>
      <c r="X14" s="26">
        <f>'TE BE'!$AB$14*'TE BE'!$X$50</f>
        <v>-11.725257552012819</v>
      </c>
      <c r="Y14" s="26">
        <f>SUM($X$14:$X$14)</f>
        <v>-11.725257552012819</v>
      </c>
      <c r="Z14" s="26">
        <f>'TE BE'!$Z$14*'TE BE'!$Z$50</f>
        <v>0</v>
      </c>
      <c r="AA14" s="26">
        <f>SUM($Z$14:$Z$14)</f>
        <v>0</v>
      </c>
      <c r="AB14" s="26">
        <f ca="1">SUMIF($L$4:$AA$4,"SUBTOTAL",$L$14:$AA$14)+AL14</f>
        <v>-35.133491215260634</v>
      </c>
      <c r="AC14" s="9" t="str">
        <f t="shared" si="0"/>
        <v>B1</v>
      </c>
      <c r="AD14" s="9" t="str">
        <f t="shared" si="1"/>
        <v>Energia convencional</v>
      </c>
      <c r="AE14" s="9" t="str">
        <f t="shared" si="2"/>
        <v>Residencial</v>
      </c>
      <c r="AF14" s="9" t="str">
        <f t="shared" si="3"/>
        <v>Residencial baixa renda – faixa 02</v>
      </c>
      <c r="AG14" s="9" t="str">
        <f t="shared" si="4"/>
        <v>Não se aplica</v>
      </c>
      <c r="AH14" s="9">
        <v>1</v>
      </c>
      <c r="AI14" s="9">
        <f ca="1">TarifaMedia!$G$28</f>
        <v>1</v>
      </c>
      <c r="AJ14" s="15">
        <f>'TE BE'!$AB14+'TE BF'!$AB14+'TE CVA'!$AB14</f>
        <v>287.16392669686104</v>
      </c>
      <c r="AK14" s="9">
        <v>262.52999999999997</v>
      </c>
      <c r="AL14" s="9">
        <f t="shared" ca="1" si="5"/>
        <v>-24.633926696861067</v>
      </c>
      <c r="AO14" s="87" t="s">
        <v>857</v>
      </c>
    </row>
    <row r="15" spans="1:41" ht="11.25" customHeight="1" x14ac:dyDescent="0.3">
      <c r="A15" s="151"/>
      <c r="B15" s="151"/>
      <c r="C15" s="151"/>
      <c r="D15" s="28" t="s">
        <v>30</v>
      </c>
      <c r="E15" s="28" t="s">
        <v>25</v>
      </c>
      <c r="F15" s="28" t="s">
        <v>25</v>
      </c>
      <c r="G15" s="29" t="s">
        <v>84</v>
      </c>
      <c r="H15" s="29" t="s">
        <v>78</v>
      </c>
      <c r="I15" s="29">
        <f>'MERCADO TE'!$U$12</f>
        <v>248.52100000000002</v>
      </c>
      <c r="J15" s="15"/>
      <c r="L15" s="26">
        <f>'TE BE'!$L$15*'TE BE'!$L$50</f>
        <v>1.3276072517686684E-6</v>
      </c>
      <c r="M15" s="26">
        <f>'TE BE'!$M$15*'TE BE'!$M$50</f>
        <v>0</v>
      </c>
      <c r="N15" s="26">
        <f>'TE BE'!$N$15*'TE BE'!$N$50</f>
        <v>0</v>
      </c>
      <c r="O15" s="26">
        <f>'TE BE'!$O$15*'TE BE'!$O$50</f>
        <v>-3.7153476583987141E-2</v>
      </c>
      <c r="P15" s="26">
        <f>'TE BE'!$P$15*'TE BE'!$P$50</f>
        <v>0</v>
      </c>
      <c r="Q15" s="26">
        <f>SUM($L$15:$P$15)</f>
        <v>-3.7152148976735369E-2</v>
      </c>
      <c r="R15" s="26">
        <f>'TE BE'!$R$15*'TE BE'!$R$50</f>
        <v>1.2628451825899896</v>
      </c>
      <c r="S15" s="26">
        <f>SUM($R$15:$R$15)</f>
        <v>1.2628451825899896</v>
      </c>
      <c r="T15" s="26">
        <f>'TE BE'!$T$15*'TE BE'!$T$50</f>
        <v>0</v>
      </c>
      <c r="U15" s="26">
        <f>'TE BE'!$U$15*'TE BE'!$U$50</f>
        <v>0</v>
      </c>
      <c r="V15" s="26">
        <f>'TE BE'!$V$15*'TE BE'!$V$50</f>
        <v>0</v>
      </c>
      <c r="W15" s="26">
        <f>SUM($T$15:$V$15)</f>
        <v>0</v>
      </c>
      <c r="X15" s="26">
        <f>'TE BE'!$AB$15*'TE BE'!$X$50</f>
        <v>-11.725257552012819</v>
      </c>
      <c r="Y15" s="26">
        <f>SUM($X$15:$X$15)</f>
        <v>-11.725257552012819</v>
      </c>
      <c r="Z15" s="26">
        <f>'TE BE'!$Z$15*'TE BE'!$Z$50</f>
        <v>0</v>
      </c>
      <c r="AA15" s="26">
        <f>SUM($Z$15:$Z$15)</f>
        <v>0</v>
      </c>
      <c r="AB15" s="26">
        <f ca="1">SUMIF($L$4:$AA$4,"SUBTOTAL",$L$15:$AA$15)+AL15</f>
        <v>-35.133491215260634</v>
      </c>
      <c r="AC15" s="9" t="str">
        <f t="shared" si="0"/>
        <v>B1</v>
      </c>
      <c r="AD15" s="9" t="str">
        <f t="shared" si="1"/>
        <v>Energia convencional</v>
      </c>
      <c r="AE15" s="9" t="str">
        <f t="shared" si="2"/>
        <v>Residencial</v>
      </c>
      <c r="AF15" s="9" t="str">
        <f t="shared" si="3"/>
        <v>Residencial baixa renda – faixa 03</v>
      </c>
      <c r="AG15" s="9" t="str">
        <f t="shared" si="4"/>
        <v>Não se aplica</v>
      </c>
      <c r="AH15" s="9">
        <v>1</v>
      </c>
      <c r="AI15" s="9">
        <f ca="1">TarifaMedia!$G$28</f>
        <v>1</v>
      </c>
      <c r="AJ15" s="15">
        <f>'TE BE'!$AB15+'TE BF'!$AB15+'TE CVA'!$AB15</f>
        <v>287.16392669686104</v>
      </c>
      <c r="AK15" s="9">
        <v>262.52999999999997</v>
      </c>
      <c r="AL15" s="9">
        <f t="shared" ca="1" si="5"/>
        <v>-24.633926696861067</v>
      </c>
      <c r="AO15" s="87" t="s">
        <v>857</v>
      </c>
    </row>
    <row r="16" spans="1:41" ht="11.25" customHeight="1" x14ac:dyDescent="0.3">
      <c r="A16" s="151"/>
      <c r="B16" s="151"/>
      <c r="C16" s="151"/>
      <c r="D16" s="28" t="s">
        <v>31</v>
      </c>
      <c r="E16" s="28" t="s">
        <v>25</v>
      </c>
      <c r="F16" s="28" t="s">
        <v>25</v>
      </c>
      <c r="G16" s="29" t="s">
        <v>84</v>
      </c>
      <c r="H16" s="29" t="s">
        <v>78</v>
      </c>
      <c r="I16" s="29">
        <f>'MERCADO TE'!$U$13</f>
        <v>91.992999999999995</v>
      </c>
      <c r="J16" s="15"/>
      <c r="L16" s="26">
        <f>'TE BE'!$L$16*'TE BE'!$L$50</f>
        <v>1.3276072517686684E-6</v>
      </c>
      <c r="M16" s="26">
        <f>'TE BE'!$M$16*'TE BE'!$M$50</f>
        <v>0</v>
      </c>
      <c r="N16" s="26">
        <f>'TE BE'!$N$16*'TE BE'!$N$50</f>
        <v>0</v>
      </c>
      <c r="O16" s="26">
        <f>'TE BE'!$O$16*'TE BE'!$O$50</f>
        <v>-3.7153476583987141E-2</v>
      </c>
      <c r="P16" s="26">
        <f>'TE BE'!$P$16*'TE BE'!$P$50</f>
        <v>0</v>
      </c>
      <c r="Q16" s="26">
        <f>SUM($L$16:$P$16)</f>
        <v>-3.7152148976735369E-2</v>
      </c>
      <c r="R16" s="26">
        <f>'TE BE'!$R$16*'TE BE'!$R$50</f>
        <v>1.2628451825899896</v>
      </c>
      <c r="S16" s="26">
        <f>SUM($R$16:$R$16)</f>
        <v>1.2628451825899896</v>
      </c>
      <c r="T16" s="26">
        <f>'TE BE'!$T$16*'TE BE'!$T$50</f>
        <v>0</v>
      </c>
      <c r="U16" s="26">
        <f>'TE BE'!$U$16*'TE BE'!$U$50</f>
        <v>0</v>
      </c>
      <c r="V16" s="26">
        <f>'TE BE'!$V$16*'TE BE'!$V$50</f>
        <v>0</v>
      </c>
      <c r="W16" s="26">
        <f>SUM($T$16:$V$16)</f>
        <v>0</v>
      </c>
      <c r="X16" s="26">
        <f>'TE BE'!$AB$16*'TE BE'!$X$50</f>
        <v>-11.725257552012819</v>
      </c>
      <c r="Y16" s="26">
        <f>SUM($X$16:$X$16)</f>
        <v>-11.725257552012819</v>
      </c>
      <c r="Z16" s="26">
        <f>'TE BE'!$Z$16*'TE BE'!$Z$50</f>
        <v>0</v>
      </c>
      <c r="AA16" s="26">
        <f>SUM($Z$16:$Z$16)</f>
        <v>0</v>
      </c>
      <c r="AB16" s="26">
        <f ca="1">SUMIF($L$4:$AA$4,"SUBTOTAL",$L$16:$AA$16)+AL16</f>
        <v>-35.133491215260634</v>
      </c>
      <c r="AC16" s="9" t="str">
        <f t="shared" si="0"/>
        <v>B1</v>
      </c>
      <c r="AD16" s="9" t="str">
        <f t="shared" si="1"/>
        <v>Energia convencional</v>
      </c>
      <c r="AE16" s="9" t="str">
        <f t="shared" si="2"/>
        <v>Residencial</v>
      </c>
      <c r="AF16" s="9" t="str">
        <f t="shared" si="3"/>
        <v>Residencial baixa renda – faixa 04</v>
      </c>
      <c r="AG16" s="9" t="str">
        <f t="shared" si="4"/>
        <v>Não se aplica</v>
      </c>
      <c r="AH16" s="9">
        <v>1</v>
      </c>
      <c r="AI16" s="9">
        <f ca="1">TarifaMedia!$G$28</f>
        <v>1</v>
      </c>
      <c r="AJ16" s="15">
        <f>'TE BE'!$AB16+'TE BF'!$AB16+'TE CVA'!$AB16</f>
        <v>287.16392669686104</v>
      </c>
      <c r="AK16" s="9">
        <v>262.52999999999997</v>
      </c>
      <c r="AL16" s="9">
        <f t="shared" ca="1" si="5"/>
        <v>-24.633926696861067</v>
      </c>
      <c r="AO16" s="87" t="s">
        <v>857</v>
      </c>
    </row>
    <row r="17" spans="1:41" ht="11.25" customHeight="1" x14ac:dyDescent="0.3">
      <c r="A17" s="151"/>
      <c r="B17" s="151" t="s">
        <v>91</v>
      </c>
      <c r="C17" s="151" t="s">
        <v>24</v>
      </c>
      <c r="D17" s="28" t="s">
        <v>24</v>
      </c>
      <c r="E17" s="28" t="s">
        <v>25</v>
      </c>
      <c r="F17" s="28" t="s">
        <v>25</v>
      </c>
      <c r="G17" s="29" t="s">
        <v>84</v>
      </c>
      <c r="H17" s="29" t="s">
        <v>78</v>
      </c>
      <c r="I17" s="29">
        <f>'MERCADO TE'!$U$14</f>
        <v>0</v>
      </c>
      <c r="J17" s="15"/>
      <c r="L17" s="26">
        <f>'TE BE'!$L$17*'TE BE'!$L$50</f>
        <v>1.3276072517686684E-6</v>
      </c>
      <c r="M17" s="26">
        <f>'TE BE'!$M$17*'TE BE'!$M$50</f>
        <v>0</v>
      </c>
      <c r="N17" s="26">
        <f>'TE BE'!$N$17*'TE BE'!$N$50</f>
        <v>0</v>
      </c>
      <c r="O17" s="26">
        <f>'TE BE'!$O$17*'TE BE'!$O$50</f>
        <v>-3.7153476583987141E-2</v>
      </c>
      <c r="P17" s="26">
        <f>'TE BE'!$P$17*'TE BE'!$P$50</f>
        <v>0</v>
      </c>
      <c r="Q17" s="26">
        <f>SUM($L$17:$P$17)</f>
        <v>-3.7152148976735369E-2</v>
      </c>
      <c r="R17" s="26">
        <f>'TE BE'!$R$17*'TE BE'!$R$50</f>
        <v>1.2628451825899896</v>
      </c>
      <c r="S17" s="26">
        <f>SUM($R$17:$R$17)</f>
        <v>1.2628451825899896</v>
      </c>
      <c r="T17" s="26">
        <f>'TE BE'!$T$17*'TE BE'!$T$50</f>
        <v>0</v>
      </c>
      <c r="U17" s="26">
        <f>'TE BE'!$U$17*'TE BE'!$U$50</f>
        <v>0</v>
      </c>
      <c r="V17" s="26">
        <f>'TE BE'!$V$17*'TE BE'!$V$50</f>
        <v>0</v>
      </c>
      <c r="W17" s="26">
        <f>SUM($T$17:$V$17)</f>
        <v>0</v>
      </c>
      <c r="X17" s="26">
        <f>'TE BE'!$AB$17*'TE BE'!$X$50</f>
        <v>-11.725257552012819</v>
      </c>
      <c r="Y17" s="26">
        <f>SUM($X$17:$X$17)</f>
        <v>-11.725257552012819</v>
      </c>
      <c r="Z17" s="26">
        <f>'TE BE'!$Z$17*'TE BE'!$Z$50</f>
        <v>0</v>
      </c>
      <c r="AA17" s="26">
        <f>SUM($Z$17:$Z$17)</f>
        <v>0</v>
      </c>
      <c r="AB17" s="26">
        <f ca="1">SUMIF($L$4:$AA$4,"SUBTOTAL",$L$17:$AA$17)+AL17</f>
        <v>-35.133491215260634</v>
      </c>
      <c r="AC17" s="9" t="str">
        <f t="shared" si="0"/>
        <v>B1</v>
      </c>
      <c r="AD17" s="9" t="str">
        <f t="shared" si="1"/>
        <v>Energia convencional pré-pagamento</v>
      </c>
      <c r="AE17" s="9" t="str">
        <f t="shared" si="2"/>
        <v>Residencial</v>
      </c>
      <c r="AF17" s="9" t="str">
        <f t="shared" si="3"/>
        <v>Residencial</v>
      </c>
      <c r="AG17" s="9" t="str">
        <f t="shared" si="4"/>
        <v>Não se aplica</v>
      </c>
      <c r="AH17" s="9">
        <v>1</v>
      </c>
      <c r="AI17" s="9">
        <f ca="1">TarifaMedia!$G$28</f>
        <v>1</v>
      </c>
      <c r="AJ17" s="15">
        <f>'TE BE'!$AB17+'TE BF'!$AB17+'TE CVA'!$AB17</f>
        <v>287.16392669686104</v>
      </c>
      <c r="AK17" s="9">
        <v>262.52999999999997</v>
      </c>
      <c r="AL17" s="9">
        <f t="shared" ca="1" si="5"/>
        <v>-24.633926696861067</v>
      </c>
      <c r="AO17" s="87" t="s">
        <v>858</v>
      </c>
    </row>
    <row r="18" spans="1:41" ht="11.25" customHeight="1" x14ac:dyDescent="0.3">
      <c r="A18" s="151"/>
      <c r="B18" s="151"/>
      <c r="C18" s="151"/>
      <c r="D18" s="28" t="s">
        <v>28</v>
      </c>
      <c r="E18" s="28" t="s">
        <v>25</v>
      </c>
      <c r="F18" s="28" t="s">
        <v>25</v>
      </c>
      <c r="G18" s="29" t="s">
        <v>84</v>
      </c>
      <c r="H18" s="29" t="s">
        <v>78</v>
      </c>
      <c r="I18" s="29">
        <f>'MERCADO TE'!$U$15</f>
        <v>0</v>
      </c>
      <c r="J18" s="15"/>
      <c r="L18" s="26">
        <f>'TE BE'!$L$18*'TE BE'!$L$50</f>
        <v>1.3276072517686684E-6</v>
      </c>
      <c r="M18" s="26">
        <f>'TE BE'!$M$18*'TE BE'!$M$50</f>
        <v>0</v>
      </c>
      <c r="N18" s="26">
        <f>'TE BE'!$N$18*'TE BE'!$N$50</f>
        <v>0</v>
      </c>
      <c r="O18" s="26">
        <f>'TE BE'!$O$18*'TE BE'!$O$50</f>
        <v>-3.7153476583987141E-2</v>
      </c>
      <c r="P18" s="26">
        <f>'TE BE'!$P$18*'TE BE'!$P$50</f>
        <v>0</v>
      </c>
      <c r="Q18" s="26">
        <f>SUM($L$18:$P$18)</f>
        <v>-3.7152148976735369E-2</v>
      </c>
      <c r="R18" s="26">
        <f>'TE BE'!$R$18*'TE BE'!$R$50</f>
        <v>1.2628451825899896</v>
      </c>
      <c r="S18" s="26">
        <f>SUM($R$18:$R$18)</f>
        <v>1.2628451825899896</v>
      </c>
      <c r="T18" s="26">
        <f>'TE BE'!$T$18*'TE BE'!$T$50</f>
        <v>0</v>
      </c>
      <c r="U18" s="26">
        <f>'TE BE'!$U$18*'TE BE'!$U$50</f>
        <v>0</v>
      </c>
      <c r="V18" s="26">
        <f>'TE BE'!$V$18*'TE BE'!$V$50</f>
        <v>0</v>
      </c>
      <c r="W18" s="26">
        <f>SUM($T$18:$V$18)</f>
        <v>0</v>
      </c>
      <c r="X18" s="26">
        <f>'TE BE'!$AB$18*'TE BE'!$X$50</f>
        <v>-11.725257552012819</v>
      </c>
      <c r="Y18" s="26">
        <f>SUM($X$18:$X$18)</f>
        <v>-11.725257552012819</v>
      </c>
      <c r="Z18" s="26">
        <f>'TE BE'!$Z$18*'TE BE'!$Z$50</f>
        <v>0</v>
      </c>
      <c r="AA18" s="26">
        <f>SUM($Z$18:$Z$18)</f>
        <v>0</v>
      </c>
      <c r="AB18" s="26">
        <f ca="1">SUMIF($L$4:$AA$4,"SUBTOTAL",$L$18:$AA$18)+AL18</f>
        <v>-35.133491215260634</v>
      </c>
      <c r="AC18" s="9" t="str">
        <f t="shared" si="0"/>
        <v>B1</v>
      </c>
      <c r="AD18" s="9" t="str">
        <f t="shared" si="1"/>
        <v>Energia convencional pré-pagamento</v>
      </c>
      <c r="AE18" s="9" t="str">
        <f t="shared" si="2"/>
        <v>Residencial</v>
      </c>
      <c r="AF18" s="9" t="str">
        <f t="shared" si="3"/>
        <v>Residencial baixa renda – faixa 01</v>
      </c>
      <c r="AG18" s="9" t="str">
        <f t="shared" si="4"/>
        <v>Não se aplica</v>
      </c>
      <c r="AH18" s="9">
        <v>1</v>
      </c>
      <c r="AI18" s="9">
        <f ca="1">TarifaMedia!$G$28</f>
        <v>1</v>
      </c>
      <c r="AJ18" s="15">
        <f>'TE BE'!$AB18+'TE BF'!$AB18+'TE CVA'!$AB18</f>
        <v>287.16392669686104</v>
      </c>
      <c r="AK18" s="9">
        <v>262.52999999999997</v>
      </c>
      <c r="AL18" s="9">
        <f t="shared" ca="1" si="5"/>
        <v>-24.633926696861067</v>
      </c>
      <c r="AO18" s="87" t="s">
        <v>859</v>
      </c>
    </row>
    <row r="19" spans="1:41" ht="11.25" customHeight="1" x14ac:dyDescent="0.3">
      <c r="A19" s="151"/>
      <c r="B19" s="151"/>
      <c r="C19" s="151"/>
      <c r="D19" s="28" t="s">
        <v>29</v>
      </c>
      <c r="E19" s="28" t="s">
        <v>25</v>
      </c>
      <c r="F19" s="28" t="s">
        <v>25</v>
      </c>
      <c r="G19" s="29" t="s">
        <v>84</v>
      </c>
      <c r="H19" s="29" t="s">
        <v>78</v>
      </c>
      <c r="I19" s="29">
        <f>'MERCADO TE'!$U$16</f>
        <v>0</v>
      </c>
      <c r="J19" s="15"/>
      <c r="L19" s="26">
        <f>'TE BE'!$L$19*'TE BE'!$L$50</f>
        <v>1.3276072517686684E-6</v>
      </c>
      <c r="M19" s="26">
        <f>'TE BE'!$M$19*'TE BE'!$M$50</f>
        <v>0</v>
      </c>
      <c r="N19" s="26">
        <f>'TE BE'!$N$19*'TE BE'!$N$50</f>
        <v>0</v>
      </c>
      <c r="O19" s="26">
        <f>'TE BE'!$O$19*'TE BE'!$O$50</f>
        <v>-3.7153476583987141E-2</v>
      </c>
      <c r="P19" s="26">
        <f>'TE BE'!$P$19*'TE BE'!$P$50</f>
        <v>0</v>
      </c>
      <c r="Q19" s="26">
        <f>SUM($L$19:$P$19)</f>
        <v>-3.7152148976735369E-2</v>
      </c>
      <c r="R19" s="26">
        <f>'TE BE'!$R$19*'TE BE'!$R$50</f>
        <v>1.2628451825899896</v>
      </c>
      <c r="S19" s="26">
        <f>SUM($R$19:$R$19)</f>
        <v>1.2628451825899896</v>
      </c>
      <c r="T19" s="26">
        <f>'TE BE'!$T$19*'TE BE'!$T$50</f>
        <v>0</v>
      </c>
      <c r="U19" s="26">
        <f>'TE BE'!$U$19*'TE BE'!$U$50</f>
        <v>0</v>
      </c>
      <c r="V19" s="26">
        <f>'TE BE'!$V$19*'TE BE'!$V$50</f>
        <v>0</v>
      </c>
      <c r="W19" s="26">
        <f>SUM($T$19:$V$19)</f>
        <v>0</v>
      </c>
      <c r="X19" s="26">
        <f>'TE BE'!$AB$19*'TE BE'!$X$50</f>
        <v>-11.725257552012819</v>
      </c>
      <c r="Y19" s="26">
        <f>SUM($X$19:$X$19)</f>
        <v>-11.725257552012819</v>
      </c>
      <c r="Z19" s="26">
        <f>'TE BE'!$Z$19*'TE BE'!$Z$50</f>
        <v>0</v>
      </c>
      <c r="AA19" s="26">
        <f>SUM($Z$19:$Z$19)</f>
        <v>0</v>
      </c>
      <c r="AB19" s="26">
        <f ca="1">SUMIF($L$4:$AA$4,"SUBTOTAL",$L$19:$AA$19)+AL19</f>
        <v>-35.133491215260634</v>
      </c>
      <c r="AC19" s="9" t="str">
        <f t="shared" si="0"/>
        <v>B1</v>
      </c>
      <c r="AD19" s="9" t="str">
        <f t="shared" si="1"/>
        <v>Energia convencional pré-pagamento</v>
      </c>
      <c r="AE19" s="9" t="str">
        <f t="shared" si="2"/>
        <v>Residencial</v>
      </c>
      <c r="AF19" s="9" t="str">
        <f t="shared" si="3"/>
        <v>Residencial baixa renda – faixa 02</v>
      </c>
      <c r="AG19" s="9" t="str">
        <f t="shared" si="4"/>
        <v>Não se aplica</v>
      </c>
      <c r="AH19" s="9">
        <v>1</v>
      </c>
      <c r="AI19" s="9">
        <f ca="1">TarifaMedia!$G$28</f>
        <v>1</v>
      </c>
      <c r="AJ19" s="15">
        <f>'TE BE'!$AB19+'TE BF'!$AB19+'TE CVA'!$AB19</f>
        <v>287.16392669686104</v>
      </c>
      <c r="AK19" s="9">
        <v>262.52999999999997</v>
      </c>
      <c r="AL19" s="9">
        <f t="shared" ca="1" si="5"/>
        <v>-24.633926696861067</v>
      </c>
      <c r="AO19" s="87" t="s">
        <v>859</v>
      </c>
    </row>
    <row r="20" spans="1:41" ht="11.25" customHeight="1" x14ac:dyDescent="0.3">
      <c r="A20" s="151"/>
      <c r="B20" s="151"/>
      <c r="C20" s="151"/>
      <c r="D20" s="28" t="s">
        <v>30</v>
      </c>
      <c r="E20" s="28" t="s">
        <v>25</v>
      </c>
      <c r="F20" s="28" t="s">
        <v>25</v>
      </c>
      <c r="G20" s="29" t="s">
        <v>84</v>
      </c>
      <c r="H20" s="29" t="s">
        <v>78</v>
      </c>
      <c r="I20" s="29">
        <f>'MERCADO TE'!$U$17</f>
        <v>0</v>
      </c>
      <c r="J20" s="15"/>
      <c r="L20" s="26">
        <f>'TE BE'!$L$20*'TE BE'!$L$50</f>
        <v>1.3276072517686684E-6</v>
      </c>
      <c r="M20" s="26">
        <f>'TE BE'!$M$20*'TE BE'!$M$50</f>
        <v>0</v>
      </c>
      <c r="N20" s="26">
        <f>'TE BE'!$N$20*'TE BE'!$N$50</f>
        <v>0</v>
      </c>
      <c r="O20" s="26">
        <f>'TE BE'!$O$20*'TE BE'!$O$50</f>
        <v>-3.7153476583987141E-2</v>
      </c>
      <c r="P20" s="26">
        <f>'TE BE'!$P$20*'TE BE'!$P$50</f>
        <v>0</v>
      </c>
      <c r="Q20" s="26">
        <f>SUM($L$20:$P$20)</f>
        <v>-3.7152148976735369E-2</v>
      </c>
      <c r="R20" s="26">
        <f>'TE BE'!$R$20*'TE BE'!$R$50</f>
        <v>1.2628451825899896</v>
      </c>
      <c r="S20" s="26">
        <f>SUM($R$20:$R$20)</f>
        <v>1.2628451825899896</v>
      </c>
      <c r="T20" s="26">
        <f>'TE BE'!$T$20*'TE BE'!$T$50</f>
        <v>0</v>
      </c>
      <c r="U20" s="26">
        <f>'TE BE'!$U$20*'TE BE'!$U$50</f>
        <v>0</v>
      </c>
      <c r="V20" s="26">
        <f>'TE BE'!$V$20*'TE BE'!$V$50</f>
        <v>0</v>
      </c>
      <c r="W20" s="26">
        <f>SUM($T$20:$V$20)</f>
        <v>0</v>
      </c>
      <c r="X20" s="26">
        <f>'TE BE'!$AB$20*'TE BE'!$X$50</f>
        <v>-11.725257552012819</v>
      </c>
      <c r="Y20" s="26">
        <f>SUM($X$20:$X$20)</f>
        <v>-11.725257552012819</v>
      </c>
      <c r="Z20" s="26">
        <f>'TE BE'!$Z$20*'TE BE'!$Z$50</f>
        <v>0</v>
      </c>
      <c r="AA20" s="26">
        <f>SUM($Z$20:$Z$20)</f>
        <v>0</v>
      </c>
      <c r="AB20" s="26">
        <f ca="1">SUMIF($L$4:$AA$4,"SUBTOTAL",$L$20:$AA$20)+AL20</f>
        <v>-35.133491215260634</v>
      </c>
      <c r="AC20" s="9" t="str">
        <f t="shared" si="0"/>
        <v>B1</v>
      </c>
      <c r="AD20" s="9" t="str">
        <f t="shared" si="1"/>
        <v>Energia convencional pré-pagamento</v>
      </c>
      <c r="AE20" s="9" t="str">
        <f t="shared" si="2"/>
        <v>Residencial</v>
      </c>
      <c r="AF20" s="9" t="str">
        <f t="shared" si="3"/>
        <v>Residencial baixa renda – faixa 03</v>
      </c>
      <c r="AG20" s="9" t="str">
        <f t="shared" si="4"/>
        <v>Não se aplica</v>
      </c>
      <c r="AH20" s="9">
        <v>1</v>
      </c>
      <c r="AI20" s="9">
        <f ca="1">TarifaMedia!$G$28</f>
        <v>1</v>
      </c>
      <c r="AJ20" s="15">
        <f>'TE BE'!$AB20+'TE BF'!$AB20+'TE CVA'!$AB20</f>
        <v>287.16392669686104</v>
      </c>
      <c r="AK20" s="9">
        <v>262.52999999999997</v>
      </c>
      <c r="AL20" s="9">
        <f t="shared" ca="1" si="5"/>
        <v>-24.633926696861067</v>
      </c>
      <c r="AO20" s="87" t="s">
        <v>859</v>
      </c>
    </row>
    <row r="21" spans="1:41" ht="11.25" customHeight="1" x14ac:dyDescent="0.3">
      <c r="A21" s="151"/>
      <c r="B21" s="151"/>
      <c r="C21" s="151"/>
      <c r="D21" s="28" t="s">
        <v>31</v>
      </c>
      <c r="E21" s="28" t="s">
        <v>25</v>
      </c>
      <c r="F21" s="28" t="s">
        <v>25</v>
      </c>
      <c r="G21" s="29" t="s">
        <v>84</v>
      </c>
      <c r="H21" s="29" t="s">
        <v>78</v>
      </c>
      <c r="I21" s="29">
        <f>'MERCADO TE'!$U$18</f>
        <v>0</v>
      </c>
      <c r="J21" s="15"/>
      <c r="L21" s="26">
        <f>'TE BE'!$L$21*'TE BE'!$L$50</f>
        <v>1.3276072517686684E-6</v>
      </c>
      <c r="M21" s="26">
        <f>'TE BE'!$M$21*'TE BE'!$M$50</f>
        <v>0</v>
      </c>
      <c r="N21" s="26">
        <f>'TE BE'!$N$21*'TE BE'!$N$50</f>
        <v>0</v>
      </c>
      <c r="O21" s="26">
        <f>'TE BE'!$O$21*'TE BE'!$O$50</f>
        <v>-3.7153476583987141E-2</v>
      </c>
      <c r="P21" s="26">
        <f>'TE BE'!$P$21*'TE BE'!$P$50</f>
        <v>0</v>
      </c>
      <c r="Q21" s="26">
        <f>SUM($L$21:$P$21)</f>
        <v>-3.7152148976735369E-2</v>
      </c>
      <c r="R21" s="26">
        <f>'TE BE'!$R$21*'TE BE'!$R$50</f>
        <v>1.2628451825899896</v>
      </c>
      <c r="S21" s="26">
        <f>SUM($R$21:$R$21)</f>
        <v>1.2628451825899896</v>
      </c>
      <c r="T21" s="26">
        <f>'TE BE'!$T$21*'TE BE'!$T$50</f>
        <v>0</v>
      </c>
      <c r="U21" s="26">
        <f>'TE BE'!$U$21*'TE BE'!$U$50</f>
        <v>0</v>
      </c>
      <c r="V21" s="26">
        <f>'TE BE'!$V$21*'TE BE'!$V$50</f>
        <v>0</v>
      </c>
      <c r="W21" s="26">
        <f>SUM($T$21:$V$21)</f>
        <v>0</v>
      </c>
      <c r="X21" s="26">
        <f>'TE BE'!$AB$21*'TE BE'!$X$50</f>
        <v>-11.725257552012819</v>
      </c>
      <c r="Y21" s="26">
        <f>SUM($X$21:$X$21)</f>
        <v>-11.725257552012819</v>
      </c>
      <c r="Z21" s="26">
        <f>'TE BE'!$Z$21*'TE BE'!$Z$50</f>
        <v>0</v>
      </c>
      <c r="AA21" s="26">
        <f>SUM($Z$21:$Z$21)</f>
        <v>0</v>
      </c>
      <c r="AB21" s="26">
        <f ca="1">SUMIF($L$4:$AA$4,"SUBTOTAL",$L$21:$AA$21)+AL21</f>
        <v>-35.133491215260634</v>
      </c>
      <c r="AC21" s="9" t="str">
        <f t="shared" si="0"/>
        <v>B1</v>
      </c>
      <c r="AD21" s="9" t="str">
        <f t="shared" si="1"/>
        <v>Energia convencional pré-pagamento</v>
      </c>
      <c r="AE21" s="9" t="str">
        <f t="shared" si="2"/>
        <v>Residencial</v>
      </c>
      <c r="AF21" s="9" t="str">
        <f t="shared" si="3"/>
        <v>Residencial baixa renda – faixa 04</v>
      </c>
      <c r="AG21" s="9" t="str">
        <f t="shared" si="4"/>
        <v>Não se aplica</v>
      </c>
      <c r="AH21" s="9">
        <v>1</v>
      </c>
      <c r="AI21" s="9">
        <f ca="1">TarifaMedia!$G$28</f>
        <v>1</v>
      </c>
      <c r="AJ21" s="15">
        <f>'TE BE'!$AB21+'TE BF'!$AB21+'TE CVA'!$AB21</f>
        <v>287.16392669686104</v>
      </c>
      <c r="AK21" s="9">
        <v>262.52999999999997</v>
      </c>
      <c r="AL21" s="9">
        <f t="shared" ca="1" si="5"/>
        <v>-24.633926696861067</v>
      </c>
      <c r="AO21" s="87" t="s">
        <v>859</v>
      </c>
    </row>
    <row r="22" spans="1:41" ht="11.25" customHeight="1" x14ac:dyDescent="0.3">
      <c r="A22" s="151" t="s">
        <v>41</v>
      </c>
      <c r="B22" s="151" t="s">
        <v>77</v>
      </c>
      <c r="C22" s="151" t="s">
        <v>42</v>
      </c>
      <c r="D22" s="151" t="s">
        <v>25</v>
      </c>
      <c r="E22" s="151" t="s">
        <v>25</v>
      </c>
      <c r="F22" s="151" t="s">
        <v>25</v>
      </c>
      <c r="G22" s="29" t="s">
        <v>79</v>
      </c>
      <c r="H22" s="29" t="s">
        <v>78</v>
      </c>
      <c r="I22" s="29">
        <f>'MERCADO TE'!$U$19</f>
        <v>0</v>
      </c>
      <c r="J22" s="15"/>
      <c r="L22" s="26">
        <f>'TE BE'!$L$22*'TE BE'!$L$50</f>
        <v>1.3276072517686684E-6</v>
      </c>
      <c r="M22" s="26">
        <f>'TE BE'!$M$22*'TE BE'!$M$50</f>
        <v>0</v>
      </c>
      <c r="N22" s="26">
        <f>'TE BE'!$N$22*'TE BE'!$N$50</f>
        <v>0</v>
      </c>
      <c r="O22" s="26">
        <f>'TE BE'!$O$22*'TE BE'!$O$50</f>
        <v>-3.7153476583987141E-2</v>
      </c>
      <c r="P22" s="26">
        <f>'TE BE'!$P$22*'TE BE'!$P$50</f>
        <v>0</v>
      </c>
      <c r="Q22" s="26">
        <f>SUM($L$22:$P$22)</f>
        <v>-3.7152148976735369E-2</v>
      </c>
      <c r="R22" s="26">
        <f>'TE BE'!$R$22*'TE BE'!$R$50</f>
        <v>2.0491450132592277</v>
      </c>
      <c r="S22" s="26">
        <f>SUM($R$22:$R$22)</f>
        <v>2.0491450132592277</v>
      </c>
      <c r="T22" s="26">
        <f>'TE BE'!$T$22*'TE BE'!$T$50</f>
        <v>0</v>
      </c>
      <c r="U22" s="26">
        <f>'TE BE'!$U$22*'TE BE'!$U$50</f>
        <v>0</v>
      </c>
      <c r="V22" s="26">
        <f>'TE BE'!$V$22*'TE BE'!$V$50</f>
        <v>0</v>
      </c>
      <c r="W22" s="26">
        <f>SUM($T$22:$V$22)</f>
        <v>0</v>
      </c>
      <c r="X22" s="26">
        <f>'TE BE'!$AB$22*'TE BE'!$X$50</f>
        <v>-18.835009395888743</v>
      </c>
      <c r="Y22" s="26">
        <f>SUM($X$22:$X$22)</f>
        <v>-18.835009395888743</v>
      </c>
      <c r="Z22" s="26">
        <f>'TE BE'!$Z$22*'TE BE'!$Z$50</f>
        <v>0</v>
      </c>
      <c r="AA22" s="26">
        <f>SUM($Z$22:$Z$22)</f>
        <v>0</v>
      </c>
      <c r="AB22" s="26">
        <f ca="1">SUMIF($L$4:$AA$4,"SUBTOTAL",$L$22:$AA$22)+AL22</f>
        <v>-78.043303228062996</v>
      </c>
      <c r="AC22" s="9" t="str">
        <f t="shared" si="0"/>
        <v>B2</v>
      </c>
      <c r="AD22" s="9" t="str">
        <f t="shared" si="1"/>
        <v>Energia horária</v>
      </c>
      <c r="AE22" s="9" t="str">
        <f t="shared" si="2"/>
        <v>Rural</v>
      </c>
      <c r="AF22" s="9" t="str">
        <f t="shared" si="3"/>
        <v>Não se aplica</v>
      </c>
      <c r="AG22" s="9" t="str">
        <f t="shared" si="4"/>
        <v>Não se aplica</v>
      </c>
      <c r="AH22" s="9">
        <v>1</v>
      </c>
      <c r="AI22" s="9">
        <f ca="1">TarifaMedia!$G$28</f>
        <v>1</v>
      </c>
      <c r="AJ22" s="15">
        <f>'TE BE'!$AB22+'TE BF'!$AB22+'TE CVA'!$AB22</f>
        <v>461.06028669645673</v>
      </c>
      <c r="AK22" s="9">
        <f>ROUND(375.85/(1-CUSTOS!$M$38),2)</f>
        <v>399.84</v>
      </c>
      <c r="AL22" s="9">
        <f t="shared" ca="1" si="5"/>
        <v>-61.220286696456753</v>
      </c>
      <c r="AO22" s="87" t="s">
        <v>860</v>
      </c>
    </row>
    <row r="23" spans="1:41" ht="11.25" customHeight="1" x14ac:dyDescent="0.3">
      <c r="A23" s="151"/>
      <c r="B23" s="151"/>
      <c r="C23" s="151"/>
      <c r="D23" s="151"/>
      <c r="E23" s="151"/>
      <c r="F23" s="151"/>
      <c r="G23" s="29" t="s">
        <v>89</v>
      </c>
      <c r="H23" s="29" t="s">
        <v>78</v>
      </c>
      <c r="I23" s="29">
        <f>'MERCADO TE'!$U$20</f>
        <v>0</v>
      </c>
      <c r="J23" s="15"/>
      <c r="L23" s="26">
        <f>'TE BE'!$L$23*'TE BE'!$L$50</f>
        <v>1.3276072517686684E-6</v>
      </c>
      <c r="M23" s="26">
        <f>'TE BE'!$M$23*'TE BE'!$M$50</f>
        <v>0</v>
      </c>
      <c r="N23" s="26">
        <f>'TE BE'!$N$23*'TE BE'!$N$50</f>
        <v>0</v>
      </c>
      <c r="O23" s="26">
        <f>'TE BE'!$O$23*'TE BE'!$O$50</f>
        <v>-3.7153476583987141E-2</v>
      </c>
      <c r="P23" s="26">
        <f>'TE BE'!$P$23*'TE BE'!$P$50</f>
        <v>0</v>
      </c>
      <c r="Q23" s="26">
        <f>SUM($L$23:$P$23)</f>
        <v>-3.7152148976735369E-2</v>
      </c>
      <c r="R23" s="26">
        <f>'TE BE'!$R$23*'TE BE'!$R$50</f>
        <v>1.1913633798018768</v>
      </c>
      <c r="S23" s="26">
        <f>SUM($R$23:$R$23)</f>
        <v>1.1913633798018768</v>
      </c>
      <c r="T23" s="26">
        <f>'TE BE'!$T$23*'TE BE'!$T$50</f>
        <v>0</v>
      </c>
      <c r="U23" s="26">
        <f>'TE BE'!$U$23*'TE BE'!$U$50</f>
        <v>0</v>
      </c>
      <c r="V23" s="26">
        <f>'TE BE'!$V$23*'TE BE'!$V$50</f>
        <v>0</v>
      </c>
      <c r="W23" s="26">
        <f>SUM($T$23:$V$23)</f>
        <v>0</v>
      </c>
      <c r="X23" s="26">
        <f>'TE BE'!$AB$23*'TE BE'!$X$50</f>
        <v>-11.078916475296824</v>
      </c>
      <c r="Y23" s="26">
        <f>SUM($X$23:$X$23)</f>
        <v>-11.078916475296824</v>
      </c>
      <c r="Z23" s="26">
        <f>'TE BE'!$Z$23*'TE BE'!$Z$50</f>
        <v>0</v>
      </c>
      <c r="AA23" s="26">
        <f>SUM($Z$23:$Z$23)</f>
        <v>0</v>
      </c>
      <c r="AB23" s="26">
        <f ca="1">SUMIF($L$4:$AA$4,"SUBTOTAL",$L$23:$AA$23)+AL23</f>
        <v>-31.239871941369444</v>
      </c>
      <c r="AC23" s="9" t="str">
        <f t="shared" si="0"/>
        <v>B2</v>
      </c>
      <c r="AD23" s="9" t="str">
        <f t="shared" si="1"/>
        <v>Energia horária</v>
      </c>
      <c r="AE23" s="9" t="str">
        <f t="shared" si="2"/>
        <v>Rural</v>
      </c>
      <c r="AF23" s="9" t="str">
        <f t="shared" si="3"/>
        <v>Não se aplica</v>
      </c>
      <c r="AG23" s="9" t="str">
        <f t="shared" si="4"/>
        <v>Não se aplica</v>
      </c>
      <c r="AH23" s="9">
        <v>1</v>
      </c>
      <c r="AI23" s="9">
        <f ca="1">TarifaMedia!$G$28</f>
        <v>1</v>
      </c>
      <c r="AJ23" s="15">
        <f>'TE BE'!$AB23+'TE BF'!$AB23+'TE CVA'!$AB23</f>
        <v>271.35516669689775</v>
      </c>
      <c r="AK23" s="9">
        <f>ROUND(235.04/(1-CUSTOS!$M$38),2)</f>
        <v>250.04</v>
      </c>
      <c r="AL23" s="9">
        <f t="shared" ca="1" si="5"/>
        <v>-21.315166696897762</v>
      </c>
      <c r="AO23" s="87" t="s">
        <v>861</v>
      </c>
    </row>
    <row r="24" spans="1:41" ht="11.25" customHeight="1" x14ac:dyDescent="0.3">
      <c r="A24" s="151"/>
      <c r="B24" s="151"/>
      <c r="C24" s="151"/>
      <c r="D24" s="151"/>
      <c r="E24" s="151"/>
      <c r="F24" s="151"/>
      <c r="G24" s="29" t="s">
        <v>80</v>
      </c>
      <c r="H24" s="29" t="s">
        <v>78</v>
      </c>
      <c r="I24" s="29">
        <f>'MERCADO TE'!$U$21</f>
        <v>0</v>
      </c>
      <c r="J24" s="15"/>
      <c r="L24" s="26">
        <f>'TE BE'!$L$24*'TE BE'!$L$50</f>
        <v>1.3276072517686684E-6</v>
      </c>
      <c r="M24" s="26">
        <f>'TE BE'!$M$24*'TE BE'!$M$50</f>
        <v>0</v>
      </c>
      <c r="N24" s="26">
        <f>'TE BE'!$N$24*'TE BE'!$N$50</f>
        <v>0</v>
      </c>
      <c r="O24" s="26">
        <f>'TE BE'!$O$24*'TE BE'!$O$50</f>
        <v>-3.7153476583987141E-2</v>
      </c>
      <c r="P24" s="26">
        <f>'TE BE'!$P$24*'TE BE'!$P$50</f>
        <v>0</v>
      </c>
      <c r="Q24" s="26">
        <f>SUM($L$24:$P$24)</f>
        <v>-3.7152148976735369E-2</v>
      </c>
      <c r="R24" s="26">
        <f>'TE BE'!$R$24*'TE BE'!$R$50</f>
        <v>1.1913633798018768</v>
      </c>
      <c r="S24" s="26">
        <f>SUM($R$24:$R$24)</f>
        <v>1.1913633798018768</v>
      </c>
      <c r="T24" s="26">
        <f>'TE BE'!$T$24*'TE BE'!$T$50</f>
        <v>0</v>
      </c>
      <c r="U24" s="26">
        <f>'TE BE'!$U$24*'TE BE'!$U$50</f>
        <v>0</v>
      </c>
      <c r="V24" s="26">
        <f>'TE BE'!$V$24*'TE BE'!$V$50</f>
        <v>0</v>
      </c>
      <c r="W24" s="26">
        <f>SUM($T$24:$V$24)</f>
        <v>0</v>
      </c>
      <c r="X24" s="26">
        <f>'TE BE'!$AB$24*'TE BE'!$X$50</f>
        <v>-11.078916475296824</v>
      </c>
      <c r="Y24" s="26">
        <f>SUM($X$24:$X$24)</f>
        <v>-11.078916475296824</v>
      </c>
      <c r="Z24" s="26">
        <f>'TE BE'!$Z$24*'TE BE'!$Z$50</f>
        <v>0</v>
      </c>
      <c r="AA24" s="26">
        <f>SUM($Z$24:$Z$24)</f>
        <v>0</v>
      </c>
      <c r="AB24" s="26">
        <f ca="1">SUMIF($L$4:$AA$4,"SUBTOTAL",$L$24:$AA$24)+AL24</f>
        <v>-31.239871941369444</v>
      </c>
      <c r="AC24" s="9" t="str">
        <f t="shared" si="0"/>
        <v>B2</v>
      </c>
      <c r="AD24" s="9" t="str">
        <f t="shared" si="1"/>
        <v>Energia horária</v>
      </c>
      <c r="AE24" s="9" t="str">
        <f t="shared" si="2"/>
        <v>Rural</v>
      </c>
      <c r="AF24" s="9" t="str">
        <f t="shared" si="3"/>
        <v>Não se aplica</v>
      </c>
      <c r="AG24" s="9" t="str">
        <f t="shared" si="4"/>
        <v>Não se aplica</v>
      </c>
      <c r="AH24" s="9">
        <v>1</v>
      </c>
      <c r="AI24" s="9">
        <f ca="1">TarifaMedia!$G$28</f>
        <v>1</v>
      </c>
      <c r="AJ24" s="15">
        <f>'TE BE'!$AB24+'TE BF'!$AB24+'TE CVA'!$AB24</f>
        <v>271.35516669689775</v>
      </c>
      <c r="AK24" s="9">
        <f>ROUND(235.04/(1-CUSTOS!$M$38),2)</f>
        <v>250.04</v>
      </c>
      <c r="AL24" s="9">
        <f t="shared" ca="1" si="5"/>
        <v>-21.315166696897762</v>
      </c>
      <c r="AO24" s="87" t="s">
        <v>862</v>
      </c>
    </row>
    <row r="25" spans="1:41" ht="11.25" customHeight="1" x14ac:dyDescent="0.3">
      <c r="A25" s="151"/>
      <c r="B25" s="28" t="s">
        <v>90</v>
      </c>
      <c r="C25" s="28" t="s">
        <v>42</v>
      </c>
      <c r="D25" s="28" t="s">
        <v>25</v>
      </c>
      <c r="E25" s="28" t="s">
        <v>25</v>
      </c>
      <c r="F25" s="28" t="s">
        <v>25</v>
      </c>
      <c r="G25" s="29" t="s">
        <v>84</v>
      </c>
      <c r="H25" s="29" t="s">
        <v>78</v>
      </c>
      <c r="I25" s="29">
        <f>'MERCADO TE'!$U$22</f>
        <v>3112.8609999999999</v>
      </c>
      <c r="J25" s="15"/>
      <c r="L25" s="26">
        <f>'TE BE'!$L$25*'TE BE'!$L$50</f>
        <v>1.3276072517686684E-6</v>
      </c>
      <c r="M25" s="26">
        <f>'TE BE'!$M$25*'TE BE'!$M$50</f>
        <v>0</v>
      </c>
      <c r="N25" s="26">
        <f>'TE BE'!$N$25*'TE BE'!$N$50</f>
        <v>0</v>
      </c>
      <c r="O25" s="26">
        <f>'TE BE'!$O$25*'TE BE'!$O$50</f>
        <v>-3.7153476583987141E-2</v>
      </c>
      <c r="P25" s="26">
        <f>'TE BE'!$P$25*'TE BE'!$P$50</f>
        <v>0</v>
      </c>
      <c r="Q25" s="26">
        <f>SUM($L$25:$P$25)</f>
        <v>-3.7152148976735369E-2</v>
      </c>
      <c r="R25" s="26">
        <f>'TE BE'!$R$25*'TE BE'!$R$50</f>
        <v>1.2628451825899896</v>
      </c>
      <c r="S25" s="26">
        <f>SUM($R$25:$R$25)</f>
        <v>1.2628451825899896</v>
      </c>
      <c r="T25" s="26">
        <f>'TE BE'!$T$25*'TE BE'!$T$50</f>
        <v>0</v>
      </c>
      <c r="U25" s="26">
        <f>'TE BE'!$U$25*'TE BE'!$U$50</f>
        <v>0</v>
      </c>
      <c r="V25" s="26">
        <f>'TE BE'!$V$25*'TE BE'!$V$50</f>
        <v>0</v>
      </c>
      <c r="W25" s="26">
        <f>SUM($T$25:$V$25)</f>
        <v>0</v>
      </c>
      <c r="X25" s="26">
        <f>'TE BE'!$AB$25*'TE BE'!$X$50</f>
        <v>-11.725257552012819</v>
      </c>
      <c r="Y25" s="26">
        <f>SUM($X$25:$X$25)</f>
        <v>-11.725257552012819</v>
      </c>
      <c r="Z25" s="26">
        <f>'TE BE'!$Z$25*'TE BE'!$Z$50</f>
        <v>0</v>
      </c>
      <c r="AA25" s="26">
        <f>SUM($Z$25:$Z$25)</f>
        <v>0</v>
      </c>
      <c r="AB25" s="26">
        <f ca="1">SUMIF($L$4:$AA$4,"SUBTOTAL",$L$25:$AA$25)+AL25</f>
        <v>-35.133491215260634</v>
      </c>
      <c r="AC25" s="9" t="str">
        <f t="shared" si="0"/>
        <v>B2</v>
      </c>
      <c r="AD25" s="9" t="str">
        <f t="shared" si="1"/>
        <v>Energia convencional</v>
      </c>
      <c r="AE25" s="9" t="str">
        <f t="shared" si="2"/>
        <v>Rural</v>
      </c>
      <c r="AF25" s="9" t="str">
        <f t="shared" si="3"/>
        <v>Não se aplica</v>
      </c>
      <c r="AG25" s="9" t="str">
        <f t="shared" si="4"/>
        <v>Não se aplica</v>
      </c>
      <c r="AH25" s="9">
        <v>1</v>
      </c>
      <c r="AI25" s="9">
        <f ca="1">TarifaMedia!$G$28</f>
        <v>1</v>
      </c>
      <c r="AJ25" s="15">
        <f>'TE BE'!$AB25+'TE BF'!$AB25+'TE CVA'!$AB25</f>
        <v>287.16392669686104</v>
      </c>
      <c r="AK25" s="9">
        <v>262.52999999999997</v>
      </c>
      <c r="AL25" s="9">
        <f t="shared" ca="1" si="5"/>
        <v>-24.633926696861067</v>
      </c>
      <c r="AO25" s="87" t="s">
        <v>856</v>
      </c>
    </row>
    <row r="26" spans="1:41" ht="11.25" customHeight="1" x14ac:dyDescent="0.3">
      <c r="A26" s="151"/>
      <c r="B26" s="151" t="s">
        <v>77</v>
      </c>
      <c r="C26" s="151" t="s">
        <v>42</v>
      </c>
      <c r="D26" s="151" t="s">
        <v>93</v>
      </c>
      <c r="E26" s="151" t="s">
        <v>25</v>
      </c>
      <c r="F26" s="151" t="s">
        <v>25</v>
      </c>
      <c r="G26" s="29" t="s">
        <v>79</v>
      </c>
      <c r="H26" s="29" t="s">
        <v>78</v>
      </c>
      <c r="I26" s="29">
        <f>'MERCADO TE'!$U$23</f>
        <v>0</v>
      </c>
      <c r="J26" s="15"/>
      <c r="L26" s="26">
        <f>'TE BE'!$L$26*'TE BE'!$L$50</f>
        <v>1.3276072517686684E-6</v>
      </c>
      <c r="M26" s="26">
        <f>'TE BE'!$M$26*'TE BE'!$M$50</f>
        <v>0</v>
      </c>
      <c r="N26" s="26">
        <f>'TE BE'!$N$26*'TE BE'!$N$50</f>
        <v>0</v>
      </c>
      <c r="O26" s="26">
        <f>'TE BE'!$O$26*'TE BE'!$O$50</f>
        <v>-3.7153476583987141E-2</v>
      </c>
      <c r="P26" s="26">
        <f>'TE BE'!$P$26*'TE BE'!$P$50</f>
        <v>0</v>
      </c>
      <c r="Q26" s="26">
        <f>SUM($L$26:$P$26)</f>
        <v>-3.7152148976735369E-2</v>
      </c>
      <c r="R26" s="26">
        <f>'TE BE'!$R$26*'TE BE'!$R$50</f>
        <v>2.0491450132592277</v>
      </c>
      <c r="S26" s="26">
        <f>SUM($R$26:$R$26)</f>
        <v>2.0491450132592277</v>
      </c>
      <c r="T26" s="26">
        <f>'TE BE'!$T$26*'TE BE'!$T$50</f>
        <v>0</v>
      </c>
      <c r="U26" s="26">
        <f>'TE BE'!$U$26*'TE BE'!$U$50</f>
        <v>0</v>
      </c>
      <c r="V26" s="26">
        <f>'TE BE'!$V$26*'TE BE'!$V$50</f>
        <v>0</v>
      </c>
      <c r="W26" s="26">
        <f>SUM($T$26:$V$26)</f>
        <v>0</v>
      </c>
      <c r="X26" s="26">
        <f>'TE BE'!$AB$26*'TE BE'!$X$50</f>
        <v>-18.835009395888743</v>
      </c>
      <c r="Y26" s="26">
        <f>SUM($X$26:$X$26)</f>
        <v>-18.835009395888743</v>
      </c>
      <c r="Z26" s="26">
        <f>'TE BE'!$Z$26*'TE BE'!$Z$50</f>
        <v>0</v>
      </c>
      <c r="AA26" s="26">
        <f>SUM($Z$26:$Z$26)</f>
        <v>0</v>
      </c>
      <c r="AB26" s="26">
        <f ca="1">SUMIF($L$4:$AA$4,"SUBTOTAL",$L$26:$AA$26)+AL26</f>
        <v>-78.043303228062996</v>
      </c>
      <c r="AC26" s="9" t="str">
        <f t="shared" si="0"/>
        <v>B2</v>
      </c>
      <c r="AD26" s="9" t="str">
        <f t="shared" si="1"/>
        <v>Energia horária</v>
      </c>
      <c r="AE26" s="9" t="str">
        <f t="shared" si="2"/>
        <v>Rural</v>
      </c>
      <c r="AF26" s="9" t="str">
        <f t="shared" si="3"/>
        <v>Cooperativa de eletrificação rural</v>
      </c>
      <c r="AG26" s="9" t="str">
        <f t="shared" si="4"/>
        <v>Não se aplica</v>
      </c>
      <c r="AH26" s="9">
        <v>1</v>
      </c>
      <c r="AI26" s="9">
        <f ca="1">TarifaMedia!$G$28</f>
        <v>1</v>
      </c>
      <c r="AJ26" s="15">
        <f>'TE BE'!$AB26+'TE BF'!$AB26+'TE CVA'!$AB26</f>
        <v>461.06028669645673</v>
      </c>
      <c r="AK26" s="9">
        <f>ROUND(375.85/(1-CUSTOS!$M$38),2)</f>
        <v>399.84</v>
      </c>
      <c r="AL26" s="9">
        <f t="shared" ca="1" si="5"/>
        <v>-61.220286696456753</v>
      </c>
      <c r="AO26" s="87" t="s">
        <v>860</v>
      </c>
    </row>
    <row r="27" spans="1:41" ht="11.25" customHeight="1" x14ac:dyDescent="0.3">
      <c r="A27" s="151"/>
      <c r="B27" s="151"/>
      <c r="C27" s="151"/>
      <c r="D27" s="151"/>
      <c r="E27" s="151"/>
      <c r="F27" s="151"/>
      <c r="G27" s="29" t="s">
        <v>89</v>
      </c>
      <c r="H27" s="29" t="s">
        <v>78</v>
      </c>
      <c r="I27" s="29">
        <f>'MERCADO TE'!$U$24</f>
        <v>0</v>
      </c>
      <c r="J27" s="15"/>
      <c r="L27" s="26">
        <f>'TE BE'!$L$27*'TE BE'!$L$50</f>
        <v>1.3276072517686684E-6</v>
      </c>
      <c r="M27" s="26">
        <f>'TE BE'!$M$27*'TE BE'!$M$50</f>
        <v>0</v>
      </c>
      <c r="N27" s="26">
        <f>'TE BE'!$N$27*'TE BE'!$N$50</f>
        <v>0</v>
      </c>
      <c r="O27" s="26">
        <f>'TE BE'!$O$27*'TE BE'!$O$50</f>
        <v>-3.7153476583987141E-2</v>
      </c>
      <c r="P27" s="26">
        <f>'TE BE'!$P$27*'TE BE'!$P$50</f>
        <v>0</v>
      </c>
      <c r="Q27" s="26">
        <f>SUM($L$27:$P$27)</f>
        <v>-3.7152148976735369E-2</v>
      </c>
      <c r="R27" s="26">
        <f>'TE BE'!$R$27*'TE BE'!$R$50</f>
        <v>1.1913633798018768</v>
      </c>
      <c r="S27" s="26">
        <f>SUM($R$27:$R$27)</f>
        <v>1.1913633798018768</v>
      </c>
      <c r="T27" s="26">
        <f>'TE BE'!$T$27*'TE BE'!$T$50</f>
        <v>0</v>
      </c>
      <c r="U27" s="26">
        <f>'TE BE'!$U$27*'TE BE'!$U$50</f>
        <v>0</v>
      </c>
      <c r="V27" s="26">
        <f>'TE BE'!$V$27*'TE BE'!$V$50</f>
        <v>0</v>
      </c>
      <c r="W27" s="26">
        <f>SUM($T$27:$V$27)</f>
        <v>0</v>
      </c>
      <c r="X27" s="26">
        <f>'TE BE'!$AB$27*'TE BE'!$X$50</f>
        <v>-11.078916475296824</v>
      </c>
      <c r="Y27" s="26">
        <f>SUM($X$27:$X$27)</f>
        <v>-11.078916475296824</v>
      </c>
      <c r="Z27" s="26">
        <f>'TE BE'!$Z$27*'TE BE'!$Z$50</f>
        <v>0</v>
      </c>
      <c r="AA27" s="26">
        <f>SUM($Z$27:$Z$27)</f>
        <v>0</v>
      </c>
      <c r="AB27" s="26">
        <f ca="1">SUMIF($L$4:$AA$4,"SUBTOTAL",$L$27:$AA$27)+AL27</f>
        <v>-31.239871941369444</v>
      </c>
      <c r="AC27" s="9" t="str">
        <f t="shared" si="0"/>
        <v>B2</v>
      </c>
      <c r="AD27" s="9" t="str">
        <f t="shared" si="1"/>
        <v>Energia horária</v>
      </c>
      <c r="AE27" s="9" t="str">
        <f t="shared" si="2"/>
        <v>Rural</v>
      </c>
      <c r="AF27" s="9" t="str">
        <f t="shared" si="3"/>
        <v>Cooperativa de eletrificação rural</v>
      </c>
      <c r="AG27" s="9" t="str">
        <f t="shared" si="4"/>
        <v>Não se aplica</v>
      </c>
      <c r="AH27" s="9">
        <v>1</v>
      </c>
      <c r="AI27" s="9">
        <f ca="1">TarifaMedia!$G$28</f>
        <v>1</v>
      </c>
      <c r="AJ27" s="15">
        <f>'TE BE'!$AB27+'TE BF'!$AB27+'TE CVA'!$AB27</f>
        <v>271.35516669689775</v>
      </c>
      <c r="AK27" s="9">
        <f>ROUND(235.04/(1-CUSTOS!$M$38),2)</f>
        <v>250.04</v>
      </c>
      <c r="AL27" s="9">
        <f t="shared" ca="1" si="5"/>
        <v>-21.315166696897762</v>
      </c>
      <c r="AO27" s="87" t="s">
        <v>861</v>
      </c>
    </row>
    <row r="28" spans="1:41" ht="11.25" customHeight="1" x14ac:dyDescent="0.3">
      <c r="A28" s="151"/>
      <c r="B28" s="151"/>
      <c r="C28" s="151"/>
      <c r="D28" s="151"/>
      <c r="E28" s="151"/>
      <c r="F28" s="151"/>
      <c r="G28" s="29" t="s">
        <v>80</v>
      </c>
      <c r="H28" s="29" t="s">
        <v>78</v>
      </c>
      <c r="I28" s="29">
        <f>'MERCADO TE'!$U$25</f>
        <v>0</v>
      </c>
      <c r="J28" s="15"/>
      <c r="L28" s="26">
        <f>'TE BE'!$L$28*'TE BE'!$L$50</f>
        <v>1.3276072517686684E-6</v>
      </c>
      <c r="M28" s="26">
        <f>'TE BE'!$M$28*'TE BE'!$M$50</f>
        <v>0</v>
      </c>
      <c r="N28" s="26">
        <f>'TE BE'!$N$28*'TE BE'!$N$50</f>
        <v>0</v>
      </c>
      <c r="O28" s="26">
        <f>'TE BE'!$O$28*'TE BE'!$O$50</f>
        <v>-3.7153476583987141E-2</v>
      </c>
      <c r="P28" s="26">
        <f>'TE BE'!$P$28*'TE BE'!$P$50</f>
        <v>0</v>
      </c>
      <c r="Q28" s="26">
        <f>SUM($L$28:$P$28)</f>
        <v>-3.7152148976735369E-2</v>
      </c>
      <c r="R28" s="26">
        <f>'TE BE'!$R$28*'TE BE'!$R$50</f>
        <v>1.1913633798018768</v>
      </c>
      <c r="S28" s="26">
        <f>SUM($R$28:$R$28)</f>
        <v>1.1913633798018768</v>
      </c>
      <c r="T28" s="26">
        <f>'TE BE'!$T$28*'TE BE'!$T$50</f>
        <v>0</v>
      </c>
      <c r="U28" s="26">
        <f>'TE BE'!$U$28*'TE BE'!$U$50</f>
        <v>0</v>
      </c>
      <c r="V28" s="26">
        <f>'TE BE'!$V$28*'TE BE'!$V$50</f>
        <v>0</v>
      </c>
      <c r="W28" s="26">
        <f>SUM($T$28:$V$28)</f>
        <v>0</v>
      </c>
      <c r="X28" s="26">
        <f>'TE BE'!$AB$28*'TE BE'!$X$50</f>
        <v>-11.078916475296824</v>
      </c>
      <c r="Y28" s="26">
        <f>SUM($X$28:$X$28)</f>
        <v>-11.078916475296824</v>
      </c>
      <c r="Z28" s="26">
        <f>'TE BE'!$Z$28*'TE BE'!$Z$50</f>
        <v>0</v>
      </c>
      <c r="AA28" s="26">
        <f>SUM($Z$28:$Z$28)</f>
        <v>0</v>
      </c>
      <c r="AB28" s="26">
        <f ca="1">SUMIF($L$4:$AA$4,"SUBTOTAL",$L$28:$AA$28)+AL28</f>
        <v>-31.239871941369444</v>
      </c>
      <c r="AC28" s="9" t="str">
        <f t="shared" si="0"/>
        <v>B2</v>
      </c>
      <c r="AD28" s="9" t="str">
        <f t="shared" si="1"/>
        <v>Energia horária</v>
      </c>
      <c r="AE28" s="9" t="str">
        <f t="shared" si="2"/>
        <v>Rural</v>
      </c>
      <c r="AF28" s="9" t="str">
        <f t="shared" si="3"/>
        <v>Cooperativa de eletrificação rural</v>
      </c>
      <c r="AG28" s="9" t="str">
        <f t="shared" si="4"/>
        <v>Não se aplica</v>
      </c>
      <c r="AH28" s="9">
        <v>1</v>
      </c>
      <c r="AI28" s="9">
        <f ca="1">TarifaMedia!$G$28</f>
        <v>1</v>
      </c>
      <c r="AJ28" s="15">
        <f>'TE BE'!$AB28+'TE BF'!$AB28+'TE CVA'!$AB28</f>
        <v>271.35516669689775</v>
      </c>
      <c r="AK28" s="9">
        <f>ROUND(235.04/(1-CUSTOS!$M$38),2)</f>
        <v>250.04</v>
      </c>
      <c r="AL28" s="9">
        <f t="shared" ca="1" si="5"/>
        <v>-21.315166696897762</v>
      </c>
      <c r="AO28" s="87" t="s">
        <v>862</v>
      </c>
    </row>
    <row r="29" spans="1:41" ht="11.25" customHeight="1" x14ac:dyDescent="0.3">
      <c r="A29" s="151"/>
      <c r="B29" s="28" t="s">
        <v>90</v>
      </c>
      <c r="C29" s="28" t="s">
        <v>42</v>
      </c>
      <c r="D29" s="28" t="s">
        <v>93</v>
      </c>
      <c r="E29" s="28" t="s">
        <v>25</v>
      </c>
      <c r="F29" s="28" t="s">
        <v>25</v>
      </c>
      <c r="G29" s="29" t="s">
        <v>84</v>
      </c>
      <c r="H29" s="29" t="s">
        <v>78</v>
      </c>
      <c r="I29" s="29">
        <f>'MERCADO TE'!$U$26</f>
        <v>0</v>
      </c>
      <c r="J29" s="15"/>
      <c r="L29" s="26">
        <f>'TE BE'!$L$29*'TE BE'!$L$50</f>
        <v>1.3276072517686684E-6</v>
      </c>
      <c r="M29" s="26">
        <f>'TE BE'!$M$29*'TE BE'!$M$50</f>
        <v>0</v>
      </c>
      <c r="N29" s="26">
        <f>'TE BE'!$N$29*'TE BE'!$N$50</f>
        <v>0</v>
      </c>
      <c r="O29" s="26">
        <f>'TE BE'!$O$29*'TE BE'!$O$50</f>
        <v>-3.7153476583987141E-2</v>
      </c>
      <c r="P29" s="26">
        <f>'TE BE'!$P$29*'TE BE'!$P$50</f>
        <v>0</v>
      </c>
      <c r="Q29" s="26">
        <f>SUM($L$29:$P$29)</f>
        <v>-3.7152148976735369E-2</v>
      </c>
      <c r="R29" s="26">
        <f>'TE BE'!$R$29*'TE BE'!$R$50</f>
        <v>1.2628451825899896</v>
      </c>
      <c r="S29" s="26">
        <f>SUM($R$29:$R$29)</f>
        <v>1.2628451825899896</v>
      </c>
      <c r="T29" s="26">
        <f>'TE BE'!$T$29*'TE BE'!$T$50</f>
        <v>0</v>
      </c>
      <c r="U29" s="26">
        <f>'TE BE'!$U$29*'TE BE'!$U$50</f>
        <v>0</v>
      </c>
      <c r="V29" s="26">
        <f>'TE BE'!$V$29*'TE BE'!$V$50</f>
        <v>0</v>
      </c>
      <c r="W29" s="26">
        <f>SUM($T$29:$V$29)</f>
        <v>0</v>
      </c>
      <c r="X29" s="26">
        <f>'TE BE'!$AB$29*'TE BE'!$X$50</f>
        <v>-11.725257552012819</v>
      </c>
      <c r="Y29" s="26">
        <f>SUM($X$29:$X$29)</f>
        <v>-11.725257552012819</v>
      </c>
      <c r="Z29" s="26">
        <f>'TE BE'!$Z$29*'TE BE'!$Z$50</f>
        <v>0</v>
      </c>
      <c r="AA29" s="26">
        <f>SUM($Z$29:$Z$29)</f>
        <v>0</v>
      </c>
      <c r="AB29" s="26">
        <f ca="1">SUMIF($L$4:$AA$4,"SUBTOTAL",$L$29:$AA$29)+AL29</f>
        <v>-35.133491215260634</v>
      </c>
      <c r="AC29" s="9" t="str">
        <f t="shared" si="0"/>
        <v>B2</v>
      </c>
      <c r="AD29" s="9" t="str">
        <f t="shared" si="1"/>
        <v>Energia convencional</v>
      </c>
      <c r="AE29" s="9" t="str">
        <f t="shared" si="2"/>
        <v>Rural</v>
      </c>
      <c r="AF29" s="9" t="str">
        <f t="shared" si="3"/>
        <v>Cooperativa de eletrificação rural</v>
      </c>
      <c r="AG29" s="9" t="str">
        <f t="shared" si="4"/>
        <v>Não se aplica</v>
      </c>
      <c r="AH29" s="9">
        <v>1</v>
      </c>
      <c r="AI29" s="9">
        <f ca="1">TarifaMedia!$G$28</f>
        <v>1</v>
      </c>
      <c r="AJ29" s="15">
        <f>'TE BE'!$AB29+'TE BF'!$AB29+'TE CVA'!$AB29</f>
        <v>287.16392669686104</v>
      </c>
      <c r="AK29" s="9">
        <v>262.52999999999997</v>
      </c>
      <c r="AL29" s="9">
        <f t="shared" ca="1" si="5"/>
        <v>-24.633926696861067</v>
      </c>
      <c r="AO29" s="87" t="s">
        <v>856</v>
      </c>
    </row>
    <row r="30" spans="1:41" ht="11.25" customHeight="1" x14ac:dyDescent="0.3">
      <c r="A30" s="151"/>
      <c r="B30" s="151" t="s">
        <v>77</v>
      </c>
      <c r="C30" s="151" t="s">
        <v>42</v>
      </c>
      <c r="D30" s="151" t="s">
        <v>94</v>
      </c>
      <c r="E30" s="151" t="s">
        <v>25</v>
      </c>
      <c r="F30" s="151" t="s">
        <v>25</v>
      </c>
      <c r="G30" s="29" t="s">
        <v>79</v>
      </c>
      <c r="H30" s="29" t="s">
        <v>78</v>
      </c>
      <c r="I30" s="29">
        <f>'MERCADO TE'!$U$27</f>
        <v>0</v>
      </c>
      <c r="J30" s="15"/>
      <c r="L30" s="26">
        <f>'TE BE'!$L$30*'TE BE'!$L$50</f>
        <v>1.3276072517686684E-6</v>
      </c>
      <c r="M30" s="26">
        <f>'TE BE'!$M$30*'TE BE'!$M$50</f>
        <v>0</v>
      </c>
      <c r="N30" s="26">
        <f>'TE BE'!$N$30*'TE BE'!$N$50</f>
        <v>0</v>
      </c>
      <c r="O30" s="26">
        <f>'TE BE'!$O$30*'TE BE'!$O$50</f>
        <v>-3.7153476583987141E-2</v>
      </c>
      <c r="P30" s="26">
        <f>'TE BE'!$P$30*'TE BE'!$P$50</f>
        <v>0</v>
      </c>
      <c r="Q30" s="26">
        <f>SUM($L$30:$P$30)</f>
        <v>-3.7152148976735369E-2</v>
      </c>
      <c r="R30" s="26">
        <f>'TE BE'!$R$30*'TE BE'!$R$50</f>
        <v>2.0491450132592277</v>
      </c>
      <c r="S30" s="26">
        <f>SUM($R$30:$R$30)</f>
        <v>2.0491450132592277</v>
      </c>
      <c r="T30" s="26">
        <f>'TE BE'!$T$30*'TE BE'!$T$50</f>
        <v>0</v>
      </c>
      <c r="U30" s="26">
        <f>'TE BE'!$U$30*'TE BE'!$U$50</f>
        <v>0</v>
      </c>
      <c r="V30" s="26">
        <f>'TE BE'!$V$30*'TE BE'!$V$50</f>
        <v>0</v>
      </c>
      <c r="W30" s="26">
        <f>SUM($T$30:$V$30)</f>
        <v>0</v>
      </c>
      <c r="X30" s="26">
        <f>'TE BE'!$AB$30*'TE BE'!$X$50</f>
        <v>-18.835009395888743</v>
      </c>
      <c r="Y30" s="26">
        <f>SUM($X$30:$X$30)</f>
        <v>-18.835009395888743</v>
      </c>
      <c r="Z30" s="26">
        <f>'TE BE'!$Z$30*'TE BE'!$Z$50</f>
        <v>0</v>
      </c>
      <c r="AA30" s="26">
        <f>SUM($Z$30:$Z$30)</f>
        <v>0</v>
      </c>
      <c r="AB30" s="26">
        <f ca="1">SUMIF($L$4:$AA$4,"SUBTOTAL",$L$30:$AA$30)+AL30</f>
        <v>-78.043303228062996</v>
      </c>
      <c r="AC30" s="9" t="str">
        <f t="shared" si="0"/>
        <v>B2</v>
      </c>
      <c r="AD30" s="9" t="str">
        <f t="shared" si="1"/>
        <v>Energia horária</v>
      </c>
      <c r="AE30" s="9" t="str">
        <f t="shared" si="2"/>
        <v>Rural</v>
      </c>
      <c r="AF30" s="9" t="str">
        <f t="shared" si="3"/>
        <v>Serviço público de irrigação rural</v>
      </c>
      <c r="AG30" s="9" t="str">
        <f t="shared" si="4"/>
        <v>Não se aplica</v>
      </c>
      <c r="AH30" s="9">
        <v>1</v>
      </c>
      <c r="AI30" s="9">
        <f ca="1">TarifaMedia!$G$28</f>
        <v>1</v>
      </c>
      <c r="AJ30" s="15">
        <f>'TE BE'!$AB30+'TE BF'!$AB30+'TE CVA'!$AB30</f>
        <v>461.06028669645673</v>
      </c>
      <c r="AK30" s="9">
        <f>ROUND(375.85/(1-CUSTOS!$M$38),2)</f>
        <v>399.84</v>
      </c>
      <c r="AL30" s="9">
        <f t="shared" ca="1" si="5"/>
        <v>-61.220286696456753</v>
      </c>
      <c r="AO30" s="87" t="s">
        <v>860</v>
      </c>
    </row>
    <row r="31" spans="1:41" ht="11.25" customHeight="1" x14ac:dyDescent="0.3">
      <c r="A31" s="151"/>
      <c r="B31" s="151"/>
      <c r="C31" s="151"/>
      <c r="D31" s="151"/>
      <c r="E31" s="151"/>
      <c r="F31" s="151"/>
      <c r="G31" s="29" t="s">
        <v>89</v>
      </c>
      <c r="H31" s="29" t="s">
        <v>78</v>
      </c>
      <c r="I31" s="29">
        <f>'MERCADO TE'!$U$28</f>
        <v>0</v>
      </c>
      <c r="J31" s="15"/>
      <c r="L31" s="26">
        <f>'TE BE'!$L$31*'TE BE'!$L$50</f>
        <v>1.3276072517686684E-6</v>
      </c>
      <c r="M31" s="26">
        <f>'TE BE'!$M$31*'TE BE'!$M$50</f>
        <v>0</v>
      </c>
      <c r="N31" s="26">
        <f>'TE BE'!$N$31*'TE BE'!$N$50</f>
        <v>0</v>
      </c>
      <c r="O31" s="26">
        <f>'TE BE'!$O$31*'TE BE'!$O$50</f>
        <v>-3.7153476583987141E-2</v>
      </c>
      <c r="P31" s="26">
        <f>'TE BE'!$P$31*'TE BE'!$P$50</f>
        <v>0</v>
      </c>
      <c r="Q31" s="26">
        <f>SUM($L$31:$P$31)</f>
        <v>-3.7152148976735369E-2</v>
      </c>
      <c r="R31" s="26">
        <f>'TE BE'!$R$31*'TE BE'!$R$50</f>
        <v>1.1913633798018768</v>
      </c>
      <c r="S31" s="26">
        <f>SUM($R$31:$R$31)</f>
        <v>1.1913633798018768</v>
      </c>
      <c r="T31" s="26">
        <f>'TE BE'!$T$31*'TE BE'!$T$50</f>
        <v>0</v>
      </c>
      <c r="U31" s="26">
        <f>'TE BE'!$U$31*'TE BE'!$U$50</f>
        <v>0</v>
      </c>
      <c r="V31" s="26">
        <f>'TE BE'!$V$31*'TE BE'!$V$50</f>
        <v>0</v>
      </c>
      <c r="W31" s="26">
        <f>SUM($T$31:$V$31)</f>
        <v>0</v>
      </c>
      <c r="X31" s="26">
        <f>'TE BE'!$AB$31*'TE BE'!$X$50</f>
        <v>-11.078916475296824</v>
      </c>
      <c r="Y31" s="26">
        <f>SUM($X$31:$X$31)</f>
        <v>-11.078916475296824</v>
      </c>
      <c r="Z31" s="26">
        <f>'TE BE'!$Z$31*'TE BE'!$Z$50</f>
        <v>0</v>
      </c>
      <c r="AA31" s="26">
        <f>SUM($Z$31:$Z$31)</f>
        <v>0</v>
      </c>
      <c r="AB31" s="26">
        <f ca="1">SUMIF($L$4:$AA$4,"SUBTOTAL",$L$31:$AA$31)+AL31</f>
        <v>-31.239871941369444</v>
      </c>
      <c r="AC31" s="9" t="str">
        <f t="shared" si="0"/>
        <v>B2</v>
      </c>
      <c r="AD31" s="9" t="str">
        <f t="shared" si="1"/>
        <v>Energia horária</v>
      </c>
      <c r="AE31" s="9" t="str">
        <f t="shared" si="2"/>
        <v>Rural</v>
      </c>
      <c r="AF31" s="9" t="str">
        <f t="shared" si="3"/>
        <v>Serviço público de irrigação rural</v>
      </c>
      <c r="AG31" s="9" t="str">
        <f t="shared" si="4"/>
        <v>Não se aplica</v>
      </c>
      <c r="AH31" s="9">
        <v>1</v>
      </c>
      <c r="AI31" s="9">
        <f ca="1">TarifaMedia!$G$28</f>
        <v>1</v>
      </c>
      <c r="AJ31" s="15">
        <f>'TE BE'!$AB31+'TE BF'!$AB31+'TE CVA'!$AB31</f>
        <v>271.35516669689775</v>
      </c>
      <c r="AK31" s="9">
        <f>ROUND(235.04/(1-CUSTOS!$M$38),2)</f>
        <v>250.04</v>
      </c>
      <c r="AL31" s="9">
        <f t="shared" ca="1" si="5"/>
        <v>-21.315166696897762</v>
      </c>
      <c r="AO31" s="87" t="s">
        <v>861</v>
      </c>
    </row>
    <row r="32" spans="1:41" ht="11.25" customHeight="1" x14ac:dyDescent="0.3">
      <c r="A32" s="151"/>
      <c r="B32" s="151"/>
      <c r="C32" s="151"/>
      <c r="D32" s="151"/>
      <c r="E32" s="151"/>
      <c r="F32" s="151"/>
      <c r="G32" s="29" t="s">
        <v>80</v>
      </c>
      <c r="H32" s="29" t="s">
        <v>78</v>
      </c>
      <c r="I32" s="29">
        <f>'MERCADO TE'!$U$29</f>
        <v>0</v>
      </c>
      <c r="J32" s="15"/>
      <c r="L32" s="26">
        <f>'TE BE'!$L$32*'TE BE'!$L$50</f>
        <v>1.3276072517686684E-6</v>
      </c>
      <c r="M32" s="26">
        <f>'TE BE'!$M$32*'TE BE'!$M$50</f>
        <v>0</v>
      </c>
      <c r="N32" s="26">
        <f>'TE BE'!$N$32*'TE BE'!$N$50</f>
        <v>0</v>
      </c>
      <c r="O32" s="26">
        <f>'TE BE'!$O$32*'TE BE'!$O$50</f>
        <v>-3.7153476583987141E-2</v>
      </c>
      <c r="P32" s="26">
        <f>'TE BE'!$P$32*'TE BE'!$P$50</f>
        <v>0</v>
      </c>
      <c r="Q32" s="26">
        <f>SUM($L$32:$P$32)</f>
        <v>-3.7152148976735369E-2</v>
      </c>
      <c r="R32" s="26">
        <f>'TE BE'!$R$32*'TE BE'!$R$50</f>
        <v>1.1913633798018768</v>
      </c>
      <c r="S32" s="26">
        <f>SUM($R$32:$R$32)</f>
        <v>1.1913633798018768</v>
      </c>
      <c r="T32" s="26">
        <f>'TE BE'!$T$32*'TE BE'!$T$50</f>
        <v>0</v>
      </c>
      <c r="U32" s="26">
        <f>'TE BE'!$U$32*'TE BE'!$U$50</f>
        <v>0</v>
      </c>
      <c r="V32" s="26">
        <f>'TE BE'!$V$32*'TE BE'!$V$50</f>
        <v>0</v>
      </c>
      <c r="W32" s="26">
        <f>SUM($T$32:$V$32)</f>
        <v>0</v>
      </c>
      <c r="X32" s="26">
        <f>'TE BE'!$AB$32*'TE BE'!$X$50</f>
        <v>-11.078916475296824</v>
      </c>
      <c r="Y32" s="26">
        <f>SUM($X$32:$X$32)</f>
        <v>-11.078916475296824</v>
      </c>
      <c r="Z32" s="26">
        <f>'TE BE'!$Z$32*'TE BE'!$Z$50</f>
        <v>0</v>
      </c>
      <c r="AA32" s="26">
        <f>SUM($Z$32:$Z$32)</f>
        <v>0</v>
      </c>
      <c r="AB32" s="26">
        <f ca="1">SUMIF($L$4:$AA$4,"SUBTOTAL",$L$32:$AA$32)+AL32</f>
        <v>-31.239871941369444</v>
      </c>
      <c r="AC32" s="9" t="str">
        <f t="shared" si="0"/>
        <v>B2</v>
      </c>
      <c r="AD32" s="9" t="str">
        <f t="shared" si="1"/>
        <v>Energia horária</v>
      </c>
      <c r="AE32" s="9" t="str">
        <f t="shared" si="2"/>
        <v>Rural</v>
      </c>
      <c r="AF32" s="9" t="str">
        <f t="shared" si="3"/>
        <v>Serviço público de irrigação rural</v>
      </c>
      <c r="AG32" s="9" t="str">
        <f t="shared" si="4"/>
        <v>Não se aplica</v>
      </c>
      <c r="AH32" s="9">
        <v>1</v>
      </c>
      <c r="AI32" s="9">
        <f ca="1">TarifaMedia!$G$28</f>
        <v>1</v>
      </c>
      <c r="AJ32" s="15">
        <f>'TE BE'!$AB32+'TE BF'!$AB32+'TE CVA'!$AB32</f>
        <v>271.35516669689775</v>
      </c>
      <c r="AK32" s="9">
        <f>ROUND(235.04/(1-CUSTOS!$M$38),2)</f>
        <v>250.04</v>
      </c>
      <c r="AL32" s="9">
        <f t="shared" ca="1" si="5"/>
        <v>-21.315166696897762</v>
      </c>
      <c r="AO32" s="87" t="s">
        <v>862</v>
      </c>
    </row>
    <row r="33" spans="1:41" ht="11.25" customHeight="1" x14ac:dyDescent="0.3">
      <c r="A33" s="151"/>
      <c r="B33" s="28" t="s">
        <v>90</v>
      </c>
      <c r="C33" s="28" t="s">
        <v>42</v>
      </c>
      <c r="D33" s="28" t="s">
        <v>94</v>
      </c>
      <c r="E33" s="28" t="s">
        <v>25</v>
      </c>
      <c r="F33" s="28" t="s">
        <v>25</v>
      </c>
      <c r="G33" s="29" t="s">
        <v>84</v>
      </c>
      <c r="H33" s="29" t="s">
        <v>78</v>
      </c>
      <c r="I33" s="29">
        <f>'MERCADO TE'!$U$30</f>
        <v>0</v>
      </c>
      <c r="J33" s="15"/>
      <c r="L33" s="26">
        <f>'TE BE'!$L$33*'TE BE'!$L$50</f>
        <v>1.3276072517686684E-6</v>
      </c>
      <c r="M33" s="26">
        <f>'TE BE'!$M$33*'TE BE'!$M$50</f>
        <v>0</v>
      </c>
      <c r="N33" s="26">
        <f>'TE BE'!$N$33*'TE BE'!$N$50</f>
        <v>0</v>
      </c>
      <c r="O33" s="26">
        <f>'TE BE'!$O$33*'TE BE'!$O$50</f>
        <v>-3.7153476583987141E-2</v>
      </c>
      <c r="P33" s="26">
        <f>'TE BE'!$P$33*'TE BE'!$P$50</f>
        <v>0</v>
      </c>
      <c r="Q33" s="26">
        <f>SUM($L$33:$P$33)</f>
        <v>-3.7152148976735369E-2</v>
      </c>
      <c r="R33" s="26">
        <f>'TE BE'!$R$33*'TE BE'!$R$50</f>
        <v>1.2628451825899896</v>
      </c>
      <c r="S33" s="26">
        <f>SUM($R$33:$R$33)</f>
        <v>1.2628451825899896</v>
      </c>
      <c r="T33" s="26">
        <f>'TE BE'!$T$33*'TE BE'!$T$50</f>
        <v>0</v>
      </c>
      <c r="U33" s="26">
        <f>'TE BE'!$U$33*'TE BE'!$U$50</f>
        <v>0</v>
      </c>
      <c r="V33" s="26">
        <f>'TE BE'!$V$33*'TE BE'!$V$50</f>
        <v>0</v>
      </c>
      <c r="W33" s="26">
        <f>SUM($T$33:$V$33)</f>
        <v>0</v>
      </c>
      <c r="X33" s="26">
        <f>'TE BE'!$AB$33*'TE BE'!$X$50</f>
        <v>-11.725257552012819</v>
      </c>
      <c r="Y33" s="26">
        <f>SUM($X$33:$X$33)</f>
        <v>-11.725257552012819</v>
      </c>
      <c r="Z33" s="26">
        <f>'TE BE'!$Z$33*'TE BE'!$Z$50</f>
        <v>0</v>
      </c>
      <c r="AA33" s="26">
        <f>SUM($Z$33:$Z$33)</f>
        <v>0</v>
      </c>
      <c r="AB33" s="26">
        <f ca="1">SUMIF($L$4:$AA$4,"SUBTOTAL",$L$33:$AA$33)+AL33</f>
        <v>-35.133491215260634</v>
      </c>
      <c r="AC33" s="9" t="str">
        <f t="shared" si="0"/>
        <v>B2</v>
      </c>
      <c r="AD33" s="9" t="str">
        <f t="shared" si="1"/>
        <v>Energia convencional</v>
      </c>
      <c r="AE33" s="9" t="str">
        <f t="shared" si="2"/>
        <v>Rural</v>
      </c>
      <c r="AF33" s="9" t="str">
        <f t="shared" si="3"/>
        <v>Serviço público de irrigação rural</v>
      </c>
      <c r="AG33" s="9" t="str">
        <f t="shared" si="4"/>
        <v>Não se aplica</v>
      </c>
      <c r="AH33" s="9">
        <v>1</v>
      </c>
      <c r="AI33" s="9">
        <f ca="1">TarifaMedia!$G$28</f>
        <v>1</v>
      </c>
      <c r="AJ33" s="15">
        <f>'TE BE'!$AB33+'TE BF'!$AB33+'TE CVA'!$AB33</f>
        <v>287.16392669686104</v>
      </c>
      <c r="AK33" s="9">
        <v>262.52999999999997</v>
      </c>
      <c r="AL33" s="9">
        <f t="shared" ca="1" si="5"/>
        <v>-24.633926696861067</v>
      </c>
      <c r="AO33" s="87" t="s">
        <v>856</v>
      </c>
    </row>
    <row r="34" spans="1:41" ht="11.25" customHeight="1" x14ac:dyDescent="0.3">
      <c r="A34" s="151"/>
      <c r="B34" s="151" t="s">
        <v>91</v>
      </c>
      <c r="C34" s="151" t="s">
        <v>42</v>
      </c>
      <c r="D34" s="28" t="s">
        <v>25</v>
      </c>
      <c r="E34" s="28" t="s">
        <v>25</v>
      </c>
      <c r="F34" s="28" t="s">
        <v>25</v>
      </c>
      <c r="G34" s="29" t="s">
        <v>84</v>
      </c>
      <c r="H34" s="29" t="s">
        <v>78</v>
      </c>
      <c r="I34" s="29">
        <f>'MERCADO TE'!$U$31</f>
        <v>0</v>
      </c>
      <c r="J34" s="15"/>
      <c r="L34" s="26">
        <f>'TE BE'!$L$34*'TE BE'!$L$50</f>
        <v>1.3276072517686684E-6</v>
      </c>
      <c r="M34" s="26">
        <f>'TE BE'!$M$34*'TE BE'!$M$50</f>
        <v>0</v>
      </c>
      <c r="N34" s="26">
        <f>'TE BE'!$N$34*'TE BE'!$N$50</f>
        <v>0</v>
      </c>
      <c r="O34" s="26">
        <f>'TE BE'!$O$34*'TE BE'!$O$50</f>
        <v>-3.7153476583987141E-2</v>
      </c>
      <c r="P34" s="26">
        <f>'TE BE'!$P$34*'TE BE'!$P$50</f>
        <v>0</v>
      </c>
      <c r="Q34" s="26">
        <f>SUM($L$34:$P$34)</f>
        <v>-3.7152148976735369E-2</v>
      </c>
      <c r="R34" s="26">
        <f>'TE BE'!$R$34*'TE BE'!$R$50</f>
        <v>1.2628451825899896</v>
      </c>
      <c r="S34" s="26">
        <f>SUM($R$34:$R$34)</f>
        <v>1.2628451825899896</v>
      </c>
      <c r="T34" s="26">
        <f>'TE BE'!$T$34*'TE BE'!$T$50</f>
        <v>0</v>
      </c>
      <c r="U34" s="26">
        <f>'TE BE'!$U$34*'TE BE'!$U$50</f>
        <v>0</v>
      </c>
      <c r="V34" s="26">
        <f>'TE BE'!$V$34*'TE BE'!$V$50</f>
        <v>0</v>
      </c>
      <c r="W34" s="26">
        <f>SUM($T$34:$V$34)</f>
        <v>0</v>
      </c>
      <c r="X34" s="26">
        <f>'TE BE'!$AB$34*'TE BE'!$X$50</f>
        <v>-11.725257552012819</v>
      </c>
      <c r="Y34" s="26">
        <f>SUM($X$34:$X$34)</f>
        <v>-11.725257552012819</v>
      </c>
      <c r="Z34" s="26">
        <f>'TE BE'!$Z$34*'TE BE'!$Z$50</f>
        <v>0</v>
      </c>
      <c r="AA34" s="26">
        <f>SUM($Z$34:$Z$34)</f>
        <v>0</v>
      </c>
      <c r="AB34" s="26">
        <f ca="1">SUMIF($L$4:$AA$4,"SUBTOTAL",$L$34:$AA$34)+AL34</f>
        <v>-35.133491215260634</v>
      </c>
      <c r="AC34" s="9" t="str">
        <f t="shared" si="0"/>
        <v>B2</v>
      </c>
      <c r="AD34" s="9" t="str">
        <f t="shared" si="1"/>
        <v>Energia convencional pré-pagamento</v>
      </c>
      <c r="AE34" s="9" t="str">
        <f t="shared" si="2"/>
        <v>Rural</v>
      </c>
      <c r="AF34" s="9" t="str">
        <f t="shared" si="3"/>
        <v>Não se aplica</v>
      </c>
      <c r="AG34" s="9" t="str">
        <f t="shared" si="4"/>
        <v>Não se aplica</v>
      </c>
      <c r="AH34" s="9">
        <v>1</v>
      </c>
      <c r="AI34" s="9">
        <f ca="1">TarifaMedia!$G$28</f>
        <v>1</v>
      </c>
      <c r="AJ34" s="15">
        <f>'TE BE'!$AB34+'TE BF'!$AB34+'TE CVA'!$AB34</f>
        <v>287.16392669686104</v>
      </c>
      <c r="AK34" s="9">
        <v>262.52999999999997</v>
      </c>
      <c r="AL34" s="9">
        <f t="shared" ca="1" si="5"/>
        <v>-24.633926696861067</v>
      </c>
      <c r="AO34" s="87" t="s">
        <v>856</v>
      </c>
    </row>
    <row r="35" spans="1:41" ht="11.25" customHeight="1" x14ac:dyDescent="0.3">
      <c r="A35" s="151"/>
      <c r="B35" s="151"/>
      <c r="C35" s="151"/>
      <c r="D35" s="28" t="s">
        <v>93</v>
      </c>
      <c r="E35" s="28" t="s">
        <v>25</v>
      </c>
      <c r="F35" s="28" t="s">
        <v>25</v>
      </c>
      <c r="G35" s="29" t="s">
        <v>84</v>
      </c>
      <c r="H35" s="29" t="s">
        <v>78</v>
      </c>
      <c r="I35" s="29">
        <f>'MERCADO TE'!$U$32</f>
        <v>0</v>
      </c>
      <c r="J35" s="15"/>
      <c r="L35" s="26">
        <f>'TE BE'!$L$35*'TE BE'!$L$50</f>
        <v>1.3276072517686684E-6</v>
      </c>
      <c r="M35" s="26">
        <f>'TE BE'!$M$35*'TE BE'!$M$50</f>
        <v>0</v>
      </c>
      <c r="N35" s="26">
        <f>'TE BE'!$N$35*'TE BE'!$N$50</f>
        <v>0</v>
      </c>
      <c r="O35" s="26">
        <f>'TE BE'!$O$35*'TE BE'!$O$50</f>
        <v>-3.7153476583987141E-2</v>
      </c>
      <c r="P35" s="26">
        <f>'TE BE'!$P$35*'TE BE'!$P$50</f>
        <v>0</v>
      </c>
      <c r="Q35" s="26">
        <f>SUM($L$35:$P$35)</f>
        <v>-3.7152148976735369E-2</v>
      </c>
      <c r="R35" s="26">
        <f>'TE BE'!$R$35*'TE BE'!$R$50</f>
        <v>1.2628451825899896</v>
      </c>
      <c r="S35" s="26">
        <f>SUM($R$35:$R$35)</f>
        <v>1.2628451825899896</v>
      </c>
      <c r="T35" s="26">
        <f>'TE BE'!$T$35*'TE BE'!$T$50</f>
        <v>0</v>
      </c>
      <c r="U35" s="26">
        <f>'TE BE'!$U$35*'TE BE'!$U$50</f>
        <v>0</v>
      </c>
      <c r="V35" s="26">
        <f>'TE BE'!$V$35*'TE BE'!$V$50</f>
        <v>0</v>
      </c>
      <c r="W35" s="26">
        <f>SUM($T$35:$V$35)</f>
        <v>0</v>
      </c>
      <c r="X35" s="26">
        <f>'TE BE'!$AB$35*'TE BE'!$X$50</f>
        <v>-11.725257552012819</v>
      </c>
      <c r="Y35" s="26">
        <f>SUM($X$35:$X$35)</f>
        <v>-11.725257552012819</v>
      </c>
      <c r="Z35" s="26">
        <f>'TE BE'!$Z$35*'TE BE'!$Z$50</f>
        <v>0</v>
      </c>
      <c r="AA35" s="26">
        <f>SUM($Z$35:$Z$35)</f>
        <v>0</v>
      </c>
      <c r="AB35" s="26">
        <f ca="1">SUMIF($L$4:$AA$4,"SUBTOTAL",$L$35:$AA$35)+AL35</f>
        <v>-35.133491215260634</v>
      </c>
      <c r="AC35" s="9" t="str">
        <f t="shared" si="0"/>
        <v>B2</v>
      </c>
      <c r="AD35" s="9" t="str">
        <f t="shared" si="1"/>
        <v>Energia convencional pré-pagamento</v>
      </c>
      <c r="AE35" s="9" t="str">
        <f t="shared" si="2"/>
        <v>Rural</v>
      </c>
      <c r="AF35" s="9" t="str">
        <f t="shared" si="3"/>
        <v>Cooperativa de eletrificação rural</v>
      </c>
      <c r="AG35" s="9" t="str">
        <f t="shared" si="4"/>
        <v>Não se aplica</v>
      </c>
      <c r="AH35" s="9">
        <v>1</v>
      </c>
      <c r="AI35" s="9">
        <f ca="1">TarifaMedia!$G$28</f>
        <v>1</v>
      </c>
      <c r="AJ35" s="15">
        <f>'TE BE'!$AB35+'TE BF'!$AB35+'TE CVA'!$AB35</f>
        <v>287.16392669686104</v>
      </c>
      <c r="AK35" s="9">
        <v>262.52999999999997</v>
      </c>
      <c r="AL35" s="9">
        <f t="shared" ca="1" si="5"/>
        <v>-24.633926696861067</v>
      </c>
      <c r="AO35" s="87" t="s">
        <v>856</v>
      </c>
    </row>
    <row r="36" spans="1:41" ht="11.25" customHeight="1" x14ac:dyDescent="0.3">
      <c r="A36" s="151"/>
      <c r="B36" s="151"/>
      <c r="C36" s="151"/>
      <c r="D36" s="28" t="s">
        <v>94</v>
      </c>
      <c r="E36" s="28" t="s">
        <v>25</v>
      </c>
      <c r="F36" s="28" t="s">
        <v>25</v>
      </c>
      <c r="G36" s="29" t="s">
        <v>84</v>
      </c>
      <c r="H36" s="29" t="s">
        <v>78</v>
      </c>
      <c r="I36" s="29">
        <f>'MERCADO TE'!$U$33</f>
        <v>0</v>
      </c>
      <c r="J36" s="15"/>
      <c r="L36" s="26">
        <f>'TE BE'!$L$36*'TE BE'!$L$50</f>
        <v>1.3276072517686684E-6</v>
      </c>
      <c r="M36" s="26">
        <f>'TE BE'!$M$36*'TE BE'!$M$50</f>
        <v>0</v>
      </c>
      <c r="N36" s="26">
        <f>'TE BE'!$N$36*'TE BE'!$N$50</f>
        <v>0</v>
      </c>
      <c r="O36" s="26">
        <f>'TE BE'!$O$36*'TE BE'!$O$50</f>
        <v>-3.7153476583987141E-2</v>
      </c>
      <c r="P36" s="26">
        <f>'TE BE'!$P$36*'TE BE'!$P$50</f>
        <v>0</v>
      </c>
      <c r="Q36" s="26">
        <f>SUM($L$36:$P$36)</f>
        <v>-3.7152148976735369E-2</v>
      </c>
      <c r="R36" s="26">
        <f>'TE BE'!$R$36*'TE BE'!$R$50</f>
        <v>1.2628451825899896</v>
      </c>
      <c r="S36" s="26">
        <f>SUM($R$36:$R$36)</f>
        <v>1.2628451825899896</v>
      </c>
      <c r="T36" s="26">
        <f>'TE BE'!$T$36*'TE BE'!$T$50</f>
        <v>0</v>
      </c>
      <c r="U36" s="26">
        <f>'TE BE'!$U$36*'TE BE'!$U$50</f>
        <v>0</v>
      </c>
      <c r="V36" s="26">
        <f>'TE BE'!$V$36*'TE BE'!$V$50</f>
        <v>0</v>
      </c>
      <c r="W36" s="26">
        <f>SUM($T$36:$V$36)</f>
        <v>0</v>
      </c>
      <c r="X36" s="26">
        <f>'TE BE'!$AB$36*'TE BE'!$X$50</f>
        <v>-11.725257552012819</v>
      </c>
      <c r="Y36" s="26">
        <f>SUM($X$36:$X$36)</f>
        <v>-11.725257552012819</v>
      </c>
      <c r="Z36" s="26">
        <f>'TE BE'!$Z$36*'TE BE'!$Z$50</f>
        <v>0</v>
      </c>
      <c r="AA36" s="26">
        <f>SUM($Z$36:$Z$36)</f>
        <v>0</v>
      </c>
      <c r="AB36" s="26">
        <f ca="1">SUMIF($L$4:$AA$4,"SUBTOTAL",$L$36:$AA$36)+AL36</f>
        <v>-35.133491215260634</v>
      </c>
      <c r="AC36" s="9" t="str">
        <f t="shared" si="0"/>
        <v>B2</v>
      </c>
      <c r="AD36" s="9" t="str">
        <f t="shared" si="1"/>
        <v>Energia convencional pré-pagamento</v>
      </c>
      <c r="AE36" s="9" t="str">
        <f t="shared" si="2"/>
        <v>Rural</v>
      </c>
      <c r="AF36" s="9" t="str">
        <f t="shared" si="3"/>
        <v>Serviço público de irrigação rural</v>
      </c>
      <c r="AG36" s="9" t="str">
        <f t="shared" si="4"/>
        <v>Não se aplica</v>
      </c>
      <c r="AH36" s="9">
        <v>1</v>
      </c>
      <c r="AI36" s="9">
        <f ca="1">TarifaMedia!$G$28</f>
        <v>1</v>
      </c>
      <c r="AJ36" s="15">
        <f>'TE BE'!$AB36+'TE BF'!$AB36+'TE CVA'!$AB36</f>
        <v>287.16392669686104</v>
      </c>
      <c r="AK36" s="9">
        <v>262.52999999999997</v>
      </c>
      <c r="AL36" s="9">
        <f t="shared" ca="1" si="5"/>
        <v>-24.633926696861067</v>
      </c>
      <c r="AO36" s="87" t="s">
        <v>856</v>
      </c>
    </row>
    <row r="37" spans="1:41" ht="11.25" customHeight="1" x14ac:dyDescent="0.3">
      <c r="A37" s="151" t="s">
        <v>32</v>
      </c>
      <c r="B37" s="151" t="s">
        <v>77</v>
      </c>
      <c r="C37" s="151" t="s">
        <v>25</v>
      </c>
      <c r="D37" s="151" t="s">
        <v>25</v>
      </c>
      <c r="E37" s="151" t="s">
        <v>25</v>
      </c>
      <c r="F37" s="151" t="s">
        <v>25</v>
      </c>
      <c r="G37" s="29" t="s">
        <v>79</v>
      </c>
      <c r="H37" s="29" t="s">
        <v>78</v>
      </c>
      <c r="I37" s="29">
        <f>'MERCADO TE'!$U$34</f>
        <v>4.4679999999999991</v>
      </c>
      <c r="J37" s="15"/>
      <c r="L37" s="26">
        <f>'TE BE'!$L$37*'TE BE'!$L$50</f>
        <v>1.3276072517686684E-6</v>
      </c>
      <c r="M37" s="26">
        <f>'TE BE'!$M$37*'TE BE'!$M$50</f>
        <v>0</v>
      </c>
      <c r="N37" s="26">
        <f>'TE BE'!$N$37*'TE BE'!$N$50</f>
        <v>0</v>
      </c>
      <c r="O37" s="26">
        <f>'TE BE'!$O$37*'TE BE'!$O$50</f>
        <v>-3.7153476583987141E-2</v>
      </c>
      <c r="P37" s="26">
        <f>'TE BE'!$P$37*'TE BE'!$P$50</f>
        <v>0</v>
      </c>
      <c r="Q37" s="26">
        <f>SUM($L$37:$P$37)</f>
        <v>-3.7152148976735369E-2</v>
      </c>
      <c r="R37" s="26">
        <f>'TE BE'!$R$37*'TE BE'!$R$50</f>
        <v>2.0491450132592277</v>
      </c>
      <c r="S37" s="26">
        <f>SUM($R$37:$R$37)</f>
        <v>2.0491450132592277</v>
      </c>
      <c r="T37" s="26">
        <f>'TE BE'!$T$37*'TE BE'!$T$50</f>
        <v>0</v>
      </c>
      <c r="U37" s="26">
        <f>'TE BE'!$U$37*'TE BE'!$U$50</f>
        <v>0</v>
      </c>
      <c r="V37" s="26">
        <f>'TE BE'!$V$37*'TE BE'!$V$50</f>
        <v>0</v>
      </c>
      <c r="W37" s="26">
        <f>SUM($T$37:$V$37)</f>
        <v>0</v>
      </c>
      <c r="X37" s="26">
        <f>'TE BE'!$AB$37*'TE BE'!$X$50</f>
        <v>-18.835009395888743</v>
      </c>
      <c r="Y37" s="26">
        <f>SUM($X$37:$X$37)</f>
        <v>-18.835009395888743</v>
      </c>
      <c r="Z37" s="26">
        <f>'TE BE'!$Z$37*'TE BE'!$Z$50</f>
        <v>0</v>
      </c>
      <c r="AA37" s="26">
        <f>SUM($Z$37:$Z$37)</f>
        <v>0</v>
      </c>
      <c r="AB37" s="26">
        <f ca="1">SUMIF($L$4:$AA$4,"SUBTOTAL",$L$37:$AA$37)+AL37</f>
        <v>-78.043303228062996</v>
      </c>
      <c r="AC37" s="9" t="str">
        <f t="shared" si="0"/>
        <v>B3</v>
      </c>
      <c r="AD37" s="9" t="str">
        <f t="shared" si="1"/>
        <v>Energia horária</v>
      </c>
      <c r="AE37" s="9" t="str">
        <f t="shared" si="2"/>
        <v>Não se aplica</v>
      </c>
      <c r="AF37" s="9" t="str">
        <f t="shared" si="3"/>
        <v>Não se aplica</v>
      </c>
      <c r="AG37" s="9" t="str">
        <f t="shared" si="4"/>
        <v>Não se aplica</v>
      </c>
      <c r="AH37" s="9">
        <v>1</v>
      </c>
      <c r="AI37" s="9">
        <f ca="1">TarifaMedia!$G$28</f>
        <v>1</v>
      </c>
      <c r="AJ37" s="15">
        <f>'TE BE'!$AB37+'TE BF'!$AB37+'TE CVA'!$AB37</f>
        <v>461.06028669645673</v>
      </c>
      <c r="AK37" s="9">
        <v>399.84</v>
      </c>
      <c r="AL37" s="9">
        <f t="shared" ca="1" si="5"/>
        <v>-61.220286696456753</v>
      </c>
      <c r="AO37" s="87" t="s">
        <v>863</v>
      </c>
    </row>
    <row r="38" spans="1:41" ht="11.25" customHeight="1" x14ac:dyDescent="0.3">
      <c r="A38" s="151"/>
      <c r="B38" s="151"/>
      <c r="C38" s="151"/>
      <c r="D38" s="151"/>
      <c r="E38" s="151"/>
      <c r="F38" s="151"/>
      <c r="G38" s="29" t="s">
        <v>89</v>
      </c>
      <c r="H38" s="29" t="s">
        <v>78</v>
      </c>
      <c r="I38" s="29">
        <f>'MERCADO TE'!$U$35</f>
        <v>4.7860000000000005</v>
      </c>
      <c r="J38" s="15"/>
      <c r="L38" s="26">
        <f>'TE BE'!$L$38*'TE BE'!$L$50</f>
        <v>1.3276072517686684E-6</v>
      </c>
      <c r="M38" s="26">
        <f>'TE BE'!$M$38*'TE BE'!$M$50</f>
        <v>0</v>
      </c>
      <c r="N38" s="26">
        <f>'TE BE'!$N$38*'TE BE'!$N$50</f>
        <v>0</v>
      </c>
      <c r="O38" s="26">
        <f>'TE BE'!$O$38*'TE BE'!$O$50</f>
        <v>-3.7153476583987141E-2</v>
      </c>
      <c r="P38" s="26">
        <f>'TE BE'!$P$38*'TE BE'!$P$50</f>
        <v>0</v>
      </c>
      <c r="Q38" s="26">
        <f>SUM($L$38:$P$38)</f>
        <v>-3.7152148976735369E-2</v>
      </c>
      <c r="R38" s="26">
        <f>'TE BE'!$R$38*'TE BE'!$R$50</f>
        <v>1.1913633798018768</v>
      </c>
      <c r="S38" s="26">
        <f>SUM($R$38:$R$38)</f>
        <v>1.1913633798018768</v>
      </c>
      <c r="T38" s="26">
        <f>'TE BE'!$T$38*'TE BE'!$T$50</f>
        <v>0</v>
      </c>
      <c r="U38" s="26">
        <f>'TE BE'!$U$38*'TE BE'!$U$50</f>
        <v>0</v>
      </c>
      <c r="V38" s="26">
        <f>'TE BE'!$V$38*'TE BE'!$V$50</f>
        <v>0</v>
      </c>
      <c r="W38" s="26">
        <f>SUM($T$38:$V$38)</f>
        <v>0</v>
      </c>
      <c r="X38" s="26">
        <f>'TE BE'!$AB$38*'TE BE'!$X$50</f>
        <v>-11.078916475296824</v>
      </c>
      <c r="Y38" s="26">
        <f>SUM($X$38:$X$38)</f>
        <v>-11.078916475296824</v>
      </c>
      <c r="Z38" s="26">
        <f>'TE BE'!$Z$38*'TE BE'!$Z$50</f>
        <v>0</v>
      </c>
      <c r="AA38" s="26">
        <f>SUM($Z$38:$Z$38)</f>
        <v>0</v>
      </c>
      <c r="AB38" s="26">
        <f ca="1">SUMIF($L$4:$AA$4,"SUBTOTAL",$L$38:$AA$38)+AL38</f>
        <v>-31.239871941369444</v>
      </c>
      <c r="AC38" s="9" t="str">
        <f t="shared" si="0"/>
        <v>B3</v>
      </c>
      <c r="AD38" s="9" t="str">
        <f t="shared" si="1"/>
        <v>Energia horária</v>
      </c>
      <c r="AE38" s="9" t="str">
        <f t="shared" si="2"/>
        <v>Não se aplica</v>
      </c>
      <c r="AF38" s="9" t="str">
        <f t="shared" si="3"/>
        <v>Não se aplica</v>
      </c>
      <c r="AG38" s="9" t="str">
        <f t="shared" si="4"/>
        <v>Não se aplica</v>
      </c>
      <c r="AH38" s="9">
        <v>1</v>
      </c>
      <c r="AI38" s="9">
        <f ca="1">TarifaMedia!$G$28</f>
        <v>1</v>
      </c>
      <c r="AJ38" s="15">
        <f>'TE BE'!$AB38+'TE BF'!$AB38+'TE CVA'!$AB38</f>
        <v>271.35516669689775</v>
      </c>
      <c r="AK38" s="9">
        <v>250.04</v>
      </c>
      <c r="AL38" s="9">
        <f t="shared" ca="1" si="5"/>
        <v>-21.315166696897762</v>
      </c>
      <c r="AO38" s="87" t="s">
        <v>864</v>
      </c>
    </row>
    <row r="39" spans="1:41" ht="11.25" customHeight="1" x14ac:dyDescent="0.3">
      <c r="A39" s="151"/>
      <c r="B39" s="151"/>
      <c r="C39" s="151"/>
      <c r="D39" s="151"/>
      <c r="E39" s="151"/>
      <c r="F39" s="151"/>
      <c r="G39" s="29" t="s">
        <v>80</v>
      </c>
      <c r="H39" s="29" t="s">
        <v>78</v>
      </c>
      <c r="I39" s="29">
        <f>'MERCADO TE'!$U$36</f>
        <v>153.63399999999999</v>
      </c>
      <c r="J39" s="15"/>
      <c r="L39" s="26">
        <f>'TE BE'!$L$39*'TE BE'!$L$50</f>
        <v>1.3276072517686684E-6</v>
      </c>
      <c r="M39" s="26">
        <f>'TE BE'!$M$39*'TE BE'!$M$50</f>
        <v>0</v>
      </c>
      <c r="N39" s="26">
        <f>'TE BE'!$N$39*'TE BE'!$N$50</f>
        <v>0</v>
      </c>
      <c r="O39" s="26">
        <f>'TE BE'!$O$39*'TE BE'!$O$50</f>
        <v>-3.7153476583987141E-2</v>
      </c>
      <c r="P39" s="26">
        <f>'TE BE'!$P$39*'TE BE'!$P$50</f>
        <v>0</v>
      </c>
      <c r="Q39" s="26">
        <f>SUM($L$39:$P$39)</f>
        <v>-3.7152148976735369E-2</v>
      </c>
      <c r="R39" s="26">
        <f>'TE BE'!$R$39*'TE BE'!$R$50</f>
        <v>1.1913633798018768</v>
      </c>
      <c r="S39" s="26">
        <f>SUM($R$39:$R$39)</f>
        <v>1.1913633798018768</v>
      </c>
      <c r="T39" s="26">
        <f>'TE BE'!$T$39*'TE BE'!$T$50</f>
        <v>0</v>
      </c>
      <c r="U39" s="26">
        <f>'TE BE'!$U$39*'TE BE'!$U$50</f>
        <v>0</v>
      </c>
      <c r="V39" s="26">
        <f>'TE BE'!$V$39*'TE BE'!$V$50</f>
        <v>0</v>
      </c>
      <c r="W39" s="26">
        <f>SUM($T$39:$V$39)</f>
        <v>0</v>
      </c>
      <c r="X39" s="26">
        <f>'TE BE'!$AB$39*'TE BE'!$X$50</f>
        <v>-11.078916475296824</v>
      </c>
      <c r="Y39" s="26">
        <f>SUM($X$39:$X$39)</f>
        <v>-11.078916475296824</v>
      </c>
      <c r="Z39" s="26">
        <f>'TE BE'!$Z$39*'TE BE'!$Z$50</f>
        <v>0</v>
      </c>
      <c r="AA39" s="26">
        <f>SUM($Z$39:$Z$39)</f>
        <v>0</v>
      </c>
      <c r="AB39" s="26">
        <f ca="1">SUMIF($L$4:$AA$4,"SUBTOTAL",$L$39:$AA$39)+AL39</f>
        <v>-31.239871941369444</v>
      </c>
      <c r="AC39" s="9" t="str">
        <f t="shared" si="0"/>
        <v>B3</v>
      </c>
      <c r="AD39" s="9" t="str">
        <f t="shared" si="1"/>
        <v>Energia horária</v>
      </c>
      <c r="AE39" s="9" t="str">
        <f t="shared" si="2"/>
        <v>Não se aplica</v>
      </c>
      <c r="AF39" s="9" t="str">
        <f t="shared" si="3"/>
        <v>Não se aplica</v>
      </c>
      <c r="AG39" s="9" t="str">
        <f t="shared" si="4"/>
        <v>Não se aplica</v>
      </c>
      <c r="AH39" s="9">
        <v>1</v>
      </c>
      <c r="AI39" s="9">
        <f ca="1">TarifaMedia!$G$28</f>
        <v>1</v>
      </c>
      <c r="AJ39" s="15">
        <f>'TE BE'!$AB39+'TE BF'!$AB39+'TE CVA'!$AB39</f>
        <v>271.35516669689775</v>
      </c>
      <c r="AK39" s="9">
        <v>250.04</v>
      </c>
      <c r="AL39" s="9">
        <f t="shared" ca="1" si="5"/>
        <v>-21.315166696897762</v>
      </c>
      <c r="AO39" s="87" t="s">
        <v>865</v>
      </c>
    </row>
    <row r="40" spans="1:41" ht="11.25" customHeight="1" x14ac:dyDescent="0.3">
      <c r="A40" s="151"/>
      <c r="B40" s="28" t="s">
        <v>90</v>
      </c>
      <c r="C40" s="28" t="s">
        <v>25</v>
      </c>
      <c r="D40" s="28" t="s">
        <v>25</v>
      </c>
      <c r="E40" s="28" t="s">
        <v>25</v>
      </c>
      <c r="F40" s="28" t="s">
        <v>25</v>
      </c>
      <c r="G40" s="29" t="s">
        <v>84</v>
      </c>
      <c r="H40" s="29" t="s">
        <v>78</v>
      </c>
      <c r="I40" s="29">
        <f>'MERCADO TE'!$U$37</f>
        <v>6434.8159999999998</v>
      </c>
      <c r="J40" s="15"/>
      <c r="L40" s="26">
        <f>'TE BE'!$L$40*'TE BE'!$L$50</f>
        <v>1.3276072517686684E-6</v>
      </c>
      <c r="M40" s="26">
        <f>'TE BE'!$M$40*'TE BE'!$M$50</f>
        <v>0</v>
      </c>
      <c r="N40" s="26">
        <f>'TE BE'!$N$40*'TE BE'!$N$50</f>
        <v>0</v>
      </c>
      <c r="O40" s="26">
        <f>'TE BE'!$O$40*'TE BE'!$O$50</f>
        <v>-3.7153476583987141E-2</v>
      </c>
      <c r="P40" s="26">
        <f>'TE BE'!$P$40*'TE BE'!$P$50</f>
        <v>0</v>
      </c>
      <c r="Q40" s="26">
        <f>SUM($L$40:$P$40)</f>
        <v>-3.7152148976735369E-2</v>
      </c>
      <c r="R40" s="26">
        <f>'TE BE'!$R$40*'TE BE'!$R$50</f>
        <v>1.2628451825899896</v>
      </c>
      <c r="S40" s="26">
        <f>SUM($R$40:$R$40)</f>
        <v>1.2628451825899896</v>
      </c>
      <c r="T40" s="26">
        <f>'TE BE'!$T$40*'TE BE'!$T$50</f>
        <v>0</v>
      </c>
      <c r="U40" s="26">
        <f>'TE BE'!$U$40*'TE BE'!$U$50</f>
        <v>0</v>
      </c>
      <c r="V40" s="26">
        <f>'TE BE'!$V$40*'TE BE'!$V$50</f>
        <v>0</v>
      </c>
      <c r="W40" s="26">
        <f>SUM($T$40:$V$40)</f>
        <v>0</v>
      </c>
      <c r="X40" s="26">
        <f>'TE BE'!$AB$40*'TE BE'!$X$50</f>
        <v>-11.725257552012819</v>
      </c>
      <c r="Y40" s="26">
        <f>SUM($X$40:$X$40)</f>
        <v>-11.725257552012819</v>
      </c>
      <c r="Z40" s="26">
        <f>'TE BE'!$Z$40*'TE BE'!$Z$50</f>
        <v>0</v>
      </c>
      <c r="AA40" s="26">
        <f>SUM($Z$40:$Z$40)</f>
        <v>0</v>
      </c>
      <c r="AB40" s="26">
        <f ca="1">SUMIF($L$4:$AA$4,"SUBTOTAL",$L$40:$AA$40)+AL40</f>
        <v>-35.133491215260634</v>
      </c>
      <c r="AC40" s="9" t="str">
        <f t="shared" si="0"/>
        <v>B3</v>
      </c>
      <c r="AD40" s="9" t="str">
        <f t="shared" si="1"/>
        <v>Energia convencional</v>
      </c>
      <c r="AE40" s="9" t="str">
        <f t="shared" si="2"/>
        <v>Não se aplica</v>
      </c>
      <c r="AF40" s="9" t="str">
        <f t="shared" si="3"/>
        <v>Não se aplica</v>
      </c>
      <c r="AG40" s="9" t="str">
        <f t="shared" si="4"/>
        <v>Não se aplica</v>
      </c>
      <c r="AH40" s="9">
        <v>1</v>
      </c>
      <c r="AI40" s="9">
        <f ca="1">TarifaMedia!$G$28</f>
        <v>1</v>
      </c>
      <c r="AJ40" s="15">
        <f>'TE BE'!$AB40+'TE BF'!$AB40+'TE CVA'!$AB40</f>
        <v>287.16392669686104</v>
      </c>
      <c r="AK40" s="9">
        <v>262.52999999999997</v>
      </c>
      <c r="AL40" s="9">
        <f t="shared" ca="1" si="5"/>
        <v>-24.633926696861067</v>
      </c>
      <c r="AO40" s="87" t="s">
        <v>866</v>
      </c>
    </row>
    <row r="41" spans="1:41" ht="11.25" customHeight="1" x14ac:dyDescent="0.3">
      <c r="A41" s="151"/>
      <c r="B41" s="28" t="s">
        <v>91</v>
      </c>
      <c r="C41" s="28" t="s">
        <v>25</v>
      </c>
      <c r="D41" s="28" t="s">
        <v>25</v>
      </c>
      <c r="E41" s="28" t="s">
        <v>25</v>
      </c>
      <c r="F41" s="28" t="s">
        <v>25</v>
      </c>
      <c r="G41" s="29" t="s">
        <v>84</v>
      </c>
      <c r="H41" s="29" t="s">
        <v>78</v>
      </c>
      <c r="I41" s="29">
        <f>'MERCADO TE'!$U$38</f>
        <v>0</v>
      </c>
      <c r="J41" s="15"/>
      <c r="L41" s="26">
        <f>'TE BE'!$L$41*'TE BE'!$L$50</f>
        <v>1.3276072517686684E-6</v>
      </c>
      <c r="M41" s="26">
        <f>'TE BE'!$M$41*'TE BE'!$M$50</f>
        <v>0</v>
      </c>
      <c r="N41" s="26">
        <f>'TE BE'!$N$41*'TE BE'!$N$50</f>
        <v>0</v>
      </c>
      <c r="O41" s="26">
        <f>'TE BE'!$O$41*'TE BE'!$O$50</f>
        <v>-3.7153476583987141E-2</v>
      </c>
      <c r="P41" s="26">
        <f>'TE BE'!$P$41*'TE BE'!$P$50</f>
        <v>0</v>
      </c>
      <c r="Q41" s="26">
        <f>SUM($L$41:$P$41)</f>
        <v>-3.7152148976735369E-2</v>
      </c>
      <c r="R41" s="26">
        <f>'TE BE'!$R$41*'TE BE'!$R$50</f>
        <v>1.2628451825899896</v>
      </c>
      <c r="S41" s="26">
        <f>SUM($R$41:$R$41)</f>
        <v>1.2628451825899896</v>
      </c>
      <c r="T41" s="26">
        <f>'TE BE'!$T$41*'TE BE'!$T$50</f>
        <v>0</v>
      </c>
      <c r="U41" s="26">
        <f>'TE BE'!$U$41*'TE BE'!$U$50</f>
        <v>0</v>
      </c>
      <c r="V41" s="26">
        <f>'TE BE'!$V$41*'TE BE'!$V$50</f>
        <v>0</v>
      </c>
      <c r="W41" s="26">
        <f>SUM($T$41:$V$41)</f>
        <v>0</v>
      </c>
      <c r="X41" s="26">
        <f>'TE BE'!$AB$41*'TE BE'!$X$50</f>
        <v>-11.725257552012819</v>
      </c>
      <c r="Y41" s="26">
        <f>SUM($X$41:$X$41)</f>
        <v>-11.725257552012819</v>
      </c>
      <c r="Z41" s="26">
        <f>'TE BE'!$Z$41*'TE BE'!$Z$50</f>
        <v>0</v>
      </c>
      <c r="AA41" s="26">
        <f>SUM($Z$41:$Z$41)</f>
        <v>0</v>
      </c>
      <c r="AB41" s="26">
        <f ca="1">SUMIF($L$4:$AA$4,"SUBTOTAL",$L$41:$AA$41)+AL41</f>
        <v>-35.133491215260634</v>
      </c>
      <c r="AC41" s="9" t="str">
        <f t="shared" si="0"/>
        <v>B3</v>
      </c>
      <c r="AD41" s="9" t="str">
        <f t="shared" si="1"/>
        <v>Energia convencional pré-pagamento</v>
      </c>
      <c r="AE41" s="9" t="str">
        <f t="shared" si="2"/>
        <v>Não se aplica</v>
      </c>
      <c r="AF41" s="9" t="str">
        <f t="shared" si="3"/>
        <v>Não se aplica</v>
      </c>
      <c r="AG41" s="9" t="str">
        <f t="shared" si="4"/>
        <v>Não se aplica</v>
      </c>
      <c r="AH41" s="9">
        <v>1</v>
      </c>
      <c r="AI41" s="9">
        <f ca="1">TarifaMedia!$G$28</f>
        <v>1</v>
      </c>
      <c r="AJ41" s="15">
        <f>'TE BE'!$AB41+'TE BF'!$AB41+'TE CVA'!$AB41</f>
        <v>287.16392669686104</v>
      </c>
      <c r="AK41" s="9">
        <v>262.52999999999997</v>
      </c>
      <c r="AL41" s="9">
        <f t="shared" ca="1" si="5"/>
        <v>-24.633926696861067</v>
      </c>
      <c r="AO41" s="87" t="s">
        <v>867</v>
      </c>
    </row>
    <row r="42" spans="1:41" ht="11.25" customHeight="1" x14ac:dyDescent="0.3">
      <c r="A42" s="151" t="s">
        <v>44</v>
      </c>
      <c r="B42" s="151" t="s">
        <v>90</v>
      </c>
      <c r="C42" s="151" t="s">
        <v>45</v>
      </c>
      <c r="D42" s="28" t="s">
        <v>46</v>
      </c>
      <c r="E42" s="28" t="s">
        <v>25</v>
      </c>
      <c r="F42" s="28" t="s">
        <v>25</v>
      </c>
      <c r="G42" s="29" t="s">
        <v>84</v>
      </c>
      <c r="H42" s="29" t="s">
        <v>78</v>
      </c>
      <c r="I42" s="29">
        <f>'MERCADO TE'!$U$39</f>
        <v>2415.7070000000003</v>
      </c>
      <c r="J42" s="15"/>
      <c r="L42" s="26">
        <f>'TE BE'!$L$42*'TE BE'!$L$50</f>
        <v>7.3018398847276769E-7</v>
      </c>
      <c r="M42" s="26">
        <f>'TE BE'!$M$42*'TE BE'!$M$50</f>
        <v>0</v>
      </c>
      <c r="N42" s="26">
        <f>'TE BE'!$N$42*'TE BE'!$N$50</f>
        <v>0</v>
      </c>
      <c r="O42" s="26">
        <f>'TE BE'!$O$42*'TE BE'!$O$50</f>
        <v>-2.0434412121192926E-2</v>
      </c>
      <c r="P42" s="26">
        <f>'TE BE'!$P$42*'TE BE'!$P$50</f>
        <v>0</v>
      </c>
      <c r="Q42" s="26">
        <f>SUM($L$42:$P$42)</f>
        <v>-2.0433681937204455E-2</v>
      </c>
      <c r="R42" s="26">
        <f>'TE BE'!$R$42*'TE BE'!$R$50</f>
        <v>0.69456485042449423</v>
      </c>
      <c r="S42" s="26">
        <f>SUM($R$42:$R$42)</f>
        <v>0.69456485042449423</v>
      </c>
      <c r="T42" s="26">
        <f>'TE BE'!$T$42*'TE BE'!$T$50</f>
        <v>0</v>
      </c>
      <c r="U42" s="26">
        <f>'TE BE'!$U$42*'TE BE'!$U$50</f>
        <v>0</v>
      </c>
      <c r="V42" s="26">
        <f>'TE BE'!$V$42*'TE BE'!$V$50</f>
        <v>0</v>
      </c>
      <c r="W42" s="26">
        <f>SUM($T$42:$V$42)</f>
        <v>0</v>
      </c>
      <c r="X42" s="26">
        <f>'TE BE'!$AB$42*'TE BE'!$X$50</f>
        <v>-6.4488916536070509</v>
      </c>
      <c r="Y42" s="26">
        <f>SUM($X$42:$X$42)</f>
        <v>-6.4488916536070509</v>
      </c>
      <c r="Z42" s="26">
        <f>'TE BE'!$Z$42*'TE BE'!$Z$50</f>
        <v>0</v>
      </c>
      <c r="AA42" s="26">
        <f>SUM($Z$42:$Z$42)</f>
        <v>0</v>
      </c>
      <c r="AB42" s="26">
        <f ca="1">SUMIF($L$4:$AA$4,"SUBTOTAL",$L$42:$AA$42)+AL42</f>
        <v>-19.324920168393323</v>
      </c>
      <c r="AC42" s="9" t="str">
        <f t="shared" si="0"/>
        <v>B4</v>
      </c>
      <c r="AD42" s="9" t="str">
        <f t="shared" si="1"/>
        <v>Energia convencional</v>
      </c>
      <c r="AE42" s="9" t="str">
        <f t="shared" si="2"/>
        <v>Iluminação pública</v>
      </c>
      <c r="AF42" s="9" t="str">
        <f t="shared" si="3"/>
        <v>Iluminação pública – B4a</v>
      </c>
      <c r="AG42" s="9" t="str">
        <f t="shared" si="4"/>
        <v>Não se aplica</v>
      </c>
      <c r="AH42" s="9">
        <v>1</v>
      </c>
      <c r="AI42" s="9">
        <f ca="1">TarifaMedia!$G$28</f>
        <v>1</v>
      </c>
      <c r="AJ42" s="15">
        <f>'TE BE'!$AB42+'TE BF'!$AB42+'TE CVA'!$AB42</f>
        <v>157.94015968327355</v>
      </c>
      <c r="AK42" s="9">
        <v>144.38999999999999</v>
      </c>
      <c r="AL42" s="9">
        <f t="shared" ca="1" si="5"/>
        <v>-13.550159683273563</v>
      </c>
      <c r="AO42" s="87" t="s">
        <v>868</v>
      </c>
    </row>
    <row r="43" spans="1:41" ht="11.25" customHeight="1" x14ac:dyDescent="0.3">
      <c r="A43" s="151"/>
      <c r="B43" s="151"/>
      <c r="C43" s="151"/>
      <c r="D43" s="29" t="s">
        <v>95</v>
      </c>
      <c r="E43" s="29" t="s">
        <v>25</v>
      </c>
      <c r="F43" s="29" t="s">
        <v>25</v>
      </c>
      <c r="G43" s="29" t="s">
        <v>84</v>
      </c>
      <c r="H43" s="29" t="s">
        <v>78</v>
      </c>
      <c r="I43" s="29">
        <f>'MERCADO TE'!$U$40</f>
        <v>0</v>
      </c>
      <c r="J43" s="15"/>
      <c r="L43" s="26">
        <f>'TE BE'!$L$43*'TE BE'!$L$50</f>
        <v>7.9656435106120098E-7</v>
      </c>
      <c r="M43" s="26">
        <f>'TE BE'!$M$43*'TE BE'!$M$50</f>
        <v>0</v>
      </c>
      <c r="N43" s="26">
        <f>'TE BE'!$N$43*'TE BE'!$N$50</f>
        <v>0</v>
      </c>
      <c r="O43" s="26">
        <f>'TE BE'!$O$43*'TE BE'!$O$50</f>
        <v>-2.2292085950392285E-2</v>
      </c>
      <c r="P43" s="26">
        <f>'TE BE'!$P$43*'TE BE'!$P$50</f>
        <v>0</v>
      </c>
      <c r="Q43" s="26">
        <f>SUM($L$43:$P$43)</f>
        <v>-2.2291289386041226E-2</v>
      </c>
      <c r="R43" s="26">
        <f>'TE BE'!$R$43*'TE BE'!$R$50</f>
        <v>0.75770710955399367</v>
      </c>
      <c r="S43" s="26">
        <f>SUM($R$43:$R$43)</f>
        <v>0.75770710955399367</v>
      </c>
      <c r="T43" s="26">
        <f>'TE BE'!$T$43*'TE BE'!$T$50</f>
        <v>0</v>
      </c>
      <c r="U43" s="26">
        <f>'TE BE'!$U$43*'TE BE'!$U$50</f>
        <v>0</v>
      </c>
      <c r="V43" s="26">
        <f>'TE BE'!$V$43*'TE BE'!$V$50</f>
        <v>0</v>
      </c>
      <c r="W43" s="26">
        <f>SUM($T$43:$V$43)</f>
        <v>0</v>
      </c>
      <c r="X43" s="26">
        <f>'TE BE'!$AB$43*'TE BE'!$X$50</f>
        <v>-7.0351545312076906</v>
      </c>
      <c r="Y43" s="26">
        <f>SUM($X$43:$X$43)</f>
        <v>-7.0351545312076906</v>
      </c>
      <c r="Z43" s="26">
        <f>'TE BE'!$Z$43*'TE BE'!$Z$50</f>
        <v>0</v>
      </c>
      <c r="AA43" s="26">
        <f>SUM($Z$43:$Z$43)</f>
        <v>0</v>
      </c>
      <c r="AB43" s="26">
        <f ca="1">SUMIF($L$4:$AA$4,"SUBTOTAL",$L$43:$AA$43)+AL43</f>
        <v>-21.078094729156334</v>
      </c>
      <c r="AC43" s="9" t="str">
        <f t="shared" si="0"/>
        <v>B4</v>
      </c>
      <c r="AD43" s="9" t="str">
        <f t="shared" si="1"/>
        <v>Energia convencional</v>
      </c>
      <c r="AE43" s="9" t="str">
        <f t="shared" si="2"/>
        <v>Iluminação pública</v>
      </c>
      <c r="AF43" s="9" t="str">
        <f t="shared" si="3"/>
        <v>Iluminação pública – B4b</v>
      </c>
      <c r="AG43" s="9" t="str">
        <f t="shared" si="4"/>
        <v>Não se aplica</v>
      </c>
      <c r="AH43" s="9">
        <v>1</v>
      </c>
      <c r="AI43" s="9">
        <f ca="1">TarifaMedia!$G$28</f>
        <v>1</v>
      </c>
      <c r="AJ43" s="15">
        <f>'TE BE'!$AB43+'TE BF'!$AB43+'TE CVA'!$AB43</f>
        <v>172.29835601811661</v>
      </c>
      <c r="AK43" s="9">
        <v>157.52000000000001</v>
      </c>
      <c r="AL43" s="9">
        <f t="shared" ca="1" si="5"/>
        <v>-14.778356018116597</v>
      </c>
      <c r="AO43" s="87" t="s">
        <v>869</v>
      </c>
    </row>
    <row r="45" spans="1:41" ht="11.25" customHeight="1" x14ac:dyDescent="0.3">
      <c r="K45" s="31" t="s">
        <v>610</v>
      </c>
      <c r="L45" s="26">
        <f t="shared" ref="L45:AB45" si="6">SUMPRODUCT($I$5:$I$43,L$5:L$43)</f>
        <v>3.53414010892555E-2</v>
      </c>
      <c r="M45" s="26">
        <f t="shared" si="6"/>
        <v>0</v>
      </c>
      <c r="N45" s="26">
        <f t="shared" si="6"/>
        <v>0</v>
      </c>
      <c r="O45" s="26">
        <f t="shared" si="6"/>
        <v>-989.03942869072841</v>
      </c>
      <c r="P45" s="26">
        <f t="shared" si="6"/>
        <v>0</v>
      </c>
      <c r="Q45" s="26">
        <f t="shared" si="6"/>
        <v>-989.00408728963885</v>
      </c>
      <c r="R45" s="26">
        <f t="shared" si="6"/>
        <v>33591.423936014631</v>
      </c>
      <c r="S45" s="26">
        <f t="shared" si="6"/>
        <v>33591.423936014631</v>
      </c>
      <c r="T45" s="26">
        <f t="shared" si="6"/>
        <v>0</v>
      </c>
      <c r="U45" s="26">
        <f t="shared" si="6"/>
        <v>0</v>
      </c>
      <c r="V45" s="26">
        <f t="shared" si="6"/>
        <v>0</v>
      </c>
      <c r="W45" s="26">
        <f t="shared" si="6"/>
        <v>0</v>
      </c>
      <c r="X45" s="26">
        <f t="shared" si="6"/>
        <v>-311895.76460246753</v>
      </c>
      <c r="Y45" s="26">
        <f t="shared" si="6"/>
        <v>-311895.76460246753</v>
      </c>
      <c r="Z45" s="26">
        <f t="shared" si="6"/>
        <v>0</v>
      </c>
      <c r="AA45" s="26">
        <f t="shared" si="6"/>
        <v>0</v>
      </c>
      <c r="AB45" s="26">
        <f t="shared" ca="1" si="6"/>
        <v>-933875.6840197806</v>
      </c>
    </row>
    <row r="46" spans="1:41" ht="11.25" customHeight="1" x14ac:dyDescent="0.3">
      <c r="K46" s="31" t="s">
        <v>529</v>
      </c>
      <c r="L46" s="26">
        <f>CUSTOS!$D$30</f>
        <v>82257.56100855222</v>
      </c>
      <c r="M46" s="26">
        <f>CUSTOS!$D$31</f>
        <v>0</v>
      </c>
      <c r="N46" s="26">
        <f>CUSTOS!$D$32</f>
        <v>0</v>
      </c>
      <c r="O46" s="26">
        <f>CUSTOS!$D$33</f>
        <v>125479.99392871892</v>
      </c>
      <c r="P46" s="26">
        <f>CUSTOS!$D$34</f>
        <v>0</v>
      </c>
      <c r="Q46" s="26">
        <f>CUSTOS!$D$35</f>
        <v>207737.55493727114</v>
      </c>
      <c r="R46" s="26">
        <f>CUSTOS!$D$36</f>
        <v>7731659.0407707803</v>
      </c>
      <c r="S46" s="26">
        <f>CUSTOS!$D$37</f>
        <v>7731659.0407707803</v>
      </c>
      <c r="T46" s="26">
        <f>CUSTOS!$D$38</f>
        <v>0</v>
      </c>
      <c r="U46" s="26">
        <f>CUSTOS!$D$39</f>
        <v>0</v>
      </c>
      <c r="V46" s="26">
        <f>CUSTOS!$D$40</f>
        <v>0</v>
      </c>
      <c r="W46" s="26">
        <f>CUSTOS!$D$41</f>
        <v>0</v>
      </c>
      <c r="X46" s="26">
        <f>CUSTOS!$D$42</f>
        <v>0</v>
      </c>
      <c r="Y46" s="26">
        <f>CUSTOS!$D$43</f>
        <v>0</v>
      </c>
      <c r="Z46" s="26">
        <f>CUSTOS!$D$44</f>
        <v>0</v>
      </c>
      <c r="AA46" s="26">
        <f>CUSTOS!$D$45</f>
        <v>0</v>
      </c>
      <c r="AB46" s="26">
        <f>CUSTOS!$D$46</f>
        <v>7939396.5957080517</v>
      </c>
    </row>
    <row r="47" spans="1:41" ht="11.25" customHeight="1" x14ac:dyDescent="0.3">
      <c r="K47" s="31" t="s">
        <v>530</v>
      </c>
      <c r="L47" s="26">
        <f>CUSTOS!$E$30</f>
        <v>3.53414010892555E-2</v>
      </c>
      <c r="M47" s="26">
        <f>CUSTOS!$E$31</f>
        <v>0</v>
      </c>
      <c r="N47" s="26">
        <f>CUSTOS!$E$32</f>
        <v>0</v>
      </c>
      <c r="O47" s="26">
        <f>CUSTOS!$E$33</f>
        <v>-989.03942869072853</v>
      </c>
      <c r="P47" s="26">
        <f>CUSTOS!$E$34</f>
        <v>0</v>
      </c>
      <c r="Q47" s="26">
        <f>CUSTOS!$E$35</f>
        <v>-989.0040872896393</v>
      </c>
      <c r="R47" s="26">
        <f>CUSTOS!$E$36</f>
        <v>33591.423936014617</v>
      </c>
      <c r="S47" s="26">
        <f>CUSTOS!$E$37</f>
        <v>33591.423936014617</v>
      </c>
      <c r="T47" s="26">
        <f>CUSTOS!$E$38</f>
        <v>0</v>
      </c>
      <c r="U47" s="26">
        <f>CUSTOS!$E$39</f>
        <v>0</v>
      </c>
      <c r="V47" s="26">
        <f>CUSTOS!$E$40</f>
        <v>0</v>
      </c>
      <c r="W47" s="26">
        <f>CUSTOS!$E$41</f>
        <v>0</v>
      </c>
      <c r="X47" s="26">
        <f>CUSTOS!$E$42</f>
        <v>-311895.76460246748</v>
      </c>
      <c r="Y47" s="26">
        <f>CUSTOS!$E$43</f>
        <v>-311895.76460246748</v>
      </c>
      <c r="Z47" s="26">
        <f>CUSTOS!$E$44</f>
        <v>0</v>
      </c>
      <c r="AA47" s="26">
        <f>CUSTOS!$E$45</f>
        <v>0</v>
      </c>
      <c r="AB47" s="26">
        <f>CUSTOS!$E$46</f>
        <v>-279293.34475374251</v>
      </c>
    </row>
    <row r="48" spans="1:41" ht="11.25" customHeight="1" x14ac:dyDescent="0.3">
      <c r="K48" s="31" t="s">
        <v>531</v>
      </c>
      <c r="L48" s="26">
        <f>CUSTOS!$F$30</f>
        <v>0</v>
      </c>
      <c r="M48" s="26">
        <f>CUSTOS!$F$31</f>
        <v>0</v>
      </c>
      <c r="N48" s="26">
        <f>CUSTOS!$F$32</f>
        <v>0</v>
      </c>
      <c r="O48" s="26">
        <f>CUSTOS!$F$33</f>
        <v>11069.956111878282</v>
      </c>
      <c r="P48" s="26">
        <f>CUSTOS!$F$34</f>
        <v>0</v>
      </c>
      <c r="Q48" s="26">
        <f>CUSTOS!$F$35</f>
        <v>11069.956111878282</v>
      </c>
      <c r="R48" s="26">
        <f>CUSTOS!$F$36</f>
        <v>-32509.338756552352</v>
      </c>
      <c r="S48" s="26">
        <f>CUSTOS!$F$37</f>
        <v>-32509.338756552352</v>
      </c>
      <c r="T48" s="26">
        <f>CUSTOS!$F$38</f>
        <v>0</v>
      </c>
      <c r="U48" s="26">
        <f>CUSTOS!$F$39</f>
        <v>0</v>
      </c>
      <c r="V48" s="26">
        <f>CUSTOS!$F$40</f>
        <v>0</v>
      </c>
      <c r="W48" s="26">
        <f>CUSTOS!$F$41</f>
        <v>0</v>
      </c>
      <c r="X48" s="26">
        <f>CUSTOS!$F$42</f>
        <v>0</v>
      </c>
      <c r="Y48" s="26">
        <f>CUSTOS!$F$43</f>
        <v>0</v>
      </c>
      <c r="Z48" s="26">
        <f>CUSTOS!$F$44</f>
        <v>0</v>
      </c>
      <c r="AA48" s="26">
        <f>CUSTOS!$F$45</f>
        <v>0</v>
      </c>
      <c r="AB48" s="26">
        <f>CUSTOS!$F$46</f>
        <v>-21439.382644674071</v>
      </c>
    </row>
    <row r="49" spans="11:28" ht="11.25" customHeight="1" x14ac:dyDescent="0.3">
      <c r="K49" s="31" t="s">
        <v>611</v>
      </c>
      <c r="L49" s="26">
        <f>'TR TE'!$L$49*L50</f>
        <v>0</v>
      </c>
      <c r="M49" s="26">
        <f>'TR TE'!$M$49*M50</f>
        <v>0</v>
      </c>
      <c r="N49" s="26">
        <f>'TR TE'!$N$49*N50</f>
        <v>0</v>
      </c>
      <c r="O49" s="26">
        <f>'TR TE'!$O$49*O50</f>
        <v>0.41584525677898349</v>
      </c>
      <c r="P49" s="26">
        <f>'TR TE'!$P$49*P50</f>
        <v>0</v>
      </c>
      <c r="Q49" s="26"/>
      <c r="R49" s="26">
        <f>'TR TE'!$R$49*R50</f>
        <v>-1.1982986320755074</v>
      </c>
      <c r="S49" s="26"/>
      <c r="T49" s="26">
        <f>'TR TE'!$T$49*T50</f>
        <v>0</v>
      </c>
      <c r="U49" s="26">
        <f>'TR TE'!$U$49*U50</f>
        <v>0</v>
      </c>
      <c r="V49" s="26">
        <f>'TR TE'!$V$49*V50</f>
        <v>0</v>
      </c>
      <c r="W49" s="26"/>
      <c r="X49" s="26"/>
      <c r="Y49" s="26"/>
      <c r="Z49" s="26">
        <f>'TR TE'!$Z$49*Z50</f>
        <v>0</v>
      </c>
      <c r="AA49" s="26"/>
      <c r="AB49" s="26"/>
    </row>
    <row r="50" spans="11:28" ht="11.25" customHeight="1" x14ac:dyDescent="0.3">
      <c r="K50" s="31" t="s">
        <v>606</v>
      </c>
      <c r="L50" s="26">
        <f>IF(L46&lt;&gt;0,L48/L46,0)</f>
        <v>0</v>
      </c>
      <c r="M50" s="26">
        <f>IF(M46&lt;&gt;0,M48/M46,0)</f>
        <v>0</v>
      </c>
      <c r="N50" s="26">
        <f>IF(N46&lt;&gt;0,N48/N46,0)</f>
        <v>0</v>
      </c>
      <c r="O50" s="26">
        <f>IF(O46&lt;&gt;0,O48/O46,0)</f>
        <v>8.8220884981607212E-2</v>
      </c>
      <c r="P50" s="26">
        <f>IF(P46&lt;&gt;0,P48/P46,0)</f>
        <v>0</v>
      </c>
      <c r="Q50" s="26"/>
      <c r="R50" s="26">
        <f>IF(R46&lt;&gt;0,R48/R46,0)</f>
        <v>-4.2047041372522097E-3</v>
      </c>
      <c r="S50" s="26"/>
      <c r="T50" s="26">
        <f>IF(T46&lt;&gt;0,T48/T46,0)</f>
        <v>0</v>
      </c>
      <c r="U50" s="26">
        <f>IF(U46&lt;&gt;0,U48/U46,0)</f>
        <v>0</v>
      </c>
      <c r="V50" s="26">
        <f>IF(V46&lt;&gt;0,V48/V46,0)</f>
        <v>0</v>
      </c>
      <c r="W50" s="26"/>
      <c r="X50" s="26">
        <f>IF($AB46&lt;&gt;0,X48/($AB46-SUM('TR TE'!$L49:'TR TE'!$AA49)*0),0)</f>
        <v>0</v>
      </c>
      <c r="Y50" s="26"/>
      <c r="Z50" s="26">
        <f>IF(Z46&lt;&gt;0,Z48/Z46,0)</f>
        <v>0</v>
      </c>
      <c r="AA50" s="26"/>
      <c r="AB50" s="26"/>
    </row>
    <row r="51" spans="11:28" ht="11.25" customHeight="1" x14ac:dyDescent="0.3"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</row>
  </sheetData>
  <mergeCells count="78">
    <mergeCell ref="AJ1:AJ4"/>
    <mergeCell ref="AK1:AK4"/>
    <mergeCell ref="AL1:AL4"/>
    <mergeCell ref="AO1:AO4"/>
    <mergeCell ref="AD1:AD4"/>
    <mergeCell ref="AE1:AE4"/>
    <mergeCell ref="AF1:AF4"/>
    <mergeCell ref="AG1:AG4"/>
    <mergeCell ref="AH1:AH4"/>
    <mergeCell ref="AI1:AI4"/>
    <mergeCell ref="E37:E39"/>
    <mergeCell ref="F37:F39"/>
    <mergeCell ref="A42:A43"/>
    <mergeCell ref="B42:B43"/>
    <mergeCell ref="C42:C43"/>
    <mergeCell ref="AC1:AC4"/>
    <mergeCell ref="B34:B36"/>
    <mergeCell ref="C34:C36"/>
    <mergeCell ref="A37:A41"/>
    <mergeCell ref="B37:B39"/>
    <mergeCell ref="C37:C39"/>
    <mergeCell ref="D37:D39"/>
    <mergeCell ref="F26:F28"/>
    <mergeCell ref="B30:B32"/>
    <mergeCell ref="C30:C32"/>
    <mergeCell ref="D30:D32"/>
    <mergeCell ref="E30:E32"/>
    <mergeCell ref="F30:F32"/>
    <mergeCell ref="A22:A36"/>
    <mergeCell ref="B22:B24"/>
    <mergeCell ref="C22:C24"/>
    <mergeCell ref="D22:D24"/>
    <mergeCell ref="E22:E24"/>
    <mergeCell ref="F22:F24"/>
    <mergeCell ref="B26:B28"/>
    <mergeCell ref="C26:C28"/>
    <mergeCell ref="D26:D28"/>
    <mergeCell ref="E26:E28"/>
    <mergeCell ref="A9:A21"/>
    <mergeCell ref="B9:B11"/>
    <mergeCell ref="C9:C11"/>
    <mergeCell ref="D9:D11"/>
    <mergeCell ref="E9:E11"/>
    <mergeCell ref="F9:F11"/>
    <mergeCell ref="B12:B16"/>
    <mergeCell ref="C12:C16"/>
    <mergeCell ref="B17:B21"/>
    <mergeCell ref="C17:C21"/>
    <mergeCell ref="A7:A8"/>
    <mergeCell ref="B7:B8"/>
    <mergeCell ref="C7:C8"/>
    <mergeCell ref="D7:D8"/>
    <mergeCell ref="E7:E8"/>
    <mergeCell ref="F7:F8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5">
    <cfRule type="cellIs" dxfId="251" priority="33" operator="notEqual">
      <formula>$L$47</formula>
    </cfRule>
    <cfRule type="cellIs" dxfId="250" priority="34" operator="equal">
      <formula>$L$47</formula>
    </cfRule>
  </conditionalFormatting>
  <conditionalFormatting sqref="M45">
    <cfRule type="cellIs" dxfId="249" priority="31" operator="notEqual">
      <formula>$M$47</formula>
    </cfRule>
    <cfRule type="cellIs" dxfId="248" priority="32" operator="equal">
      <formula>$M$47</formula>
    </cfRule>
  </conditionalFormatting>
  <conditionalFormatting sqref="N45">
    <cfRule type="cellIs" dxfId="247" priority="29" operator="notEqual">
      <formula>$N$47</formula>
    </cfRule>
    <cfRule type="cellIs" dxfId="246" priority="30" operator="equal">
      <formula>$N$47</formula>
    </cfRule>
  </conditionalFormatting>
  <conditionalFormatting sqref="O45">
    <cfRule type="cellIs" dxfId="245" priority="27" operator="notEqual">
      <formula>$O$47</formula>
    </cfRule>
    <cfRule type="cellIs" dxfId="244" priority="28" operator="equal">
      <formula>$O$47</formula>
    </cfRule>
  </conditionalFormatting>
  <conditionalFormatting sqref="P45">
    <cfRule type="cellIs" dxfId="243" priority="25" operator="notEqual">
      <formula>$P$47</formula>
    </cfRule>
    <cfRule type="cellIs" dxfId="242" priority="26" operator="equal">
      <formula>$P$47</formula>
    </cfRule>
  </conditionalFormatting>
  <conditionalFormatting sqref="Q45">
    <cfRule type="cellIs" dxfId="241" priority="23" operator="notEqual">
      <formula>$Q$47</formula>
    </cfRule>
    <cfRule type="cellIs" dxfId="240" priority="24" operator="equal">
      <formula>$Q$47</formula>
    </cfRule>
  </conditionalFormatting>
  <conditionalFormatting sqref="R45">
    <cfRule type="cellIs" dxfId="239" priority="21" operator="notEqual">
      <formula>$R$47</formula>
    </cfRule>
    <cfRule type="cellIs" dxfId="238" priority="22" operator="equal">
      <formula>$R$47</formula>
    </cfRule>
  </conditionalFormatting>
  <conditionalFormatting sqref="S45">
    <cfRule type="cellIs" dxfId="237" priority="19" operator="notEqual">
      <formula>$S$47</formula>
    </cfRule>
    <cfRule type="cellIs" dxfId="236" priority="20" operator="equal">
      <formula>$S$47</formula>
    </cfRule>
  </conditionalFormatting>
  <conditionalFormatting sqref="T45">
    <cfRule type="cellIs" dxfId="235" priority="17" operator="notEqual">
      <formula>$T$47</formula>
    </cfRule>
    <cfRule type="cellIs" dxfId="234" priority="18" operator="equal">
      <formula>$T$47</formula>
    </cfRule>
  </conditionalFormatting>
  <conditionalFormatting sqref="U45">
    <cfRule type="cellIs" dxfId="233" priority="15" operator="notEqual">
      <formula>$U$47</formula>
    </cfRule>
    <cfRule type="cellIs" dxfId="232" priority="16" operator="equal">
      <formula>$U$47</formula>
    </cfRule>
  </conditionalFormatting>
  <conditionalFormatting sqref="V45">
    <cfRule type="cellIs" dxfId="231" priority="13" operator="notEqual">
      <formula>$V$47</formula>
    </cfRule>
    <cfRule type="cellIs" dxfId="230" priority="14" operator="equal">
      <formula>$V$47</formula>
    </cfRule>
  </conditionalFormatting>
  <conditionalFormatting sqref="W45">
    <cfRule type="cellIs" dxfId="229" priority="11" operator="notEqual">
      <formula>$W$47</formula>
    </cfRule>
    <cfRule type="cellIs" dxfId="228" priority="12" operator="equal">
      <formula>$W$47</formula>
    </cfRule>
  </conditionalFormatting>
  <conditionalFormatting sqref="X45">
    <cfRule type="cellIs" dxfId="227" priority="9" operator="notEqual">
      <formula>$X$47</formula>
    </cfRule>
    <cfRule type="cellIs" dxfId="226" priority="10" operator="equal">
      <formula>$X$47</formula>
    </cfRule>
  </conditionalFormatting>
  <conditionalFormatting sqref="Y45">
    <cfRule type="cellIs" dxfId="225" priority="7" operator="notEqual">
      <formula>$Y$47</formula>
    </cfRule>
    <cfRule type="cellIs" dxfId="224" priority="8" operator="equal">
      <formula>$Y$47</formula>
    </cfRule>
  </conditionalFormatting>
  <conditionalFormatting sqref="Z45">
    <cfRule type="cellIs" dxfId="223" priority="5" operator="notEqual">
      <formula>$Z$47</formula>
    </cfRule>
    <cfRule type="cellIs" dxfId="222" priority="6" operator="equal">
      <formula>$Z$47</formula>
    </cfRule>
  </conditionalFormatting>
  <conditionalFormatting sqref="AA45">
    <cfRule type="cellIs" dxfId="221" priority="3" operator="notEqual">
      <formula>$AA$47</formula>
    </cfRule>
    <cfRule type="cellIs" dxfId="220" priority="4" operator="equal">
      <formula>$AA$47</formula>
    </cfRule>
  </conditionalFormatting>
  <conditionalFormatting sqref="AB45">
    <cfRule type="cellIs" dxfId="219" priority="1" operator="notEqual">
      <formula>$AB$47</formula>
    </cfRule>
    <cfRule type="cellIs" dxfId="218" priority="2" operator="equal">
      <formula>$AB$47</formula>
    </cfRule>
  </conditionalFormatting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7B6EE-7699-485E-B7E7-4BDC179F069B}">
  <sheetPr>
    <tabColor indexed="12" tint="-0.249977111117893"/>
  </sheetPr>
  <dimension ref="A1:J630"/>
  <sheetViews>
    <sheetView workbookViewId="0">
      <selection activeCell="A2" sqref="A2"/>
    </sheetView>
  </sheetViews>
  <sheetFormatPr defaultRowHeight="14.4" x14ac:dyDescent="0.3"/>
  <cols>
    <col min="1" max="1" width="39" bestFit="1" customWidth="1"/>
    <col min="2" max="2" width="27.5546875" style="66" bestFit="1" customWidth="1"/>
    <col min="3" max="3" width="28.77734375" style="66" bestFit="1" customWidth="1"/>
    <col min="4" max="4" width="29.33203125" style="66" bestFit="1" customWidth="1"/>
    <col min="5" max="5" width="30.6640625" style="66" bestFit="1" customWidth="1"/>
    <col min="6" max="6" width="26.88671875" style="66" bestFit="1" customWidth="1"/>
    <col min="7" max="7" width="28.109375" style="66" bestFit="1" customWidth="1"/>
    <col min="8" max="8" width="20.77734375" style="98" bestFit="1" customWidth="1"/>
    <col min="9" max="9" width="18.33203125" style="98" bestFit="1" customWidth="1"/>
    <col min="10" max="10" width="15.77734375" style="98" bestFit="1" customWidth="1"/>
  </cols>
  <sheetData>
    <row r="1" spans="1:10" x14ac:dyDescent="0.3">
      <c r="A1" s="88" t="s">
        <v>671</v>
      </c>
      <c r="B1" s="105" t="s">
        <v>672</v>
      </c>
      <c r="C1" s="105" t="s">
        <v>673</v>
      </c>
      <c r="D1" s="105" t="s">
        <v>674</v>
      </c>
      <c r="E1" s="105" t="s">
        <v>675</v>
      </c>
      <c r="F1" s="105" t="s">
        <v>676</v>
      </c>
      <c r="G1" s="105" t="s">
        <v>677</v>
      </c>
      <c r="H1" s="98" t="s">
        <v>678</v>
      </c>
      <c r="I1" s="98" t="s">
        <v>679</v>
      </c>
      <c r="J1" s="98" t="s">
        <v>680</v>
      </c>
    </row>
    <row r="2" spans="1:10" x14ac:dyDescent="0.3">
      <c r="A2" s="89" t="s">
        <v>22</v>
      </c>
      <c r="B2" s="105">
        <v>0</v>
      </c>
      <c r="C2" s="105">
        <v>0</v>
      </c>
      <c r="D2" s="105">
        <v>4095445.406750001</v>
      </c>
      <c r="E2" s="105">
        <v>5603186.1327921888</v>
      </c>
      <c r="F2" s="105">
        <v>3654968.6139300005</v>
      </c>
      <c r="G2" s="105">
        <v>3457781.8770820289</v>
      </c>
      <c r="H2" s="98">
        <v>0.36815061032364671</v>
      </c>
      <c r="I2" s="98">
        <v>-5.3950322882785784E-2</v>
      </c>
      <c r="J2" s="98">
        <v>0.16909470715981612</v>
      </c>
    </row>
    <row r="3" spans="1:10" x14ac:dyDescent="0.3">
      <c r="A3" s="90" t="s">
        <v>23</v>
      </c>
      <c r="B3" s="105">
        <v>0</v>
      </c>
      <c r="C3" s="105">
        <v>0</v>
      </c>
      <c r="D3" s="105">
        <v>4095445.406750001</v>
      </c>
      <c r="E3" s="105">
        <v>5603186.1327921888</v>
      </c>
      <c r="F3" s="105">
        <v>3654968.6139300005</v>
      </c>
      <c r="G3" s="105">
        <v>3457781.8770820289</v>
      </c>
      <c r="H3" s="98">
        <v>0.36815061032364671</v>
      </c>
      <c r="I3" s="98">
        <v>-5.3950322882785784E-2</v>
      </c>
      <c r="J3" s="98">
        <v>0.16909470715981612</v>
      </c>
    </row>
    <row r="4" spans="1:10" x14ac:dyDescent="0.3">
      <c r="A4" s="91" t="s">
        <v>26</v>
      </c>
      <c r="B4" s="105">
        <v>0</v>
      </c>
      <c r="C4" s="105">
        <v>0</v>
      </c>
      <c r="D4" s="105">
        <v>4095445.406750001</v>
      </c>
      <c r="E4" s="105">
        <v>5603186.1327921888</v>
      </c>
      <c r="F4" s="105">
        <v>3654968.6139300005</v>
      </c>
      <c r="G4" s="105">
        <v>3457781.8770820289</v>
      </c>
      <c r="H4" s="98">
        <v>0.36815061032364671</v>
      </c>
      <c r="I4" s="98">
        <v>-5.3950322882785784E-2</v>
      </c>
      <c r="J4" s="98">
        <v>0.16909470715981612</v>
      </c>
    </row>
    <row r="5" spans="1:10" x14ac:dyDescent="0.3">
      <c r="A5" s="92" t="s">
        <v>24</v>
      </c>
      <c r="B5" s="105">
        <v>0</v>
      </c>
      <c r="C5" s="105">
        <v>0</v>
      </c>
      <c r="D5" s="105">
        <v>4095445.406750001</v>
      </c>
      <c r="E5" s="105">
        <v>5603186.1327921888</v>
      </c>
      <c r="F5" s="105">
        <v>3654968.6139300005</v>
      </c>
      <c r="G5" s="105">
        <v>3457781.8770820289</v>
      </c>
      <c r="H5" s="98">
        <v>0.36815061032364671</v>
      </c>
      <c r="I5" s="98">
        <v>-5.3950322882785784E-2</v>
      </c>
      <c r="J5" s="98">
        <v>0.16909470715981612</v>
      </c>
    </row>
    <row r="6" spans="1:10" x14ac:dyDescent="0.3">
      <c r="A6" s="93" t="s">
        <v>24</v>
      </c>
      <c r="B6" s="105">
        <v>0</v>
      </c>
      <c r="C6" s="105">
        <v>0</v>
      </c>
      <c r="D6" s="105">
        <v>3956903.8401600011</v>
      </c>
      <c r="E6" s="105">
        <v>5439847.4532420998</v>
      </c>
      <c r="F6" s="105">
        <v>3499952.1859200005</v>
      </c>
      <c r="G6" s="105">
        <v>3311128.7242539679</v>
      </c>
      <c r="H6" s="98">
        <v>0.37477373041800677</v>
      </c>
      <c r="I6" s="98">
        <v>-5.3950297499963829E-2</v>
      </c>
      <c r="J6" s="98">
        <v>0.17354769180066532</v>
      </c>
    </row>
    <row r="7" spans="1:10" x14ac:dyDescent="0.3">
      <c r="A7" s="94" t="s">
        <v>25</v>
      </c>
      <c r="B7" s="105">
        <v>0</v>
      </c>
      <c r="C7" s="105">
        <v>0</v>
      </c>
      <c r="D7" s="105">
        <v>3956903.8401600011</v>
      </c>
      <c r="E7" s="105">
        <v>5439847.4532420998</v>
      </c>
      <c r="F7" s="105">
        <v>3499952.1859200005</v>
      </c>
      <c r="G7" s="105">
        <v>3311128.7242539679</v>
      </c>
      <c r="H7" s="98">
        <v>0.37477373041800677</v>
      </c>
      <c r="I7" s="98">
        <v>-5.3950297499963829E-2</v>
      </c>
      <c r="J7" s="98">
        <v>0.17354769180066532</v>
      </c>
    </row>
    <row r="8" spans="1:10" x14ac:dyDescent="0.3">
      <c r="A8" s="95" t="s">
        <v>25</v>
      </c>
      <c r="B8" s="105">
        <v>0</v>
      </c>
      <c r="C8" s="105">
        <v>0</v>
      </c>
      <c r="D8" s="105">
        <v>3956903.8401600011</v>
      </c>
      <c r="E8" s="105">
        <v>5439847.4532420998</v>
      </c>
      <c r="F8" s="105">
        <v>3499952.1859200005</v>
      </c>
      <c r="G8" s="105">
        <v>3311128.7242539679</v>
      </c>
      <c r="H8" s="98">
        <v>0.37477373041800677</v>
      </c>
      <c r="I8" s="98">
        <v>-5.3950297499963829E-2</v>
      </c>
      <c r="J8" s="98">
        <v>0.17354769180066532</v>
      </c>
    </row>
    <row r="9" spans="1:10" x14ac:dyDescent="0.3">
      <c r="A9" s="96" t="s">
        <v>25</v>
      </c>
      <c r="B9" s="105">
        <v>0</v>
      </c>
      <c r="C9" s="105">
        <v>0</v>
      </c>
      <c r="D9" s="105">
        <v>3956903.8401600011</v>
      </c>
      <c r="E9" s="105">
        <v>5439847.4532420998</v>
      </c>
      <c r="F9" s="105">
        <v>3499952.1859200005</v>
      </c>
      <c r="G9" s="105">
        <v>3311128.7242539679</v>
      </c>
      <c r="H9" s="98">
        <v>0.37477373041800677</v>
      </c>
      <c r="I9" s="98">
        <v>-5.3950297499963829E-2</v>
      </c>
      <c r="J9" s="98">
        <v>0.17354769180066532</v>
      </c>
    </row>
    <row r="10" spans="1:10" x14ac:dyDescent="0.3">
      <c r="A10" s="97">
        <v>44409</v>
      </c>
      <c r="B10" s="105">
        <v>0</v>
      </c>
      <c r="C10" s="105">
        <v>0</v>
      </c>
      <c r="D10" s="105">
        <v>313734.59324999998</v>
      </c>
      <c r="E10" s="105">
        <v>431314.07712347852</v>
      </c>
      <c r="F10" s="105">
        <v>277503.85649999999</v>
      </c>
      <c r="G10" s="105">
        <v>262532.44088443782</v>
      </c>
      <c r="H10" s="98">
        <v>0.37477373041800699</v>
      </c>
      <c r="I10" s="98">
        <v>-5.3950297499963495E-2</v>
      </c>
      <c r="J10" s="98">
        <v>0.17354769180066598</v>
      </c>
    </row>
    <row r="11" spans="1:10" x14ac:dyDescent="0.3">
      <c r="A11" s="97">
        <v>44440</v>
      </c>
      <c r="B11" s="105">
        <v>0</v>
      </c>
      <c r="C11" s="105">
        <v>0</v>
      </c>
      <c r="D11" s="105">
        <v>334338.86322</v>
      </c>
      <c r="E11" s="105">
        <v>459640.28621267504</v>
      </c>
      <c r="F11" s="105">
        <v>295728.70163999998</v>
      </c>
      <c r="G11" s="105">
        <v>279774.050207244</v>
      </c>
      <c r="H11" s="98">
        <v>0.37477373041800655</v>
      </c>
      <c r="I11" s="98">
        <v>-5.3950297499963606E-2</v>
      </c>
      <c r="J11" s="98">
        <v>0.17354769180066532</v>
      </c>
    </row>
    <row r="12" spans="1:10" x14ac:dyDescent="0.3">
      <c r="A12" s="97">
        <v>44470</v>
      </c>
      <c r="B12" s="105">
        <v>0</v>
      </c>
      <c r="C12" s="105">
        <v>0</v>
      </c>
      <c r="D12" s="105">
        <v>297030.79350000003</v>
      </c>
      <c r="E12" s="105">
        <v>408350.13202901563</v>
      </c>
      <c r="F12" s="105">
        <v>262729.04700000002</v>
      </c>
      <c r="G12" s="105">
        <v>248554.73675246807</v>
      </c>
      <c r="H12" s="98">
        <v>0.37477373041800655</v>
      </c>
      <c r="I12" s="98">
        <v>-5.3950297499963717E-2</v>
      </c>
      <c r="J12" s="98">
        <v>0.17354769180066554</v>
      </c>
    </row>
    <row r="13" spans="1:10" x14ac:dyDescent="0.3">
      <c r="A13" s="97">
        <v>44501</v>
      </c>
      <c r="B13" s="105">
        <v>0</v>
      </c>
      <c r="C13" s="105">
        <v>0</v>
      </c>
      <c r="D13" s="105">
        <v>294040.06695000001</v>
      </c>
      <c r="E13" s="105">
        <v>404238.55973321194</v>
      </c>
      <c r="F13" s="105">
        <v>260083.69590000002</v>
      </c>
      <c r="G13" s="105">
        <v>246052.10313130493</v>
      </c>
      <c r="H13" s="98">
        <v>0.37477373041800655</v>
      </c>
      <c r="I13" s="98">
        <v>-5.3950297499963717E-2</v>
      </c>
      <c r="J13" s="98">
        <v>0.17354769180066532</v>
      </c>
    </row>
    <row r="14" spans="1:10" x14ac:dyDescent="0.3">
      <c r="A14" s="97">
        <v>44531</v>
      </c>
      <c r="B14" s="105">
        <v>0</v>
      </c>
      <c r="C14" s="105">
        <v>0</v>
      </c>
      <c r="D14" s="105">
        <v>332362.54719000001</v>
      </c>
      <c r="E14" s="105">
        <v>456923.2988516271</v>
      </c>
      <c r="F14" s="105">
        <v>293980.61478</v>
      </c>
      <c r="G14" s="105">
        <v>278120.27315339679</v>
      </c>
      <c r="H14" s="98">
        <v>0.37477373041800677</v>
      </c>
      <c r="I14" s="98">
        <v>-5.3950297499963606E-2</v>
      </c>
      <c r="J14" s="98">
        <v>0.17354769180066554</v>
      </c>
    </row>
    <row r="15" spans="1:10" x14ac:dyDescent="0.3">
      <c r="A15" s="97">
        <v>44562</v>
      </c>
      <c r="B15" s="105">
        <v>0</v>
      </c>
      <c r="C15" s="105">
        <v>0</v>
      </c>
      <c r="D15" s="105">
        <v>324064.69659000001</v>
      </c>
      <c r="E15" s="105">
        <v>445515.63182781375</v>
      </c>
      <c r="F15" s="105">
        <v>286641.01758000004</v>
      </c>
      <c r="G15" s="105">
        <v>271176.64940586669</v>
      </c>
      <c r="H15" s="98">
        <v>0.37477373041800655</v>
      </c>
      <c r="I15" s="98">
        <v>-5.3950297499963829E-2</v>
      </c>
      <c r="J15" s="98">
        <v>0.17354769180066532</v>
      </c>
    </row>
    <row r="16" spans="1:10" x14ac:dyDescent="0.3">
      <c r="A16" s="97">
        <v>44593</v>
      </c>
      <c r="B16" s="105">
        <v>0</v>
      </c>
      <c r="C16" s="105">
        <v>0</v>
      </c>
      <c r="D16" s="105">
        <v>419599.10655000003</v>
      </c>
      <c r="E16" s="105">
        <v>576853.82899180625</v>
      </c>
      <c r="F16" s="105">
        <v>371142.91110000008</v>
      </c>
      <c r="G16" s="105">
        <v>351119.64063115249</v>
      </c>
      <c r="H16" s="98">
        <v>0.37477373041800677</v>
      </c>
      <c r="I16" s="98">
        <v>-5.3950297499963717E-2</v>
      </c>
      <c r="J16" s="98">
        <v>0.17354769180066554</v>
      </c>
    </row>
    <row r="17" spans="1:10" x14ac:dyDescent="0.3">
      <c r="A17" s="97">
        <v>44621</v>
      </c>
      <c r="B17" s="105">
        <v>0</v>
      </c>
      <c r="C17" s="105">
        <v>0</v>
      </c>
      <c r="D17" s="105">
        <v>369131.84001000004</v>
      </c>
      <c r="E17" s="105">
        <v>507472.75670661055</v>
      </c>
      <c r="F17" s="105">
        <v>326503.71162000002</v>
      </c>
      <c r="G17" s="105">
        <v>308888.73924325872</v>
      </c>
      <c r="H17" s="98">
        <v>0.37477373041800655</v>
      </c>
      <c r="I17" s="98">
        <v>-5.3950297499963495E-2</v>
      </c>
      <c r="J17" s="98">
        <v>0.17354769180066554</v>
      </c>
    </row>
    <row r="18" spans="1:10" x14ac:dyDescent="0.3">
      <c r="A18" s="97">
        <v>44652</v>
      </c>
      <c r="B18" s="105">
        <v>0</v>
      </c>
      <c r="C18" s="105">
        <v>0</v>
      </c>
      <c r="D18" s="105">
        <v>325931.88456000003</v>
      </c>
      <c r="E18" s="105">
        <v>448082.59279872227</v>
      </c>
      <c r="F18" s="105">
        <v>288292.57871999999</v>
      </c>
      <c r="G18" s="105">
        <v>272739.1083310243</v>
      </c>
      <c r="H18" s="98">
        <v>0.37477373041800632</v>
      </c>
      <c r="I18" s="98">
        <v>-5.3950297499963717E-2</v>
      </c>
      <c r="J18" s="98">
        <v>0.17354769180066554</v>
      </c>
    </row>
    <row r="19" spans="1:10" x14ac:dyDescent="0.3">
      <c r="A19" s="97">
        <v>44682</v>
      </c>
      <c r="B19" s="105">
        <v>0</v>
      </c>
      <c r="C19" s="105">
        <v>0</v>
      </c>
      <c r="D19" s="105">
        <v>286114.55579999997</v>
      </c>
      <c r="E19" s="105">
        <v>393342.77520405693</v>
      </c>
      <c r="F19" s="105">
        <v>253073.43960000001</v>
      </c>
      <c r="G19" s="105">
        <v>239420.05224424091</v>
      </c>
      <c r="H19" s="98">
        <v>0.37477373041800677</v>
      </c>
      <c r="I19" s="98">
        <v>-5.3950297499963717E-2</v>
      </c>
      <c r="J19" s="98">
        <v>0.17354769180066554</v>
      </c>
    </row>
    <row r="20" spans="1:10" x14ac:dyDescent="0.3">
      <c r="A20" s="97">
        <v>44713</v>
      </c>
      <c r="B20" s="105">
        <v>0</v>
      </c>
      <c r="C20" s="105">
        <v>0</v>
      </c>
      <c r="D20" s="105">
        <v>326886.58350000001</v>
      </c>
      <c r="E20" s="105">
        <v>449395.08782189223</v>
      </c>
      <c r="F20" s="105">
        <v>289137.027</v>
      </c>
      <c r="G20" s="105">
        <v>273537.99837509502</v>
      </c>
      <c r="H20" s="98">
        <v>0.37477373041800655</v>
      </c>
      <c r="I20" s="98">
        <v>-5.3950297499963495E-2</v>
      </c>
      <c r="J20" s="98">
        <v>0.17354769180066554</v>
      </c>
    </row>
    <row r="21" spans="1:10" x14ac:dyDescent="0.3">
      <c r="A21" s="97">
        <v>44743</v>
      </c>
      <c r="B21" s="105">
        <v>0</v>
      </c>
      <c r="C21" s="105">
        <v>0</v>
      </c>
      <c r="D21" s="105">
        <v>333668.30904000002</v>
      </c>
      <c r="E21" s="105">
        <v>458718.42594118905</v>
      </c>
      <c r="F21" s="105">
        <v>295135.58448000002</v>
      </c>
      <c r="G21" s="105">
        <v>279212.93189447833</v>
      </c>
      <c r="H21" s="98">
        <v>0.37477373041800655</v>
      </c>
      <c r="I21" s="98">
        <v>-5.3950297499963717E-2</v>
      </c>
      <c r="J21" s="98">
        <v>0.17354769180066532</v>
      </c>
    </row>
    <row r="22" spans="1:10" x14ac:dyDescent="0.3">
      <c r="A22" s="93" t="s">
        <v>28</v>
      </c>
      <c r="B22" s="105">
        <v>0</v>
      </c>
      <c r="C22" s="105">
        <v>0</v>
      </c>
      <c r="D22" s="105">
        <v>11513.636999999999</v>
      </c>
      <c r="E22" s="105">
        <v>13574.165120476675</v>
      </c>
      <c r="F22" s="105">
        <v>12882.662399999999</v>
      </c>
      <c r="G22" s="105">
        <v>12187.52421294148</v>
      </c>
      <c r="H22" s="98">
        <v>0.17896413795889843</v>
      </c>
      <c r="I22" s="98">
        <v>-5.3959202335265632E-2</v>
      </c>
      <c r="J22" s="98">
        <v>5.5967092017986886E-2</v>
      </c>
    </row>
    <row r="23" spans="1:10" x14ac:dyDescent="0.3">
      <c r="A23" s="94" t="s">
        <v>25</v>
      </c>
      <c r="B23" s="105">
        <v>0</v>
      </c>
      <c r="C23" s="105">
        <v>0</v>
      </c>
      <c r="D23" s="105">
        <v>11513.636999999999</v>
      </c>
      <c r="E23" s="105">
        <v>13574.165120476675</v>
      </c>
      <c r="F23" s="105">
        <v>12882.662399999999</v>
      </c>
      <c r="G23" s="105">
        <v>12187.52421294148</v>
      </c>
      <c r="H23" s="98">
        <v>0.17896413795889843</v>
      </c>
      <c r="I23" s="98">
        <v>-5.3959202335265632E-2</v>
      </c>
      <c r="J23" s="98">
        <v>5.5967092017986886E-2</v>
      </c>
    </row>
    <row r="24" spans="1:10" x14ac:dyDescent="0.3">
      <c r="A24" s="95" t="s">
        <v>25</v>
      </c>
      <c r="B24" s="105">
        <v>0</v>
      </c>
      <c r="C24" s="105">
        <v>0</v>
      </c>
      <c r="D24" s="105">
        <v>11513.636999999999</v>
      </c>
      <c r="E24" s="105">
        <v>13574.165120476675</v>
      </c>
      <c r="F24" s="105">
        <v>12882.662399999999</v>
      </c>
      <c r="G24" s="105">
        <v>12187.52421294148</v>
      </c>
      <c r="H24" s="98">
        <v>0.17896413795889843</v>
      </c>
      <c r="I24" s="98">
        <v>-5.3959202335265632E-2</v>
      </c>
      <c r="J24" s="98">
        <v>5.5967092017986886E-2</v>
      </c>
    </row>
    <row r="25" spans="1:10" x14ac:dyDescent="0.3">
      <c r="A25" s="96" t="s">
        <v>25</v>
      </c>
      <c r="B25" s="105">
        <v>0</v>
      </c>
      <c r="C25" s="105">
        <v>0</v>
      </c>
      <c r="D25" s="105">
        <v>11513.636999999999</v>
      </c>
      <c r="E25" s="105">
        <v>13574.165120476675</v>
      </c>
      <c r="F25" s="105">
        <v>12882.662399999999</v>
      </c>
      <c r="G25" s="105">
        <v>12187.52421294148</v>
      </c>
      <c r="H25" s="98">
        <v>0.17896413795889843</v>
      </c>
      <c r="I25" s="98">
        <v>-5.3959202335265632E-2</v>
      </c>
      <c r="J25" s="98">
        <v>5.5967092017986886E-2</v>
      </c>
    </row>
    <row r="26" spans="1:10" x14ac:dyDescent="0.3">
      <c r="A26" s="97">
        <v>44409</v>
      </c>
      <c r="B26" s="105">
        <v>0</v>
      </c>
      <c r="C26" s="105">
        <v>0</v>
      </c>
      <c r="D26" s="105">
        <v>851.70150000000012</v>
      </c>
      <c r="E26" s="105">
        <v>1004.1255247458007</v>
      </c>
      <c r="F26" s="105">
        <v>952.97280000000001</v>
      </c>
      <c r="G26" s="105">
        <v>901.55114786479533</v>
      </c>
      <c r="H26" s="98">
        <v>0.17896413795889821</v>
      </c>
      <c r="I26" s="98">
        <v>-5.3959202335265632E-2</v>
      </c>
      <c r="J26" s="98">
        <v>5.5967092017986886E-2</v>
      </c>
    </row>
    <row r="27" spans="1:10" x14ac:dyDescent="0.3">
      <c r="A27" s="97">
        <v>44440</v>
      </c>
      <c r="B27" s="105">
        <v>0</v>
      </c>
      <c r="C27" s="105">
        <v>0</v>
      </c>
      <c r="D27" s="105">
        <v>874.48950000000013</v>
      </c>
      <c r="E27" s="105">
        <v>1030.9917595216079</v>
      </c>
      <c r="F27" s="105">
        <v>978.47040000000004</v>
      </c>
      <c r="G27" s="105">
        <v>925.67291770733164</v>
      </c>
      <c r="H27" s="98">
        <v>0.17896413795889798</v>
      </c>
      <c r="I27" s="98">
        <v>-5.3959202335265743E-2</v>
      </c>
      <c r="J27" s="98">
        <v>5.5967092017986664E-2</v>
      </c>
    </row>
    <row r="28" spans="1:10" x14ac:dyDescent="0.3">
      <c r="A28" s="97">
        <v>44470</v>
      </c>
      <c r="B28" s="105">
        <v>0</v>
      </c>
      <c r="C28" s="105">
        <v>0</v>
      </c>
      <c r="D28" s="105">
        <v>863.09550000000002</v>
      </c>
      <c r="E28" s="105">
        <v>1017.5586421337042</v>
      </c>
      <c r="F28" s="105">
        <v>965.72159999999997</v>
      </c>
      <c r="G28" s="105">
        <v>913.61203278606331</v>
      </c>
      <c r="H28" s="98">
        <v>0.17896413795889821</v>
      </c>
      <c r="I28" s="98">
        <v>-5.3959202335265855E-2</v>
      </c>
      <c r="J28" s="98">
        <v>5.5967092017986664E-2</v>
      </c>
    </row>
    <row r="29" spans="1:10" x14ac:dyDescent="0.3">
      <c r="A29" s="97">
        <v>44501</v>
      </c>
      <c r="B29" s="105">
        <v>0</v>
      </c>
      <c r="C29" s="105">
        <v>0</v>
      </c>
      <c r="D29" s="105">
        <v>880.18650000000002</v>
      </c>
      <c r="E29" s="105">
        <v>1037.7083182155598</v>
      </c>
      <c r="F29" s="105">
        <v>984.84479999999996</v>
      </c>
      <c r="G29" s="105">
        <v>931.70336016796557</v>
      </c>
      <c r="H29" s="98">
        <v>0.17896413795889821</v>
      </c>
      <c r="I29" s="98">
        <v>-5.3959202335265855E-2</v>
      </c>
      <c r="J29" s="98">
        <v>5.5967092017986664E-2</v>
      </c>
    </row>
    <row r="30" spans="1:10" x14ac:dyDescent="0.3">
      <c r="A30" s="97">
        <v>44531</v>
      </c>
      <c r="B30" s="105">
        <v>0</v>
      </c>
      <c r="C30" s="105">
        <v>0</v>
      </c>
      <c r="D30" s="105">
        <v>900.12600000000009</v>
      </c>
      <c r="E30" s="105">
        <v>1061.2162736443913</v>
      </c>
      <c r="F30" s="105">
        <v>1007.1552</v>
      </c>
      <c r="G30" s="105">
        <v>952.80990878018497</v>
      </c>
      <c r="H30" s="98">
        <v>0.17896413795889821</v>
      </c>
      <c r="I30" s="98">
        <v>-5.3959202335265743E-2</v>
      </c>
      <c r="J30" s="98">
        <v>5.5967092017986664E-2</v>
      </c>
    </row>
    <row r="31" spans="1:10" x14ac:dyDescent="0.3">
      <c r="A31" s="97">
        <v>44562</v>
      </c>
      <c r="B31" s="105">
        <v>0</v>
      </c>
      <c r="C31" s="105">
        <v>0</v>
      </c>
      <c r="D31" s="105">
        <v>920.06549999999993</v>
      </c>
      <c r="E31" s="105">
        <v>1084.7242290732227</v>
      </c>
      <c r="F31" s="105">
        <v>1029.4656</v>
      </c>
      <c r="G31" s="105">
        <v>973.91645739240414</v>
      </c>
      <c r="H31" s="98">
        <v>0.17896413795889821</v>
      </c>
      <c r="I31" s="98">
        <v>-5.3959202335265855E-2</v>
      </c>
      <c r="J31" s="98">
        <v>5.5967092017986886E-2</v>
      </c>
    </row>
    <row r="32" spans="1:10" x14ac:dyDescent="0.3">
      <c r="A32" s="97">
        <v>44593</v>
      </c>
      <c r="B32" s="105">
        <v>0</v>
      </c>
      <c r="C32" s="105">
        <v>0</v>
      </c>
      <c r="D32" s="105">
        <v>1002.672</v>
      </c>
      <c r="E32" s="105">
        <v>1182.1143301355246</v>
      </c>
      <c r="F32" s="105">
        <v>1121.8943999999999</v>
      </c>
      <c r="G32" s="105">
        <v>1061.3578730715985</v>
      </c>
      <c r="H32" s="98">
        <v>0.17896413795889843</v>
      </c>
      <c r="I32" s="98">
        <v>-5.3959202335265632E-2</v>
      </c>
      <c r="J32" s="98">
        <v>5.5967092017987108E-2</v>
      </c>
    </row>
    <row r="33" spans="1:10" x14ac:dyDescent="0.3">
      <c r="A33" s="97">
        <v>44621</v>
      </c>
      <c r="B33" s="105">
        <v>0</v>
      </c>
      <c r="C33" s="105">
        <v>0</v>
      </c>
      <c r="D33" s="105">
        <v>1065.3390000000002</v>
      </c>
      <c r="E33" s="105">
        <v>1255.9964757689947</v>
      </c>
      <c r="F33" s="105">
        <v>1192.0128</v>
      </c>
      <c r="G33" s="105">
        <v>1127.6927401385733</v>
      </c>
      <c r="H33" s="98">
        <v>0.17896413795889821</v>
      </c>
      <c r="I33" s="98">
        <v>-5.3959202335265743E-2</v>
      </c>
      <c r="J33" s="98">
        <v>5.5967092017986442E-2</v>
      </c>
    </row>
    <row r="34" spans="1:10" x14ac:dyDescent="0.3">
      <c r="A34" s="97">
        <v>44652</v>
      </c>
      <c r="B34" s="105">
        <v>0</v>
      </c>
      <c r="C34" s="105">
        <v>0</v>
      </c>
      <c r="D34" s="105">
        <v>1079.5815</v>
      </c>
      <c r="E34" s="105">
        <v>1272.7878725038743</v>
      </c>
      <c r="F34" s="105">
        <v>1207.9487999999999</v>
      </c>
      <c r="G34" s="105">
        <v>1142.7688462901583</v>
      </c>
      <c r="H34" s="98">
        <v>0.17896413795889821</v>
      </c>
      <c r="I34" s="98">
        <v>-5.3959202335265855E-2</v>
      </c>
      <c r="J34" s="98">
        <v>5.5967092017986664E-2</v>
      </c>
    </row>
    <row r="35" spans="1:10" x14ac:dyDescent="0.3">
      <c r="A35" s="97">
        <v>44682</v>
      </c>
      <c r="B35" s="105">
        <v>0</v>
      </c>
      <c r="C35" s="105">
        <v>0</v>
      </c>
      <c r="D35" s="105">
        <v>1122.309</v>
      </c>
      <c r="E35" s="105">
        <v>1323.1620627085131</v>
      </c>
      <c r="F35" s="105">
        <v>1255.7567999999999</v>
      </c>
      <c r="G35" s="105">
        <v>1187.997164744914</v>
      </c>
      <c r="H35" s="98">
        <v>0.17896413795889821</v>
      </c>
      <c r="I35" s="98">
        <v>-5.3959202335265743E-2</v>
      </c>
      <c r="J35" s="98">
        <v>5.5967092017986664E-2</v>
      </c>
    </row>
    <row r="36" spans="1:10" x14ac:dyDescent="0.3">
      <c r="A36" s="97">
        <v>44713</v>
      </c>
      <c r="B36" s="105">
        <v>0</v>
      </c>
      <c r="C36" s="105">
        <v>0</v>
      </c>
      <c r="D36" s="105">
        <v>914.36850000000015</v>
      </c>
      <c r="E36" s="105">
        <v>1078.0076703792708</v>
      </c>
      <c r="F36" s="105">
        <v>1023.0912000000001</v>
      </c>
      <c r="G36" s="105">
        <v>967.88601493177021</v>
      </c>
      <c r="H36" s="98">
        <v>0.17896413795889798</v>
      </c>
      <c r="I36" s="98">
        <v>-5.3959202335265743E-2</v>
      </c>
      <c r="J36" s="98">
        <v>5.5967092017986664E-2</v>
      </c>
    </row>
    <row r="37" spans="1:10" x14ac:dyDescent="0.3">
      <c r="A37" s="97">
        <v>44743</v>
      </c>
      <c r="B37" s="105">
        <v>0</v>
      </c>
      <c r="C37" s="105">
        <v>0</v>
      </c>
      <c r="D37" s="105">
        <v>1039.7024999999999</v>
      </c>
      <c r="E37" s="105">
        <v>1225.7719616462114</v>
      </c>
      <c r="F37" s="105">
        <v>1163.328</v>
      </c>
      <c r="G37" s="105">
        <v>1100.5557490657197</v>
      </c>
      <c r="H37" s="98">
        <v>0.17896413795889843</v>
      </c>
      <c r="I37" s="98">
        <v>-5.3959202335265966E-2</v>
      </c>
      <c r="J37" s="98">
        <v>5.5967092017986664E-2</v>
      </c>
    </row>
    <row r="38" spans="1:10" x14ac:dyDescent="0.3">
      <c r="A38" s="93" t="s">
        <v>29</v>
      </c>
      <c r="B38" s="105">
        <v>0</v>
      </c>
      <c r="C38" s="105">
        <v>0</v>
      </c>
      <c r="D38" s="105">
        <v>41395.666400000002</v>
      </c>
      <c r="E38" s="105">
        <v>48804.434487023798</v>
      </c>
      <c r="F38" s="105">
        <v>46316.758399999999</v>
      </c>
      <c r="G38" s="105">
        <v>43818.917902527413</v>
      </c>
      <c r="H38" s="98">
        <v>0.17897448528630999</v>
      </c>
      <c r="I38" s="98">
        <v>-5.3929518898986339E-2</v>
      </c>
      <c r="J38" s="98">
        <v>5.5988961663629544E-2</v>
      </c>
    </row>
    <row r="39" spans="1:10" x14ac:dyDescent="0.3">
      <c r="A39" s="94" t="s">
        <v>25</v>
      </c>
      <c r="B39" s="105">
        <v>0</v>
      </c>
      <c r="C39" s="105">
        <v>0</v>
      </c>
      <c r="D39" s="105">
        <v>41395.666400000002</v>
      </c>
      <c r="E39" s="105">
        <v>48804.434487023798</v>
      </c>
      <c r="F39" s="105">
        <v>46316.758399999999</v>
      </c>
      <c r="G39" s="105">
        <v>43818.917902527413</v>
      </c>
      <c r="H39" s="98">
        <v>0.17897448528630999</v>
      </c>
      <c r="I39" s="98">
        <v>-5.3929518898986339E-2</v>
      </c>
      <c r="J39" s="98">
        <v>5.5988961663629544E-2</v>
      </c>
    </row>
    <row r="40" spans="1:10" x14ac:dyDescent="0.3">
      <c r="A40" s="95" t="s">
        <v>25</v>
      </c>
      <c r="B40" s="105">
        <v>0</v>
      </c>
      <c r="C40" s="105">
        <v>0</v>
      </c>
      <c r="D40" s="105">
        <v>41395.666400000002</v>
      </c>
      <c r="E40" s="105">
        <v>48804.434487023798</v>
      </c>
      <c r="F40" s="105">
        <v>46316.758399999999</v>
      </c>
      <c r="G40" s="105">
        <v>43818.917902527413</v>
      </c>
      <c r="H40" s="98">
        <v>0.17897448528630999</v>
      </c>
      <c r="I40" s="98">
        <v>-5.3929518898986339E-2</v>
      </c>
      <c r="J40" s="98">
        <v>5.5988961663629544E-2</v>
      </c>
    </row>
    <row r="41" spans="1:10" x14ac:dyDescent="0.3">
      <c r="A41" s="96" t="s">
        <v>25</v>
      </c>
      <c r="B41" s="105">
        <v>0</v>
      </c>
      <c r="C41" s="105">
        <v>0</v>
      </c>
      <c r="D41" s="105">
        <v>41395.666400000002</v>
      </c>
      <c r="E41" s="105">
        <v>48804.434487023798</v>
      </c>
      <c r="F41" s="105">
        <v>46316.758399999999</v>
      </c>
      <c r="G41" s="105">
        <v>43818.917902527413</v>
      </c>
      <c r="H41" s="98">
        <v>0.17897448528630999</v>
      </c>
      <c r="I41" s="98">
        <v>-5.3929518898986339E-2</v>
      </c>
      <c r="J41" s="98">
        <v>5.5988961663629544E-2</v>
      </c>
    </row>
    <row r="42" spans="1:10" x14ac:dyDescent="0.3">
      <c r="A42" s="97">
        <v>44409</v>
      </c>
      <c r="B42" s="105">
        <v>0</v>
      </c>
      <c r="C42" s="105">
        <v>0</v>
      </c>
      <c r="D42" s="105">
        <v>2990.2476699999997</v>
      </c>
      <c r="E42" s="105">
        <v>3525.4257076168374</v>
      </c>
      <c r="F42" s="105">
        <v>3345.7265199999997</v>
      </c>
      <c r="G42" s="105">
        <v>3165.2930984088198</v>
      </c>
      <c r="H42" s="98">
        <v>0.17897448528630999</v>
      </c>
      <c r="I42" s="98">
        <v>-5.3929518898986339E-2</v>
      </c>
      <c r="J42" s="98">
        <v>5.5988961663629988E-2</v>
      </c>
    </row>
    <row r="43" spans="1:10" x14ac:dyDescent="0.3">
      <c r="A43" s="97">
        <v>44440</v>
      </c>
      <c r="B43" s="105">
        <v>0</v>
      </c>
      <c r="C43" s="105">
        <v>0</v>
      </c>
      <c r="D43" s="105">
        <v>3174.0150000000003</v>
      </c>
      <c r="E43" s="105">
        <v>3742.0827009160271</v>
      </c>
      <c r="F43" s="105">
        <v>3551.34</v>
      </c>
      <c r="G43" s="105">
        <v>3359.8179423532738</v>
      </c>
      <c r="H43" s="98">
        <v>0.17897448528630977</v>
      </c>
      <c r="I43" s="98">
        <v>-5.392951889898645E-2</v>
      </c>
      <c r="J43" s="98">
        <v>5.5988961663629544E-2</v>
      </c>
    </row>
    <row r="44" spans="1:10" x14ac:dyDescent="0.3">
      <c r="A44" s="97">
        <v>44470</v>
      </c>
      <c r="B44" s="105">
        <v>0</v>
      </c>
      <c r="C44" s="105">
        <v>0</v>
      </c>
      <c r="D44" s="105">
        <v>3106.3026800000002</v>
      </c>
      <c r="E44" s="105">
        <v>3662.2516032964854</v>
      </c>
      <c r="F44" s="105">
        <v>3475.5780800000002</v>
      </c>
      <c r="G44" s="105">
        <v>3288.1418262497373</v>
      </c>
      <c r="H44" s="98">
        <v>0.17897448528630999</v>
      </c>
      <c r="I44" s="98">
        <v>-5.392951889898645E-2</v>
      </c>
      <c r="J44" s="98">
        <v>5.5988961663629766E-2</v>
      </c>
    </row>
    <row r="45" spans="1:10" x14ac:dyDescent="0.3">
      <c r="A45" s="97">
        <v>44501</v>
      </c>
      <c r="B45" s="105">
        <v>0</v>
      </c>
      <c r="C45" s="105">
        <v>0</v>
      </c>
      <c r="D45" s="105">
        <v>3091.4906099999998</v>
      </c>
      <c r="E45" s="105">
        <v>3644.7885506922103</v>
      </c>
      <c r="F45" s="105">
        <v>3459.0051599999997</v>
      </c>
      <c r="G45" s="105">
        <v>3272.4626758520885</v>
      </c>
      <c r="H45" s="98">
        <v>0.17897448528630999</v>
      </c>
      <c r="I45" s="98">
        <v>-5.3929518898986339E-2</v>
      </c>
      <c r="J45" s="98">
        <v>5.5988961663629766E-2</v>
      </c>
    </row>
    <row r="46" spans="1:10" x14ac:dyDescent="0.3">
      <c r="A46" s="97">
        <v>44531</v>
      </c>
      <c r="B46" s="105">
        <v>0</v>
      </c>
      <c r="C46" s="105">
        <v>0</v>
      </c>
      <c r="D46" s="105">
        <v>3305.37039</v>
      </c>
      <c r="E46" s="105">
        <v>3896.9473542308592</v>
      </c>
      <c r="F46" s="105">
        <v>3698.3108399999996</v>
      </c>
      <c r="G46" s="105">
        <v>3498.8627156598936</v>
      </c>
      <c r="H46" s="98">
        <v>0.17897448528630977</v>
      </c>
      <c r="I46" s="98">
        <v>-5.3929518898986339E-2</v>
      </c>
      <c r="J46" s="98">
        <v>5.5988961663629766E-2</v>
      </c>
    </row>
    <row r="47" spans="1:10" x14ac:dyDescent="0.3">
      <c r="A47" s="97">
        <v>44562</v>
      </c>
      <c r="B47" s="105">
        <v>0</v>
      </c>
      <c r="C47" s="105">
        <v>0</v>
      </c>
      <c r="D47" s="105">
        <v>3346.5511999999999</v>
      </c>
      <c r="E47" s="105">
        <v>3945.498478504283</v>
      </c>
      <c r="F47" s="105">
        <v>3744.3871999999997</v>
      </c>
      <c r="G47" s="105">
        <v>3542.4541997324773</v>
      </c>
      <c r="H47" s="98">
        <v>0.17897448528630999</v>
      </c>
      <c r="I47" s="98">
        <v>-5.3929518898986339E-2</v>
      </c>
      <c r="J47" s="98">
        <v>5.5988961663629988E-2</v>
      </c>
    </row>
    <row r="48" spans="1:10" x14ac:dyDescent="0.3">
      <c r="A48" s="97">
        <v>44593</v>
      </c>
      <c r="B48" s="105">
        <v>0</v>
      </c>
      <c r="C48" s="105">
        <v>0</v>
      </c>
      <c r="D48" s="105">
        <v>3746.31432</v>
      </c>
      <c r="E48" s="105">
        <v>4416.8089971427316</v>
      </c>
      <c r="F48" s="105">
        <v>4191.6739200000002</v>
      </c>
      <c r="G48" s="105">
        <v>3965.6189621129715</v>
      </c>
      <c r="H48" s="98">
        <v>0.17897448528630977</v>
      </c>
      <c r="I48" s="98">
        <v>-5.392951889898645E-2</v>
      </c>
      <c r="J48" s="98">
        <v>5.5988961663629544E-2</v>
      </c>
    </row>
    <row r="49" spans="1:10" x14ac:dyDescent="0.3">
      <c r="A49" s="97">
        <v>44621</v>
      </c>
      <c r="B49" s="105">
        <v>0</v>
      </c>
      <c r="C49" s="105">
        <v>0</v>
      </c>
      <c r="D49" s="105">
        <v>3906.4800000000005</v>
      </c>
      <c r="E49" s="105">
        <v>4605.6402472812642</v>
      </c>
      <c r="F49" s="105">
        <v>4370.88</v>
      </c>
      <c r="G49" s="105">
        <v>4135.1605444347988</v>
      </c>
      <c r="H49" s="98">
        <v>0.17897448528630977</v>
      </c>
      <c r="I49" s="98">
        <v>-5.3929518898986339E-2</v>
      </c>
      <c r="J49" s="98">
        <v>5.5988961663629766E-2</v>
      </c>
    </row>
    <row r="50" spans="1:10" x14ac:dyDescent="0.3">
      <c r="A50" s="97">
        <v>44652</v>
      </c>
      <c r="B50" s="105">
        <v>0</v>
      </c>
      <c r="C50" s="105">
        <v>0</v>
      </c>
      <c r="D50" s="105">
        <v>3901.4341300000006</v>
      </c>
      <c r="E50" s="105">
        <v>4599.6912952951925</v>
      </c>
      <c r="F50" s="105">
        <v>4365.2342800000006</v>
      </c>
      <c r="G50" s="105">
        <v>4129.819295398237</v>
      </c>
      <c r="H50" s="98">
        <v>0.17897448528630977</v>
      </c>
      <c r="I50" s="98">
        <v>-5.392951889898645E-2</v>
      </c>
      <c r="J50" s="98">
        <v>5.5988961663629544E-2</v>
      </c>
    </row>
    <row r="51" spans="1:10" x14ac:dyDescent="0.3">
      <c r="A51" s="97">
        <v>44682</v>
      </c>
      <c r="B51" s="105">
        <v>0</v>
      </c>
      <c r="C51" s="105">
        <v>0</v>
      </c>
      <c r="D51" s="105">
        <v>3977.4477200000001</v>
      </c>
      <c r="E51" s="105">
        <v>4689.3093784402072</v>
      </c>
      <c r="F51" s="105">
        <v>4450.2843199999998</v>
      </c>
      <c r="G51" s="105">
        <v>4210.2826276586975</v>
      </c>
      <c r="H51" s="98">
        <v>0.17897448528630999</v>
      </c>
      <c r="I51" s="98">
        <v>-5.3929518898986228E-2</v>
      </c>
      <c r="J51" s="98">
        <v>5.5988961663629988E-2</v>
      </c>
    </row>
    <row r="52" spans="1:10" x14ac:dyDescent="0.3">
      <c r="A52" s="97">
        <v>44713</v>
      </c>
      <c r="B52" s="105">
        <v>0</v>
      </c>
      <c r="C52" s="105">
        <v>0</v>
      </c>
      <c r="D52" s="105">
        <v>3254.2606099999998</v>
      </c>
      <c r="E52" s="105">
        <v>3836.6902276622627</v>
      </c>
      <c r="F52" s="105">
        <v>3641.1251600000001</v>
      </c>
      <c r="G52" s="105">
        <v>3444.761031870205</v>
      </c>
      <c r="H52" s="98">
        <v>0.17897448528630999</v>
      </c>
      <c r="I52" s="98">
        <v>-5.392951889898645E-2</v>
      </c>
      <c r="J52" s="98">
        <v>5.5988961663629766E-2</v>
      </c>
    </row>
    <row r="53" spans="1:10" x14ac:dyDescent="0.3">
      <c r="A53" s="97">
        <v>44743</v>
      </c>
      <c r="B53" s="105">
        <v>0</v>
      </c>
      <c r="C53" s="105">
        <v>0</v>
      </c>
      <c r="D53" s="105">
        <v>3595.7520700000005</v>
      </c>
      <c r="E53" s="105">
        <v>4239.299945945434</v>
      </c>
      <c r="F53" s="105">
        <v>4023.2129200000004</v>
      </c>
      <c r="G53" s="105">
        <v>3806.2429827962142</v>
      </c>
      <c r="H53" s="98">
        <v>0.17897448528630999</v>
      </c>
      <c r="I53" s="98">
        <v>-5.3929518898986339E-2</v>
      </c>
      <c r="J53" s="98">
        <v>5.5988961663629766E-2</v>
      </c>
    </row>
    <row r="54" spans="1:10" x14ac:dyDescent="0.3">
      <c r="A54" s="93" t="s">
        <v>30</v>
      </c>
      <c r="B54" s="105">
        <v>0</v>
      </c>
      <c r="C54" s="105">
        <v>0</v>
      </c>
      <c r="D54" s="105">
        <v>60676.402150000002</v>
      </c>
      <c r="E54" s="105">
        <v>71537.394993411683</v>
      </c>
      <c r="F54" s="105">
        <v>67893.451990000001</v>
      </c>
      <c r="G54" s="105">
        <v>64229.639603967546</v>
      </c>
      <c r="H54" s="98">
        <v>0.17899862975662084</v>
      </c>
      <c r="I54" s="98">
        <v>-5.3964149393554095E-2</v>
      </c>
      <c r="J54" s="98">
        <v>5.5978755716267425E-2</v>
      </c>
    </row>
    <row r="55" spans="1:10" x14ac:dyDescent="0.3">
      <c r="A55" s="94" t="s">
        <v>25</v>
      </c>
      <c r="B55" s="105">
        <v>0</v>
      </c>
      <c r="C55" s="105">
        <v>0</v>
      </c>
      <c r="D55" s="105">
        <v>60676.402150000002</v>
      </c>
      <c r="E55" s="105">
        <v>71537.394993411683</v>
      </c>
      <c r="F55" s="105">
        <v>67893.451990000001</v>
      </c>
      <c r="G55" s="105">
        <v>64229.639603967546</v>
      </c>
      <c r="H55" s="98">
        <v>0.17899862975662084</v>
      </c>
      <c r="I55" s="98">
        <v>-5.3964149393554095E-2</v>
      </c>
      <c r="J55" s="98">
        <v>5.5978755716267425E-2</v>
      </c>
    </row>
    <row r="56" spans="1:10" x14ac:dyDescent="0.3">
      <c r="A56" s="95" t="s">
        <v>25</v>
      </c>
      <c r="B56" s="105">
        <v>0</v>
      </c>
      <c r="C56" s="105">
        <v>0</v>
      </c>
      <c r="D56" s="105">
        <v>60676.402150000002</v>
      </c>
      <c r="E56" s="105">
        <v>71537.394993411683</v>
      </c>
      <c r="F56" s="105">
        <v>67893.451990000001</v>
      </c>
      <c r="G56" s="105">
        <v>64229.639603967546</v>
      </c>
      <c r="H56" s="98">
        <v>0.17899862975662084</v>
      </c>
      <c r="I56" s="98">
        <v>-5.3964149393554095E-2</v>
      </c>
      <c r="J56" s="98">
        <v>5.5978755716267425E-2</v>
      </c>
    </row>
    <row r="57" spans="1:10" x14ac:dyDescent="0.3">
      <c r="A57" s="96" t="s">
        <v>25</v>
      </c>
      <c r="B57" s="105">
        <v>0</v>
      </c>
      <c r="C57" s="105">
        <v>0</v>
      </c>
      <c r="D57" s="105">
        <v>60676.402150000002</v>
      </c>
      <c r="E57" s="105">
        <v>71537.394993411683</v>
      </c>
      <c r="F57" s="105">
        <v>67893.451990000001</v>
      </c>
      <c r="G57" s="105">
        <v>64229.639603967546</v>
      </c>
      <c r="H57" s="98">
        <v>0.17899862975662084</v>
      </c>
      <c r="I57" s="98">
        <v>-5.3964149393554095E-2</v>
      </c>
      <c r="J57" s="98">
        <v>5.5978755716267425E-2</v>
      </c>
    </row>
    <row r="58" spans="1:10" x14ac:dyDescent="0.3">
      <c r="A58" s="97">
        <v>44409</v>
      </c>
      <c r="B58" s="105">
        <v>0</v>
      </c>
      <c r="C58" s="105">
        <v>0</v>
      </c>
      <c r="D58" s="105">
        <v>4369.5525499999994</v>
      </c>
      <c r="E58" s="105">
        <v>5151.6964690995483</v>
      </c>
      <c r="F58" s="105">
        <v>4889.2814299999991</v>
      </c>
      <c r="G58" s="105">
        <v>4625.4355164843491</v>
      </c>
      <c r="H58" s="98">
        <v>0.17899862975662084</v>
      </c>
      <c r="I58" s="98">
        <v>-5.3964149393554095E-2</v>
      </c>
      <c r="J58" s="98">
        <v>5.5978755716267647E-2</v>
      </c>
    </row>
    <row r="59" spans="1:10" x14ac:dyDescent="0.3">
      <c r="A59" s="97">
        <v>44440</v>
      </c>
      <c r="B59" s="105">
        <v>0</v>
      </c>
      <c r="C59" s="105">
        <v>0</v>
      </c>
      <c r="D59" s="105">
        <v>5075.8784999999998</v>
      </c>
      <c r="E59" s="105">
        <v>5984.4537963110924</v>
      </c>
      <c r="F59" s="105">
        <v>5679.6201000000001</v>
      </c>
      <c r="G59" s="105">
        <v>5373.1242324249661</v>
      </c>
      <c r="H59" s="98">
        <v>0.17899862975662106</v>
      </c>
      <c r="I59" s="98">
        <v>-5.3964149393554317E-2</v>
      </c>
      <c r="J59" s="98">
        <v>5.5978755716267647E-2</v>
      </c>
    </row>
    <row r="60" spans="1:10" x14ac:dyDescent="0.3">
      <c r="A60" s="97">
        <v>44470</v>
      </c>
      <c r="B60" s="105">
        <v>0</v>
      </c>
      <c r="C60" s="105">
        <v>0</v>
      </c>
      <c r="D60" s="105">
        <v>4276.5313999999998</v>
      </c>
      <c r="E60" s="105">
        <v>5042.024660711164</v>
      </c>
      <c r="F60" s="105">
        <v>4785.1960399999998</v>
      </c>
      <c r="G60" s="105">
        <v>4526.9670060199951</v>
      </c>
      <c r="H60" s="98">
        <v>0.17899862975662106</v>
      </c>
      <c r="I60" s="98">
        <v>-5.3964149393554317E-2</v>
      </c>
      <c r="J60" s="98">
        <v>5.5978755716267647E-2</v>
      </c>
    </row>
    <row r="61" spans="1:10" x14ac:dyDescent="0.3">
      <c r="A61" s="97">
        <v>44501</v>
      </c>
      <c r="B61" s="105">
        <v>0</v>
      </c>
      <c r="C61" s="105">
        <v>0</v>
      </c>
      <c r="D61" s="105">
        <v>4048.7394499999996</v>
      </c>
      <c r="E61" s="105">
        <v>4773.4582637915746</v>
      </c>
      <c r="F61" s="105">
        <v>4530.3097699999998</v>
      </c>
      <c r="G61" s="105">
        <v>4285.835456772641</v>
      </c>
      <c r="H61" s="98">
        <v>0.17899862975662084</v>
      </c>
      <c r="I61" s="98">
        <v>-5.3964149393554317E-2</v>
      </c>
      <c r="J61" s="98">
        <v>5.5978755716267647E-2</v>
      </c>
    </row>
    <row r="62" spans="1:10" x14ac:dyDescent="0.3">
      <c r="A62" s="97">
        <v>44531</v>
      </c>
      <c r="B62" s="105">
        <v>0</v>
      </c>
      <c r="C62" s="105">
        <v>0</v>
      </c>
      <c r="D62" s="105">
        <v>5039.0118499999999</v>
      </c>
      <c r="E62" s="105">
        <v>5940.9880664773755</v>
      </c>
      <c r="F62" s="105">
        <v>5638.36841</v>
      </c>
      <c r="G62" s="105">
        <v>5334.0986547868633</v>
      </c>
      <c r="H62" s="98">
        <v>0.17899862975662106</v>
      </c>
      <c r="I62" s="98">
        <v>-5.3964149393554206E-2</v>
      </c>
      <c r="J62" s="98">
        <v>5.5978755716267647E-2</v>
      </c>
    </row>
    <row r="63" spans="1:10" x14ac:dyDescent="0.3">
      <c r="A63" s="97">
        <v>44562</v>
      </c>
      <c r="B63" s="105">
        <v>0</v>
      </c>
      <c r="C63" s="105">
        <v>0</v>
      </c>
      <c r="D63" s="105">
        <v>4783.8751000000002</v>
      </c>
      <c r="E63" s="105">
        <v>5640.1821878268183</v>
      </c>
      <c r="F63" s="105">
        <v>5352.8848600000001</v>
      </c>
      <c r="G63" s="105">
        <v>5064.0209817284658</v>
      </c>
      <c r="H63" s="98">
        <v>0.17899862975662106</v>
      </c>
      <c r="I63" s="98">
        <v>-5.3964149393554206E-2</v>
      </c>
      <c r="J63" s="98">
        <v>5.5978755716267647E-2</v>
      </c>
    </row>
    <row r="64" spans="1:10" x14ac:dyDescent="0.3">
      <c r="A64" s="97">
        <v>44593</v>
      </c>
      <c r="B64" s="105">
        <v>0</v>
      </c>
      <c r="C64" s="105">
        <v>0</v>
      </c>
      <c r="D64" s="105">
        <v>6531.0124999999998</v>
      </c>
      <c r="E64" s="105">
        <v>7700.0547884233638</v>
      </c>
      <c r="F64" s="105">
        <v>7307.8324999999995</v>
      </c>
      <c r="G64" s="105">
        <v>6913.4715352269295</v>
      </c>
      <c r="H64" s="98">
        <v>0.17899862975662106</v>
      </c>
      <c r="I64" s="98">
        <v>-5.3964149393554095E-2</v>
      </c>
      <c r="J64" s="98">
        <v>5.597875571626787E-2</v>
      </c>
    </row>
    <row r="65" spans="1:10" x14ac:dyDescent="0.3">
      <c r="A65" s="97">
        <v>44621</v>
      </c>
      <c r="B65" s="105">
        <v>0</v>
      </c>
      <c r="C65" s="105">
        <v>0</v>
      </c>
      <c r="D65" s="105">
        <v>6279.0497000000005</v>
      </c>
      <c r="E65" s="105">
        <v>7402.9909924737221</v>
      </c>
      <c r="F65" s="105">
        <v>7025.9004199999999</v>
      </c>
      <c r="G65" s="105">
        <v>6646.7536801108845</v>
      </c>
      <c r="H65" s="98">
        <v>0.17899862975662084</v>
      </c>
      <c r="I65" s="98">
        <v>-5.3964149393554206E-2</v>
      </c>
      <c r="J65" s="98">
        <v>5.5978755716267425E-2</v>
      </c>
    </row>
    <row r="66" spans="1:10" x14ac:dyDescent="0.3">
      <c r="A66" s="97">
        <v>44652</v>
      </c>
      <c r="B66" s="105">
        <v>0</v>
      </c>
      <c r="C66" s="105">
        <v>0</v>
      </c>
      <c r="D66" s="105">
        <v>5550.0177999999996</v>
      </c>
      <c r="E66" s="105">
        <v>6543.4633813248556</v>
      </c>
      <c r="F66" s="105">
        <v>6210.1550799999995</v>
      </c>
      <c r="G66" s="105">
        <v>5875.0293435057401</v>
      </c>
      <c r="H66" s="98">
        <v>0.17899862975662106</v>
      </c>
      <c r="I66" s="98">
        <v>-5.3964149393554206E-2</v>
      </c>
      <c r="J66" s="98">
        <v>5.597875571626787E-2</v>
      </c>
    </row>
    <row r="67" spans="1:10" x14ac:dyDescent="0.3">
      <c r="A67" s="97">
        <v>44682</v>
      </c>
      <c r="B67" s="105">
        <v>0</v>
      </c>
      <c r="C67" s="105">
        <v>0</v>
      </c>
      <c r="D67" s="105">
        <v>5181.5954499999998</v>
      </c>
      <c r="E67" s="105">
        <v>6109.0939355031414</v>
      </c>
      <c r="F67" s="105">
        <v>5797.9113699999998</v>
      </c>
      <c r="G67" s="105">
        <v>5485.0320146587328</v>
      </c>
      <c r="H67" s="98">
        <v>0.17899862975662084</v>
      </c>
      <c r="I67" s="98">
        <v>-5.3964149393554317E-2</v>
      </c>
      <c r="J67" s="98">
        <v>5.5978755716267647E-2</v>
      </c>
    </row>
    <row r="68" spans="1:10" x14ac:dyDescent="0.3">
      <c r="A68" s="97">
        <v>44713</v>
      </c>
      <c r="B68" s="105">
        <v>0</v>
      </c>
      <c r="C68" s="105">
        <v>0</v>
      </c>
      <c r="D68" s="105">
        <v>4495.53395</v>
      </c>
      <c r="E68" s="105">
        <v>5300.22836707437</v>
      </c>
      <c r="F68" s="105">
        <v>5030.2474700000002</v>
      </c>
      <c r="G68" s="105">
        <v>4758.7944440423717</v>
      </c>
      <c r="H68" s="98">
        <v>0.17899862975662106</v>
      </c>
      <c r="I68" s="98">
        <v>-5.3964149393554317E-2</v>
      </c>
      <c r="J68" s="98">
        <v>5.597875571626787E-2</v>
      </c>
    </row>
    <row r="69" spans="1:10" x14ac:dyDescent="0.3">
      <c r="A69" s="97">
        <v>44743</v>
      </c>
      <c r="B69" s="105">
        <v>0</v>
      </c>
      <c r="C69" s="105">
        <v>0</v>
      </c>
      <c r="D69" s="105">
        <v>5045.6039000000001</v>
      </c>
      <c r="E69" s="105">
        <v>5948.760084394663</v>
      </c>
      <c r="F69" s="105">
        <v>5645.7445399999997</v>
      </c>
      <c r="G69" s="105">
        <v>5341.0767382055974</v>
      </c>
      <c r="H69" s="98">
        <v>0.17899862975662106</v>
      </c>
      <c r="I69" s="98">
        <v>-5.3964149393554095E-2</v>
      </c>
      <c r="J69" s="98">
        <v>5.597875571626787E-2</v>
      </c>
    </row>
    <row r="70" spans="1:10" x14ac:dyDescent="0.3">
      <c r="A70" s="93" t="s">
        <v>31</v>
      </c>
      <c r="B70" s="105">
        <v>0</v>
      </c>
      <c r="C70" s="105">
        <v>0</v>
      </c>
      <c r="D70" s="105">
        <v>24955.86104</v>
      </c>
      <c r="E70" s="105">
        <v>29422.684949176761</v>
      </c>
      <c r="F70" s="105">
        <v>27923.555220000002</v>
      </c>
      <c r="G70" s="105">
        <v>26417.071108624339</v>
      </c>
      <c r="H70" s="98">
        <v>0.17898897184982721</v>
      </c>
      <c r="I70" s="98">
        <v>-5.3950297499963606E-2</v>
      </c>
      <c r="J70" s="98">
        <v>5.5982838071539254E-2</v>
      </c>
    </row>
    <row r="71" spans="1:10" x14ac:dyDescent="0.3">
      <c r="A71" s="94" t="s">
        <v>25</v>
      </c>
      <c r="B71" s="105">
        <v>0</v>
      </c>
      <c r="C71" s="105">
        <v>0</v>
      </c>
      <c r="D71" s="105">
        <v>24955.86104</v>
      </c>
      <c r="E71" s="105">
        <v>29422.684949176761</v>
      </c>
      <c r="F71" s="105">
        <v>27923.555220000002</v>
      </c>
      <c r="G71" s="105">
        <v>26417.071108624339</v>
      </c>
      <c r="H71" s="98">
        <v>0.17898897184982721</v>
      </c>
      <c r="I71" s="98">
        <v>-5.3950297499963606E-2</v>
      </c>
      <c r="J71" s="98">
        <v>5.5982838071539254E-2</v>
      </c>
    </row>
    <row r="72" spans="1:10" x14ac:dyDescent="0.3">
      <c r="A72" s="95" t="s">
        <v>25</v>
      </c>
      <c r="B72" s="105">
        <v>0</v>
      </c>
      <c r="C72" s="105">
        <v>0</v>
      </c>
      <c r="D72" s="105">
        <v>24955.86104</v>
      </c>
      <c r="E72" s="105">
        <v>29422.684949176761</v>
      </c>
      <c r="F72" s="105">
        <v>27923.555220000002</v>
      </c>
      <c r="G72" s="105">
        <v>26417.071108624339</v>
      </c>
      <c r="H72" s="98">
        <v>0.17898897184982721</v>
      </c>
      <c r="I72" s="98">
        <v>-5.3950297499963606E-2</v>
      </c>
      <c r="J72" s="98">
        <v>5.5982838071539254E-2</v>
      </c>
    </row>
    <row r="73" spans="1:10" x14ac:dyDescent="0.3">
      <c r="A73" s="96" t="s">
        <v>25</v>
      </c>
      <c r="B73" s="105">
        <v>0</v>
      </c>
      <c r="C73" s="105">
        <v>0</v>
      </c>
      <c r="D73" s="105">
        <v>24955.86104</v>
      </c>
      <c r="E73" s="105">
        <v>29422.684949176761</v>
      </c>
      <c r="F73" s="105">
        <v>27923.555220000002</v>
      </c>
      <c r="G73" s="105">
        <v>26417.071108624339</v>
      </c>
      <c r="H73" s="98">
        <v>0.17898897184982721</v>
      </c>
      <c r="I73" s="98">
        <v>-5.3950297499963606E-2</v>
      </c>
      <c r="J73" s="98">
        <v>5.5982838071539254E-2</v>
      </c>
    </row>
    <row r="74" spans="1:10" x14ac:dyDescent="0.3">
      <c r="A74" s="97">
        <v>44409</v>
      </c>
      <c r="B74" s="105">
        <v>0</v>
      </c>
      <c r="C74" s="105">
        <v>0</v>
      </c>
      <c r="D74" s="105">
        <v>1623.0682399999998</v>
      </c>
      <c r="E74" s="105">
        <v>1913.5795555197087</v>
      </c>
      <c r="F74" s="105">
        <v>1816.0798199999999</v>
      </c>
      <c r="G74" s="105">
        <v>1718.1017734273196</v>
      </c>
      <c r="H74" s="98">
        <v>0.17898897184982743</v>
      </c>
      <c r="I74" s="98">
        <v>-5.3950297499963606E-2</v>
      </c>
      <c r="J74" s="98">
        <v>5.5982838071539476E-2</v>
      </c>
    </row>
    <row r="75" spans="1:10" x14ac:dyDescent="0.3">
      <c r="A75" s="97">
        <v>44440</v>
      </c>
      <c r="B75" s="105">
        <v>0</v>
      </c>
      <c r="C75" s="105">
        <v>0</v>
      </c>
      <c r="D75" s="105">
        <v>2062.2705599999999</v>
      </c>
      <c r="E75" s="105">
        <v>2431.3942472105678</v>
      </c>
      <c r="F75" s="105">
        <v>2307.5110800000002</v>
      </c>
      <c r="G75" s="105">
        <v>2183.0201707495376</v>
      </c>
      <c r="H75" s="98">
        <v>0.17898897184982743</v>
      </c>
      <c r="I75" s="98">
        <v>-5.3950297499963717E-2</v>
      </c>
      <c r="J75" s="98">
        <v>5.5982838071539254E-2</v>
      </c>
    </row>
    <row r="76" spans="1:10" x14ac:dyDescent="0.3">
      <c r="A76" s="97">
        <v>44470</v>
      </c>
      <c r="B76" s="105">
        <v>0</v>
      </c>
      <c r="C76" s="105">
        <v>0</v>
      </c>
      <c r="D76" s="105">
        <v>1244.90392</v>
      </c>
      <c r="E76" s="105">
        <v>1467.7279926926199</v>
      </c>
      <c r="F76" s="105">
        <v>1392.9450600000002</v>
      </c>
      <c r="G76" s="105">
        <v>1317.7952596118955</v>
      </c>
      <c r="H76" s="98">
        <v>0.17898897184982743</v>
      </c>
      <c r="I76" s="98">
        <v>-5.3950297499963606E-2</v>
      </c>
      <c r="J76" s="98">
        <v>5.5982838071539254E-2</v>
      </c>
    </row>
    <row r="77" spans="1:10" x14ac:dyDescent="0.3">
      <c r="A77" s="97">
        <v>44501</v>
      </c>
      <c r="B77" s="105">
        <v>0</v>
      </c>
      <c r="C77" s="105">
        <v>0</v>
      </c>
      <c r="D77" s="105">
        <v>1017.5712799999999</v>
      </c>
      <c r="E77" s="105">
        <v>1199.7053171911127</v>
      </c>
      <c r="F77" s="105">
        <v>1138.57854</v>
      </c>
      <c r="G77" s="105">
        <v>1077.1518890399257</v>
      </c>
      <c r="H77" s="98">
        <v>0.17898897184982743</v>
      </c>
      <c r="I77" s="98">
        <v>-5.3950297499963717E-2</v>
      </c>
      <c r="J77" s="98">
        <v>5.5982838071539476E-2</v>
      </c>
    </row>
    <row r="78" spans="1:10" x14ac:dyDescent="0.3">
      <c r="A78" s="97">
        <v>44531</v>
      </c>
      <c r="B78" s="105">
        <v>0</v>
      </c>
      <c r="C78" s="105">
        <v>0</v>
      </c>
      <c r="D78" s="105">
        <v>2051.9619199999997</v>
      </c>
      <c r="E78" s="105">
        <v>2419.2404743357974</v>
      </c>
      <c r="F78" s="105">
        <v>2295.9765600000001</v>
      </c>
      <c r="G78" s="105">
        <v>2172.1079415350569</v>
      </c>
      <c r="H78" s="98">
        <v>0.17898897184982743</v>
      </c>
      <c r="I78" s="98">
        <v>-5.3950297499963717E-2</v>
      </c>
      <c r="J78" s="98">
        <v>5.5982838071539254E-2</v>
      </c>
    </row>
    <row r="79" spans="1:10" x14ac:dyDescent="0.3">
      <c r="A79" s="97">
        <v>44562</v>
      </c>
      <c r="B79" s="105">
        <v>0</v>
      </c>
      <c r="C79" s="105">
        <v>0</v>
      </c>
      <c r="D79" s="105">
        <v>1815.4057599999999</v>
      </c>
      <c r="E79" s="105">
        <v>2140.3433704726544</v>
      </c>
      <c r="F79" s="105">
        <v>2031.2896800000001</v>
      </c>
      <c r="G79" s="105">
        <v>1921.7009974553941</v>
      </c>
      <c r="H79" s="98">
        <v>0.17898897184982743</v>
      </c>
      <c r="I79" s="98">
        <v>-5.3950297499963606E-2</v>
      </c>
      <c r="J79" s="98">
        <v>5.5982838071539254E-2</v>
      </c>
    </row>
    <row r="80" spans="1:10" x14ac:dyDescent="0.3">
      <c r="A80" s="97">
        <v>44593</v>
      </c>
      <c r="B80" s="105">
        <v>0</v>
      </c>
      <c r="C80" s="105">
        <v>0</v>
      </c>
      <c r="D80" s="105">
        <v>4321.4903999999997</v>
      </c>
      <c r="E80" s="105">
        <v>5094.9895235548984</v>
      </c>
      <c r="F80" s="105">
        <v>4835.3922000000002</v>
      </c>
      <c r="G80" s="105">
        <v>4574.5213522809963</v>
      </c>
      <c r="H80" s="98">
        <v>0.17898897184982721</v>
      </c>
      <c r="I80" s="98">
        <v>-5.3950297499963717E-2</v>
      </c>
      <c r="J80" s="98">
        <v>5.5982838071539032E-2</v>
      </c>
    </row>
    <row r="81" spans="1:10" x14ac:dyDescent="0.3">
      <c r="A81" s="97">
        <v>44621</v>
      </c>
      <c r="B81" s="105">
        <v>0</v>
      </c>
      <c r="C81" s="105">
        <v>0</v>
      </c>
      <c r="D81" s="105">
        <v>3374.7231999999995</v>
      </c>
      <c r="E81" s="105">
        <v>3978.761435845759</v>
      </c>
      <c r="F81" s="105">
        <v>3776.0376000000001</v>
      </c>
      <c r="G81" s="105">
        <v>3572.3192481089513</v>
      </c>
      <c r="H81" s="98">
        <v>0.17898897184982743</v>
      </c>
      <c r="I81" s="98">
        <v>-5.3950297499963606E-2</v>
      </c>
      <c r="J81" s="98">
        <v>5.5982838071539254E-2</v>
      </c>
    </row>
    <row r="82" spans="1:10" x14ac:dyDescent="0.3">
      <c r="A82" s="97">
        <v>44652</v>
      </c>
      <c r="B82" s="105">
        <v>0</v>
      </c>
      <c r="C82" s="105">
        <v>0</v>
      </c>
      <c r="D82" s="105">
        <v>1937.2104799999997</v>
      </c>
      <c r="E82" s="105">
        <v>2283.9497920719105</v>
      </c>
      <c r="F82" s="105">
        <v>2167.5791400000003</v>
      </c>
      <c r="G82" s="105">
        <v>2050.6376005422849</v>
      </c>
      <c r="H82" s="98">
        <v>0.17898897184982743</v>
      </c>
      <c r="I82" s="98">
        <v>-5.3950297499963717E-2</v>
      </c>
      <c r="J82" s="98">
        <v>5.5982838071539476E-2</v>
      </c>
    </row>
    <row r="83" spans="1:10" x14ac:dyDescent="0.3">
      <c r="A83" s="97">
        <v>44682</v>
      </c>
      <c r="B83" s="105">
        <v>0</v>
      </c>
      <c r="C83" s="105">
        <v>0</v>
      </c>
      <c r="D83" s="105">
        <v>1468.4386399999999</v>
      </c>
      <c r="E83" s="105">
        <v>1731.2729623981588</v>
      </c>
      <c r="F83" s="105">
        <v>1643.0620200000001</v>
      </c>
      <c r="G83" s="105">
        <v>1554.4183352101088</v>
      </c>
      <c r="H83" s="98">
        <v>0.17898897184982743</v>
      </c>
      <c r="I83" s="98">
        <v>-5.3950297499963717E-2</v>
      </c>
      <c r="J83" s="98">
        <v>5.5982838071539476E-2</v>
      </c>
    </row>
    <row r="84" spans="1:10" x14ac:dyDescent="0.3">
      <c r="A84" s="97">
        <v>44713</v>
      </c>
      <c r="B84" s="105">
        <v>0</v>
      </c>
      <c r="C84" s="105">
        <v>0</v>
      </c>
      <c r="D84" s="105">
        <v>1659.6910399999999</v>
      </c>
      <c r="E84" s="105">
        <v>1956.7574328379708</v>
      </c>
      <c r="F84" s="105">
        <v>1857.0577200000002</v>
      </c>
      <c r="G84" s="105">
        <v>1756.868903531396</v>
      </c>
      <c r="H84" s="98">
        <v>0.17898897184982743</v>
      </c>
      <c r="I84" s="98">
        <v>-5.3950297499963717E-2</v>
      </c>
      <c r="J84" s="98">
        <v>5.5982838071539254E-2</v>
      </c>
    </row>
    <row r="85" spans="1:10" x14ac:dyDescent="0.3">
      <c r="A85" s="97">
        <v>44743</v>
      </c>
      <c r="B85" s="105">
        <v>0</v>
      </c>
      <c r="C85" s="105">
        <v>0</v>
      </c>
      <c r="D85" s="105">
        <v>2379.1255999999998</v>
      </c>
      <c r="E85" s="105">
        <v>2804.9628450456034</v>
      </c>
      <c r="F85" s="105">
        <v>2662.0457999999999</v>
      </c>
      <c r="G85" s="105">
        <v>2518.4276371314713</v>
      </c>
      <c r="H85" s="98">
        <v>0.17898897184982743</v>
      </c>
      <c r="I85" s="98">
        <v>-5.3950297499963606E-2</v>
      </c>
      <c r="J85" s="98">
        <v>5.5982838071539476E-2</v>
      </c>
    </row>
    <row r="86" spans="1:10" x14ac:dyDescent="0.3">
      <c r="B86"/>
      <c r="C86"/>
      <c r="D86"/>
      <c r="E86"/>
      <c r="F86"/>
      <c r="G86"/>
      <c r="H86"/>
      <c r="I86"/>
      <c r="J86"/>
    </row>
    <row r="87" spans="1:10" x14ac:dyDescent="0.3">
      <c r="B87"/>
      <c r="C87"/>
      <c r="D87"/>
      <c r="E87"/>
      <c r="F87"/>
      <c r="G87"/>
      <c r="H87"/>
      <c r="I87"/>
      <c r="J87"/>
    </row>
    <row r="88" spans="1:10" x14ac:dyDescent="0.3">
      <c r="B88"/>
      <c r="C88"/>
      <c r="D88"/>
      <c r="E88"/>
      <c r="F88"/>
      <c r="G88"/>
      <c r="H88"/>
      <c r="I88"/>
      <c r="J88"/>
    </row>
    <row r="89" spans="1:10" x14ac:dyDescent="0.3">
      <c r="B89"/>
      <c r="C89"/>
      <c r="D89"/>
      <c r="E89"/>
      <c r="F89"/>
      <c r="G89"/>
      <c r="H89"/>
      <c r="I89"/>
      <c r="J89"/>
    </row>
    <row r="90" spans="1:10" x14ac:dyDescent="0.3">
      <c r="B90"/>
      <c r="C90"/>
      <c r="D90"/>
      <c r="E90"/>
      <c r="F90"/>
      <c r="G90"/>
      <c r="H90"/>
      <c r="I90"/>
      <c r="J90"/>
    </row>
    <row r="91" spans="1:10" x14ac:dyDescent="0.3">
      <c r="B91"/>
      <c r="C91"/>
      <c r="D91"/>
      <c r="E91"/>
      <c r="F91"/>
      <c r="G91"/>
      <c r="H91"/>
      <c r="I91"/>
      <c r="J91"/>
    </row>
    <row r="92" spans="1:10" x14ac:dyDescent="0.3">
      <c r="B92"/>
      <c r="C92"/>
      <c r="D92"/>
      <c r="E92"/>
      <c r="F92"/>
      <c r="G92"/>
      <c r="H92"/>
      <c r="I92"/>
      <c r="J92"/>
    </row>
    <row r="93" spans="1:10" x14ac:dyDescent="0.3">
      <c r="B93"/>
      <c r="C93"/>
      <c r="D93"/>
      <c r="E93"/>
      <c r="F93"/>
      <c r="G93"/>
      <c r="H93"/>
      <c r="I93"/>
      <c r="J93"/>
    </row>
    <row r="94" spans="1:10" x14ac:dyDescent="0.3">
      <c r="B94"/>
      <c r="C94"/>
      <c r="D94"/>
      <c r="E94"/>
      <c r="F94"/>
      <c r="G94"/>
      <c r="H94"/>
      <c r="I94"/>
      <c r="J94"/>
    </row>
    <row r="95" spans="1:10" x14ac:dyDescent="0.3">
      <c r="B95"/>
      <c r="C95"/>
      <c r="D95"/>
      <c r="E95"/>
      <c r="F95"/>
      <c r="G95"/>
      <c r="H95"/>
      <c r="I95"/>
      <c r="J95"/>
    </row>
    <row r="96" spans="1:10" x14ac:dyDescent="0.3">
      <c r="B96"/>
      <c r="C96"/>
      <c r="D96"/>
      <c r="E96"/>
      <c r="F96"/>
      <c r="G96"/>
      <c r="H96"/>
      <c r="I96"/>
      <c r="J96"/>
    </row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  <row r="160" customFormat="1" x14ac:dyDescent="0.3"/>
    <row r="161" customFormat="1" x14ac:dyDescent="0.3"/>
    <row r="162" customFormat="1" x14ac:dyDescent="0.3"/>
    <row r="163" customFormat="1" x14ac:dyDescent="0.3"/>
    <row r="164" customFormat="1" x14ac:dyDescent="0.3"/>
    <row r="165" customFormat="1" x14ac:dyDescent="0.3"/>
    <row r="166" customFormat="1" x14ac:dyDescent="0.3"/>
    <row r="167" customFormat="1" x14ac:dyDescent="0.3"/>
    <row r="168" customFormat="1" x14ac:dyDescent="0.3"/>
    <row r="169" customFormat="1" x14ac:dyDescent="0.3"/>
    <row r="170" customFormat="1" x14ac:dyDescent="0.3"/>
    <row r="171" customFormat="1" x14ac:dyDescent="0.3"/>
    <row r="172" customFormat="1" x14ac:dyDescent="0.3"/>
    <row r="173" customFormat="1" x14ac:dyDescent="0.3"/>
    <row r="174" customFormat="1" x14ac:dyDescent="0.3"/>
    <row r="175" customFormat="1" x14ac:dyDescent="0.3"/>
    <row r="176" customFormat="1" x14ac:dyDescent="0.3"/>
    <row r="177" customFormat="1" x14ac:dyDescent="0.3"/>
    <row r="178" customFormat="1" x14ac:dyDescent="0.3"/>
    <row r="179" customFormat="1" x14ac:dyDescent="0.3"/>
    <row r="180" customFormat="1" x14ac:dyDescent="0.3"/>
    <row r="181" customFormat="1" x14ac:dyDescent="0.3"/>
    <row r="182" customFormat="1" x14ac:dyDescent="0.3"/>
    <row r="183" customFormat="1" x14ac:dyDescent="0.3"/>
    <row r="184" customFormat="1" x14ac:dyDescent="0.3"/>
    <row r="185" customFormat="1" x14ac:dyDescent="0.3"/>
    <row r="186" customFormat="1" x14ac:dyDescent="0.3"/>
    <row r="187" customFormat="1" x14ac:dyDescent="0.3"/>
    <row r="188" customFormat="1" x14ac:dyDescent="0.3"/>
    <row r="189" customFormat="1" x14ac:dyDescent="0.3"/>
    <row r="190" customFormat="1" x14ac:dyDescent="0.3"/>
    <row r="191" customFormat="1" x14ac:dyDescent="0.3"/>
    <row r="192" customFormat="1" x14ac:dyDescent="0.3"/>
    <row r="193" customFormat="1" x14ac:dyDescent="0.3"/>
    <row r="194" customFormat="1" x14ac:dyDescent="0.3"/>
    <row r="195" customFormat="1" x14ac:dyDescent="0.3"/>
    <row r="196" customFormat="1" x14ac:dyDescent="0.3"/>
    <row r="197" customFormat="1" x14ac:dyDescent="0.3"/>
    <row r="198" customFormat="1" x14ac:dyDescent="0.3"/>
    <row r="199" customFormat="1" x14ac:dyDescent="0.3"/>
    <row r="200" customFormat="1" x14ac:dyDescent="0.3"/>
    <row r="201" customFormat="1" x14ac:dyDescent="0.3"/>
    <row r="202" customFormat="1" x14ac:dyDescent="0.3"/>
    <row r="203" customFormat="1" x14ac:dyDescent="0.3"/>
    <row r="204" customFormat="1" x14ac:dyDescent="0.3"/>
    <row r="205" customFormat="1" x14ac:dyDescent="0.3"/>
    <row r="206" customFormat="1" x14ac:dyDescent="0.3"/>
    <row r="207" customFormat="1" x14ac:dyDescent="0.3"/>
    <row r="208" customFormat="1" x14ac:dyDescent="0.3"/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customFormat="1" x14ac:dyDescent="0.3"/>
    <row r="226" customFormat="1" x14ac:dyDescent="0.3"/>
    <row r="227" customFormat="1" x14ac:dyDescent="0.3"/>
    <row r="228" customFormat="1" x14ac:dyDescent="0.3"/>
    <row r="229" customFormat="1" x14ac:dyDescent="0.3"/>
    <row r="230" customFormat="1" x14ac:dyDescent="0.3"/>
    <row r="231" customFormat="1" x14ac:dyDescent="0.3"/>
    <row r="232" customFormat="1" x14ac:dyDescent="0.3"/>
    <row r="233" customFormat="1" x14ac:dyDescent="0.3"/>
    <row r="234" customFormat="1" x14ac:dyDescent="0.3"/>
    <row r="235" customFormat="1" x14ac:dyDescent="0.3"/>
    <row r="236" customFormat="1" x14ac:dyDescent="0.3"/>
    <row r="237" customFormat="1" x14ac:dyDescent="0.3"/>
    <row r="238" customFormat="1" x14ac:dyDescent="0.3"/>
    <row r="239" customFormat="1" x14ac:dyDescent="0.3"/>
    <row r="240" customFormat="1" x14ac:dyDescent="0.3"/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  <row r="283" customFormat="1" x14ac:dyDescent="0.3"/>
    <row r="284" customFormat="1" x14ac:dyDescent="0.3"/>
    <row r="285" customFormat="1" x14ac:dyDescent="0.3"/>
    <row r="286" customFormat="1" x14ac:dyDescent="0.3"/>
    <row r="287" customFormat="1" x14ac:dyDescent="0.3"/>
    <row r="288" customFormat="1" x14ac:dyDescent="0.3"/>
    <row r="289" customFormat="1" x14ac:dyDescent="0.3"/>
    <row r="290" customFormat="1" x14ac:dyDescent="0.3"/>
    <row r="291" customFormat="1" x14ac:dyDescent="0.3"/>
    <row r="292" customFormat="1" x14ac:dyDescent="0.3"/>
    <row r="293" customFormat="1" x14ac:dyDescent="0.3"/>
    <row r="294" customFormat="1" x14ac:dyDescent="0.3"/>
    <row r="295" customFormat="1" x14ac:dyDescent="0.3"/>
    <row r="296" customFormat="1" x14ac:dyDescent="0.3"/>
    <row r="297" customFormat="1" x14ac:dyDescent="0.3"/>
    <row r="298" customFormat="1" x14ac:dyDescent="0.3"/>
    <row r="299" customFormat="1" x14ac:dyDescent="0.3"/>
    <row r="300" customFormat="1" x14ac:dyDescent="0.3"/>
    <row r="301" customFormat="1" x14ac:dyDescent="0.3"/>
    <row r="302" customFormat="1" x14ac:dyDescent="0.3"/>
    <row r="303" customFormat="1" x14ac:dyDescent="0.3"/>
    <row r="304" customFormat="1" x14ac:dyDescent="0.3"/>
    <row r="305" customFormat="1" x14ac:dyDescent="0.3"/>
    <row r="306" customFormat="1" x14ac:dyDescent="0.3"/>
    <row r="307" customFormat="1" x14ac:dyDescent="0.3"/>
    <row r="308" customFormat="1" x14ac:dyDescent="0.3"/>
    <row r="309" customFormat="1" x14ac:dyDescent="0.3"/>
    <row r="310" customFormat="1" x14ac:dyDescent="0.3"/>
    <row r="311" customFormat="1" x14ac:dyDescent="0.3"/>
    <row r="312" customFormat="1" x14ac:dyDescent="0.3"/>
    <row r="313" customFormat="1" x14ac:dyDescent="0.3"/>
    <row r="314" customFormat="1" x14ac:dyDescent="0.3"/>
    <row r="315" customFormat="1" x14ac:dyDescent="0.3"/>
    <row r="316" customFormat="1" x14ac:dyDescent="0.3"/>
    <row r="317" customFormat="1" x14ac:dyDescent="0.3"/>
    <row r="318" customFormat="1" x14ac:dyDescent="0.3"/>
    <row r="319" customFormat="1" x14ac:dyDescent="0.3"/>
    <row r="320" customFormat="1" x14ac:dyDescent="0.3"/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24E72-44D2-4B60-9758-8ECB64B6A1EA}">
  <sheetPr>
    <tabColor indexed="12" tint="-0.249977111117893"/>
  </sheetPr>
  <dimension ref="A1:AZ604"/>
  <sheetViews>
    <sheetView showGridLines="0" topLeftCell="AH1" workbookViewId="0">
      <selection activeCell="AY2" sqref="AY2:AZ10"/>
    </sheetView>
  </sheetViews>
  <sheetFormatPr defaultRowHeight="11.25" customHeight="1" x14ac:dyDescent="0.3"/>
  <cols>
    <col min="1" max="1" width="18" style="4" bestFit="1" customWidth="1"/>
    <col min="2" max="2" width="12.109375" style="4" bestFit="1" customWidth="1"/>
    <col min="3" max="3" width="13.5546875" style="4" bestFit="1" customWidth="1"/>
    <col min="4" max="4" width="12.6640625" style="4" bestFit="1" customWidth="1"/>
    <col min="5" max="5" width="23.109375" style="4" bestFit="1" customWidth="1"/>
    <col min="6" max="6" width="12.88671875" style="4" bestFit="1" customWidth="1"/>
    <col min="7" max="7" width="13.21875" style="4" bestFit="1" customWidth="1"/>
    <col min="8" max="8" width="9.5546875" style="4" bestFit="1" customWidth="1"/>
    <col min="9" max="9" width="10.77734375" style="5" bestFit="1" customWidth="1"/>
    <col min="10" max="10" width="7.109375" style="6" bestFit="1" customWidth="1"/>
    <col min="11" max="11" width="7.5546875" style="6" bestFit="1" customWidth="1"/>
    <col min="12" max="12" width="10.77734375" style="6" bestFit="1" customWidth="1"/>
    <col min="13" max="13" width="12.109375" style="6" bestFit="1" customWidth="1"/>
    <col min="14" max="14" width="8.6640625" style="6" bestFit="1" customWidth="1"/>
    <col min="15" max="15" width="10" style="6" bestFit="1" customWidth="1"/>
    <col min="16" max="16" width="7.21875" style="6" bestFit="1" customWidth="1"/>
    <col min="17" max="17" width="10.44140625" style="4" bestFit="1" customWidth="1"/>
    <col min="18" max="18" width="12.44140625" style="4" bestFit="1" customWidth="1"/>
    <col min="19" max="19" width="21.88671875" style="4" bestFit="1" customWidth="1"/>
    <col min="20" max="20" width="23.21875" style="4" bestFit="1" customWidth="1"/>
    <col min="21" max="21" width="21" style="4" bestFit="1" customWidth="1"/>
    <col min="22" max="22" width="14.88671875" style="4" bestFit="1" customWidth="1"/>
    <col min="23" max="23" width="16.21875" style="4" bestFit="1" customWidth="1"/>
    <col min="24" max="24" width="14.109375" style="4" bestFit="1" customWidth="1"/>
    <col min="25" max="25" width="19.5546875" style="4" bestFit="1" customWidth="1"/>
    <col min="26" max="26" width="20.88671875" style="4" bestFit="1" customWidth="1"/>
    <col min="27" max="27" width="18.77734375" style="4" bestFit="1" customWidth="1"/>
    <col min="28" max="28" width="21.6640625" style="4" bestFit="1" customWidth="1"/>
    <col min="29" max="29" width="23" style="4" bestFit="1" customWidth="1"/>
    <col min="30" max="30" width="20.77734375" style="4" bestFit="1" customWidth="1"/>
    <col min="31" max="31" width="22.6640625" style="4" bestFit="1" customWidth="1"/>
    <col min="32" max="32" width="24" style="4" bestFit="1" customWidth="1"/>
    <col min="33" max="33" width="21.88671875" style="4" bestFit="1" customWidth="1"/>
    <col min="34" max="34" width="8.88671875" style="4"/>
    <col min="35" max="35" width="9" style="4" bestFit="1" customWidth="1"/>
    <col min="36" max="36" width="13.5546875" style="4" bestFit="1" customWidth="1"/>
    <col min="37" max="37" width="14.5546875" style="4" bestFit="1" customWidth="1"/>
    <col min="38" max="38" width="8.33203125" style="4" bestFit="1" customWidth="1"/>
    <col min="39" max="39" width="8.88671875" style="4"/>
    <col min="40" max="40" width="9" style="4" bestFit="1" customWidth="1"/>
    <col min="41" max="41" width="11.33203125" style="4" bestFit="1" customWidth="1"/>
    <col min="42" max="42" width="12.33203125" style="4" bestFit="1" customWidth="1"/>
    <col min="43" max="43" width="8.33203125" style="4" bestFit="1" customWidth="1"/>
    <col min="44" max="44" width="8.88671875" style="4"/>
    <col min="45" max="45" width="9" style="4" bestFit="1" customWidth="1"/>
    <col min="46" max="47" width="9.88671875" style="4" bestFit="1" customWidth="1"/>
    <col min="48" max="48" width="8.33203125" style="4" bestFit="1" customWidth="1"/>
    <col min="49" max="16384" width="8.88671875" style="4"/>
  </cols>
  <sheetData>
    <row r="1" spans="1:52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635</v>
      </c>
      <c r="W1" s="1" t="s">
        <v>636</v>
      </c>
      <c r="X1" s="1" t="s">
        <v>637</v>
      </c>
      <c r="Y1" s="1" t="s">
        <v>638</v>
      </c>
      <c r="Z1" s="1" t="s">
        <v>639</v>
      </c>
      <c r="AA1" s="1" t="s">
        <v>640</v>
      </c>
      <c r="AB1" s="1" t="s">
        <v>656</v>
      </c>
      <c r="AC1" s="1" t="s">
        <v>657</v>
      </c>
      <c r="AD1" s="1" t="s">
        <v>658</v>
      </c>
      <c r="AE1" s="1" t="s">
        <v>659</v>
      </c>
      <c r="AF1" s="1" t="s">
        <v>660</v>
      </c>
      <c r="AG1" s="1" t="s">
        <v>661</v>
      </c>
      <c r="AI1" s="40" t="s">
        <v>68</v>
      </c>
      <c r="AJ1" s="40" t="s">
        <v>662</v>
      </c>
      <c r="AK1" s="40" t="s">
        <v>663</v>
      </c>
      <c r="AL1" s="40" t="s">
        <v>664</v>
      </c>
      <c r="AN1" s="40" t="s">
        <v>68</v>
      </c>
      <c r="AO1" s="40" t="s">
        <v>665</v>
      </c>
      <c r="AP1" s="40" t="s">
        <v>666</v>
      </c>
      <c r="AQ1" s="40" t="s">
        <v>664</v>
      </c>
      <c r="AS1" s="40" t="s">
        <v>68</v>
      </c>
      <c r="AT1" s="40" t="s">
        <v>667</v>
      </c>
      <c r="AU1" s="40" t="s">
        <v>668</v>
      </c>
      <c r="AV1" s="40" t="s">
        <v>664</v>
      </c>
    </row>
    <row r="2" spans="1:52" ht="11.25" customHeight="1" x14ac:dyDescent="0.3">
      <c r="A2" s="4" t="s">
        <v>21</v>
      </c>
      <c r="B2" s="4" t="s">
        <v>61</v>
      </c>
      <c r="C2" s="4" t="s">
        <v>54</v>
      </c>
      <c r="D2" s="4" t="s">
        <v>33</v>
      </c>
      <c r="E2" s="4" t="s">
        <v>25</v>
      </c>
      <c r="F2" s="4" t="s">
        <v>55</v>
      </c>
      <c r="G2" s="4" t="s">
        <v>25</v>
      </c>
      <c r="H2" s="4" t="s">
        <v>37</v>
      </c>
      <c r="I2" s="5">
        <v>44652</v>
      </c>
      <c r="J2" s="6">
        <v>3469.2</v>
      </c>
      <c r="K2" s="6">
        <v>1735.4571699359999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56</v>
      </c>
      <c r="R2" s="4">
        <v>0</v>
      </c>
      <c r="S2" s="6">
        <v>3</v>
      </c>
      <c r="T2" s="6">
        <v>0</v>
      </c>
      <c r="U2" s="6">
        <v>0</v>
      </c>
      <c r="V2" s="6">
        <f>IF(ISERROR(VLOOKUP($S$2,'TAR FIN'!$A$1:$O$92,15,0)),0,VLOOKUP($S$2,'TAR FIN'!$A$1:$O$92,15,0))</f>
        <v>13.87</v>
      </c>
      <c r="W2" s="6">
        <f>IF(ISERROR(VLOOKUP($T$2,'TAR FIN'!$A$1:$O$92,15,0)),0,VLOOKUP($T$2,'TAR FIN'!$A$1:$O$92,15,0))</f>
        <v>0</v>
      </c>
      <c r="X2" s="6">
        <f>IF(ISERROR(VLOOKUP($U$2,'TAR FIN'!$A$1:$O$92,15,0)),0,VLOOKUP($U$2,'TAR FIN'!$A$1:$O$92,15,0))</f>
        <v>0</v>
      </c>
      <c r="Y2" s="6">
        <f ca="1">('TUSD BE'!$AM$6+'TUSD BF_350'!$AM$6+'TUSD CVA'!$AM$6)*1</f>
        <v>12.29</v>
      </c>
      <c r="Z2" s="6">
        <f ca="1">('TUSD BE'!$AM$7+'TUSD BF_350'!$AM$7+'TUSD CVA'!$AM$7)*1</f>
        <v>94.14</v>
      </c>
      <c r="AA2" s="6"/>
      <c r="AB2" s="6">
        <f>$K$2*$V$2</f>
        <v>24070.790947012316</v>
      </c>
      <c r="AC2" s="6">
        <f>$M$2*$W$2</f>
        <v>0</v>
      </c>
      <c r="AD2" s="6">
        <f>$O$2*$X$2</f>
        <v>0</v>
      </c>
      <c r="AE2" s="6">
        <f ca="1">$K$2*$Y$2</f>
        <v>21328.768618513437</v>
      </c>
      <c r="AF2" s="6">
        <f ca="1">$M$2*$Z$2</f>
        <v>0</v>
      </c>
      <c r="AG2" s="6">
        <f>$O$2*$AA$2</f>
        <v>0</v>
      </c>
      <c r="AI2" s="41" t="s">
        <v>61</v>
      </c>
      <c r="AJ2" s="42">
        <f t="shared" ref="AJ2:AJ7" si="0">SUMIF($B$2:$B$604,AI2,$AB$2:$AB$604)+SUMIF($B$2:$B$604,AI2,$AC$2:$AC$604)</f>
        <v>712692.40921196807</v>
      </c>
      <c r="AK2" s="42">
        <f t="shared" ref="AK2:AK7" ca="1" si="1">SUMIF($B$2:$B$604,AI2,$AE$2:$AE$604)+SUMIF($B$2:$B$604,AI2,$AF$2:$AF$604)</f>
        <v>980041.14406274515</v>
      </c>
      <c r="AL2" s="43">
        <f t="shared" ref="AL2:AL10" ca="1" si="2">IF(AJ2&lt;&gt;0,AK2/AJ2-1,0)</f>
        <v>0.37512499276705857</v>
      </c>
      <c r="AN2" s="41" t="s">
        <v>61</v>
      </c>
      <c r="AO2" s="42">
        <f t="shared" ref="AO2:AO7" si="3">SUMIF($B$2:$B$604,AN2,$AD$2:$AD$604)</f>
        <v>0</v>
      </c>
      <c r="AP2" s="42">
        <f t="shared" ref="AP2:AP7" si="4">SUMIF($B$2:$B$604,AN2,$AG$2:$AG$604)</f>
        <v>0</v>
      </c>
      <c r="AQ2" s="43">
        <f t="shared" ref="AQ2:AQ10" si="5">IF(AO2&lt;&gt;0,AP2/AO2-1,0)</f>
        <v>0</v>
      </c>
      <c r="AS2" s="41" t="s">
        <v>61</v>
      </c>
      <c r="AT2" s="42">
        <f t="shared" ref="AT2:AT7" si="6">SUMIF($B$2:$B$604,AS2,$AB$2:$AB$604)+SUMIF($B$2:$B$604,AS2,$AC$2:$AC$604)+SUMIF($B$2:$B$604,AS2,$AD$2:$AD$604)</f>
        <v>712692.40921196807</v>
      </c>
      <c r="AU2" s="42">
        <f t="shared" ref="AU2:AU7" ca="1" si="7">SUMIF($B$2:$B$604,AS2,$AE$2:$AE$604)+SUMIF($B$2:$B$604,AS2,$AF$2:$AF$604)+SUMIF($B$2:$B$604,AS2,$AG$2:$AG$604)</f>
        <v>980041.14406274515</v>
      </c>
      <c r="AV2" s="43">
        <f t="shared" ref="AV2:AV10" ca="1" si="8">IF(AT2&lt;&gt;0,AU2/AT2-1,0)</f>
        <v>0.37512499276705857</v>
      </c>
      <c r="AW2" s="4">
        <v>980041.14406274515</v>
      </c>
      <c r="AX2" s="4">
        <v>0.37512499276705857</v>
      </c>
      <c r="AY2" s="100">
        <f ca="1">AU2-AW2</f>
        <v>0</v>
      </c>
      <c r="AZ2" s="100">
        <f ca="1">AV2-AX2</f>
        <v>0</v>
      </c>
    </row>
    <row r="3" spans="1:52" ht="11.25" customHeight="1" x14ac:dyDescent="0.3">
      <c r="A3" s="4" t="s">
        <v>21</v>
      </c>
      <c r="B3" s="4" t="s">
        <v>61</v>
      </c>
      <c r="C3" s="4" t="s">
        <v>54</v>
      </c>
      <c r="D3" s="4" t="s">
        <v>33</v>
      </c>
      <c r="E3" s="4" t="s">
        <v>25</v>
      </c>
      <c r="F3" s="4" t="s">
        <v>55</v>
      </c>
      <c r="G3" s="4" t="s">
        <v>25</v>
      </c>
      <c r="H3" s="4" t="s">
        <v>37</v>
      </c>
      <c r="I3" s="5">
        <v>44682</v>
      </c>
      <c r="J3" s="6">
        <v>3738</v>
      </c>
      <c r="K3" s="6">
        <v>1869.74565624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56</v>
      </c>
      <c r="R3" s="4">
        <v>0</v>
      </c>
      <c r="S3" s="6">
        <v>3</v>
      </c>
      <c r="T3" s="6">
        <v>0</v>
      </c>
      <c r="U3" s="6">
        <v>0</v>
      </c>
      <c r="V3" s="6">
        <f>IF(ISERROR(VLOOKUP($S$3,'TAR FIN'!$A$1:$O$92,15,0)),0,VLOOKUP($S$3,'TAR FIN'!$A$1:$O$92,15,0))</f>
        <v>13.87</v>
      </c>
      <c r="W3" s="6">
        <f>IF(ISERROR(VLOOKUP($T$3,'TAR FIN'!$A$1:$O$92,15,0)),0,VLOOKUP($T$3,'TAR FIN'!$A$1:$O$92,15,0))</f>
        <v>0</v>
      </c>
      <c r="X3" s="6">
        <f>IF(ISERROR(VLOOKUP($U$3,'TAR FIN'!$A$1:$O$92,15,0)),0,VLOOKUP($U$3,'TAR FIN'!$A$1:$O$92,15,0))</f>
        <v>0</v>
      </c>
      <c r="Y3" s="6">
        <f ca="1">('TUSD BE'!$AM$6+'TUSD BF_350'!$AM$6+'TUSD CVA'!$AM$6)*1</f>
        <v>12.29</v>
      </c>
      <c r="Z3" s="6">
        <f ca="1">('TUSD BE'!$AM$7+'TUSD BF_350'!$AM$7+'TUSD CVA'!$AM$7)*1</f>
        <v>94.14</v>
      </c>
      <c r="AA3" s="6"/>
      <c r="AB3" s="6">
        <f>$K$3*$V$3</f>
        <v>25933.372252048797</v>
      </c>
      <c r="AC3" s="6">
        <f>$M$3*$W$3</f>
        <v>0</v>
      </c>
      <c r="AD3" s="6">
        <f>$O$3*$X$3</f>
        <v>0</v>
      </c>
      <c r="AE3" s="6">
        <f ca="1">$K$3*$Y$3</f>
        <v>22979.174115189599</v>
      </c>
      <c r="AF3" s="6">
        <f ca="1">$M$3*$Z$3</f>
        <v>0</v>
      </c>
      <c r="AG3" s="6">
        <f>$O$3*$AA$3</f>
        <v>0</v>
      </c>
      <c r="AI3" s="41" t="s">
        <v>34</v>
      </c>
      <c r="AJ3" s="42">
        <f t="shared" si="0"/>
        <v>10343723.720059069</v>
      </c>
      <c r="AK3" s="42">
        <f t="shared" ca="1" si="1"/>
        <v>14065112.430685544</v>
      </c>
      <c r="AL3" s="43">
        <f t="shared" ca="1" si="2"/>
        <v>0.35977263230743217</v>
      </c>
      <c r="AN3" s="41" t="s">
        <v>34</v>
      </c>
      <c r="AO3" s="42">
        <f t="shared" si="3"/>
        <v>1007933.9611119998</v>
      </c>
      <c r="AP3" s="42">
        <f t="shared" ca="1" si="4"/>
        <v>872243.45932360005</v>
      </c>
      <c r="AQ3" s="43">
        <f t="shared" ca="1" si="5"/>
        <v>-0.13462241280043752</v>
      </c>
      <c r="AS3" s="41" t="s">
        <v>34</v>
      </c>
      <c r="AT3" s="42">
        <f t="shared" si="6"/>
        <v>11351657.681171069</v>
      </c>
      <c r="AU3" s="42">
        <f t="shared" ca="1" si="7"/>
        <v>14937355.890009144</v>
      </c>
      <c r="AV3" s="43">
        <f t="shared" ca="1" si="8"/>
        <v>0.31587441319567389</v>
      </c>
      <c r="AW3" s="4">
        <v>14937355.890009144</v>
      </c>
      <c r="AX3" s="4">
        <v>0.31587441319567389</v>
      </c>
      <c r="AY3" s="100">
        <f t="shared" ref="AY3:AY10" ca="1" si="9">AU3-AW3</f>
        <v>0</v>
      </c>
      <c r="AZ3" s="100">
        <f t="shared" ref="AZ3:AZ10" ca="1" si="10">AV3-AX3</f>
        <v>0</v>
      </c>
    </row>
    <row r="4" spans="1:52" ht="11.25" customHeight="1" x14ac:dyDescent="0.3">
      <c r="A4" s="4" t="s">
        <v>21</v>
      </c>
      <c r="B4" s="4" t="s">
        <v>61</v>
      </c>
      <c r="C4" s="4" t="s">
        <v>54</v>
      </c>
      <c r="D4" s="4" t="s">
        <v>33</v>
      </c>
      <c r="E4" s="4" t="s">
        <v>25</v>
      </c>
      <c r="F4" s="4" t="s">
        <v>55</v>
      </c>
      <c r="G4" s="4" t="s">
        <v>25</v>
      </c>
      <c r="H4" s="4" t="s">
        <v>37</v>
      </c>
      <c r="I4" s="5">
        <v>44713</v>
      </c>
      <c r="J4" s="6">
        <v>3763.2</v>
      </c>
      <c r="K4" s="6">
        <v>1900.6458562559999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56</v>
      </c>
      <c r="R4" s="4">
        <v>0</v>
      </c>
      <c r="S4" s="6">
        <v>3</v>
      </c>
      <c r="T4" s="6">
        <v>0</v>
      </c>
      <c r="U4" s="6">
        <v>0</v>
      </c>
      <c r="V4" s="6">
        <f>IF(ISERROR(VLOOKUP($S$4,'TAR FIN'!$A$1:$O$92,15,0)),0,VLOOKUP($S$4,'TAR FIN'!$A$1:$O$92,15,0))</f>
        <v>13.87</v>
      </c>
      <c r="W4" s="6">
        <f>IF(ISERROR(VLOOKUP($T$4,'TAR FIN'!$A$1:$O$92,15,0)),0,VLOOKUP($T$4,'TAR FIN'!$A$1:$O$92,15,0))</f>
        <v>0</v>
      </c>
      <c r="X4" s="6">
        <f>IF(ISERROR(VLOOKUP($U$4,'TAR FIN'!$A$1:$O$92,15,0)),0,VLOOKUP($U$4,'TAR FIN'!$A$1:$O$92,15,0))</f>
        <v>0</v>
      </c>
      <c r="Y4" s="6">
        <f ca="1">('TUSD BE'!$AM$6+'TUSD BF_350'!$AM$6+'TUSD CVA'!$AM$6)*1</f>
        <v>12.29</v>
      </c>
      <c r="Z4" s="6">
        <f ca="1">('TUSD BE'!$AM$7+'TUSD BF_350'!$AM$7+'TUSD CVA'!$AM$7)*1</f>
        <v>94.14</v>
      </c>
      <c r="AA4" s="6"/>
      <c r="AB4" s="6">
        <f>$K$4*$V$4</f>
        <v>26361.958026270717</v>
      </c>
      <c r="AC4" s="6">
        <f>$M$4*$W$4</f>
        <v>0</v>
      </c>
      <c r="AD4" s="6">
        <f>$O$4*$X$4</f>
        <v>0</v>
      </c>
      <c r="AE4" s="6">
        <f ca="1">$K$4*$Y$4</f>
        <v>23358.937573386236</v>
      </c>
      <c r="AF4" s="6">
        <f ca="1">$M$4*$Z$4</f>
        <v>0</v>
      </c>
      <c r="AG4" s="6">
        <f>$O$4*$AA$4</f>
        <v>0</v>
      </c>
      <c r="AI4" s="41" t="s">
        <v>22</v>
      </c>
      <c r="AJ4" s="42">
        <f t="shared" si="0"/>
        <v>4095445.4067499996</v>
      </c>
      <c r="AK4" s="42">
        <f t="shared" ca="1" si="1"/>
        <v>3675987.0878419997</v>
      </c>
      <c r="AL4" s="43">
        <f t="shared" ca="1" si="2"/>
        <v>-0.10242068377145508</v>
      </c>
      <c r="AN4" s="41" t="s">
        <v>22</v>
      </c>
      <c r="AO4" s="42">
        <f t="shared" si="3"/>
        <v>3654968.61393</v>
      </c>
      <c r="AP4" s="42">
        <f t="shared" ca="1" si="4"/>
        <v>3161161.2455370002</v>
      </c>
      <c r="AQ4" s="43">
        <f t="shared" ca="1" si="5"/>
        <v>-0.13510577533032053</v>
      </c>
      <c r="AS4" s="41" t="s">
        <v>22</v>
      </c>
      <c r="AT4" s="42">
        <f t="shared" si="6"/>
        <v>7750414.0206799991</v>
      </c>
      <c r="AU4" s="42">
        <f t="shared" ca="1" si="7"/>
        <v>6837148.3333790004</v>
      </c>
      <c r="AV4" s="43">
        <f t="shared" ca="1" si="8"/>
        <v>-0.11783443889115897</v>
      </c>
      <c r="AW4" s="4">
        <v>6837148.3333790004</v>
      </c>
      <c r="AX4" s="4">
        <v>-0.11783443889115897</v>
      </c>
      <c r="AY4" s="100">
        <f t="shared" ca="1" si="9"/>
        <v>0</v>
      </c>
      <c r="AZ4" s="100">
        <f t="shared" ca="1" si="10"/>
        <v>0</v>
      </c>
    </row>
    <row r="5" spans="1:52" ht="11.25" customHeight="1" x14ac:dyDescent="0.3">
      <c r="A5" s="4" t="s">
        <v>21</v>
      </c>
      <c r="B5" s="4" t="s">
        <v>61</v>
      </c>
      <c r="C5" s="4" t="s">
        <v>54</v>
      </c>
      <c r="D5" s="4" t="s">
        <v>33</v>
      </c>
      <c r="E5" s="4" t="s">
        <v>25</v>
      </c>
      <c r="F5" s="4" t="s">
        <v>55</v>
      </c>
      <c r="G5" s="4" t="s">
        <v>25</v>
      </c>
      <c r="H5" s="4" t="s">
        <v>37</v>
      </c>
      <c r="I5" s="5">
        <v>44743</v>
      </c>
      <c r="J5" s="6">
        <v>4100</v>
      </c>
      <c r="K5" s="6">
        <v>2087.3986829999999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56</v>
      </c>
      <c r="R5" s="4">
        <v>0</v>
      </c>
      <c r="S5" s="6">
        <v>3</v>
      </c>
      <c r="T5" s="6">
        <v>0</v>
      </c>
      <c r="U5" s="6">
        <v>0</v>
      </c>
      <c r="V5" s="6">
        <f>IF(ISERROR(VLOOKUP($S$5,'TAR FIN'!$A$1:$O$92,15,0)),0,VLOOKUP($S$5,'TAR FIN'!$A$1:$O$92,15,0))</f>
        <v>13.87</v>
      </c>
      <c r="W5" s="6">
        <f>IF(ISERROR(VLOOKUP($T$5,'TAR FIN'!$A$1:$O$92,15,0)),0,VLOOKUP($T$5,'TAR FIN'!$A$1:$O$92,15,0))</f>
        <v>0</v>
      </c>
      <c r="X5" s="6">
        <f>IF(ISERROR(VLOOKUP($U$5,'TAR FIN'!$A$1:$O$92,15,0)),0,VLOOKUP($U$5,'TAR FIN'!$A$1:$O$92,15,0))</f>
        <v>0</v>
      </c>
      <c r="Y5" s="6">
        <f ca="1">('TUSD BE'!$AM$6+'TUSD BF_350'!$AM$6+'TUSD CVA'!$AM$6)*1</f>
        <v>12.29</v>
      </c>
      <c r="Z5" s="6">
        <f ca="1">('TUSD BE'!$AM$7+'TUSD BF_350'!$AM$7+'TUSD CVA'!$AM$7)*1</f>
        <v>94.14</v>
      </c>
      <c r="AA5" s="6"/>
      <c r="AB5" s="6">
        <f>$K$5*$V$5</f>
        <v>28952.219733209997</v>
      </c>
      <c r="AC5" s="6">
        <f>$M$5*$W$5</f>
        <v>0</v>
      </c>
      <c r="AD5" s="6">
        <f>$O$5*$X$5</f>
        <v>0</v>
      </c>
      <c r="AE5" s="6">
        <f ca="1">$K$5*$Y$5</f>
        <v>25654.129814069998</v>
      </c>
      <c r="AF5" s="6">
        <f ca="1">$M$5*$Z$5</f>
        <v>0</v>
      </c>
      <c r="AG5" s="6">
        <f>$O$5*$AA$5</f>
        <v>0</v>
      </c>
      <c r="AI5" s="41" t="s">
        <v>41</v>
      </c>
      <c r="AJ5" s="42">
        <f t="shared" si="0"/>
        <v>936896.31271600013</v>
      </c>
      <c r="AK5" s="42">
        <f t="shared" ca="1" si="1"/>
        <v>905470.77706903988</v>
      </c>
      <c r="AL5" s="43">
        <f t="shared" ca="1" si="2"/>
        <v>-3.3542170270539073E-2</v>
      </c>
      <c r="AN5" s="41" t="s">
        <v>41</v>
      </c>
      <c r="AO5" s="42">
        <f t="shared" si="3"/>
        <v>828684.30772400007</v>
      </c>
      <c r="AP5" s="42">
        <f t="shared" ca="1" si="4"/>
        <v>765606.76061688003</v>
      </c>
      <c r="AQ5" s="43">
        <f t="shared" ca="1" si="5"/>
        <v>-7.611770431657372E-2</v>
      </c>
      <c r="AS5" s="41" t="s">
        <v>41</v>
      </c>
      <c r="AT5" s="42">
        <f t="shared" si="6"/>
        <v>1765580.6204400002</v>
      </c>
      <c r="AU5" s="42">
        <f t="shared" ca="1" si="7"/>
        <v>1671077.53768592</v>
      </c>
      <c r="AV5" s="43">
        <f t="shared" ca="1" si="8"/>
        <v>-5.3525215252152591E-2</v>
      </c>
      <c r="AW5" s="4">
        <v>1671077.53768592</v>
      </c>
      <c r="AX5" s="4">
        <v>-5.3525215252152591E-2</v>
      </c>
      <c r="AY5" s="100">
        <f t="shared" ca="1" si="9"/>
        <v>0</v>
      </c>
      <c r="AZ5" s="100">
        <f t="shared" ca="1" si="10"/>
        <v>0</v>
      </c>
    </row>
    <row r="6" spans="1:52" ht="11.25" customHeight="1" x14ac:dyDescent="0.3">
      <c r="A6" s="4" t="s">
        <v>21</v>
      </c>
      <c r="B6" s="4" t="s">
        <v>61</v>
      </c>
      <c r="C6" s="4" t="s">
        <v>54</v>
      </c>
      <c r="D6" s="4" t="s">
        <v>33</v>
      </c>
      <c r="E6" s="4" t="s">
        <v>25</v>
      </c>
      <c r="F6" s="4" t="s">
        <v>55</v>
      </c>
      <c r="G6" s="4" t="s">
        <v>25</v>
      </c>
      <c r="H6" s="4" t="s">
        <v>25</v>
      </c>
      <c r="I6" s="5">
        <v>44652</v>
      </c>
      <c r="J6" s="6">
        <v>0</v>
      </c>
      <c r="K6" s="6">
        <v>0</v>
      </c>
      <c r="L6" s="6">
        <v>1349.6216999999999</v>
      </c>
      <c r="M6" s="6">
        <v>1349.6216999999999</v>
      </c>
      <c r="N6" s="6">
        <v>0</v>
      </c>
      <c r="O6" s="6">
        <v>0</v>
      </c>
      <c r="P6" s="6">
        <v>1</v>
      </c>
      <c r="Q6" s="4" t="s">
        <v>56</v>
      </c>
      <c r="R6" s="4">
        <v>0</v>
      </c>
      <c r="S6" s="6">
        <v>0</v>
      </c>
      <c r="T6" s="6">
        <v>5</v>
      </c>
      <c r="U6" s="6">
        <v>0</v>
      </c>
      <c r="V6" s="6">
        <f>IF(ISERROR(VLOOKUP($S$6,'TAR FIN'!$A$1:$O$92,15,0)),0,VLOOKUP($S$6,'TAR FIN'!$A$1:$O$92,15,0))</f>
        <v>0</v>
      </c>
      <c r="W6" s="6">
        <f>IF(ISERROR(VLOOKUP($T$6,'TAR FIN'!$A$1:$O$92,15,0)),0,VLOOKUP($T$6,'TAR FIN'!$A$1:$O$92,15,0))</f>
        <v>57.86</v>
      </c>
      <c r="X6" s="6">
        <f>IF(ISERROR(VLOOKUP($U$6,'TAR FIN'!$A$1:$O$92,15,0)),0,VLOOKUP($U$6,'TAR FIN'!$A$1:$O$92,15,0))</f>
        <v>0</v>
      </c>
      <c r="Y6" s="6"/>
      <c r="Z6" s="6">
        <f ca="1">('TUSD BE'!$AM$7+'TUSD BF_350'!$AM$7+'TUSD CVA'!$AM$7)*1</f>
        <v>94.14</v>
      </c>
      <c r="AA6" s="6"/>
      <c r="AB6" s="6">
        <f>$K$6*$V$6</f>
        <v>0</v>
      </c>
      <c r="AC6" s="6">
        <f>$M$6*$W$6</f>
        <v>78089.111561999991</v>
      </c>
      <c r="AD6" s="6">
        <f>$O$6*$X$6</f>
        <v>0</v>
      </c>
      <c r="AE6" s="6">
        <f>$K$6*$Y$6</f>
        <v>0</v>
      </c>
      <c r="AF6" s="6">
        <f ca="1">$M$6*$Z$6</f>
        <v>127053.38683799999</v>
      </c>
      <c r="AG6" s="6">
        <f>$O$6*$AA$6</f>
        <v>0</v>
      </c>
      <c r="AI6" s="41" t="s">
        <v>32</v>
      </c>
      <c r="AJ6" s="42">
        <f t="shared" si="0"/>
        <v>2243689.5422691987</v>
      </c>
      <c r="AK6" s="42">
        <f t="shared" ca="1" si="1"/>
        <v>2038726.4072161992</v>
      </c>
      <c r="AL6" s="43">
        <f t="shared" ca="1" si="2"/>
        <v>-9.1350933893334485E-2</v>
      </c>
      <c r="AN6" s="41" t="s">
        <v>32</v>
      </c>
      <c r="AO6" s="42">
        <f t="shared" si="3"/>
        <v>1991731.9022904008</v>
      </c>
      <c r="AP6" s="42">
        <f t="shared" ca="1" si="4"/>
        <v>1726794.0538714004</v>
      </c>
      <c r="AQ6" s="43">
        <f t="shared" ca="1" si="5"/>
        <v>-0.13301883055361718</v>
      </c>
      <c r="AS6" s="41" t="s">
        <v>32</v>
      </c>
      <c r="AT6" s="42">
        <f t="shared" si="6"/>
        <v>4235421.4445595993</v>
      </c>
      <c r="AU6" s="42">
        <f t="shared" ca="1" si="7"/>
        <v>3765520.4610875994</v>
      </c>
      <c r="AV6" s="43">
        <f t="shared" ca="1" si="8"/>
        <v>-0.1109455079318229</v>
      </c>
      <c r="AW6" s="4">
        <v>3765520.4610875994</v>
      </c>
      <c r="AX6" s="4">
        <v>-0.1109455079318229</v>
      </c>
      <c r="AY6" s="100">
        <f t="shared" ca="1" si="9"/>
        <v>0</v>
      </c>
      <c r="AZ6" s="100">
        <f t="shared" ca="1" si="10"/>
        <v>0</v>
      </c>
    </row>
    <row r="7" spans="1:52" ht="11.25" customHeight="1" x14ac:dyDescent="0.3">
      <c r="A7" s="4" t="s">
        <v>21</v>
      </c>
      <c r="B7" s="4" t="s">
        <v>61</v>
      </c>
      <c r="C7" s="4" t="s">
        <v>54</v>
      </c>
      <c r="D7" s="4" t="s">
        <v>33</v>
      </c>
      <c r="E7" s="4" t="s">
        <v>25</v>
      </c>
      <c r="F7" s="4" t="s">
        <v>55</v>
      </c>
      <c r="G7" s="4" t="s">
        <v>25</v>
      </c>
      <c r="H7" s="4" t="s">
        <v>25</v>
      </c>
      <c r="I7" s="5">
        <v>44682</v>
      </c>
      <c r="J7" s="6">
        <v>0</v>
      </c>
      <c r="K7" s="6">
        <v>0</v>
      </c>
      <c r="L7" s="6">
        <v>2026.143</v>
      </c>
      <c r="M7" s="6">
        <v>2026.143</v>
      </c>
      <c r="N7" s="6">
        <v>0</v>
      </c>
      <c r="O7" s="6">
        <v>0</v>
      </c>
      <c r="P7" s="6">
        <v>1</v>
      </c>
      <c r="Q7" s="4" t="s">
        <v>56</v>
      </c>
      <c r="R7" s="4">
        <v>0</v>
      </c>
      <c r="S7" s="6">
        <v>0</v>
      </c>
      <c r="T7" s="6">
        <v>5</v>
      </c>
      <c r="U7" s="6">
        <v>0</v>
      </c>
      <c r="V7" s="6">
        <f>IF(ISERROR(VLOOKUP($S$7,'TAR FIN'!$A$1:$O$92,15,0)),0,VLOOKUP($S$7,'TAR FIN'!$A$1:$O$92,15,0))</f>
        <v>0</v>
      </c>
      <c r="W7" s="6">
        <f>IF(ISERROR(VLOOKUP($T$7,'TAR FIN'!$A$1:$O$92,15,0)),0,VLOOKUP($T$7,'TAR FIN'!$A$1:$O$92,15,0))</f>
        <v>57.86</v>
      </c>
      <c r="X7" s="6">
        <f>IF(ISERROR(VLOOKUP($U$7,'TAR FIN'!$A$1:$O$92,15,0)),0,VLOOKUP($U$7,'TAR FIN'!$A$1:$O$92,15,0))</f>
        <v>0</v>
      </c>
      <c r="Y7" s="6"/>
      <c r="Z7" s="6">
        <f ca="1">('TUSD BE'!$AM$7+'TUSD BF_350'!$AM$7+'TUSD CVA'!$AM$7)*1</f>
        <v>94.14</v>
      </c>
      <c r="AA7" s="6"/>
      <c r="AB7" s="6">
        <f>$K$7*$V$7</f>
        <v>0</v>
      </c>
      <c r="AC7" s="6">
        <f>$M$7*$W$7</f>
        <v>117232.63398</v>
      </c>
      <c r="AD7" s="6">
        <f>$O$7*$X$7</f>
        <v>0</v>
      </c>
      <c r="AE7" s="6">
        <f>$K$7*$Y$7</f>
        <v>0</v>
      </c>
      <c r="AF7" s="6">
        <f ca="1">$M$7*$Z$7</f>
        <v>190741.10201999999</v>
      </c>
      <c r="AG7" s="6">
        <f>$O$7*$AA$7</f>
        <v>0</v>
      </c>
      <c r="AI7" s="41" t="s">
        <v>44</v>
      </c>
      <c r="AJ7" s="42">
        <f t="shared" si="0"/>
        <v>455940.53918000002</v>
      </c>
      <c r="AK7" s="42">
        <f t="shared" ca="1" si="1"/>
        <v>412530.28439000004</v>
      </c>
      <c r="AL7" s="43">
        <f t="shared" ca="1" si="2"/>
        <v>-9.5210342269789083E-2</v>
      </c>
      <c r="AN7" s="41" t="s">
        <v>44</v>
      </c>
      <c r="AO7" s="42">
        <f t="shared" si="3"/>
        <v>403302.28365</v>
      </c>
      <c r="AP7" s="42">
        <f t="shared" ca="1" si="4"/>
        <v>348803.93372999999</v>
      </c>
      <c r="AQ7" s="43">
        <f t="shared" ca="1" si="5"/>
        <v>-0.13513027852650494</v>
      </c>
      <c r="AS7" s="41" t="s">
        <v>44</v>
      </c>
      <c r="AT7" s="42">
        <f t="shared" si="6"/>
        <v>859242.82282999996</v>
      </c>
      <c r="AU7" s="42">
        <f t="shared" ca="1" si="7"/>
        <v>761334.21812000009</v>
      </c>
      <c r="AV7" s="43">
        <f t="shared" ca="1" si="8"/>
        <v>-0.11394753858697171</v>
      </c>
      <c r="AW7" s="4">
        <v>761334.21812000009</v>
      </c>
      <c r="AX7" s="4">
        <v>-0.11394753858697171</v>
      </c>
      <c r="AY7" s="100">
        <f t="shared" ca="1" si="9"/>
        <v>0</v>
      </c>
      <c r="AZ7" s="100">
        <f t="shared" ca="1" si="10"/>
        <v>0</v>
      </c>
    </row>
    <row r="8" spans="1:52" ht="11.25" customHeight="1" x14ac:dyDescent="0.3">
      <c r="A8" s="4" t="s">
        <v>21</v>
      </c>
      <c r="B8" s="4" t="s">
        <v>61</v>
      </c>
      <c r="C8" s="4" t="s">
        <v>54</v>
      </c>
      <c r="D8" s="4" t="s">
        <v>33</v>
      </c>
      <c r="E8" s="4" t="s">
        <v>25</v>
      </c>
      <c r="F8" s="4" t="s">
        <v>55</v>
      </c>
      <c r="G8" s="4" t="s">
        <v>25</v>
      </c>
      <c r="H8" s="4" t="s">
        <v>25</v>
      </c>
      <c r="I8" s="5">
        <v>44713</v>
      </c>
      <c r="J8" s="6">
        <v>0</v>
      </c>
      <c r="K8" s="6">
        <v>0</v>
      </c>
      <c r="L8" s="6">
        <v>2090.6046000000001</v>
      </c>
      <c r="M8" s="6">
        <v>2090.6046000000001</v>
      </c>
      <c r="N8" s="6">
        <v>0</v>
      </c>
      <c r="O8" s="6">
        <v>0</v>
      </c>
      <c r="P8" s="6">
        <v>1</v>
      </c>
      <c r="Q8" s="4" t="s">
        <v>56</v>
      </c>
      <c r="R8" s="4">
        <v>0</v>
      </c>
      <c r="S8" s="6">
        <v>0</v>
      </c>
      <c r="T8" s="6">
        <v>5</v>
      </c>
      <c r="U8" s="6">
        <v>0</v>
      </c>
      <c r="V8" s="6">
        <f>IF(ISERROR(VLOOKUP($S$8,'TAR FIN'!$A$1:$O$92,15,0)),0,VLOOKUP($S$8,'TAR FIN'!$A$1:$O$92,15,0))</f>
        <v>0</v>
      </c>
      <c r="W8" s="6">
        <f>IF(ISERROR(VLOOKUP($T$8,'TAR FIN'!$A$1:$O$92,15,0)),0,VLOOKUP($T$8,'TAR FIN'!$A$1:$O$92,15,0))</f>
        <v>57.86</v>
      </c>
      <c r="X8" s="6">
        <f>IF(ISERROR(VLOOKUP($U$8,'TAR FIN'!$A$1:$O$92,15,0)),0,VLOOKUP($U$8,'TAR FIN'!$A$1:$O$92,15,0))</f>
        <v>0</v>
      </c>
      <c r="Y8" s="6"/>
      <c r="Z8" s="6">
        <f ca="1">('TUSD BE'!$AM$7+'TUSD BF_350'!$AM$7+'TUSD CVA'!$AM$7)*1</f>
        <v>94.14</v>
      </c>
      <c r="AA8" s="6"/>
      <c r="AB8" s="6">
        <f>$K$8*$V$8</f>
        <v>0</v>
      </c>
      <c r="AC8" s="6">
        <f>$M$8*$W$8</f>
        <v>120962.38215600001</v>
      </c>
      <c r="AD8" s="6">
        <f>$O$8*$X$8</f>
        <v>0</v>
      </c>
      <c r="AE8" s="6">
        <f>$K$8*$Y$8</f>
        <v>0</v>
      </c>
      <c r="AF8" s="6">
        <f ca="1">$M$8*$Z$8</f>
        <v>196809.51704400001</v>
      </c>
      <c r="AG8" s="6">
        <f>$O$8*$AA$8</f>
        <v>0</v>
      </c>
      <c r="AI8" s="41" t="s">
        <v>669</v>
      </c>
      <c r="AJ8" s="42">
        <f>+$AJ$2+$AJ$3</f>
        <v>11056416.129271038</v>
      </c>
      <c r="AK8" s="42">
        <f ca="1">+$AK$2+$AK$3</f>
        <v>15045153.574748289</v>
      </c>
      <c r="AL8" s="43">
        <f t="shared" ca="1" si="2"/>
        <v>0.36076223966619403</v>
      </c>
      <c r="AN8" s="41" t="s">
        <v>669</v>
      </c>
      <c r="AO8" s="42">
        <f>+$AO$2+$AO$3</f>
        <v>1007933.9611119998</v>
      </c>
      <c r="AP8" s="42">
        <f ca="1">+$AP$2+$AP$3</f>
        <v>872243.45932360005</v>
      </c>
      <c r="AQ8" s="43">
        <f t="shared" ca="1" si="5"/>
        <v>-0.13462241280043752</v>
      </c>
      <c r="AS8" s="41" t="s">
        <v>669</v>
      </c>
      <c r="AT8" s="42">
        <f>+$AT$2+$AT$3</f>
        <v>12064350.090383038</v>
      </c>
      <c r="AU8" s="42">
        <f ca="1">+$AU$2+$AU$3</f>
        <v>15917397.034071889</v>
      </c>
      <c r="AV8" s="43">
        <f t="shared" ca="1" si="8"/>
        <v>0.31937459662748546</v>
      </c>
      <c r="AW8" s="4">
        <v>15917397.034071889</v>
      </c>
      <c r="AX8" s="4">
        <v>0.31937459662748546</v>
      </c>
      <c r="AY8" s="100">
        <f t="shared" ca="1" si="9"/>
        <v>0</v>
      </c>
      <c r="AZ8" s="100">
        <f t="shared" ca="1" si="10"/>
        <v>0</v>
      </c>
    </row>
    <row r="9" spans="1:52" ht="11.25" customHeight="1" x14ac:dyDescent="0.3">
      <c r="A9" s="4" t="s">
        <v>21</v>
      </c>
      <c r="B9" s="4" t="s">
        <v>61</v>
      </c>
      <c r="C9" s="4" t="s">
        <v>54</v>
      </c>
      <c r="D9" s="4" t="s">
        <v>33</v>
      </c>
      <c r="E9" s="4" t="s">
        <v>25</v>
      </c>
      <c r="F9" s="4" t="s">
        <v>55</v>
      </c>
      <c r="G9" s="4" t="s">
        <v>25</v>
      </c>
      <c r="H9" s="4" t="s">
        <v>25</v>
      </c>
      <c r="I9" s="5">
        <v>44743</v>
      </c>
      <c r="J9" s="6">
        <v>0</v>
      </c>
      <c r="K9" s="6">
        <v>0</v>
      </c>
      <c r="L9" s="6">
        <v>2175.5034000000001</v>
      </c>
      <c r="M9" s="6">
        <v>2175.5034000000001</v>
      </c>
      <c r="N9" s="6">
        <v>0</v>
      </c>
      <c r="O9" s="6">
        <v>0</v>
      </c>
      <c r="P9" s="6">
        <v>1</v>
      </c>
      <c r="Q9" s="4" t="s">
        <v>56</v>
      </c>
      <c r="R9" s="4">
        <v>0</v>
      </c>
      <c r="S9" s="6">
        <v>0</v>
      </c>
      <c r="T9" s="6">
        <v>5</v>
      </c>
      <c r="U9" s="6">
        <v>0</v>
      </c>
      <c r="V9" s="6">
        <f>IF(ISERROR(VLOOKUP($S$9,'TAR FIN'!$A$1:$O$92,15,0)),0,VLOOKUP($S$9,'TAR FIN'!$A$1:$O$92,15,0))</f>
        <v>0</v>
      </c>
      <c r="W9" s="6">
        <f>IF(ISERROR(VLOOKUP($T$9,'TAR FIN'!$A$1:$O$92,15,0)),0,VLOOKUP($T$9,'TAR FIN'!$A$1:$O$92,15,0))</f>
        <v>57.86</v>
      </c>
      <c r="X9" s="6">
        <f>IF(ISERROR(VLOOKUP($U$9,'TAR FIN'!$A$1:$O$92,15,0)),0,VLOOKUP($U$9,'TAR FIN'!$A$1:$O$92,15,0))</f>
        <v>0</v>
      </c>
      <c r="Y9" s="6"/>
      <c r="Z9" s="6">
        <f ca="1">('TUSD BE'!$AM$7+'TUSD BF_350'!$AM$7+'TUSD CVA'!$AM$7)*1</f>
        <v>94.14</v>
      </c>
      <c r="AA9" s="6"/>
      <c r="AB9" s="6">
        <f>$K$9*$V$9</f>
        <v>0</v>
      </c>
      <c r="AC9" s="6">
        <f>$M$9*$W$9</f>
        <v>125874.626724</v>
      </c>
      <c r="AD9" s="6">
        <f>$O$9*$X$9</f>
        <v>0</v>
      </c>
      <c r="AE9" s="6">
        <f>$K$9*$Y$9</f>
        <v>0</v>
      </c>
      <c r="AF9" s="6">
        <f ca="1">$M$9*$Z$9</f>
        <v>204801.89007600001</v>
      </c>
      <c r="AG9" s="6">
        <f>$O$9*$AA$9</f>
        <v>0</v>
      </c>
      <c r="AI9" s="41" t="s">
        <v>86</v>
      </c>
      <c r="AJ9" s="42">
        <f>+$AJ$4+$AJ$5+$AJ$6+$AJ$7</f>
        <v>7731971.8009151993</v>
      </c>
      <c r="AK9" s="42">
        <f ca="1">+$AK$4+$AK$5+$AK$6+$AK$7</f>
        <v>7032714.5565172387</v>
      </c>
      <c r="AL9" s="43">
        <f t="shared" ca="1" si="2"/>
        <v>-9.043711777572605E-2</v>
      </c>
      <c r="AN9" s="41" t="s">
        <v>86</v>
      </c>
      <c r="AO9" s="42">
        <f>+$AO$4+$AO$5+$AO$6+$AO$7</f>
        <v>6878687.1075944006</v>
      </c>
      <c r="AP9" s="42">
        <f ca="1">+$AP$4+$AP$5+$AP$6+$AP$7</f>
        <v>6002365.99375528</v>
      </c>
      <c r="AQ9" s="43">
        <f t="shared" ca="1" si="5"/>
        <v>-0.12739656567190272</v>
      </c>
      <c r="AS9" s="41" t="s">
        <v>86</v>
      </c>
      <c r="AT9" s="42">
        <f>+$AT$4+$AT$5+$AT$6+$AT$7</f>
        <v>14610658.908509597</v>
      </c>
      <c r="AU9" s="42">
        <f ca="1">+$AU$4+$AU$5+$AU$6+$AU$7</f>
        <v>13035080.550272519</v>
      </c>
      <c r="AV9" s="43">
        <f t="shared" ca="1" si="8"/>
        <v>-0.10783759774991553</v>
      </c>
      <c r="AW9" s="4">
        <v>13035080.550272519</v>
      </c>
      <c r="AX9" s="4">
        <v>-0.10783759774991553</v>
      </c>
      <c r="AY9" s="100">
        <f t="shared" ca="1" si="9"/>
        <v>0</v>
      </c>
      <c r="AZ9" s="100">
        <f t="shared" ca="1" si="10"/>
        <v>0</v>
      </c>
    </row>
    <row r="10" spans="1:52" ht="11.25" customHeight="1" x14ac:dyDescent="0.3">
      <c r="A10" s="4" t="s">
        <v>21</v>
      </c>
      <c r="B10" s="4" t="s">
        <v>61</v>
      </c>
      <c r="C10" s="4" t="s">
        <v>54</v>
      </c>
      <c r="D10" s="4" t="s">
        <v>33</v>
      </c>
      <c r="E10" s="4" t="s">
        <v>25</v>
      </c>
      <c r="F10" s="4" t="s">
        <v>55</v>
      </c>
      <c r="G10" s="4" t="s">
        <v>25</v>
      </c>
      <c r="H10" s="4" t="s">
        <v>36</v>
      </c>
      <c r="I10" s="5">
        <v>44652</v>
      </c>
      <c r="J10" s="6">
        <v>3427.2</v>
      </c>
      <c r="K10" s="6">
        <v>1714.446792576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56</v>
      </c>
      <c r="R10" s="4">
        <v>0</v>
      </c>
      <c r="S10" s="6">
        <v>1</v>
      </c>
      <c r="T10" s="6">
        <v>0</v>
      </c>
      <c r="U10" s="6">
        <v>0</v>
      </c>
      <c r="V10" s="6">
        <f>IF(ISERROR(VLOOKUP($S$10,'TAR FIN'!$A$1:$O$92,15,0)),0,VLOOKUP($S$10,'TAR FIN'!$A$1:$O$92,15,0))</f>
        <v>22.04</v>
      </c>
      <c r="W10" s="6">
        <f>IF(ISERROR(VLOOKUP($T$10,'TAR FIN'!$A$1:$O$92,15,0)),0,VLOOKUP($T$10,'TAR FIN'!$A$1:$O$92,15,0))</f>
        <v>0</v>
      </c>
      <c r="X10" s="6">
        <f>IF(ISERROR(VLOOKUP($U$10,'TAR FIN'!$A$1:$O$92,15,0)),0,VLOOKUP($U$10,'TAR FIN'!$A$1:$O$92,15,0))</f>
        <v>0</v>
      </c>
      <c r="Y10" s="6">
        <f ca="1">('TUSD BE'!$AM$5+'TUSD BF_350'!$AM$5+'TUSD CVA'!$AM$5)*1</f>
        <v>22.32</v>
      </c>
      <c r="Z10" s="6">
        <f ca="1">('TUSD BE'!$AM$7+'TUSD BF_350'!$AM$7+'TUSD CVA'!$AM$7)*1</f>
        <v>94.14</v>
      </c>
      <c r="AA10" s="6"/>
      <c r="AB10" s="6">
        <f>$K$10*$V$10</f>
        <v>37786.407308375041</v>
      </c>
      <c r="AC10" s="6">
        <f>$M$10*$W$10</f>
        <v>0</v>
      </c>
      <c r="AD10" s="6">
        <f>$O$10*$X$10</f>
        <v>0</v>
      </c>
      <c r="AE10" s="6">
        <f ca="1">$K$10*$Y$10</f>
        <v>38266.452410296319</v>
      </c>
      <c r="AF10" s="6">
        <f ca="1">$M$10*$Z$10</f>
        <v>0</v>
      </c>
      <c r="AG10" s="6">
        <f>$O$10*$AA$10</f>
        <v>0</v>
      </c>
      <c r="AI10" s="41" t="s">
        <v>670</v>
      </c>
      <c r="AJ10" s="42">
        <f>AJ9+AJ8</f>
        <v>18788387.930186238</v>
      </c>
      <c r="AK10" s="42">
        <f ca="1">AK9+AK8</f>
        <v>22077868.131265529</v>
      </c>
      <c r="AL10" s="43">
        <f t="shared" ca="1" si="2"/>
        <v>0.17508049191353292</v>
      </c>
      <c r="AN10" s="41" t="s">
        <v>670</v>
      </c>
      <c r="AO10" s="42">
        <f>AO9+AO8</f>
        <v>7886621.0687064007</v>
      </c>
      <c r="AP10" s="42">
        <f ca="1">AP9+AP8</f>
        <v>6874609.45307888</v>
      </c>
      <c r="AQ10" s="43">
        <f t="shared" ca="1" si="5"/>
        <v>-0.12832005073035868</v>
      </c>
      <c r="AS10" s="41" t="s">
        <v>670</v>
      </c>
      <c r="AT10" s="42">
        <f>AT9+AT8</f>
        <v>26675008.998892635</v>
      </c>
      <c r="AU10" s="42">
        <f ca="1">AU9+AU8</f>
        <v>28952477.584344409</v>
      </c>
      <c r="AV10" s="43">
        <f t="shared" ca="1" si="8"/>
        <v>8.5378362404538333E-2</v>
      </c>
      <c r="AW10" s="4">
        <v>28952477.584344409</v>
      </c>
      <c r="AX10" s="4">
        <v>8.5378362404538333E-2</v>
      </c>
      <c r="AY10" s="100">
        <f t="shared" ca="1" si="9"/>
        <v>0</v>
      </c>
      <c r="AZ10" s="100">
        <f t="shared" ca="1" si="10"/>
        <v>0</v>
      </c>
    </row>
    <row r="11" spans="1:52" ht="11.25" customHeight="1" x14ac:dyDescent="0.3">
      <c r="A11" s="4" t="s">
        <v>21</v>
      </c>
      <c r="B11" s="4" t="s">
        <v>61</v>
      </c>
      <c r="C11" s="4" t="s">
        <v>54</v>
      </c>
      <c r="D11" s="4" t="s">
        <v>33</v>
      </c>
      <c r="E11" s="4" t="s">
        <v>25</v>
      </c>
      <c r="F11" s="4" t="s">
        <v>55</v>
      </c>
      <c r="G11" s="4" t="s">
        <v>25</v>
      </c>
      <c r="H11" s="4" t="s">
        <v>36</v>
      </c>
      <c r="I11" s="5">
        <v>44682</v>
      </c>
      <c r="J11" s="6">
        <v>3679.2</v>
      </c>
      <c r="K11" s="6">
        <v>1840.333926816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56</v>
      </c>
      <c r="R11" s="4">
        <v>0</v>
      </c>
      <c r="S11" s="6">
        <v>1</v>
      </c>
      <c r="T11" s="6">
        <v>0</v>
      </c>
      <c r="U11" s="6">
        <v>0</v>
      </c>
      <c r="V11" s="6">
        <f>IF(ISERROR(VLOOKUP($S$11,'TAR FIN'!$A$1:$O$92,15,0)),0,VLOOKUP($S$11,'TAR FIN'!$A$1:$O$92,15,0))</f>
        <v>22.04</v>
      </c>
      <c r="W11" s="6">
        <f>IF(ISERROR(VLOOKUP($T$11,'TAR FIN'!$A$1:$O$92,15,0)),0,VLOOKUP($T$11,'TAR FIN'!$A$1:$O$92,15,0))</f>
        <v>0</v>
      </c>
      <c r="X11" s="6">
        <f>IF(ISERROR(VLOOKUP($U$11,'TAR FIN'!$A$1:$O$92,15,0)),0,VLOOKUP($U$11,'TAR FIN'!$A$1:$O$92,15,0))</f>
        <v>0</v>
      </c>
      <c r="Y11" s="6">
        <f ca="1">('TUSD BE'!$AM$5+'TUSD BF_350'!$AM$5+'TUSD CVA'!$AM$5)*1</f>
        <v>22.32</v>
      </c>
      <c r="Z11" s="6">
        <f ca="1">('TUSD BE'!$AM$7+'TUSD BF_350'!$AM$7+'TUSD CVA'!$AM$7)*1</f>
        <v>94.14</v>
      </c>
      <c r="AA11" s="6"/>
      <c r="AB11" s="6">
        <f>$K$11*$V$11</f>
        <v>40560.959747024637</v>
      </c>
      <c r="AC11" s="6">
        <f>$M$11*$W$11</f>
        <v>0</v>
      </c>
      <c r="AD11" s="6">
        <f>$O$11*$X$11</f>
        <v>0</v>
      </c>
      <c r="AE11" s="6">
        <f ca="1">$K$11*$Y$11</f>
        <v>41076.253246533124</v>
      </c>
      <c r="AF11" s="6">
        <f ca="1">$M$11*$Z$11</f>
        <v>0</v>
      </c>
      <c r="AG11" s="6">
        <f>$O$11*$AA$11</f>
        <v>0</v>
      </c>
    </row>
    <row r="12" spans="1:52" ht="11.25" customHeight="1" x14ac:dyDescent="0.3">
      <c r="A12" s="4" t="s">
        <v>21</v>
      </c>
      <c r="B12" s="4" t="s">
        <v>61</v>
      </c>
      <c r="C12" s="4" t="s">
        <v>54</v>
      </c>
      <c r="D12" s="4" t="s">
        <v>33</v>
      </c>
      <c r="E12" s="4" t="s">
        <v>25</v>
      </c>
      <c r="F12" s="4" t="s">
        <v>55</v>
      </c>
      <c r="G12" s="4" t="s">
        <v>25</v>
      </c>
      <c r="H12" s="4" t="s">
        <v>36</v>
      </c>
      <c r="I12" s="5">
        <v>44713</v>
      </c>
      <c r="J12" s="6">
        <v>3670.8</v>
      </c>
      <c r="K12" s="6">
        <v>1853.9782124640001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56</v>
      </c>
      <c r="R12" s="4">
        <v>0</v>
      </c>
      <c r="S12" s="6">
        <v>1</v>
      </c>
      <c r="T12" s="6">
        <v>0</v>
      </c>
      <c r="U12" s="6">
        <v>0</v>
      </c>
      <c r="V12" s="6">
        <f>IF(ISERROR(VLOOKUP($S$12,'TAR FIN'!$A$1:$O$92,15,0)),0,VLOOKUP($S$12,'TAR FIN'!$A$1:$O$92,15,0))</f>
        <v>22.04</v>
      </c>
      <c r="W12" s="6">
        <f>IF(ISERROR(VLOOKUP($T$12,'TAR FIN'!$A$1:$O$92,15,0)),0,VLOOKUP($T$12,'TAR FIN'!$A$1:$O$92,15,0))</f>
        <v>0</v>
      </c>
      <c r="X12" s="6">
        <f>IF(ISERROR(VLOOKUP($U$12,'TAR FIN'!$A$1:$O$92,15,0)),0,VLOOKUP($U$12,'TAR FIN'!$A$1:$O$92,15,0))</f>
        <v>0</v>
      </c>
      <c r="Y12" s="6">
        <f ca="1">('TUSD BE'!$AM$5+'TUSD BF_350'!$AM$5+'TUSD CVA'!$AM$5)*1</f>
        <v>22.32</v>
      </c>
      <c r="Z12" s="6">
        <f ca="1">('TUSD BE'!$AM$7+'TUSD BF_350'!$AM$7+'TUSD CVA'!$AM$7)*1</f>
        <v>94.14</v>
      </c>
      <c r="AA12" s="6"/>
      <c r="AB12" s="6">
        <f>$K$12*$V$12</f>
        <v>40861.67980270656</v>
      </c>
      <c r="AC12" s="6">
        <f>$M$12*$W$12</f>
        <v>0</v>
      </c>
      <c r="AD12" s="6">
        <f>$O$12*$X$12</f>
        <v>0</v>
      </c>
      <c r="AE12" s="6">
        <f ca="1">$K$12*$Y$12</f>
        <v>41380.793702196483</v>
      </c>
      <c r="AF12" s="6">
        <f ca="1">$M$12*$Z$12</f>
        <v>0</v>
      </c>
      <c r="AG12" s="6">
        <f>$O$12*$AA$12</f>
        <v>0</v>
      </c>
    </row>
    <row r="13" spans="1:52" ht="11.25" customHeight="1" x14ac:dyDescent="0.3">
      <c r="A13" s="4" t="s">
        <v>21</v>
      </c>
      <c r="B13" s="4" t="s">
        <v>61</v>
      </c>
      <c r="C13" s="4" t="s">
        <v>54</v>
      </c>
      <c r="D13" s="4" t="s">
        <v>33</v>
      </c>
      <c r="E13" s="4" t="s">
        <v>25</v>
      </c>
      <c r="F13" s="4" t="s">
        <v>55</v>
      </c>
      <c r="G13" s="4" t="s">
        <v>25</v>
      </c>
      <c r="H13" s="4" t="s">
        <v>36</v>
      </c>
      <c r="I13" s="5">
        <v>44743</v>
      </c>
      <c r="J13" s="6">
        <v>4100</v>
      </c>
      <c r="K13" s="6">
        <v>2087.3986829999999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56</v>
      </c>
      <c r="R13" s="4">
        <v>0</v>
      </c>
      <c r="S13" s="6">
        <v>1</v>
      </c>
      <c r="T13" s="6">
        <v>0</v>
      </c>
      <c r="U13" s="6">
        <v>0</v>
      </c>
      <c r="V13" s="6">
        <f>IF(ISERROR(VLOOKUP($S$13,'TAR FIN'!$A$1:$O$92,15,0)),0,VLOOKUP($S$13,'TAR FIN'!$A$1:$O$92,15,0))</f>
        <v>22.04</v>
      </c>
      <c r="W13" s="6">
        <f>IF(ISERROR(VLOOKUP($T$13,'TAR FIN'!$A$1:$O$92,15,0)),0,VLOOKUP($T$13,'TAR FIN'!$A$1:$O$92,15,0))</f>
        <v>0</v>
      </c>
      <c r="X13" s="6">
        <f>IF(ISERROR(VLOOKUP($U$13,'TAR FIN'!$A$1:$O$92,15,0)),0,VLOOKUP($U$13,'TAR FIN'!$A$1:$O$92,15,0))</f>
        <v>0</v>
      </c>
      <c r="Y13" s="6">
        <f ca="1">('TUSD BE'!$AM$5+'TUSD BF_350'!$AM$5+'TUSD CVA'!$AM$5)*1</f>
        <v>22.32</v>
      </c>
      <c r="Z13" s="6">
        <f ca="1">('TUSD BE'!$AM$7+'TUSD BF_350'!$AM$7+'TUSD CVA'!$AM$7)*1</f>
        <v>94.14</v>
      </c>
      <c r="AA13" s="6"/>
      <c r="AB13" s="6">
        <f>$K$13*$V$13</f>
        <v>46006.266973319995</v>
      </c>
      <c r="AC13" s="6">
        <f>$M$13*$W$13</f>
        <v>0</v>
      </c>
      <c r="AD13" s="6">
        <f>$O$13*$X$13</f>
        <v>0</v>
      </c>
      <c r="AE13" s="6">
        <f ca="1">$K$13*$Y$13</f>
        <v>46590.73860456</v>
      </c>
      <c r="AF13" s="6">
        <f ca="1">$M$13*$Z$13</f>
        <v>0</v>
      </c>
      <c r="AG13" s="6">
        <f>$O$13*$AA$13</f>
        <v>0</v>
      </c>
    </row>
    <row r="14" spans="1:52" ht="11.25" customHeight="1" x14ac:dyDescent="0.3">
      <c r="A14" s="4" t="s">
        <v>21</v>
      </c>
      <c r="B14" s="4" t="s">
        <v>34</v>
      </c>
      <c r="C14" s="4" t="s">
        <v>54</v>
      </c>
      <c r="D14" s="4" t="s">
        <v>33</v>
      </c>
      <c r="E14" s="4" t="s">
        <v>25</v>
      </c>
      <c r="F14" s="4" t="s">
        <v>55</v>
      </c>
      <c r="G14" s="4" t="s">
        <v>25</v>
      </c>
      <c r="H14" s="4" t="s">
        <v>37</v>
      </c>
      <c r="I14" s="5">
        <v>44409</v>
      </c>
      <c r="J14" s="6">
        <v>7449</v>
      </c>
      <c r="K14" s="6">
        <v>3724.7023148399999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4" t="s">
        <v>56</v>
      </c>
      <c r="R14" s="4">
        <v>0</v>
      </c>
      <c r="S14" s="6">
        <v>10</v>
      </c>
      <c r="T14" s="6">
        <v>0</v>
      </c>
      <c r="U14" s="6">
        <v>0</v>
      </c>
      <c r="V14" s="6">
        <f>IF(ISERROR(VLOOKUP($S$14,'TAR FIN'!$A$1:$O$92,15,0)),0,VLOOKUP($S$14,'TAR FIN'!$A$1:$O$92,15,0))</f>
        <v>18.489999999999998</v>
      </c>
      <c r="W14" s="6">
        <f>IF(ISERROR(VLOOKUP($T$14,'TAR FIN'!$A$1:$O$92,15,0)),0,VLOOKUP($T$14,'TAR FIN'!$A$1:$O$92,15,0))</f>
        <v>0</v>
      </c>
      <c r="X14" s="6">
        <f>IF(ISERROR(VLOOKUP($U$14,'TAR FIN'!$A$1:$O$92,15,0)),0,VLOOKUP($U$14,'TAR FIN'!$A$1:$O$92,15,0))</f>
        <v>0</v>
      </c>
      <c r="Y14" s="6">
        <f ca="1">('TUSD BE'!$AM$10+'TUSD BF_350'!$AM$10+'TUSD CVA'!$AM$10)*1</f>
        <v>15.64</v>
      </c>
      <c r="Z14" s="6">
        <f ca="1">('TUSD BE'!$AM$11+'TUSD BF_350'!$AM$11+'TUSD CVA'!$AM$11)*1</f>
        <v>126.25</v>
      </c>
      <c r="AA14" s="6"/>
      <c r="AB14" s="6">
        <f>$K$14*$V$14</f>
        <v>68869.745801391589</v>
      </c>
      <c r="AC14" s="6">
        <f>$M$14*$W$14</f>
        <v>0</v>
      </c>
      <c r="AD14" s="6">
        <f>$O$14*$X$14</f>
        <v>0</v>
      </c>
      <c r="AE14" s="6">
        <f ca="1">$K$14*$Y$14</f>
        <v>58254.344204097601</v>
      </c>
      <c r="AF14" s="6">
        <f ca="1">$M$14*$Z$14</f>
        <v>0</v>
      </c>
      <c r="AG14" s="6">
        <f>$O$14*$AA$14</f>
        <v>0</v>
      </c>
    </row>
    <row r="15" spans="1:52" ht="11.25" customHeight="1" x14ac:dyDescent="0.3">
      <c r="A15" s="4" t="s">
        <v>21</v>
      </c>
      <c r="B15" s="4" t="s">
        <v>34</v>
      </c>
      <c r="C15" s="4" t="s">
        <v>54</v>
      </c>
      <c r="D15" s="4" t="s">
        <v>33</v>
      </c>
      <c r="E15" s="4" t="s">
        <v>25</v>
      </c>
      <c r="F15" s="4" t="s">
        <v>55</v>
      </c>
      <c r="G15" s="4" t="s">
        <v>25</v>
      </c>
      <c r="H15" s="4" t="s">
        <v>37</v>
      </c>
      <c r="I15" s="5">
        <v>44440</v>
      </c>
      <c r="J15" s="6">
        <v>7484</v>
      </c>
      <c r="K15" s="6">
        <v>3746.0831207199999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4" t="s">
        <v>56</v>
      </c>
      <c r="R15" s="4">
        <v>0</v>
      </c>
      <c r="S15" s="6">
        <v>10</v>
      </c>
      <c r="T15" s="6">
        <v>0</v>
      </c>
      <c r="U15" s="6">
        <v>0</v>
      </c>
      <c r="V15" s="6">
        <f>IF(ISERROR(VLOOKUP($S$15,'TAR FIN'!$A$1:$O$92,15,0)),0,VLOOKUP($S$15,'TAR FIN'!$A$1:$O$92,15,0))</f>
        <v>18.489999999999998</v>
      </c>
      <c r="W15" s="6">
        <f>IF(ISERROR(VLOOKUP($T$15,'TAR FIN'!$A$1:$O$92,15,0)),0,VLOOKUP($T$15,'TAR FIN'!$A$1:$O$92,15,0))</f>
        <v>0</v>
      </c>
      <c r="X15" s="6">
        <f>IF(ISERROR(VLOOKUP($U$15,'TAR FIN'!$A$1:$O$92,15,0)),0,VLOOKUP($U$15,'TAR FIN'!$A$1:$O$92,15,0))</f>
        <v>0</v>
      </c>
      <c r="Y15" s="6">
        <f ca="1">('TUSD BE'!$AM$10+'TUSD BF_350'!$AM$10+'TUSD CVA'!$AM$10)*1</f>
        <v>15.64</v>
      </c>
      <c r="Z15" s="6">
        <f ca="1">('TUSD BE'!$AM$11+'TUSD BF_350'!$AM$11+'TUSD CVA'!$AM$11)*1</f>
        <v>126.25</v>
      </c>
      <c r="AA15" s="6"/>
      <c r="AB15" s="6">
        <f>$K$15*$V$15</f>
        <v>69265.076902112793</v>
      </c>
      <c r="AC15" s="6">
        <f>$M$15*$W$15</f>
        <v>0</v>
      </c>
      <c r="AD15" s="6">
        <f>$O$15*$X$15</f>
        <v>0</v>
      </c>
      <c r="AE15" s="6">
        <f ca="1">$K$15*$Y$15</f>
        <v>58588.740008060799</v>
      </c>
      <c r="AF15" s="6">
        <f ca="1">$M$15*$Z$15</f>
        <v>0</v>
      </c>
      <c r="AG15" s="6">
        <f>$O$15*$AA$15</f>
        <v>0</v>
      </c>
    </row>
    <row r="16" spans="1:52" ht="11.25" customHeight="1" x14ac:dyDescent="0.3">
      <c r="A16" s="4" t="s">
        <v>21</v>
      </c>
      <c r="B16" s="4" t="s">
        <v>34</v>
      </c>
      <c r="C16" s="4" t="s">
        <v>54</v>
      </c>
      <c r="D16" s="4" t="s">
        <v>33</v>
      </c>
      <c r="E16" s="4" t="s">
        <v>25</v>
      </c>
      <c r="F16" s="4" t="s">
        <v>55</v>
      </c>
      <c r="G16" s="4" t="s">
        <v>25</v>
      </c>
      <c r="H16" s="4" t="s">
        <v>37</v>
      </c>
      <c r="I16" s="5">
        <v>44470</v>
      </c>
      <c r="J16" s="6">
        <v>7491</v>
      </c>
      <c r="K16" s="6">
        <v>3748.5737071200001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4" t="s">
        <v>56</v>
      </c>
      <c r="R16" s="4">
        <v>0</v>
      </c>
      <c r="S16" s="6">
        <v>10</v>
      </c>
      <c r="T16" s="6">
        <v>0</v>
      </c>
      <c r="U16" s="6">
        <v>0</v>
      </c>
      <c r="V16" s="6">
        <f>IF(ISERROR(VLOOKUP($S$16,'TAR FIN'!$A$1:$O$92,15,0)),0,VLOOKUP($S$16,'TAR FIN'!$A$1:$O$92,15,0))</f>
        <v>18.489999999999998</v>
      </c>
      <c r="W16" s="6">
        <f>IF(ISERROR(VLOOKUP($T$16,'TAR FIN'!$A$1:$O$92,15,0)),0,VLOOKUP($T$16,'TAR FIN'!$A$1:$O$92,15,0))</f>
        <v>0</v>
      </c>
      <c r="X16" s="6">
        <f>IF(ISERROR(VLOOKUP($U$16,'TAR FIN'!$A$1:$O$92,15,0)),0,VLOOKUP($U$16,'TAR FIN'!$A$1:$O$92,15,0))</f>
        <v>0</v>
      </c>
      <c r="Y16" s="6">
        <f ca="1">('TUSD BE'!$AM$10+'TUSD BF_350'!$AM$10+'TUSD CVA'!$AM$10)*1</f>
        <v>15.64</v>
      </c>
      <c r="Z16" s="6">
        <f ca="1">('TUSD BE'!$AM$11+'TUSD BF_350'!$AM$11+'TUSD CVA'!$AM$11)*1</f>
        <v>126.25</v>
      </c>
      <c r="AA16" s="6"/>
      <c r="AB16" s="6">
        <f>$K$16*$V$16</f>
        <v>69311.1278446488</v>
      </c>
      <c r="AC16" s="6">
        <f>$M$16*$W$16</f>
        <v>0</v>
      </c>
      <c r="AD16" s="6">
        <f>$O$16*$X$16</f>
        <v>0</v>
      </c>
      <c r="AE16" s="6">
        <f ca="1">$K$16*$Y$16</f>
        <v>58627.692779356803</v>
      </c>
      <c r="AF16" s="6">
        <f ca="1">$M$16*$Z$16</f>
        <v>0</v>
      </c>
      <c r="AG16" s="6">
        <f>$O$16*$AA$16</f>
        <v>0</v>
      </c>
    </row>
    <row r="17" spans="1:33" ht="11.25" customHeight="1" x14ac:dyDescent="0.3">
      <c r="A17" s="4" t="s">
        <v>21</v>
      </c>
      <c r="B17" s="4" t="s">
        <v>34</v>
      </c>
      <c r="C17" s="4" t="s">
        <v>54</v>
      </c>
      <c r="D17" s="4" t="s">
        <v>33</v>
      </c>
      <c r="E17" s="4" t="s">
        <v>25</v>
      </c>
      <c r="F17" s="4" t="s">
        <v>55</v>
      </c>
      <c r="G17" s="4" t="s">
        <v>25</v>
      </c>
      <c r="H17" s="4" t="s">
        <v>37</v>
      </c>
      <c r="I17" s="5">
        <v>44501</v>
      </c>
      <c r="J17" s="6">
        <v>7478</v>
      </c>
      <c r="K17" s="6">
        <v>3742.4309811799999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4" t="s">
        <v>56</v>
      </c>
      <c r="R17" s="4">
        <v>0</v>
      </c>
      <c r="S17" s="6">
        <v>10</v>
      </c>
      <c r="T17" s="6">
        <v>0</v>
      </c>
      <c r="U17" s="6">
        <v>0</v>
      </c>
      <c r="V17" s="6">
        <f>IF(ISERROR(VLOOKUP($S$17,'TAR FIN'!$A$1:$O$92,15,0)),0,VLOOKUP($S$17,'TAR FIN'!$A$1:$O$92,15,0))</f>
        <v>18.489999999999998</v>
      </c>
      <c r="W17" s="6">
        <f>IF(ISERROR(VLOOKUP($T$17,'TAR FIN'!$A$1:$O$92,15,0)),0,VLOOKUP($T$17,'TAR FIN'!$A$1:$O$92,15,0))</f>
        <v>0</v>
      </c>
      <c r="X17" s="6">
        <f>IF(ISERROR(VLOOKUP($U$17,'TAR FIN'!$A$1:$O$92,15,0)),0,VLOOKUP($U$17,'TAR FIN'!$A$1:$O$92,15,0))</f>
        <v>0</v>
      </c>
      <c r="Y17" s="6">
        <f ca="1">('TUSD BE'!$AM$10+'TUSD BF_350'!$AM$10+'TUSD CVA'!$AM$10)*1</f>
        <v>15.64</v>
      </c>
      <c r="Z17" s="6">
        <f ca="1">('TUSD BE'!$AM$11+'TUSD BF_350'!$AM$11+'TUSD CVA'!$AM$11)*1</f>
        <v>126.25</v>
      </c>
      <c r="AA17" s="6"/>
      <c r="AB17" s="6">
        <f>$K$17*$V$17</f>
        <v>69197.548842018194</v>
      </c>
      <c r="AC17" s="6">
        <f>$M$17*$W$17</f>
        <v>0</v>
      </c>
      <c r="AD17" s="6">
        <f>$O$17*$X$17</f>
        <v>0</v>
      </c>
      <c r="AE17" s="6">
        <f ca="1">$K$17*$Y$17</f>
        <v>58531.620545655198</v>
      </c>
      <c r="AF17" s="6">
        <f ca="1">$M$17*$Z$17</f>
        <v>0</v>
      </c>
      <c r="AG17" s="6">
        <f>$O$17*$AA$17</f>
        <v>0</v>
      </c>
    </row>
    <row r="18" spans="1:33" ht="11.25" customHeight="1" x14ac:dyDescent="0.3">
      <c r="A18" s="4" t="s">
        <v>21</v>
      </c>
      <c r="B18" s="4" t="s">
        <v>34</v>
      </c>
      <c r="C18" s="4" t="s">
        <v>54</v>
      </c>
      <c r="D18" s="4" t="s">
        <v>33</v>
      </c>
      <c r="E18" s="4" t="s">
        <v>25</v>
      </c>
      <c r="F18" s="4" t="s">
        <v>55</v>
      </c>
      <c r="G18" s="4" t="s">
        <v>25</v>
      </c>
      <c r="H18" s="4" t="s">
        <v>37</v>
      </c>
      <c r="I18" s="5">
        <v>44531</v>
      </c>
      <c r="J18" s="6">
        <v>7501</v>
      </c>
      <c r="K18" s="6">
        <v>3759.8354445599998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4" t="s">
        <v>56</v>
      </c>
      <c r="R18" s="4">
        <v>0</v>
      </c>
      <c r="S18" s="6">
        <v>10</v>
      </c>
      <c r="T18" s="6">
        <v>0</v>
      </c>
      <c r="U18" s="6">
        <v>0</v>
      </c>
      <c r="V18" s="6">
        <f>IF(ISERROR(VLOOKUP($S$18,'TAR FIN'!$A$1:$O$92,15,0)),0,VLOOKUP($S$18,'TAR FIN'!$A$1:$O$92,15,0))</f>
        <v>18.489999999999998</v>
      </c>
      <c r="W18" s="6">
        <f>IF(ISERROR(VLOOKUP($T$18,'TAR FIN'!$A$1:$O$92,15,0)),0,VLOOKUP($T$18,'TAR FIN'!$A$1:$O$92,15,0))</f>
        <v>0</v>
      </c>
      <c r="X18" s="6">
        <f>IF(ISERROR(VLOOKUP($U$18,'TAR FIN'!$A$1:$O$92,15,0)),0,VLOOKUP($U$18,'TAR FIN'!$A$1:$O$92,15,0))</f>
        <v>0</v>
      </c>
      <c r="Y18" s="6">
        <f ca="1">('TUSD BE'!$AM$10+'TUSD BF_350'!$AM$10+'TUSD CVA'!$AM$10)*1</f>
        <v>15.64</v>
      </c>
      <c r="Z18" s="6">
        <f ca="1">('TUSD BE'!$AM$11+'TUSD BF_350'!$AM$11+'TUSD CVA'!$AM$11)*1</f>
        <v>126.25</v>
      </c>
      <c r="AA18" s="6"/>
      <c r="AB18" s="6">
        <f>$K$18*$V$18</f>
        <v>69519.357369914389</v>
      </c>
      <c r="AC18" s="6">
        <f>$M$18*$W$18</f>
        <v>0</v>
      </c>
      <c r="AD18" s="6">
        <f>$O$18*$X$18</f>
        <v>0</v>
      </c>
      <c r="AE18" s="6">
        <f ca="1">$K$18*$Y$18</f>
        <v>58803.826352918397</v>
      </c>
      <c r="AF18" s="6">
        <f ca="1">$M$18*$Z$18</f>
        <v>0</v>
      </c>
      <c r="AG18" s="6">
        <f>$O$18*$AA$18</f>
        <v>0</v>
      </c>
    </row>
    <row r="19" spans="1:33" ht="11.25" customHeight="1" x14ac:dyDescent="0.3">
      <c r="A19" s="4" t="s">
        <v>21</v>
      </c>
      <c r="B19" s="4" t="s">
        <v>34</v>
      </c>
      <c r="C19" s="4" t="s">
        <v>54</v>
      </c>
      <c r="D19" s="4" t="s">
        <v>33</v>
      </c>
      <c r="E19" s="4" t="s">
        <v>25</v>
      </c>
      <c r="F19" s="4" t="s">
        <v>55</v>
      </c>
      <c r="G19" s="4" t="s">
        <v>25</v>
      </c>
      <c r="H19" s="4" t="s">
        <v>37</v>
      </c>
      <c r="I19" s="5">
        <v>44562</v>
      </c>
      <c r="J19" s="6">
        <v>7458</v>
      </c>
      <c r="K19" s="6">
        <v>3750.2420247599998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4" t="s">
        <v>56</v>
      </c>
      <c r="R19" s="4">
        <v>0</v>
      </c>
      <c r="S19" s="6">
        <v>10</v>
      </c>
      <c r="T19" s="6">
        <v>0</v>
      </c>
      <c r="U19" s="6">
        <v>0</v>
      </c>
      <c r="V19" s="6">
        <f>IF(ISERROR(VLOOKUP($S$19,'TAR FIN'!$A$1:$O$92,15,0)),0,VLOOKUP($S$19,'TAR FIN'!$A$1:$O$92,15,0))</f>
        <v>18.489999999999998</v>
      </c>
      <c r="W19" s="6">
        <f>IF(ISERROR(VLOOKUP($T$19,'TAR FIN'!$A$1:$O$92,15,0)),0,VLOOKUP($T$19,'TAR FIN'!$A$1:$O$92,15,0))</f>
        <v>0</v>
      </c>
      <c r="X19" s="6">
        <f>IF(ISERROR(VLOOKUP($U$19,'TAR FIN'!$A$1:$O$92,15,0)),0,VLOOKUP($U$19,'TAR FIN'!$A$1:$O$92,15,0))</f>
        <v>0</v>
      </c>
      <c r="Y19" s="6">
        <f ca="1">('TUSD BE'!$AM$10+'TUSD BF_350'!$AM$10+'TUSD CVA'!$AM$10)*1</f>
        <v>15.64</v>
      </c>
      <c r="Z19" s="6">
        <f ca="1">('TUSD BE'!$AM$11+'TUSD BF_350'!$AM$11+'TUSD CVA'!$AM$11)*1</f>
        <v>126.25</v>
      </c>
      <c r="AA19" s="6"/>
      <c r="AB19" s="6">
        <f>$K$19*$V$19</f>
        <v>69341.975037812386</v>
      </c>
      <c r="AC19" s="6">
        <f>$M$19*$W$19</f>
        <v>0</v>
      </c>
      <c r="AD19" s="6">
        <f>$O$19*$X$19</f>
        <v>0</v>
      </c>
      <c r="AE19" s="6">
        <f ca="1">$K$19*$Y$19</f>
        <v>58653.7852672464</v>
      </c>
      <c r="AF19" s="6">
        <f ca="1">$M$19*$Z$19</f>
        <v>0</v>
      </c>
      <c r="AG19" s="6">
        <f>$O$19*$AA$19</f>
        <v>0</v>
      </c>
    </row>
    <row r="20" spans="1:33" ht="11.25" customHeight="1" x14ac:dyDescent="0.3">
      <c r="A20" s="4" t="s">
        <v>21</v>
      </c>
      <c r="B20" s="4" t="s">
        <v>34</v>
      </c>
      <c r="C20" s="4" t="s">
        <v>54</v>
      </c>
      <c r="D20" s="4" t="s">
        <v>33</v>
      </c>
      <c r="E20" s="4" t="s">
        <v>25</v>
      </c>
      <c r="F20" s="4" t="s">
        <v>55</v>
      </c>
      <c r="G20" s="4" t="s">
        <v>25</v>
      </c>
      <c r="H20" s="4" t="s">
        <v>37</v>
      </c>
      <c r="I20" s="5">
        <v>44593</v>
      </c>
      <c r="J20" s="6">
        <v>7471</v>
      </c>
      <c r="K20" s="6">
        <v>3737.6955774799999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4" t="s">
        <v>56</v>
      </c>
      <c r="R20" s="4">
        <v>0</v>
      </c>
      <c r="S20" s="6">
        <v>10</v>
      </c>
      <c r="T20" s="6">
        <v>0</v>
      </c>
      <c r="U20" s="6">
        <v>0</v>
      </c>
      <c r="V20" s="6">
        <f>IF(ISERROR(VLOOKUP($S$20,'TAR FIN'!$A$1:$O$92,15,0)),0,VLOOKUP($S$20,'TAR FIN'!$A$1:$O$92,15,0))</f>
        <v>18.489999999999998</v>
      </c>
      <c r="W20" s="6">
        <f>IF(ISERROR(VLOOKUP($T$20,'TAR FIN'!$A$1:$O$92,15,0)),0,VLOOKUP($T$20,'TAR FIN'!$A$1:$O$92,15,0))</f>
        <v>0</v>
      </c>
      <c r="X20" s="6">
        <f>IF(ISERROR(VLOOKUP($U$20,'TAR FIN'!$A$1:$O$92,15,0)),0,VLOOKUP($U$20,'TAR FIN'!$A$1:$O$92,15,0))</f>
        <v>0</v>
      </c>
      <c r="Y20" s="6">
        <f ca="1">('TUSD BE'!$AM$10+'TUSD BF_350'!$AM$10+'TUSD CVA'!$AM$10)*1</f>
        <v>15.64</v>
      </c>
      <c r="Z20" s="6">
        <f ca="1">('TUSD BE'!$AM$11+'TUSD BF_350'!$AM$11+'TUSD CVA'!$AM$11)*1</f>
        <v>126.25</v>
      </c>
      <c r="AA20" s="6"/>
      <c r="AB20" s="6">
        <f>$K$20*$V$20</f>
        <v>69109.991227605191</v>
      </c>
      <c r="AC20" s="6">
        <f>$M$20*$W$20</f>
        <v>0</v>
      </c>
      <c r="AD20" s="6">
        <f>$O$20*$X$20</f>
        <v>0</v>
      </c>
      <c r="AE20" s="6">
        <f ca="1">$K$20*$Y$20</f>
        <v>58457.558831787203</v>
      </c>
      <c r="AF20" s="6">
        <f ca="1">$M$20*$Z$20</f>
        <v>0</v>
      </c>
      <c r="AG20" s="6">
        <f>$O$20*$AA$20</f>
        <v>0</v>
      </c>
    </row>
    <row r="21" spans="1:33" ht="11.25" customHeight="1" x14ac:dyDescent="0.3">
      <c r="A21" s="4" t="s">
        <v>21</v>
      </c>
      <c r="B21" s="4" t="s">
        <v>34</v>
      </c>
      <c r="C21" s="4" t="s">
        <v>54</v>
      </c>
      <c r="D21" s="4" t="s">
        <v>33</v>
      </c>
      <c r="E21" s="4" t="s">
        <v>25</v>
      </c>
      <c r="F21" s="4" t="s">
        <v>55</v>
      </c>
      <c r="G21" s="4" t="s">
        <v>25</v>
      </c>
      <c r="H21" s="4" t="s">
        <v>37</v>
      </c>
      <c r="I21" s="5">
        <v>44621</v>
      </c>
      <c r="J21" s="6">
        <v>7050</v>
      </c>
      <c r="K21" s="6">
        <v>3526.0792139999999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4" t="s">
        <v>56</v>
      </c>
      <c r="R21" s="4">
        <v>0</v>
      </c>
      <c r="S21" s="6">
        <v>10</v>
      </c>
      <c r="T21" s="6">
        <v>0</v>
      </c>
      <c r="U21" s="6">
        <v>0</v>
      </c>
      <c r="V21" s="6">
        <f>IF(ISERROR(VLOOKUP($S$21,'TAR FIN'!$A$1:$O$92,15,0)),0,VLOOKUP($S$21,'TAR FIN'!$A$1:$O$92,15,0))</f>
        <v>18.489999999999998</v>
      </c>
      <c r="W21" s="6">
        <f>IF(ISERROR(VLOOKUP($T$21,'TAR FIN'!$A$1:$O$92,15,0)),0,VLOOKUP($T$21,'TAR FIN'!$A$1:$O$92,15,0))</f>
        <v>0</v>
      </c>
      <c r="X21" s="6">
        <f>IF(ISERROR(VLOOKUP($U$21,'TAR FIN'!$A$1:$O$92,15,0)),0,VLOOKUP($U$21,'TAR FIN'!$A$1:$O$92,15,0))</f>
        <v>0</v>
      </c>
      <c r="Y21" s="6">
        <f ca="1">('TUSD BE'!$AM$10+'TUSD BF_350'!$AM$10+'TUSD CVA'!$AM$10)*1</f>
        <v>15.64</v>
      </c>
      <c r="Z21" s="6">
        <f ca="1">('TUSD BE'!$AM$11+'TUSD BF_350'!$AM$11+'TUSD CVA'!$AM$11)*1</f>
        <v>126.25</v>
      </c>
      <c r="AA21" s="6"/>
      <c r="AB21" s="6">
        <f>$K$21*$V$21</f>
        <v>65197.204666859994</v>
      </c>
      <c r="AC21" s="6">
        <f>$M$21*$W$21</f>
        <v>0</v>
      </c>
      <c r="AD21" s="6">
        <f>$O$21*$X$21</f>
        <v>0</v>
      </c>
      <c r="AE21" s="6">
        <f ca="1">$K$21*$Y$21</f>
        <v>55147.878906960002</v>
      </c>
      <c r="AF21" s="6">
        <f ca="1">$M$21*$Z$21</f>
        <v>0</v>
      </c>
      <c r="AG21" s="6">
        <f>$O$21*$AA$21</f>
        <v>0</v>
      </c>
    </row>
    <row r="22" spans="1:33" ht="11.25" customHeight="1" x14ac:dyDescent="0.3">
      <c r="A22" s="4" t="s">
        <v>21</v>
      </c>
      <c r="B22" s="4" t="s">
        <v>34</v>
      </c>
      <c r="C22" s="4" t="s">
        <v>54</v>
      </c>
      <c r="D22" s="4" t="s">
        <v>33</v>
      </c>
      <c r="E22" s="4" t="s">
        <v>25</v>
      </c>
      <c r="F22" s="4" t="s">
        <v>55</v>
      </c>
      <c r="G22" s="4" t="s">
        <v>25</v>
      </c>
      <c r="H22" s="4" t="s">
        <v>37</v>
      </c>
      <c r="I22" s="5">
        <v>44652</v>
      </c>
      <c r="J22" s="6">
        <v>7050</v>
      </c>
      <c r="K22" s="6">
        <v>3527.2197630000001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4" t="s">
        <v>56</v>
      </c>
      <c r="R22" s="4">
        <v>0</v>
      </c>
      <c r="S22" s="6">
        <v>10</v>
      </c>
      <c r="T22" s="6">
        <v>0</v>
      </c>
      <c r="U22" s="6">
        <v>0</v>
      </c>
      <c r="V22" s="6">
        <f>IF(ISERROR(VLOOKUP($S$22,'TAR FIN'!$A$1:$O$92,15,0)),0,VLOOKUP($S$22,'TAR FIN'!$A$1:$O$92,15,0))</f>
        <v>18.489999999999998</v>
      </c>
      <c r="W22" s="6">
        <f>IF(ISERROR(VLOOKUP($T$22,'TAR FIN'!$A$1:$O$92,15,0)),0,VLOOKUP($T$22,'TAR FIN'!$A$1:$O$92,15,0))</f>
        <v>0</v>
      </c>
      <c r="X22" s="6">
        <f>IF(ISERROR(VLOOKUP($U$22,'TAR FIN'!$A$1:$O$92,15,0)),0,VLOOKUP($U$22,'TAR FIN'!$A$1:$O$92,15,0))</f>
        <v>0</v>
      </c>
      <c r="Y22" s="6">
        <f ca="1">('TUSD BE'!$AM$10+'TUSD BF_350'!$AM$10+'TUSD CVA'!$AM$10)*1</f>
        <v>15.64</v>
      </c>
      <c r="Z22" s="6">
        <f ca="1">('TUSD BE'!$AM$11+'TUSD BF_350'!$AM$11+'TUSD CVA'!$AM$11)*1</f>
        <v>126.25</v>
      </c>
      <c r="AA22" s="6"/>
      <c r="AB22" s="6">
        <f>$K$22*$V$22</f>
        <v>65218.293417869994</v>
      </c>
      <c r="AC22" s="6">
        <f>$M$22*$W$22</f>
        <v>0</v>
      </c>
      <c r="AD22" s="6">
        <f>$O$22*$X$22</f>
        <v>0</v>
      </c>
      <c r="AE22" s="6">
        <f ca="1">$K$22*$Y$22</f>
        <v>55165.717093320003</v>
      </c>
      <c r="AF22" s="6">
        <f ca="1">$M$22*$Z$22</f>
        <v>0</v>
      </c>
      <c r="AG22" s="6">
        <f>$O$22*$AA$22</f>
        <v>0</v>
      </c>
    </row>
    <row r="23" spans="1:33" ht="11.25" customHeight="1" x14ac:dyDescent="0.3">
      <c r="A23" s="4" t="s">
        <v>21</v>
      </c>
      <c r="B23" s="4" t="s">
        <v>34</v>
      </c>
      <c r="C23" s="4" t="s">
        <v>54</v>
      </c>
      <c r="D23" s="4" t="s">
        <v>33</v>
      </c>
      <c r="E23" s="4" t="s">
        <v>25</v>
      </c>
      <c r="F23" s="4" t="s">
        <v>55</v>
      </c>
      <c r="G23" s="4" t="s">
        <v>25</v>
      </c>
      <c r="H23" s="4" t="s">
        <v>37</v>
      </c>
      <c r="I23" s="5">
        <v>44682</v>
      </c>
      <c r="J23" s="6">
        <v>4250</v>
      </c>
      <c r="K23" s="6">
        <v>2125.60707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4" t="s">
        <v>56</v>
      </c>
      <c r="R23" s="4">
        <v>0</v>
      </c>
      <c r="S23" s="6">
        <v>10</v>
      </c>
      <c r="T23" s="6">
        <v>0</v>
      </c>
      <c r="U23" s="6">
        <v>0</v>
      </c>
      <c r="V23" s="6">
        <f>IF(ISERROR(VLOOKUP($S$23,'TAR FIN'!$A$1:$O$92,15,0)),0,VLOOKUP($S$23,'TAR FIN'!$A$1:$O$92,15,0))</f>
        <v>18.489999999999998</v>
      </c>
      <c r="W23" s="6">
        <f>IF(ISERROR(VLOOKUP($T$23,'TAR FIN'!$A$1:$O$92,15,0)),0,VLOOKUP($T$23,'TAR FIN'!$A$1:$O$92,15,0))</f>
        <v>0</v>
      </c>
      <c r="X23" s="6">
        <f>IF(ISERROR(VLOOKUP($U$23,'TAR FIN'!$A$1:$O$92,15,0)),0,VLOOKUP($U$23,'TAR FIN'!$A$1:$O$92,15,0))</f>
        <v>0</v>
      </c>
      <c r="Y23" s="6">
        <f ca="1">('TUSD BE'!$AM$10+'TUSD BF_350'!$AM$10+'TUSD CVA'!$AM$10)*1</f>
        <v>15.64</v>
      </c>
      <c r="Z23" s="6">
        <f ca="1">('TUSD BE'!$AM$11+'TUSD BF_350'!$AM$11+'TUSD CVA'!$AM$11)*1</f>
        <v>126.25</v>
      </c>
      <c r="AA23" s="6"/>
      <c r="AB23" s="6">
        <f>$K$23*$V$23</f>
        <v>39302.474724299995</v>
      </c>
      <c r="AC23" s="6">
        <f>$M$23*$W$23</f>
        <v>0</v>
      </c>
      <c r="AD23" s="6">
        <f>$O$23*$X$23</f>
        <v>0</v>
      </c>
      <c r="AE23" s="6">
        <f ca="1">$K$23*$Y$23</f>
        <v>33244.494574800003</v>
      </c>
      <c r="AF23" s="6">
        <f ca="1">$M$23*$Z$23</f>
        <v>0</v>
      </c>
      <c r="AG23" s="6">
        <f>$O$23*$AA$23</f>
        <v>0</v>
      </c>
    </row>
    <row r="24" spans="1:33" ht="11.25" customHeight="1" x14ac:dyDescent="0.3">
      <c r="A24" s="4" t="s">
        <v>21</v>
      </c>
      <c r="B24" s="4" t="s">
        <v>34</v>
      </c>
      <c r="C24" s="4" t="s">
        <v>54</v>
      </c>
      <c r="D24" s="4" t="s">
        <v>33</v>
      </c>
      <c r="E24" s="4" t="s">
        <v>25</v>
      </c>
      <c r="F24" s="4" t="s">
        <v>55</v>
      </c>
      <c r="G24" s="4" t="s">
        <v>25</v>
      </c>
      <c r="H24" s="4" t="s">
        <v>37</v>
      </c>
      <c r="I24" s="5">
        <v>44713</v>
      </c>
      <c r="J24" s="6">
        <v>4250</v>
      </c>
      <c r="K24" s="6">
        <v>2139.1935125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4" t="s">
        <v>56</v>
      </c>
      <c r="R24" s="4">
        <v>0</v>
      </c>
      <c r="S24" s="6">
        <v>10</v>
      </c>
      <c r="T24" s="6">
        <v>0</v>
      </c>
      <c r="U24" s="6">
        <v>0</v>
      </c>
      <c r="V24" s="6">
        <f>IF(ISERROR(VLOOKUP($S$24,'TAR FIN'!$A$1:$O$92,15,0)),0,VLOOKUP($S$24,'TAR FIN'!$A$1:$O$92,15,0))</f>
        <v>18.489999999999998</v>
      </c>
      <c r="W24" s="6">
        <f>IF(ISERROR(VLOOKUP($T$24,'TAR FIN'!$A$1:$O$92,15,0)),0,VLOOKUP($T$24,'TAR FIN'!$A$1:$O$92,15,0))</f>
        <v>0</v>
      </c>
      <c r="X24" s="6">
        <f>IF(ISERROR(VLOOKUP($U$24,'TAR FIN'!$A$1:$O$92,15,0)),0,VLOOKUP($U$24,'TAR FIN'!$A$1:$O$92,15,0))</f>
        <v>0</v>
      </c>
      <c r="Y24" s="6">
        <f ca="1">('TUSD BE'!$AM$10+'TUSD BF_350'!$AM$10+'TUSD CVA'!$AM$10)*1</f>
        <v>15.64</v>
      </c>
      <c r="Z24" s="6">
        <f ca="1">('TUSD BE'!$AM$11+'TUSD BF_350'!$AM$11+'TUSD CVA'!$AM$11)*1</f>
        <v>126.25</v>
      </c>
      <c r="AA24" s="6"/>
      <c r="AB24" s="6">
        <f>$K$24*$V$24</f>
        <v>39553.688046124997</v>
      </c>
      <c r="AC24" s="6">
        <f>$M$24*$W$24</f>
        <v>0</v>
      </c>
      <c r="AD24" s="6">
        <f>$O$24*$X$24</f>
        <v>0</v>
      </c>
      <c r="AE24" s="6">
        <f ca="1">$K$24*$Y$24</f>
        <v>33456.9865355</v>
      </c>
      <c r="AF24" s="6">
        <f ca="1">$M$24*$Z$24</f>
        <v>0</v>
      </c>
      <c r="AG24" s="6">
        <f>$O$24*$AA$24</f>
        <v>0</v>
      </c>
    </row>
    <row r="25" spans="1:33" ht="11.25" customHeight="1" x14ac:dyDescent="0.3">
      <c r="A25" s="4" t="s">
        <v>21</v>
      </c>
      <c r="B25" s="4" t="s">
        <v>34</v>
      </c>
      <c r="C25" s="4" t="s">
        <v>54</v>
      </c>
      <c r="D25" s="4" t="s">
        <v>33</v>
      </c>
      <c r="E25" s="4" t="s">
        <v>25</v>
      </c>
      <c r="F25" s="4" t="s">
        <v>55</v>
      </c>
      <c r="G25" s="4" t="s">
        <v>25</v>
      </c>
      <c r="H25" s="4" t="s">
        <v>37</v>
      </c>
      <c r="I25" s="5">
        <v>44743</v>
      </c>
      <c r="J25" s="6">
        <v>4250</v>
      </c>
      <c r="K25" s="6">
        <v>2143.1871099999998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4" t="s">
        <v>56</v>
      </c>
      <c r="R25" s="4">
        <v>0</v>
      </c>
      <c r="S25" s="6">
        <v>10</v>
      </c>
      <c r="T25" s="6">
        <v>0</v>
      </c>
      <c r="U25" s="6">
        <v>0</v>
      </c>
      <c r="V25" s="6">
        <f>IF(ISERROR(VLOOKUP($S$25,'TAR FIN'!$A$1:$O$92,15,0)),0,VLOOKUP($S$25,'TAR FIN'!$A$1:$O$92,15,0))</f>
        <v>18.489999999999998</v>
      </c>
      <c r="W25" s="6">
        <f>IF(ISERROR(VLOOKUP($T$25,'TAR FIN'!$A$1:$O$92,15,0)),0,VLOOKUP($T$25,'TAR FIN'!$A$1:$O$92,15,0))</f>
        <v>0</v>
      </c>
      <c r="X25" s="6">
        <f>IF(ISERROR(VLOOKUP($U$25,'TAR FIN'!$A$1:$O$92,15,0)),0,VLOOKUP($U$25,'TAR FIN'!$A$1:$O$92,15,0))</f>
        <v>0</v>
      </c>
      <c r="Y25" s="6">
        <f ca="1">('TUSD BE'!$AM$10+'TUSD BF_350'!$AM$10+'TUSD CVA'!$AM$10)*1</f>
        <v>15.64</v>
      </c>
      <c r="Z25" s="6">
        <f ca="1">('TUSD BE'!$AM$11+'TUSD BF_350'!$AM$11+'TUSD CVA'!$AM$11)*1</f>
        <v>126.25</v>
      </c>
      <c r="AA25" s="6"/>
      <c r="AB25" s="6">
        <f>$K$25*$V$25</f>
        <v>39627.529663899993</v>
      </c>
      <c r="AC25" s="6">
        <f>$M$25*$W$25</f>
        <v>0</v>
      </c>
      <c r="AD25" s="6">
        <f>$O$25*$X$25</f>
        <v>0</v>
      </c>
      <c r="AE25" s="6">
        <f ca="1">$K$25*$Y$25</f>
        <v>33519.446400399996</v>
      </c>
      <c r="AF25" s="6">
        <f ca="1">$M$25*$Z$25</f>
        <v>0</v>
      </c>
      <c r="AG25" s="6">
        <f>$O$25*$AA$25</f>
        <v>0</v>
      </c>
    </row>
    <row r="26" spans="1:33" ht="11.25" customHeight="1" x14ac:dyDescent="0.3">
      <c r="A26" s="4" t="s">
        <v>21</v>
      </c>
      <c r="B26" s="4" t="s">
        <v>34</v>
      </c>
      <c r="C26" s="4" t="s">
        <v>54</v>
      </c>
      <c r="D26" s="4" t="s">
        <v>33</v>
      </c>
      <c r="E26" s="4" t="s">
        <v>25</v>
      </c>
      <c r="F26" s="4" t="s">
        <v>55</v>
      </c>
      <c r="G26" s="4" t="s">
        <v>25</v>
      </c>
      <c r="H26" s="4" t="s">
        <v>25</v>
      </c>
      <c r="I26" s="5">
        <v>44409</v>
      </c>
      <c r="J26" s="6">
        <v>0</v>
      </c>
      <c r="K26" s="6">
        <v>0</v>
      </c>
      <c r="L26" s="6">
        <v>3512.64</v>
      </c>
      <c r="M26" s="6">
        <v>3512.64</v>
      </c>
      <c r="N26" s="6">
        <v>0</v>
      </c>
      <c r="O26" s="6">
        <v>0</v>
      </c>
      <c r="P26" s="6">
        <v>3</v>
      </c>
      <c r="Q26" s="4" t="s">
        <v>56</v>
      </c>
      <c r="R26" s="4">
        <v>0</v>
      </c>
      <c r="S26" s="6">
        <v>0</v>
      </c>
      <c r="T26" s="6">
        <v>13</v>
      </c>
      <c r="U26" s="6">
        <v>0</v>
      </c>
      <c r="V26" s="6">
        <f>IF(ISERROR(VLOOKUP($S$26,'TAR FIN'!$A$1:$O$92,15,0)),0,VLOOKUP($S$26,'TAR FIN'!$A$1:$O$92,15,0))</f>
        <v>0</v>
      </c>
      <c r="W26" s="6">
        <f>IF(ISERROR(VLOOKUP($T$26,'TAR FIN'!$A$1:$O$92,15,0)),0,VLOOKUP($T$26,'TAR FIN'!$A$1:$O$92,15,0))</f>
        <v>73.28</v>
      </c>
      <c r="X26" s="6">
        <f>IF(ISERROR(VLOOKUP($U$26,'TAR FIN'!$A$1:$O$92,15,0)),0,VLOOKUP($U$26,'TAR FIN'!$A$1:$O$92,15,0))</f>
        <v>0</v>
      </c>
      <c r="Y26" s="6"/>
      <c r="Z26" s="6">
        <f ca="1">('TUSD BE'!$AM$11+'TUSD BF_350'!$AM$11+'TUSD CVA'!$AM$11)*1</f>
        <v>126.25</v>
      </c>
      <c r="AA26" s="6"/>
      <c r="AB26" s="6">
        <f>$K$26*$V$26</f>
        <v>0</v>
      </c>
      <c r="AC26" s="6">
        <f>$M$26*$W$26</f>
        <v>257406.2592</v>
      </c>
      <c r="AD26" s="6">
        <f>$O$26*$X$26</f>
        <v>0</v>
      </c>
      <c r="AE26" s="6">
        <f>$K$26*$Y$26</f>
        <v>0</v>
      </c>
      <c r="AF26" s="6">
        <f ca="1">$M$26*$Z$26</f>
        <v>443470.8</v>
      </c>
      <c r="AG26" s="6">
        <f>$O$26*$AA$26</f>
        <v>0</v>
      </c>
    </row>
    <row r="27" spans="1:33" ht="11.25" customHeight="1" x14ac:dyDescent="0.3">
      <c r="A27" s="4" t="s">
        <v>21</v>
      </c>
      <c r="B27" s="4" t="s">
        <v>34</v>
      </c>
      <c r="C27" s="4" t="s">
        <v>54</v>
      </c>
      <c r="D27" s="4" t="s">
        <v>33</v>
      </c>
      <c r="E27" s="4" t="s">
        <v>25</v>
      </c>
      <c r="F27" s="4" t="s">
        <v>55</v>
      </c>
      <c r="G27" s="4" t="s">
        <v>25</v>
      </c>
      <c r="H27" s="4" t="s">
        <v>25</v>
      </c>
      <c r="I27" s="5">
        <v>44440</v>
      </c>
      <c r="J27" s="6">
        <v>0</v>
      </c>
      <c r="K27" s="6">
        <v>0</v>
      </c>
      <c r="L27" s="6">
        <v>3376.123</v>
      </c>
      <c r="M27" s="6">
        <v>3376.123</v>
      </c>
      <c r="N27" s="6">
        <v>0</v>
      </c>
      <c r="O27" s="6">
        <v>0</v>
      </c>
      <c r="P27" s="6">
        <v>3</v>
      </c>
      <c r="Q27" s="4" t="s">
        <v>56</v>
      </c>
      <c r="R27" s="4">
        <v>0</v>
      </c>
      <c r="S27" s="6">
        <v>0</v>
      </c>
      <c r="T27" s="6">
        <v>13</v>
      </c>
      <c r="U27" s="6">
        <v>0</v>
      </c>
      <c r="V27" s="6">
        <f>IF(ISERROR(VLOOKUP($S$27,'TAR FIN'!$A$1:$O$92,15,0)),0,VLOOKUP($S$27,'TAR FIN'!$A$1:$O$92,15,0))</f>
        <v>0</v>
      </c>
      <c r="W27" s="6">
        <f>IF(ISERROR(VLOOKUP($T$27,'TAR FIN'!$A$1:$O$92,15,0)),0,VLOOKUP($T$27,'TAR FIN'!$A$1:$O$92,15,0))</f>
        <v>73.28</v>
      </c>
      <c r="X27" s="6">
        <f>IF(ISERROR(VLOOKUP($U$27,'TAR FIN'!$A$1:$O$92,15,0)),0,VLOOKUP($U$27,'TAR FIN'!$A$1:$O$92,15,0))</f>
        <v>0</v>
      </c>
      <c r="Y27" s="6"/>
      <c r="Z27" s="6">
        <f ca="1">('TUSD BE'!$AM$11+'TUSD BF_350'!$AM$11+'TUSD CVA'!$AM$11)*1</f>
        <v>126.25</v>
      </c>
      <c r="AA27" s="6"/>
      <c r="AB27" s="6">
        <f>$K$27*$V$27</f>
        <v>0</v>
      </c>
      <c r="AC27" s="6">
        <f>$M$27*$W$27</f>
        <v>247402.29344000001</v>
      </c>
      <c r="AD27" s="6">
        <f>$O$27*$X$27</f>
        <v>0</v>
      </c>
      <c r="AE27" s="6">
        <f>$K$27*$Y$27</f>
        <v>0</v>
      </c>
      <c r="AF27" s="6">
        <f ca="1">$M$27*$Z$27</f>
        <v>426235.52875</v>
      </c>
      <c r="AG27" s="6">
        <f>$O$27*$AA$27</f>
        <v>0</v>
      </c>
    </row>
    <row r="28" spans="1:33" ht="11.25" customHeight="1" x14ac:dyDescent="0.3">
      <c r="A28" s="4" t="s">
        <v>21</v>
      </c>
      <c r="B28" s="4" t="s">
        <v>34</v>
      </c>
      <c r="C28" s="4" t="s">
        <v>54</v>
      </c>
      <c r="D28" s="4" t="s">
        <v>33</v>
      </c>
      <c r="E28" s="4" t="s">
        <v>25</v>
      </c>
      <c r="F28" s="4" t="s">
        <v>55</v>
      </c>
      <c r="G28" s="4" t="s">
        <v>25</v>
      </c>
      <c r="H28" s="4" t="s">
        <v>25</v>
      </c>
      <c r="I28" s="5">
        <v>44470</v>
      </c>
      <c r="J28" s="6">
        <v>0</v>
      </c>
      <c r="K28" s="6">
        <v>0</v>
      </c>
      <c r="L28" s="6">
        <v>3601.8670000000002</v>
      </c>
      <c r="M28" s="6">
        <v>3601.8670000000002</v>
      </c>
      <c r="N28" s="6">
        <v>0</v>
      </c>
      <c r="O28" s="6">
        <v>0</v>
      </c>
      <c r="P28" s="6">
        <v>3</v>
      </c>
      <c r="Q28" s="4" t="s">
        <v>56</v>
      </c>
      <c r="R28" s="4">
        <v>0</v>
      </c>
      <c r="S28" s="6">
        <v>0</v>
      </c>
      <c r="T28" s="6">
        <v>13</v>
      </c>
      <c r="U28" s="6">
        <v>0</v>
      </c>
      <c r="V28" s="6">
        <f>IF(ISERROR(VLOOKUP($S$28,'TAR FIN'!$A$1:$O$92,15,0)),0,VLOOKUP($S$28,'TAR FIN'!$A$1:$O$92,15,0))</f>
        <v>0</v>
      </c>
      <c r="W28" s="6">
        <f>IF(ISERROR(VLOOKUP($T$28,'TAR FIN'!$A$1:$O$92,15,0)),0,VLOOKUP($T$28,'TAR FIN'!$A$1:$O$92,15,0))</f>
        <v>73.28</v>
      </c>
      <c r="X28" s="6">
        <f>IF(ISERROR(VLOOKUP($U$28,'TAR FIN'!$A$1:$O$92,15,0)),0,VLOOKUP($U$28,'TAR FIN'!$A$1:$O$92,15,0))</f>
        <v>0</v>
      </c>
      <c r="Y28" s="6"/>
      <c r="Z28" s="6">
        <f ca="1">('TUSD BE'!$AM$11+'TUSD BF_350'!$AM$11+'TUSD CVA'!$AM$11)*1</f>
        <v>126.25</v>
      </c>
      <c r="AA28" s="6"/>
      <c r="AB28" s="6">
        <f>$K$28*$V$28</f>
        <v>0</v>
      </c>
      <c r="AC28" s="6">
        <f>$M$28*$W$28</f>
        <v>263944.81375999999</v>
      </c>
      <c r="AD28" s="6">
        <f>$O$28*$X$28</f>
        <v>0</v>
      </c>
      <c r="AE28" s="6">
        <f>$K$28*$Y$28</f>
        <v>0</v>
      </c>
      <c r="AF28" s="6">
        <f ca="1">$M$28*$Z$28</f>
        <v>454735.70875000005</v>
      </c>
      <c r="AG28" s="6">
        <f>$O$28*$AA$28</f>
        <v>0</v>
      </c>
    </row>
    <row r="29" spans="1:33" ht="11.25" customHeight="1" x14ac:dyDescent="0.3">
      <c r="A29" s="4" t="s">
        <v>21</v>
      </c>
      <c r="B29" s="4" t="s">
        <v>34</v>
      </c>
      <c r="C29" s="4" t="s">
        <v>54</v>
      </c>
      <c r="D29" s="4" t="s">
        <v>33</v>
      </c>
      <c r="E29" s="4" t="s">
        <v>25</v>
      </c>
      <c r="F29" s="4" t="s">
        <v>55</v>
      </c>
      <c r="G29" s="4" t="s">
        <v>25</v>
      </c>
      <c r="H29" s="4" t="s">
        <v>25</v>
      </c>
      <c r="I29" s="5">
        <v>44501</v>
      </c>
      <c r="J29" s="6">
        <v>0</v>
      </c>
      <c r="K29" s="6">
        <v>0</v>
      </c>
      <c r="L29" s="6">
        <v>3387.4169999999999</v>
      </c>
      <c r="M29" s="6">
        <v>3387.4169999999999</v>
      </c>
      <c r="N29" s="6">
        <v>0</v>
      </c>
      <c r="O29" s="6">
        <v>0</v>
      </c>
      <c r="P29" s="6">
        <v>3</v>
      </c>
      <c r="Q29" s="4" t="s">
        <v>56</v>
      </c>
      <c r="R29" s="4">
        <v>0</v>
      </c>
      <c r="S29" s="6">
        <v>0</v>
      </c>
      <c r="T29" s="6">
        <v>13</v>
      </c>
      <c r="U29" s="6">
        <v>0</v>
      </c>
      <c r="V29" s="6">
        <f>IF(ISERROR(VLOOKUP($S$29,'TAR FIN'!$A$1:$O$92,15,0)),0,VLOOKUP($S$29,'TAR FIN'!$A$1:$O$92,15,0))</f>
        <v>0</v>
      </c>
      <c r="W29" s="6">
        <f>IF(ISERROR(VLOOKUP($T$29,'TAR FIN'!$A$1:$O$92,15,0)),0,VLOOKUP($T$29,'TAR FIN'!$A$1:$O$92,15,0))</f>
        <v>73.28</v>
      </c>
      <c r="X29" s="6">
        <f>IF(ISERROR(VLOOKUP($U$29,'TAR FIN'!$A$1:$O$92,15,0)),0,VLOOKUP($U$29,'TAR FIN'!$A$1:$O$92,15,0))</f>
        <v>0</v>
      </c>
      <c r="Y29" s="6"/>
      <c r="Z29" s="6">
        <f ca="1">('TUSD BE'!$AM$11+'TUSD BF_350'!$AM$11+'TUSD CVA'!$AM$11)*1</f>
        <v>126.25</v>
      </c>
      <c r="AA29" s="6"/>
      <c r="AB29" s="6">
        <f>$K$29*$V$29</f>
        <v>0</v>
      </c>
      <c r="AC29" s="6">
        <f>$M$29*$W$29</f>
        <v>248229.91776000001</v>
      </c>
      <c r="AD29" s="6">
        <f>$O$29*$X$29</f>
        <v>0</v>
      </c>
      <c r="AE29" s="6">
        <f>$K$29*$Y$29</f>
        <v>0</v>
      </c>
      <c r="AF29" s="6">
        <f ca="1">$M$29*$Z$29</f>
        <v>427661.39624999999</v>
      </c>
      <c r="AG29" s="6">
        <f>$O$29*$AA$29</f>
        <v>0</v>
      </c>
    </row>
    <row r="30" spans="1:33" ht="11.25" customHeight="1" x14ac:dyDescent="0.3">
      <c r="A30" s="4" t="s">
        <v>21</v>
      </c>
      <c r="B30" s="4" t="s">
        <v>34</v>
      </c>
      <c r="C30" s="4" t="s">
        <v>54</v>
      </c>
      <c r="D30" s="4" t="s">
        <v>33</v>
      </c>
      <c r="E30" s="4" t="s">
        <v>25</v>
      </c>
      <c r="F30" s="4" t="s">
        <v>55</v>
      </c>
      <c r="G30" s="4" t="s">
        <v>25</v>
      </c>
      <c r="H30" s="4" t="s">
        <v>25</v>
      </c>
      <c r="I30" s="5">
        <v>44531</v>
      </c>
      <c r="J30" s="6">
        <v>0</v>
      </c>
      <c r="K30" s="6">
        <v>0</v>
      </c>
      <c r="L30" s="6">
        <v>3401.2669999999998</v>
      </c>
      <c r="M30" s="6">
        <v>3401.2669999999998</v>
      </c>
      <c r="N30" s="6">
        <v>0</v>
      </c>
      <c r="O30" s="6">
        <v>0</v>
      </c>
      <c r="P30" s="6">
        <v>3</v>
      </c>
      <c r="Q30" s="4" t="s">
        <v>56</v>
      </c>
      <c r="R30" s="4">
        <v>0</v>
      </c>
      <c r="S30" s="6">
        <v>0</v>
      </c>
      <c r="T30" s="6">
        <v>13</v>
      </c>
      <c r="U30" s="6">
        <v>0</v>
      </c>
      <c r="V30" s="6">
        <f>IF(ISERROR(VLOOKUP($S$30,'TAR FIN'!$A$1:$O$92,15,0)),0,VLOOKUP($S$30,'TAR FIN'!$A$1:$O$92,15,0))</f>
        <v>0</v>
      </c>
      <c r="W30" s="6">
        <f>IF(ISERROR(VLOOKUP($T$30,'TAR FIN'!$A$1:$O$92,15,0)),0,VLOOKUP($T$30,'TAR FIN'!$A$1:$O$92,15,0))</f>
        <v>73.28</v>
      </c>
      <c r="X30" s="6">
        <f>IF(ISERROR(VLOOKUP($U$30,'TAR FIN'!$A$1:$O$92,15,0)),0,VLOOKUP($U$30,'TAR FIN'!$A$1:$O$92,15,0))</f>
        <v>0</v>
      </c>
      <c r="Y30" s="6"/>
      <c r="Z30" s="6">
        <f ca="1">('TUSD BE'!$AM$11+'TUSD BF_350'!$AM$11+'TUSD CVA'!$AM$11)*1</f>
        <v>126.25</v>
      </c>
      <c r="AA30" s="6"/>
      <c r="AB30" s="6">
        <f>$K$30*$V$30</f>
        <v>0</v>
      </c>
      <c r="AC30" s="6">
        <f>$M$30*$W$30</f>
        <v>249244.84576</v>
      </c>
      <c r="AD30" s="6">
        <f>$O$30*$X$30</f>
        <v>0</v>
      </c>
      <c r="AE30" s="6">
        <f>$K$30*$Y$30</f>
        <v>0</v>
      </c>
      <c r="AF30" s="6">
        <f ca="1">$M$30*$Z$30</f>
        <v>429409.95874999999</v>
      </c>
      <c r="AG30" s="6">
        <f>$O$30*$AA$30</f>
        <v>0</v>
      </c>
    </row>
    <row r="31" spans="1:33" ht="11.25" customHeight="1" x14ac:dyDescent="0.3">
      <c r="A31" s="4" t="s">
        <v>21</v>
      </c>
      <c r="B31" s="4" t="s">
        <v>34</v>
      </c>
      <c r="C31" s="4" t="s">
        <v>54</v>
      </c>
      <c r="D31" s="4" t="s">
        <v>33</v>
      </c>
      <c r="E31" s="4" t="s">
        <v>25</v>
      </c>
      <c r="F31" s="4" t="s">
        <v>55</v>
      </c>
      <c r="G31" s="4" t="s">
        <v>25</v>
      </c>
      <c r="H31" s="4" t="s">
        <v>25</v>
      </c>
      <c r="I31" s="5">
        <v>44562</v>
      </c>
      <c r="J31" s="6">
        <v>0</v>
      </c>
      <c r="K31" s="6">
        <v>0</v>
      </c>
      <c r="L31" s="6">
        <v>3342.7750000000001</v>
      </c>
      <c r="M31" s="6">
        <v>3342.7750000000001</v>
      </c>
      <c r="N31" s="6">
        <v>0</v>
      </c>
      <c r="O31" s="6">
        <v>0</v>
      </c>
      <c r="P31" s="6">
        <v>3</v>
      </c>
      <c r="Q31" s="4" t="s">
        <v>56</v>
      </c>
      <c r="R31" s="4">
        <v>0</v>
      </c>
      <c r="S31" s="6">
        <v>0</v>
      </c>
      <c r="T31" s="6">
        <v>13</v>
      </c>
      <c r="U31" s="6">
        <v>0</v>
      </c>
      <c r="V31" s="6">
        <f>IF(ISERROR(VLOOKUP($S$31,'TAR FIN'!$A$1:$O$92,15,0)),0,VLOOKUP($S$31,'TAR FIN'!$A$1:$O$92,15,0))</f>
        <v>0</v>
      </c>
      <c r="W31" s="6">
        <f>IF(ISERROR(VLOOKUP($T$31,'TAR FIN'!$A$1:$O$92,15,0)),0,VLOOKUP($T$31,'TAR FIN'!$A$1:$O$92,15,0))</f>
        <v>73.28</v>
      </c>
      <c r="X31" s="6">
        <f>IF(ISERROR(VLOOKUP($U$31,'TAR FIN'!$A$1:$O$92,15,0)),0,VLOOKUP($U$31,'TAR FIN'!$A$1:$O$92,15,0))</f>
        <v>0</v>
      </c>
      <c r="Y31" s="6"/>
      <c r="Z31" s="6">
        <f ca="1">('TUSD BE'!$AM$11+'TUSD BF_350'!$AM$11+'TUSD CVA'!$AM$11)*1</f>
        <v>126.25</v>
      </c>
      <c r="AA31" s="6"/>
      <c r="AB31" s="6">
        <f>$K$31*$V$31</f>
        <v>0</v>
      </c>
      <c r="AC31" s="6">
        <f>$M$31*$W$31</f>
        <v>244958.552</v>
      </c>
      <c r="AD31" s="6">
        <f>$O$31*$X$31</f>
        <v>0</v>
      </c>
      <c r="AE31" s="6">
        <f>$K$31*$Y$31</f>
        <v>0</v>
      </c>
      <c r="AF31" s="6">
        <f ca="1">$M$31*$Z$31</f>
        <v>422025.34375</v>
      </c>
      <c r="AG31" s="6">
        <f>$O$31*$AA$31</f>
        <v>0</v>
      </c>
    </row>
    <row r="32" spans="1:33" ht="11.25" customHeight="1" x14ac:dyDescent="0.3">
      <c r="A32" s="4" t="s">
        <v>21</v>
      </c>
      <c r="B32" s="4" t="s">
        <v>34</v>
      </c>
      <c r="C32" s="4" t="s">
        <v>54</v>
      </c>
      <c r="D32" s="4" t="s">
        <v>33</v>
      </c>
      <c r="E32" s="4" t="s">
        <v>25</v>
      </c>
      <c r="F32" s="4" t="s">
        <v>55</v>
      </c>
      <c r="G32" s="4" t="s">
        <v>25</v>
      </c>
      <c r="H32" s="4" t="s">
        <v>25</v>
      </c>
      <c r="I32" s="5">
        <v>44593</v>
      </c>
      <c r="J32" s="6">
        <v>0</v>
      </c>
      <c r="K32" s="6">
        <v>0</v>
      </c>
      <c r="L32" s="6">
        <v>3270.0790000000002</v>
      </c>
      <c r="M32" s="6">
        <v>3270.0790000000002</v>
      </c>
      <c r="N32" s="6">
        <v>0</v>
      </c>
      <c r="O32" s="6">
        <v>0</v>
      </c>
      <c r="P32" s="6">
        <v>3</v>
      </c>
      <c r="Q32" s="4" t="s">
        <v>56</v>
      </c>
      <c r="R32" s="4">
        <v>0</v>
      </c>
      <c r="S32" s="6">
        <v>0</v>
      </c>
      <c r="T32" s="6">
        <v>13</v>
      </c>
      <c r="U32" s="6">
        <v>0</v>
      </c>
      <c r="V32" s="6">
        <f>IF(ISERROR(VLOOKUP($S$32,'TAR FIN'!$A$1:$O$92,15,0)),0,VLOOKUP($S$32,'TAR FIN'!$A$1:$O$92,15,0))</f>
        <v>0</v>
      </c>
      <c r="W32" s="6">
        <f>IF(ISERROR(VLOOKUP($T$32,'TAR FIN'!$A$1:$O$92,15,0)),0,VLOOKUP($T$32,'TAR FIN'!$A$1:$O$92,15,0))</f>
        <v>73.28</v>
      </c>
      <c r="X32" s="6">
        <f>IF(ISERROR(VLOOKUP($U$32,'TAR FIN'!$A$1:$O$92,15,0)),0,VLOOKUP($U$32,'TAR FIN'!$A$1:$O$92,15,0))</f>
        <v>0</v>
      </c>
      <c r="Y32" s="6"/>
      <c r="Z32" s="6">
        <f ca="1">('TUSD BE'!$AM$11+'TUSD BF_350'!$AM$11+'TUSD CVA'!$AM$11)*1</f>
        <v>126.25</v>
      </c>
      <c r="AA32" s="6"/>
      <c r="AB32" s="6">
        <f>$K$32*$V$32</f>
        <v>0</v>
      </c>
      <c r="AC32" s="6">
        <f>$M$32*$W$32</f>
        <v>239631.38912000001</v>
      </c>
      <c r="AD32" s="6">
        <f>$O$32*$X$32</f>
        <v>0</v>
      </c>
      <c r="AE32" s="6">
        <f>$K$32*$Y$32</f>
        <v>0</v>
      </c>
      <c r="AF32" s="6">
        <f ca="1">$M$32*$Z$32</f>
        <v>412847.47375</v>
      </c>
      <c r="AG32" s="6">
        <f>$O$32*$AA$32</f>
        <v>0</v>
      </c>
    </row>
    <row r="33" spans="1:33" ht="11.25" customHeight="1" x14ac:dyDescent="0.3">
      <c r="A33" s="4" t="s">
        <v>21</v>
      </c>
      <c r="B33" s="4" t="s">
        <v>34</v>
      </c>
      <c r="C33" s="4" t="s">
        <v>54</v>
      </c>
      <c r="D33" s="4" t="s">
        <v>33</v>
      </c>
      <c r="E33" s="4" t="s">
        <v>25</v>
      </c>
      <c r="F33" s="4" t="s">
        <v>55</v>
      </c>
      <c r="G33" s="4" t="s">
        <v>25</v>
      </c>
      <c r="H33" s="4" t="s">
        <v>25</v>
      </c>
      <c r="I33" s="5">
        <v>44621</v>
      </c>
      <c r="J33" s="6">
        <v>0</v>
      </c>
      <c r="K33" s="6">
        <v>0</v>
      </c>
      <c r="L33" s="6">
        <v>3338.7429999999999</v>
      </c>
      <c r="M33" s="6">
        <v>3338.7429999999999</v>
      </c>
      <c r="N33" s="6">
        <v>0</v>
      </c>
      <c r="O33" s="6">
        <v>0</v>
      </c>
      <c r="P33" s="6">
        <v>3</v>
      </c>
      <c r="Q33" s="4" t="s">
        <v>56</v>
      </c>
      <c r="R33" s="4">
        <v>0</v>
      </c>
      <c r="S33" s="6">
        <v>0</v>
      </c>
      <c r="T33" s="6">
        <v>13</v>
      </c>
      <c r="U33" s="6">
        <v>0</v>
      </c>
      <c r="V33" s="6">
        <f>IF(ISERROR(VLOOKUP($S$33,'TAR FIN'!$A$1:$O$92,15,0)),0,VLOOKUP($S$33,'TAR FIN'!$A$1:$O$92,15,0))</f>
        <v>0</v>
      </c>
      <c r="W33" s="6">
        <f>IF(ISERROR(VLOOKUP($T$33,'TAR FIN'!$A$1:$O$92,15,0)),0,VLOOKUP($T$33,'TAR FIN'!$A$1:$O$92,15,0))</f>
        <v>73.28</v>
      </c>
      <c r="X33" s="6">
        <f>IF(ISERROR(VLOOKUP($U$33,'TAR FIN'!$A$1:$O$92,15,0)),0,VLOOKUP($U$33,'TAR FIN'!$A$1:$O$92,15,0))</f>
        <v>0</v>
      </c>
      <c r="Y33" s="6"/>
      <c r="Z33" s="6">
        <f ca="1">('TUSD BE'!$AM$11+'TUSD BF_350'!$AM$11+'TUSD CVA'!$AM$11)*1</f>
        <v>126.25</v>
      </c>
      <c r="AA33" s="6"/>
      <c r="AB33" s="6">
        <f>$K$33*$V$33</f>
        <v>0</v>
      </c>
      <c r="AC33" s="6">
        <f>$M$33*$W$33</f>
        <v>244663.08704000001</v>
      </c>
      <c r="AD33" s="6">
        <f>$O$33*$X$33</f>
        <v>0</v>
      </c>
      <c r="AE33" s="6">
        <f>$K$33*$Y$33</f>
        <v>0</v>
      </c>
      <c r="AF33" s="6">
        <f ca="1">$M$33*$Z$33</f>
        <v>421516.30375000002</v>
      </c>
      <c r="AG33" s="6">
        <f>$O$33*$AA$33</f>
        <v>0</v>
      </c>
    </row>
    <row r="34" spans="1:33" ht="11.25" customHeight="1" x14ac:dyDescent="0.3">
      <c r="A34" s="4" t="s">
        <v>21</v>
      </c>
      <c r="B34" s="4" t="s">
        <v>34</v>
      </c>
      <c r="C34" s="4" t="s">
        <v>54</v>
      </c>
      <c r="D34" s="4" t="s">
        <v>33</v>
      </c>
      <c r="E34" s="4" t="s">
        <v>25</v>
      </c>
      <c r="F34" s="4" t="s">
        <v>55</v>
      </c>
      <c r="G34" s="4" t="s">
        <v>25</v>
      </c>
      <c r="H34" s="4" t="s">
        <v>25</v>
      </c>
      <c r="I34" s="5">
        <v>44652</v>
      </c>
      <c r="J34" s="6">
        <v>0</v>
      </c>
      <c r="K34" s="6">
        <v>0</v>
      </c>
      <c r="L34" s="6">
        <v>1875.12024</v>
      </c>
      <c r="M34" s="6">
        <v>1875.12024</v>
      </c>
      <c r="N34" s="6">
        <v>0</v>
      </c>
      <c r="O34" s="6">
        <v>0</v>
      </c>
      <c r="P34" s="6">
        <v>3</v>
      </c>
      <c r="Q34" s="4" t="s">
        <v>56</v>
      </c>
      <c r="R34" s="4">
        <v>0</v>
      </c>
      <c r="S34" s="6">
        <v>0</v>
      </c>
      <c r="T34" s="6">
        <v>13</v>
      </c>
      <c r="U34" s="6">
        <v>0</v>
      </c>
      <c r="V34" s="6">
        <f>IF(ISERROR(VLOOKUP($S$34,'TAR FIN'!$A$1:$O$92,15,0)),0,VLOOKUP($S$34,'TAR FIN'!$A$1:$O$92,15,0))</f>
        <v>0</v>
      </c>
      <c r="W34" s="6">
        <f>IF(ISERROR(VLOOKUP($T$34,'TAR FIN'!$A$1:$O$92,15,0)),0,VLOOKUP($T$34,'TAR FIN'!$A$1:$O$92,15,0))</f>
        <v>73.28</v>
      </c>
      <c r="X34" s="6">
        <f>IF(ISERROR(VLOOKUP($U$34,'TAR FIN'!$A$1:$O$92,15,0)),0,VLOOKUP($U$34,'TAR FIN'!$A$1:$O$92,15,0))</f>
        <v>0</v>
      </c>
      <c r="Y34" s="6"/>
      <c r="Z34" s="6">
        <f ca="1">('TUSD BE'!$AM$11+'TUSD BF_350'!$AM$11+'TUSD CVA'!$AM$11)*1</f>
        <v>126.25</v>
      </c>
      <c r="AA34" s="6"/>
      <c r="AB34" s="6">
        <f>$K$34*$V$34</f>
        <v>0</v>
      </c>
      <c r="AC34" s="6">
        <f>$M$34*$W$34</f>
        <v>137408.81118719999</v>
      </c>
      <c r="AD34" s="6">
        <f>$O$34*$X$34</f>
        <v>0</v>
      </c>
      <c r="AE34" s="6">
        <f>$K$34*$Y$34</f>
        <v>0</v>
      </c>
      <c r="AF34" s="6">
        <f ca="1">$M$34*$Z$34</f>
        <v>236733.93030000001</v>
      </c>
      <c r="AG34" s="6">
        <f>$O$34*$AA$34</f>
        <v>0</v>
      </c>
    </row>
    <row r="35" spans="1:33" ht="11.25" customHeight="1" x14ac:dyDescent="0.3">
      <c r="A35" s="4" t="s">
        <v>21</v>
      </c>
      <c r="B35" s="4" t="s">
        <v>34</v>
      </c>
      <c r="C35" s="4" t="s">
        <v>54</v>
      </c>
      <c r="D35" s="4" t="s">
        <v>33</v>
      </c>
      <c r="E35" s="4" t="s">
        <v>25</v>
      </c>
      <c r="F35" s="4" t="s">
        <v>55</v>
      </c>
      <c r="G35" s="4" t="s">
        <v>25</v>
      </c>
      <c r="H35" s="4" t="s">
        <v>25</v>
      </c>
      <c r="I35" s="5">
        <v>44682</v>
      </c>
      <c r="J35" s="6">
        <v>0</v>
      </c>
      <c r="K35" s="6">
        <v>0</v>
      </c>
      <c r="L35" s="6">
        <v>1588.5139200000001</v>
      </c>
      <c r="M35" s="6">
        <v>1588.5139200000001</v>
      </c>
      <c r="N35" s="6">
        <v>0</v>
      </c>
      <c r="O35" s="6">
        <v>0</v>
      </c>
      <c r="P35" s="6">
        <v>2</v>
      </c>
      <c r="Q35" s="4" t="s">
        <v>56</v>
      </c>
      <c r="R35" s="4">
        <v>0</v>
      </c>
      <c r="S35" s="6">
        <v>0</v>
      </c>
      <c r="T35" s="6">
        <v>13</v>
      </c>
      <c r="U35" s="6">
        <v>0</v>
      </c>
      <c r="V35" s="6">
        <f>IF(ISERROR(VLOOKUP($S$35,'TAR FIN'!$A$1:$O$92,15,0)),0,VLOOKUP($S$35,'TAR FIN'!$A$1:$O$92,15,0))</f>
        <v>0</v>
      </c>
      <c r="W35" s="6">
        <f>IF(ISERROR(VLOOKUP($T$35,'TAR FIN'!$A$1:$O$92,15,0)),0,VLOOKUP($T$35,'TAR FIN'!$A$1:$O$92,15,0))</f>
        <v>73.28</v>
      </c>
      <c r="X35" s="6">
        <f>IF(ISERROR(VLOOKUP($U$35,'TAR FIN'!$A$1:$O$92,15,0)),0,VLOOKUP($U$35,'TAR FIN'!$A$1:$O$92,15,0))</f>
        <v>0</v>
      </c>
      <c r="Y35" s="6"/>
      <c r="Z35" s="6">
        <f ca="1">('TUSD BE'!$AM$11+'TUSD BF_350'!$AM$11+'TUSD CVA'!$AM$11)*1</f>
        <v>126.25</v>
      </c>
      <c r="AA35" s="6"/>
      <c r="AB35" s="6">
        <f>$K$35*$V$35</f>
        <v>0</v>
      </c>
      <c r="AC35" s="6">
        <f>$M$35*$W$35</f>
        <v>116406.3000576</v>
      </c>
      <c r="AD35" s="6">
        <f>$O$35*$X$35</f>
        <v>0</v>
      </c>
      <c r="AE35" s="6">
        <f>$K$35*$Y$35</f>
        <v>0</v>
      </c>
      <c r="AF35" s="6">
        <f ca="1">$M$35*$Z$35</f>
        <v>200549.8824</v>
      </c>
      <c r="AG35" s="6">
        <f>$O$35*$AA$35</f>
        <v>0</v>
      </c>
    </row>
    <row r="36" spans="1:33" ht="11.25" customHeight="1" x14ac:dyDescent="0.3">
      <c r="A36" s="4" t="s">
        <v>21</v>
      </c>
      <c r="B36" s="4" t="s">
        <v>34</v>
      </c>
      <c r="C36" s="4" t="s">
        <v>54</v>
      </c>
      <c r="D36" s="4" t="s">
        <v>33</v>
      </c>
      <c r="E36" s="4" t="s">
        <v>25</v>
      </c>
      <c r="F36" s="4" t="s">
        <v>55</v>
      </c>
      <c r="G36" s="4" t="s">
        <v>25</v>
      </c>
      <c r="H36" s="4" t="s">
        <v>25</v>
      </c>
      <c r="I36" s="5">
        <v>44713</v>
      </c>
      <c r="J36" s="6">
        <v>0</v>
      </c>
      <c r="K36" s="6">
        <v>0</v>
      </c>
      <c r="L36" s="6">
        <v>1451.1084000000001</v>
      </c>
      <c r="M36" s="6">
        <v>1451.1084000000001</v>
      </c>
      <c r="N36" s="6">
        <v>0</v>
      </c>
      <c r="O36" s="6">
        <v>0</v>
      </c>
      <c r="P36" s="6">
        <v>2</v>
      </c>
      <c r="Q36" s="4" t="s">
        <v>56</v>
      </c>
      <c r="R36" s="4">
        <v>0</v>
      </c>
      <c r="S36" s="6">
        <v>0</v>
      </c>
      <c r="T36" s="6">
        <v>13</v>
      </c>
      <c r="U36" s="6">
        <v>0</v>
      </c>
      <c r="V36" s="6">
        <f>IF(ISERROR(VLOOKUP($S$36,'TAR FIN'!$A$1:$O$92,15,0)),0,VLOOKUP($S$36,'TAR FIN'!$A$1:$O$92,15,0))</f>
        <v>0</v>
      </c>
      <c r="W36" s="6">
        <f>IF(ISERROR(VLOOKUP($T$36,'TAR FIN'!$A$1:$O$92,15,0)),0,VLOOKUP($T$36,'TAR FIN'!$A$1:$O$92,15,0))</f>
        <v>73.28</v>
      </c>
      <c r="X36" s="6">
        <f>IF(ISERROR(VLOOKUP($U$36,'TAR FIN'!$A$1:$O$92,15,0)),0,VLOOKUP($U$36,'TAR FIN'!$A$1:$O$92,15,0))</f>
        <v>0</v>
      </c>
      <c r="Y36" s="6"/>
      <c r="Z36" s="6">
        <f ca="1">('TUSD BE'!$AM$11+'TUSD BF_350'!$AM$11+'TUSD CVA'!$AM$11)*1</f>
        <v>126.25</v>
      </c>
      <c r="AA36" s="6"/>
      <c r="AB36" s="6">
        <f>$K$36*$V$36</f>
        <v>0</v>
      </c>
      <c r="AC36" s="6">
        <f>$M$36*$W$36</f>
        <v>106337.22355200001</v>
      </c>
      <c r="AD36" s="6">
        <f>$O$36*$X$36</f>
        <v>0</v>
      </c>
      <c r="AE36" s="6">
        <f>$K$36*$Y$36</f>
        <v>0</v>
      </c>
      <c r="AF36" s="6">
        <f ca="1">$M$36*$Z$36</f>
        <v>183202.43550000002</v>
      </c>
      <c r="AG36" s="6">
        <f>$O$36*$AA$36</f>
        <v>0</v>
      </c>
    </row>
    <row r="37" spans="1:33" ht="11.25" customHeight="1" x14ac:dyDescent="0.3">
      <c r="A37" s="4" t="s">
        <v>21</v>
      </c>
      <c r="B37" s="4" t="s">
        <v>34</v>
      </c>
      <c r="C37" s="4" t="s">
        <v>54</v>
      </c>
      <c r="D37" s="4" t="s">
        <v>33</v>
      </c>
      <c r="E37" s="4" t="s">
        <v>25</v>
      </c>
      <c r="F37" s="4" t="s">
        <v>55</v>
      </c>
      <c r="G37" s="4" t="s">
        <v>25</v>
      </c>
      <c r="H37" s="4" t="s">
        <v>25</v>
      </c>
      <c r="I37" s="5">
        <v>44743</v>
      </c>
      <c r="J37" s="6">
        <v>0</v>
      </c>
      <c r="K37" s="6">
        <v>0</v>
      </c>
      <c r="L37" s="6">
        <v>954.17448000000002</v>
      </c>
      <c r="M37" s="6">
        <v>954.17448000000002</v>
      </c>
      <c r="N37" s="6">
        <v>0</v>
      </c>
      <c r="O37" s="6">
        <v>0</v>
      </c>
      <c r="P37" s="6">
        <v>2</v>
      </c>
      <c r="Q37" s="4" t="s">
        <v>56</v>
      </c>
      <c r="R37" s="4">
        <v>0</v>
      </c>
      <c r="S37" s="6">
        <v>0</v>
      </c>
      <c r="T37" s="6">
        <v>13</v>
      </c>
      <c r="U37" s="6">
        <v>0</v>
      </c>
      <c r="V37" s="6">
        <f>IF(ISERROR(VLOOKUP($S$37,'TAR FIN'!$A$1:$O$92,15,0)),0,VLOOKUP($S$37,'TAR FIN'!$A$1:$O$92,15,0))</f>
        <v>0</v>
      </c>
      <c r="W37" s="6">
        <f>IF(ISERROR(VLOOKUP($T$37,'TAR FIN'!$A$1:$O$92,15,0)),0,VLOOKUP($T$37,'TAR FIN'!$A$1:$O$92,15,0))</f>
        <v>73.28</v>
      </c>
      <c r="X37" s="6">
        <f>IF(ISERROR(VLOOKUP($U$37,'TAR FIN'!$A$1:$O$92,15,0)),0,VLOOKUP($U$37,'TAR FIN'!$A$1:$O$92,15,0))</f>
        <v>0</v>
      </c>
      <c r="Y37" s="6"/>
      <c r="Z37" s="6">
        <f ca="1">('TUSD BE'!$AM$11+'TUSD BF_350'!$AM$11+'TUSD CVA'!$AM$11)*1</f>
        <v>126.25</v>
      </c>
      <c r="AA37" s="6"/>
      <c r="AB37" s="6">
        <f>$K$37*$V$37</f>
        <v>0</v>
      </c>
      <c r="AC37" s="6">
        <f>$M$37*$W$37</f>
        <v>69921.905894399999</v>
      </c>
      <c r="AD37" s="6">
        <f>$O$37*$X$37</f>
        <v>0</v>
      </c>
      <c r="AE37" s="6">
        <f>$K$37*$Y$37</f>
        <v>0</v>
      </c>
      <c r="AF37" s="6">
        <f ca="1">$M$37*$Z$37</f>
        <v>120464.5281</v>
      </c>
      <c r="AG37" s="6">
        <f>$O$37*$AA$37</f>
        <v>0</v>
      </c>
    </row>
    <row r="38" spans="1:33" ht="11.25" customHeight="1" x14ac:dyDescent="0.3">
      <c r="A38" s="4" t="s">
        <v>21</v>
      </c>
      <c r="B38" s="4" t="s">
        <v>34</v>
      </c>
      <c r="C38" s="4" t="s">
        <v>54</v>
      </c>
      <c r="D38" s="4" t="s">
        <v>33</v>
      </c>
      <c r="E38" s="4" t="s">
        <v>25</v>
      </c>
      <c r="F38" s="4" t="s">
        <v>55</v>
      </c>
      <c r="G38" s="4" t="s">
        <v>25</v>
      </c>
      <c r="H38" s="4" t="s">
        <v>36</v>
      </c>
      <c r="I38" s="5">
        <v>44409</v>
      </c>
      <c r="J38" s="6">
        <v>7150</v>
      </c>
      <c r="K38" s="6">
        <v>3575.2025595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56</v>
      </c>
      <c r="R38" s="4">
        <v>0</v>
      </c>
      <c r="S38" s="6">
        <v>9</v>
      </c>
      <c r="T38" s="6">
        <v>0</v>
      </c>
      <c r="U38" s="6">
        <v>0</v>
      </c>
      <c r="V38" s="6">
        <f>IF(ISERROR(VLOOKUP($S$38,'TAR FIN'!$A$1:$O$92,15,0)),0,VLOOKUP($S$38,'TAR FIN'!$A$1:$O$92,15,0))</f>
        <v>29.39</v>
      </c>
      <c r="W38" s="6">
        <f>IF(ISERROR(VLOOKUP($T$38,'TAR FIN'!$A$1:$O$92,15,0)),0,VLOOKUP($T$38,'TAR FIN'!$A$1:$O$92,15,0))</f>
        <v>0</v>
      </c>
      <c r="X38" s="6">
        <f>IF(ISERROR(VLOOKUP($U$38,'TAR FIN'!$A$1:$O$92,15,0)),0,VLOOKUP($U$38,'TAR FIN'!$A$1:$O$92,15,0))</f>
        <v>0</v>
      </c>
      <c r="Y38" s="6">
        <f ca="1">('TUSD BE'!$AM$9+'TUSD BF_350'!$AM$9+'TUSD CVA'!$AM$9)*1</f>
        <v>32.35</v>
      </c>
      <c r="Z38" s="6">
        <f ca="1">('TUSD BE'!$AM$11+'TUSD BF_350'!$AM$11+'TUSD CVA'!$AM$11)*1</f>
        <v>126.25</v>
      </c>
      <c r="AA38" s="6"/>
      <c r="AB38" s="6">
        <f>$K$38*$V$38</f>
        <v>105075.203223705</v>
      </c>
      <c r="AC38" s="6">
        <f>$M$38*$W$38</f>
        <v>0</v>
      </c>
      <c r="AD38" s="6">
        <f>$O$38*$X$38</f>
        <v>0</v>
      </c>
      <c r="AE38" s="6">
        <f ca="1">$K$38*$Y$38</f>
        <v>115657.802799825</v>
      </c>
      <c r="AF38" s="6">
        <f ca="1">$M$38*$Z$38</f>
        <v>0</v>
      </c>
      <c r="AG38" s="6">
        <f>$O$38*$AA$38</f>
        <v>0</v>
      </c>
    </row>
    <row r="39" spans="1:33" ht="11.25" customHeight="1" x14ac:dyDescent="0.3">
      <c r="A39" s="4" t="s">
        <v>21</v>
      </c>
      <c r="B39" s="4" t="s">
        <v>34</v>
      </c>
      <c r="C39" s="4" t="s">
        <v>54</v>
      </c>
      <c r="D39" s="4" t="s">
        <v>33</v>
      </c>
      <c r="E39" s="4" t="s">
        <v>25</v>
      </c>
      <c r="F39" s="4" t="s">
        <v>55</v>
      </c>
      <c r="G39" s="4" t="s">
        <v>25</v>
      </c>
      <c r="H39" s="4" t="s">
        <v>36</v>
      </c>
      <c r="I39" s="5">
        <v>44440</v>
      </c>
      <c r="J39" s="6">
        <v>7158</v>
      </c>
      <c r="K39" s="6">
        <v>3583.0537901399998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56</v>
      </c>
      <c r="R39" s="4">
        <v>0</v>
      </c>
      <c r="S39" s="6">
        <v>9</v>
      </c>
      <c r="T39" s="6">
        <v>0</v>
      </c>
      <c r="U39" s="6">
        <v>0</v>
      </c>
      <c r="V39" s="6">
        <f>IF(ISERROR(VLOOKUP($S$39,'TAR FIN'!$A$1:$O$92,15,0)),0,VLOOKUP($S$39,'TAR FIN'!$A$1:$O$92,15,0))</f>
        <v>29.39</v>
      </c>
      <c r="W39" s="6">
        <f>IF(ISERROR(VLOOKUP($T$39,'TAR FIN'!$A$1:$O$92,15,0)),0,VLOOKUP($T$39,'TAR FIN'!$A$1:$O$92,15,0))</f>
        <v>0</v>
      </c>
      <c r="X39" s="6">
        <f>IF(ISERROR(VLOOKUP($U$39,'TAR FIN'!$A$1:$O$92,15,0)),0,VLOOKUP($U$39,'TAR FIN'!$A$1:$O$92,15,0))</f>
        <v>0</v>
      </c>
      <c r="Y39" s="6">
        <f ca="1">('TUSD BE'!$AM$9+'TUSD BF_350'!$AM$9+'TUSD CVA'!$AM$9)*1</f>
        <v>32.35</v>
      </c>
      <c r="Z39" s="6">
        <f ca="1">('TUSD BE'!$AM$11+'TUSD BF_350'!$AM$11+'TUSD CVA'!$AM$11)*1</f>
        <v>126.25</v>
      </c>
      <c r="AA39" s="6"/>
      <c r="AB39" s="6">
        <f>$K$39*$V$39</f>
        <v>105305.95089221459</v>
      </c>
      <c r="AC39" s="6">
        <f>$M$39*$W$39</f>
        <v>0</v>
      </c>
      <c r="AD39" s="6">
        <f>$O$39*$X$39</f>
        <v>0</v>
      </c>
      <c r="AE39" s="6">
        <f ca="1">$K$39*$Y$39</f>
        <v>115911.790111029</v>
      </c>
      <c r="AF39" s="6">
        <f ca="1">$M$39*$Z$39</f>
        <v>0</v>
      </c>
      <c r="AG39" s="6">
        <f>$O$39*$AA$39</f>
        <v>0</v>
      </c>
    </row>
    <row r="40" spans="1:33" ht="11.25" customHeight="1" x14ac:dyDescent="0.3">
      <c r="A40" s="4" t="s">
        <v>21</v>
      </c>
      <c r="B40" s="4" t="s">
        <v>34</v>
      </c>
      <c r="C40" s="4" t="s">
        <v>54</v>
      </c>
      <c r="D40" s="4" t="s">
        <v>33</v>
      </c>
      <c r="E40" s="4" t="s">
        <v>25</v>
      </c>
      <c r="F40" s="4" t="s">
        <v>55</v>
      </c>
      <c r="G40" s="4" t="s">
        <v>25</v>
      </c>
      <c r="H40" s="4" t="s">
        <v>36</v>
      </c>
      <c r="I40" s="5">
        <v>44470</v>
      </c>
      <c r="J40" s="6">
        <v>7192</v>
      </c>
      <c r="K40" s="6">
        <v>3599.06537424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56</v>
      </c>
      <c r="R40" s="4">
        <v>0</v>
      </c>
      <c r="S40" s="6">
        <v>9</v>
      </c>
      <c r="T40" s="6">
        <v>0</v>
      </c>
      <c r="U40" s="6">
        <v>0</v>
      </c>
      <c r="V40" s="6">
        <f>IF(ISERROR(VLOOKUP($S$40,'TAR FIN'!$A$1:$O$92,15,0)),0,VLOOKUP($S$40,'TAR FIN'!$A$1:$O$92,15,0))</f>
        <v>29.39</v>
      </c>
      <c r="W40" s="6">
        <f>IF(ISERROR(VLOOKUP($T$40,'TAR FIN'!$A$1:$O$92,15,0)),0,VLOOKUP($T$40,'TAR FIN'!$A$1:$O$92,15,0))</f>
        <v>0</v>
      </c>
      <c r="X40" s="6">
        <f>IF(ISERROR(VLOOKUP($U$40,'TAR FIN'!$A$1:$O$92,15,0)),0,VLOOKUP($U$40,'TAR FIN'!$A$1:$O$92,15,0))</f>
        <v>0</v>
      </c>
      <c r="Y40" s="6">
        <f ca="1">('TUSD BE'!$AM$9+'TUSD BF_350'!$AM$9+'TUSD CVA'!$AM$9)*1</f>
        <v>32.35</v>
      </c>
      <c r="Z40" s="6">
        <f ca="1">('TUSD BE'!$AM$11+'TUSD BF_350'!$AM$11+'TUSD CVA'!$AM$11)*1</f>
        <v>126.25</v>
      </c>
      <c r="AA40" s="6"/>
      <c r="AB40" s="6">
        <f>$K$40*$V$40</f>
        <v>105776.5313489136</v>
      </c>
      <c r="AC40" s="6">
        <f>$M$40*$W$40</f>
        <v>0</v>
      </c>
      <c r="AD40" s="6">
        <f>$O$40*$X$40</f>
        <v>0</v>
      </c>
      <c r="AE40" s="6">
        <f ca="1">$K$40*$Y$40</f>
        <v>116429.764856664</v>
      </c>
      <c r="AF40" s="6">
        <f ca="1">$M$40*$Z$40</f>
        <v>0</v>
      </c>
      <c r="AG40" s="6">
        <f>$O$40*$AA$40</f>
        <v>0</v>
      </c>
    </row>
    <row r="41" spans="1:33" ht="11.25" customHeight="1" x14ac:dyDescent="0.3">
      <c r="A41" s="4" t="s">
        <v>21</v>
      </c>
      <c r="B41" s="4" t="s">
        <v>34</v>
      </c>
      <c r="C41" s="4" t="s">
        <v>54</v>
      </c>
      <c r="D41" s="4" t="s">
        <v>33</v>
      </c>
      <c r="E41" s="4" t="s">
        <v>25</v>
      </c>
      <c r="F41" s="4" t="s">
        <v>55</v>
      </c>
      <c r="G41" s="4" t="s">
        <v>25</v>
      </c>
      <c r="H41" s="4" t="s">
        <v>36</v>
      </c>
      <c r="I41" s="5">
        <v>44501</v>
      </c>
      <c r="J41" s="6">
        <v>7149</v>
      </c>
      <c r="K41" s="6">
        <v>3577.8967758600002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56</v>
      </c>
      <c r="R41" s="4">
        <v>0</v>
      </c>
      <c r="S41" s="6">
        <v>9</v>
      </c>
      <c r="T41" s="6">
        <v>0</v>
      </c>
      <c r="U41" s="6">
        <v>0</v>
      </c>
      <c r="V41" s="6">
        <f>IF(ISERROR(VLOOKUP($S$41,'TAR FIN'!$A$1:$O$92,15,0)),0,VLOOKUP($S$41,'TAR FIN'!$A$1:$O$92,15,0))</f>
        <v>29.39</v>
      </c>
      <c r="W41" s="6">
        <f>IF(ISERROR(VLOOKUP($T$41,'TAR FIN'!$A$1:$O$92,15,0)),0,VLOOKUP($T$41,'TAR FIN'!$A$1:$O$92,15,0))</f>
        <v>0</v>
      </c>
      <c r="X41" s="6">
        <f>IF(ISERROR(VLOOKUP($U$41,'TAR FIN'!$A$1:$O$92,15,0)),0,VLOOKUP($U$41,'TAR FIN'!$A$1:$O$92,15,0))</f>
        <v>0</v>
      </c>
      <c r="Y41" s="6">
        <f ca="1">('TUSD BE'!$AM$9+'TUSD BF_350'!$AM$9+'TUSD CVA'!$AM$9)*1</f>
        <v>32.35</v>
      </c>
      <c r="Z41" s="6">
        <f ca="1">('TUSD BE'!$AM$11+'TUSD BF_350'!$AM$11+'TUSD CVA'!$AM$11)*1</f>
        <v>126.25</v>
      </c>
      <c r="AA41" s="6"/>
      <c r="AB41" s="6">
        <f>$K$41*$V$41</f>
        <v>105154.3862425254</v>
      </c>
      <c r="AC41" s="6">
        <f>$M$41*$W$41</f>
        <v>0</v>
      </c>
      <c r="AD41" s="6">
        <f>$O$41*$X$41</f>
        <v>0</v>
      </c>
      <c r="AE41" s="6">
        <f ca="1">$K$41*$Y$41</f>
        <v>115744.96069907102</v>
      </c>
      <c r="AF41" s="6">
        <f ca="1">$M$41*$Z$41</f>
        <v>0</v>
      </c>
      <c r="AG41" s="6">
        <f>$O$41*$AA$41</f>
        <v>0</v>
      </c>
    </row>
    <row r="42" spans="1:33" ht="11.25" customHeight="1" x14ac:dyDescent="0.3">
      <c r="A42" s="4" t="s">
        <v>21</v>
      </c>
      <c r="B42" s="4" t="s">
        <v>34</v>
      </c>
      <c r="C42" s="4" t="s">
        <v>54</v>
      </c>
      <c r="D42" s="4" t="s">
        <v>33</v>
      </c>
      <c r="E42" s="4" t="s">
        <v>25</v>
      </c>
      <c r="F42" s="4" t="s">
        <v>55</v>
      </c>
      <c r="G42" s="4" t="s">
        <v>25</v>
      </c>
      <c r="H42" s="4" t="s">
        <v>36</v>
      </c>
      <c r="I42" s="5">
        <v>44531</v>
      </c>
      <c r="J42" s="6">
        <v>7149</v>
      </c>
      <c r="K42" s="6">
        <v>3583.7158473899999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56</v>
      </c>
      <c r="R42" s="4">
        <v>0</v>
      </c>
      <c r="S42" s="6">
        <v>9</v>
      </c>
      <c r="T42" s="6">
        <v>0</v>
      </c>
      <c r="U42" s="6">
        <v>0</v>
      </c>
      <c r="V42" s="6">
        <f>IF(ISERROR(VLOOKUP($S$42,'TAR FIN'!$A$1:$O$92,15,0)),0,VLOOKUP($S$42,'TAR FIN'!$A$1:$O$92,15,0))</f>
        <v>29.39</v>
      </c>
      <c r="W42" s="6">
        <f>IF(ISERROR(VLOOKUP($T$42,'TAR FIN'!$A$1:$O$92,15,0)),0,VLOOKUP($T$42,'TAR FIN'!$A$1:$O$92,15,0))</f>
        <v>0</v>
      </c>
      <c r="X42" s="6">
        <f>IF(ISERROR(VLOOKUP($U$42,'TAR FIN'!$A$1:$O$92,15,0)),0,VLOOKUP($U$42,'TAR FIN'!$A$1:$O$92,15,0))</f>
        <v>0</v>
      </c>
      <c r="Y42" s="6">
        <f ca="1">('TUSD BE'!$AM$9+'TUSD BF_350'!$AM$9+'TUSD CVA'!$AM$9)*1</f>
        <v>32.35</v>
      </c>
      <c r="Z42" s="6">
        <f ca="1">('TUSD BE'!$AM$11+'TUSD BF_350'!$AM$11+'TUSD CVA'!$AM$11)*1</f>
        <v>126.25</v>
      </c>
      <c r="AA42" s="6"/>
      <c r="AB42" s="6">
        <f>$K$42*$V$42</f>
        <v>105325.40875479209</v>
      </c>
      <c r="AC42" s="6">
        <f>$M$42*$W$42</f>
        <v>0</v>
      </c>
      <c r="AD42" s="6">
        <f>$O$42*$X$42</f>
        <v>0</v>
      </c>
      <c r="AE42" s="6">
        <f ca="1">$K$42*$Y$42</f>
        <v>115933.2076630665</v>
      </c>
      <c r="AF42" s="6">
        <f ca="1">$M$42*$Z$42</f>
        <v>0</v>
      </c>
      <c r="AG42" s="6">
        <f>$O$42*$AA$42</f>
        <v>0</v>
      </c>
    </row>
    <row r="43" spans="1:33" ht="11.25" customHeight="1" x14ac:dyDescent="0.3">
      <c r="A43" s="4" t="s">
        <v>21</v>
      </c>
      <c r="B43" s="4" t="s">
        <v>34</v>
      </c>
      <c r="C43" s="4" t="s">
        <v>54</v>
      </c>
      <c r="D43" s="4" t="s">
        <v>33</v>
      </c>
      <c r="E43" s="4" t="s">
        <v>25</v>
      </c>
      <c r="F43" s="4" t="s">
        <v>55</v>
      </c>
      <c r="G43" s="4" t="s">
        <v>25</v>
      </c>
      <c r="H43" s="4" t="s">
        <v>36</v>
      </c>
      <c r="I43" s="5">
        <v>44562</v>
      </c>
      <c r="J43" s="6">
        <v>7150</v>
      </c>
      <c r="K43" s="6">
        <v>3595.9309815000001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56</v>
      </c>
      <c r="R43" s="4">
        <v>0</v>
      </c>
      <c r="S43" s="6">
        <v>9</v>
      </c>
      <c r="T43" s="6">
        <v>0</v>
      </c>
      <c r="U43" s="6">
        <v>0</v>
      </c>
      <c r="V43" s="6">
        <f>IF(ISERROR(VLOOKUP($S$43,'TAR FIN'!$A$1:$O$92,15,0)),0,VLOOKUP($S$43,'TAR FIN'!$A$1:$O$92,15,0))</f>
        <v>29.39</v>
      </c>
      <c r="W43" s="6">
        <f>IF(ISERROR(VLOOKUP($T$43,'TAR FIN'!$A$1:$O$92,15,0)),0,VLOOKUP($T$43,'TAR FIN'!$A$1:$O$92,15,0))</f>
        <v>0</v>
      </c>
      <c r="X43" s="6">
        <f>IF(ISERROR(VLOOKUP($U$43,'TAR FIN'!$A$1:$O$92,15,0)),0,VLOOKUP($U$43,'TAR FIN'!$A$1:$O$92,15,0))</f>
        <v>0</v>
      </c>
      <c r="Y43" s="6">
        <f ca="1">('TUSD BE'!$AM$9+'TUSD BF_350'!$AM$9+'TUSD CVA'!$AM$9)*1</f>
        <v>32.35</v>
      </c>
      <c r="Z43" s="6">
        <f ca="1">('TUSD BE'!$AM$11+'TUSD BF_350'!$AM$11+'TUSD CVA'!$AM$11)*1</f>
        <v>126.25</v>
      </c>
      <c r="AA43" s="6"/>
      <c r="AB43" s="6">
        <f>$K$43*$V$43</f>
        <v>105684.411546285</v>
      </c>
      <c r="AC43" s="6">
        <f>$M$43*$W$43</f>
        <v>0</v>
      </c>
      <c r="AD43" s="6">
        <f>$O$43*$X$43</f>
        <v>0</v>
      </c>
      <c r="AE43" s="6">
        <f ca="1">$K$43*$Y$43</f>
        <v>116328.36725152501</v>
      </c>
      <c r="AF43" s="6">
        <f ca="1">$M$43*$Z$43</f>
        <v>0</v>
      </c>
      <c r="AG43" s="6">
        <f>$O$43*$AA$43</f>
        <v>0</v>
      </c>
    </row>
    <row r="44" spans="1:33" ht="11.25" customHeight="1" x14ac:dyDescent="0.3">
      <c r="A44" s="4" t="s">
        <v>21</v>
      </c>
      <c r="B44" s="4" t="s">
        <v>34</v>
      </c>
      <c r="C44" s="4" t="s">
        <v>54</v>
      </c>
      <c r="D44" s="4" t="s">
        <v>33</v>
      </c>
      <c r="E44" s="4" t="s">
        <v>25</v>
      </c>
      <c r="F44" s="4" t="s">
        <v>55</v>
      </c>
      <c r="G44" s="4" t="s">
        <v>25</v>
      </c>
      <c r="H44" s="4" t="s">
        <v>36</v>
      </c>
      <c r="I44" s="5">
        <v>44593</v>
      </c>
      <c r="J44" s="6">
        <v>7149</v>
      </c>
      <c r="K44" s="6">
        <v>3576.6673623299998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56</v>
      </c>
      <c r="R44" s="4">
        <v>0</v>
      </c>
      <c r="S44" s="6">
        <v>9</v>
      </c>
      <c r="T44" s="6">
        <v>0</v>
      </c>
      <c r="U44" s="6">
        <v>0</v>
      </c>
      <c r="V44" s="6">
        <f>IF(ISERROR(VLOOKUP($S$44,'TAR FIN'!$A$1:$O$92,15,0)),0,VLOOKUP($S$44,'TAR FIN'!$A$1:$O$92,15,0))</f>
        <v>29.39</v>
      </c>
      <c r="W44" s="6">
        <f>IF(ISERROR(VLOOKUP($T$44,'TAR FIN'!$A$1:$O$92,15,0)),0,VLOOKUP($T$44,'TAR FIN'!$A$1:$O$92,15,0))</f>
        <v>0</v>
      </c>
      <c r="X44" s="6">
        <f>IF(ISERROR(VLOOKUP($U$44,'TAR FIN'!$A$1:$O$92,15,0)),0,VLOOKUP($U$44,'TAR FIN'!$A$1:$O$92,15,0))</f>
        <v>0</v>
      </c>
      <c r="Y44" s="6">
        <f ca="1">('TUSD BE'!$AM$9+'TUSD BF_350'!$AM$9+'TUSD CVA'!$AM$9)*1</f>
        <v>32.35</v>
      </c>
      <c r="Z44" s="6">
        <f ca="1">('TUSD BE'!$AM$11+'TUSD BF_350'!$AM$11+'TUSD CVA'!$AM$11)*1</f>
        <v>126.25</v>
      </c>
      <c r="AA44" s="6"/>
      <c r="AB44" s="6">
        <f>$K$44*$V$44</f>
        <v>105118.2537788787</v>
      </c>
      <c r="AC44" s="6">
        <f>$M$44*$W$44</f>
        <v>0</v>
      </c>
      <c r="AD44" s="6">
        <f>$O$44*$X$44</f>
        <v>0</v>
      </c>
      <c r="AE44" s="6">
        <f ca="1">$K$44*$Y$44</f>
        <v>115705.1891713755</v>
      </c>
      <c r="AF44" s="6">
        <f ca="1">$M$44*$Z$44</f>
        <v>0</v>
      </c>
      <c r="AG44" s="6">
        <f>$O$44*$AA$44</f>
        <v>0</v>
      </c>
    </row>
    <row r="45" spans="1:33" ht="11.25" customHeight="1" x14ac:dyDescent="0.3">
      <c r="A45" s="4" t="s">
        <v>21</v>
      </c>
      <c r="B45" s="4" t="s">
        <v>34</v>
      </c>
      <c r="C45" s="4" t="s">
        <v>54</v>
      </c>
      <c r="D45" s="4" t="s">
        <v>33</v>
      </c>
      <c r="E45" s="4" t="s">
        <v>25</v>
      </c>
      <c r="F45" s="4" t="s">
        <v>55</v>
      </c>
      <c r="G45" s="4" t="s">
        <v>25</v>
      </c>
      <c r="H45" s="4" t="s">
        <v>36</v>
      </c>
      <c r="I45" s="5">
        <v>44621</v>
      </c>
      <c r="J45" s="6">
        <v>6550</v>
      </c>
      <c r="K45" s="6">
        <v>3276.0449214999999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56</v>
      </c>
      <c r="R45" s="4">
        <v>0</v>
      </c>
      <c r="S45" s="6">
        <v>9</v>
      </c>
      <c r="T45" s="6">
        <v>0</v>
      </c>
      <c r="U45" s="6">
        <v>0</v>
      </c>
      <c r="V45" s="6">
        <f>IF(ISERROR(VLOOKUP($S$45,'TAR FIN'!$A$1:$O$92,15,0)),0,VLOOKUP($S$45,'TAR FIN'!$A$1:$O$92,15,0))</f>
        <v>29.39</v>
      </c>
      <c r="W45" s="6">
        <f>IF(ISERROR(VLOOKUP($T$45,'TAR FIN'!$A$1:$O$92,15,0)),0,VLOOKUP($T$45,'TAR FIN'!$A$1:$O$92,15,0))</f>
        <v>0</v>
      </c>
      <c r="X45" s="6">
        <f>IF(ISERROR(VLOOKUP($U$45,'TAR FIN'!$A$1:$O$92,15,0)),0,VLOOKUP($U$45,'TAR FIN'!$A$1:$O$92,15,0))</f>
        <v>0</v>
      </c>
      <c r="Y45" s="6">
        <f ca="1">('TUSD BE'!$AM$9+'TUSD BF_350'!$AM$9+'TUSD CVA'!$AM$9)*1</f>
        <v>32.35</v>
      </c>
      <c r="Z45" s="6">
        <f ca="1">('TUSD BE'!$AM$11+'TUSD BF_350'!$AM$11+'TUSD CVA'!$AM$11)*1</f>
        <v>126.25</v>
      </c>
      <c r="AA45" s="6"/>
      <c r="AB45" s="6">
        <f>$K$45*$V$45</f>
        <v>96282.960242885005</v>
      </c>
      <c r="AC45" s="6">
        <f>$M$45*$W$45</f>
        <v>0</v>
      </c>
      <c r="AD45" s="6">
        <f>$O$45*$X$45</f>
        <v>0</v>
      </c>
      <c r="AE45" s="6">
        <f ca="1">$K$45*$Y$45</f>
        <v>105980.053210525</v>
      </c>
      <c r="AF45" s="6">
        <f ca="1">$M$45*$Z$45</f>
        <v>0</v>
      </c>
      <c r="AG45" s="6">
        <f>$O$45*$AA$45</f>
        <v>0</v>
      </c>
    </row>
    <row r="46" spans="1:33" ht="11.25" customHeight="1" x14ac:dyDescent="0.3">
      <c r="A46" s="4" t="s">
        <v>21</v>
      </c>
      <c r="B46" s="4" t="s">
        <v>34</v>
      </c>
      <c r="C46" s="4" t="s">
        <v>54</v>
      </c>
      <c r="D46" s="4" t="s">
        <v>33</v>
      </c>
      <c r="E46" s="4" t="s">
        <v>25</v>
      </c>
      <c r="F46" s="4" t="s">
        <v>55</v>
      </c>
      <c r="G46" s="4" t="s">
        <v>25</v>
      </c>
      <c r="H46" s="4" t="s">
        <v>36</v>
      </c>
      <c r="I46" s="5">
        <v>44652</v>
      </c>
      <c r="J46" s="6">
        <v>6550</v>
      </c>
      <c r="K46" s="6">
        <v>3277.0388840000001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56</v>
      </c>
      <c r="R46" s="4">
        <v>0</v>
      </c>
      <c r="S46" s="6">
        <v>9</v>
      </c>
      <c r="T46" s="6">
        <v>0</v>
      </c>
      <c r="U46" s="6">
        <v>0</v>
      </c>
      <c r="V46" s="6">
        <f>IF(ISERROR(VLOOKUP($S$46,'TAR FIN'!$A$1:$O$92,15,0)),0,VLOOKUP($S$46,'TAR FIN'!$A$1:$O$92,15,0))</f>
        <v>29.39</v>
      </c>
      <c r="W46" s="6">
        <f>IF(ISERROR(VLOOKUP($T$46,'TAR FIN'!$A$1:$O$92,15,0)),0,VLOOKUP($T$46,'TAR FIN'!$A$1:$O$92,15,0))</f>
        <v>0</v>
      </c>
      <c r="X46" s="6">
        <f>IF(ISERROR(VLOOKUP($U$46,'TAR FIN'!$A$1:$O$92,15,0)),0,VLOOKUP($U$46,'TAR FIN'!$A$1:$O$92,15,0))</f>
        <v>0</v>
      </c>
      <c r="Y46" s="6">
        <f ca="1">('TUSD BE'!$AM$9+'TUSD BF_350'!$AM$9+'TUSD CVA'!$AM$9)*1</f>
        <v>32.35</v>
      </c>
      <c r="Z46" s="6">
        <f ca="1">('TUSD BE'!$AM$11+'TUSD BF_350'!$AM$11+'TUSD CVA'!$AM$11)*1</f>
        <v>126.25</v>
      </c>
      <c r="AA46" s="6"/>
      <c r="AB46" s="6">
        <f>$K$46*$V$46</f>
        <v>96312.172800760003</v>
      </c>
      <c r="AC46" s="6">
        <f>$M$46*$W$46</f>
        <v>0</v>
      </c>
      <c r="AD46" s="6">
        <f>$O$46*$X$46</f>
        <v>0</v>
      </c>
      <c r="AE46" s="6">
        <f ca="1">$K$46*$Y$46</f>
        <v>106012.2078974</v>
      </c>
      <c r="AF46" s="6">
        <f ca="1">$M$46*$Z$46</f>
        <v>0</v>
      </c>
      <c r="AG46" s="6">
        <f>$O$46*$AA$46</f>
        <v>0</v>
      </c>
    </row>
    <row r="47" spans="1:33" ht="11.25" customHeight="1" x14ac:dyDescent="0.3">
      <c r="A47" s="4" t="s">
        <v>21</v>
      </c>
      <c r="B47" s="4" t="s">
        <v>34</v>
      </c>
      <c r="C47" s="4" t="s">
        <v>54</v>
      </c>
      <c r="D47" s="4" t="s">
        <v>33</v>
      </c>
      <c r="E47" s="4" t="s">
        <v>25</v>
      </c>
      <c r="F47" s="4" t="s">
        <v>55</v>
      </c>
      <c r="G47" s="4" t="s">
        <v>25</v>
      </c>
      <c r="H47" s="4" t="s">
        <v>36</v>
      </c>
      <c r="I47" s="5">
        <v>44682</v>
      </c>
      <c r="J47" s="6">
        <v>3750</v>
      </c>
      <c r="K47" s="6">
        <v>1875.5648624999999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56</v>
      </c>
      <c r="R47" s="4">
        <v>0</v>
      </c>
      <c r="S47" s="6">
        <v>9</v>
      </c>
      <c r="T47" s="6">
        <v>0</v>
      </c>
      <c r="U47" s="6">
        <v>0</v>
      </c>
      <c r="V47" s="6">
        <f>IF(ISERROR(VLOOKUP($S$47,'TAR FIN'!$A$1:$O$92,15,0)),0,VLOOKUP($S$47,'TAR FIN'!$A$1:$O$92,15,0))</f>
        <v>29.39</v>
      </c>
      <c r="W47" s="6">
        <f>IF(ISERROR(VLOOKUP($T$47,'TAR FIN'!$A$1:$O$92,15,0)),0,VLOOKUP($T$47,'TAR FIN'!$A$1:$O$92,15,0))</f>
        <v>0</v>
      </c>
      <c r="X47" s="6">
        <f>IF(ISERROR(VLOOKUP($U$47,'TAR FIN'!$A$1:$O$92,15,0)),0,VLOOKUP($U$47,'TAR FIN'!$A$1:$O$92,15,0))</f>
        <v>0</v>
      </c>
      <c r="Y47" s="6">
        <f ca="1">('TUSD BE'!$AM$9+'TUSD BF_350'!$AM$9+'TUSD CVA'!$AM$9)*1</f>
        <v>32.35</v>
      </c>
      <c r="Z47" s="6">
        <f ca="1">('TUSD BE'!$AM$11+'TUSD BF_350'!$AM$11+'TUSD CVA'!$AM$11)*1</f>
        <v>126.25</v>
      </c>
      <c r="AA47" s="6"/>
      <c r="AB47" s="6">
        <f>$K$47*$V$47</f>
        <v>55122.851308874997</v>
      </c>
      <c r="AC47" s="6">
        <f>$M$47*$W$47</f>
        <v>0</v>
      </c>
      <c r="AD47" s="6">
        <f>$O$47*$X$47</f>
        <v>0</v>
      </c>
      <c r="AE47" s="6">
        <f ca="1">$K$47*$Y$47</f>
        <v>60674.523301875</v>
      </c>
      <c r="AF47" s="6">
        <f ca="1">$M$47*$Z$47</f>
        <v>0</v>
      </c>
      <c r="AG47" s="6">
        <f>$O$47*$AA$47</f>
        <v>0</v>
      </c>
    </row>
    <row r="48" spans="1:33" ht="11.25" customHeight="1" x14ac:dyDescent="0.3">
      <c r="A48" s="4" t="s">
        <v>21</v>
      </c>
      <c r="B48" s="4" t="s">
        <v>34</v>
      </c>
      <c r="C48" s="4" t="s">
        <v>54</v>
      </c>
      <c r="D48" s="4" t="s">
        <v>33</v>
      </c>
      <c r="E48" s="4" t="s">
        <v>25</v>
      </c>
      <c r="F48" s="4" t="s">
        <v>55</v>
      </c>
      <c r="G48" s="4" t="s">
        <v>25</v>
      </c>
      <c r="H48" s="4" t="s">
        <v>36</v>
      </c>
      <c r="I48" s="5">
        <v>44713</v>
      </c>
      <c r="J48" s="6">
        <v>3750</v>
      </c>
      <c r="K48" s="6">
        <v>1888.4784374999999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56</v>
      </c>
      <c r="R48" s="4">
        <v>0</v>
      </c>
      <c r="S48" s="6">
        <v>9</v>
      </c>
      <c r="T48" s="6">
        <v>0</v>
      </c>
      <c r="U48" s="6">
        <v>0</v>
      </c>
      <c r="V48" s="6">
        <f>IF(ISERROR(VLOOKUP($S$48,'TAR FIN'!$A$1:$O$92,15,0)),0,VLOOKUP($S$48,'TAR FIN'!$A$1:$O$92,15,0))</f>
        <v>29.39</v>
      </c>
      <c r="W48" s="6">
        <f>IF(ISERROR(VLOOKUP($T$48,'TAR FIN'!$A$1:$O$92,15,0)),0,VLOOKUP($T$48,'TAR FIN'!$A$1:$O$92,15,0))</f>
        <v>0</v>
      </c>
      <c r="X48" s="6">
        <f>IF(ISERROR(VLOOKUP($U$48,'TAR FIN'!$A$1:$O$92,15,0)),0,VLOOKUP($U$48,'TAR FIN'!$A$1:$O$92,15,0))</f>
        <v>0</v>
      </c>
      <c r="Y48" s="6">
        <f ca="1">('TUSD BE'!$AM$9+'TUSD BF_350'!$AM$9+'TUSD CVA'!$AM$9)*1</f>
        <v>32.35</v>
      </c>
      <c r="Z48" s="6">
        <f ca="1">('TUSD BE'!$AM$11+'TUSD BF_350'!$AM$11+'TUSD CVA'!$AM$11)*1</f>
        <v>126.25</v>
      </c>
      <c r="AA48" s="6"/>
      <c r="AB48" s="6">
        <f>$K$48*$V$48</f>
        <v>55502.381278125002</v>
      </c>
      <c r="AC48" s="6">
        <f>$M$48*$W$48</f>
        <v>0</v>
      </c>
      <c r="AD48" s="6">
        <f>$O$48*$X$48</f>
        <v>0</v>
      </c>
      <c r="AE48" s="6">
        <f ca="1">$K$48*$Y$48</f>
        <v>61092.277453125003</v>
      </c>
      <c r="AF48" s="6">
        <f ca="1">$M$48*$Z$48</f>
        <v>0</v>
      </c>
      <c r="AG48" s="6">
        <f>$O$48*$AA$48</f>
        <v>0</v>
      </c>
    </row>
    <row r="49" spans="1:33" ht="11.25" customHeight="1" x14ac:dyDescent="0.3">
      <c r="A49" s="4" t="s">
        <v>21</v>
      </c>
      <c r="B49" s="4" t="s">
        <v>34</v>
      </c>
      <c r="C49" s="4" t="s">
        <v>54</v>
      </c>
      <c r="D49" s="4" t="s">
        <v>33</v>
      </c>
      <c r="E49" s="4" t="s">
        <v>25</v>
      </c>
      <c r="F49" s="4" t="s">
        <v>55</v>
      </c>
      <c r="G49" s="4" t="s">
        <v>25</v>
      </c>
      <c r="H49" s="4" t="s">
        <v>36</v>
      </c>
      <c r="I49" s="5">
        <v>44743</v>
      </c>
      <c r="J49" s="6">
        <v>3750</v>
      </c>
      <c r="K49" s="6">
        <v>1891.9794374999999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56</v>
      </c>
      <c r="R49" s="4">
        <v>0</v>
      </c>
      <c r="S49" s="6">
        <v>9</v>
      </c>
      <c r="T49" s="6">
        <v>0</v>
      </c>
      <c r="U49" s="6">
        <v>0</v>
      </c>
      <c r="V49" s="6">
        <f>IF(ISERROR(VLOOKUP($S$49,'TAR FIN'!$A$1:$O$92,15,0)),0,VLOOKUP($S$49,'TAR FIN'!$A$1:$O$92,15,0))</f>
        <v>29.39</v>
      </c>
      <c r="W49" s="6">
        <f>IF(ISERROR(VLOOKUP($T$49,'TAR FIN'!$A$1:$O$92,15,0)),0,VLOOKUP($T$49,'TAR FIN'!$A$1:$O$92,15,0))</f>
        <v>0</v>
      </c>
      <c r="X49" s="6">
        <f>IF(ISERROR(VLOOKUP($U$49,'TAR FIN'!$A$1:$O$92,15,0)),0,VLOOKUP($U$49,'TAR FIN'!$A$1:$O$92,15,0))</f>
        <v>0</v>
      </c>
      <c r="Y49" s="6">
        <f ca="1">('TUSD BE'!$AM$9+'TUSD BF_350'!$AM$9+'TUSD CVA'!$AM$9)*1</f>
        <v>32.35</v>
      </c>
      <c r="Z49" s="6">
        <f ca="1">('TUSD BE'!$AM$11+'TUSD BF_350'!$AM$11+'TUSD CVA'!$AM$11)*1</f>
        <v>126.25</v>
      </c>
      <c r="AA49" s="6"/>
      <c r="AB49" s="6">
        <f>$K$49*$V$49</f>
        <v>55605.275668124996</v>
      </c>
      <c r="AC49" s="6">
        <f>$M$49*$W$49</f>
        <v>0</v>
      </c>
      <c r="AD49" s="6">
        <f>$O$49*$X$49</f>
        <v>0</v>
      </c>
      <c r="AE49" s="6">
        <f ca="1">$K$49*$Y$49</f>
        <v>61205.534803124996</v>
      </c>
      <c r="AF49" s="6">
        <f ca="1">$M$49*$Z$49</f>
        <v>0</v>
      </c>
      <c r="AG49" s="6">
        <f>$O$49*$AA$49</f>
        <v>0</v>
      </c>
    </row>
    <row r="50" spans="1:33" ht="11.25" customHeight="1" x14ac:dyDescent="0.3">
      <c r="A50" s="4" t="s">
        <v>21</v>
      </c>
      <c r="B50" s="4" t="s">
        <v>34</v>
      </c>
      <c r="C50" s="4" t="s">
        <v>57</v>
      </c>
      <c r="D50" s="4" t="s">
        <v>25</v>
      </c>
      <c r="E50" s="4" t="s">
        <v>25</v>
      </c>
      <c r="F50" s="4" t="s">
        <v>25</v>
      </c>
      <c r="G50" s="4" t="s">
        <v>58</v>
      </c>
      <c r="H50" s="4" t="s">
        <v>25</v>
      </c>
      <c r="I50" s="5">
        <v>44409</v>
      </c>
      <c r="J50" s="6">
        <v>1500</v>
      </c>
      <c r="K50" s="6">
        <v>750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4" t="s">
        <v>59</v>
      </c>
      <c r="R50" s="4">
        <v>28195</v>
      </c>
      <c r="S50" s="6">
        <v>17</v>
      </c>
      <c r="T50" s="6">
        <v>0</v>
      </c>
      <c r="U50" s="6">
        <v>0</v>
      </c>
      <c r="V50" s="6">
        <f>IF(ISERROR(VLOOKUP($S$50,'TAR FIN'!$A$1:$O$92,15,0)),0,VLOOKUP($S$50,'TAR FIN'!$A$1:$O$92,15,0))</f>
        <v>6.96</v>
      </c>
      <c r="W50" s="6">
        <f>IF(ISERROR(VLOOKUP($T$50,'TAR FIN'!$A$1:$O$92,15,0)),0,VLOOKUP($T$50,'TAR FIN'!$A$1:$O$92,15,0))</f>
        <v>0</v>
      </c>
      <c r="X50" s="6">
        <f>IF(ISERROR(VLOOKUP($U$50,'TAR FIN'!$A$1:$O$92,15,0)),0,VLOOKUP($U$50,'TAR FIN'!$A$1:$O$92,15,0))</f>
        <v>0</v>
      </c>
      <c r="Y50" s="6">
        <f ca="1">('TUSD BE'!$AM$13+'TUSD BF_350'!$AM$13+'TUSD CVA'!$AM$13)*1</f>
        <v>8.2896895560114423</v>
      </c>
      <c r="Z50" s="6"/>
      <c r="AA50" s="6"/>
      <c r="AB50" s="6">
        <f>$K$50*$V$50</f>
        <v>5220</v>
      </c>
      <c r="AC50" s="6">
        <f>$M$50*$W$50</f>
        <v>0</v>
      </c>
      <c r="AD50" s="6">
        <f>$O$50*$X$50</f>
        <v>0</v>
      </c>
      <c r="AE50" s="6">
        <f ca="1">$K$50*$Y$50</f>
        <v>6217.267167008582</v>
      </c>
      <c r="AF50" s="6">
        <f>$M$50*$Z$50</f>
        <v>0</v>
      </c>
      <c r="AG50" s="6">
        <f>$O$50*$AA$50</f>
        <v>0</v>
      </c>
    </row>
    <row r="51" spans="1:33" ht="11.25" customHeight="1" x14ac:dyDescent="0.3">
      <c r="A51" s="4" t="s">
        <v>21</v>
      </c>
      <c r="B51" s="4" t="s">
        <v>34</v>
      </c>
      <c r="C51" s="4" t="s">
        <v>57</v>
      </c>
      <c r="D51" s="4" t="s">
        <v>25</v>
      </c>
      <c r="E51" s="4" t="s">
        <v>25</v>
      </c>
      <c r="F51" s="4" t="s">
        <v>25</v>
      </c>
      <c r="G51" s="4" t="s">
        <v>60</v>
      </c>
      <c r="H51" s="4" t="s">
        <v>25</v>
      </c>
      <c r="I51" s="5">
        <v>44409</v>
      </c>
      <c r="J51" s="6">
        <v>1250</v>
      </c>
      <c r="K51" s="6">
        <v>625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4" t="s">
        <v>59</v>
      </c>
      <c r="R51" s="4">
        <v>29377</v>
      </c>
      <c r="S51" s="6">
        <v>17</v>
      </c>
      <c r="T51" s="6">
        <v>0</v>
      </c>
      <c r="U51" s="6">
        <v>0</v>
      </c>
      <c r="V51" s="6">
        <f>IF(ISERROR(VLOOKUP($S$51,'TAR FIN'!$A$1:$O$92,15,0)),0,VLOOKUP($S$51,'TAR FIN'!$A$1:$O$92,15,0))</f>
        <v>6.96</v>
      </c>
      <c r="W51" s="6">
        <f>IF(ISERROR(VLOOKUP($T$51,'TAR FIN'!$A$1:$O$92,15,0)),0,VLOOKUP($T$51,'TAR FIN'!$A$1:$O$92,15,0))</f>
        <v>0</v>
      </c>
      <c r="X51" s="6">
        <f>IF(ISERROR(VLOOKUP($U$51,'TAR FIN'!$A$1:$O$92,15,0)),0,VLOOKUP($U$51,'TAR FIN'!$A$1:$O$92,15,0))</f>
        <v>0</v>
      </c>
      <c r="Y51" s="6">
        <f ca="1">('TUSD BE'!$AM$13+'TUSD BF_350'!$AM$13+'TUSD CVA'!$AM$13)*1</f>
        <v>8.2896895560114423</v>
      </c>
      <c r="Z51" s="6"/>
      <c r="AA51" s="6"/>
      <c r="AB51" s="6">
        <f>$K$51*$V$51</f>
        <v>4350</v>
      </c>
      <c r="AC51" s="6">
        <f>$M$51*$W$51</f>
        <v>0</v>
      </c>
      <c r="AD51" s="6">
        <f>$O$51*$X$51</f>
        <v>0</v>
      </c>
      <c r="AE51" s="6">
        <f ca="1">$K$51*$Y$51</f>
        <v>5181.0559725071516</v>
      </c>
      <c r="AF51" s="6">
        <f>$M$51*$Z$51</f>
        <v>0</v>
      </c>
      <c r="AG51" s="6">
        <f>$O$51*$AA$51</f>
        <v>0</v>
      </c>
    </row>
    <row r="52" spans="1:33" ht="11.25" customHeight="1" x14ac:dyDescent="0.3">
      <c r="A52" s="4" t="s">
        <v>21</v>
      </c>
      <c r="B52" s="4" t="s">
        <v>34</v>
      </c>
      <c r="C52" s="4" t="s">
        <v>57</v>
      </c>
      <c r="D52" s="4" t="s">
        <v>25</v>
      </c>
      <c r="E52" s="4" t="s">
        <v>25</v>
      </c>
      <c r="F52" s="4" t="s">
        <v>25</v>
      </c>
      <c r="G52" s="4" t="s">
        <v>58</v>
      </c>
      <c r="H52" s="4" t="s">
        <v>25</v>
      </c>
      <c r="I52" s="5">
        <v>44440</v>
      </c>
      <c r="J52" s="6">
        <v>1500</v>
      </c>
      <c r="K52" s="6">
        <v>750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4" t="s">
        <v>59</v>
      </c>
      <c r="R52" s="4">
        <v>28195</v>
      </c>
      <c r="S52" s="6">
        <v>17</v>
      </c>
      <c r="T52" s="6">
        <v>0</v>
      </c>
      <c r="U52" s="6">
        <v>0</v>
      </c>
      <c r="V52" s="6">
        <f>IF(ISERROR(VLOOKUP($S$52,'TAR FIN'!$A$1:$O$92,15,0)),0,VLOOKUP($S$52,'TAR FIN'!$A$1:$O$92,15,0))</f>
        <v>6.96</v>
      </c>
      <c r="W52" s="6">
        <f>IF(ISERROR(VLOOKUP($T$52,'TAR FIN'!$A$1:$O$92,15,0)),0,VLOOKUP($T$52,'TAR FIN'!$A$1:$O$92,15,0))</f>
        <v>0</v>
      </c>
      <c r="X52" s="6">
        <f>IF(ISERROR(VLOOKUP($U$52,'TAR FIN'!$A$1:$O$92,15,0)),0,VLOOKUP($U$52,'TAR FIN'!$A$1:$O$92,15,0))</f>
        <v>0</v>
      </c>
      <c r="Y52" s="6">
        <f ca="1">('TUSD BE'!$AM$13+'TUSD BF_350'!$AM$13+'TUSD CVA'!$AM$13)*1</f>
        <v>8.2896895560114423</v>
      </c>
      <c r="Z52" s="6"/>
      <c r="AA52" s="6"/>
      <c r="AB52" s="6">
        <f>$K$52*$V$52</f>
        <v>5220</v>
      </c>
      <c r="AC52" s="6">
        <f>$M$52*$W$52</f>
        <v>0</v>
      </c>
      <c r="AD52" s="6">
        <f>$O$52*$X$52</f>
        <v>0</v>
      </c>
      <c r="AE52" s="6">
        <f ca="1">$K$52*$Y$52</f>
        <v>6217.267167008582</v>
      </c>
      <c r="AF52" s="6">
        <f>$M$52*$Z$52</f>
        <v>0</v>
      </c>
      <c r="AG52" s="6">
        <f>$O$52*$AA$52</f>
        <v>0</v>
      </c>
    </row>
    <row r="53" spans="1:33" ht="11.25" customHeight="1" x14ac:dyDescent="0.3">
      <c r="A53" s="4" t="s">
        <v>21</v>
      </c>
      <c r="B53" s="4" t="s">
        <v>34</v>
      </c>
      <c r="C53" s="4" t="s">
        <v>57</v>
      </c>
      <c r="D53" s="4" t="s">
        <v>25</v>
      </c>
      <c r="E53" s="4" t="s">
        <v>25</v>
      </c>
      <c r="F53" s="4" t="s">
        <v>25</v>
      </c>
      <c r="G53" s="4" t="s">
        <v>60</v>
      </c>
      <c r="H53" s="4" t="s">
        <v>25</v>
      </c>
      <c r="I53" s="5">
        <v>44440</v>
      </c>
      <c r="J53" s="6">
        <v>1250</v>
      </c>
      <c r="K53" s="6">
        <v>625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4" t="s">
        <v>59</v>
      </c>
      <c r="R53" s="4">
        <v>29377</v>
      </c>
      <c r="S53" s="6">
        <v>17</v>
      </c>
      <c r="T53" s="6">
        <v>0</v>
      </c>
      <c r="U53" s="6">
        <v>0</v>
      </c>
      <c r="V53" s="6">
        <f>IF(ISERROR(VLOOKUP($S$53,'TAR FIN'!$A$1:$O$92,15,0)),0,VLOOKUP($S$53,'TAR FIN'!$A$1:$O$92,15,0))</f>
        <v>6.96</v>
      </c>
      <c r="W53" s="6">
        <f>IF(ISERROR(VLOOKUP($T$53,'TAR FIN'!$A$1:$O$92,15,0)),0,VLOOKUP($T$53,'TAR FIN'!$A$1:$O$92,15,0))</f>
        <v>0</v>
      </c>
      <c r="X53" s="6">
        <f>IF(ISERROR(VLOOKUP($U$53,'TAR FIN'!$A$1:$O$92,15,0)),0,VLOOKUP($U$53,'TAR FIN'!$A$1:$O$92,15,0))</f>
        <v>0</v>
      </c>
      <c r="Y53" s="6">
        <f ca="1">('TUSD BE'!$AM$13+'TUSD BF_350'!$AM$13+'TUSD CVA'!$AM$13)*1</f>
        <v>8.2896895560114423</v>
      </c>
      <c r="Z53" s="6"/>
      <c r="AA53" s="6"/>
      <c r="AB53" s="6">
        <f>$K$53*$V$53</f>
        <v>4350</v>
      </c>
      <c r="AC53" s="6">
        <f>$M$53*$W$53</f>
        <v>0</v>
      </c>
      <c r="AD53" s="6">
        <f>$O$53*$X$53</f>
        <v>0</v>
      </c>
      <c r="AE53" s="6">
        <f ca="1">$K$53*$Y$53</f>
        <v>5181.0559725071516</v>
      </c>
      <c r="AF53" s="6">
        <f>$M$53*$Z$53</f>
        <v>0</v>
      </c>
      <c r="AG53" s="6">
        <f>$O$53*$AA$53</f>
        <v>0</v>
      </c>
    </row>
    <row r="54" spans="1:33" ht="11.25" customHeight="1" x14ac:dyDescent="0.3">
      <c r="A54" s="4" t="s">
        <v>21</v>
      </c>
      <c r="B54" s="4" t="s">
        <v>34</v>
      </c>
      <c r="C54" s="4" t="s">
        <v>57</v>
      </c>
      <c r="D54" s="4" t="s">
        <v>25</v>
      </c>
      <c r="E54" s="4" t="s">
        <v>25</v>
      </c>
      <c r="F54" s="4" t="s">
        <v>25</v>
      </c>
      <c r="G54" s="4" t="s">
        <v>58</v>
      </c>
      <c r="H54" s="4" t="s">
        <v>25</v>
      </c>
      <c r="I54" s="5">
        <v>44470</v>
      </c>
      <c r="J54" s="6">
        <v>1500</v>
      </c>
      <c r="K54" s="6">
        <v>750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4" t="s">
        <v>59</v>
      </c>
      <c r="R54" s="4">
        <v>28195</v>
      </c>
      <c r="S54" s="6">
        <v>17</v>
      </c>
      <c r="T54" s="6">
        <v>0</v>
      </c>
      <c r="U54" s="6">
        <v>0</v>
      </c>
      <c r="V54" s="6">
        <f>IF(ISERROR(VLOOKUP($S$54,'TAR FIN'!$A$1:$O$92,15,0)),0,VLOOKUP($S$54,'TAR FIN'!$A$1:$O$92,15,0))</f>
        <v>6.96</v>
      </c>
      <c r="W54" s="6">
        <f>IF(ISERROR(VLOOKUP($T$54,'TAR FIN'!$A$1:$O$92,15,0)),0,VLOOKUP($T$54,'TAR FIN'!$A$1:$O$92,15,0))</f>
        <v>0</v>
      </c>
      <c r="X54" s="6">
        <f>IF(ISERROR(VLOOKUP($U$54,'TAR FIN'!$A$1:$O$92,15,0)),0,VLOOKUP($U$54,'TAR FIN'!$A$1:$O$92,15,0))</f>
        <v>0</v>
      </c>
      <c r="Y54" s="6">
        <f ca="1">('TUSD BE'!$AM$13+'TUSD BF_350'!$AM$13+'TUSD CVA'!$AM$13)*1</f>
        <v>8.2896895560114423</v>
      </c>
      <c r="Z54" s="6"/>
      <c r="AA54" s="6"/>
      <c r="AB54" s="6">
        <f>$K$54*$V$54</f>
        <v>5220</v>
      </c>
      <c r="AC54" s="6">
        <f>$M$54*$W$54</f>
        <v>0</v>
      </c>
      <c r="AD54" s="6">
        <f>$O$54*$X$54</f>
        <v>0</v>
      </c>
      <c r="AE54" s="6">
        <f ca="1">$K$54*$Y$54</f>
        <v>6217.267167008582</v>
      </c>
      <c r="AF54" s="6">
        <f>$M$54*$Z$54</f>
        <v>0</v>
      </c>
      <c r="AG54" s="6">
        <f>$O$54*$AA$54</f>
        <v>0</v>
      </c>
    </row>
    <row r="55" spans="1:33" ht="11.25" customHeight="1" x14ac:dyDescent="0.3">
      <c r="A55" s="4" t="s">
        <v>21</v>
      </c>
      <c r="B55" s="4" t="s">
        <v>34</v>
      </c>
      <c r="C55" s="4" t="s">
        <v>57</v>
      </c>
      <c r="D55" s="4" t="s">
        <v>25</v>
      </c>
      <c r="E55" s="4" t="s">
        <v>25</v>
      </c>
      <c r="F55" s="4" t="s">
        <v>25</v>
      </c>
      <c r="G55" s="4" t="s">
        <v>60</v>
      </c>
      <c r="H55" s="4" t="s">
        <v>25</v>
      </c>
      <c r="I55" s="5">
        <v>44470</v>
      </c>
      <c r="J55" s="6">
        <v>1250</v>
      </c>
      <c r="K55" s="6">
        <v>625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4" t="s">
        <v>59</v>
      </c>
      <c r="R55" s="4">
        <v>29377</v>
      </c>
      <c r="S55" s="6">
        <v>17</v>
      </c>
      <c r="T55" s="6">
        <v>0</v>
      </c>
      <c r="U55" s="6">
        <v>0</v>
      </c>
      <c r="V55" s="6">
        <f>IF(ISERROR(VLOOKUP($S$55,'TAR FIN'!$A$1:$O$92,15,0)),0,VLOOKUP($S$55,'TAR FIN'!$A$1:$O$92,15,0))</f>
        <v>6.96</v>
      </c>
      <c r="W55" s="6">
        <f>IF(ISERROR(VLOOKUP($T$55,'TAR FIN'!$A$1:$O$92,15,0)),0,VLOOKUP($T$55,'TAR FIN'!$A$1:$O$92,15,0))</f>
        <v>0</v>
      </c>
      <c r="X55" s="6">
        <f>IF(ISERROR(VLOOKUP($U$55,'TAR FIN'!$A$1:$O$92,15,0)),0,VLOOKUP($U$55,'TAR FIN'!$A$1:$O$92,15,0))</f>
        <v>0</v>
      </c>
      <c r="Y55" s="6">
        <f ca="1">('TUSD BE'!$AM$13+'TUSD BF_350'!$AM$13+'TUSD CVA'!$AM$13)*1</f>
        <v>8.2896895560114423</v>
      </c>
      <c r="Z55" s="6"/>
      <c r="AA55" s="6"/>
      <c r="AB55" s="6">
        <f>$K$55*$V$55</f>
        <v>4350</v>
      </c>
      <c r="AC55" s="6">
        <f>$M$55*$W$55</f>
        <v>0</v>
      </c>
      <c r="AD55" s="6">
        <f>$O$55*$X$55</f>
        <v>0</v>
      </c>
      <c r="AE55" s="6">
        <f ca="1">$K$55*$Y$55</f>
        <v>5181.0559725071516</v>
      </c>
      <c r="AF55" s="6">
        <f>$M$55*$Z$55</f>
        <v>0</v>
      </c>
      <c r="AG55" s="6">
        <f>$O$55*$AA$55</f>
        <v>0</v>
      </c>
    </row>
    <row r="56" spans="1:33" ht="11.25" customHeight="1" x14ac:dyDescent="0.3">
      <c r="A56" s="4" t="s">
        <v>21</v>
      </c>
      <c r="B56" s="4" t="s">
        <v>34</v>
      </c>
      <c r="C56" s="4" t="s">
        <v>57</v>
      </c>
      <c r="D56" s="4" t="s">
        <v>25</v>
      </c>
      <c r="E56" s="4" t="s">
        <v>25</v>
      </c>
      <c r="F56" s="4" t="s">
        <v>25</v>
      </c>
      <c r="G56" s="4" t="s">
        <v>58</v>
      </c>
      <c r="H56" s="4" t="s">
        <v>25</v>
      </c>
      <c r="I56" s="5">
        <v>44501</v>
      </c>
      <c r="J56" s="6">
        <v>1500</v>
      </c>
      <c r="K56" s="6">
        <v>750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4" t="s">
        <v>59</v>
      </c>
      <c r="R56" s="4">
        <v>28195</v>
      </c>
      <c r="S56" s="6">
        <v>17</v>
      </c>
      <c r="T56" s="6">
        <v>0</v>
      </c>
      <c r="U56" s="6">
        <v>0</v>
      </c>
      <c r="V56" s="6">
        <f>IF(ISERROR(VLOOKUP($S$56,'TAR FIN'!$A$1:$O$92,15,0)),0,VLOOKUP($S$56,'TAR FIN'!$A$1:$O$92,15,0))</f>
        <v>6.96</v>
      </c>
      <c r="W56" s="6">
        <f>IF(ISERROR(VLOOKUP($T$56,'TAR FIN'!$A$1:$O$92,15,0)),0,VLOOKUP($T$56,'TAR FIN'!$A$1:$O$92,15,0))</f>
        <v>0</v>
      </c>
      <c r="X56" s="6">
        <f>IF(ISERROR(VLOOKUP($U$56,'TAR FIN'!$A$1:$O$92,15,0)),0,VLOOKUP($U$56,'TAR FIN'!$A$1:$O$92,15,0))</f>
        <v>0</v>
      </c>
      <c r="Y56" s="6">
        <f ca="1">('TUSD BE'!$AM$13+'TUSD BF_350'!$AM$13+'TUSD CVA'!$AM$13)*1</f>
        <v>8.2896895560114423</v>
      </c>
      <c r="Z56" s="6"/>
      <c r="AA56" s="6"/>
      <c r="AB56" s="6">
        <f>$K$56*$V$56</f>
        <v>5220</v>
      </c>
      <c r="AC56" s="6">
        <f>$M$56*$W$56</f>
        <v>0</v>
      </c>
      <c r="AD56" s="6">
        <f>$O$56*$X$56</f>
        <v>0</v>
      </c>
      <c r="AE56" s="6">
        <f ca="1">$K$56*$Y$56</f>
        <v>6217.267167008582</v>
      </c>
      <c r="AF56" s="6">
        <f>$M$56*$Z$56</f>
        <v>0</v>
      </c>
      <c r="AG56" s="6">
        <f>$O$56*$AA$56</f>
        <v>0</v>
      </c>
    </row>
    <row r="57" spans="1:33" ht="11.25" customHeight="1" x14ac:dyDescent="0.3">
      <c r="A57" s="4" t="s">
        <v>21</v>
      </c>
      <c r="B57" s="4" t="s">
        <v>34</v>
      </c>
      <c r="C57" s="4" t="s">
        <v>57</v>
      </c>
      <c r="D57" s="4" t="s">
        <v>25</v>
      </c>
      <c r="E57" s="4" t="s">
        <v>25</v>
      </c>
      <c r="F57" s="4" t="s">
        <v>25</v>
      </c>
      <c r="G57" s="4" t="s">
        <v>60</v>
      </c>
      <c r="H57" s="4" t="s">
        <v>25</v>
      </c>
      <c r="I57" s="5">
        <v>44501</v>
      </c>
      <c r="J57" s="6">
        <v>1250</v>
      </c>
      <c r="K57" s="6">
        <v>625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4" t="s">
        <v>59</v>
      </c>
      <c r="R57" s="4">
        <v>29377</v>
      </c>
      <c r="S57" s="6">
        <v>17</v>
      </c>
      <c r="T57" s="6">
        <v>0</v>
      </c>
      <c r="U57" s="6">
        <v>0</v>
      </c>
      <c r="V57" s="6">
        <f>IF(ISERROR(VLOOKUP($S$57,'TAR FIN'!$A$1:$O$92,15,0)),0,VLOOKUP($S$57,'TAR FIN'!$A$1:$O$92,15,0))</f>
        <v>6.96</v>
      </c>
      <c r="W57" s="6">
        <f>IF(ISERROR(VLOOKUP($T$57,'TAR FIN'!$A$1:$O$92,15,0)),0,VLOOKUP($T$57,'TAR FIN'!$A$1:$O$92,15,0))</f>
        <v>0</v>
      </c>
      <c r="X57" s="6">
        <f>IF(ISERROR(VLOOKUP($U$57,'TAR FIN'!$A$1:$O$92,15,0)),0,VLOOKUP($U$57,'TAR FIN'!$A$1:$O$92,15,0))</f>
        <v>0</v>
      </c>
      <c r="Y57" s="6">
        <f ca="1">('TUSD BE'!$AM$13+'TUSD BF_350'!$AM$13+'TUSD CVA'!$AM$13)*1</f>
        <v>8.2896895560114423</v>
      </c>
      <c r="Z57" s="6"/>
      <c r="AA57" s="6"/>
      <c r="AB57" s="6">
        <f>$K$57*$V$57</f>
        <v>4350</v>
      </c>
      <c r="AC57" s="6">
        <f>$M$57*$W$57</f>
        <v>0</v>
      </c>
      <c r="AD57" s="6">
        <f>$O$57*$X$57</f>
        <v>0</v>
      </c>
      <c r="AE57" s="6">
        <f ca="1">$K$57*$Y$57</f>
        <v>5181.0559725071516</v>
      </c>
      <c r="AF57" s="6">
        <f>$M$57*$Z$57</f>
        <v>0</v>
      </c>
      <c r="AG57" s="6">
        <f>$O$57*$AA$57</f>
        <v>0</v>
      </c>
    </row>
    <row r="58" spans="1:33" ht="11.25" customHeight="1" x14ac:dyDescent="0.3">
      <c r="A58" s="4" t="s">
        <v>21</v>
      </c>
      <c r="B58" s="4" t="s">
        <v>34</v>
      </c>
      <c r="C58" s="4" t="s">
        <v>57</v>
      </c>
      <c r="D58" s="4" t="s">
        <v>25</v>
      </c>
      <c r="E58" s="4" t="s">
        <v>25</v>
      </c>
      <c r="F58" s="4" t="s">
        <v>25</v>
      </c>
      <c r="G58" s="4" t="s">
        <v>58</v>
      </c>
      <c r="H58" s="4" t="s">
        <v>25</v>
      </c>
      <c r="I58" s="5">
        <v>44531</v>
      </c>
      <c r="J58" s="6">
        <v>1500</v>
      </c>
      <c r="K58" s="6">
        <v>750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4" t="s">
        <v>59</v>
      </c>
      <c r="R58" s="4">
        <v>28195</v>
      </c>
      <c r="S58" s="6">
        <v>17</v>
      </c>
      <c r="T58" s="6">
        <v>0</v>
      </c>
      <c r="U58" s="6">
        <v>0</v>
      </c>
      <c r="V58" s="6">
        <f>IF(ISERROR(VLOOKUP($S$58,'TAR FIN'!$A$1:$O$92,15,0)),0,VLOOKUP($S$58,'TAR FIN'!$A$1:$O$92,15,0))</f>
        <v>6.96</v>
      </c>
      <c r="W58" s="6">
        <f>IF(ISERROR(VLOOKUP($T$58,'TAR FIN'!$A$1:$O$92,15,0)),0,VLOOKUP($T$58,'TAR FIN'!$A$1:$O$92,15,0))</f>
        <v>0</v>
      </c>
      <c r="X58" s="6">
        <f>IF(ISERROR(VLOOKUP($U$58,'TAR FIN'!$A$1:$O$92,15,0)),0,VLOOKUP($U$58,'TAR FIN'!$A$1:$O$92,15,0))</f>
        <v>0</v>
      </c>
      <c r="Y58" s="6">
        <f ca="1">('TUSD BE'!$AM$13+'TUSD BF_350'!$AM$13+'TUSD CVA'!$AM$13)*1</f>
        <v>8.2896895560114423</v>
      </c>
      <c r="Z58" s="6"/>
      <c r="AA58" s="6"/>
      <c r="AB58" s="6">
        <f>$K$58*$V$58</f>
        <v>5220</v>
      </c>
      <c r="AC58" s="6">
        <f>$M$58*$W$58</f>
        <v>0</v>
      </c>
      <c r="AD58" s="6">
        <f>$O$58*$X$58</f>
        <v>0</v>
      </c>
      <c r="AE58" s="6">
        <f ca="1">$K$58*$Y$58</f>
        <v>6217.267167008582</v>
      </c>
      <c r="AF58" s="6">
        <f>$M$58*$Z$58</f>
        <v>0</v>
      </c>
      <c r="AG58" s="6">
        <f>$O$58*$AA$58</f>
        <v>0</v>
      </c>
    </row>
    <row r="59" spans="1:33" ht="11.25" customHeight="1" x14ac:dyDescent="0.3">
      <c r="A59" s="4" t="s">
        <v>21</v>
      </c>
      <c r="B59" s="4" t="s">
        <v>34</v>
      </c>
      <c r="C59" s="4" t="s">
        <v>57</v>
      </c>
      <c r="D59" s="4" t="s">
        <v>25</v>
      </c>
      <c r="E59" s="4" t="s">
        <v>25</v>
      </c>
      <c r="F59" s="4" t="s">
        <v>25</v>
      </c>
      <c r="G59" s="4" t="s">
        <v>60</v>
      </c>
      <c r="H59" s="4" t="s">
        <v>25</v>
      </c>
      <c r="I59" s="5">
        <v>44531</v>
      </c>
      <c r="J59" s="6">
        <v>1250</v>
      </c>
      <c r="K59" s="6">
        <v>625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4" t="s">
        <v>59</v>
      </c>
      <c r="R59" s="4">
        <v>29377</v>
      </c>
      <c r="S59" s="6">
        <v>17</v>
      </c>
      <c r="T59" s="6">
        <v>0</v>
      </c>
      <c r="U59" s="6">
        <v>0</v>
      </c>
      <c r="V59" s="6">
        <f>IF(ISERROR(VLOOKUP($S$59,'TAR FIN'!$A$1:$O$92,15,0)),0,VLOOKUP($S$59,'TAR FIN'!$A$1:$O$92,15,0))</f>
        <v>6.96</v>
      </c>
      <c r="W59" s="6">
        <f>IF(ISERROR(VLOOKUP($T$59,'TAR FIN'!$A$1:$O$92,15,0)),0,VLOOKUP($T$59,'TAR FIN'!$A$1:$O$92,15,0))</f>
        <v>0</v>
      </c>
      <c r="X59" s="6">
        <f>IF(ISERROR(VLOOKUP($U$59,'TAR FIN'!$A$1:$O$92,15,0)),0,VLOOKUP($U$59,'TAR FIN'!$A$1:$O$92,15,0))</f>
        <v>0</v>
      </c>
      <c r="Y59" s="6">
        <f ca="1">('TUSD BE'!$AM$13+'TUSD BF_350'!$AM$13+'TUSD CVA'!$AM$13)*1</f>
        <v>8.2896895560114423</v>
      </c>
      <c r="Z59" s="6"/>
      <c r="AA59" s="6"/>
      <c r="AB59" s="6">
        <f>$K$59*$V$59</f>
        <v>4350</v>
      </c>
      <c r="AC59" s="6">
        <f>$M$59*$W$59</f>
        <v>0</v>
      </c>
      <c r="AD59" s="6">
        <f>$O$59*$X$59</f>
        <v>0</v>
      </c>
      <c r="AE59" s="6">
        <f ca="1">$K$59*$Y$59</f>
        <v>5181.0559725071516</v>
      </c>
      <c r="AF59" s="6">
        <f>$M$59*$Z$59</f>
        <v>0</v>
      </c>
      <c r="AG59" s="6">
        <f>$O$59*$AA$59</f>
        <v>0</v>
      </c>
    </row>
    <row r="60" spans="1:33" ht="11.25" customHeight="1" x14ac:dyDescent="0.3">
      <c r="A60" s="4" t="s">
        <v>21</v>
      </c>
      <c r="B60" s="4" t="s">
        <v>34</v>
      </c>
      <c r="C60" s="4" t="s">
        <v>57</v>
      </c>
      <c r="D60" s="4" t="s">
        <v>25</v>
      </c>
      <c r="E60" s="4" t="s">
        <v>25</v>
      </c>
      <c r="F60" s="4" t="s">
        <v>25</v>
      </c>
      <c r="G60" s="4" t="s">
        <v>58</v>
      </c>
      <c r="H60" s="4" t="s">
        <v>25</v>
      </c>
      <c r="I60" s="5">
        <v>44562</v>
      </c>
      <c r="J60" s="6">
        <v>1500</v>
      </c>
      <c r="K60" s="6">
        <v>750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4" t="s">
        <v>59</v>
      </c>
      <c r="R60" s="4">
        <v>28195</v>
      </c>
      <c r="S60" s="6">
        <v>17</v>
      </c>
      <c r="T60" s="6">
        <v>0</v>
      </c>
      <c r="U60" s="6">
        <v>0</v>
      </c>
      <c r="V60" s="6">
        <f>IF(ISERROR(VLOOKUP($S$60,'TAR FIN'!$A$1:$O$92,15,0)),0,VLOOKUP($S$60,'TAR FIN'!$A$1:$O$92,15,0))</f>
        <v>6.96</v>
      </c>
      <c r="W60" s="6">
        <f>IF(ISERROR(VLOOKUP($T$60,'TAR FIN'!$A$1:$O$92,15,0)),0,VLOOKUP($T$60,'TAR FIN'!$A$1:$O$92,15,0))</f>
        <v>0</v>
      </c>
      <c r="X60" s="6">
        <f>IF(ISERROR(VLOOKUP($U$60,'TAR FIN'!$A$1:$O$92,15,0)),0,VLOOKUP($U$60,'TAR FIN'!$A$1:$O$92,15,0))</f>
        <v>0</v>
      </c>
      <c r="Y60" s="6">
        <f ca="1">('TUSD BE'!$AM$13+'TUSD BF_350'!$AM$13+'TUSD CVA'!$AM$13)*1</f>
        <v>8.2896895560114423</v>
      </c>
      <c r="Z60" s="6"/>
      <c r="AA60" s="6"/>
      <c r="AB60" s="6">
        <f>$K$60*$V$60</f>
        <v>5220</v>
      </c>
      <c r="AC60" s="6">
        <f>$M$60*$W$60</f>
        <v>0</v>
      </c>
      <c r="AD60" s="6">
        <f>$O$60*$X$60</f>
        <v>0</v>
      </c>
      <c r="AE60" s="6">
        <f ca="1">$K$60*$Y$60</f>
        <v>6217.267167008582</v>
      </c>
      <c r="AF60" s="6">
        <f>$M$60*$Z$60</f>
        <v>0</v>
      </c>
      <c r="AG60" s="6">
        <f>$O$60*$AA$60</f>
        <v>0</v>
      </c>
    </row>
    <row r="61" spans="1:33" ht="11.25" customHeight="1" x14ac:dyDescent="0.3">
      <c r="A61" s="4" t="s">
        <v>21</v>
      </c>
      <c r="B61" s="4" t="s">
        <v>34</v>
      </c>
      <c r="C61" s="4" t="s">
        <v>57</v>
      </c>
      <c r="D61" s="4" t="s">
        <v>25</v>
      </c>
      <c r="E61" s="4" t="s">
        <v>25</v>
      </c>
      <c r="F61" s="4" t="s">
        <v>25</v>
      </c>
      <c r="G61" s="4" t="s">
        <v>60</v>
      </c>
      <c r="H61" s="4" t="s">
        <v>25</v>
      </c>
      <c r="I61" s="5">
        <v>44562</v>
      </c>
      <c r="J61" s="6">
        <v>1250</v>
      </c>
      <c r="K61" s="6">
        <v>625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4" t="s">
        <v>59</v>
      </c>
      <c r="R61" s="4">
        <v>29377</v>
      </c>
      <c r="S61" s="6">
        <v>17</v>
      </c>
      <c r="T61" s="6">
        <v>0</v>
      </c>
      <c r="U61" s="6">
        <v>0</v>
      </c>
      <c r="V61" s="6">
        <f>IF(ISERROR(VLOOKUP($S$61,'TAR FIN'!$A$1:$O$92,15,0)),0,VLOOKUP($S$61,'TAR FIN'!$A$1:$O$92,15,0))</f>
        <v>6.96</v>
      </c>
      <c r="W61" s="6">
        <f>IF(ISERROR(VLOOKUP($T$61,'TAR FIN'!$A$1:$O$92,15,0)),0,VLOOKUP($T$61,'TAR FIN'!$A$1:$O$92,15,0))</f>
        <v>0</v>
      </c>
      <c r="X61" s="6">
        <f>IF(ISERROR(VLOOKUP($U$61,'TAR FIN'!$A$1:$O$92,15,0)),0,VLOOKUP($U$61,'TAR FIN'!$A$1:$O$92,15,0))</f>
        <v>0</v>
      </c>
      <c r="Y61" s="6">
        <f ca="1">('TUSD BE'!$AM$13+'TUSD BF_350'!$AM$13+'TUSD CVA'!$AM$13)*1</f>
        <v>8.2896895560114423</v>
      </c>
      <c r="Z61" s="6"/>
      <c r="AA61" s="6"/>
      <c r="AB61" s="6">
        <f>$K$61*$V$61</f>
        <v>4350</v>
      </c>
      <c r="AC61" s="6">
        <f>$M$61*$W$61</f>
        <v>0</v>
      </c>
      <c r="AD61" s="6">
        <f>$O$61*$X$61</f>
        <v>0</v>
      </c>
      <c r="AE61" s="6">
        <f ca="1">$K$61*$Y$61</f>
        <v>5181.0559725071516</v>
      </c>
      <c r="AF61" s="6">
        <f>$M$61*$Z$61</f>
        <v>0</v>
      </c>
      <c r="AG61" s="6">
        <f>$O$61*$AA$61</f>
        <v>0</v>
      </c>
    </row>
    <row r="62" spans="1:33" ht="11.25" customHeight="1" x14ac:dyDescent="0.3">
      <c r="A62" s="4" t="s">
        <v>21</v>
      </c>
      <c r="B62" s="4" t="s">
        <v>34</v>
      </c>
      <c r="C62" s="4" t="s">
        <v>57</v>
      </c>
      <c r="D62" s="4" t="s">
        <v>25</v>
      </c>
      <c r="E62" s="4" t="s">
        <v>25</v>
      </c>
      <c r="F62" s="4" t="s">
        <v>25</v>
      </c>
      <c r="G62" s="4" t="s">
        <v>58</v>
      </c>
      <c r="H62" s="4" t="s">
        <v>25</v>
      </c>
      <c r="I62" s="5">
        <v>44593</v>
      </c>
      <c r="J62" s="6">
        <v>1500</v>
      </c>
      <c r="K62" s="6">
        <v>750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59</v>
      </c>
      <c r="R62" s="4">
        <v>28195</v>
      </c>
      <c r="S62" s="6">
        <v>17</v>
      </c>
      <c r="T62" s="6">
        <v>0</v>
      </c>
      <c r="U62" s="6">
        <v>0</v>
      </c>
      <c r="V62" s="6">
        <f>IF(ISERROR(VLOOKUP($S$62,'TAR FIN'!$A$1:$O$92,15,0)),0,VLOOKUP($S$62,'TAR FIN'!$A$1:$O$92,15,0))</f>
        <v>6.96</v>
      </c>
      <c r="W62" s="6">
        <f>IF(ISERROR(VLOOKUP($T$62,'TAR FIN'!$A$1:$O$92,15,0)),0,VLOOKUP($T$62,'TAR FIN'!$A$1:$O$92,15,0))</f>
        <v>0</v>
      </c>
      <c r="X62" s="6">
        <f>IF(ISERROR(VLOOKUP($U$62,'TAR FIN'!$A$1:$O$92,15,0)),0,VLOOKUP($U$62,'TAR FIN'!$A$1:$O$92,15,0))</f>
        <v>0</v>
      </c>
      <c r="Y62" s="6">
        <f ca="1">('TUSD BE'!$AM$13+'TUSD BF_350'!$AM$13+'TUSD CVA'!$AM$13)*1</f>
        <v>8.2896895560114423</v>
      </c>
      <c r="Z62" s="6"/>
      <c r="AA62" s="6"/>
      <c r="AB62" s="6">
        <f>$K$62*$V$62</f>
        <v>5220</v>
      </c>
      <c r="AC62" s="6">
        <f>$M$62*$W$62</f>
        <v>0</v>
      </c>
      <c r="AD62" s="6">
        <f>$O$62*$X$62</f>
        <v>0</v>
      </c>
      <c r="AE62" s="6">
        <f ca="1">$K$62*$Y$62</f>
        <v>6217.267167008582</v>
      </c>
      <c r="AF62" s="6">
        <f>$M$62*$Z$62</f>
        <v>0</v>
      </c>
      <c r="AG62" s="6">
        <f>$O$62*$AA$62</f>
        <v>0</v>
      </c>
    </row>
    <row r="63" spans="1:33" ht="11.25" customHeight="1" x14ac:dyDescent="0.3">
      <c r="A63" s="4" t="s">
        <v>21</v>
      </c>
      <c r="B63" s="4" t="s">
        <v>34</v>
      </c>
      <c r="C63" s="4" t="s">
        <v>57</v>
      </c>
      <c r="D63" s="4" t="s">
        <v>25</v>
      </c>
      <c r="E63" s="4" t="s">
        <v>25</v>
      </c>
      <c r="F63" s="4" t="s">
        <v>25</v>
      </c>
      <c r="G63" s="4" t="s">
        <v>60</v>
      </c>
      <c r="H63" s="4" t="s">
        <v>25</v>
      </c>
      <c r="I63" s="5">
        <v>44593</v>
      </c>
      <c r="J63" s="6">
        <v>1250</v>
      </c>
      <c r="K63" s="6">
        <v>625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59</v>
      </c>
      <c r="R63" s="4">
        <v>29377</v>
      </c>
      <c r="S63" s="6">
        <v>17</v>
      </c>
      <c r="T63" s="6">
        <v>0</v>
      </c>
      <c r="U63" s="6">
        <v>0</v>
      </c>
      <c r="V63" s="6">
        <f>IF(ISERROR(VLOOKUP($S$63,'TAR FIN'!$A$1:$O$92,15,0)),0,VLOOKUP($S$63,'TAR FIN'!$A$1:$O$92,15,0))</f>
        <v>6.96</v>
      </c>
      <c r="W63" s="6">
        <f>IF(ISERROR(VLOOKUP($T$63,'TAR FIN'!$A$1:$O$92,15,0)),0,VLOOKUP($T$63,'TAR FIN'!$A$1:$O$92,15,0))</f>
        <v>0</v>
      </c>
      <c r="X63" s="6">
        <f>IF(ISERROR(VLOOKUP($U$63,'TAR FIN'!$A$1:$O$92,15,0)),0,VLOOKUP($U$63,'TAR FIN'!$A$1:$O$92,15,0))</f>
        <v>0</v>
      </c>
      <c r="Y63" s="6">
        <f ca="1">('TUSD BE'!$AM$13+'TUSD BF_350'!$AM$13+'TUSD CVA'!$AM$13)*1</f>
        <v>8.2896895560114423</v>
      </c>
      <c r="Z63" s="6"/>
      <c r="AA63" s="6"/>
      <c r="AB63" s="6">
        <f>$K$63*$V$63</f>
        <v>4350</v>
      </c>
      <c r="AC63" s="6">
        <f>$M$63*$W$63</f>
        <v>0</v>
      </c>
      <c r="AD63" s="6">
        <f>$O$63*$X$63</f>
        <v>0</v>
      </c>
      <c r="AE63" s="6">
        <f ca="1">$K$63*$Y$63</f>
        <v>5181.0559725071516</v>
      </c>
      <c r="AF63" s="6">
        <f>$M$63*$Z$63</f>
        <v>0</v>
      </c>
      <c r="AG63" s="6">
        <f>$O$63*$AA$63</f>
        <v>0</v>
      </c>
    </row>
    <row r="64" spans="1:33" ht="11.25" customHeight="1" x14ac:dyDescent="0.3">
      <c r="A64" s="4" t="s">
        <v>21</v>
      </c>
      <c r="B64" s="4" t="s">
        <v>34</v>
      </c>
      <c r="C64" s="4" t="s">
        <v>57</v>
      </c>
      <c r="D64" s="4" t="s">
        <v>25</v>
      </c>
      <c r="E64" s="4" t="s">
        <v>25</v>
      </c>
      <c r="F64" s="4" t="s">
        <v>25</v>
      </c>
      <c r="G64" s="4" t="s">
        <v>58</v>
      </c>
      <c r="H64" s="4" t="s">
        <v>25</v>
      </c>
      <c r="I64" s="5">
        <v>44621</v>
      </c>
      <c r="J64" s="6">
        <v>1500</v>
      </c>
      <c r="K64" s="6">
        <v>750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59</v>
      </c>
      <c r="R64" s="4">
        <v>28195</v>
      </c>
      <c r="S64" s="6">
        <v>17</v>
      </c>
      <c r="T64" s="6">
        <v>0</v>
      </c>
      <c r="U64" s="6">
        <v>0</v>
      </c>
      <c r="V64" s="6">
        <f>IF(ISERROR(VLOOKUP($S$64,'TAR FIN'!$A$1:$O$92,15,0)),0,VLOOKUP($S$64,'TAR FIN'!$A$1:$O$92,15,0))</f>
        <v>6.96</v>
      </c>
      <c r="W64" s="6">
        <f>IF(ISERROR(VLOOKUP($T$64,'TAR FIN'!$A$1:$O$92,15,0)),0,VLOOKUP($T$64,'TAR FIN'!$A$1:$O$92,15,0))</f>
        <v>0</v>
      </c>
      <c r="X64" s="6">
        <f>IF(ISERROR(VLOOKUP($U$64,'TAR FIN'!$A$1:$O$92,15,0)),0,VLOOKUP($U$64,'TAR FIN'!$A$1:$O$92,15,0))</f>
        <v>0</v>
      </c>
      <c r="Y64" s="6">
        <f ca="1">('TUSD BE'!$AM$13+'TUSD BF_350'!$AM$13+'TUSD CVA'!$AM$13)*1</f>
        <v>8.2896895560114423</v>
      </c>
      <c r="Z64" s="6"/>
      <c r="AA64" s="6"/>
      <c r="AB64" s="6">
        <f>$K$64*$V$64</f>
        <v>5220</v>
      </c>
      <c r="AC64" s="6">
        <f>$M$64*$W$64</f>
        <v>0</v>
      </c>
      <c r="AD64" s="6">
        <f>$O$64*$X$64</f>
        <v>0</v>
      </c>
      <c r="AE64" s="6">
        <f ca="1">$K$64*$Y$64</f>
        <v>6217.267167008582</v>
      </c>
      <c r="AF64" s="6">
        <f>$M$64*$Z$64</f>
        <v>0</v>
      </c>
      <c r="AG64" s="6">
        <f>$O$64*$AA$64</f>
        <v>0</v>
      </c>
    </row>
    <row r="65" spans="1:33" ht="11.25" customHeight="1" x14ac:dyDescent="0.3">
      <c r="A65" s="4" t="s">
        <v>21</v>
      </c>
      <c r="B65" s="4" t="s">
        <v>34</v>
      </c>
      <c r="C65" s="4" t="s">
        <v>57</v>
      </c>
      <c r="D65" s="4" t="s">
        <v>25</v>
      </c>
      <c r="E65" s="4" t="s">
        <v>25</v>
      </c>
      <c r="F65" s="4" t="s">
        <v>25</v>
      </c>
      <c r="G65" s="4" t="s">
        <v>60</v>
      </c>
      <c r="H65" s="4" t="s">
        <v>25</v>
      </c>
      <c r="I65" s="5">
        <v>44621</v>
      </c>
      <c r="J65" s="6">
        <v>1250</v>
      </c>
      <c r="K65" s="6">
        <v>625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59</v>
      </c>
      <c r="R65" s="4">
        <v>29377</v>
      </c>
      <c r="S65" s="6">
        <v>17</v>
      </c>
      <c r="T65" s="6">
        <v>0</v>
      </c>
      <c r="U65" s="6">
        <v>0</v>
      </c>
      <c r="V65" s="6">
        <f>IF(ISERROR(VLOOKUP($S$65,'TAR FIN'!$A$1:$O$92,15,0)),0,VLOOKUP($S$65,'TAR FIN'!$A$1:$O$92,15,0))</f>
        <v>6.96</v>
      </c>
      <c r="W65" s="6">
        <f>IF(ISERROR(VLOOKUP($T$65,'TAR FIN'!$A$1:$O$92,15,0)),0,VLOOKUP($T$65,'TAR FIN'!$A$1:$O$92,15,0))</f>
        <v>0</v>
      </c>
      <c r="X65" s="6">
        <f>IF(ISERROR(VLOOKUP($U$65,'TAR FIN'!$A$1:$O$92,15,0)),0,VLOOKUP($U$65,'TAR FIN'!$A$1:$O$92,15,0))</f>
        <v>0</v>
      </c>
      <c r="Y65" s="6">
        <f ca="1">('TUSD BE'!$AM$13+'TUSD BF_350'!$AM$13+'TUSD CVA'!$AM$13)*1</f>
        <v>8.2896895560114423</v>
      </c>
      <c r="Z65" s="6"/>
      <c r="AA65" s="6"/>
      <c r="AB65" s="6">
        <f>$K$65*$V$65</f>
        <v>4350</v>
      </c>
      <c r="AC65" s="6">
        <f>$M$65*$W$65</f>
        <v>0</v>
      </c>
      <c r="AD65" s="6">
        <f>$O$65*$X$65</f>
        <v>0</v>
      </c>
      <c r="AE65" s="6">
        <f ca="1">$K$65*$Y$65</f>
        <v>5181.0559725071516</v>
      </c>
      <c r="AF65" s="6">
        <f>$M$65*$Z$65</f>
        <v>0</v>
      </c>
      <c r="AG65" s="6">
        <f>$O$65*$AA$65</f>
        <v>0</v>
      </c>
    </row>
    <row r="66" spans="1:33" ht="11.25" customHeight="1" x14ac:dyDescent="0.3">
      <c r="A66" s="4" t="s">
        <v>21</v>
      </c>
      <c r="B66" s="4" t="s">
        <v>34</v>
      </c>
      <c r="C66" s="4" t="s">
        <v>57</v>
      </c>
      <c r="D66" s="4" t="s">
        <v>25</v>
      </c>
      <c r="E66" s="4" t="s">
        <v>25</v>
      </c>
      <c r="F66" s="4" t="s">
        <v>25</v>
      </c>
      <c r="G66" s="4" t="s">
        <v>58</v>
      </c>
      <c r="H66" s="4" t="s">
        <v>25</v>
      </c>
      <c r="I66" s="5">
        <v>44652</v>
      </c>
      <c r="J66" s="6">
        <v>1500</v>
      </c>
      <c r="K66" s="6">
        <v>750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59</v>
      </c>
      <c r="R66" s="4">
        <v>28195</v>
      </c>
      <c r="S66" s="6">
        <v>17</v>
      </c>
      <c r="T66" s="6">
        <v>0</v>
      </c>
      <c r="U66" s="6">
        <v>0</v>
      </c>
      <c r="V66" s="6">
        <f>IF(ISERROR(VLOOKUP($S$66,'TAR FIN'!$A$1:$O$92,15,0)),0,VLOOKUP($S$66,'TAR FIN'!$A$1:$O$92,15,0))</f>
        <v>6.96</v>
      </c>
      <c r="W66" s="6">
        <f>IF(ISERROR(VLOOKUP($T$66,'TAR FIN'!$A$1:$O$92,15,0)),0,VLOOKUP($T$66,'TAR FIN'!$A$1:$O$92,15,0))</f>
        <v>0</v>
      </c>
      <c r="X66" s="6">
        <f>IF(ISERROR(VLOOKUP($U$66,'TAR FIN'!$A$1:$O$92,15,0)),0,VLOOKUP($U$66,'TAR FIN'!$A$1:$O$92,15,0))</f>
        <v>0</v>
      </c>
      <c r="Y66" s="6">
        <f ca="1">('TUSD BE'!$AM$13+'TUSD BF_350'!$AM$13+'TUSD CVA'!$AM$13)*1</f>
        <v>8.2896895560114423</v>
      </c>
      <c r="Z66" s="6"/>
      <c r="AA66" s="6"/>
      <c r="AB66" s="6">
        <f>$K$66*$V$66</f>
        <v>5220</v>
      </c>
      <c r="AC66" s="6">
        <f>$M$66*$W$66</f>
        <v>0</v>
      </c>
      <c r="AD66" s="6">
        <f>$O$66*$X$66</f>
        <v>0</v>
      </c>
      <c r="AE66" s="6">
        <f ca="1">$K$66*$Y$66</f>
        <v>6217.267167008582</v>
      </c>
      <c r="AF66" s="6">
        <f>$M$66*$Z$66</f>
        <v>0</v>
      </c>
      <c r="AG66" s="6">
        <f>$O$66*$AA$66</f>
        <v>0</v>
      </c>
    </row>
    <row r="67" spans="1:33" ht="11.25" customHeight="1" x14ac:dyDescent="0.3">
      <c r="A67" s="4" t="s">
        <v>21</v>
      </c>
      <c r="B67" s="4" t="s">
        <v>34</v>
      </c>
      <c r="C67" s="4" t="s">
        <v>57</v>
      </c>
      <c r="D67" s="4" t="s">
        <v>25</v>
      </c>
      <c r="E67" s="4" t="s">
        <v>25</v>
      </c>
      <c r="F67" s="4" t="s">
        <v>25</v>
      </c>
      <c r="G67" s="4" t="s">
        <v>60</v>
      </c>
      <c r="H67" s="4" t="s">
        <v>25</v>
      </c>
      <c r="I67" s="5">
        <v>44652</v>
      </c>
      <c r="J67" s="6">
        <v>1250</v>
      </c>
      <c r="K67" s="6">
        <v>625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59</v>
      </c>
      <c r="R67" s="4">
        <v>29377</v>
      </c>
      <c r="S67" s="6">
        <v>17</v>
      </c>
      <c r="T67" s="6">
        <v>0</v>
      </c>
      <c r="U67" s="6">
        <v>0</v>
      </c>
      <c r="V67" s="6">
        <f>IF(ISERROR(VLOOKUP($S$67,'TAR FIN'!$A$1:$O$92,15,0)),0,VLOOKUP($S$67,'TAR FIN'!$A$1:$O$92,15,0))</f>
        <v>6.96</v>
      </c>
      <c r="W67" s="6">
        <f>IF(ISERROR(VLOOKUP($T$67,'TAR FIN'!$A$1:$O$92,15,0)),0,VLOOKUP($T$67,'TAR FIN'!$A$1:$O$92,15,0))</f>
        <v>0</v>
      </c>
      <c r="X67" s="6">
        <f>IF(ISERROR(VLOOKUP($U$67,'TAR FIN'!$A$1:$O$92,15,0)),0,VLOOKUP($U$67,'TAR FIN'!$A$1:$O$92,15,0))</f>
        <v>0</v>
      </c>
      <c r="Y67" s="6">
        <f ca="1">('TUSD BE'!$AM$13+'TUSD BF_350'!$AM$13+'TUSD CVA'!$AM$13)*1</f>
        <v>8.2896895560114423</v>
      </c>
      <c r="Z67" s="6"/>
      <c r="AA67" s="6"/>
      <c r="AB67" s="6">
        <f>$K$67*$V$67</f>
        <v>4350</v>
      </c>
      <c r="AC67" s="6">
        <f>$M$67*$W$67</f>
        <v>0</v>
      </c>
      <c r="AD67" s="6">
        <f>$O$67*$X$67</f>
        <v>0</v>
      </c>
      <c r="AE67" s="6">
        <f ca="1">$K$67*$Y$67</f>
        <v>5181.0559725071516</v>
      </c>
      <c r="AF67" s="6">
        <f>$M$67*$Z$67</f>
        <v>0</v>
      </c>
      <c r="AG67" s="6">
        <f>$O$67*$AA$67</f>
        <v>0</v>
      </c>
    </row>
    <row r="68" spans="1:33" ht="11.25" customHeight="1" x14ac:dyDescent="0.3">
      <c r="A68" s="4" t="s">
        <v>21</v>
      </c>
      <c r="B68" s="4" t="s">
        <v>34</v>
      </c>
      <c r="C68" s="4" t="s">
        <v>57</v>
      </c>
      <c r="D68" s="4" t="s">
        <v>25</v>
      </c>
      <c r="E68" s="4" t="s">
        <v>25</v>
      </c>
      <c r="F68" s="4" t="s">
        <v>25</v>
      </c>
      <c r="G68" s="4" t="s">
        <v>58</v>
      </c>
      <c r="H68" s="4" t="s">
        <v>25</v>
      </c>
      <c r="I68" s="5">
        <v>44682</v>
      </c>
      <c r="J68" s="6">
        <v>1500</v>
      </c>
      <c r="K68" s="6">
        <v>750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59</v>
      </c>
      <c r="R68" s="4">
        <v>28195</v>
      </c>
      <c r="S68" s="6">
        <v>17</v>
      </c>
      <c r="T68" s="6">
        <v>0</v>
      </c>
      <c r="U68" s="6">
        <v>0</v>
      </c>
      <c r="V68" s="6">
        <f>IF(ISERROR(VLOOKUP($S$68,'TAR FIN'!$A$1:$O$92,15,0)),0,VLOOKUP($S$68,'TAR FIN'!$A$1:$O$92,15,0))</f>
        <v>6.96</v>
      </c>
      <c r="W68" s="6">
        <f>IF(ISERROR(VLOOKUP($T$68,'TAR FIN'!$A$1:$O$92,15,0)),0,VLOOKUP($T$68,'TAR FIN'!$A$1:$O$92,15,0))</f>
        <v>0</v>
      </c>
      <c r="X68" s="6">
        <f>IF(ISERROR(VLOOKUP($U$68,'TAR FIN'!$A$1:$O$92,15,0)),0,VLOOKUP($U$68,'TAR FIN'!$A$1:$O$92,15,0))</f>
        <v>0</v>
      </c>
      <c r="Y68" s="6">
        <f ca="1">('TUSD BE'!$AM$13+'TUSD BF_350'!$AM$13+'TUSD CVA'!$AM$13)*1</f>
        <v>8.2896895560114423</v>
      </c>
      <c r="Z68" s="6"/>
      <c r="AA68" s="6"/>
      <c r="AB68" s="6">
        <f>$K$68*$V$68</f>
        <v>5220</v>
      </c>
      <c r="AC68" s="6">
        <f>$M$68*$W$68</f>
        <v>0</v>
      </c>
      <c r="AD68" s="6">
        <f>$O$68*$X$68</f>
        <v>0</v>
      </c>
      <c r="AE68" s="6">
        <f ca="1">$K$68*$Y$68</f>
        <v>6217.267167008582</v>
      </c>
      <c r="AF68" s="6">
        <f>$M$68*$Z$68</f>
        <v>0</v>
      </c>
      <c r="AG68" s="6">
        <f>$O$68*$AA$68</f>
        <v>0</v>
      </c>
    </row>
    <row r="69" spans="1:33" ht="11.25" customHeight="1" x14ac:dyDescent="0.3">
      <c r="A69" s="4" t="s">
        <v>21</v>
      </c>
      <c r="B69" s="4" t="s">
        <v>34</v>
      </c>
      <c r="C69" s="4" t="s">
        <v>57</v>
      </c>
      <c r="D69" s="4" t="s">
        <v>25</v>
      </c>
      <c r="E69" s="4" t="s">
        <v>25</v>
      </c>
      <c r="F69" s="4" t="s">
        <v>25</v>
      </c>
      <c r="G69" s="4" t="s">
        <v>60</v>
      </c>
      <c r="H69" s="4" t="s">
        <v>25</v>
      </c>
      <c r="I69" s="5">
        <v>44682</v>
      </c>
      <c r="J69" s="6">
        <v>1250</v>
      </c>
      <c r="K69" s="6">
        <v>625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59</v>
      </c>
      <c r="R69" s="4">
        <v>29377</v>
      </c>
      <c r="S69" s="6">
        <v>17</v>
      </c>
      <c r="T69" s="6">
        <v>0</v>
      </c>
      <c r="U69" s="6">
        <v>0</v>
      </c>
      <c r="V69" s="6">
        <f>IF(ISERROR(VLOOKUP($S$69,'TAR FIN'!$A$1:$O$92,15,0)),0,VLOOKUP($S$69,'TAR FIN'!$A$1:$O$92,15,0))</f>
        <v>6.96</v>
      </c>
      <c r="W69" s="6">
        <f>IF(ISERROR(VLOOKUP($T$69,'TAR FIN'!$A$1:$O$92,15,0)),0,VLOOKUP($T$69,'TAR FIN'!$A$1:$O$92,15,0))</f>
        <v>0</v>
      </c>
      <c r="X69" s="6">
        <f>IF(ISERROR(VLOOKUP($U$69,'TAR FIN'!$A$1:$O$92,15,0)),0,VLOOKUP($U$69,'TAR FIN'!$A$1:$O$92,15,0))</f>
        <v>0</v>
      </c>
      <c r="Y69" s="6">
        <f ca="1">('TUSD BE'!$AM$13+'TUSD BF_350'!$AM$13+'TUSD CVA'!$AM$13)*1</f>
        <v>8.2896895560114423</v>
      </c>
      <c r="Z69" s="6"/>
      <c r="AA69" s="6"/>
      <c r="AB69" s="6">
        <f>$K$69*$V$69</f>
        <v>4350</v>
      </c>
      <c r="AC69" s="6">
        <f>$M$69*$W$69</f>
        <v>0</v>
      </c>
      <c r="AD69" s="6">
        <f>$O$69*$X$69</f>
        <v>0</v>
      </c>
      <c r="AE69" s="6">
        <f ca="1">$K$69*$Y$69</f>
        <v>5181.0559725071516</v>
      </c>
      <c r="AF69" s="6">
        <f>$M$69*$Z$69</f>
        <v>0</v>
      </c>
      <c r="AG69" s="6">
        <f>$O$69*$AA$69</f>
        <v>0</v>
      </c>
    </row>
    <row r="70" spans="1:33" ht="11.25" customHeight="1" x14ac:dyDescent="0.3">
      <c r="A70" s="4" t="s">
        <v>21</v>
      </c>
      <c r="B70" s="4" t="s">
        <v>34</v>
      </c>
      <c r="C70" s="4" t="s">
        <v>57</v>
      </c>
      <c r="D70" s="4" t="s">
        <v>25</v>
      </c>
      <c r="E70" s="4" t="s">
        <v>25</v>
      </c>
      <c r="F70" s="4" t="s">
        <v>25</v>
      </c>
      <c r="G70" s="4" t="s">
        <v>58</v>
      </c>
      <c r="H70" s="4" t="s">
        <v>25</v>
      </c>
      <c r="I70" s="5">
        <v>44713</v>
      </c>
      <c r="J70" s="6">
        <v>1500</v>
      </c>
      <c r="K70" s="6">
        <v>750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59</v>
      </c>
      <c r="R70" s="4">
        <v>28195</v>
      </c>
      <c r="S70" s="6">
        <v>17</v>
      </c>
      <c r="T70" s="6">
        <v>0</v>
      </c>
      <c r="U70" s="6">
        <v>0</v>
      </c>
      <c r="V70" s="6">
        <f>IF(ISERROR(VLOOKUP($S$70,'TAR FIN'!$A$1:$O$92,15,0)),0,VLOOKUP($S$70,'TAR FIN'!$A$1:$O$92,15,0))</f>
        <v>6.96</v>
      </c>
      <c r="W70" s="6">
        <f>IF(ISERROR(VLOOKUP($T$70,'TAR FIN'!$A$1:$O$92,15,0)),0,VLOOKUP($T$70,'TAR FIN'!$A$1:$O$92,15,0))</f>
        <v>0</v>
      </c>
      <c r="X70" s="6">
        <f>IF(ISERROR(VLOOKUP($U$70,'TAR FIN'!$A$1:$O$92,15,0)),0,VLOOKUP($U$70,'TAR FIN'!$A$1:$O$92,15,0))</f>
        <v>0</v>
      </c>
      <c r="Y70" s="6">
        <f ca="1">('TUSD BE'!$AM$13+'TUSD BF_350'!$AM$13+'TUSD CVA'!$AM$13)*1</f>
        <v>8.2896895560114423</v>
      </c>
      <c r="Z70" s="6"/>
      <c r="AA70" s="6"/>
      <c r="AB70" s="6">
        <f>$K$70*$V$70</f>
        <v>5220</v>
      </c>
      <c r="AC70" s="6">
        <f>$M$70*$W$70</f>
        <v>0</v>
      </c>
      <c r="AD70" s="6">
        <f>$O$70*$X$70</f>
        <v>0</v>
      </c>
      <c r="AE70" s="6">
        <f ca="1">$K$70*$Y$70</f>
        <v>6217.267167008582</v>
      </c>
      <c r="AF70" s="6">
        <f>$M$70*$Z$70</f>
        <v>0</v>
      </c>
      <c r="AG70" s="6">
        <f>$O$70*$AA$70</f>
        <v>0</v>
      </c>
    </row>
    <row r="71" spans="1:33" ht="11.25" customHeight="1" x14ac:dyDescent="0.3">
      <c r="A71" s="4" t="s">
        <v>21</v>
      </c>
      <c r="B71" s="4" t="s">
        <v>34</v>
      </c>
      <c r="C71" s="4" t="s">
        <v>57</v>
      </c>
      <c r="D71" s="4" t="s">
        <v>25</v>
      </c>
      <c r="E71" s="4" t="s">
        <v>25</v>
      </c>
      <c r="F71" s="4" t="s">
        <v>25</v>
      </c>
      <c r="G71" s="4" t="s">
        <v>60</v>
      </c>
      <c r="H71" s="4" t="s">
        <v>25</v>
      </c>
      <c r="I71" s="5">
        <v>44713</v>
      </c>
      <c r="J71" s="6">
        <v>1250</v>
      </c>
      <c r="K71" s="6">
        <v>625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59</v>
      </c>
      <c r="R71" s="4">
        <v>29377</v>
      </c>
      <c r="S71" s="6">
        <v>17</v>
      </c>
      <c r="T71" s="6">
        <v>0</v>
      </c>
      <c r="U71" s="6">
        <v>0</v>
      </c>
      <c r="V71" s="6">
        <f>IF(ISERROR(VLOOKUP($S$71,'TAR FIN'!$A$1:$O$92,15,0)),0,VLOOKUP($S$71,'TAR FIN'!$A$1:$O$92,15,0))</f>
        <v>6.96</v>
      </c>
      <c r="W71" s="6">
        <f>IF(ISERROR(VLOOKUP($T$71,'TAR FIN'!$A$1:$O$92,15,0)),0,VLOOKUP($T$71,'TAR FIN'!$A$1:$O$92,15,0))</f>
        <v>0</v>
      </c>
      <c r="X71" s="6">
        <f>IF(ISERROR(VLOOKUP($U$71,'TAR FIN'!$A$1:$O$92,15,0)),0,VLOOKUP($U$71,'TAR FIN'!$A$1:$O$92,15,0))</f>
        <v>0</v>
      </c>
      <c r="Y71" s="6">
        <f ca="1">('TUSD BE'!$AM$13+'TUSD BF_350'!$AM$13+'TUSD CVA'!$AM$13)*1</f>
        <v>8.2896895560114423</v>
      </c>
      <c r="Z71" s="6"/>
      <c r="AA71" s="6"/>
      <c r="AB71" s="6">
        <f>$K$71*$V$71</f>
        <v>4350</v>
      </c>
      <c r="AC71" s="6">
        <f>$M$71*$W$71</f>
        <v>0</v>
      </c>
      <c r="AD71" s="6">
        <f>$O$71*$X$71</f>
        <v>0</v>
      </c>
      <c r="AE71" s="6">
        <f ca="1">$K$71*$Y$71</f>
        <v>5181.0559725071516</v>
      </c>
      <c r="AF71" s="6">
        <f>$M$71*$Z$71</f>
        <v>0</v>
      </c>
      <c r="AG71" s="6">
        <f>$O$71*$AA$71</f>
        <v>0</v>
      </c>
    </row>
    <row r="72" spans="1:33" ht="11.25" customHeight="1" x14ac:dyDescent="0.3">
      <c r="A72" s="4" t="s">
        <v>21</v>
      </c>
      <c r="B72" s="4" t="s">
        <v>34</v>
      </c>
      <c r="C72" s="4" t="s">
        <v>57</v>
      </c>
      <c r="D72" s="4" t="s">
        <v>25</v>
      </c>
      <c r="E72" s="4" t="s">
        <v>25</v>
      </c>
      <c r="F72" s="4" t="s">
        <v>25</v>
      </c>
      <c r="G72" s="4" t="s">
        <v>58</v>
      </c>
      <c r="H72" s="4" t="s">
        <v>25</v>
      </c>
      <c r="I72" s="5">
        <v>44743</v>
      </c>
      <c r="J72" s="6">
        <v>1500</v>
      </c>
      <c r="K72" s="6">
        <v>750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59</v>
      </c>
      <c r="R72" s="4">
        <v>28195</v>
      </c>
      <c r="S72" s="6">
        <v>17</v>
      </c>
      <c r="T72" s="6">
        <v>0</v>
      </c>
      <c r="U72" s="6">
        <v>0</v>
      </c>
      <c r="V72" s="6">
        <f>IF(ISERROR(VLOOKUP($S$72,'TAR FIN'!$A$1:$O$92,15,0)),0,VLOOKUP($S$72,'TAR FIN'!$A$1:$O$92,15,0))</f>
        <v>6.96</v>
      </c>
      <c r="W72" s="6">
        <f>IF(ISERROR(VLOOKUP($T$72,'TAR FIN'!$A$1:$O$92,15,0)),0,VLOOKUP($T$72,'TAR FIN'!$A$1:$O$92,15,0))</f>
        <v>0</v>
      </c>
      <c r="X72" s="6">
        <f>IF(ISERROR(VLOOKUP($U$72,'TAR FIN'!$A$1:$O$92,15,0)),0,VLOOKUP($U$72,'TAR FIN'!$A$1:$O$92,15,0))</f>
        <v>0</v>
      </c>
      <c r="Y72" s="6">
        <f ca="1">('TUSD BE'!$AM$13+'TUSD BF_350'!$AM$13+'TUSD CVA'!$AM$13)*1</f>
        <v>8.2896895560114423</v>
      </c>
      <c r="Z72" s="6"/>
      <c r="AA72" s="6"/>
      <c r="AB72" s="6">
        <f>$K$72*$V$72</f>
        <v>5220</v>
      </c>
      <c r="AC72" s="6">
        <f>$M$72*$W$72</f>
        <v>0</v>
      </c>
      <c r="AD72" s="6">
        <f>$O$72*$X$72</f>
        <v>0</v>
      </c>
      <c r="AE72" s="6">
        <f ca="1">$K$72*$Y$72</f>
        <v>6217.267167008582</v>
      </c>
      <c r="AF72" s="6">
        <f>$M$72*$Z$72</f>
        <v>0</v>
      </c>
      <c r="AG72" s="6">
        <f>$O$72*$AA$72</f>
        <v>0</v>
      </c>
    </row>
    <row r="73" spans="1:33" ht="11.25" customHeight="1" x14ac:dyDescent="0.3">
      <c r="A73" s="4" t="s">
        <v>21</v>
      </c>
      <c r="B73" s="4" t="s">
        <v>34</v>
      </c>
      <c r="C73" s="4" t="s">
        <v>57</v>
      </c>
      <c r="D73" s="4" t="s">
        <v>25</v>
      </c>
      <c r="E73" s="4" t="s">
        <v>25</v>
      </c>
      <c r="F73" s="4" t="s">
        <v>25</v>
      </c>
      <c r="G73" s="4" t="s">
        <v>60</v>
      </c>
      <c r="H73" s="4" t="s">
        <v>25</v>
      </c>
      <c r="I73" s="5">
        <v>44743</v>
      </c>
      <c r="J73" s="6">
        <v>1250</v>
      </c>
      <c r="K73" s="6">
        <v>625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59</v>
      </c>
      <c r="R73" s="4">
        <v>29377</v>
      </c>
      <c r="S73" s="6">
        <v>17</v>
      </c>
      <c r="T73" s="6">
        <v>0</v>
      </c>
      <c r="U73" s="6">
        <v>0</v>
      </c>
      <c r="V73" s="6">
        <f>IF(ISERROR(VLOOKUP($S$73,'TAR FIN'!$A$1:$O$92,15,0)),0,VLOOKUP($S$73,'TAR FIN'!$A$1:$O$92,15,0))</f>
        <v>6.96</v>
      </c>
      <c r="W73" s="6">
        <f>IF(ISERROR(VLOOKUP($T$73,'TAR FIN'!$A$1:$O$92,15,0)),0,VLOOKUP($T$73,'TAR FIN'!$A$1:$O$92,15,0))</f>
        <v>0</v>
      </c>
      <c r="X73" s="6">
        <f>IF(ISERROR(VLOOKUP($U$73,'TAR FIN'!$A$1:$O$92,15,0)),0,VLOOKUP($U$73,'TAR FIN'!$A$1:$O$92,15,0))</f>
        <v>0</v>
      </c>
      <c r="Y73" s="6">
        <f ca="1">('TUSD BE'!$AM$13+'TUSD BF_350'!$AM$13+'TUSD CVA'!$AM$13)*1</f>
        <v>8.2896895560114423</v>
      </c>
      <c r="Z73" s="6"/>
      <c r="AA73" s="6"/>
      <c r="AB73" s="6">
        <f>$K$73*$V$73</f>
        <v>4350</v>
      </c>
      <c r="AC73" s="6">
        <f>$M$73*$W$73</f>
        <v>0</v>
      </c>
      <c r="AD73" s="6">
        <f>$O$73*$X$73</f>
        <v>0</v>
      </c>
      <c r="AE73" s="6">
        <f ca="1">$K$73*$Y$73</f>
        <v>5181.0559725071516</v>
      </c>
      <c r="AF73" s="6">
        <f>$M$73*$Z$73</f>
        <v>0</v>
      </c>
      <c r="AG73" s="6">
        <f>$O$73*$AA$73</f>
        <v>0</v>
      </c>
    </row>
    <row r="74" spans="1:33" ht="11.25" customHeight="1" x14ac:dyDescent="0.3">
      <c r="A74" s="4" t="s">
        <v>21</v>
      </c>
      <c r="B74" s="4" t="s">
        <v>34</v>
      </c>
      <c r="C74" s="4" t="s">
        <v>35</v>
      </c>
      <c r="D74" s="4" t="s">
        <v>40</v>
      </c>
      <c r="E74" s="4" t="s">
        <v>25</v>
      </c>
      <c r="F74" s="4" t="s">
        <v>25</v>
      </c>
      <c r="G74" s="4" t="s">
        <v>25</v>
      </c>
      <c r="H74" s="4" t="s">
        <v>37</v>
      </c>
      <c r="I74" s="5">
        <v>44409</v>
      </c>
      <c r="J74" s="6">
        <v>0</v>
      </c>
      <c r="K74" s="6">
        <v>0</v>
      </c>
      <c r="L74" s="6">
        <v>41.445</v>
      </c>
      <c r="M74" s="6">
        <v>41.445</v>
      </c>
      <c r="N74" s="6">
        <v>41.445</v>
      </c>
      <c r="O74" s="6">
        <v>41.445</v>
      </c>
      <c r="P74" s="6">
        <v>0</v>
      </c>
      <c r="Q74" s="4" t="s">
        <v>26</v>
      </c>
      <c r="R74" s="4">
        <v>0</v>
      </c>
      <c r="S74" s="6">
        <v>0</v>
      </c>
      <c r="T74" s="6">
        <v>22</v>
      </c>
      <c r="U74" s="6">
        <v>84</v>
      </c>
      <c r="V74" s="6">
        <f>IF(ISERROR(VLOOKUP($S$74,'TAR FIN'!$A$1:$O$92,15,0)),0,VLOOKUP($S$74,'TAR FIN'!$A$1:$O$92,15,0))</f>
        <v>0</v>
      </c>
      <c r="W74" s="6">
        <f>IF(ISERROR(VLOOKUP($T$74,'TAR FIN'!$A$1:$O$92,15,0)),0,VLOOKUP($T$74,'TAR FIN'!$A$1:$O$92,15,0))</f>
        <v>73.28</v>
      </c>
      <c r="X74" s="6">
        <f>IF(ISERROR(VLOOKUP($U$74,'TAR FIN'!$A$1:$O$92,15,0)),0,VLOOKUP($U$74,'TAR FIN'!$A$1:$O$92,15,0))</f>
        <v>286.76</v>
      </c>
      <c r="Y74" s="6"/>
      <c r="Z74" s="6">
        <f ca="1">('TUSD BE'!$AM$16+'TUSD BF_350'!$AM$16+'TUSD CVA'!$AM$16)*1</f>
        <v>126.25</v>
      </c>
      <c r="AA74" s="6">
        <f ca="1">('TE BE'!$AB$8+'TE BF_350'!$AB$8+'TE CVA'!$AB$8)*1</f>
        <v>250.03999999999996</v>
      </c>
      <c r="AB74" s="6">
        <f>$K$74*$V$74</f>
        <v>0</v>
      </c>
      <c r="AC74" s="6">
        <f>$M$74*$W$74</f>
        <v>3037.0896000000002</v>
      </c>
      <c r="AD74" s="6">
        <f>$O$74*$X$74</f>
        <v>11884.7682</v>
      </c>
      <c r="AE74" s="6">
        <f>$K$74*$Y$74</f>
        <v>0</v>
      </c>
      <c r="AF74" s="6">
        <f ca="1">$M$74*$Z$74</f>
        <v>5232.4312499999996</v>
      </c>
      <c r="AG74" s="6">
        <f ca="1">$O$74*$AA$74</f>
        <v>10362.907799999999</v>
      </c>
    </row>
    <row r="75" spans="1:33" ht="11.25" customHeight="1" x14ac:dyDescent="0.3">
      <c r="A75" s="4" t="s">
        <v>27</v>
      </c>
      <c r="B75" s="4" t="s">
        <v>34</v>
      </c>
      <c r="C75" s="4" t="s">
        <v>35</v>
      </c>
      <c r="D75" s="4" t="s">
        <v>40</v>
      </c>
      <c r="E75" s="4" t="s">
        <v>25</v>
      </c>
      <c r="F75" s="4" t="s">
        <v>25</v>
      </c>
      <c r="G75" s="4" t="s">
        <v>25</v>
      </c>
      <c r="H75" s="4" t="s">
        <v>37</v>
      </c>
      <c r="I75" s="5">
        <v>44409</v>
      </c>
      <c r="J75" s="6">
        <v>0</v>
      </c>
      <c r="K75" s="6">
        <v>0</v>
      </c>
      <c r="L75" s="6">
        <v>6.4008000000000003</v>
      </c>
      <c r="M75" s="6">
        <v>6.4008000000000003</v>
      </c>
      <c r="N75" s="6">
        <v>6.4008000000000003</v>
      </c>
      <c r="O75" s="6">
        <v>6.4008000000000003</v>
      </c>
      <c r="P75" s="6">
        <v>0</v>
      </c>
      <c r="Q75" s="4" t="s">
        <v>26</v>
      </c>
      <c r="R75" s="4">
        <v>0</v>
      </c>
      <c r="S75" s="6">
        <v>0</v>
      </c>
      <c r="T75" s="6">
        <v>22</v>
      </c>
      <c r="U75" s="6">
        <v>84</v>
      </c>
      <c r="V75" s="6">
        <f>IF(ISERROR(VLOOKUP($S$75,'TAR FIN'!$A$1:$O$92,15,0)),0,VLOOKUP($S$75,'TAR FIN'!$A$1:$O$92,15,0))</f>
        <v>0</v>
      </c>
      <c r="W75" s="6">
        <f>IF(ISERROR(VLOOKUP($T$75,'TAR FIN'!$A$1:$O$92,15,0)),0,VLOOKUP($T$75,'TAR FIN'!$A$1:$O$92,15,0))</f>
        <v>73.28</v>
      </c>
      <c r="X75" s="6">
        <f>IF(ISERROR(VLOOKUP($U$75,'TAR FIN'!$A$1:$O$92,15,0)),0,VLOOKUP($U$75,'TAR FIN'!$A$1:$O$92,15,0))</f>
        <v>286.76</v>
      </c>
      <c r="Y75" s="6"/>
      <c r="Z75" s="6">
        <f ca="1">('TUSD BE'!$AM$16+'TUSD BF_350'!$AM$16+'TUSD CVA'!$AM$16)*1</f>
        <v>126.25</v>
      </c>
      <c r="AA75" s="6">
        <f ca="1">('TE BE'!$AB$8+'TE BF_350'!$AB$8+'TE CVA'!$AB$8)*1</f>
        <v>250.03999999999996</v>
      </c>
      <c r="AB75" s="6">
        <f>$K$75*$V$75</f>
        <v>0</v>
      </c>
      <c r="AC75" s="6">
        <f>$M$75*$W$75</f>
        <v>469.05062400000003</v>
      </c>
      <c r="AD75" s="6">
        <f>$O$75*$X$75</f>
        <v>1835.493408</v>
      </c>
      <c r="AE75" s="6">
        <f>$K$75*$Y$75</f>
        <v>0</v>
      </c>
      <c r="AF75" s="6">
        <f ca="1">$M$75*$Z$75</f>
        <v>808.101</v>
      </c>
      <c r="AG75" s="6">
        <f ca="1">$O$75*$AA$75</f>
        <v>1600.4560319999998</v>
      </c>
    </row>
    <row r="76" spans="1:33" ht="11.25" customHeight="1" x14ac:dyDescent="0.3">
      <c r="A76" s="4" t="s">
        <v>21</v>
      </c>
      <c r="B76" s="4" t="s">
        <v>34</v>
      </c>
      <c r="C76" s="4" t="s">
        <v>35</v>
      </c>
      <c r="D76" s="4" t="s">
        <v>40</v>
      </c>
      <c r="E76" s="4" t="s">
        <v>25</v>
      </c>
      <c r="F76" s="4" t="s">
        <v>25</v>
      </c>
      <c r="G76" s="4" t="s">
        <v>25</v>
      </c>
      <c r="H76" s="4" t="s">
        <v>37</v>
      </c>
      <c r="I76" s="5">
        <v>44440</v>
      </c>
      <c r="J76" s="6">
        <v>0</v>
      </c>
      <c r="K76" s="6">
        <v>0</v>
      </c>
      <c r="L76" s="6">
        <v>43.096699999999998</v>
      </c>
      <c r="M76" s="6">
        <v>43.096699999999998</v>
      </c>
      <c r="N76" s="6">
        <v>43.096699999999998</v>
      </c>
      <c r="O76" s="6">
        <v>43.096699999999998</v>
      </c>
      <c r="P76" s="6">
        <v>0</v>
      </c>
      <c r="Q76" s="4" t="s">
        <v>26</v>
      </c>
      <c r="R76" s="4">
        <v>0</v>
      </c>
      <c r="S76" s="6">
        <v>0</v>
      </c>
      <c r="T76" s="6">
        <v>22</v>
      </c>
      <c r="U76" s="6">
        <v>84</v>
      </c>
      <c r="V76" s="6">
        <f>IF(ISERROR(VLOOKUP($S$76,'TAR FIN'!$A$1:$O$92,15,0)),0,VLOOKUP($S$76,'TAR FIN'!$A$1:$O$92,15,0))</f>
        <v>0</v>
      </c>
      <c r="W76" s="6">
        <f>IF(ISERROR(VLOOKUP($T$76,'TAR FIN'!$A$1:$O$92,15,0)),0,VLOOKUP($T$76,'TAR FIN'!$A$1:$O$92,15,0))</f>
        <v>73.28</v>
      </c>
      <c r="X76" s="6">
        <f>IF(ISERROR(VLOOKUP($U$76,'TAR FIN'!$A$1:$O$92,15,0)),0,VLOOKUP($U$76,'TAR FIN'!$A$1:$O$92,15,0))</f>
        <v>286.76</v>
      </c>
      <c r="Y76" s="6"/>
      <c r="Z76" s="6">
        <f ca="1">('TUSD BE'!$AM$16+'TUSD BF_350'!$AM$16+'TUSD CVA'!$AM$16)*1</f>
        <v>126.25</v>
      </c>
      <c r="AA76" s="6">
        <f ca="1">('TE BE'!$AB$8+'TE BF_350'!$AB$8+'TE CVA'!$AB$8)*1</f>
        <v>250.03999999999996</v>
      </c>
      <c r="AB76" s="6">
        <f>$K$76*$V$76</f>
        <v>0</v>
      </c>
      <c r="AC76" s="6">
        <f>$M$76*$W$76</f>
        <v>3158.1261759999998</v>
      </c>
      <c r="AD76" s="6">
        <f>$O$76*$X$76</f>
        <v>12358.409691999999</v>
      </c>
      <c r="AE76" s="6">
        <f>$K$76*$Y$76</f>
        <v>0</v>
      </c>
      <c r="AF76" s="6">
        <f ca="1">$M$76*$Z$76</f>
        <v>5440.9583750000002</v>
      </c>
      <c r="AG76" s="6">
        <f ca="1">$O$76*$AA$76</f>
        <v>10775.898867999998</v>
      </c>
    </row>
    <row r="77" spans="1:33" ht="11.25" customHeight="1" x14ac:dyDescent="0.3">
      <c r="A77" s="4" t="s">
        <v>27</v>
      </c>
      <c r="B77" s="4" t="s">
        <v>34</v>
      </c>
      <c r="C77" s="4" t="s">
        <v>35</v>
      </c>
      <c r="D77" s="4" t="s">
        <v>40</v>
      </c>
      <c r="E77" s="4" t="s">
        <v>25</v>
      </c>
      <c r="F77" s="4" t="s">
        <v>25</v>
      </c>
      <c r="G77" s="4" t="s">
        <v>25</v>
      </c>
      <c r="H77" s="4" t="s">
        <v>37</v>
      </c>
      <c r="I77" s="5">
        <v>44440</v>
      </c>
      <c r="J77" s="6">
        <v>0</v>
      </c>
      <c r="K77" s="6">
        <v>0</v>
      </c>
      <c r="L77" s="6">
        <v>5.1446899999999998</v>
      </c>
      <c r="M77" s="6">
        <v>5.1446899999999998</v>
      </c>
      <c r="N77" s="6">
        <v>5.1446899999999998</v>
      </c>
      <c r="O77" s="6">
        <v>5.1446899999999998</v>
      </c>
      <c r="P77" s="6">
        <v>0</v>
      </c>
      <c r="Q77" s="4" t="s">
        <v>26</v>
      </c>
      <c r="R77" s="4">
        <v>0</v>
      </c>
      <c r="S77" s="6">
        <v>0</v>
      </c>
      <c r="T77" s="6">
        <v>22</v>
      </c>
      <c r="U77" s="6">
        <v>84</v>
      </c>
      <c r="V77" s="6">
        <f>IF(ISERROR(VLOOKUP($S$77,'TAR FIN'!$A$1:$O$92,15,0)),0,VLOOKUP($S$77,'TAR FIN'!$A$1:$O$92,15,0))</f>
        <v>0</v>
      </c>
      <c r="W77" s="6">
        <f>IF(ISERROR(VLOOKUP($T$77,'TAR FIN'!$A$1:$O$92,15,0)),0,VLOOKUP($T$77,'TAR FIN'!$A$1:$O$92,15,0))</f>
        <v>73.28</v>
      </c>
      <c r="X77" s="6">
        <f>IF(ISERROR(VLOOKUP($U$77,'TAR FIN'!$A$1:$O$92,15,0)),0,VLOOKUP($U$77,'TAR FIN'!$A$1:$O$92,15,0))</f>
        <v>286.76</v>
      </c>
      <c r="Y77" s="6"/>
      <c r="Z77" s="6">
        <f ca="1">('TUSD BE'!$AM$16+'TUSD BF_350'!$AM$16+'TUSD CVA'!$AM$16)*1</f>
        <v>126.25</v>
      </c>
      <c r="AA77" s="6">
        <f ca="1">('TE BE'!$AB$8+'TE BF_350'!$AB$8+'TE CVA'!$AB$8)*1</f>
        <v>250.03999999999996</v>
      </c>
      <c r="AB77" s="6">
        <f>$K$77*$V$77</f>
        <v>0</v>
      </c>
      <c r="AC77" s="6">
        <f>$M$77*$W$77</f>
        <v>377.00288319999999</v>
      </c>
      <c r="AD77" s="6">
        <f>$O$77*$X$77</f>
        <v>1475.2913043999999</v>
      </c>
      <c r="AE77" s="6">
        <f>$K$77*$Y$77</f>
        <v>0</v>
      </c>
      <c r="AF77" s="6">
        <f ca="1">$M$77*$Z$77</f>
        <v>649.51711249999994</v>
      </c>
      <c r="AG77" s="6">
        <f ca="1">$O$77*$AA$77</f>
        <v>1286.3782875999998</v>
      </c>
    </row>
    <row r="78" spans="1:33" ht="11.25" customHeight="1" x14ac:dyDescent="0.3">
      <c r="A78" s="4" t="s">
        <v>21</v>
      </c>
      <c r="B78" s="4" t="s">
        <v>34</v>
      </c>
      <c r="C78" s="4" t="s">
        <v>35</v>
      </c>
      <c r="D78" s="4" t="s">
        <v>40</v>
      </c>
      <c r="E78" s="4" t="s">
        <v>25</v>
      </c>
      <c r="F78" s="4" t="s">
        <v>25</v>
      </c>
      <c r="G78" s="4" t="s">
        <v>25</v>
      </c>
      <c r="H78" s="4" t="s">
        <v>37</v>
      </c>
      <c r="I78" s="5">
        <v>44470</v>
      </c>
      <c r="J78" s="6">
        <v>0</v>
      </c>
      <c r="K78" s="6">
        <v>0</v>
      </c>
      <c r="L78" s="6">
        <v>43.770319999999998</v>
      </c>
      <c r="M78" s="6">
        <v>43.770319999999998</v>
      </c>
      <c r="N78" s="6">
        <v>43.770319999999998</v>
      </c>
      <c r="O78" s="6">
        <v>43.770319999999998</v>
      </c>
      <c r="P78" s="6">
        <v>0</v>
      </c>
      <c r="Q78" s="4" t="s">
        <v>26</v>
      </c>
      <c r="R78" s="4">
        <v>0</v>
      </c>
      <c r="S78" s="6">
        <v>0</v>
      </c>
      <c r="T78" s="6">
        <v>22</v>
      </c>
      <c r="U78" s="6">
        <v>84</v>
      </c>
      <c r="V78" s="6">
        <f>IF(ISERROR(VLOOKUP($S$78,'TAR FIN'!$A$1:$O$92,15,0)),0,VLOOKUP($S$78,'TAR FIN'!$A$1:$O$92,15,0))</f>
        <v>0</v>
      </c>
      <c r="W78" s="6">
        <f>IF(ISERROR(VLOOKUP($T$78,'TAR FIN'!$A$1:$O$92,15,0)),0,VLOOKUP($T$78,'TAR FIN'!$A$1:$O$92,15,0))</f>
        <v>73.28</v>
      </c>
      <c r="X78" s="6">
        <f>IF(ISERROR(VLOOKUP($U$78,'TAR FIN'!$A$1:$O$92,15,0)),0,VLOOKUP($U$78,'TAR FIN'!$A$1:$O$92,15,0))</f>
        <v>286.76</v>
      </c>
      <c r="Y78" s="6"/>
      <c r="Z78" s="6">
        <f ca="1">('TUSD BE'!$AM$16+'TUSD BF_350'!$AM$16+'TUSD CVA'!$AM$16)*1</f>
        <v>126.25</v>
      </c>
      <c r="AA78" s="6">
        <f ca="1">('TE BE'!$AB$8+'TE BF_350'!$AB$8+'TE CVA'!$AB$8)*1</f>
        <v>250.03999999999996</v>
      </c>
      <c r="AB78" s="6">
        <f>$K$78*$V$78</f>
        <v>0</v>
      </c>
      <c r="AC78" s="6">
        <f>$M$78*$W$78</f>
        <v>3207.4890495999998</v>
      </c>
      <c r="AD78" s="6">
        <f>$O$78*$X$78</f>
        <v>12551.576963199999</v>
      </c>
      <c r="AE78" s="6">
        <f>$K$78*$Y$78</f>
        <v>0</v>
      </c>
      <c r="AF78" s="6">
        <f ca="1">$M$78*$Z$78</f>
        <v>5526.0028999999995</v>
      </c>
      <c r="AG78" s="6">
        <f ca="1">$O$78*$AA$78</f>
        <v>10944.330812799997</v>
      </c>
    </row>
    <row r="79" spans="1:33" ht="11.25" customHeight="1" x14ac:dyDescent="0.3">
      <c r="A79" s="4" t="s">
        <v>27</v>
      </c>
      <c r="B79" s="4" t="s">
        <v>34</v>
      </c>
      <c r="C79" s="4" t="s">
        <v>35</v>
      </c>
      <c r="D79" s="4" t="s">
        <v>40</v>
      </c>
      <c r="E79" s="4" t="s">
        <v>25</v>
      </c>
      <c r="F79" s="4" t="s">
        <v>25</v>
      </c>
      <c r="G79" s="4" t="s">
        <v>25</v>
      </c>
      <c r="H79" s="4" t="s">
        <v>37</v>
      </c>
      <c r="I79" s="5">
        <v>44470</v>
      </c>
      <c r="J79" s="6">
        <v>0</v>
      </c>
      <c r="K79" s="6">
        <v>0</v>
      </c>
      <c r="L79" s="6">
        <v>4.6870599999999998</v>
      </c>
      <c r="M79" s="6">
        <v>4.6870599999999998</v>
      </c>
      <c r="N79" s="6">
        <v>4.6870599999999998</v>
      </c>
      <c r="O79" s="6">
        <v>4.6870599999999998</v>
      </c>
      <c r="P79" s="6">
        <v>0</v>
      </c>
      <c r="Q79" s="4" t="s">
        <v>26</v>
      </c>
      <c r="R79" s="4">
        <v>0</v>
      </c>
      <c r="S79" s="6">
        <v>0</v>
      </c>
      <c r="T79" s="6">
        <v>22</v>
      </c>
      <c r="U79" s="6">
        <v>84</v>
      </c>
      <c r="V79" s="6">
        <f>IF(ISERROR(VLOOKUP($S$79,'TAR FIN'!$A$1:$O$92,15,0)),0,VLOOKUP($S$79,'TAR FIN'!$A$1:$O$92,15,0))</f>
        <v>0</v>
      </c>
      <c r="W79" s="6">
        <f>IF(ISERROR(VLOOKUP($T$79,'TAR FIN'!$A$1:$O$92,15,0)),0,VLOOKUP($T$79,'TAR FIN'!$A$1:$O$92,15,0))</f>
        <v>73.28</v>
      </c>
      <c r="X79" s="6">
        <f>IF(ISERROR(VLOOKUP($U$79,'TAR FIN'!$A$1:$O$92,15,0)),0,VLOOKUP($U$79,'TAR FIN'!$A$1:$O$92,15,0))</f>
        <v>286.76</v>
      </c>
      <c r="Y79" s="6"/>
      <c r="Z79" s="6">
        <f ca="1">('TUSD BE'!$AM$16+'TUSD BF_350'!$AM$16+'TUSD CVA'!$AM$16)*1</f>
        <v>126.25</v>
      </c>
      <c r="AA79" s="6">
        <f ca="1">('TE BE'!$AB$8+'TE BF_350'!$AB$8+'TE CVA'!$AB$8)*1</f>
        <v>250.03999999999996</v>
      </c>
      <c r="AB79" s="6">
        <f>$K$79*$V$79</f>
        <v>0</v>
      </c>
      <c r="AC79" s="6">
        <f>$M$79*$W$79</f>
        <v>343.46775679999996</v>
      </c>
      <c r="AD79" s="6">
        <f>$O$79*$X$79</f>
        <v>1344.0613255999999</v>
      </c>
      <c r="AE79" s="6">
        <f>$K$79*$Y$79</f>
        <v>0</v>
      </c>
      <c r="AF79" s="6">
        <f ca="1">$M$79*$Z$79</f>
        <v>591.74132499999996</v>
      </c>
      <c r="AG79" s="6">
        <f ca="1">$O$79*$AA$79</f>
        <v>1171.9524823999998</v>
      </c>
    </row>
    <row r="80" spans="1:33" ht="11.25" customHeight="1" x14ac:dyDescent="0.3">
      <c r="A80" s="4" t="s">
        <v>21</v>
      </c>
      <c r="B80" s="4" t="s">
        <v>34</v>
      </c>
      <c r="C80" s="4" t="s">
        <v>35</v>
      </c>
      <c r="D80" s="4" t="s">
        <v>40</v>
      </c>
      <c r="E80" s="4" t="s">
        <v>25</v>
      </c>
      <c r="F80" s="4" t="s">
        <v>25</v>
      </c>
      <c r="G80" s="4" t="s">
        <v>25</v>
      </c>
      <c r="H80" s="4" t="s">
        <v>37</v>
      </c>
      <c r="I80" s="5">
        <v>44501</v>
      </c>
      <c r="J80" s="6">
        <v>0</v>
      </c>
      <c r="K80" s="6">
        <v>0</v>
      </c>
      <c r="L80" s="6">
        <v>47.860999999999997</v>
      </c>
      <c r="M80" s="6">
        <v>47.860999999999997</v>
      </c>
      <c r="N80" s="6">
        <v>47.860999999999997</v>
      </c>
      <c r="O80" s="6">
        <v>47.860999999999997</v>
      </c>
      <c r="P80" s="6">
        <v>0</v>
      </c>
      <c r="Q80" s="4" t="s">
        <v>26</v>
      </c>
      <c r="R80" s="4">
        <v>0</v>
      </c>
      <c r="S80" s="6">
        <v>0</v>
      </c>
      <c r="T80" s="6">
        <v>22</v>
      </c>
      <c r="U80" s="6">
        <v>84</v>
      </c>
      <c r="V80" s="6">
        <f>IF(ISERROR(VLOOKUP($S$80,'TAR FIN'!$A$1:$O$92,15,0)),0,VLOOKUP($S$80,'TAR FIN'!$A$1:$O$92,15,0))</f>
        <v>0</v>
      </c>
      <c r="W80" s="6">
        <f>IF(ISERROR(VLOOKUP($T$80,'TAR FIN'!$A$1:$O$92,15,0)),0,VLOOKUP($T$80,'TAR FIN'!$A$1:$O$92,15,0))</f>
        <v>73.28</v>
      </c>
      <c r="X80" s="6">
        <f>IF(ISERROR(VLOOKUP($U$80,'TAR FIN'!$A$1:$O$92,15,0)),0,VLOOKUP($U$80,'TAR FIN'!$A$1:$O$92,15,0))</f>
        <v>286.76</v>
      </c>
      <c r="Y80" s="6"/>
      <c r="Z80" s="6">
        <f ca="1">('TUSD BE'!$AM$16+'TUSD BF_350'!$AM$16+'TUSD CVA'!$AM$16)*1</f>
        <v>126.25</v>
      </c>
      <c r="AA80" s="6">
        <f ca="1">('TE BE'!$AB$8+'TE BF_350'!$AB$8+'TE CVA'!$AB$8)*1</f>
        <v>250.03999999999996</v>
      </c>
      <c r="AB80" s="6">
        <f>$K$80*$V$80</f>
        <v>0</v>
      </c>
      <c r="AC80" s="6">
        <f>$M$80*$W$80</f>
        <v>3507.2540799999997</v>
      </c>
      <c r="AD80" s="6">
        <f>$O$80*$X$80</f>
        <v>13724.620359999999</v>
      </c>
      <c r="AE80" s="6">
        <f>$K$80*$Y$80</f>
        <v>0</v>
      </c>
      <c r="AF80" s="6">
        <f ca="1">$M$80*$Z$80</f>
        <v>6042.4512500000001</v>
      </c>
      <c r="AG80" s="6">
        <f ca="1">$O$80*$AA$80</f>
        <v>11967.164439999997</v>
      </c>
    </row>
    <row r="81" spans="1:33" ht="11.25" customHeight="1" x14ac:dyDescent="0.3">
      <c r="A81" s="4" t="s">
        <v>27</v>
      </c>
      <c r="B81" s="4" t="s">
        <v>34</v>
      </c>
      <c r="C81" s="4" t="s">
        <v>35</v>
      </c>
      <c r="D81" s="4" t="s">
        <v>40</v>
      </c>
      <c r="E81" s="4" t="s">
        <v>25</v>
      </c>
      <c r="F81" s="4" t="s">
        <v>25</v>
      </c>
      <c r="G81" s="4" t="s">
        <v>25</v>
      </c>
      <c r="H81" s="4" t="s">
        <v>37</v>
      </c>
      <c r="I81" s="5">
        <v>44501</v>
      </c>
      <c r="J81" s="6">
        <v>0</v>
      </c>
      <c r="K81" s="6">
        <v>0</v>
      </c>
      <c r="L81" s="6">
        <v>5.4560000000000004</v>
      </c>
      <c r="M81" s="6">
        <v>5.4560000000000004</v>
      </c>
      <c r="N81" s="6">
        <v>5.4560000000000004</v>
      </c>
      <c r="O81" s="6">
        <v>5.4560000000000004</v>
      </c>
      <c r="P81" s="6">
        <v>0</v>
      </c>
      <c r="Q81" s="4" t="s">
        <v>26</v>
      </c>
      <c r="R81" s="4">
        <v>0</v>
      </c>
      <c r="S81" s="6">
        <v>0</v>
      </c>
      <c r="T81" s="6">
        <v>22</v>
      </c>
      <c r="U81" s="6">
        <v>84</v>
      </c>
      <c r="V81" s="6">
        <f>IF(ISERROR(VLOOKUP($S$81,'TAR FIN'!$A$1:$O$92,15,0)),0,VLOOKUP($S$81,'TAR FIN'!$A$1:$O$92,15,0))</f>
        <v>0</v>
      </c>
      <c r="W81" s="6">
        <f>IF(ISERROR(VLOOKUP($T$81,'TAR FIN'!$A$1:$O$92,15,0)),0,VLOOKUP($T$81,'TAR FIN'!$A$1:$O$92,15,0))</f>
        <v>73.28</v>
      </c>
      <c r="X81" s="6">
        <f>IF(ISERROR(VLOOKUP($U$81,'TAR FIN'!$A$1:$O$92,15,0)),0,VLOOKUP($U$81,'TAR FIN'!$A$1:$O$92,15,0))</f>
        <v>286.76</v>
      </c>
      <c r="Y81" s="6"/>
      <c r="Z81" s="6">
        <f ca="1">('TUSD BE'!$AM$16+'TUSD BF_350'!$AM$16+'TUSD CVA'!$AM$16)*1</f>
        <v>126.25</v>
      </c>
      <c r="AA81" s="6">
        <f ca="1">('TE BE'!$AB$8+'TE BF_350'!$AB$8+'TE CVA'!$AB$8)*1</f>
        <v>250.03999999999996</v>
      </c>
      <c r="AB81" s="6">
        <f>$K$81*$V$81</f>
        <v>0</v>
      </c>
      <c r="AC81" s="6">
        <f>$M$81*$W$81</f>
        <v>399.81568000000004</v>
      </c>
      <c r="AD81" s="6">
        <f>$O$81*$X$81</f>
        <v>1564.5625600000001</v>
      </c>
      <c r="AE81" s="6">
        <f>$K$81*$Y$81</f>
        <v>0</v>
      </c>
      <c r="AF81" s="6">
        <f ca="1">$M$81*$Z$81</f>
        <v>688.82</v>
      </c>
      <c r="AG81" s="6">
        <f ca="1">$O$81*$AA$81</f>
        <v>1364.2182399999999</v>
      </c>
    </row>
    <row r="82" spans="1:33" ht="11.25" customHeight="1" x14ac:dyDescent="0.3">
      <c r="A82" s="4" t="s">
        <v>21</v>
      </c>
      <c r="B82" s="4" t="s">
        <v>34</v>
      </c>
      <c r="C82" s="4" t="s">
        <v>35</v>
      </c>
      <c r="D82" s="4" t="s">
        <v>40</v>
      </c>
      <c r="E82" s="4" t="s">
        <v>25</v>
      </c>
      <c r="F82" s="4" t="s">
        <v>25</v>
      </c>
      <c r="G82" s="4" t="s">
        <v>25</v>
      </c>
      <c r="H82" s="4" t="s">
        <v>37</v>
      </c>
      <c r="I82" s="5">
        <v>44531</v>
      </c>
      <c r="J82" s="6">
        <v>0</v>
      </c>
      <c r="K82" s="6">
        <v>0</v>
      </c>
      <c r="L82" s="6">
        <v>54.847859999999997</v>
      </c>
      <c r="M82" s="6">
        <v>54.847859999999997</v>
      </c>
      <c r="N82" s="6">
        <v>54.847859999999997</v>
      </c>
      <c r="O82" s="6">
        <v>54.847859999999997</v>
      </c>
      <c r="P82" s="6">
        <v>0</v>
      </c>
      <c r="Q82" s="4" t="s">
        <v>26</v>
      </c>
      <c r="R82" s="4">
        <v>0</v>
      </c>
      <c r="S82" s="6">
        <v>0</v>
      </c>
      <c r="T82" s="6">
        <v>22</v>
      </c>
      <c r="U82" s="6">
        <v>84</v>
      </c>
      <c r="V82" s="6">
        <f>IF(ISERROR(VLOOKUP($S$82,'TAR FIN'!$A$1:$O$92,15,0)),0,VLOOKUP($S$82,'TAR FIN'!$A$1:$O$92,15,0))</f>
        <v>0</v>
      </c>
      <c r="W82" s="6">
        <f>IF(ISERROR(VLOOKUP($T$82,'TAR FIN'!$A$1:$O$92,15,0)),0,VLOOKUP($T$82,'TAR FIN'!$A$1:$O$92,15,0))</f>
        <v>73.28</v>
      </c>
      <c r="X82" s="6">
        <f>IF(ISERROR(VLOOKUP($U$82,'TAR FIN'!$A$1:$O$92,15,0)),0,VLOOKUP($U$82,'TAR FIN'!$A$1:$O$92,15,0))</f>
        <v>286.76</v>
      </c>
      <c r="Y82" s="6"/>
      <c r="Z82" s="6">
        <f ca="1">('TUSD BE'!$AM$16+'TUSD BF_350'!$AM$16+'TUSD CVA'!$AM$16)*1</f>
        <v>126.25</v>
      </c>
      <c r="AA82" s="6">
        <f ca="1">('TE BE'!$AB$8+'TE BF_350'!$AB$8+'TE CVA'!$AB$8)*1</f>
        <v>250.03999999999996</v>
      </c>
      <c r="AB82" s="6">
        <f>$K$82*$V$82</f>
        <v>0</v>
      </c>
      <c r="AC82" s="6">
        <f>$M$82*$W$82</f>
        <v>4019.2511807999999</v>
      </c>
      <c r="AD82" s="6">
        <f>$O$82*$X$82</f>
        <v>15728.1723336</v>
      </c>
      <c r="AE82" s="6">
        <f>$K$82*$Y$82</f>
        <v>0</v>
      </c>
      <c r="AF82" s="6">
        <f ca="1">$M$82*$Z$82</f>
        <v>6924.5423249999994</v>
      </c>
      <c r="AG82" s="6">
        <f ca="1">$O$82*$AA$82</f>
        <v>13714.158914399997</v>
      </c>
    </row>
    <row r="83" spans="1:33" ht="11.25" customHeight="1" x14ac:dyDescent="0.3">
      <c r="A83" s="4" t="s">
        <v>27</v>
      </c>
      <c r="B83" s="4" t="s">
        <v>34</v>
      </c>
      <c r="C83" s="4" t="s">
        <v>35</v>
      </c>
      <c r="D83" s="4" t="s">
        <v>40</v>
      </c>
      <c r="E83" s="4" t="s">
        <v>25</v>
      </c>
      <c r="F83" s="4" t="s">
        <v>25</v>
      </c>
      <c r="G83" s="4" t="s">
        <v>25</v>
      </c>
      <c r="H83" s="4" t="s">
        <v>37</v>
      </c>
      <c r="I83" s="5">
        <v>44531</v>
      </c>
      <c r="J83" s="6">
        <v>0</v>
      </c>
      <c r="K83" s="6">
        <v>0</v>
      </c>
      <c r="L83" s="6">
        <v>8.0050000000000008</v>
      </c>
      <c r="M83" s="6">
        <v>8.0050000000000008</v>
      </c>
      <c r="N83" s="6">
        <v>8.0050000000000008</v>
      </c>
      <c r="O83" s="6">
        <v>8.0050000000000008</v>
      </c>
      <c r="P83" s="6">
        <v>0</v>
      </c>
      <c r="Q83" s="4" t="s">
        <v>26</v>
      </c>
      <c r="R83" s="4">
        <v>0</v>
      </c>
      <c r="S83" s="6">
        <v>0</v>
      </c>
      <c r="T83" s="6">
        <v>22</v>
      </c>
      <c r="U83" s="6">
        <v>84</v>
      </c>
      <c r="V83" s="6">
        <f>IF(ISERROR(VLOOKUP($S$83,'TAR FIN'!$A$1:$O$92,15,0)),0,VLOOKUP($S$83,'TAR FIN'!$A$1:$O$92,15,0))</f>
        <v>0</v>
      </c>
      <c r="W83" s="6">
        <f>IF(ISERROR(VLOOKUP($T$83,'TAR FIN'!$A$1:$O$92,15,0)),0,VLOOKUP($T$83,'TAR FIN'!$A$1:$O$92,15,0))</f>
        <v>73.28</v>
      </c>
      <c r="X83" s="6">
        <f>IF(ISERROR(VLOOKUP($U$83,'TAR FIN'!$A$1:$O$92,15,0)),0,VLOOKUP($U$83,'TAR FIN'!$A$1:$O$92,15,0))</f>
        <v>286.76</v>
      </c>
      <c r="Y83" s="6"/>
      <c r="Z83" s="6">
        <f ca="1">('TUSD BE'!$AM$16+'TUSD BF_350'!$AM$16+'TUSD CVA'!$AM$16)*1</f>
        <v>126.25</v>
      </c>
      <c r="AA83" s="6">
        <f ca="1">('TE BE'!$AB$8+'TE BF_350'!$AB$8+'TE CVA'!$AB$8)*1</f>
        <v>250.03999999999996</v>
      </c>
      <c r="AB83" s="6">
        <f>$K$83*$V$83</f>
        <v>0</v>
      </c>
      <c r="AC83" s="6">
        <f>$M$83*$W$83</f>
        <v>586.60640000000012</v>
      </c>
      <c r="AD83" s="6">
        <f>$O$83*$X$83</f>
        <v>2295.5138000000002</v>
      </c>
      <c r="AE83" s="6">
        <f>$K$83*$Y$83</f>
        <v>0</v>
      </c>
      <c r="AF83" s="6">
        <f ca="1">$M$83*$Z$83</f>
        <v>1010.6312500000001</v>
      </c>
      <c r="AG83" s="6">
        <f ca="1">$O$83*$AA$83</f>
        <v>2001.5701999999999</v>
      </c>
    </row>
    <row r="84" spans="1:33" ht="11.25" customHeight="1" x14ac:dyDescent="0.3">
      <c r="A84" s="4" t="s">
        <v>21</v>
      </c>
      <c r="B84" s="4" t="s">
        <v>34</v>
      </c>
      <c r="C84" s="4" t="s">
        <v>35</v>
      </c>
      <c r="D84" s="4" t="s">
        <v>40</v>
      </c>
      <c r="E84" s="4" t="s">
        <v>25</v>
      </c>
      <c r="F84" s="4" t="s">
        <v>25</v>
      </c>
      <c r="G84" s="4" t="s">
        <v>25</v>
      </c>
      <c r="H84" s="4" t="s">
        <v>37</v>
      </c>
      <c r="I84" s="5">
        <v>44562</v>
      </c>
      <c r="J84" s="6">
        <v>0</v>
      </c>
      <c r="K84" s="6">
        <v>0</v>
      </c>
      <c r="L84" s="6">
        <v>59.790999999999997</v>
      </c>
      <c r="M84" s="6">
        <v>59.790999999999997</v>
      </c>
      <c r="N84" s="6">
        <v>59.790999999999997</v>
      </c>
      <c r="O84" s="6">
        <v>59.790999999999997</v>
      </c>
      <c r="P84" s="6">
        <v>0</v>
      </c>
      <c r="Q84" s="4" t="s">
        <v>26</v>
      </c>
      <c r="R84" s="4">
        <v>0</v>
      </c>
      <c r="S84" s="6">
        <v>0</v>
      </c>
      <c r="T84" s="6">
        <v>22</v>
      </c>
      <c r="U84" s="6">
        <v>84</v>
      </c>
      <c r="V84" s="6">
        <f>IF(ISERROR(VLOOKUP($S$84,'TAR FIN'!$A$1:$O$92,15,0)),0,VLOOKUP($S$84,'TAR FIN'!$A$1:$O$92,15,0))</f>
        <v>0</v>
      </c>
      <c r="W84" s="6">
        <f>IF(ISERROR(VLOOKUP($T$84,'TAR FIN'!$A$1:$O$92,15,0)),0,VLOOKUP($T$84,'TAR FIN'!$A$1:$O$92,15,0))</f>
        <v>73.28</v>
      </c>
      <c r="X84" s="6">
        <f>IF(ISERROR(VLOOKUP($U$84,'TAR FIN'!$A$1:$O$92,15,0)),0,VLOOKUP($U$84,'TAR FIN'!$A$1:$O$92,15,0))</f>
        <v>286.76</v>
      </c>
      <c r="Y84" s="6"/>
      <c r="Z84" s="6">
        <f ca="1">('TUSD BE'!$AM$16+'TUSD BF_350'!$AM$16+'TUSD CVA'!$AM$16)*1</f>
        <v>126.25</v>
      </c>
      <c r="AA84" s="6">
        <f ca="1">('TE BE'!$AB$8+'TE BF_350'!$AB$8+'TE CVA'!$AB$8)*1</f>
        <v>250.03999999999996</v>
      </c>
      <c r="AB84" s="6">
        <f>$K$84*$V$84</f>
        <v>0</v>
      </c>
      <c r="AC84" s="6">
        <f>$M$84*$W$84</f>
        <v>4381.4844800000001</v>
      </c>
      <c r="AD84" s="6">
        <f>$O$84*$X$84</f>
        <v>17145.667159999997</v>
      </c>
      <c r="AE84" s="6">
        <f>$K$84*$Y$84</f>
        <v>0</v>
      </c>
      <c r="AF84" s="6">
        <f ca="1">$M$84*$Z$84</f>
        <v>7548.6137499999995</v>
      </c>
      <c r="AG84" s="6">
        <f ca="1">$O$84*$AA$84</f>
        <v>14950.141639999996</v>
      </c>
    </row>
    <row r="85" spans="1:33" ht="11.25" customHeight="1" x14ac:dyDescent="0.3">
      <c r="A85" s="4" t="s">
        <v>27</v>
      </c>
      <c r="B85" s="4" t="s">
        <v>34</v>
      </c>
      <c r="C85" s="4" t="s">
        <v>35</v>
      </c>
      <c r="D85" s="4" t="s">
        <v>40</v>
      </c>
      <c r="E85" s="4" t="s">
        <v>25</v>
      </c>
      <c r="F85" s="4" t="s">
        <v>25</v>
      </c>
      <c r="G85" s="4" t="s">
        <v>25</v>
      </c>
      <c r="H85" s="4" t="s">
        <v>37</v>
      </c>
      <c r="I85" s="5">
        <v>44562</v>
      </c>
      <c r="J85" s="6">
        <v>0</v>
      </c>
      <c r="K85" s="6">
        <v>0</v>
      </c>
      <c r="L85" s="6">
        <v>12.615</v>
      </c>
      <c r="M85" s="6">
        <v>12.615</v>
      </c>
      <c r="N85" s="6">
        <v>12.615</v>
      </c>
      <c r="O85" s="6">
        <v>12.615</v>
      </c>
      <c r="P85" s="6">
        <v>0</v>
      </c>
      <c r="Q85" s="4" t="s">
        <v>26</v>
      </c>
      <c r="R85" s="4">
        <v>0</v>
      </c>
      <c r="S85" s="6">
        <v>0</v>
      </c>
      <c r="T85" s="6">
        <v>22</v>
      </c>
      <c r="U85" s="6">
        <v>84</v>
      </c>
      <c r="V85" s="6">
        <f>IF(ISERROR(VLOOKUP($S$85,'TAR FIN'!$A$1:$O$92,15,0)),0,VLOOKUP($S$85,'TAR FIN'!$A$1:$O$92,15,0))</f>
        <v>0</v>
      </c>
      <c r="W85" s="6">
        <f>IF(ISERROR(VLOOKUP($T$85,'TAR FIN'!$A$1:$O$92,15,0)),0,VLOOKUP($T$85,'TAR FIN'!$A$1:$O$92,15,0))</f>
        <v>73.28</v>
      </c>
      <c r="X85" s="6">
        <f>IF(ISERROR(VLOOKUP($U$85,'TAR FIN'!$A$1:$O$92,15,0)),0,VLOOKUP($U$85,'TAR FIN'!$A$1:$O$92,15,0))</f>
        <v>286.76</v>
      </c>
      <c r="Y85" s="6"/>
      <c r="Z85" s="6">
        <f ca="1">('TUSD BE'!$AM$16+'TUSD BF_350'!$AM$16+'TUSD CVA'!$AM$16)*1</f>
        <v>126.25</v>
      </c>
      <c r="AA85" s="6">
        <f ca="1">('TE BE'!$AB$8+'TE BF_350'!$AB$8+'TE CVA'!$AB$8)*1</f>
        <v>250.03999999999996</v>
      </c>
      <c r="AB85" s="6">
        <f>$K$85*$V$85</f>
        <v>0</v>
      </c>
      <c r="AC85" s="6">
        <f>$M$85*$W$85</f>
        <v>924.42720000000008</v>
      </c>
      <c r="AD85" s="6">
        <f>$O$85*$X$85</f>
        <v>3617.4773999999998</v>
      </c>
      <c r="AE85" s="6">
        <f>$K$85*$Y$85</f>
        <v>0</v>
      </c>
      <c r="AF85" s="6">
        <f ca="1">$M$85*$Z$85</f>
        <v>1592.64375</v>
      </c>
      <c r="AG85" s="6">
        <f ca="1">$O$85*$AA$85</f>
        <v>3154.2545999999998</v>
      </c>
    </row>
    <row r="86" spans="1:33" ht="11.25" customHeight="1" x14ac:dyDescent="0.3">
      <c r="A86" s="4" t="s">
        <v>21</v>
      </c>
      <c r="B86" s="4" t="s">
        <v>34</v>
      </c>
      <c r="C86" s="4" t="s">
        <v>35</v>
      </c>
      <c r="D86" s="4" t="s">
        <v>40</v>
      </c>
      <c r="E86" s="4" t="s">
        <v>25</v>
      </c>
      <c r="F86" s="4" t="s">
        <v>25</v>
      </c>
      <c r="G86" s="4" t="s">
        <v>25</v>
      </c>
      <c r="H86" s="4" t="s">
        <v>37</v>
      </c>
      <c r="I86" s="5">
        <v>44593</v>
      </c>
      <c r="J86" s="6">
        <v>0</v>
      </c>
      <c r="K86" s="6">
        <v>0</v>
      </c>
      <c r="L86" s="6">
        <v>51.537999999999997</v>
      </c>
      <c r="M86" s="6">
        <v>51.537999999999997</v>
      </c>
      <c r="N86" s="6">
        <v>51.537999999999997</v>
      </c>
      <c r="O86" s="6">
        <v>51.537999999999997</v>
      </c>
      <c r="P86" s="6">
        <v>0</v>
      </c>
      <c r="Q86" s="4" t="s">
        <v>26</v>
      </c>
      <c r="R86" s="4">
        <v>0</v>
      </c>
      <c r="S86" s="6">
        <v>0</v>
      </c>
      <c r="T86" s="6">
        <v>22</v>
      </c>
      <c r="U86" s="6">
        <v>84</v>
      </c>
      <c r="V86" s="6">
        <f>IF(ISERROR(VLOOKUP($S$86,'TAR FIN'!$A$1:$O$92,15,0)),0,VLOOKUP($S$86,'TAR FIN'!$A$1:$O$92,15,0))</f>
        <v>0</v>
      </c>
      <c r="W86" s="6">
        <f>IF(ISERROR(VLOOKUP($T$86,'TAR FIN'!$A$1:$O$92,15,0)),0,VLOOKUP($T$86,'TAR FIN'!$A$1:$O$92,15,0))</f>
        <v>73.28</v>
      </c>
      <c r="X86" s="6">
        <f>IF(ISERROR(VLOOKUP($U$86,'TAR FIN'!$A$1:$O$92,15,0)),0,VLOOKUP($U$86,'TAR FIN'!$A$1:$O$92,15,0))</f>
        <v>286.76</v>
      </c>
      <c r="Y86" s="6"/>
      <c r="Z86" s="6">
        <f ca="1">('TUSD BE'!$AM$16+'TUSD BF_350'!$AM$16+'TUSD CVA'!$AM$16)*1</f>
        <v>126.25</v>
      </c>
      <c r="AA86" s="6">
        <f ca="1">('TE BE'!$AB$8+'TE BF_350'!$AB$8+'TE CVA'!$AB$8)*1</f>
        <v>250.03999999999996</v>
      </c>
      <c r="AB86" s="6">
        <f>$K$86*$V$86</f>
        <v>0</v>
      </c>
      <c r="AC86" s="6">
        <f>$M$86*$W$86</f>
        <v>3776.7046399999999</v>
      </c>
      <c r="AD86" s="6">
        <f>$O$86*$X$86</f>
        <v>14779.036879999998</v>
      </c>
      <c r="AE86" s="6">
        <f>$K$86*$Y$86</f>
        <v>0</v>
      </c>
      <c r="AF86" s="6">
        <f ca="1">$M$86*$Z$86</f>
        <v>6506.6724999999997</v>
      </c>
      <c r="AG86" s="6">
        <f ca="1">$O$86*$AA$86</f>
        <v>12886.561519999997</v>
      </c>
    </row>
    <row r="87" spans="1:33" ht="11.25" customHeight="1" x14ac:dyDescent="0.3">
      <c r="A87" s="4" t="s">
        <v>27</v>
      </c>
      <c r="B87" s="4" t="s">
        <v>34</v>
      </c>
      <c r="C87" s="4" t="s">
        <v>35</v>
      </c>
      <c r="D87" s="4" t="s">
        <v>40</v>
      </c>
      <c r="E87" s="4" t="s">
        <v>25</v>
      </c>
      <c r="F87" s="4" t="s">
        <v>25</v>
      </c>
      <c r="G87" s="4" t="s">
        <v>25</v>
      </c>
      <c r="H87" s="4" t="s">
        <v>37</v>
      </c>
      <c r="I87" s="5">
        <v>44593</v>
      </c>
      <c r="J87" s="6">
        <v>0</v>
      </c>
      <c r="K87" s="6">
        <v>0</v>
      </c>
      <c r="L87" s="6">
        <v>10.870419999999999</v>
      </c>
      <c r="M87" s="6">
        <v>10.870419999999999</v>
      </c>
      <c r="N87" s="6">
        <v>10.870419999999999</v>
      </c>
      <c r="O87" s="6">
        <v>10.870419999999999</v>
      </c>
      <c r="P87" s="6">
        <v>0</v>
      </c>
      <c r="Q87" s="4" t="s">
        <v>26</v>
      </c>
      <c r="R87" s="4">
        <v>0</v>
      </c>
      <c r="S87" s="6">
        <v>0</v>
      </c>
      <c r="T87" s="6">
        <v>22</v>
      </c>
      <c r="U87" s="6">
        <v>84</v>
      </c>
      <c r="V87" s="6">
        <f>IF(ISERROR(VLOOKUP($S$87,'TAR FIN'!$A$1:$O$92,15,0)),0,VLOOKUP($S$87,'TAR FIN'!$A$1:$O$92,15,0))</f>
        <v>0</v>
      </c>
      <c r="W87" s="6">
        <f>IF(ISERROR(VLOOKUP($T$87,'TAR FIN'!$A$1:$O$92,15,0)),0,VLOOKUP($T$87,'TAR FIN'!$A$1:$O$92,15,0))</f>
        <v>73.28</v>
      </c>
      <c r="X87" s="6">
        <f>IF(ISERROR(VLOOKUP($U$87,'TAR FIN'!$A$1:$O$92,15,0)),0,VLOOKUP($U$87,'TAR FIN'!$A$1:$O$92,15,0))</f>
        <v>286.76</v>
      </c>
      <c r="Y87" s="6"/>
      <c r="Z87" s="6">
        <f ca="1">('TUSD BE'!$AM$16+'TUSD BF_350'!$AM$16+'TUSD CVA'!$AM$16)*1</f>
        <v>126.25</v>
      </c>
      <c r="AA87" s="6">
        <f ca="1">('TE BE'!$AB$8+'TE BF_350'!$AB$8+'TE CVA'!$AB$8)*1</f>
        <v>250.03999999999996</v>
      </c>
      <c r="AB87" s="6">
        <f>$K$87*$V$87</f>
        <v>0</v>
      </c>
      <c r="AC87" s="6">
        <f>$M$87*$W$87</f>
        <v>796.58437759999993</v>
      </c>
      <c r="AD87" s="6">
        <f>$O$87*$X$87</f>
        <v>3117.2016391999996</v>
      </c>
      <c r="AE87" s="6">
        <f>$K$87*$Y$87</f>
        <v>0</v>
      </c>
      <c r="AF87" s="6">
        <f ca="1">$M$87*$Z$87</f>
        <v>1372.390525</v>
      </c>
      <c r="AG87" s="6">
        <f ca="1">$O$87*$AA$87</f>
        <v>2718.0398167999992</v>
      </c>
    </row>
    <row r="88" spans="1:33" ht="11.25" customHeight="1" x14ac:dyDescent="0.3">
      <c r="A88" s="4" t="s">
        <v>21</v>
      </c>
      <c r="B88" s="4" t="s">
        <v>34</v>
      </c>
      <c r="C88" s="4" t="s">
        <v>35</v>
      </c>
      <c r="D88" s="4" t="s">
        <v>40</v>
      </c>
      <c r="E88" s="4" t="s">
        <v>25</v>
      </c>
      <c r="F88" s="4" t="s">
        <v>25</v>
      </c>
      <c r="G88" s="4" t="s">
        <v>25</v>
      </c>
      <c r="H88" s="4" t="s">
        <v>37</v>
      </c>
      <c r="I88" s="5">
        <v>44621</v>
      </c>
      <c r="J88" s="6">
        <v>0</v>
      </c>
      <c r="K88" s="6">
        <v>0</v>
      </c>
      <c r="L88" s="6">
        <v>51.117379999999997</v>
      </c>
      <c r="M88" s="6">
        <v>51.117379999999997</v>
      </c>
      <c r="N88" s="6">
        <v>51.117379999999997</v>
      </c>
      <c r="O88" s="6">
        <v>51.117379999999997</v>
      </c>
      <c r="P88" s="6">
        <v>0</v>
      </c>
      <c r="Q88" s="4" t="s">
        <v>26</v>
      </c>
      <c r="R88" s="4">
        <v>0</v>
      </c>
      <c r="S88" s="6">
        <v>0</v>
      </c>
      <c r="T88" s="6">
        <v>22</v>
      </c>
      <c r="U88" s="6">
        <v>84</v>
      </c>
      <c r="V88" s="6">
        <f>IF(ISERROR(VLOOKUP($S$88,'TAR FIN'!$A$1:$O$92,15,0)),0,VLOOKUP($S$88,'TAR FIN'!$A$1:$O$92,15,0))</f>
        <v>0</v>
      </c>
      <c r="W88" s="6">
        <f>IF(ISERROR(VLOOKUP($T$88,'TAR FIN'!$A$1:$O$92,15,0)),0,VLOOKUP($T$88,'TAR FIN'!$A$1:$O$92,15,0))</f>
        <v>73.28</v>
      </c>
      <c r="X88" s="6">
        <f>IF(ISERROR(VLOOKUP($U$88,'TAR FIN'!$A$1:$O$92,15,0)),0,VLOOKUP($U$88,'TAR FIN'!$A$1:$O$92,15,0))</f>
        <v>286.76</v>
      </c>
      <c r="Y88" s="6"/>
      <c r="Z88" s="6">
        <f ca="1">('TUSD BE'!$AM$16+'TUSD BF_350'!$AM$16+'TUSD CVA'!$AM$16)*1</f>
        <v>126.25</v>
      </c>
      <c r="AA88" s="6">
        <f ca="1">('TE BE'!$AB$8+'TE BF_350'!$AB$8+'TE CVA'!$AB$8)*1</f>
        <v>250.03999999999996</v>
      </c>
      <c r="AB88" s="6">
        <f>$K$88*$V$88</f>
        <v>0</v>
      </c>
      <c r="AC88" s="6">
        <f>$M$88*$W$88</f>
        <v>3745.8816063999998</v>
      </c>
      <c r="AD88" s="6">
        <f>$O$88*$X$88</f>
        <v>14658.419888799999</v>
      </c>
      <c r="AE88" s="6">
        <f>$K$88*$Y$88</f>
        <v>0</v>
      </c>
      <c r="AF88" s="6">
        <f ca="1">$M$88*$Z$88</f>
        <v>6453.5692249999993</v>
      </c>
      <c r="AG88" s="6">
        <f ca="1">$O$88*$AA$88</f>
        <v>12781.389695199998</v>
      </c>
    </row>
    <row r="89" spans="1:33" ht="11.25" customHeight="1" x14ac:dyDescent="0.3">
      <c r="A89" s="4" t="s">
        <v>27</v>
      </c>
      <c r="B89" s="4" t="s">
        <v>34</v>
      </c>
      <c r="C89" s="4" t="s">
        <v>35</v>
      </c>
      <c r="D89" s="4" t="s">
        <v>40</v>
      </c>
      <c r="E89" s="4" t="s">
        <v>25</v>
      </c>
      <c r="F89" s="4" t="s">
        <v>25</v>
      </c>
      <c r="G89" s="4" t="s">
        <v>25</v>
      </c>
      <c r="H89" s="4" t="s">
        <v>37</v>
      </c>
      <c r="I89" s="5">
        <v>44621</v>
      </c>
      <c r="J89" s="6">
        <v>0</v>
      </c>
      <c r="K89" s="6">
        <v>0</v>
      </c>
      <c r="L89" s="6">
        <v>10.050190000000001</v>
      </c>
      <c r="M89" s="6">
        <v>10.050190000000001</v>
      </c>
      <c r="N89" s="6">
        <v>10.050190000000001</v>
      </c>
      <c r="O89" s="6">
        <v>10.050190000000001</v>
      </c>
      <c r="P89" s="6">
        <v>0</v>
      </c>
      <c r="Q89" s="4" t="s">
        <v>26</v>
      </c>
      <c r="R89" s="4">
        <v>0</v>
      </c>
      <c r="S89" s="6">
        <v>0</v>
      </c>
      <c r="T89" s="6">
        <v>22</v>
      </c>
      <c r="U89" s="6">
        <v>84</v>
      </c>
      <c r="V89" s="6">
        <f>IF(ISERROR(VLOOKUP($S$89,'TAR FIN'!$A$1:$O$92,15,0)),0,VLOOKUP($S$89,'TAR FIN'!$A$1:$O$92,15,0))</f>
        <v>0</v>
      </c>
      <c r="W89" s="6">
        <f>IF(ISERROR(VLOOKUP($T$89,'TAR FIN'!$A$1:$O$92,15,0)),0,VLOOKUP($T$89,'TAR FIN'!$A$1:$O$92,15,0))</f>
        <v>73.28</v>
      </c>
      <c r="X89" s="6">
        <f>IF(ISERROR(VLOOKUP($U$89,'TAR FIN'!$A$1:$O$92,15,0)),0,VLOOKUP($U$89,'TAR FIN'!$A$1:$O$92,15,0))</f>
        <v>286.76</v>
      </c>
      <c r="Y89" s="6"/>
      <c r="Z89" s="6">
        <f ca="1">('TUSD BE'!$AM$16+'TUSD BF_350'!$AM$16+'TUSD CVA'!$AM$16)*1</f>
        <v>126.25</v>
      </c>
      <c r="AA89" s="6">
        <f ca="1">('TE BE'!$AB$8+'TE BF_350'!$AB$8+'TE CVA'!$AB$8)*1</f>
        <v>250.03999999999996</v>
      </c>
      <c r="AB89" s="6">
        <f>$K$89*$V$89</f>
        <v>0</v>
      </c>
      <c r="AC89" s="6">
        <f>$M$89*$W$89</f>
        <v>736.47792320000008</v>
      </c>
      <c r="AD89" s="6">
        <f>$O$89*$X$89</f>
        <v>2881.9924844000002</v>
      </c>
      <c r="AE89" s="6">
        <f>$K$89*$Y$89</f>
        <v>0</v>
      </c>
      <c r="AF89" s="6">
        <f ca="1">$M$89*$Z$89</f>
        <v>1268.8364875</v>
      </c>
      <c r="AG89" s="6">
        <f ca="1">$O$89*$AA$89</f>
        <v>2512.9495075999998</v>
      </c>
    </row>
    <row r="90" spans="1:33" ht="11.25" customHeight="1" x14ac:dyDescent="0.3">
      <c r="A90" s="4" t="s">
        <v>21</v>
      </c>
      <c r="B90" s="4" t="s">
        <v>34</v>
      </c>
      <c r="C90" s="4" t="s">
        <v>35</v>
      </c>
      <c r="D90" s="4" t="s">
        <v>40</v>
      </c>
      <c r="E90" s="4" t="s">
        <v>25</v>
      </c>
      <c r="F90" s="4" t="s">
        <v>25</v>
      </c>
      <c r="G90" s="4" t="s">
        <v>25</v>
      </c>
      <c r="H90" s="4" t="s">
        <v>37</v>
      </c>
      <c r="I90" s="5">
        <v>44652</v>
      </c>
      <c r="J90" s="6">
        <v>0</v>
      </c>
      <c r="K90" s="6">
        <v>0</v>
      </c>
      <c r="L90" s="6">
        <v>42.305770000000003</v>
      </c>
      <c r="M90" s="6">
        <v>42.305770000000003</v>
      </c>
      <c r="N90" s="6">
        <v>42.305770000000003</v>
      </c>
      <c r="O90" s="6">
        <v>42.305770000000003</v>
      </c>
      <c r="P90" s="6">
        <v>0</v>
      </c>
      <c r="Q90" s="4" t="s">
        <v>26</v>
      </c>
      <c r="R90" s="4">
        <v>0</v>
      </c>
      <c r="S90" s="6">
        <v>0</v>
      </c>
      <c r="T90" s="6">
        <v>22</v>
      </c>
      <c r="U90" s="6">
        <v>84</v>
      </c>
      <c r="V90" s="6">
        <f>IF(ISERROR(VLOOKUP($S$90,'TAR FIN'!$A$1:$O$92,15,0)),0,VLOOKUP($S$90,'TAR FIN'!$A$1:$O$92,15,0))</f>
        <v>0</v>
      </c>
      <c r="W90" s="6">
        <f>IF(ISERROR(VLOOKUP($T$90,'TAR FIN'!$A$1:$O$92,15,0)),0,VLOOKUP($T$90,'TAR FIN'!$A$1:$O$92,15,0))</f>
        <v>73.28</v>
      </c>
      <c r="X90" s="6">
        <f>IF(ISERROR(VLOOKUP($U$90,'TAR FIN'!$A$1:$O$92,15,0)),0,VLOOKUP($U$90,'TAR FIN'!$A$1:$O$92,15,0))</f>
        <v>286.76</v>
      </c>
      <c r="Y90" s="6"/>
      <c r="Z90" s="6">
        <f ca="1">('TUSD BE'!$AM$16+'TUSD BF_350'!$AM$16+'TUSD CVA'!$AM$16)*1</f>
        <v>126.25</v>
      </c>
      <c r="AA90" s="6">
        <f ca="1">('TE BE'!$AB$8+'TE BF_350'!$AB$8+'TE CVA'!$AB$8)*1</f>
        <v>250.03999999999996</v>
      </c>
      <c r="AB90" s="6">
        <f>$K$90*$V$90</f>
        <v>0</v>
      </c>
      <c r="AC90" s="6">
        <f>$M$90*$W$90</f>
        <v>3100.1668256000003</v>
      </c>
      <c r="AD90" s="6">
        <f>$O$90*$X$90</f>
        <v>12131.6026052</v>
      </c>
      <c r="AE90" s="6">
        <f>$K$90*$Y$90</f>
        <v>0</v>
      </c>
      <c r="AF90" s="6">
        <f ca="1">$M$90*$Z$90</f>
        <v>5341.1034625000002</v>
      </c>
      <c r="AG90" s="6">
        <f ca="1">$O$90*$AA$90</f>
        <v>10578.134730799999</v>
      </c>
    </row>
    <row r="91" spans="1:33" ht="11.25" customHeight="1" x14ac:dyDescent="0.3">
      <c r="A91" s="4" t="s">
        <v>27</v>
      </c>
      <c r="B91" s="4" t="s">
        <v>34</v>
      </c>
      <c r="C91" s="4" t="s">
        <v>35</v>
      </c>
      <c r="D91" s="4" t="s">
        <v>40</v>
      </c>
      <c r="E91" s="4" t="s">
        <v>25</v>
      </c>
      <c r="F91" s="4" t="s">
        <v>25</v>
      </c>
      <c r="G91" s="4" t="s">
        <v>25</v>
      </c>
      <c r="H91" s="4" t="s">
        <v>37</v>
      </c>
      <c r="I91" s="5">
        <v>44652</v>
      </c>
      <c r="J91" s="6">
        <v>0</v>
      </c>
      <c r="K91" s="6">
        <v>0</v>
      </c>
      <c r="L91" s="6">
        <v>4.5</v>
      </c>
      <c r="M91" s="6">
        <v>4.5</v>
      </c>
      <c r="N91" s="6">
        <v>4.5</v>
      </c>
      <c r="O91" s="6">
        <v>4.5</v>
      </c>
      <c r="P91" s="6">
        <v>0</v>
      </c>
      <c r="Q91" s="4" t="s">
        <v>26</v>
      </c>
      <c r="R91" s="4">
        <v>0</v>
      </c>
      <c r="S91" s="6">
        <v>0</v>
      </c>
      <c r="T91" s="6">
        <v>22</v>
      </c>
      <c r="U91" s="6">
        <v>84</v>
      </c>
      <c r="V91" s="6">
        <f>IF(ISERROR(VLOOKUP($S$91,'TAR FIN'!$A$1:$O$92,15,0)),0,VLOOKUP($S$91,'TAR FIN'!$A$1:$O$92,15,0))</f>
        <v>0</v>
      </c>
      <c r="W91" s="6">
        <f>IF(ISERROR(VLOOKUP($T$91,'TAR FIN'!$A$1:$O$92,15,0)),0,VLOOKUP($T$91,'TAR FIN'!$A$1:$O$92,15,0))</f>
        <v>73.28</v>
      </c>
      <c r="X91" s="6">
        <f>IF(ISERROR(VLOOKUP($U$91,'TAR FIN'!$A$1:$O$92,15,0)),0,VLOOKUP($U$91,'TAR FIN'!$A$1:$O$92,15,0))</f>
        <v>286.76</v>
      </c>
      <c r="Y91" s="6"/>
      <c r="Z91" s="6">
        <f ca="1">('TUSD BE'!$AM$16+'TUSD BF_350'!$AM$16+'TUSD CVA'!$AM$16)*1</f>
        <v>126.25</v>
      </c>
      <c r="AA91" s="6">
        <f ca="1">('TE BE'!$AB$8+'TE BF_350'!$AB$8+'TE CVA'!$AB$8)*1</f>
        <v>250.03999999999996</v>
      </c>
      <c r="AB91" s="6">
        <f>$K$91*$V$91</f>
        <v>0</v>
      </c>
      <c r="AC91" s="6">
        <f>$M$91*$W$91</f>
        <v>329.76</v>
      </c>
      <c r="AD91" s="6">
        <f>$O$91*$X$91</f>
        <v>1290.42</v>
      </c>
      <c r="AE91" s="6">
        <f>$K$91*$Y$91</f>
        <v>0</v>
      </c>
      <c r="AF91" s="6">
        <f ca="1">$M$91*$Z$91</f>
        <v>568.125</v>
      </c>
      <c r="AG91" s="6">
        <f ca="1">$O$91*$AA$91</f>
        <v>1125.1799999999998</v>
      </c>
    </row>
    <row r="92" spans="1:33" ht="11.25" customHeight="1" x14ac:dyDescent="0.3">
      <c r="A92" s="4" t="s">
        <v>21</v>
      </c>
      <c r="B92" s="4" t="s">
        <v>34</v>
      </c>
      <c r="C92" s="4" t="s">
        <v>35</v>
      </c>
      <c r="D92" s="4" t="s">
        <v>40</v>
      </c>
      <c r="E92" s="4" t="s">
        <v>25</v>
      </c>
      <c r="F92" s="4" t="s">
        <v>25</v>
      </c>
      <c r="G92" s="4" t="s">
        <v>25</v>
      </c>
      <c r="H92" s="4" t="s">
        <v>37</v>
      </c>
      <c r="I92" s="5">
        <v>44682</v>
      </c>
      <c r="J92" s="6">
        <v>0</v>
      </c>
      <c r="K92" s="6">
        <v>0</v>
      </c>
      <c r="L92" s="6">
        <v>39.944510000000001</v>
      </c>
      <c r="M92" s="6">
        <v>39.944510000000001</v>
      </c>
      <c r="N92" s="6">
        <v>39.944510000000001</v>
      </c>
      <c r="O92" s="6">
        <v>39.944510000000001</v>
      </c>
      <c r="P92" s="6">
        <v>0</v>
      </c>
      <c r="Q92" s="4" t="s">
        <v>26</v>
      </c>
      <c r="R92" s="4">
        <v>0</v>
      </c>
      <c r="S92" s="6">
        <v>0</v>
      </c>
      <c r="T92" s="6">
        <v>22</v>
      </c>
      <c r="U92" s="6">
        <v>84</v>
      </c>
      <c r="V92" s="6">
        <f>IF(ISERROR(VLOOKUP($S$92,'TAR FIN'!$A$1:$O$92,15,0)),0,VLOOKUP($S$92,'TAR FIN'!$A$1:$O$92,15,0))</f>
        <v>0</v>
      </c>
      <c r="W92" s="6">
        <f>IF(ISERROR(VLOOKUP($T$92,'TAR FIN'!$A$1:$O$92,15,0)),0,VLOOKUP($T$92,'TAR FIN'!$A$1:$O$92,15,0))</f>
        <v>73.28</v>
      </c>
      <c r="X92" s="6">
        <f>IF(ISERROR(VLOOKUP($U$92,'TAR FIN'!$A$1:$O$92,15,0)),0,VLOOKUP($U$92,'TAR FIN'!$A$1:$O$92,15,0))</f>
        <v>286.76</v>
      </c>
      <c r="Y92" s="6"/>
      <c r="Z92" s="6">
        <f ca="1">('TUSD BE'!$AM$16+'TUSD BF_350'!$AM$16+'TUSD CVA'!$AM$16)*1</f>
        <v>126.25</v>
      </c>
      <c r="AA92" s="6">
        <f ca="1">('TE BE'!$AB$8+'TE BF_350'!$AB$8+'TE CVA'!$AB$8)*1</f>
        <v>250.03999999999996</v>
      </c>
      <c r="AB92" s="6">
        <f>$K$92*$V$92</f>
        <v>0</v>
      </c>
      <c r="AC92" s="6">
        <f>$M$92*$W$92</f>
        <v>2927.1336928000001</v>
      </c>
      <c r="AD92" s="6">
        <f>$O$92*$X$92</f>
        <v>11454.4876876</v>
      </c>
      <c r="AE92" s="6">
        <f>$K$92*$Y$92</f>
        <v>0</v>
      </c>
      <c r="AF92" s="6">
        <f ca="1">$M$92*$Z$92</f>
        <v>5042.9943874999999</v>
      </c>
      <c r="AG92" s="6">
        <f ca="1">$O$92*$AA$92</f>
        <v>9987.7252803999982</v>
      </c>
    </row>
    <row r="93" spans="1:33" ht="11.25" customHeight="1" x14ac:dyDescent="0.3">
      <c r="A93" s="4" t="s">
        <v>27</v>
      </c>
      <c r="B93" s="4" t="s">
        <v>34</v>
      </c>
      <c r="C93" s="4" t="s">
        <v>35</v>
      </c>
      <c r="D93" s="4" t="s">
        <v>40</v>
      </c>
      <c r="E93" s="4" t="s">
        <v>25</v>
      </c>
      <c r="F93" s="4" t="s">
        <v>25</v>
      </c>
      <c r="G93" s="4" t="s">
        <v>25</v>
      </c>
      <c r="H93" s="4" t="s">
        <v>37</v>
      </c>
      <c r="I93" s="5">
        <v>44682</v>
      </c>
      <c r="J93" s="6">
        <v>0</v>
      </c>
      <c r="K93" s="6">
        <v>0</v>
      </c>
      <c r="L93" s="6">
        <v>2.7362899999999999</v>
      </c>
      <c r="M93" s="6">
        <v>2.7362899999999999</v>
      </c>
      <c r="N93" s="6">
        <v>2.7362899999999999</v>
      </c>
      <c r="O93" s="6">
        <v>2.7362899999999999</v>
      </c>
      <c r="P93" s="6">
        <v>0</v>
      </c>
      <c r="Q93" s="4" t="s">
        <v>26</v>
      </c>
      <c r="R93" s="4">
        <v>0</v>
      </c>
      <c r="S93" s="6">
        <v>0</v>
      </c>
      <c r="T93" s="6">
        <v>22</v>
      </c>
      <c r="U93" s="6">
        <v>84</v>
      </c>
      <c r="V93" s="6">
        <f>IF(ISERROR(VLOOKUP($S$93,'TAR FIN'!$A$1:$O$92,15,0)),0,VLOOKUP($S$93,'TAR FIN'!$A$1:$O$92,15,0))</f>
        <v>0</v>
      </c>
      <c r="W93" s="6">
        <f>IF(ISERROR(VLOOKUP($T$93,'TAR FIN'!$A$1:$O$92,15,0)),0,VLOOKUP($T$93,'TAR FIN'!$A$1:$O$92,15,0))</f>
        <v>73.28</v>
      </c>
      <c r="X93" s="6">
        <f>IF(ISERROR(VLOOKUP($U$93,'TAR FIN'!$A$1:$O$92,15,0)),0,VLOOKUP($U$93,'TAR FIN'!$A$1:$O$92,15,0))</f>
        <v>286.76</v>
      </c>
      <c r="Y93" s="6"/>
      <c r="Z93" s="6">
        <f ca="1">('TUSD BE'!$AM$16+'TUSD BF_350'!$AM$16+'TUSD CVA'!$AM$16)*1</f>
        <v>126.25</v>
      </c>
      <c r="AA93" s="6">
        <f ca="1">('TE BE'!$AB$8+'TE BF_350'!$AB$8+'TE CVA'!$AB$8)*1</f>
        <v>250.03999999999996</v>
      </c>
      <c r="AB93" s="6">
        <f>$K$93*$V$93</f>
        <v>0</v>
      </c>
      <c r="AC93" s="6">
        <f>$M$93*$W$93</f>
        <v>200.51533119999999</v>
      </c>
      <c r="AD93" s="6">
        <f>$O$93*$X$93</f>
        <v>784.65852039999993</v>
      </c>
      <c r="AE93" s="6">
        <f>$K$93*$Y$93</f>
        <v>0</v>
      </c>
      <c r="AF93" s="6">
        <f ca="1">$M$93*$Z$93</f>
        <v>345.45661250000001</v>
      </c>
      <c r="AG93" s="6">
        <f ca="1">$O$93*$AA$93</f>
        <v>684.18195159999982</v>
      </c>
    </row>
    <row r="94" spans="1:33" ht="11.25" customHeight="1" x14ac:dyDescent="0.3">
      <c r="A94" s="4" t="s">
        <v>21</v>
      </c>
      <c r="B94" s="4" t="s">
        <v>34</v>
      </c>
      <c r="C94" s="4" t="s">
        <v>35</v>
      </c>
      <c r="D94" s="4" t="s">
        <v>40</v>
      </c>
      <c r="E94" s="4" t="s">
        <v>25</v>
      </c>
      <c r="F94" s="4" t="s">
        <v>25</v>
      </c>
      <c r="G94" s="4" t="s">
        <v>25</v>
      </c>
      <c r="H94" s="4" t="s">
        <v>37</v>
      </c>
      <c r="I94" s="5">
        <v>44713</v>
      </c>
      <c r="J94" s="6">
        <v>0</v>
      </c>
      <c r="K94" s="6">
        <v>0</v>
      </c>
      <c r="L94" s="6">
        <v>35.257950000000001</v>
      </c>
      <c r="M94" s="6">
        <v>35.257950000000001</v>
      </c>
      <c r="N94" s="6">
        <v>35.257950000000001</v>
      </c>
      <c r="O94" s="6">
        <v>35.257950000000001</v>
      </c>
      <c r="P94" s="6">
        <v>0</v>
      </c>
      <c r="Q94" s="4" t="s">
        <v>26</v>
      </c>
      <c r="R94" s="4">
        <v>0</v>
      </c>
      <c r="S94" s="6">
        <v>0</v>
      </c>
      <c r="T94" s="6">
        <v>22</v>
      </c>
      <c r="U94" s="6">
        <v>84</v>
      </c>
      <c r="V94" s="6">
        <f>IF(ISERROR(VLOOKUP($S$94,'TAR FIN'!$A$1:$O$92,15,0)),0,VLOOKUP($S$94,'TAR FIN'!$A$1:$O$92,15,0))</f>
        <v>0</v>
      </c>
      <c r="W94" s="6">
        <f>IF(ISERROR(VLOOKUP($T$94,'TAR FIN'!$A$1:$O$92,15,0)),0,VLOOKUP($T$94,'TAR FIN'!$A$1:$O$92,15,0))</f>
        <v>73.28</v>
      </c>
      <c r="X94" s="6">
        <f>IF(ISERROR(VLOOKUP($U$94,'TAR FIN'!$A$1:$O$92,15,0)),0,VLOOKUP($U$94,'TAR FIN'!$A$1:$O$92,15,0))</f>
        <v>286.76</v>
      </c>
      <c r="Y94" s="6"/>
      <c r="Z94" s="6">
        <f ca="1">('TUSD BE'!$AM$16+'TUSD BF_350'!$AM$16+'TUSD CVA'!$AM$16)*1</f>
        <v>126.25</v>
      </c>
      <c r="AA94" s="6">
        <f ca="1">('TE BE'!$AB$8+'TE BF_350'!$AB$8+'TE CVA'!$AB$8)*1</f>
        <v>250.03999999999996</v>
      </c>
      <c r="AB94" s="6">
        <f>$K$94*$V$94</f>
        <v>0</v>
      </c>
      <c r="AC94" s="6">
        <f>$M$94*$W$94</f>
        <v>2583.7025760000001</v>
      </c>
      <c r="AD94" s="6">
        <f>$O$94*$X$94</f>
        <v>10110.569742</v>
      </c>
      <c r="AE94" s="6">
        <f>$K$94*$Y$94</f>
        <v>0</v>
      </c>
      <c r="AF94" s="6">
        <f ca="1">$M$94*$Z$94</f>
        <v>4451.3161875000005</v>
      </c>
      <c r="AG94" s="6">
        <f ca="1">$O$94*$AA$94</f>
        <v>8815.8978179999995</v>
      </c>
    </row>
    <row r="95" spans="1:33" ht="11.25" customHeight="1" x14ac:dyDescent="0.3">
      <c r="A95" s="4" t="s">
        <v>27</v>
      </c>
      <c r="B95" s="4" t="s">
        <v>34</v>
      </c>
      <c r="C95" s="4" t="s">
        <v>35</v>
      </c>
      <c r="D95" s="4" t="s">
        <v>40</v>
      </c>
      <c r="E95" s="4" t="s">
        <v>25</v>
      </c>
      <c r="F95" s="4" t="s">
        <v>25</v>
      </c>
      <c r="G95" s="4" t="s">
        <v>25</v>
      </c>
      <c r="H95" s="4" t="s">
        <v>37</v>
      </c>
      <c r="I95" s="5">
        <v>44713</v>
      </c>
      <c r="J95" s="6">
        <v>0</v>
      </c>
      <c r="K95" s="6">
        <v>0</v>
      </c>
      <c r="L95" s="6">
        <v>5.1189999999999998</v>
      </c>
      <c r="M95" s="6">
        <v>5.1189999999999998</v>
      </c>
      <c r="N95" s="6">
        <v>5.1189999999999998</v>
      </c>
      <c r="O95" s="6">
        <v>5.1189999999999998</v>
      </c>
      <c r="P95" s="6">
        <v>0</v>
      </c>
      <c r="Q95" s="4" t="s">
        <v>26</v>
      </c>
      <c r="R95" s="4">
        <v>0</v>
      </c>
      <c r="S95" s="6">
        <v>0</v>
      </c>
      <c r="T95" s="6">
        <v>22</v>
      </c>
      <c r="U95" s="6">
        <v>84</v>
      </c>
      <c r="V95" s="6">
        <f>IF(ISERROR(VLOOKUP($S$95,'TAR FIN'!$A$1:$O$92,15,0)),0,VLOOKUP($S$95,'TAR FIN'!$A$1:$O$92,15,0))</f>
        <v>0</v>
      </c>
      <c r="W95" s="6">
        <f>IF(ISERROR(VLOOKUP($T$95,'TAR FIN'!$A$1:$O$92,15,0)),0,VLOOKUP($T$95,'TAR FIN'!$A$1:$O$92,15,0))</f>
        <v>73.28</v>
      </c>
      <c r="X95" s="6">
        <f>IF(ISERROR(VLOOKUP($U$95,'TAR FIN'!$A$1:$O$92,15,0)),0,VLOOKUP($U$95,'TAR FIN'!$A$1:$O$92,15,0))</f>
        <v>286.76</v>
      </c>
      <c r="Y95" s="6"/>
      <c r="Z95" s="6">
        <f ca="1">('TUSD BE'!$AM$16+'TUSD BF_350'!$AM$16+'TUSD CVA'!$AM$16)*1</f>
        <v>126.25</v>
      </c>
      <c r="AA95" s="6">
        <f ca="1">('TE BE'!$AB$8+'TE BF_350'!$AB$8+'TE CVA'!$AB$8)*1</f>
        <v>250.03999999999996</v>
      </c>
      <c r="AB95" s="6">
        <f>$K$95*$V$95</f>
        <v>0</v>
      </c>
      <c r="AC95" s="6">
        <f>$M$95*$W$95</f>
        <v>375.12031999999999</v>
      </c>
      <c r="AD95" s="6">
        <f>$O$95*$X$95</f>
        <v>1467.9244399999998</v>
      </c>
      <c r="AE95" s="6">
        <f>$K$95*$Y$95</f>
        <v>0</v>
      </c>
      <c r="AF95" s="6">
        <f ca="1">$M$95*$Z$95</f>
        <v>646.27374999999995</v>
      </c>
      <c r="AG95" s="6">
        <f ca="1">$O$95*$AA$95</f>
        <v>1279.9547599999999</v>
      </c>
    </row>
    <row r="96" spans="1:33" ht="11.25" customHeight="1" x14ac:dyDescent="0.3">
      <c r="A96" s="4" t="s">
        <v>21</v>
      </c>
      <c r="B96" s="4" t="s">
        <v>34</v>
      </c>
      <c r="C96" s="4" t="s">
        <v>35</v>
      </c>
      <c r="D96" s="4" t="s">
        <v>40</v>
      </c>
      <c r="E96" s="4" t="s">
        <v>25</v>
      </c>
      <c r="F96" s="4" t="s">
        <v>25</v>
      </c>
      <c r="G96" s="4" t="s">
        <v>25</v>
      </c>
      <c r="H96" s="4" t="s">
        <v>37</v>
      </c>
      <c r="I96" s="5">
        <v>44743</v>
      </c>
      <c r="J96" s="6">
        <v>0</v>
      </c>
      <c r="K96" s="6">
        <v>0</v>
      </c>
      <c r="L96" s="6">
        <v>35.941000000000003</v>
      </c>
      <c r="M96" s="6">
        <v>35.941000000000003</v>
      </c>
      <c r="N96" s="6">
        <v>35.941000000000003</v>
      </c>
      <c r="O96" s="6">
        <v>35.941000000000003</v>
      </c>
      <c r="P96" s="6">
        <v>0</v>
      </c>
      <c r="Q96" s="4" t="s">
        <v>26</v>
      </c>
      <c r="R96" s="4">
        <v>0</v>
      </c>
      <c r="S96" s="6">
        <v>0</v>
      </c>
      <c r="T96" s="6">
        <v>22</v>
      </c>
      <c r="U96" s="6">
        <v>84</v>
      </c>
      <c r="V96" s="6">
        <f>IF(ISERROR(VLOOKUP($S$96,'TAR FIN'!$A$1:$O$92,15,0)),0,VLOOKUP($S$96,'TAR FIN'!$A$1:$O$92,15,0))</f>
        <v>0</v>
      </c>
      <c r="W96" s="6">
        <f>IF(ISERROR(VLOOKUP($T$96,'TAR FIN'!$A$1:$O$92,15,0)),0,VLOOKUP($T$96,'TAR FIN'!$A$1:$O$92,15,0))</f>
        <v>73.28</v>
      </c>
      <c r="X96" s="6">
        <f>IF(ISERROR(VLOOKUP($U$96,'TAR FIN'!$A$1:$O$92,15,0)),0,VLOOKUP($U$96,'TAR FIN'!$A$1:$O$92,15,0))</f>
        <v>286.76</v>
      </c>
      <c r="Y96" s="6"/>
      <c r="Z96" s="6">
        <f ca="1">('TUSD BE'!$AM$16+'TUSD BF_350'!$AM$16+'TUSD CVA'!$AM$16)*1</f>
        <v>126.25</v>
      </c>
      <c r="AA96" s="6">
        <f ca="1">('TE BE'!$AB$8+'TE BF_350'!$AB$8+'TE CVA'!$AB$8)*1</f>
        <v>250.03999999999996</v>
      </c>
      <c r="AB96" s="6">
        <f>$K$96*$V$96</f>
        <v>0</v>
      </c>
      <c r="AC96" s="6">
        <f>$M$96*$W$96</f>
        <v>2633.75648</v>
      </c>
      <c r="AD96" s="6">
        <f>$O$96*$X$96</f>
        <v>10306.44116</v>
      </c>
      <c r="AE96" s="6">
        <f>$K$96*$Y$96</f>
        <v>0</v>
      </c>
      <c r="AF96" s="6">
        <f ca="1">$M$96*$Z$96</f>
        <v>4537.5512500000004</v>
      </c>
      <c r="AG96" s="6">
        <f ca="1">$O$96*$AA$96</f>
        <v>8986.6876400000001</v>
      </c>
    </row>
    <row r="97" spans="1:33" ht="11.25" customHeight="1" x14ac:dyDescent="0.3">
      <c r="A97" s="4" t="s">
        <v>27</v>
      </c>
      <c r="B97" s="4" t="s">
        <v>34</v>
      </c>
      <c r="C97" s="4" t="s">
        <v>35</v>
      </c>
      <c r="D97" s="4" t="s">
        <v>40</v>
      </c>
      <c r="E97" s="4" t="s">
        <v>25</v>
      </c>
      <c r="F97" s="4" t="s">
        <v>25</v>
      </c>
      <c r="G97" s="4" t="s">
        <v>25</v>
      </c>
      <c r="H97" s="4" t="s">
        <v>37</v>
      </c>
      <c r="I97" s="5">
        <v>44743</v>
      </c>
      <c r="J97" s="6">
        <v>0</v>
      </c>
      <c r="K97" s="6">
        <v>0</v>
      </c>
      <c r="L97" s="6">
        <v>1.0893600000000001</v>
      </c>
      <c r="M97" s="6">
        <v>1.0893600000000001</v>
      </c>
      <c r="N97" s="6">
        <v>1.0893600000000001</v>
      </c>
      <c r="O97" s="6">
        <v>1.0893600000000001</v>
      </c>
      <c r="P97" s="6">
        <v>0</v>
      </c>
      <c r="Q97" s="4" t="s">
        <v>26</v>
      </c>
      <c r="R97" s="4">
        <v>0</v>
      </c>
      <c r="S97" s="6">
        <v>0</v>
      </c>
      <c r="T97" s="6">
        <v>22</v>
      </c>
      <c r="U97" s="6">
        <v>84</v>
      </c>
      <c r="V97" s="6">
        <f>IF(ISERROR(VLOOKUP($S$97,'TAR FIN'!$A$1:$O$92,15,0)),0,VLOOKUP($S$97,'TAR FIN'!$A$1:$O$92,15,0))</f>
        <v>0</v>
      </c>
      <c r="W97" s="6">
        <f>IF(ISERROR(VLOOKUP($T$97,'TAR FIN'!$A$1:$O$92,15,0)),0,VLOOKUP($T$97,'TAR FIN'!$A$1:$O$92,15,0))</f>
        <v>73.28</v>
      </c>
      <c r="X97" s="6">
        <f>IF(ISERROR(VLOOKUP($U$97,'TAR FIN'!$A$1:$O$92,15,0)),0,VLOOKUP($U$97,'TAR FIN'!$A$1:$O$92,15,0))</f>
        <v>286.76</v>
      </c>
      <c r="Y97" s="6"/>
      <c r="Z97" s="6">
        <f ca="1">('TUSD BE'!$AM$16+'TUSD BF_350'!$AM$16+'TUSD CVA'!$AM$16)*1</f>
        <v>126.25</v>
      </c>
      <c r="AA97" s="6">
        <f ca="1">('TE BE'!$AB$8+'TE BF_350'!$AB$8+'TE CVA'!$AB$8)*1</f>
        <v>250.03999999999996</v>
      </c>
      <c r="AB97" s="6">
        <f>$K$97*$V$97</f>
        <v>0</v>
      </c>
      <c r="AC97" s="6">
        <f>$M$97*$W$97</f>
        <v>79.828300800000008</v>
      </c>
      <c r="AD97" s="6">
        <f>$O$97*$X$97</f>
        <v>312.38487360000005</v>
      </c>
      <c r="AE97" s="6">
        <f>$K$97*$Y$97</f>
        <v>0</v>
      </c>
      <c r="AF97" s="6">
        <f ca="1">$M$97*$Z$97</f>
        <v>137.5317</v>
      </c>
      <c r="AG97" s="6">
        <f ca="1">$O$97*$AA$97</f>
        <v>272.38357439999999</v>
      </c>
    </row>
    <row r="98" spans="1:33" ht="11.25" customHeight="1" x14ac:dyDescent="0.3">
      <c r="A98" s="4" t="s">
        <v>21</v>
      </c>
      <c r="B98" s="4" t="s">
        <v>34</v>
      </c>
      <c r="C98" s="4" t="s">
        <v>35</v>
      </c>
      <c r="D98" s="4" t="s">
        <v>40</v>
      </c>
      <c r="E98" s="4" t="s">
        <v>25</v>
      </c>
      <c r="F98" s="4" t="s">
        <v>25</v>
      </c>
      <c r="G98" s="4" t="s">
        <v>25</v>
      </c>
      <c r="H98" s="4" t="s">
        <v>25</v>
      </c>
      <c r="I98" s="5">
        <v>44409</v>
      </c>
      <c r="J98" s="6">
        <v>352</v>
      </c>
      <c r="K98" s="6">
        <v>352</v>
      </c>
      <c r="L98" s="6">
        <v>0</v>
      </c>
      <c r="M98" s="6">
        <v>0</v>
      </c>
      <c r="N98" s="6">
        <v>0</v>
      </c>
      <c r="O98" s="6">
        <v>0</v>
      </c>
      <c r="P98" s="6">
        <v>5</v>
      </c>
      <c r="Q98" s="4" t="s">
        <v>26</v>
      </c>
      <c r="R98" s="4">
        <v>0</v>
      </c>
      <c r="S98" s="6">
        <v>18</v>
      </c>
      <c r="T98" s="6">
        <v>0</v>
      </c>
      <c r="U98" s="6">
        <v>0</v>
      </c>
      <c r="V98" s="6">
        <f>IF(ISERROR(VLOOKUP($S$98,'TAR FIN'!$A$1:$O$92,15,0)),0,VLOOKUP($S$98,'TAR FIN'!$A$1:$O$92,15,0))</f>
        <v>18.489999999999998</v>
      </c>
      <c r="W98" s="6">
        <f>IF(ISERROR(VLOOKUP($T$98,'TAR FIN'!$A$1:$O$92,15,0)),0,VLOOKUP($T$98,'TAR FIN'!$A$1:$O$92,15,0))</f>
        <v>0</v>
      </c>
      <c r="X98" s="6">
        <f>IF(ISERROR(VLOOKUP($U$98,'TAR FIN'!$A$1:$O$92,15,0)),0,VLOOKUP($U$98,'TAR FIN'!$A$1:$O$92,15,0))</f>
        <v>0</v>
      </c>
      <c r="Y98" s="6">
        <f ca="1">('TUSD BE'!$AM$14+'TUSD BF_350'!$AM$14+'TUSD CVA'!$AM$14)*1</f>
        <v>15.64</v>
      </c>
      <c r="Z98" s="6"/>
      <c r="AA98" s="6"/>
      <c r="AB98" s="6">
        <f>$K$98*$V$98</f>
        <v>6508.48</v>
      </c>
      <c r="AC98" s="6">
        <f>$M$98*$W$98</f>
        <v>0</v>
      </c>
      <c r="AD98" s="6">
        <f>$O$98*$X$98</f>
        <v>0</v>
      </c>
      <c r="AE98" s="6">
        <f ca="1">$K$98*$Y$98</f>
        <v>5505.2800000000007</v>
      </c>
      <c r="AF98" s="6">
        <f>$M$98*$Z$98</f>
        <v>0</v>
      </c>
      <c r="AG98" s="6">
        <f>$O$98*$AA$98</f>
        <v>0</v>
      </c>
    </row>
    <row r="99" spans="1:33" ht="11.25" customHeight="1" x14ac:dyDescent="0.3">
      <c r="A99" s="4" t="s">
        <v>27</v>
      </c>
      <c r="B99" s="4" t="s">
        <v>34</v>
      </c>
      <c r="C99" s="4" t="s">
        <v>35</v>
      </c>
      <c r="D99" s="4" t="s">
        <v>40</v>
      </c>
      <c r="E99" s="4" t="s">
        <v>25</v>
      </c>
      <c r="F99" s="4" t="s">
        <v>25</v>
      </c>
      <c r="G99" s="4" t="s">
        <v>25</v>
      </c>
      <c r="H99" s="4" t="s">
        <v>25</v>
      </c>
      <c r="I99" s="5">
        <v>44409</v>
      </c>
      <c r="J99" s="6">
        <v>100</v>
      </c>
      <c r="K99" s="6">
        <v>100</v>
      </c>
      <c r="L99" s="6">
        <v>0</v>
      </c>
      <c r="M99" s="6">
        <v>0</v>
      </c>
      <c r="N99" s="6">
        <v>0</v>
      </c>
      <c r="O99" s="6">
        <v>0</v>
      </c>
      <c r="P99" s="6">
        <v>1</v>
      </c>
      <c r="Q99" s="4" t="s">
        <v>26</v>
      </c>
      <c r="R99" s="4">
        <v>0</v>
      </c>
      <c r="S99" s="6">
        <v>18</v>
      </c>
      <c r="T99" s="6">
        <v>0</v>
      </c>
      <c r="U99" s="6">
        <v>0</v>
      </c>
      <c r="V99" s="6">
        <f>IF(ISERROR(VLOOKUP($S$99,'TAR FIN'!$A$1:$O$92,15,0)),0,VLOOKUP($S$99,'TAR FIN'!$A$1:$O$92,15,0))</f>
        <v>18.489999999999998</v>
      </c>
      <c r="W99" s="6">
        <f>IF(ISERROR(VLOOKUP($T$99,'TAR FIN'!$A$1:$O$92,15,0)),0,VLOOKUP($T$99,'TAR FIN'!$A$1:$O$92,15,0))</f>
        <v>0</v>
      </c>
      <c r="X99" s="6">
        <f>IF(ISERROR(VLOOKUP($U$99,'TAR FIN'!$A$1:$O$92,15,0)),0,VLOOKUP($U$99,'TAR FIN'!$A$1:$O$92,15,0))</f>
        <v>0</v>
      </c>
      <c r="Y99" s="6">
        <f ca="1">('TUSD BE'!$AM$14+'TUSD BF_350'!$AM$14+'TUSD CVA'!$AM$14)*1</f>
        <v>15.64</v>
      </c>
      <c r="Z99" s="6"/>
      <c r="AA99" s="6"/>
      <c r="AB99" s="6">
        <f>$K$99*$V$99</f>
        <v>1848.9999999999998</v>
      </c>
      <c r="AC99" s="6">
        <f>$M$99*$W$99</f>
        <v>0</v>
      </c>
      <c r="AD99" s="6">
        <f>$O$99*$X$99</f>
        <v>0</v>
      </c>
      <c r="AE99" s="6">
        <f ca="1">$K$99*$Y$99</f>
        <v>1564</v>
      </c>
      <c r="AF99" s="6">
        <f>$M$99*$Z$99</f>
        <v>0</v>
      </c>
      <c r="AG99" s="6">
        <f>$O$99*$AA$99</f>
        <v>0</v>
      </c>
    </row>
    <row r="100" spans="1:33" ht="11.25" customHeight="1" x14ac:dyDescent="0.3">
      <c r="A100" s="4" t="s">
        <v>21</v>
      </c>
      <c r="B100" s="4" t="s">
        <v>34</v>
      </c>
      <c r="C100" s="4" t="s">
        <v>35</v>
      </c>
      <c r="D100" s="4" t="s">
        <v>40</v>
      </c>
      <c r="E100" s="4" t="s">
        <v>25</v>
      </c>
      <c r="F100" s="4" t="s">
        <v>25</v>
      </c>
      <c r="G100" s="4" t="s">
        <v>25</v>
      </c>
      <c r="H100" s="4" t="s">
        <v>25</v>
      </c>
      <c r="I100" s="5">
        <v>44440</v>
      </c>
      <c r="J100" s="6">
        <v>349.06</v>
      </c>
      <c r="K100" s="6">
        <v>349.06</v>
      </c>
      <c r="L100" s="6">
        <v>0</v>
      </c>
      <c r="M100" s="6">
        <v>0</v>
      </c>
      <c r="N100" s="6">
        <v>0</v>
      </c>
      <c r="O100" s="6">
        <v>0</v>
      </c>
      <c r="P100" s="6">
        <v>5</v>
      </c>
      <c r="Q100" s="4" t="s">
        <v>26</v>
      </c>
      <c r="R100" s="4">
        <v>0</v>
      </c>
      <c r="S100" s="6">
        <v>18</v>
      </c>
      <c r="T100" s="6">
        <v>0</v>
      </c>
      <c r="U100" s="6">
        <v>0</v>
      </c>
      <c r="V100" s="6">
        <f>IF(ISERROR(VLOOKUP($S$100,'TAR FIN'!$A$1:$O$92,15,0)),0,VLOOKUP($S$100,'TAR FIN'!$A$1:$O$92,15,0))</f>
        <v>18.489999999999998</v>
      </c>
      <c r="W100" s="6">
        <f>IF(ISERROR(VLOOKUP($T$100,'TAR FIN'!$A$1:$O$92,15,0)),0,VLOOKUP($T$100,'TAR FIN'!$A$1:$O$92,15,0))</f>
        <v>0</v>
      </c>
      <c r="X100" s="6">
        <f>IF(ISERROR(VLOOKUP($U$100,'TAR FIN'!$A$1:$O$92,15,0)),0,VLOOKUP($U$100,'TAR FIN'!$A$1:$O$92,15,0))</f>
        <v>0</v>
      </c>
      <c r="Y100" s="6">
        <f ca="1">('TUSD BE'!$AM$14+'TUSD BF_350'!$AM$14+'TUSD CVA'!$AM$14)*1</f>
        <v>15.64</v>
      </c>
      <c r="Z100" s="6"/>
      <c r="AA100" s="6"/>
      <c r="AB100" s="6">
        <f>$K$100*$V$100</f>
        <v>6454.1193999999996</v>
      </c>
      <c r="AC100" s="6">
        <f>$M$100*$W$100</f>
        <v>0</v>
      </c>
      <c r="AD100" s="6">
        <f>$O$100*$X$100</f>
        <v>0</v>
      </c>
      <c r="AE100" s="6">
        <f ca="1">$K$100*$Y$100</f>
        <v>5459.2984000000006</v>
      </c>
      <c r="AF100" s="6">
        <f>$M$100*$Z$100</f>
        <v>0</v>
      </c>
      <c r="AG100" s="6">
        <f>$O$100*$AA$100</f>
        <v>0</v>
      </c>
    </row>
    <row r="101" spans="1:33" ht="11.25" customHeight="1" x14ac:dyDescent="0.3">
      <c r="A101" s="4" t="s">
        <v>27</v>
      </c>
      <c r="B101" s="4" t="s">
        <v>34</v>
      </c>
      <c r="C101" s="4" t="s">
        <v>35</v>
      </c>
      <c r="D101" s="4" t="s">
        <v>40</v>
      </c>
      <c r="E101" s="4" t="s">
        <v>25</v>
      </c>
      <c r="F101" s="4" t="s">
        <v>25</v>
      </c>
      <c r="G101" s="4" t="s">
        <v>25</v>
      </c>
      <c r="H101" s="4" t="s">
        <v>25</v>
      </c>
      <c r="I101" s="5">
        <v>44440</v>
      </c>
      <c r="J101" s="6">
        <v>100</v>
      </c>
      <c r="K101" s="6">
        <v>100</v>
      </c>
      <c r="L101" s="6">
        <v>0</v>
      </c>
      <c r="M101" s="6">
        <v>0</v>
      </c>
      <c r="N101" s="6">
        <v>0</v>
      </c>
      <c r="O101" s="6">
        <v>0</v>
      </c>
      <c r="P101" s="6">
        <v>1</v>
      </c>
      <c r="Q101" s="4" t="s">
        <v>26</v>
      </c>
      <c r="R101" s="4">
        <v>0</v>
      </c>
      <c r="S101" s="6">
        <v>18</v>
      </c>
      <c r="T101" s="6">
        <v>0</v>
      </c>
      <c r="U101" s="6">
        <v>0</v>
      </c>
      <c r="V101" s="6">
        <f>IF(ISERROR(VLOOKUP($S$101,'TAR FIN'!$A$1:$O$92,15,0)),0,VLOOKUP($S$101,'TAR FIN'!$A$1:$O$92,15,0))</f>
        <v>18.489999999999998</v>
      </c>
      <c r="W101" s="6">
        <f>IF(ISERROR(VLOOKUP($T$101,'TAR FIN'!$A$1:$O$92,15,0)),0,VLOOKUP($T$101,'TAR FIN'!$A$1:$O$92,15,0))</f>
        <v>0</v>
      </c>
      <c r="X101" s="6">
        <f>IF(ISERROR(VLOOKUP($U$101,'TAR FIN'!$A$1:$O$92,15,0)),0,VLOOKUP($U$101,'TAR FIN'!$A$1:$O$92,15,0))</f>
        <v>0</v>
      </c>
      <c r="Y101" s="6">
        <f ca="1">('TUSD BE'!$AM$14+'TUSD BF_350'!$AM$14+'TUSD CVA'!$AM$14)*1</f>
        <v>15.64</v>
      </c>
      <c r="Z101" s="6"/>
      <c r="AA101" s="6"/>
      <c r="AB101" s="6">
        <f>$K$101*$V$101</f>
        <v>1848.9999999999998</v>
      </c>
      <c r="AC101" s="6">
        <f>$M$101*$W$101</f>
        <v>0</v>
      </c>
      <c r="AD101" s="6">
        <f>$O$101*$X$101</f>
        <v>0</v>
      </c>
      <c r="AE101" s="6">
        <f ca="1">$K$101*$Y$101</f>
        <v>1564</v>
      </c>
      <c r="AF101" s="6">
        <f>$M$101*$Z$101</f>
        <v>0</v>
      </c>
      <c r="AG101" s="6">
        <f>$O$101*$AA$101</f>
        <v>0</v>
      </c>
    </row>
    <row r="102" spans="1:33" ht="11.25" customHeight="1" x14ac:dyDescent="0.3">
      <c r="A102" s="4" t="s">
        <v>21</v>
      </c>
      <c r="B102" s="4" t="s">
        <v>34</v>
      </c>
      <c r="C102" s="4" t="s">
        <v>35</v>
      </c>
      <c r="D102" s="4" t="s">
        <v>40</v>
      </c>
      <c r="E102" s="4" t="s">
        <v>25</v>
      </c>
      <c r="F102" s="4" t="s">
        <v>25</v>
      </c>
      <c r="G102" s="4" t="s">
        <v>25</v>
      </c>
      <c r="H102" s="4" t="s">
        <v>25</v>
      </c>
      <c r="I102" s="5">
        <v>44470</v>
      </c>
      <c r="J102" s="6">
        <v>351.41</v>
      </c>
      <c r="K102" s="6">
        <v>351.41</v>
      </c>
      <c r="L102" s="6">
        <v>0</v>
      </c>
      <c r="M102" s="6">
        <v>0</v>
      </c>
      <c r="N102" s="6">
        <v>0</v>
      </c>
      <c r="O102" s="6">
        <v>0</v>
      </c>
      <c r="P102" s="6">
        <v>5</v>
      </c>
      <c r="Q102" s="4" t="s">
        <v>26</v>
      </c>
      <c r="R102" s="4">
        <v>0</v>
      </c>
      <c r="S102" s="6">
        <v>18</v>
      </c>
      <c r="T102" s="6">
        <v>0</v>
      </c>
      <c r="U102" s="6">
        <v>0</v>
      </c>
      <c r="V102" s="6">
        <f>IF(ISERROR(VLOOKUP($S$102,'TAR FIN'!$A$1:$O$92,15,0)),0,VLOOKUP($S$102,'TAR FIN'!$A$1:$O$92,15,0))</f>
        <v>18.489999999999998</v>
      </c>
      <c r="W102" s="6">
        <f>IF(ISERROR(VLOOKUP($T$102,'TAR FIN'!$A$1:$O$92,15,0)),0,VLOOKUP($T$102,'TAR FIN'!$A$1:$O$92,15,0))</f>
        <v>0</v>
      </c>
      <c r="X102" s="6">
        <f>IF(ISERROR(VLOOKUP($U$102,'TAR FIN'!$A$1:$O$92,15,0)),0,VLOOKUP($U$102,'TAR FIN'!$A$1:$O$92,15,0))</f>
        <v>0</v>
      </c>
      <c r="Y102" s="6">
        <f ca="1">('TUSD BE'!$AM$14+'TUSD BF_350'!$AM$14+'TUSD CVA'!$AM$14)*1</f>
        <v>15.64</v>
      </c>
      <c r="Z102" s="6"/>
      <c r="AA102" s="6"/>
      <c r="AB102" s="6">
        <f>$K$102*$V$102</f>
        <v>6497.5708999999997</v>
      </c>
      <c r="AC102" s="6">
        <f>$M$102*$W$102</f>
        <v>0</v>
      </c>
      <c r="AD102" s="6">
        <f>$O$102*$X$102</f>
        <v>0</v>
      </c>
      <c r="AE102" s="6">
        <f ca="1">$K$102*$Y$102</f>
        <v>5496.0524000000005</v>
      </c>
      <c r="AF102" s="6">
        <f>$M$102*$Z$102</f>
        <v>0</v>
      </c>
      <c r="AG102" s="6">
        <f>$O$102*$AA$102</f>
        <v>0</v>
      </c>
    </row>
    <row r="103" spans="1:33" ht="11.25" customHeight="1" x14ac:dyDescent="0.3">
      <c r="A103" s="4" t="s">
        <v>27</v>
      </c>
      <c r="B103" s="4" t="s">
        <v>34</v>
      </c>
      <c r="C103" s="4" t="s">
        <v>35</v>
      </c>
      <c r="D103" s="4" t="s">
        <v>40</v>
      </c>
      <c r="E103" s="4" t="s">
        <v>25</v>
      </c>
      <c r="F103" s="4" t="s">
        <v>25</v>
      </c>
      <c r="G103" s="4" t="s">
        <v>25</v>
      </c>
      <c r="H103" s="4" t="s">
        <v>25</v>
      </c>
      <c r="I103" s="5">
        <v>44470</v>
      </c>
      <c r="J103" s="6">
        <v>100</v>
      </c>
      <c r="K103" s="6">
        <v>100</v>
      </c>
      <c r="L103" s="6">
        <v>0</v>
      </c>
      <c r="M103" s="6">
        <v>0</v>
      </c>
      <c r="N103" s="6">
        <v>0</v>
      </c>
      <c r="O103" s="6">
        <v>0</v>
      </c>
      <c r="P103" s="6">
        <v>1</v>
      </c>
      <c r="Q103" s="4" t="s">
        <v>26</v>
      </c>
      <c r="R103" s="4">
        <v>0</v>
      </c>
      <c r="S103" s="6">
        <v>18</v>
      </c>
      <c r="T103" s="6">
        <v>0</v>
      </c>
      <c r="U103" s="6">
        <v>0</v>
      </c>
      <c r="V103" s="6">
        <f>IF(ISERROR(VLOOKUP($S$103,'TAR FIN'!$A$1:$O$92,15,0)),0,VLOOKUP($S$103,'TAR FIN'!$A$1:$O$92,15,0))</f>
        <v>18.489999999999998</v>
      </c>
      <c r="W103" s="6">
        <f>IF(ISERROR(VLOOKUP($T$103,'TAR FIN'!$A$1:$O$92,15,0)),0,VLOOKUP($T$103,'TAR FIN'!$A$1:$O$92,15,0))</f>
        <v>0</v>
      </c>
      <c r="X103" s="6">
        <f>IF(ISERROR(VLOOKUP($U$103,'TAR FIN'!$A$1:$O$92,15,0)),0,VLOOKUP($U$103,'TAR FIN'!$A$1:$O$92,15,0))</f>
        <v>0</v>
      </c>
      <c r="Y103" s="6">
        <f ca="1">('TUSD BE'!$AM$14+'TUSD BF_350'!$AM$14+'TUSD CVA'!$AM$14)*1</f>
        <v>15.64</v>
      </c>
      <c r="Z103" s="6"/>
      <c r="AA103" s="6"/>
      <c r="AB103" s="6">
        <f>$K$103*$V$103</f>
        <v>1848.9999999999998</v>
      </c>
      <c r="AC103" s="6">
        <f>$M$103*$W$103</f>
        <v>0</v>
      </c>
      <c r="AD103" s="6">
        <f>$O$103*$X$103</f>
        <v>0</v>
      </c>
      <c r="AE103" s="6">
        <f ca="1">$K$103*$Y$103</f>
        <v>1564</v>
      </c>
      <c r="AF103" s="6">
        <f>$M$103*$Z$103</f>
        <v>0</v>
      </c>
      <c r="AG103" s="6">
        <f>$O$103*$AA$103</f>
        <v>0</v>
      </c>
    </row>
    <row r="104" spans="1:33" ht="11.25" customHeight="1" x14ac:dyDescent="0.3">
      <c r="A104" s="4" t="s">
        <v>21</v>
      </c>
      <c r="B104" s="4" t="s">
        <v>34</v>
      </c>
      <c r="C104" s="4" t="s">
        <v>35</v>
      </c>
      <c r="D104" s="4" t="s">
        <v>40</v>
      </c>
      <c r="E104" s="4" t="s">
        <v>25</v>
      </c>
      <c r="F104" s="4" t="s">
        <v>25</v>
      </c>
      <c r="G104" s="4" t="s">
        <v>25</v>
      </c>
      <c r="H104" s="4" t="s">
        <v>25</v>
      </c>
      <c r="I104" s="5">
        <v>44501</v>
      </c>
      <c r="J104" s="6">
        <v>366</v>
      </c>
      <c r="K104" s="6">
        <v>366</v>
      </c>
      <c r="L104" s="6">
        <v>0</v>
      </c>
      <c r="M104" s="6">
        <v>0</v>
      </c>
      <c r="N104" s="6">
        <v>0</v>
      </c>
      <c r="O104" s="6">
        <v>0</v>
      </c>
      <c r="P104" s="6">
        <v>6</v>
      </c>
      <c r="Q104" s="4" t="s">
        <v>26</v>
      </c>
      <c r="R104" s="4">
        <v>0</v>
      </c>
      <c r="S104" s="6">
        <v>18</v>
      </c>
      <c r="T104" s="6">
        <v>0</v>
      </c>
      <c r="U104" s="6">
        <v>0</v>
      </c>
      <c r="V104" s="6">
        <f>IF(ISERROR(VLOOKUP($S$104,'TAR FIN'!$A$1:$O$92,15,0)),0,VLOOKUP($S$104,'TAR FIN'!$A$1:$O$92,15,0))</f>
        <v>18.489999999999998</v>
      </c>
      <c r="W104" s="6">
        <f>IF(ISERROR(VLOOKUP($T$104,'TAR FIN'!$A$1:$O$92,15,0)),0,VLOOKUP($T$104,'TAR FIN'!$A$1:$O$92,15,0))</f>
        <v>0</v>
      </c>
      <c r="X104" s="6">
        <f>IF(ISERROR(VLOOKUP($U$104,'TAR FIN'!$A$1:$O$92,15,0)),0,VLOOKUP($U$104,'TAR FIN'!$A$1:$O$92,15,0))</f>
        <v>0</v>
      </c>
      <c r="Y104" s="6">
        <f ca="1">('TUSD BE'!$AM$14+'TUSD BF_350'!$AM$14+'TUSD CVA'!$AM$14)*1</f>
        <v>15.64</v>
      </c>
      <c r="Z104" s="6"/>
      <c r="AA104" s="6"/>
      <c r="AB104" s="6">
        <f>$K$104*$V$104</f>
        <v>6767.3399999999992</v>
      </c>
      <c r="AC104" s="6">
        <f>$M$104*$W$104</f>
        <v>0</v>
      </c>
      <c r="AD104" s="6">
        <f>$O$104*$X$104</f>
        <v>0</v>
      </c>
      <c r="AE104" s="6">
        <f ca="1">$K$104*$Y$104</f>
        <v>5724.24</v>
      </c>
      <c r="AF104" s="6">
        <f>$M$104*$Z$104</f>
        <v>0</v>
      </c>
      <c r="AG104" s="6">
        <f>$O$104*$AA$104</f>
        <v>0</v>
      </c>
    </row>
    <row r="105" spans="1:33" ht="11.25" customHeight="1" x14ac:dyDescent="0.3">
      <c r="A105" s="4" t="s">
        <v>27</v>
      </c>
      <c r="B105" s="4" t="s">
        <v>34</v>
      </c>
      <c r="C105" s="4" t="s">
        <v>35</v>
      </c>
      <c r="D105" s="4" t="s">
        <v>40</v>
      </c>
      <c r="E105" s="4" t="s">
        <v>25</v>
      </c>
      <c r="F105" s="4" t="s">
        <v>25</v>
      </c>
      <c r="G105" s="4" t="s">
        <v>25</v>
      </c>
      <c r="H105" s="4" t="s">
        <v>25</v>
      </c>
      <c r="I105" s="5">
        <v>44501</v>
      </c>
      <c r="J105" s="6">
        <v>100</v>
      </c>
      <c r="K105" s="6">
        <v>100</v>
      </c>
      <c r="L105" s="6">
        <v>0</v>
      </c>
      <c r="M105" s="6">
        <v>0</v>
      </c>
      <c r="N105" s="6">
        <v>0</v>
      </c>
      <c r="O105" s="6">
        <v>0</v>
      </c>
      <c r="P105" s="6">
        <v>1</v>
      </c>
      <c r="Q105" s="4" t="s">
        <v>26</v>
      </c>
      <c r="R105" s="4">
        <v>0</v>
      </c>
      <c r="S105" s="6">
        <v>18</v>
      </c>
      <c r="T105" s="6">
        <v>0</v>
      </c>
      <c r="U105" s="6">
        <v>0</v>
      </c>
      <c r="V105" s="6">
        <f>IF(ISERROR(VLOOKUP($S$105,'TAR FIN'!$A$1:$O$92,15,0)),0,VLOOKUP($S$105,'TAR FIN'!$A$1:$O$92,15,0))</f>
        <v>18.489999999999998</v>
      </c>
      <c r="W105" s="6">
        <f>IF(ISERROR(VLOOKUP($T$105,'TAR FIN'!$A$1:$O$92,15,0)),0,VLOOKUP($T$105,'TAR FIN'!$A$1:$O$92,15,0))</f>
        <v>0</v>
      </c>
      <c r="X105" s="6">
        <f>IF(ISERROR(VLOOKUP($U$105,'TAR FIN'!$A$1:$O$92,15,0)),0,VLOOKUP($U$105,'TAR FIN'!$A$1:$O$92,15,0))</f>
        <v>0</v>
      </c>
      <c r="Y105" s="6">
        <f ca="1">('TUSD BE'!$AM$14+'TUSD BF_350'!$AM$14+'TUSD CVA'!$AM$14)*1</f>
        <v>15.64</v>
      </c>
      <c r="Z105" s="6"/>
      <c r="AA105" s="6"/>
      <c r="AB105" s="6">
        <f>$K$105*$V$105</f>
        <v>1848.9999999999998</v>
      </c>
      <c r="AC105" s="6">
        <f>$M$105*$W$105</f>
        <v>0</v>
      </c>
      <c r="AD105" s="6">
        <f>$O$105*$X$105</f>
        <v>0</v>
      </c>
      <c r="AE105" s="6">
        <f ca="1">$K$105*$Y$105</f>
        <v>1564</v>
      </c>
      <c r="AF105" s="6">
        <f>$M$105*$Z$105</f>
        <v>0</v>
      </c>
      <c r="AG105" s="6">
        <f>$O$105*$AA$105</f>
        <v>0</v>
      </c>
    </row>
    <row r="106" spans="1:33" ht="11.25" customHeight="1" x14ac:dyDescent="0.3">
      <c r="A106" s="4" t="s">
        <v>21</v>
      </c>
      <c r="B106" s="4" t="s">
        <v>34</v>
      </c>
      <c r="C106" s="4" t="s">
        <v>35</v>
      </c>
      <c r="D106" s="4" t="s">
        <v>40</v>
      </c>
      <c r="E106" s="4" t="s">
        <v>25</v>
      </c>
      <c r="F106" s="4" t="s">
        <v>25</v>
      </c>
      <c r="G106" s="4" t="s">
        <v>25</v>
      </c>
      <c r="H106" s="4" t="s">
        <v>25</v>
      </c>
      <c r="I106" s="5">
        <v>44531</v>
      </c>
      <c r="J106" s="6">
        <v>389.11</v>
      </c>
      <c r="K106" s="6">
        <v>389.11</v>
      </c>
      <c r="L106" s="6">
        <v>0</v>
      </c>
      <c r="M106" s="6">
        <v>0</v>
      </c>
      <c r="N106" s="6">
        <v>0</v>
      </c>
      <c r="O106" s="6">
        <v>0</v>
      </c>
      <c r="P106" s="6">
        <v>6</v>
      </c>
      <c r="Q106" s="4" t="s">
        <v>26</v>
      </c>
      <c r="R106" s="4">
        <v>0</v>
      </c>
      <c r="S106" s="6">
        <v>18</v>
      </c>
      <c r="T106" s="6">
        <v>0</v>
      </c>
      <c r="U106" s="6">
        <v>0</v>
      </c>
      <c r="V106" s="6">
        <f>IF(ISERROR(VLOOKUP($S$106,'TAR FIN'!$A$1:$O$92,15,0)),0,VLOOKUP($S$106,'TAR FIN'!$A$1:$O$92,15,0))</f>
        <v>18.489999999999998</v>
      </c>
      <c r="W106" s="6">
        <f>IF(ISERROR(VLOOKUP($T$106,'TAR FIN'!$A$1:$O$92,15,0)),0,VLOOKUP($T$106,'TAR FIN'!$A$1:$O$92,15,0))</f>
        <v>0</v>
      </c>
      <c r="X106" s="6">
        <f>IF(ISERROR(VLOOKUP($U$106,'TAR FIN'!$A$1:$O$92,15,0)),0,VLOOKUP($U$106,'TAR FIN'!$A$1:$O$92,15,0))</f>
        <v>0</v>
      </c>
      <c r="Y106" s="6">
        <f ca="1">('TUSD BE'!$AM$14+'TUSD BF_350'!$AM$14+'TUSD CVA'!$AM$14)*1</f>
        <v>15.64</v>
      </c>
      <c r="Z106" s="6"/>
      <c r="AA106" s="6"/>
      <c r="AB106" s="6">
        <f>$K$106*$V$106</f>
        <v>7194.6439</v>
      </c>
      <c r="AC106" s="6">
        <f>$M$106*$W$106</f>
        <v>0</v>
      </c>
      <c r="AD106" s="6">
        <f>$O$106*$X$106</f>
        <v>0</v>
      </c>
      <c r="AE106" s="6">
        <f ca="1">$K$106*$Y$106</f>
        <v>6085.6804000000002</v>
      </c>
      <c r="AF106" s="6">
        <f>$M$106*$Z$106</f>
        <v>0</v>
      </c>
      <c r="AG106" s="6">
        <f>$O$106*$AA$106</f>
        <v>0</v>
      </c>
    </row>
    <row r="107" spans="1:33" ht="11.25" customHeight="1" x14ac:dyDescent="0.3">
      <c r="A107" s="4" t="s">
        <v>27</v>
      </c>
      <c r="B107" s="4" t="s">
        <v>34</v>
      </c>
      <c r="C107" s="4" t="s">
        <v>35</v>
      </c>
      <c r="D107" s="4" t="s">
        <v>40</v>
      </c>
      <c r="E107" s="4" t="s">
        <v>25</v>
      </c>
      <c r="F107" s="4" t="s">
        <v>25</v>
      </c>
      <c r="G107" s="4" t="s">
        <v>25</v>
      </c>
      <c r="H107" s="4" t="s">
        <v>25</v>
      </c>
      <c r="I107" s="5">
        <v>44531</v>
      </c>
      <c r="J107" s="6">
        <v>100</v>
      </c>
      <c r="K107" s="6">
        <v>100</v>
      </c>
      <c r="L107" s="6">
        <v>0</v>
      </c>
      <c r="M107" s="6">
        <v>0</v>
      </c>
      <c r="N107" s="6">
        <v>0</v>
      </c>
      <c r="O107" s="6">
        <v>0</v>
      </c>
      <c r="P107" s="6">
        <v>1</v>
      </c>
      <c r="Q107" s="4" t="s">
        <v>26</v>
      </c>
      <c r="R107" s="4">
        <v>0</v>
      </c>
      <c r="S107" s="6">
        <v>18</v>
      </c>
      <c r="T107" s="6">
        <v>0</v>
      </c>
      <c r="U107" s="6">
        <v>0</v>
      </c>
      <c r="V107" s="6">
        <f>IF(ISERROR(VLOOKUP($S$107,'TAR FIN'!$A$1:$O$92,15,0)),0,VLOOKUP($S$107,'TAR FIN'!$A$1:$O$92,15,0))</f>
        <v>18.489999999999998</v>
      </c>
      <c r="W107" s="6">
        <f>IF(ISERROR(VLOOKUP($T$107,'TAR FIN'!$A$1:$O$92,15,0)),0,VLOOKUP($T$107,'TAR FIN'!$A$1:$O$92,15,0))</f>
        <v>0</v>
      </c>
      <c r="X107" s="6">
        <f>IF(ISERROR(VLOOKUP($U$107,'TAR FIN'!$A$1:$O$92,15,0)),0,VLOOKUP($U$107,'TAR FIN'!$A$1:$O$92,15,0))</f>
        <v>0</v>
      </c>
      <c r="Y107" s="6">
        <f ca="1">('TUSD BE'!$AM$14+'TUSD BF_350'!$AM$14+'TUSD CVA'!$AM$14)*1</f>
        <v>15.64</v>
      </c>
      <c r="Z107" s="6"/>
      <c r="AA107" s="6"/>
      <c r="AB107" s="6">
        <f>$K$107*$V$107</f>
        <v>1848.9999999999998</v>
      </c>
      <c r="AC107" s="6">
        <f>$M$107*$W$107</f>
        <v>0</v>
      </c>
      <c r="AD107" s="6">
        <f>$O$107*$X$107</f>
        <v>0</v>
      </c>
      <c r="AE107" s="6">
        <f ca="1">$K$107*$Y$107</f>
        <v>1564</v>
      </c>
      <c r="AF107" s="6">
        <f>$M$107*$Z$107</f>
        <v>0</v>
      </c>
      <c r="AG107" s="6">
        <f>$O$107*$AA$107</f>
        <v>0</v>
      </c>
    </row>
    <row r="108" spans="1:33" ht="11.25" customHeight="1" x14ac:dyDescent="0.3">
      <c r="A108" s="4" t="s">
        <v>21</v>
      </c>
      <c r="B108" s="4" t="s">
        <v>34</v>
      </c>
      <c r="C108" s="4" t="s">
        <v>35</v>
      </c>
      <c r="D108" s="4" t="s">
        <v>40</v>
      </c>
      <c r="E108" s="4" t="s">
        <v>25</v>
      </c>
      <c r="F108" s="4" t="s">
        <v>25</v>
      </c>
      <c r="G108" s="4" t="s">
        <v>25</v>
      </c>
      <c r="H108" s="4" t="s">
        <v>25</v>
      </c>
      <c r="I108" s="5">
        <v>44562</v>
      </c>
      <c r="J108" s="6">
        <v>394</v>
      </c>
      <c r="K108" s="6">
        <v>394</v>
      </c>
      <c r="L108" s="6">
        <v>0</v>
      </c>
      <c r="M108" s="6">
        <v>0</v>
      </c>
      <c r="N108" s="6">
        <v>0</v>
      </c>
      <c r="O108" s="6">
        <v>0</v>
      </c>
      <c r="P108" s="6">
        <v>6</v>
      </c>
      <c r="Q108" s="4" t="s">
        <v>26</v>
      </c>
      <c r="R108" s="4">
        <v>0</v>
      </c>
      <c r="S108" s="6">
        <v>18</v>
      </c>
      <c r="T108" s="6">
        <v>0</v>
      </c>
      <c r="U108" s="6">
        <v>0</v>
      </c>
      <c r="V108" s="6">
        <f>IF(ISERROR(VLOOKUP($S$108,'TAR FIN'!$A$1:$O$92,15,0)),0,VLOOKUP($S$108,'TAR FIN'!$A$1:$O$92,15,0))</f>
        <v>18.489999999999998</v>
      </c>
      <c r="W108" s="6">
        <f>IF(ISERROR(VLOOKUP($T$108,'TAR FIN'!$A$1:$O$92,15,0)),0,VLOOKUP($T$108,'TAR FIN'!$A$1:$O$92,15,0))</f>
        <v>0</v>
      </c>
      <c r="X108" s="6">
        <f>IF(ISERROR(VLOOKUP($U$108,'TAR FIN'!$A$1:$O$92,15,0)),0,VLOOKUP($U$108,'TAR FIN'!$A$1:$O$92,15,0))</f>
        <v>0</v>
      </c>
      <c r="Y108" s="6">
        <f ca="1">('TUSD BE'!$AM$14+'TUSD BF_350'!$AM$14+'TUSD CVA'!$AM$14)*1</f>
        <v>15.64</v>
      </c>
      <c r="Z108" s="6"/>
      <c r="AA108" s="6"/>
      <c r="AB108" s="6">
        <f>$K$108*$V$108</f>
        <v>7285.0599999999995</v>
      </c>
      <c r="AC108" s="6">
        <f>$M$108*$W$108</f>
        <v>0</v>
      </c>
      <c r="AD108" s="6">
        <f>$O$108*$X$108</f>
        <v>0</v>
      </c>
      <c r="AE108" s="6">
        <f ca="1">$K$108*$Y$108</f>
        <v>6162.16</v>
      </c>
      <c r="AF108" s="6">
        <f>$M$108*$Z$108</f>
        <v>0</v>
      </c>
      <c r="AG108" s="6">
        <f>$O$108*$AA$108</f>
        <v>0</v>
      </c>
    </row>
    <row r="109" spans="1:33" ht="11.25" customHeight="1" x14ac:dyDescent="0.3">
      <c r="A109" s="4" t="s">
        <v>27</v>
      </c>
      <c r="B109" s="4" t="s">
        <v>34</v>
      </c>
      <c r="C109" s="4" t="s">
        <v>35</v>
      </c>
      <c r="D109" s="4" t="s">
        <v>40</v>
      </c>
      <c r="E109" s="4" t="s">
        <v>25</v>
      </c>
      <c r="F109" s="4" t="s">
        <v>25</v>
      </c>
      <c r="G109" s="4" t="s">
        <v>25</v>
      </c>
      <c r="H109" s="4" t="s">
        <v>25</v>
      </c>
      <c r="I109" s="5">
        <v>44562</v>
      </c>
      <c r="J109" s="6">
        <v>100</v>
      </c>
      <c r="K109" s="6">
        <v>100</v>
      </c>
      <c r="L109" s="6">
        <v>0</v>
      </c>
      <c r="M109" s="6">
        <v>0</v>
      </c>
      <c r="N109" s="6">
        <v>0</v>
      </c>
      <c r="O109" s="6">
        <v>0</v>
      </c>
      <c r="P109" s="6">
        <v>1</v>
      </c>
      <c r="Q109" s="4" t="s">
        <v>26</v>
      </c>
      <c r="R109" s="4">
        <v>0</v>
      </c>
      <c r="S109" s="6">
        <v>18</v>
      </c>
      <c r="T109" s="6">
        <v>0</v>
      </c>
      <c r="U109" s="6">
        <v>0</v>
      </c>
      <c r="V109" s="6">
        <f>IF(ISERROR(VLOOKUP($S$109,'TAR FIN'!$A$1:$O$92,15,0)),0,VLOOKUP($S$109,'TAR FIN'!$A$1:$O$92,15,0))</f>
        <v>18.489999999999998</v>
      </c>
      <c r="W109" s="6">
        <f>IF(ISERROR(VLOOKUP($T$109,'TAR FIN'!$A$1:$O$92,15,0)),0,VLOOKUP($T$109,'TAR FIN'!$A$1:$O$92,15,0))</f>
        <v>0</v>
      </c>
      <c r="X109" s="6">
        <f>IF(ISERROR(VLOOKUP($U$109,'TAR FIN'!$A$1:$O$92,15,0)),0,VLOOKUP($U$109,'TAR FIN'!$A$1:$O$92,15,0))</f>
        <v>0</v>
      </c>
      <c r="Y109" s="6">
        <f ca="1">('TUSD BE'!$AM$14+'TUSD BF_350'!$AM$14+'TUSD CVA'!$AM$14)*1</f>
        <v>15.64</v>
      </c>
      <c r="Z109" s="6"/>
      <c r="AA109" s="6"/>
      <c r="AB109" s="6">
        <f>$K$109*$V$109</f>
        <v>1848.9999999999998</v>
      </c>
      <c r="AC109" s="6">
        <f>$M$109*$W$109</f>
        <v>0</v>
      </c>
      <c r="AD109" s="6">
        <f>$O$109*$X$109</f>
        <v>0</v>
      </c>
      <c r="AE109" s="6">
        <f ca="1">$K$109*$Y$109</f>
        <v>1564</v>
      </c>
      <c r="AF109" s="6">
        <f>$M$109*$Z$109</f>
        <v>0</v>
      </c>
      <c r="AG109" s="6">
        <f>$O$109*$AA$109</f>
        <v>0</v>
      </c>
    </row>
    <row r="110" spans="1:33" ht="11.25" customHeight="1" x14ac:dyDescent="0.3">
      <c r="A110" s="4" t="s">
        <v>21</v>
      </c>
      <c r="B110" s="4" t="s">
        <v>34</v>
      </c>
      <c r="C110" s="4" t="s">
        <v>35</v>
      </c>
      <c r="D110" s="4" t="s">
        <v>40</v>
      </c>
      <c r="E110" s="4" t="s">
        <v>25</v>
      </c>
      <c r="F110" s="4" t="s">
        <v>25</v>
      </c>
      <c r="G110" s="4" t="s">
        <v>25</v>
      </c>
      <c r="H110" s="4" t="s">
        <v>25</v>
      </c>
      <c r="I110" s="5">
        <v>44593</v>
      </c>
      <c r="J110" s="6">
        <v>428</v>
      </c>
      <c r="K110" s="6">
        <v>428</v>
      </c>
      <c r="L110" s="6">
        <v>0</v>
      </c>
      <c r="M110" s="6">
        <v>0</v>
      </c>
      <c r="N110" s="6">
        <v>0</v>
      </c>
      <c r="O110" s="6">
        <v>0</v>
      </c>
      <c r="P110" s="6">
        <v>6</v>
      </c>
      <c r="Q110" s="4" t="s">
        <v>26</v>
      </c>
      <c r="R110" s="4">
        <v>0</v>
      </c>
      <c r="S110" s="6">
        <v>18</v>
      </c>
      <c r="T110" s="6">
        <v>0</v>
      </c>
      <c r="U110" s="6">
        <v>0</v>
      </c>
      <c r="V110" s="6">
        <f>IF(ISERROR(VLOOKUP($S$110,'TAR FIN'!$A$1:$O$92,15,0)),0,VLOOKUP($S$110,'TAR FIN'!$A$1:$O$92,15,0))</f>
        <v>18.489999999999998</v>
      </c>
      <c r="W110" s="6">
        <f>IF(ISERROR(VLOOKUP($T$110,'TAR FIN'!$A$1:$O$92,15,0)),0,VLOOKUP($T$110,'TAR FIN'!$A$1:$O$92,15,0))</f>
        <v>0</v>
      </c>
      <c r="X110" s="6">
        <f>IF(ISERROR(VLOOKUP($U$110,'TAR FIN'!$A$1:$O$92,15,0)),0,VLOOKUP($U$110,'TAR FIN'!$A$1:$O$92,15,0))</f>
        <v>0</v>
      </c>
      <c r="Y110" s="6">
        <f ca="1">('TUSD BE'!$AM$14+'TUSD BF_350'!$AM$14+'TUSD CVA'!$AM$14)*1</f>
        <v>15.64</v>
      </c>
      <c r="Z110" s="6"/>
      <c r="AA110" s="6"/>
      <c r="AB110" s="6">
        <f>$K$110*$V$110</f>
        <v>7913.7199999999993</v>
      </c>
      <c r="AC110" s="6">
        <f>$M$110*$W$110</f>
        <v>0</v>
      </c>
      <c r="AD110" s="6">
        <f>$O$110*$X$110</f>
        <v>0</v>
      </c>
      <c r="AE110" s="6">
        <f ca="1">$K$110*$Y$110</f>
        <v>6693.92</v>
      </c>
      <c r="AF110" s="6">
        <f>$M$110*$Z$110</f>
        <v>0</v>
      </c>
      <c r="AG110" s="6">
        <f>$O$110*$AA$110</f>
        <v>0</v>
      </c>
    </row>
    <row r="111" spans="1:33" ht="11.25" customHeight="1" x14ac:dyDescent="0.3">
      <c r="A111" s="4" t="s">
        <v>27</v>
      </c>
      <c r="B111" s="4" t="s">
        <v>34</v>
      </c>
      <c r="C111" s="4" t="s">
        <v>35</v>
      </c>
      <c r="D111" s="4" t="s">
        <v>40</v>
      </c>
      <c r="E111" s="4" t="s">
        <v>25</v>
      </c>
      <c r="F111" s="4" t="s">
        <v>25</v>
      </c>
      <c r="G111" s="4" t="s">
        <v>25</v>
      </c>
      <c r="H111" s="4" t="s">
        <v>25</v>
      </c>
      <c r="I111" s="5">
        <v>44593</v>
      </c>
      <c r="J111" s="6">
        <v>100</v>
      </c>
      <c r="K111" s="6">
        <v>100</v>
      </c>
      <c r="L111" s="6">
        <v>0</v>
      </c>
      <c r="M111" s="6">
        <v>0</v>
      </c>
      <c r="N111" s="6">
        <v>0</v>
      </c>
      <c r="O111" s="6">
        <v>0</v>
      </c>
      <c r="P111" s="6">
        <v>1</v>
      </c>
      <c r="Q111" s="4" t="s">
        <v>26</v>
      </c>
      <c r="R111" s="4">
        <v>0</v>
      </c>
      <c r="S111" s="6">
        <v>18</v>
      </c>
      <c r="T111" s="6">
        <v>0</v>
      </c>
      <c r="U111" s="6">
        <v>0</v>
      </c>
      <c r="V111" s="6">
        <f>IF(ISERROR(VLOOKUP($S$111,'TAR FIN'!$A$1:$O$92,15,0)),0,VLOOKUP($S$111,'TAR FIN'!$A$1:$O$92,15,0))</f>
        <v>18.489999999999998</v>
      </c>
      <c r="W111" s="6">
        <f>IF(ISERROR(VLOOKUP($T$111,'TAR FIN'!$A$1:$O$92,15,0)),0,VLOOKUP($T$111,'TAR FIN'!$A$1:$O$92,15,0))</f>
        <v>0</v>
      </c>
      <c r="X111" s="6">
        <f>IF(ISERROR(VLOOKUP($U$111,'TAR FIN'!$A$1:$O$92,15,0)),0,VLOOKUP($U$111,'TAR FIN'!$A$1:$O$92,15,0))</f>
        <v>0</v>
      </c>
      <c r="Y111" s="6">
        <f ca="1">('TUSD BE'!$AM$14+'TUSD BF_350'!$AM$14+'TUSD CVA'!$AM$14)*1</f>
        <v>15.64</v>
      </c>
      <c r="Z111" s="6"/>
      <c r="AA111" s="6"/>
      <c r="AB111" s="6">
        <f>$K$111*$V$111</f>
        <v>1848.9999999999998</v>
      </c>
      <c r="AC111" s="6">
        <f>$M$111*$W$111</f>
        <v>0</v>
      </c>
      <c r="AD111" s="6">
        <f>$O$111*$X$111</f>
        <v>0</v>
      </c>
      <c r="AE111" s="6">
        <f ca="1">$K$111*$Y$111</f>
        <v>1564</v>
      </c>
      <c r="AF111" s="6">
        <f>$M$111*$Z$111</f>
        <v>0</v>
      </c>
      <c r="AG111" s="6">
        <f>$O$111*$AA$111</f>
        <v>0</v>
      </c>
    </row>
    <row r="112" spans="1:33" ht="11.25" customHeight="1" x14ac:dyDescent="0.3">
      <c r="A112" s="4" t="s">
        <v>21</v>
      </c>
      <c r="B112" s="4" t="s">
        <v>34</v>
      </c>
      <c r="C112" s="4" t="s">
        <v>35</v>
      </c>
      <c r="D112" s="4" t="s">
        <v>40</v>
      </c>
      <c r="E112" s="4" t="s">
        <v>25</v>
      </c>
      <c r="F112" s="4" t="s">
        <v>25</v>
      </c>
      <c r="G112" s="4" t="s">
        <v>25</v>
      </c>
      <c r="H112" s="4" t="s">
        <v>25</v>
      </c>
      <c r="I112" s="5">
        <v>44621</v>
      </c>
      <c r="J112" s="6">
        <v>425.34</v>
      </c>
      <c r="K112" s="6">
        <v>425.34</v>
      </c>
      <c r="L112" s="6">
        <v>0</v>
      </c>
      <c r="M112" s="6">
        <v>0</v>
      </c>
      <c r="N112" s="6">
        <v>0</v>
      </c>
      <c r="O112" s="6">
        <v>0</v>
      </c>
      <c r="P112" s="6">
        <v>6</v>
      </c>
      <c r="Q112" s="4" t="s">
        <v>26</v>
      </c>
      <c r="R112" s="4">
        <v>0</v>
      </c>
      <c r="S112" s="6">
        <v>18</v>
      </c>
      <c r="T112" s="6">
        <v>0</v>
      </c>
      <c r="U112" s="6">
        <v>0</v>
      </c>
      <c r="V112" s="6">
        <f>IF(ISERROR(VLOOKUP($S$112,'TAR FIN'!$A$1:$O$92,15,0)),0,VLOOKUP($S$112,'TAR FIN'!$A$1:$O$92,15,0))</f>
        <v>18.489999999999998</v>
      </c>
      <c r="W112" s="6">
        <f>IF(ISERROR(VLOOKUP($T$112,'TAR FIN'!$A$1:$O$92,15,0)),0,VLOOKUP($T$112,'TAR FIN'!$A$1:$O$92,15,0))</f>
        <v>0</v>
      </c>
      <c r="X112" s="6">
        <f>IF(ISERROR(VLOOKUP($U$112,'TAR FIN'!$A$1:$O$92,15,0)),0,VLOOKUP($U$112,'TAR FIN'!$A$1:$O$92,15,0))</f>
        <v>0</v>
      </c>
      <c r="Y112" s="6">
        <f ca="1">('TUSD BE'!$AM$14+'TUSD BF_350'!$AM$14+'TUSD CVA'!$AM$14)*1</f>
        <v>15.64</v>
      </c>
      <c r="Z112" s="6"/>
      <c r="AA112" s="6"/>
      <c r="AB112" s="6">
        <f>$K$112*$V$112</f>
        <v>7864.5365999999985</v>
      </c>
      <c r="AC112" s="6">
        <f>$M$112*$W$112</f>
        <v>0</v>
      </c>
      <c r="AD112" s="6">
        <f>$O$112*$X$112</f>
        <v>0</v>
      </c>
      <c r="AE112" s="6">
        <f ca="1">$K$112*$Y$112</f>
        <v>6652.3175999999994</v>
      </c>
      <c r="AF112" s="6">
        <f>$M$112*$Z$112</f>
        <v>0</v>
      </c>
      <c r="AG112" s="6">
        <f>$O$112*$AA$112</f>
        <v>0</v>
      </c>
    </row>
    <row r="113" spans="1:33" ht="11.25" customHeight="1" x14ac:dyDescent="0.3">
      <c r="A113" s="4" t="s">
        <v>27</v>
      </c>
      <c r="B113" s="4" t="s">
        <v>34</v>
      </c>
      <c r="C113" s="4" t="s">
        <v>35</v>
      </c>
      <c r="D113" s="4" t="s">
        <v>40</v>
      </c>
      <c r="E113" s="4" t="s">
        <v>25</v>
      </c>
      <c r="F113" s="4" t="s">
        <v>25</v>
      </c>
      <c r="G113" s="4" t="s">
        <v>25</v>
      </c>
      <c r="H113" s="4" t="s">
        <v>25</v>
      </c>
      <c r="I113" s="5">
        <v>44621</v>
      </c>
      <c r="J113" s="6">
        <v>100</v>
      </c>
      <c r="K113" s="6">
        <v>100</v>
      </c>
      <c r="L113" s="6">
        <v>0</v>
      </c>
      <c r="M113" s="6">
        <v>0</v>
      </c>
      <c r="N113" s="6">
        <v>0</v>
      </c>
      <c r="O113" s="6">
        <v>0</v>
      </c>
      <c r="P113" s="6">
        <v>1</v>
      </c>
      <c r="Q113" s="4" t="s">
        <v>26</v>
      </c>
      <c r="R113" s="4">
        <v>0</v>
      </c>
      <c r="S113" s="6">
        <v>18</v>
      </c>
      <c r="T113" s="6">
        <v>0</v>
      </c>
      <c r="U113" s="6">
        <v>0</v>
      </c>
      <c r="V113" s="6">
        <f>IF(ISERROR(VLOOKUP($S$113,'TAR FIN'!$A$1:$O$92,15,0)),0,VLOOKUP($S$113,'TAR FIN'!$A$1:$O$92,15,0))</f>
        <v>18.489999999999998</v>
      </c>
      <c r="W113" s="6">
        <f>IF(ISERROR(VLOOKUP($T$113,'TAR FIN'!$A$1:$O$92,15,0)),0,VLOOKUP($T$113,'TAR FIN'!$A$1:$O$92,15,0))</f>
        <v>0</v>
      </c>
      <c r="X113" s="6">
        <f>IF(ISERROR(VLOOKUP($U$113,'TAR FIN'!$A$1:$O$92,15,0)),0,VLOOKUP($U$113,'TAR FIN'!$A$1:$O$92,15,0))</f>
        <v>0</v>
      </c>
      <c r="Y113" s="6">
        <f ca="1">('TUSD BE'!$AM$14+'TUSD BF_350'!$AM$14+'TUSD CVA'!$AM$14)*1</f>
        <v>15.64</v>
      </c>
      <c r="Z113" s="6"/>
      <c r="AA113" s="6"/>
      <c r="AB113" s="6">
        <f>$K$113*$V$113</f>
        <v>1848.9999999999998</v>
      </c>
      <c r="AC113" s="6">
        <f>$M$113*$W$113</f>
        <v>0</v>
      </c>
      <c r="AD113" s="6">
        <f>$O$113*$X$113</f>
        <v>0</v>
      </c>
      <c r="AE113" s="6">
        <f ca="1">$K$113*$Y$113</f>
        <v>1564</v>
      </c>
      <c r="AF113" s="6">
        <f>$M$113*$Z$113</f>
        <v>0</v>
      </c>
      <c r="AG113" s="6">
        <f>$O$113*$AA$113</f>
        <v>0</v>
      </c>
    </row>
    <row r="114" spans="1:33" ht="11.25" customHeight="1" x14ac:dyDescent="0.3">
      <c r="A114" s="4" t="s">
        <v>21</v>
      </c>
      <c r="B114" s="4" t="s">
        <v>34</v>
      </c>
      <c r="C114" s="4" t="s">
        <v>35</v>
      </c>
      <c r="D114" s="4" t="s">
        <v>40</v>
      </c>
      <c r="E114" s="4" t="s">
        <v>25</v>
      </c>
      <c r="F114" s="4" t="s">
        <v>25</v>
      </c>
      <c r="G114" s="4" t="s">
        <v>25</v>
      </c>
      <c r="H114" s="4" t="s">
        <v>25</v>
      </c>
      <c r="I114" s="5">
        <v>44652</v>
      </c>
      <c r="J114" s="6">
        <v>417.67</v>
      </c>
      <c r="K114" s="6">
        <v>417.67</v>
      </c>
      <c r="L114" s="6">
        <v>0</v>
      </c>
      <c r="M114" s="6">
        <v>0</v>
      </c>
      <c r="N114" s="6">
        <v>0</v>
      </c>
      <c r="O114" s="6">
        <v>0</v>
      </c>
      <c r="P114" s="6">
        <v>6</v>
      </c>
      <c r="Q114" s="4" t="s">
        <v>26</v>
      </c>
      <c r="R114" s="4">
        <v>0</v>
      </c>
      <c r="S114" s="6">
        <v>18</v>
      </c>
      <c r="T114" s="6">
        <v>0</v>
      </c>
      <c r="U114" s="6">
        <v>0</v>
      </c>
      <c r="V114" s="6">
        <f>IF(ISERROR(VLOOKUP($S$114,'TAR FIN'!$A$1:$O$92,15,0)),0,VLOOKUP($S$114,'TAR FIN'!$A$1:$O$92,15,0))</f>
        <v>18.489999999999998</v>
      </c>
      <c r="W114" s="6">
        <f>IF(ISERROR(VLOOKUP($T$114,'TAR FIN'!$A$1:$O$92,15,0)),0,VLOOKUP($T$114,'TAR FIN'!$A$1:$O$92,15,0))</f>
        <v>0</v>
      </c>
      <c r="X114" s="6">
        <f>IF(ISERROR(VLOOKUP($U$114,'TAR FIN'!$A$1:$O$92,15,0)),0,VLOOKUP($U$114,'TAR FIN'!$A$1:$O$92,15,0))</f>
        <v>0</v>
      </c>
      <c r="Y114" s="6">
        <f ca="1">('TUSD BE'!$AM$14+'TUSD BF_350'!$AM$14+'TUSD CVA'!$AM$14)*1</f>
        <v>15.64</v>
      </c>
      <c r="Z114" s="6"/>
      <c r="AA114" s="6"/>
      <c r="AB114" s="6">
        <f>$K$114*$V$114</f>
        <v>7722.7182999999995</v>
      </c>
      <c r="AC114" s="6">
        <f>$M$114*$W$114</f>
        <v>0</v>
      </c>
      <c r="AD114" s="6">
        <f>$O$114*$X$114</f>
        <v>0</v>
      </c>
      <c r="AE114" s="6">
        <f ca="1">$K$114*$Y$114</f>
        <v>6532.3588000000009</v>
      </c>
      <c r="AF114" s="6">
        <f>$M$114*$Z$114</f>
        <v>0</v>
      </c>
      <c r="AG114" s="6">
        <f>$O$114*$AA$114</f>
        <v>0</v>
      </c>
    </row>
    <row r="115" spans="1:33" ht="11.25" customHeight="1" x14ac:dyDescent="0.3">
      <c r="A115" s="4" t="s">
        <v>27</v>
      </c>
      <c r="B115" s="4" t="s">
        <v>34</v>
      </c>
      <c r="C115" s="4" t="s">
        <v>35</v>
      </c>
      <c r="D115" s="4" t="s">
        <v>40</v>
      </c>
      <c r="E115" s="4" t="s">
        <v>25</v>
      </c>
      <c r="F115" s="4" t="s">
        <v>25</v>
      </c>
      <c r="G115" s="4" t="s">
        <v>25</v>
      </c>
      <c r="H115" s="4" t="s">
        <v>25</v>
      </c>
      <c r="I115" s="5">
        <v>44652</v>
      </c>
      <c r="J115" s="6">
        <v>100</v>
      </c>
      <c r="K115" s="6">
        <v>100</v>
      </c>
      <c r="L115" s="6">
        <v>0</v>
      </c>
      <c r="M115" s="6">
        <v>0</v>
      </c>
      <c r="N115" s="6">
        <v>0</v>
      </c>
      <c r="O115" s="6">
        <v>0</v>
      </c>
      <c r="P115" s="6">
        <v>1</v>
      </c>
      <c r="Q115" s="4" t="s">
        <v>26</v>
      </c>
      <c r="R115" s="4">
        <v>0</v>
      </c>
      <c r="S115" s="6">
        <v>18</v>
      </c>
      <c r="T115" s="6">
        <v>0</v>
      </c>
      <c r="U115" s="6">
        <v>0</v>
      </c>
      <c r="V115" s="6">
        <f>IF(ISERROR(VLOOKUP($S$115,'TAR FIN'!$A$1:$O$92,15,0)),0,VLOOKUP($S$115,'TAR FIN'!$A$1:$O$92,15,0))</f>
        <v>18.489999999999998</v>
      </c>
      <c r="W115" s="6">
        <f>IF(ISERROR(VLOOKUP($T$115,'TAR FIN'!$A$1:$O$92,15,0)),0,VLOOKUP($T$115,'TAR FIN'!$A$1:$O$92,15,0))</f>
        <v>0</v>
      </c>
      <c r="X115" s="6">
        <f>IF(ISERROR(VLOOKUP($U$115,'TAR FIN'!$A$1:$O$92,15,0)),0,VLOOKUP($U$115,'TAR FIN'!$A$1:$O$92,15,0))</f>
        <v>0</v>
      </c>
      <c r="Y115" s="6">
        <f ca="1">('TUSD BE'!$AM$14+'TUSD BF_350'!$AM$14+'TUSD CVA'!$AM$14)*1</f>
        <v>15.64</v>
      </c>
      <c r="Z115" s="6"/>
      <c r="AA115" s="6"/>
      <c r="AB115" s="6">
        <f>$K$115*$V$115</f>
        <v>1848.9999999999998</v>
      </c>
      <c r="AC115" s="6">
        <f>$M$115*$W$115</f>
        <v>0</v>
      </c>
      <c r="AD115" s="6">
        <f>$O$115*$X$115</f>
        <v>0</v>
      </c>
      <c r="AE115" s="6">
        <f ca="1">$K$115*$Y$115</f>
        <v>1564</v>
      </c>
      <c r="AF115" s="6">
        <f>$M$115*$Z$115</f>
        <v>0</v>
      </c>
      <c r="AG115" s="6">
        <f>$O$115*$AA$115</f>
        <v>0</v>
      </c>
    </row>
    <row r="116" spans="1:33" ht="11.25" customHeight="1" x14ac:dyDescent="0.3">
      <c r="A116" s="4" t="s">
        <v>21</v>
      </c>
      <c r="B116" s="4" t="s">
        <v>34</v>
      </c>
      <c r="C116" s="4" t="s">
        <v>35</v>
      </c>
      <c r="D116" s="4" t="s">
        <v>40</v>
      </c>
      <c r="E116" s="4" t="s">
        <v>25</v>
      </c>
      <c r="F116" s="4" t="s">
        <v>25</v>
      </c>
      <c r="G116" s="4" t="s">
        <v>25</v>
      </c>
      <c r="H116" s="4" t="s">
        <v>25</v>
      </c>
      <c r="I116" s="5">
        <v>44682</v>
      </c>
      <c r="J116" s="6">
        <v>403</v>
      </c>
      <c r="K116" s="6">
        <v>403</v>
      </c>
      <c r="L116" s="6">
        <v>0</v>
      </c>
      <c r="M116" s="6">
        <v>0</v>
      </c>
      <c r="N116" s="6">
        <v>0</v>
      </c>
      <c r="O116" s="6">
        <v>0</v>
      </c>
      <c r="P116" s="6">
        <v>6</v>
      </c>
      <c r="Q116" s="4" t="s">
        <v>26</v>
      </c>
      <c r="R116" s="4">
        <v>0</v>
      </c>
      <c r="S116" s="6">
        <v>18</v>
      </c>
      <c r="T116" s="6">
        <v>0</v>
      </c>
      <c r="U116" s="6">
        <v>0</v>
      </c>
      <c r="V116" s="6">
        <f>IF(ISERROR(VLOOKUP($S$116,'TAR FIN'!$A$1:$O$92,15,0)),0,VLOOKUP($S$116,'TAR FIN'!$A$1:$O$92,15,0))</f>
        <v>18.489999999999998</v>
      </c>
      <c r="W116" s="6">
        <f>IF(ISERROR(VLOOKUP($T$116,'TAR FIN'!$A$1:$O$92,15,0)),0,VLOOKUP($T$116,'TAR FIN'!$A$1:$O$92,15,0))</f>
        <v>0</v>
      </c>
      <c r="X116" s="6">
        <f>IF(ISERROR(VLOOKUP($U$116,'TAR FIN'!$A$1:$O$92,15,0)),0,VLOOKUP($U$116,'TAR FIN'!$A$1:$O$92,15,0))</f>
        <v>0</v>
      </c>
      <c r="Y116" s="6">
        <f ca="1">('TUSD BE'!$AM$14+'TUSD BF_350'!$AM$14+'TUSD CVA'!$AM$14)*1</f>
        <v>15.64</v>
      </c>
      <c r="Z116" s="6"/>
      <c r="AA116" s="6"/>
      <c r="AB116" s="6">
        <f>$K$116*$V$116</f>
        <v>7451.4699999999993</v>
      </c>
      <c r="AC116" s="6">
        <f>$M$116*$W$116</f>
        <v>0</v>
      </c>
      <c r="AD116" s="6">
        <f>$O$116*$X$116</f>
        <v>0</v>
      </c>
      <c r="AE116" s="6">
        <f ca="1">$K$116*$Y$116</f>
        <v>6302.92</v>
      </c>
      <c r="AF116" s="6">
        <f>$M$116*$Z$116</f>
        <v>0</v>
      </c>
      <c r="AG116" s="6">
        <f>$O$116*$AA$116</f>
        <v>0</v>
      </c>
    </row>
    <row r="117" spans="1:33" ht="11.25" customHeight="1" x14ac:dyDescent="0.3">
      <c r="A117" s="4" t="s">
        <v>27</v>
      </c>
      <c r="B117" s="4" t="s">
        <v>34</v>
      </c>
      <c r="C117" s="4" t="s">
        <v>35</v>
      </c>
      <c r="D117" s="4" t="s">
        <v>40</v>
      </c>
      <c r="E117" s="4" t="s">
        <v>25</v>
      </c>
      <c r="F117" s="4" t="s">
        <v>25</v>
      </c>
      <c r="G117" s="4" t="s">
        <v>25</v>
      </c>
      <c r="H117" s="4" t="s">
        <v>25</v>
      </c>
      <c r="I117" s="5">
        <v>44682</v>
      </c>
      <c r="J117" s="6">
        <v>100</v>
      </c>
      <c r="K117" s="6">
        <v>100</v>
      </c>
      <c r="L117" s="6">
        <v>0</v>
      </c>
      <c r="M117" s="6">
        <v>0</v>
      </c>
      <c r="N117" s="6">
        <v>0</v>
      </c>
      <c r="O117" s="6">
        <v>0</v>
      </c>
      <c r="P117" s="6">
        <v>1</v>
      </c>
      <c r="Q117" s="4" t="s">
        <v>26</v>
      </c>
      <c r="R117" s="4">
        <v>0</v>
      </c>
      <c r="S117" s="6">
        <v>18</v>
      </c>
      <c r="T117" s="6">
        <v>0</v>
      </c>
      <c r="U117" s="6">
        <v>0</v>
      </c>
      <c r="V117" s="6">
        <f>IF(ISERROR(VLOOKUP($S$117,'TAR FIN'!$A$1:$O$92,15,0)),0,VLOOKUP($S$117,'TAR FIN'!$A$1:$O$92,15,0))</f>
        <v>18.489999999999998</v>
      </c>
      <c r="W117" s="6">
        <f>IF(ISERROR(VLOOKUP($T$117,'TAR FIN'!$A$1:$O$92,15,0)),0,VLOOKUP($T$117,'TAR FIN'!$A$1:$O$92,15,0))</f>
        <v>0</v>
      </c>
      <c r="X117" s="6">
        <f>IF(ISERROR(VLOOKUP($U$117,'TAR FIN'!$A$1:$O$92,15,0)),0,VLOOKUP($U$117,'TAR FIN'!$A$1:$O$92,15,0))</f>
        <v>0</v>
      </c>
      <c r="Y117" s="6">
        <f ca="1">('TUSD BE'!$AM$14+'TUSD BF_350'!$AM$14+'TUSD CVA'!$AM$14)*1</f>
        <v>15.64</v>
      </c>
      <c r="Z117" s="6"/>
      <c r="AA117" s="6"/>
      <c r="AB117" s="6">
        <f>$K$117*$V$117</f>
        <v>1848.9999999999998</v>
      </c>
      <c r="AC117" s="6">
        <f>$M$117*$W$117</f>
        <v>0</v>
      </c>
      <c r="AD117" s="6">
        <f>$O$117*$X$117</f>
        <v>0</v>
      </c>
      <c r="AE117" s="6">
        <f ca="1">$K$117*$Y$117</f>
        <v>1564</v>
      </c>
      <c r="AF117" s="6">
        <f>$M$117*$Z$117</f>
        <v>0</v>
      </c>
      <c r="AG117" s="6">
        <f>$O$117*$AA$117</f>
        <v>0</v>
      </c>
    </row>
    <row r="118" spans="1:33" ht="11.25" customHeight="1" x14ac:dyDescent="0.3">
      <c r="A118" s="4" t="s">
        <v>21</v>
      </c>
      <c r="B118" s="4" t="s">
        <v>34</v>
      </c>
      <c r="C118" s="4" t="s">
        <v>35</v>
      </c>
      <c r="D118" s="4" t="s">
        <v>40</v>
      </c>
      <c r="E118" s="4" t="s">
        <v>25</v>
      </c>
      <c r="F118" s="4" t="s">
        <v>25</v>
      </c>
      <c r="G118" s="4" t="s">
        <v>25</v>
      </c>
      <c r="H118" s="4" t="s">
        <v>25</v>
      </c>
      <c r="I118" s="5">
        <v>44713</v>
      </c>
      <c r="J118" s="6">
        <v>403.07</v>
      </c>
      <c r="K118" s="6">
        <v>403.07</v>
      </c>
      <c r="L118" s="6">
        <v>0</v>
      </c>
      <c r="M118" s="6">
        <v>0</v>
      </c>
      <c r="N118" s="6">
        <v>0</v>
      </c>
      <c r="O118" s="6">
        <v>0</v>
      </c>
      <c r="P118" s="6">
        <v>6</v>
      </c>
      <c r="Q118" s="4" t="s">
        <v>26</v>
      </c>
      <c r="R118" s="4">
        <v>0</v>
      </c>
      <c r="S118" s="6">
        <v>18</v>
      </c>
      <c r="T118" s="6">
        <v>0</v>
      </c>
      <c r="U118" s="6">
        <v>0</v>
      </c>
      <c r="V118" s="6">
        <f>IF(ISERROR(VLOOKUP($S$118,'TAR FIN'!$A$1:$O$92,15,0)),0,VLOOKUP($S$118,'TAR FIN'!$A$1:$O$92,15,0))</f>
        <v>18.489999999999998</v>
      </c>
      <c r="W118" s="6">
        <f>IF(ISERROR(VLOOKUP($T$118,'TAR FIN'!$A$1:$O$92,15,0)),0,VLOOKUP($T$118,'TAR FIN'!$A$1:$O$92,15,0))</f>
        <v>0</v>
      </c>
      <c r="X118" s="6">
        <f>IF(ISERROR(VLOOKUP($U$118,'TAR FIN'!$A$1:$O$92,15,0)),0,VLOOKUP($U$118,'TAR FIN'!$A$1:$O$92,15,0))</f>
        <v>0</v>
      </c>
      <c r="Y118" s="6">
        <f ca="1">('TUSD BE'!$AM$14+'TUSD BF_350'!$AM$14+'TUSD CVA'!$AM$14)*1</f>
        <v>15.64</v>
      </c>
      <c r="Z118" s="6"/>
      <c r="AA118" s="6"/>
      <c r="AB118" s="6">
        <f>$K$118*$V$118</f>
        <v>7452.7642999999989</v>
      </c>
      <c r="AC118" s="6">
        <f>$M$118*$W$118</f>
        <v>0</v>
      </c>
      <c r="AD118" s="6">
        <f>$O$118*$X$118</f>
        <v>0</v>
      </c>
      <c r="AE118" s="6">
        <f ca="1">$K$118*$Y$118</f>
        <v>6304.0147999999999</v>
      </c>
      <c r="AF118" s="6">
        <f>$M$118*$Z$118</f>
        <v>0</v>
      </c>
      <c r="AG118" s="6">
        <f>$O$118*$AA$118</f>
        <v>0</v>
      </c>
    </row>
    <row r="119" spans="1:33" ht="11.25" customHeight="1" x14ac:dyDescent="0.3">
      <c r="A119" s="4" t="s">
        <v>27</v>
      </c>
      <c r="B119" s="4" t="s">
        <v>34</v>
      </c>
      <c r="C119" s="4" t="s">
        <v>35</v>
      </c>
      <c r="D119" s="4" t="s">
        <v>40</v>
      </c>
      <c r="E119" s="4" t="s">
        <v>25</v>
      </c>
      <c r="F119" s="4" t="s">
        <v>25</v>
      </c>
      <c r="G119" s="4" t="s">
        <v>25</v>
      </c>
      <c r="H119" s="4" t="s">
        <v>25</v>
      </c>
      <c r="I119" s="5">
        <v>44713</v>
      </c>
      <c r="J119" s="6">
        <v>100</v>
      </c>
      <c r="K119" s="6">
        <v>100</v>
      </c>
      <c r="L119" s="6">
        <v>0</v>
      </c>
      <c r="M119" s="6">
        <v>0</v>
      </c>
      <c r="N119" s="6">
        <v>0</v>
      </c>
      <c r="O119" s="6">
        <v>0</v>
      </c>
      <c r="P119" s="6">
        <v>1</v>
      </c>
      <c r="Q119" s="4" t="s">
        <v>26</v>
      </c>
      <c r="R119" s="4">
        <v>0</v>
      </c>
      <c r="S119" s="6">
        <v>18</v>
      </c>
      <c r="T119" s="6">
        <v>0</v>
      </c>
      <c r="U119" s="6">
        <v>0</v>
      </c>
      <c r="V119" s="6">
        <f>IF(ISERROR(VLOOKUP($S$119,'TAR FIN'!$A$1:$O$92,15,0)),0,VLOOKUP($S$119,'TAR FIN'!$A$1:$O$92,15,0))</f>
        <v>18.489999999999998</v>
      </c>
      <c r="W119" s="6">
        <f>IF(ISERROR(VLOOKUP($T$119,'TAR FIN'!$A$1:$O$92,15,0)),0,VLOOKUP($T$119,'TAR FIN'!$A$1:$O$92,15,0))</f>
        <v>0</v>
      </c>
      <c r="X119" s="6">
        <f>IF(ISERROR(VLOOKUP($U$119,'TAR FIN'!$A$1:$O$92,15,0)),0,VLOOKUP($U$119,'TAR FIN'!$A$1:$O$92,15,0))</f>
        <v>0</v>
      </c>
      <c r="Y119" s="6">
        <f ca="1">('TUSD BE'!$AM$14+'TUSD BF_350'!$AM$14+'TUSD CVA'!$AM$14)*1</f>
        <v>15.64</v>
      </c>
      <c r="Z119" s="6"/>
      <c r="AA119" s="6"/>
      <c r="AB119" s="6">
        <f>$K$119*$V$119</f>
        <v>1848.9999999999998</v>
      </c>
      <c r="AC119" s="6">
        <f>$M$119*$W$119</f>
        <v>0</v>
      </c>
      <c r="AD119" s="6">
        <f>$O$119*$X$119</f>
        <v>0</v>
      </c>
      <c r="AE119" s="6">
        <f ca="1">$K$119*$Y$119</f>
        <v>1564</v>
      </c>
      <c r="AF119" s="6">
        <f>$M$119*$Z$119</f>
        <v>0</v>
      </c>
      <c r="AG119" s="6">
        <f>$O$119*$AA$119</f>
        <v>0</v>
      </c>
    </row>
    <row r="120" spans="1:33" ht="11.25" customHeight="1" x14ac:dyDescent="0.3">
      <c r="A120" s="4" t="s">
        <v>21</v>
      </c>
      <c r="B120" s="4" t="s">
        <v>34</v>
      </c>
      <c r="C120" s="4" t="s">
        <v>35</v>
      </c>
      <c r="D120" s="4" t="s">
        <v>40</v>
      </c>
      <c r="E120" s="4" t="s">
        <v>25</v>
      </c>
      <c r="F120" s="4" t="s">
        <v>25</v>
      </c>
      <c r="G120" s="4" t="s">
        <v>25</v>
      </c>
      <c r="H120" s="4" t="s">
        <v>25</v>
      </c>
      <c r="I120" s="5">
        <v>44743</v>
      </c>
      <c r="J120" s="6">
        <v>406</v>
      </c>
      <c r="K120" s="6">
        <v>406</v>
      </c>
      <c r="L120" s="6">
        <v>0</v>
      </c>
      <c r="M120" s="6">
        <v>0</v>
      </c>
      <c r="N120" s="6">
        <v>0</v>
      </c>
      <c r="O120" s="6">
        <v>0</v>
      </c>
      <c r="P120" s="6">
        <v>6</v>
      </c>
      <c r="Q120" s="4" t="s">
        <v>26</v>
      </c>
      <c r="R120" s="4">
        <v>0</v>
      </c>
      <c r="S120" s="6">
        <v>18</v>
      </c>
      <c r="T120" s="6">
        <v>0</v>
      </c>
      <c r="U120" s="6">
        <v>0</v>
      </c>
      <c r="V120" s="6">
        <f>IF(ISERROR(VLOOKUP($S$120,'TAR FIN'!$A$1:$O$92,15,0)),0,VLOOKUP($S$120,'TAR FIN'!$A$1:$O$92,15,0))</f>
        <v>18.489999999999998</v>
      </c>
      <c r="W120" s="6">
        <f>IF(ISERROR(VLOOKUP($T$120,'TAR FIN'!$A$1:$O$92,15,0)),0,VLOOKUP($T$120,'TAR FIN'!$A$1:$O$92,15,0))</f>
        <v>0</v>
      </c>
      <c r="X120" s="6">
        <f>IF(ISERROR(VLOOKUP($U$120,'TAR FIN'!$A$1:$O$92,15,0)),0,VLOOKUP($U$120,'TAR FIN'!$A$1:$O$92,15,0))</f>
        <v>0</v>
      </c>
      <c r="Y120" s="6">
        <f ca="1">('TUSD BE'!$AM$14+'TUSD BF_350'!$AM$14+'TUSD CVA'!$AM$14)*1</f>
        <v>15.64</v>
      </c>
      <c r="Z120" s="6"/>
      <c r="AA120" s="6"/>
      <c r="AB120" s="6">
        <f>$K$120*$V$120</f>
        <v>7506.94</v>
      </c>
      <c r="AC120" s="6">
        <f>$M$120*$W$120</f>
        <v>0</v>
      </c>
      <c r="AD120" s="6">
        <f>$O$120*$X$120</f>
        <v>0</v>
      </c>
      <c r="AE120" s="6">
        <f ca="1">$K$120*$Y$120</f>
        <v>6349.84</v>
      </c>
      <c r="AF120" s="6">
        <f>$M$120*$Z$120</f>
        <v>0</v>
      </c>
      <c r="AG120" s="6">
        <f>$O$120*$AA$120</f>
        <v>0</v>
      </c>
    </row>
    <row r="121" spans="1:33" ht="11.25" customHeight="1" x14ac:dyDescent="0.3">
      <c r="A121" s="4" t="s">
        <v>27</v>
      </c>
      <c r="B121" s="4" t="s">
        <v>34</v>
      </c>
      <c r="C121" s="4" t="s">
        <v>35</v>
      </c>
      <c r="D121" s="4" t="s">
        <v>40</v>
      </c>
      <c r="E121" s="4" t="s">
        <v>25</v>
      </c>
      <c r="F121" s="4" t="s">
        <v>25</v>
      </c>
      <c r="G121" s="4" t="s">
        <v>25</v>
      </c>
      <c r="H121" s="4" t="s">
        <v>25</v>
      </c>
      <c r="I121" s="5">
        <v>44743</v>
      </c>
      <c r="J121" s="6">
        <v>100</v>
      </c>
      <c r="K121" s="6">
        <v>100</v>
      </c>
      <c r="L121" s="6">
        <v>0</v>
      </c>
      <c r="M121" s="6">
        <v>0</v>
      </c>
      <c r="N121" s="6">
        <v>0</v>
      </c>
      <c r="O121" s="6">
        <v>0</v>
      </c>
      <c r="P121" s="6">
        <v>1</v>
      </c>
      <c r="Q121" s="4" t="s">
        <v>26</v>
      </c>
      <c r="R121" s="4">
        <v>0</v>
      </c>
      <c r="S121" s="6">
        <v>18</v>
      </c>
      <c r="T121" s="6">
        <v>0</v>
      </c>
      <c r="U121" s="6">
        <v>0</v>
      </c>
      <c r="V121" s="6">
        <f>IF(ISERROR(VLOOKUP($S$121,'TAR FIN'!$A$1:$O$92,15,0)),0,VLOOKUP($S$121,'TAR FIN'!$A$1:$O$92,15,0))</f>
        <v>18.489999999999998</v>
      </c>
      <c r="W121" s="6">
        <f>IF(ISERROR(VLOOKUP($T$121,'TAR FIN'!$A$1:$O$92,15,0)),0,VLOOKUP($T$121,'TAR FIN'!$A$1:$O$92,15,0))</f>
        <v>0</v>
      </c>
      <c r="X121" s="6">
        <f>IF(ISERROR(VLOOKUP($U$121,'TAR FIN'!$A$1:$O$92,15,0)),0,VLOOKUP($U$121,'TAR FIN'!$A$1:$O$92,15,0))</f>
        <v>0</v>
      </c>
      <c r="Y121" s="6">
        <f ca="1">('TUSD BE'!$AM$14+'TUSD BF_350'!$AM$14+'TUSD CVA'!$AM$14)*1</f>
        <v>15.64</v>
      </c>
      <c r="Z121" s="6"/>
      <c r="AA121" s="6"/>
      <c r="AB121" s="6">
        <f>$K$121*$V$121</f>
        <v>1848.9999999999998</v>
      </c>
      <c r="AC121" s="6">
        <f>$M$121*$W$121</f>
        <v>0</v>
      </c>
      <c r="AD121" s="6">
        <f>$O$121*$X$121</f>
        <v>0</v>
      </c>
      <c r="AE121" s="6">
        <f ca="1">$K$121*$Y$121</f>
        <v>1564</v>
      </c>
      <c r="AF121" s="6">
        <f>$M$121*$Z$121</f>
        <v>0</v>
      </c>
      <c r="AG121" s="6">
        <f>$O$121*$AA$121</f>
        <v>0</v>
      </c>
    </row>
    <row r="122" spans="1:33" ht="11.25" customHeight="1" x14ac:dyDescent="0.3">
      <c r="A122" s="4" t="s">
        <v>21</v>
      </c>
      <c r="B122" s="4" t="s">
        <v>34</v>
      </c>
      <c r="C122" s="4" t="s">
        <v>35</v>
      </c>
      <c r="D122" s="4" t="s">
        <v>40</v>
      </c>
      <c r="E122" s="4" t="s">
        <v>25</v>
      </c>
      <c r="F122" s="4" t="s">
        <v>25</v>
      </c>
      <c r="G122" s="4" t="s">
        <v>25</v>
      </c>
      <c r="H122" s="4" t="s">
        <v>36</v>
      </c>
      <c r="I122" s="5">
        <v>44409</v>
      </c>
      <c r="J122" s="6">
        <v>0</v>
      </c>
      <c r="K122" s="6">
        <v>0</v>
      </c>
      <c r="L122" s="6">
        <v>3.7450000000000001</v>
      </c>
      <c r="M122" s="6">
        <v>3.7450000000000001</v>
      </c>
      <c r="N122" s="6">
        <v>3.7450000000000001</v>
      </c>
      <c r="O122" s="6">
        <v>3.7450000000000001</v>
      </c>
      <c r="P122" s="6">
        <v>0</v>
      </c>
      <c r="Q122" s="4" t="s">
        <v>26</v>
      </c>
      <c r="R122" s="4">
        <v>0</v>
      </c>
      <c r="S122" s="6">
        <v>0</v>
      </c>
      <c r="T122" s="6">
        <v>21</v>
      </c>
      <c r="U122" s="6">
        <v>83</v>
      </c>
      <c r="V122" s="6">
        <f>IF(ISERROR(VLOOKUP($S$122,'TAR FIN'!$A$1:$O$92,15,0)),0,VLOOKUP($S$122,'TAR FIN'!$A$1:$O$92,15,0))</f>
        <v>0</v>
      </c>
      <c r="W122" s="6">
        <f>IF(ISERROR(VLOOKUP($T$122,'TAR FIN'!$A$1:$O$92,15,0)),0,VLOOKUP($T$122,'TAR FIN'!$A$1:$O$92,15,0))</f>
        <v>789.62</v>
      </c>
      <c r="X122" s="6">
        <f>IF(ISERROR(VLOOKUP($U$122,'TAR FIN'!$A$1:$O$92,15,0)),0,VLOOKUP($U$122,'TAR FIN'!$A$1:$O$92,15,0))</f>
        <v>488.15</v>
      </c>
      <c r="Y122" s="6"/>
      <c r="Z122" s="6">
        <f ca="1">('TUSD BE'!$AM$15+'TUSD BF_350'!$AM$15+'TUSD CVA'!$AM$15)*1</f>
        <v>911.84</v>
      </c>
      <c r="AA122" s="6">
        <f ca="1">('TE BE'!$AB$7+'TE BF_350'!$AB$7+'TE CVA'!$AB$7)*1</f>
        <v>399.84</v>
      </c>
      <c r="AB122" s="6">
        <f>$K$122*$V$122</f>
        <v>0</v>
      </c>
      <c r="AC122" s="6">
        <f>$M$122*$W$122</f>
        <v>2957.1269000000002</v>
      </c>
      <c r="AD122" s="6">
        <f>$O$122*$X$122</f>
        <v>1828.12175</v>
      </c>
      <c r="AE122" s="6">
        <f>$K$122*$Y$122</f>
        <v>0</v>
      </c>
      <c r="AF122" s="6">
        <f ca="1">$M$122*$Z$122</f>
        <v>3414.8408000000004</v>
      </c>
      <c r="AG122" s="6">
        <f ca="1">$O$122*$AA$122</f>
        <v>1497.4007999999999</v>
      </c>
    </row>
    <row r="123" spans="1:33" ht="11.25" customHeight="1" x14ac:dyDescent="0.3">
      <c r="A123" s="4" t="s">
        <v>27</v>
      </c>
      <c r="B123" s="4" t="s">
        <v>34</v>
      </c>
      <c r="C123" s="4" t="s">
        <v>35</v>
      </c>
      <c r="D123" s="4" t="s">
        <v>40</v>
      </c>
      <c r="E123" s="4" t="s">
        <v>25</v>
      </c>
      <c r="F123" s="4" t="s">
        <v>25</v>
      </c>
      <c r="G123" s="4" t="s">
        <v>25</v>
      </c>
      <c r="H123" s="4" t="s">
        <v>36</v>
      </c>
      <c r="I123" s="5">
        <v>44409</v>
      </c>
      <c r="J123" s="6">
        <v>0</v>
      </c>
      <c r="K123" s="6">
        <v>0</v>
      </c>
      <c r="L123" s="6">
        <v>0.83260999999999996</v>
      </c>
      <c r="M123" s="6">
        <v>0.83260999999999996</v>
      </c>
      <c r="N123" s="6">
        <v>0.83260999999999996</v>
      </c>
      <c r="O123" s="6">
        <v>0.83260999999999996</v>
      </c>
      <c r="P123" s="6">
        <v>0</v>
      </c>
      <c r="Q123" s="4" t="s">
        <v>26</v>
      </c>
      <c r="R123" s="4">
        <v>0</v>
      </c>
      <c r="S123" s="6">
        <v>0</v>
      </c>
      <c r="T123" s="6">
        <v>21</v>
      </c>
      <c r="U123" s="6">
        <v>83</v>
      </c>
      <c r="V123" s="6">
        <f>IF(ISERROR(VLOOKUP($S$123,'TAR FIN'!$A$1:$O$92,15,0)),0,VLOOKUP($S$123,'TAR FIN'!$A$1:$O$92,15,0))</f>
        <v>0</v>
      </c>
      <c r="W123" s="6">
        <f>IF(ISERROR(VLOOKUP($T$123,'TAR FIN'!$A$1:$O$92,15,0)),0,VLOOKUP($T$123,'TAR FIN'!$A$1:$O$92,15,0))</f>
        <v>789.62</v>
      </c>
      <c r="X123" s="6">
        <f>IF(ISERROR(VLOOKUP($U$123,'TAR FIN'!$A$1:$O$92,15,0)),0,VLOOKUP($U$123,'TAR FIN'!$A$1:$O$92,15,0))</f>
        <v>488.15</v>
      </c>
      <c r="Y123" s="6"/>
      <c r="Z123" s="6">
        <f ca="1">('TUSD BE'!$AM$15+'TUSD BF_350'!$AM$15+'TUSD CVA'!$AM$15)*1</f>
        <v>911.84</v>
      </c>
      <c r="AA123" s="6">
        <f ca="1">('TE BE'!$AB$7+'TE BF_350'!$AB$7+'TE CVA'!$AB$7)*1</f>
        <v>399.84</v>
      </c>
      <c r="AB123" s="6">
        <f>$K$123*$V$123</f>
        <v>0</v>
      </c>
      <c r="AC123" s="6">
        <f>$M$123*$W$123</f>
        <v>657.44550819999995</v>
      </c>
      <c r="AD123" s="6">
        <f>$O$123*$X$123</f>
        <v>406.43857149999997</v>
      </c>
      <c r="AE123" s="6">
        <f>$K$123*$Y$123</f>
        <v>0</v>
      </c>
      <c r="AF123" s="6">
        <f ca="1">$M$123*$Z$123</f>
        <v>759.20710239999994</v>
      </c>
      <c r="AG123" s="6">
        <f ca="1">$O$123*$AA$123</f>
        <v>332.91078239999996</v>
      </c>
    </row>
    <row r="124" spans="1:33" ht="11.25" customHeight="1" x14ac:dyDescent="0.3">
      <c r="A124" s="4" t="s">
        <v>21</v>
      </c>
      <c r="B124" s="4" t="s">
        <v>34</v>
      </c>
      <c r="C124" s="4" t="s">
        <v>35</v>
      </c>
      <c r="D124" s="4" t="s">
        <v>40</v>
      </c>
      <c r="E124" s="4" t="s">
        <v>25</v>
      </c>
      <c r="F124" s="4" t="s">
        <v>25</v>
      </c>
      <c r="G124" s="4" t="s">
        <v>25</v>
      </c>
      <c r="H124" s="4" t="s">
        <v>36</v>
      </c>
      <c r="I124" s="5">
        <v>44440</v>
      </c>
      <c r="J124" s="6">
        <v>0</v>
      </c>
      <c r="K124" s="6">
        <v>0</v>
      </c>
      <c r="L124" s="6">
        <v>3.89899</v>
      </c>
      <c r="M124" s="6">
        <v>3.89899</v>
      </c>
      <c r="N124" s="6">
        <v>3.89899</v>
      </c>
      <c r="O124" s="6">
        <v>3.89899</v>
      </c>
      <c r="P124" s="6">
        <v>0</v>
      </c>
      <c r="Q124" s="4" t="s">
        <v>26</v>
      </c>
      <c r="R124" s="4">
        <v>0</v>
      </c>
      <c r="S124" s="6">
        <v>0</v>
      </c>
      <c r="T124" s="6">
        <v>21</v>
      </c>
      <c r="U124" s="6">
        <v>83</v>
      </c>
      <c r="V124" s="6">
        <f>IF(ISERROR(VLOOKUP($S$124,'TAR FIN'!$A$1:$O$92,15,0)),0,VLOOKUP($S$124,'TAR FIN'!$A$1:$O$92,15,0))</f>
        <v>0</v>
      </c>
      <c r="W124" s="6">
        <f>IF(ISERROR(VLOOKUP($T$124,'TAR FIN'!$A$1:$O$92,15,0)),0,VLOOKUP($T$124,'TAR FIN'!$A$1:$O$92,15,0))</f>
        <v>789.62</v>
      </c>
      <c r="X124" s="6">
        <f>IF(ISERROR(VLOOKUP($U$124,'TAR FIN'!$A$1:$O$92,15,0)),0,VLOOKUP($U$124,'TAR FIN'!$A$1:$O$92,15,0))</f>
        <v>488.15</v>
      </c>
      <c r="Y124" s="6"/>
      <c r="Z124" s="6">
        <f ca="1">('TUSD BE'!$AM$15+'TUSD BF_350'!$AM$15+'TUSD CVA'!$AM$15)*1</f>
        <v>911.84</v>
      </c>
      <c r="AA124" s="6">
        <f ca="1">('TE BE'!$AB$7+'TE BF_350'!$AB$7+'TE CVA'!$AB$7)*1</f>
        <v>399.84</v>
      </c>
      <c r="AB124" s="6">
        <f>$K$124*$V$124</f>
        <v>0</v>
      </c>
      <c r="AC124" s="6">
        <f>$M$124*$W$124</f>
        <v>3078.7204837999998</v>
      </c>
      <c r="AD124" s="6">
        <f>$O$124*$X$124</f>
        <v>1903.2919684999999</v>
      </c>
      <c r="AE124" s="6">
        <f>$K$124*$Y$124</f>
        <v>0</v>
      </c>
      <c r="AF124" s="6">
        <f ca="1">$M$124*$Z$124</f>
        <v>3555.2550415999999</v>
      </c>
      <c r="AG124" s="6">
        <f ca="1">$O$124*$AA$124</f>
        <v>1558.9721615999999</v>
      </c>
    </row>
    <row r="125" spans="1:33" ht="11.25" customHeight="1" x14ac:dyDescent="0.3">
      <c r="A125" s="4" t="s">
        <v>27</v>
      </c>
      <c r="B125" s="4" t="s">
        <v>34</v>
      </c>
      <c r="C125" s="4" t="s">
        <v>35</v>
      </c>
      <c r="D125" s="4" t="s">
        <v>40</v>
      </c>
      <c r="E125" s="4" t="s">
        <v>25</v>
      </c>
      <c r="F125" s="4" t="s">
        <v>25</v>
      </c>
      <c r="G125" s="4" t="s">
        <v>25</v>
      </c>
      <c r="H125" s="4" t="s">
        <v>36</v>
      </c>
      <c r="I125" s="5">
        <v>44440</v>
      </c>
      <c r="J125" s="6">
        <v>0</v>
      </c>
      <c r="K125" s="6">
        <v>0</v>
      </c>
      <c r="L125" s="6">
        <v>0.81979000000000002</v>
      </c>
      <c r="M125" s="6">
        <v>0.81979000000000002</v>
      </c>
      <c r="N125" s="6">
        <v>0.81979000000000002</v>
      </c>
      <c r="O125" s="6">
        <v>0.81979000000000002</v>
      </c>
      <c r="P125" s="6">
        <v>0</v>
      </c>
      <c r="Q125" s="4" t="s">
        <v>26</v>
      </c>
      <c r="R125" s="4">
        <v>0</v>
      </c>
      <c r="S125" s="6">
        <v>0</v>
      </c>
      <c r="T125" s="6">
        <v>21</v>
      </c>
      <c r="U125" s="6">
        <v>83</v>
      </c>
      <c r="V125" s="6">
        <f>IF(ISERROR(VLOOKUP($S$125,'TAR FIN'!$A$1:$O$92,15,0)),0,VLOOKUP($S$125,'TAR FIN'!$A$1:$O$92,15,0))</f>
        <v>0</v>
      </c>
      <c r="W125" s="6">
        <f>IF(ISERROR(VLOOKUP($T$125,'TAR FIN'!$A$1:$O$92,15,0)),0,VLOOKUP($T$125,'TAR FIN'!$A$1:$O$92,15,0))</f>
        <v>789.62</v>
      </c>
      <c r="X125" s="6">
        <f>IF(ISERROR(VLOOKUP($U$125,'TAR FIN'!$A$1:$O$92,15,0)),0,VLOOKUP($U$125,'TAR FIN'!$A$1:$O$92,15,0))</f>
        <v>488.15</v>
      </c>
      <c r="Y125" s="6"/>
      <c r="Z125" s="6">
        <f ca="1">('TUSD BE'!$AM$15+'TUSD BF_350'!$AM$15+'TUSD CVA'!$AM$15)*1</f>
        <v>911.84</v>
      </c>
      <c r="AA125" s="6">
        <f ca="1">('TE BE'!$AB$7+'TE BF_350'!$AB$7+'TE CVA'!$AB$7)*1</f>
        <v>399.84</v>
      </c>
      <c r="AB125" s="6">
        <f>$K$125*$V$125</f>
        <v>0</v>
      </c>
      <c r="AC125" s="6">
        <f>$M$125*$W$125</f>
        <v>647.32257979999997</v>
      </c>
      <c r="AD125" s="6">
        <f>$O$125*$X$125</f>
        <v>400.18048849999997</v>
      </c>
      <c r="AE125" s="6">
        <f>$K$125*$Y$125</f>
        <v>0</v>
      </c>
      <c r="AF125" s="6">
        <f ca="1">$M$125*$Z$125</f>
        <v>747.51731360000008</v>
      </c>
      <c r="AG125" s="6">
        <f ca="1">$O$125*$AA$125</f>
        <v>327.78483360000001</v>
      </c>
    </row>
    <row r="126" spans="1:33" ht="11.25" customHeight="1" x14ac:dyDescent="0.3">
      <c r="A126" s="4" t="s">
        <v>21</v>
      </c>
      <c r="B126" s="4" t="s">
        <v>34</v>
      </c>
      <c r="C126" s="4" t="s">
        <v>35</v>
      </c>
      <c r="D126" s="4" t="s">
        <v>40</v>
      </c>
      <c r="E126" s="4" t="s">
        <v>25</v>
      </c>
      <c r="F126" s="4" t="s">
        <v>25</v>
      </c>
      <c r="G126" s="4" t="s">
        <v>25</v>
      </c>
      <c r="H126" s="4" t="s">
        <v>36</v>
      </c>
      <c r="I126" s="5">
        <v>44470</v>
      </c>
      <c r="J126" s="6">
        <v>0</v>
      </c>
      <c r="K126" s="6">
        <v>0</v>
      </c>
      <c r="L126" s="6">
        <v>3.68018</v>
      </c>
      <c r="M126" s="6">
        <v>3.68018</v>
      </c>
      <c r="N126" s="6">
        <v>3.68018</v>
      </c>
      <c r="O126" s="6">
        <v>3.68018</v>
      </c>
      <c r="P126" s="6">
        <v>0</v>
      </c>
      <c r="Q126" s="4" t="s">
        <v>26</v>
      </c>
      <c r="R126" s="4">
        <v>0</v>
      </c>
      <c r="S126" s="6">
        <v>0</v>
      </c>
      <c r="T126" s="6">
        <v>21</v>
      </c>
      <c r="U126" s="6">
        <v>83</v>
      </c>
      <c r="V126" s="6">
        <f>IF(ISERROR(VLOOKUP($S$126,'TAR FIN'!$A$1:$O$92,15,0)),0,VLOOKUP($S$126,'TAR FIN'!$A$1:$O$92,15,0))</f>
        <v>0</v>
      </c>
      <c r="W126" s="6">
        <f>IF(ISERROR(VLOOKUP($T$126,'TAR FIN'!$A$1:$O$92,15,0)),0,VLOOKUP($T$126,'TAR FIN'!$A$1:$O$92,15,0))</f>
        <v>789.62</v>
      </c>
      <c r="X126" s="6">
        <f>IF(ISERROR(VLOOKUP($U$126,'TAR FIN'!$A$1:$O$92,15,0)),0,VLOOKUP($U$126,'TAR FIN'!$A$1:$O$92,15,0))</f>
        <v>488.15</v>
      </c>
      <c r="Y126" s="6"/>
      <c r="Z126" s="6">
        <f ca="1">('TUSD BE'!$AM$15+'TUSD BF_350'!$AM$15+'TUSD CVA'!$AM$15)*1</f>
        <v>911.84</v>
      </c>
      <c r="AA126" s="6">
        <f ca="1">('TE BE'!$AB$7+'TE BF_350'!$AB$7+'TE CVA'!$AB$7)*1</f>
        <v>399.84</v>
      </c>
      <c r="AB126" s="6">
        <f>$K$126*$V$126</f>
        <v>0</v>
      </c>
      <c r="AC126" s="6">
        <f>$M$126*$W$126</f>
        <v>2905.9437315999999</v>
      </c>
      <c r="AD126" s="6">
        <f>$O$126*$X$126</f>
        <v>1796.479867</v>
      </c>
      <c r="AE126" s="6">
        <f>$K$126*$Y$126</f>
        <v>0</v>
      </c>
      <c r="AF126" s="6">
        <f ca="1">$M$126*$Z$126</f>
        <v>3355.7353312</v>
      </c>
      <c r="AG126" s="6">
        <f ca="1">$O$126*$AA$126</f>
        <v>1471.4831712</v>
      </c>
    </row>
    <row r="127" spans="1:33" ht="11.25" customHeight="1" x14ac:dyDescent="0.3">
      <c r="A127" s="4" t="s">
        <v>27</v>
      </c>
      <c r="B127" s="4" t="s">
        <v>34</v>
      </c>
      <c r="C127" s="4" t="s">
        <v>35</v>
      </c>
      <c r="D127" s="4" t="s">
        <v>40</v>
      </c>
      <c r="E127" s="4" t="s">
        <v>25</v>
      </c>
      <c r="F127" s="4" t="s">
        <v>25</v>
      </c>
      <c r="G127" s="4" t="s">
        <v>25</v>
      </c>
      <c r="H127" s="4" t="s">
        <v>36</v>
      </c>
      <c r="I127" s="5">
        <v>44470</v>
      </c>
      <c r="J127" s="6">
        <v>0</v>
      </c>
      <c r="K127" s="6">
        <v>0</v>
      </c>
      <c r="L127" s="6">
        <v>0.80769999999999997</v>
      </c>
      <c r="M127" s="6">
        <v>0.80769999999999997</v>
      </c>
      <c r="N127" s="6">
        <v>0.80769999999999997</v>
      </c>
      <c r="O127" s="6">
        <v>0.80769999999999997</v>
      </c>
      <c r="P127" s="6">
        <v>0</v>
      </c>
      <c r="Q127" s="4" t="s">
        <v>26</v>
      </c>
      <c r="R127" s="4">
        <v>0</v>
      </c>
      <c r="S127" s="6">
        <v>0</v>
      </c>
      <c r="T127" s="6">
        <v>21</v>
      </c>
      <c r="U127" s="6">
        <v>83</v>
      </c>
      <c r="V127" s="6">
        <f>IF(ISERROR(VLOOKUP($S$127,'TAR FIN'!$A$1:$O$92,15,0)),0,VLOOKUP($S$127,'TAR FIN'!$A$1:$O$92,15,0))</f>
        <v>0</v>
      </c>
      <c r="W127" s="6">
        <f>IF(ISERROR(VLOOKUP($T$127,'TAR FIN'!$A$1:$O$92,15,0)),0,VLOOKUP($T$127,'TAR FIN'!$A$1:$O$92,15,0))</f>
        <v>789.62</v>
      </c>
      <c r="X127" s="6">
        <f>IF(ISERROR(VLOOKUP($U$127,'TAR FIN'!$A$1:$O$92,15,0)),0,VLOOKUP($U$127,'TAR FIN'!$A$1:$O$92,15,0))</f>
        <v>488.15</v>
      </c>
      <c r="Y127" s="6"/>
      <c r="Z127" s="6">
        <f ca="1">('TUSD BE'!$AM$15+'TUSD BF_350'!$AM$15+'TUSD CVA'!$AM$15)*1</f>
        <v>911.84</v>
      </c>
      <c r="AA127" s="6">
        <f ca="1">('TE BE'!$AB$7+'TE BF_350'!$AB$7+'TE CVA'!$AB$7)*1</f>
        <v>399.84</v>
      </c>
      <c r="AB127" s="6">
        <f>$K$127*$V$127</f>
        <v>0</v>
      </c>
      <c r="AC127" s="6">
        <f>$M$127*$W$127</f>
        <v>637.77607399999999</v>
      </c>
      <c r="AD127" s="6">
        <f>$O$127*$X$127</f>
        <v>394.27875499999999</v>
      </c>
      <c r="AE127" s="6">
        <f>$K$127*$Y$127</f>
        <v>0</v>
      </c>
      <c r="AF127" s="6">
        <f ca="1">$M$127*$Z$127</f>
        <v>736.49316799999997</v>
      </c>
      <c r="AG127" s="6">
        <f ca="1">$O$127*$AA$127</f>
        <v>322.95076799999998</v>
      </c>
    </row>
    <row r="128" spans="1:33" ht="11.25" customHeight="1" x14ac:dyDescent="0.3">
      <c r="A128" s="4" t="s">
        <v>21</v>
      </c>
      <c r="B128" s="4" t="s">
        <v>34</v>
      </c>
      <c r="C128" s="4" t="s">
        <v>35</v>
      </c>
      <c r="D128" s="4" t="s">
        <v>40</v>
      </c>
      <c r="E128" s="4" t="s">
        <v>25</v>
      </c>
      <c r="F128" s="4" t="s">
        <v>25</v>
      </c>
      <c r="G128" s="4" t="s">
        <v>25</v>
      </c>
      <c r="H128" s="4" t="s">
        <v>36</v>
      </c>
      <c r="I128" s="5">
        <v>44501</v>
      </c>
      <c r="J128" s="6">
        <v>0</v>
      </c>
      <c r="K128" s="6">
        <v>0</v>
      </c>
      <c r="L128" s="6">
        <v>4.1459999999999999</v>
      </c>
      <c r="M128" s="6">
        <v>4.1459999999999999</v>
      </c>
      <c r="N128" s="6">
        <v>4.1459999999999999</v>
      </c>
      <c r="O128" s="6">
        <v>4.1459999999999999</v>
      </c>
      <c r="P128" s="6">
        <v>0</v>
      </c>
      <c r="Q128" s="4" t="s">
        <v>26</v>
      </c>
      <c r="R128" s="4">
        <v>0</v>
      </c>
      <c r="S128" s="6">
        <v>0</v>
      </c>
      <c r="T128" s="6">
        <v>21</v>
      </c>
      <c r="U128" s="6">
        <v>83</v>
      </c>
      <c r="V128" s="6">
        <f>IF(ISERROR(VLOOKUP($S$128,'TAR FIN'!$A$1:$O$92,15,0)),0,VLOOKUP($S$128,'TAR FIN'!$A$1:$O$92,15,0))</f>
        <v>0</v>
      </c>
      <c r="W128" s="6">
        <f>IF(ISERROR(VLOOKUP($T$128,'TAR FIN'!$A$1:$O$92,15,0)),0,VLOOKUP($T$128,'TAR FIN'!$A$1:$O$92,15,0))</f>
        <v>789.62</v>
      </c>
      <c r="X128" s="6">
        <f>IF(ISERROR(VLOOKUP($U$128,'TAR FIN'!$A$1:$O$92,15,0)),0,VLOOKUP($U$128,'TAR FIN'!$A$1:$O$92,15,0))</f>
        <v>488.15</v>
      </c>
      <c r="Y128" s="6"/>
      <c r="Z128" s="6">
        <f ca="1">('TUSD BE'!$AM$15+'TUSD BF_350'!$AM$15+'TUSD CVA'!$AM$15)*1</f>
        <v>911.84</v>
      </c>
      <c r="AA128" s="6">
        <f ca="1">('TE BE'!$AB$7+'TE BF_350'!$AB$7+'TE CVA'!$AB$7)*1</f>
        <v>399.84</v>
      </c>
      <c r="AB128" s="6">
        <f>$K$128*$V$128</f>
        <v>0</v>
      </c>
      <c r="AC128" s="6">
        <f>$M$128*$W$128</f>
        <v>3273.7645199999997</v>
      </c>
      <c r="AD128" s="6">
        <f>$O$128*$X$128</f>
        <v>2023.8698999999999</v>
      </c>
      <c r="AE128" s="6">
        <f>$K$128*$Y$128</f>
        <v>0</v>
      </c>
      <c r="AF128" s="6">
        <f ca="1">$M$128*$Z$128</f>
        <v>3780.48864</v>
      </c>
      <c r="AG128" s="6">
        <f ca="1">$O$128*$AA$128</f>
        <v>1657.7366399999999</v>
      </c>
    </row>
    <row r="129" spans="1:33" ht="11.25" customHeight="1" x14ac:dyDescent="0.3">
      <c r="A129" s="4" t="s">
        <v>27</v>
      </c>
      <c r="B129" s="4" t="s">
        <v>34</v>
      </c>
      <c r="C129" s="4" t="s">
        <v>35</v>
      </c>
      <c r="D129" s="4" t="s">
        <v>40</v>
      </c>
      <c r="E129" s="4" t="s">
        <v>25</v>
      </c>
      <c r="F129" s="4" t="s">
        <v>25</v>
      </c>
      <c r="G129" s="4" t="s">
        <v>25</v>
      </c>
      <c r="H129" s="4" t="s">
        <v>36</v>
      </c>
      <c r="I129" s="5">
        <v>44501</v>
      </c>
      <c r="J129" s="6">
        <v>0</v>
      </c>
      <c r="K129" s="6">
        <v>0</v>
      </c>
      <c r="L129" s="6">
        <v>0.97399999999999998</v>
      </c>
      <c r="M129" s="6">
        <v>0.97399999999999998</v>
      </c>
      <c r="N129" s="6">
        <v>0.97399999999999998</v>
      </c>
      <c r="O129" s="6">
        <v>0.97399999999999998</v>
      </c>
      <c r="P129" s="6">
        <v>0</v>
      </c>
      <c r="Q129" s="4" t="s">
        <v>26</v>
      </c>
      <c r="R129" s="4">
        <v>0</v>
      </c>
      <c r="S129" s="6">
        <v>0</v>
      </c>
      <c r="T129" s="6">
        <v>21</v>
      </c>
      <c r="U129" s="6">
        <v>83</v>
      </c>
      <c r="V129" s="6">
        <f>IF(ISERROR(VLOOKUP($S$129,'TAR FIN'!$A$1:$O$92,15,0)),0,VLOOKUP($S$129,'TAR FIN'!$A$1:$O$92,15,0))</f>
        <v>0</v>
      </c>
      <c r="W129" s="6">
        <f>IF(ISERROR(VLOOKUP($T$129,'TAR FIN'!$A$1:$O$92,15,0)),0,VLOOKUP($T$129,'TAR FIN'!$A$1:$O$92,15,0))</f>
        <v>789.62</v>
      </c>
      <c r="X129" s="6">
        <f>IF(ISERROR(VLOOKUP($U$129,'TAR FIN'!$A$1:$O$92,15,0)),0,VLOOKUP($U$129,'TAR FIN'!$A$1:$O$92,15,0))</f>
        <v>488.15</v>
      </c>
      <c r="Y129" s="6"/>
      <c r="Z129" s="6">
        <f ca="1">('TUSD BE'!$AM$15+'TUSD BF_350'!$AM$15+'TUSD CVA'!$AM$15)*1</f>
        <v>911.84</v>
      </c>
      <c r="AA129" s="6">
        <f ca="1">('TE BE'!$AB$7+'TE BF_350'!$AB$7+'TE CVA'!$AB$7)*1</f>
        <v>399.84</v>
      </c>
      <c r="AB129" s="6">
        <f>$K$129*$V$129</f>
        <v>0</v>
      </c>
      <c r="AC129" s="6">
        <f>$M$129*$W$129</f>
        <v>769.08987999999999</v>
      </c>
      <c r="AD129" s="6">
        <f>$O$129*$X$129</f>
        <v>475.45809999999994</v>
      </c>
      <c r="AE129" s="6">
        <f>$K$129*$Y$129</f>
        <v>0</v>
      </c>
      <c r="AF129" s="6">
        <f ca="1">$M$129*$Z$129</f>
        <v>888.13216</v>
      </c>
      <c r="AG129" s="6">
        <f ca="1">$O$129*$AA$129</f>
        <v>389.44415999999995</v>
      </c>
    </row>
    <row r="130" spans="1:33" ht="11.25" customHeight="1" x14ac:dyDescent="0.3">
      <c r="A130" s="4" t="s">
        <v>21</v>
      </c>
      <c r="B130" s="4" t="s">
        <v>34</v>
      </c>
      <c r="C130" s="4" t="s">
        <v>35</v>
      </c>
      <c r="D130" s="4" t="s">
        <v>40</v>
      </c>
      <c r="E130" s="4" t="s">
        <v>25</v>
      </c>
      <c r="F130" s="4" t="s">
        <v>25</v>
      </c>
      <c r="G130" s="4" t="s">
        <v>25</v>
      </c>
      <c r="H130" s="4" t="s">
        <v>36</v>
      </c>
      <c r="I130" s="5">
        <v>44531</v>
      </c>
      <c r="J130" s="6">
        <v>0</v>
      </c>
      <c r="K130" s="6">
        <v>0</v>
      </c>
      <c r="L130" s="6">
        <v>5.6028099999999998</v>
      </c>
      <c r="M130" s="6">
        <v>5.6028099999999998</v>
      </c>
      <c r="N130" s="6">
        <v>5.6028099999999998</v>
      </c>
      <c r="O130" s="6">
        <v>5.6028099999999998</v>
      </c>
      <c r="P130" s="6">
        <v>0</v>
      </c>
      <c r="Q130" s="4" t="s">
        <v>26</v>
      </c>
      <c r="R130" s="4">
        <v>0</v>
      </c>
      <c r="S130" s="6">
        <v>0</v>
      </c>
      <c r="T130" s="6">
        <v>21</v>
      </c>
      <c r="U130" s="6">
        <v>83</v>
      </c>
      <c r="V130" s="6">
        <f>IF(ISERROR(VLOOKUP($S$130,'TAR FIN'!$A$1:$O$92,15,0)),0,VLOOKUP($S$130,'TAR FIN'!$A$1:$O$92,15,0))</f>
        <v>0</v>
      </c>
      <c r="W130" s="6">
        <f>IF(ISERROR(VLOOKUP($T$130,'TAR FIN'!$A$1:$O$92,15,0)),0,VLOOKUP($T$130,'TAR FIN'!$A$1:$O$92,15,0))</f>
        <v>789.62</v>
      </c>
      <c r="X130" s="6">
        <f>IF(ISERROR(VLOOKUP($U$130,'TAR FIN'!$A$1:$O$92,15,0)),0,VLOOKUP($U$130,'TAR FIN'!$A$1:$O$92,15,0))</f>
        <v>488.15</v>
      </c>
      <c r="Y130" s="6"/>
      <c r="Z130" s="6">
        <f ca="1">('TUSD BE'!$AM$15+'TUSD BF_350'!$AM$15+'TUSD CVA'!$AM$15)*1</f>
        <v>911.84</v>
      </c>
      <c r="AA130" s="6">
        <f ca="1">('TE BE'!$AB$7+'TE BF_350'!$AB$7+'TE CVA'!$AB$7)*1</f>
        <v>399.84</v>
      </c>
      <c r="AB130" s="6">
        <f>$K$130*$V$130</f>
        <v>0</v>
      </c>
      <c r="AC130" s="6">
        <f>$M$130*$W$130</f>
        <v>4424.0908321999996</v>
      </c>
      <c r="AD130" s="6">
        <f>$O$130*$X$130</f>
        <v>2735.0117014999996</v>
      </c>
      <c r="AE130" s="6">
        <f>$K$130*$Y$130</f>
        <v>0</v>
      </c>
      <c r="AF130" s="6">
        <f ca="1">$M$130*$Z$130</f>
        <v>5108.8662703999998</v>
      </c>
      <c r="AG130" s="6">
        <f ca="1">$O$130*$AA$130</f>
        <v>2240.2275503999999</v>
      </c>
    </row>
    <row r="131" spans="1:33" ht="11.25" customHeight="1" x14ac:dyDescent="0.3">
      <c r="A131" s="4" t="s">
        <v>27</v>
      </c>
      <c r="B131" s="4" t="s">
        <v>34</v>
      </c>
      <c r="C131" s="4" t="s">
        <v>35</v>
      </c>
      <c r="D131" s="4" t="s">
        <v>40</v>
      </c>
      <c r="E131" s="4" t="s">
        <v>25</v>
      </c>
      <c r="F131" s="4" t="s">
        <v>25</v>
      </c>
      <c r="G131" s="4" t="s">
        <v>25</v>
      </c>
      <c r="H131" s="4" t="s">
        <v>36</v>
      </c>
      <c r="I131" s="5">
        <v>44531</v>
      </c>
      <c r="J131" s="6">
        <v>0</v>
      </c>
      <c r="K131" s="6">
        <v>0</v>
      </c>
      <c r="L131" s="6">
        <v>1.288</v>
      </c>
      <c r="M131" s="6">
        <v>1.288</v>
      </c>
      <c r="N131" s="6">
        <v>1.288</v>
      </c>
      <c r="O131" s="6">
        <v>1.288</v>
      </c>
      <c r="P131" s="6">
        <v>0</v>
      </c>
      <c r="Q131" s="4" t="s">
        <v>26</v>
      </c>
      <c r="R131" s="4">
        <v>0</v>
      </c>
      <c r="S131" s="6">
        <v>0</v>
      </c>
      <c r="T131" s="6">
        <v>21</v>
      </c>
      <c r="U131" s="6">
        <v>83</v>
      </c>
      <c r="V131" s="6">
        <f>IF(ISERROR(VLOOKUP($S$131,'TAR FIN'!$A$1:$O$92,15,0)),0,VLOOKUP($S$131,'TAR FIN'!$A$1:$O$92,15,0))</f>
        <v>0</v>
      </c>
      <c r="W131" s="6">
        <f>IF(ISERROR(VLOOKUP($T$131,'TAR FIN'!$A$1:$O$92,15,0)),0,VLOOKUP($T$131,'TAR FIN'!$A$1:$O$92,15,0))</f>
        <v>789.62</v>
      </c>
      <c r="X131" s="6">
        <f>IF(ISERROR(VLOOKUP($U$131,'TAR FIN'!$A$1:$O$92,15,0)),0,VLOOKUP($U$131,'TAR FIN'!$A$1:$O$92,15,0))</f>
        <v>488.15</v>
      </c>
      <c r="Y131" s="6"/>
      <c r="Z131" s="6">
        <f ca="1">('TUSD BE'!$AM$15+'TUSD BF_350'!$AM$15+'TUSD CVA'!$AM$15)*1</f>
        <v>911.84</v>
      </c>
      <c r="AA131" s="6">
        <f ca="1">('TE BE'!$AB$7+'TE BF_350'!$AB$7+'TE CVA'!$AB$7)*1</f>
        <v>399.84</v>
      </c>
      <c r="AB131" s="6">
        <f>$K$131*$V$131</f>
        <v>0</v>
      </c>
      <c r="AC131" s="6">
        <f>$M$131*$W$131</f>
        <v>1017.03056</v>
      </c>
      <c r="AD131" s="6">
        <f>$O$131*$X$131</f>
        <v>628.73720000000003</v>
      </c>
      <c r="AE131" s="6">
        <f>$K$131*$Y$131</f>
        <v>0</v>
      </c>
      <c r="AF131" s="6">
        <f ca="1">$M$131*$Z$131</f>
        <v>1174.44992</v>
      </c>
      <c r="AG131" s="6">
        <f ca="1">$O$131*$AA$131</f>
        <v>514.99392</v>
      </c>
    </row>
    <row r="132" spans="1:33" ht="11.25" customHeight="1" x14ac:dyDescent="0.3">
      <c r="A132" s="4" t="s">
        <v>21</v>
      </c>
      <c r="B132" s="4" t="s">
        <v>34</v>
      </c>
      <c r="C132" s="4" t="s">
        <v>35</v>
      </c>
      <c r="D132" s="4" t="s">
        <v>40</v>
      </c>
      <c r="E132" s="4" t="s">
        <v>25</v>
      </c>
      <c r="F132" s="4" t="s">
        <v>25</v>
      </c>
      <c r="G132" s="4" t="s">
        <v>25</v>
      </c>
      <c r="H132" s="4" t="s">
        <v>36</v>
      </c>
      <c r="I132" s="5">
        <v>44562</v>
      </c>
      <c r="J132" s="6">
        <v>0</v>
      </c>
      <c r="K132" s="6">
        <v>0</v>
      </c>
      <c r="L132" s="6">
        <v>5.6550000000000002</v>
      </c>
      <c r="M132" s="6">
        <v>5.6550000000000002</v>
      </c>
      <c r="N132" s="6">
        <v>5.6550000000000002</v>
      </c>
      <c r="O132" s="6">
        <v>5.6550000000000002</v>
      </c>
      <c r="P132" s="6">
        <v>0</v>
      </c>
      <c r="Q132" s="4" t="s">
        <v>26</v>
      </c>
      <c r="R132" s="4">
        <v>0</v>
      </c>
      <c r="S132" s="6">
        <v>0</v>
      </c>
      <c r="T132" s="6">
        <v>21</v>
      </c>
      <c r="U132" s="6">
        <v>83</v>
      </c>
      <c r="V132" s="6">
        <f>IF(ISERROR(VLOOKUP($S$132,'TAR FIN'!$A$1:$O$92,15,0)),0,VLOOKUP($S$132,'TAR FIN'!$A$1:$O$92,15,0))</f>
        <v>0</v>
      </c>
      <c r="W132" s="6">
        <f>IF(ISERROR(VLOOKUP($T$132,'TAR FIN'!$A$1:$O$92,15,0)),0,VLOOKUP($T$132,'TAR FIN'!$A$1:$O$92,15,0))</f>
        <v>789.62</v>
      </c>
      <c r="X132" s="6">
        <f>IF(ISERROR(VLOOKUP($U$132,'TAR FIN'!$A$1:$O$92,15,0)),0,VLOOKUP($U$132,'TAR FIN'!$A$1:$O$92,15,0))</f>
        <v>488.15</v>
      </c>
      <c r="Y132" s="6"/>
      <c r="Z132" s="6">
        <f ca="1">('TUSD BE'!$AM$15+'TUSD BF_350'!$AM$15+'TUSD CVA'!$AM$15)*1</f>
        <v>911.84</v>
      </c>
      <c r="AA132" s="6">
        <f ca="1">('TE BE'!$AB$7+'TE BF_350'!$AB$7+'TE CVA'!$AB$7)*1</f>
        <v>399.84</v>
      </c>
      <c r="AB132" s="6">
        <f>$K$132*$V$132</f>
        <v>0</v>
      </c>
      <c r="AC132" s="6">
        <f>$M$132*$W$132</f>
        <v>4465.3011000000006</v>
      </c>
      <c r="AD132" s="6">
        <f>$O$132*$X$132</f>
        <v>2760.4882499999999</v>
      </c>
      <c r="AE132" s="6">
        <f>$K$132*$Y$132</f>
        <v>0</v>
      </c>
      <c r="AF132" s="6">
        <f ca="1">$M$132*$Z$132</f>
        <v>5156.4552000000003</v>
      </c>
      <c r="AG132" s="6">
        <f ca="1">$O$132*$AA$132</f>
        <v>2261.0951999999997</v>
      </c>
    </row>
    <row r="133" spans="1:33" ht="11.25" customHeight="1" x14ac:dyDescent="0.3">
      <c r="A133" s="4" t="s">
        <v>27</v>
      </c>
      <c r="B133" s="4" t="s">
        <v>34</v>
      </c>
      <c r="C133" s="4" t="s">
        <v>35</v>
      </c>
      <c r="D133" s="4" t="s">
        <v>40</v>
      </c>
      <c r="E133" s="4" t="s">
        <v>25</v>
      </c>
      <c r="F133" s="4" t="s">
        <v>25</v>
      </c>
      <c r="G133" s="4" t="s">
        <v>25</v>
      </c>
      <c r="H133" s="4" t="s">
        <v>36</v>
      </c>
      <c r="I133" s="5">
        <v>44562</v>
      </c>
      <c r="J133" s="6">
        <v>0</v>
      </c>
      <c r="K133" s="6">
        <v>0</v>
      </c>
      <c r="L133" s="6">
        <v>1.835</v>
      </c>
      <c r="M133" s="6">
        <v>1.835</v>
      </c>
      <c r="N133" s="6">
        <v>1.835</v>
      </c>
      <c r="O133" s="6">
        <v>1.835</v>
      </c>
      <c r="P133" s="6">
        <v>0</v>
      </c>
      <c r="Q133" s="4" t="s">
        <v>26</v>
      </c>
      <c r="R133" s="4">
        <v>0</v>
      </c>
      <c r="S133" s="6">
        <v>0</v>
      </c>
      <c r="T133" s="6">
        <v>21</v>
      </c>
      <c r="U133" s="6">
        <v>83</v>
      </c>
      <c r="V133" s="6">
        <f>IF(ISERROR(VLOOKUP($S$133,'TAR FIN'!$A$1:$O$92,15,0)),0,VLOOKUP($S$133,'TAR FIN'!$A$1:$O$92,15,0))</f>
        <v>0</v>
      </c>
      <c r="W133" s="6">
        <f>IF(ISERROR(VLOOKUP($T$133,'TAR FIN'!$A$1:$O$92,15,0)),0,VLOOKUP($T$133,'TAR FIN'!$A$1:$O$92,15,0))</f>
        <v>789.62</v>
      </c>
      <c r="X133" s="6">
        <f>IF(ISERROR(VLOOKUP($U$133,'TAR FIN'!$A$1:$O$92,15,0)),0,VLOOKUP($U$133,'TAR FIN'!$A$1:$O$92,15,0))</f>
        <v>488.15</v>
      </c>
      <c r="Y133" s="6"/>
      <c r="Z133" s="6">
        <f ca="1">('TUSD BE'!$AM$15+'TUSD BF_350'!$AM$15+'TUSD CVA'!$AM$15)*1</f>
        <v>911.84</v>
      </c>
      <c r="AA133" s="6">
        <f ca="1">('TE BE'!$AB$7+'TE BF_350'!$AB$7+'TE CVA'!$AB$7)*1</f>
        <v>399.84</v>
      </c>
      <c r="AB133" s="6">
        <f>$K$133*$V$133</f>
        <v>0</v>
      </c>
      <c r="AC133" s="6">
        <f>$M$133*$W$133</f>
        <v>1448.9527</v>
      </c>
      <c r="AD133" s="6">
        <f>$O$133*$X$133</f>
        <v>895.75524999999993</v>
      </c>
      <c r="AE133" s="6">
        <f>$K$133*$Y$133</f>
        <v>0</v>
      </c>
      <c r="AF133" s="6">
        <f ca="1">$M$133*$Z$133</f>
        <v>1673.2264</v>
      </c>
      <c r="AG133" s="6">
        <f ca="1">$O$133*$AA$133</f>
        <v>733.70639999999992</v>
      </c>
    </row>
    <row r="134" spans="1:33" ht="11.25" customHeight="1" x14ac:dyDescent="0.3">
      <c r="A134" s="4" t="s">
        <v>21</v>
      </c>
      <c r="B134" s="4" t="s">
        <v>34</v>
      </c>
      <c r="C134" s="4" t="s">
        <v>35</v>
      </c>
      <c r="D134" s="4" t="s">
        <v>40</v>
      </c>
      <c r="E134" s="4" t="s">
        <v>25</v>
      </c>
      <c r="F134" s="4" t="s">
        <v>25</v>
      </c>
      <c r="G134" s="4" t="s">
        <v>25</v>
      </c>
      <c r="H134" s="4" t="s">
        <v>36</v>
      </c>
      <c r="I134" s="5">
        <v>44593</v>
      </c>
      <c r="J134" s="6">
        <v>0</v>
      </c>
      <c r="K134" s="6">
        <v>0</v>
      </c>
      <c r="L134" s="6">
        <v>4.7380000000000004</v>
      </c>
      <c r="M134" s="6">
        <v>4.7380000000000004</v>
      </c>
      <c r="N134" s="6">
        <v>4.7380000000000004</v>
      </c>
      <c r="O134" s="6">
        <v>4.7380000000000004</v>
      </c>
      <c r="P134" s="6">
        <v>0</v>
      </c>
      <c r="Q134" s="4" t="s">
        <v>26</v>
      </c>
      <c r="R134" s="4">
        <v>0</v>
      </c>
      <c r="S134" s="6">
        <v>0</v>
      </c>
      <c r="T134" s="6">
        <v>21</v>
      </c>
      <c r="U134" s="6">
        <v>83</v>
      </c>
      <c r="V134" s="6">
        <f>IF(ISERROR(VLOOKUP($S$134,'TAR FIN'!$A$1:$O$92,15,0)),0,VLOOKUP($S$134,'TAR FIN'!$A$1:$O$92,15,0))</f>
        <v>0</v>
      </c>
      <c r="W134" s="6">
        <f>IF(ISERROR(VLOOKUP($T$134,'TAR FIN'!$A$1:$O$92,15,0)),0,VLOOKUP($T$134,'TAR FIN'!$A$1:$O$92,15,0))</f>
        <v>789.62</v>
      </c>
      <c r="X134" s="6">
        <f>IF(ISERROR(VLOOKUP($U$134,'TAR FIN'!$A$1:$O$92,15,0)),0,VLOOKUP($U$134,'TAR FIN'!$A$1:$O$92,15,0))</f>
        <v>488.15</v>
      </c>
      <c r="Y134" s="6"/>
      <c r="Z134" s="6">
        <f ca="1">('TUSD BE'!$AM$15+'TUSD BF_350'!$AM$15+'TUSD CVA'!$AM$15)*1</f>
        <v>911.84</v>
      </c>
      <c r="AA134" s="6">
        <f ca="1">('TE BE'!$AB$7+'TE BF_350'!$AB$7+'TE CVA'!$AB$7)*1</f>
        <v>399.84</v>
      </c>
      <c r="AB134" s="6">
        <f>$K$134*$V$134</f>
        <v>0</v>
      </c>
      <c r="AC134" s="6">
        <f>$M$134*$W$134</f>
        <v>3741.2195600000005</v>
      </c>
      <c r="AD134" s="6">
        <f>$O$134*$X$134</f>
        <v>2312.8547000000003</v>
      </c>
      <c r="AE134" s="6">
        <f>$K$134*$Y$134</f>
        <v>0</v>
      </c>
      <c r="AF134" s="6">
        <f ca="1">$M$134*$Z$134</f>
        <v>4320.2979200000009</v>
      </c>
      <c r="AG134" s="6">
        <f ca="1">$O$134*$AA$134</f>
        <v>1894.44192</v>
      </c>
    </row>
    <row r="135" spans="1:33" ht="11.25" customHeight="1" x14ac:dyDescent="0.3">
      <c r="A135" s="4" t="s">
        <v>27</v>
      </c>
      <c r="B135" s="4" t="s">
        <v>34</v>
      </c>
      <c r="C135" s="4" t="s">
        <v>35</v>
      </c>
      <c r="D135" s="4" t="s">
        <v>40</v>
      </c>
      <c r="E135" s="4" t="s">
        <v>25</v>
      </c>
      <c r="F135" s="4" t="s">
        <v>25</v>
      </c>
      <c r="G135" s="4" t="s">
        <v>25</v>
      </c>
      <c r="H135" s="4" t="s">
        <v>36</v>
      </c>
      <c r="I135" s="5">
        <v>44593</v>
      </c>
      <c r="J135" s="6">
        <v>0</v>
      </c>
      <c r="K135" s="6">
        <v>0</v>
      </c>
      <c r="L135" s="6">
        <v>1.76458</v>
      </c>
      <c r="M135" s="6">
        <v>1.76458</v>
      </c>
      <c r="N135" s="6">
        <v>1.76458</v>
      </c>
      <c r="O135" s="6">
        <v>1.76458</v>
      </c>
      <c r="P135" s="6">
        <v>0</v>
      </c>
      <c r="Q135" s="4" t="s">
        <v>26</v>
      </c>
      <c r="R135" s="4">
        <v>0</v>
      </c>
      <c r="S135" s="6">
        <v>0</v>
      </c>
      <c r="T135" s="6">
        <v>21</v>
      </c>
      <c r="U135" s="6">
        <v>83</v>
      </c>
      <c r="V135" s="6">
        <f>IF(ISERROR(VLOOKUP($S$135,'TAR FIN'!$A$1:$O$92,15,0)),0,VLOOKUP($S$135,'TAR FIN'!$A$1:$O$92,15,0))</f>
        <v>0</v>
      </c>
      <c r="W135" s="6">
        <f>IF(ISERROR(VLOOKUP($T$135,'TAR FIN'!$A$1:$O$92,15,0)),0,VLOOKUP($T$135,'TAR FIN'!$A$1:$O$92,15,0))</f>
        <v>789.62</v>
      </c>
      <c r="X135" s="6">
        <f>IF(ISERROR(VLOOKUP($U$135,'TAR FIN'!$A$1:$O$92,15,0)),0,VLOOKUP($U$135,'TAR FIN'!$A$1:$O$92,15,0))</f>
        <v>488.15</v>
      </c>
      <c r="Y135" s="6"/>
      <c r="Z135" s="6">
        <f ca="1">('TUSD BE'!$AM$15+'TUSD BF_350'!$AM$15+'TUSD CVA'!$AM$15)*1</f>
        <v>911.84</v>
      </c>
      <c r="AA135" s="6">
        <f ca="1">('TE BE'!$AB$7+'TE BF_350'!$AB$7+'TE CVA'!$AB$7)*1</f>
        <v>399.84</v>
      </c>
      <c r="AB135" s="6">
        <f>$K$135*$V$135</f>
        <v>0</v>
      </c>
      <c r="AC135" s="6">
        <f>$M$135*$W$135</f>
        <v>1393.3476596</v>
      </c>
      <c r="AD135" s="6">
        <f>$O$135*$X$135</f>
        <v>861.379727</v>
      </c>
      <c r="AE135" s="6">
        <f>$K$135*$Y$135</f>
        <v>0</v>
      </c>
      <c r="AF135" s="6">
        <f ca="1">$M$135*$Z$135</f>
        <v>1609.0146272000002</v>
      </c>
      <c r="AG135" s="6">
        <f ca="1">$O$135*$AA$135</f>
        <v>705.54966719999993</v>
      </c>
    </row>
    <row r="136" spans="1:33" ht="11.25" customHeight="1" x14ac:dyDescent="0.3">
      <c r="A136" s="4" t="s">
        <v>21</v>
      </c>
      <c r="B136" s="4" t="s">
        <v>34</v>
      </c>
      <c r="C136" s="4" t="s">
        <v>35</v>
      </c>
      <c r="D136" s="4" t="s">
        <v>40</v>
      </c>
      <c r="E136" s="4" t="s">
        <v>25</v>
      </c>
      <c r="F136" s="4" t="s">
        <v>25</v>
      </c>
      <c r="G136" s="4" t="s">
        <v>25</v>
      </c>
      <c r="H136" s="4" t="s">
        <v>36</v>
      </c>
      <c r="I136" s="5">
        <v>44621</v>
      </c>
      <c r="J136" s="6">
        <v>0</v>
      </c>
      <c r="K136" s="6">
        <v>0</v>
      </c>
      <c r="L136" s="6">
        <v>4.5263299999999997</v>
      </c>
      <c r="M136" s="6">
        <v>4.5263299999999997</v>
      </c>
      <c r="N136" s="6">
        <v>4.5263299999999997</v>
      </c>
      <c r="O136" s="6">
        <v>4.5263299999999997</v>
      </c>
      <c r="P136" s="6">
        <v>0</v>
      </c>
      <c r="Q136" s="4" t="s">
        <v>26</v>
      </c>
      <c r="R136" s="4">
        <v>0</v>
      </c>
      <c r="S136" s="6">
        <v>0</v>
      </c>
      <c r="T136" s="6">
        <v>21</v>
      </c>
      <c r="U136" s="6">
        <v>83</v>
      </c>
      <c r="V136" s="6">
        <f>IF(ISERROR(VLOOKUP($S$136,'TAR FIN'!$A$1:$O$92,15,0)),0,VLOOKUP($S$136,'TAR FIN'!$A$1:$O$92,15,0))</f>
        <v>0</v>
      </c>
      <c r="W136" s="6">
        <f>IF(ISERROR(VLOOKUP($T$136,'TAR FIN'!$A$1:$O$92,15,0)),0,VLOOKUP($T$136,'TAR FIN'!$A$1:$O$92,15,0))</f>
        <v>789.62</v>
      </c>
      <c r="X136" s="6">
        <f>IF(ISERROR(VLOOKUP($U$136,'TAR FIN'!$A$1:$O$92,15,0)),0,VLOOKUP($U$136,'TAR FIN'!$A$1:$O$92,15,0))</f>
        <v>488.15</v>
      </c>
      <c r="Y136" s="6"/>
      <c r="Z136" s="6">
        <f ca="1">('TUSD BE'!$AM$15+'TUSD BF_350'!$AM$15+'TUSD CVA'!$AM$15)*1</f>
        <v>911.84</v>
      </c>
      <c r="AA136" s="6">
        <f ca="1">('TE BE'!$AB$7+'TE BF_350'!$AB$7+'TE CVA'!$AB$7)*1</f>
        <v>399.84</v>
      </c>
      <c r="AB136" s="6">
        <f>$K$136*$V$136</f>
        <v>0</v>
      </c>
      <c r="AC136" s="6">
        <f>$M$136*$W$136</f>
        <v>3574.0806945999998</v>
      </c>
      <c r="AD136" s="6">
        <f>$O$136*$X$136</f>
        <v>2209.5279894999999</v>
      </c>
      <c r="AE136" s="6">
        <f>$K$136*$Y$136</f>
        <v>0</v>
      </c>
      <c r="AF136" s="6">
        <f ca="1">$M$136*$Z$136</f>
        <v>4127.2887472000002</v>
      </c>
      <c r="AG136" s="6">
        <f ca="1">$O$136*$AA$136</f>
        <v>1809.8077871999999</v>
      </c>
    </row>
    <row r="137" spans="1:33" ht="11.25" customHeight="1" x14ac:dyDescent="0.3">
      <c r="A137" s="4" t="s">
        <v>27</v>
      </c>
      <c r="B137" s="4" t="s">
        <v>34</v>
      </c>
      <c r="C137" s="4" t="s">
        <v>35</v>
      </c>
      <c r="D137" s="4" t="s">
        <v>40</v>
      </c>
      <c r="E137" s="4" t="s">
        <v>25</v>
      </c>
      <c r="F137" s="4" t="s">
        <v>25</v>
      </c>
      <c r="G137" s="4" t="s">
        <v>25</v>
      </c>
      <c r="H137" s="4" t="s">
        <v>36</v>
      </c>
      <c r="I137" s="5">
        <v>44621</v>
      </c>
      <c r="J137" s="6">
        <v>0</v>
      </c>
      <c r="K137" s="6">
        <v>0</v>
      </c>
      <c r="L137" s="6">
        <v>1.5145900000000001</v>
      </c>
      <c r="M137" s="6">
        <v>1.5145900000000001</v>
      </c>
      <c r="N137" s="6">
        <v>1.5145900000000001</v>
      </c>
      <c r="O137" s="6">
        <v>1.5145900000000001</v>
      </c>
      <c r="P137" s="6">
        <v>0</v>
      </c>
      <c r="Q137" s="4" t="s">
        <v>26</v>
      </c>
      <c r="R137" s="4">
        <v>0</v>
      </c>
      <c r="S137" s="6">
        <v>0</v>
      </c>
      <c r="T137" s="6">
        <v>21</v>
      </c>
      <c r="U137" s="6">
        <v>83</v>
      </c>
      <c r="V137" s="6">
        <f>IF(ISERROR(VLOOKUP($S$137,'TAR FIN'!$A$1:$O$92,15,0)),0,VLOOKUP($S$137,'TAR FIN'!$A$1:$O$92,15,0))</f>
        <v>0</v>
      </c>
      <c r="W137" s="6">
        <f>IF(ISERROR(VLOOKUP($T$137,'TAR FIN'!$A$1:$O$92,15,0)),0,VLOOKUP($T$137,'TAR FIN'!$A$1:$O$92,15,0))</f>
        <v>789.62</v>
      </c>
      <c r="X137" s="6">
        <f>IF(ISERROR(VLOOKUP($U$137,'TAR FIN'!$A$1:$O$92,15,0)),0,VLOOKUP($U$137,'TAR FIN'!$A$1:$O$92,15,0))</f>
        <v>488.15</v>
      </c>
      <c r="Y137" s="6"/>
      <c r="Z137" s="6">
        <f ca="1">('TUSD BE'!$AM$15+'TUSD BF_350'!$AM$15+'TUSD CVA'!$AM$15)*1</f>
        <v>911.84</v>
      </c>
      <c r="AA137" s="6">
        <f ca="1">('TE BE'!$AB$7+'TE BF_350'!$AB$7+'TE CVA'!$AB$7)*1</f>
        <v>399.84</v>
      </c>
      <c r="AB137" s="6">
        <f>$K$137*$V$137</f>
        <v>0</v>
      </c>
      <c r="AC137" s="6">
        <f>$M$137*$W$137</f>
        <v>1195.9505558000001</v>
      </c>
      <c r="AD137" s="6">
        <f>$O$137*$X$137</f>
        <v>739.34710849999999</v>
      </c>
      <c r="AE137" s="6">
        <f>$K$137*$Y$137</f>
        <v>0</v>
      </c>
      <c r="AF137" s="6">
        <f ca="1">$M$137*$Z$137</f>
        <v>1381.0637456000002</v>
      </c>
      <c r="AG137" s="6">
        <f ca="1">$O$137*$AA$137</f>
        <v>605.59366560000001</v>
      </c>
    </row>
    <row r="138" spans="1:33" ht="11.25" customHeight="1" x14ac:dyDescent="0.3">
      <c r="A138" s="4" t="s">
        <v>21</v>
      </c>
      <c r="B138" s="4" t="s">
        <v>34</v>
      </c>
      <c r="C138" s="4" t="s">
        <v>35</v>
      </c>
      <c r="D138" s="4" t="s">
        <v>40</v>
      </c>
      <c r="E138" s="4" t="s">
        <v>25</v>
      </c>
      <c r="F138" s="4" t="s">
        <v>25</v>
      </c>
      <c r="G138" s="4" t="s">
        <v>25</v>
      </c>
      <c r="H138" s="4" t="s">
        <v>36</v>
      </c>
      <c r="I138" s="5">
        <v>44652</v>
      </c>
      <c r="J138" s="6">
        <v>0</v>
      </c>
      <c r="K138" s="6">
        <v>0</v>
      </c>
      <c r="L138" s="6">
        <v>3.3103699999999998</v>
      </c>
      <c r="M138" s="6">
        <v>3.3103699999999998</v>
      </c>
      <c r="N138" s="6">
        <v>3.3103699999999998</v>
      </c>
      <c r="O138" s="6">
        <v>3.3103699999999998</v>
      </c>
      <c r="P138" s="6">
        <v>0</v>
      </c>
      <c r="Q138" s="4" t="s">
        <v>26</v>
      </c>
      <c r="R138" s="4">
        <v>0</v>
      </c>
      <c r="S138" s="6">
        <v>0</v>
      </c>
      <c r="T138" s="6">
        <v>21</v>
      </c>
      <c r="U138" s="6">
        <v>83</v>
      </c>
      <c r="V138" s="6">
        <f>IF(ISERROR(VLOOKUP($S$138,'TAR FIN'!$A$1:$O$92,15,0)),0,VLOOKUP($S$138,'TAR FIN'!$A$1:$O$92,15,0))</f>
        <v>0</v>
      </c>
      <c r="W138" s="6">
        <f>IF(ISERROR(VLOOKUP($T$138,'TAR FIN'!$A$1:$O$92,15,0)),0,VLOOKUP($T$138,'TAR FIN'!$A$1:$O$92,15,0))</f>
        <v>789.62</v>
      </c>
      <c r="X138" s="6">
        <f>IF(ISERROR(VLOOKUP($U$138,'TAR FIN'!$A$1:$O$92,15,0)),0,VLOOKUP($U$138,'TAR FIN'!$A$1:$O$92,15,0))</f>
        <v>488.15</v>
      </c>
      <c r="Y138" s="6"/>
      <c r="Z138" s="6">
        <f ca="1">('TUSD BE'!$AM$15+'TUSD BF_350'!$AM$15+'TUSD CVA'!$AM$15)*1</f>
        <v>911.84</v>
      </c>
      <c r="AA138" s="6">
        <f ca="1">('TE BE'!$AB$7+'TE BF_350'!$AB$7+'TE CVA'!$AB$7)*1</f>
        <v>399.84</v>
      </c>
      <c r="AB138" s="6">
        <f>$K$138*$V$138</f>
        <v>0</v>
      </c>
      <c r="AC138" s="6">
        <f>$M$138*$W$138</f>
        <v>2613.9343593999997</v>
      </c>
      <c r="AD138" s="6">
        <f>$O$138*$X$138</f>
        <v>1615.9571154999999</v>
      </c>
      <c r="AE138" s="6">
        <f>$K$138*$Y$138</f>
        <v>0</v>
      </c>
      <c r="AF138" s="6">
        <f ca="1">$M$138*$Z$138</f>
        <v>3018.5277808000001</v>
      </c>
      <c r="AG138" s="6">
        <f ca="1">$O$138*$AA$138</f>
        <v>1323.6183407999999</v>
      </c>
    </row>
    <row r="139" spans="1:33" ht="11.25" customHeight="1" x14ac:dyDescent="0.3">
      <c r="A139" s="4" t="s">
        <v>27</v>
      </c>
      <c r="B139" s="4" t="s">
        <v>34</v>
      </c>
      <c r="C139" s="4" t="s">
        <v>35</v>
      </c>
      <c r="D139" s="4" t="s">
        <v>40</v>
      </c>
      <c r="E139" s="4" t="s">
        <v>25</v>
      </c>
      <c r="F139" s="4" t="s">
        <v>25</v>
      </c>
      <c r="G139" s="4" t="s">
        <v>25</v>
      </c>
      <c r="H139" s="4" t="s">
        <v>36</v>
      </c>
      <c r="I139" s="5">
        <v>44652</v>
      </c>
      <c r="J139" s="6">
        <v>0</v>
      </c>
      <c r="K139" s="6">
        <v>0</v>
      </c>
      <c r="L139" s="6">
        <v>0.872</v>
      </c>
      <c r="M139" s="6">
        <v>0.872</v>
      </c>
      <c r="N139" s="6">
        <v>0.872</v>
      </c>
      <c r="O139" s="6">
        <v>0.872</v>
      </c>
      <c r="P139" s="6">
        <v>0</v>
      </c>
      <c r="Q139" s="4" t="s">
        <v>26</v>
      </c>
      <c r="R139" s="4">
        <v>0</v>
      </c>
      <c r="S139" s="6">
        <v>0</v>
      </c>
      <c r="T139" s="6">
        <v>21</v>
      </c>
      <c r="U139" s="6">
        <v>83</v>
      </c>
      <c r="V139" s="6">
        <f>IF(ISERROR(VLOOKUP($S$139,'TAR FIN'!$A$1:$O$92,15,0)),0,VLOOKUP($S$139,'TAR FIN'!$A$1:$O$92,15,0))</f>
        <v>0</v>
      </c>
      <c r="W139" s="6">
        <f>IF(ISERROR(VLOOKUP($T$139,'TAR FIN'!$A$1:$O$92,15,0)),0,VLOOKUP($T$139,'TAR FIN'!$A$1:$O$92,15,0))</f>
        <v>789.62</v>
      </c>
      <c r="X139" s="6">
        <f>IF(ISERROR(VLOOKUP($U$139,'TAR FIN'!$A$1:$O$92,15,0)),0,VLOOKUP($U$139,'TAR FIN'!$A$1:$O$92,15,0))</f>
        <v>488.15</v>
      </c>
      <c r="Y139" s="6"/>
      <c r="Z139" s="6">
        <f ca="1">('TUSD BE'!$AM$15+'TUSD BF_350'!$AM$15+'TUSD CVA'!$AM$15)*1</f>
        <v>911.84</v>
      </c>
      <c r="AA139" s="6">
        <f ca="1">('TE BE'!$AB$7+'TE BF_350'!$AB$7+'TE CVA'!$AB$7)*1</f>
        <v>399.84</v>
      </c>
      <c r="AB139" s="6">
        <f>$K$139*$V$139</f>
        <v>0</v>
      </c>
      <c r="AC139" s="6">
        <f>$M$139*$W$139</f>
        <v>688.54863999999998</v>
      </c>
      <c r="AD139" s="6">
        <f>$O$139*$X$139</f>
        <v>425.66679999999997</v>
      </c>
      <c r="AE139" s="6">
        <f>$K$139*$Y$139</f>
        <v>0</v>
      </c>
      <c r="AF139" s="6">
        <f ca="1">$M$139*$Z$139</f>
        <v>795.12448000000006</v>
      </c>
      <c r="AG139" s="6">
        <f ca="1">$O$139*$AA$139</f>
        <v>348.66047999999995</v>
      </c>
    </row>
    <row r="140" spans="1:33" ht="11.25" customHeight="1" x14ac:dyDescent="0.3">
      <c r="A140" s="4" t="s">
        <v>21</v>
      </c>
      <c r="B140" s="4" t="s">
        <v>34</v>
      </c>
      <c r="C140" s="4" t="s">
        <v>35</v>
      </c>
      <c r="D140" s="4" t="s">
        <v>40</v>
      </c>
      <c r="E140" s="4" t="s">
        <v>25</v>
      </c>
      <c r="F140" s="4" t="s">
        <v>25</v>
      </c>
      <c r="G140" s="4" t="s">
        <v>25</v>
      </c>
      <c r="H140" s="4" t="s">
        <v>36</v>
      </c>
      <c r="I140" s="5">
        <v>44682</v>
      </c>
      <c r="J140" s="6">
        <v>0</v>
      </c>
      <c r="K140" s="6">
        <v>0</v>
      </c>
      <c r="L140" s="6">
        <v>3.5286</v>
      </c>
      <c r="M140" s="6">
        <v>3.5286</v>
      </c>
      <c r="N140" s="6">
        <v>3.5286</v>
      </c>
      <c r="O140" s="6">
        <v>3.5286</v>
      </c>
      <c r="P140" s="6">
        <v>0</v>
      </c>
      <c r="Q140" s="4" t="s">
        <v>26</v>
      </c>
      <c r="R140" s="4">
        <v>0</v>
      </c>
      <c r="S140" s="6">
        <v>0</v>
      </c>
      <c r="T140" s="6">
        <v>21</v>
      </c>
      <c r="U140" s="6">
        <v>83</v>
      </c>
      <c r="V140" s="6">
        <f>IF(ISERROR(VLOOKUP($S$140,'TAR FIN'!$A$1:$O$92,15,0)),0,VLOOKUP($S$140,'TAR FIN'!$A$1:$O$92,15,0))</f>
        <v>0</v>
      </c>
      <c r="W140" s="6">
        <f>IF(ISERROR(VLOOKUP($T$140,'TAR FIN'!$A$1:$O$92,15,0)),0,VLOOKUP($T$140,'TAR FIN'!$A$1:$O$92,15,0))</f>
        <v>789.62</v>
      </c>
      <c r="X140" s="6">
        <f>IF(ISERROR(VLOOKUP($U$140,'TAR FIN'!$A$1:$O$92,15,0)),0,VLOOKUP($U$140,'TAR FIN'!$A$1:$O$92,15,0))</f>
        <v>488.15</v>
      </c>
      <c r="Y140" s="6"/>
      <c r="Z140" s="6">
        <f ca="1">('TUSD BE'!$AM$15+'TUSD BF_350'!$AM$15+'TUSD CVA'!$AM$15)*1</f>
        <v>911.84</v>
      </c>
      <c r="AA140" s="6">
        <f ca="1">('TE BE'!$AB$7+'TE BF_350'!$AB$7+'TE CVA'!$AB$7)*1</f>
        <v>399.84</v>
      </c>
      <c r="AB140" s="6">
        <f>$K$140*$V$140</f>
        <v>0</v>
      </c>
      <c r="AC140" s="6">
        <f>$M$140*$W$140</f>
        <v>2786.2531319999998</v>
      </c>
      <c r="AD140" s="6">
        <f>$O$140*$X$140</f>
        <v>1722.4860899999999</v>
      </c>
      <c r="AE140" s="6">
        <f>$K$140*$Y$140</f>
        <v>0</v>
      </c>
      <c r="AF140" s="6">
        <f ca="1">$M$140*$Z$140</f>
        <v>3217.5186240000003</v>
      </c>
      <c r="AG140" s="6">
        <f ca="1">$O$140*$AA$140</f>
        <v>1410.8754239999998</v>
      </c>
    </row>
    <row r="141" spans="1:33" ht="11.25" customHeight="1" x14ac:dyDescent="0.3">
      <c r="A141" s="4" t="s">
        <v>27</v>
      </c>
      <c r="B141" s="4" t="s">
        <v>34</v>
      </c>
      <c r="C141" s="4" t="s">
        <v>35</v>
      </c>
      <c r="D141" s="4" t="s">
        <v>40</v>
      </c>
      <c r="E141" s="4" t="s">
        <v>25</v>
      </c>
      <c r="F141" s="4" t="s">
        <v>25</v>
      </c>
      <c r="G141" s="4" t="s">
        <v>25</v>
      </c>
      <c r="H141" s="4" t="s">
        <v>36</v>
      </c>
      <c r="I141" s="5">
        <v>44682</v>
      </c>
      <c r="J141" s="6">
        <v>0</v>
      </c>
      <c r="K141" s="6">
        <v>0</v>
      </c>
      <c r="L141" s="6">
        <v>0.83333000000000002</v>
      </c>
      <c r="M141" s="6">
        <v>0.83333000000000002</v>
      </c>
      <c r="N141" s="6">
        <v>0.83333000000000002</v>
      </c>
      <c r="O141" s="6">
        <v>0.83333000000000002</v>
      </c>
      <c r="P141" s="6">
        <v>0</v>
      </c>
      <c r="Q141" s="4" t="s">
        <v>26</v>
      </c>
      <c r="R141" s="4">
        <v>0</v>
      </c>
      <c r="S141" s="6">
        <v>0</v>
      </c>
      <c r="T141" s="6">
        <v>21</v>
      </c>
      <c r="U141" s="6">
        <v>83</v>
      </c>
      <c r="V141" s="6">
        <f>IF(ISERROR(VLOOKUP($S$141,'TAR FIN'!$A$1:$O$92,15,0)),0,VLOOKUP($S$141,'TAR FIN'!$A$1:$O$92,15,0))</f>
        <v>0</v>
      </c>
      <c r="W141" s="6">
        <f>IF(ISERROR(VLOOKUP($T$141,'TAR FIN'!$A$1:$O$92,15,0)),0,VLOOKUP($T$141,'TAR FIN'!$A$1:$O$92,15,0))</f>
        <v>789.62</v>
      </c>
      <c r="X141" s="6">
        <f>IF(ISERROR(VLOOKUP($U$141,'TAR FIN'!$A$1:$O$92,15,0)),0,VLOOKUP($U$141,'TAR FIN'!$A$1:$O$92,15,0))</f>
        <v>488.15</v>
      </c>
      <c r="Y141" s="6"/>
      <c r="Z141" s="6">
        <f ca="1">('TUSD BE'!$AM$15+'TUSD BF_350'!$AM$15+'TUSD CVA'!$AM$15)*1</f>
        <v>911.84</v>
      </c>
      <c r="AA141" s="6">
        <f ca="1">('TE BE'!$AB$7+'TE BF_350'!$AB$7+'TE CVA'!$AB$7)*1</f>
        <v>399.84</v>
      </c>
      <c r="AB141" s="6">
        <f>$K$141*$V$141</f>
        <v>0</v>
      </c>
      <c r="AC141" s="6">
        <f>$M$141*$W$141</f>
        <v>658.01403460000006</v>
      </c>
      <c r="AD141" s="6">
        <f>$O$141*$X$141</f>
        <v>406.79003949999998</v>
      </c>
      <c r="AE141" s="6">
        <f>$K$141*$Y$141</f>
        <v>0</v>
      </c>
      <c r="AF141" s="6">
        <f ca="1">$M$141*$Z$141</f>
        <v>759.8636272</v>
      </c>
      <c r="AG141" s="6">
        <f ca="1">$O$141*$AA$141</f>
        <v>333.19866719999999</v>
      </c>
    </row>
    <row r="142" spans="1:33" ht="11.25" customHeight="1" x14ac:dyDescent="0.3">
      <c r="A142" s="4" t="s">
        <v>21</v>
      </c>
      <c r="B142" s="4" t="s">
        <v>34</v>
      </c>
      <c r="C142" s="4" t="s">
        <v>35</v>
      </c>
      <c r="D142" s="4" t="s">
        <v>40</v>
      </c>
      <c r="E142" s="4" t="s">
        <v>25</v>
      </c>
      <c r="F142" s="4" t="s">
        <v>25</v>
      </c>
      <c r="G142" s="4" t="s">
        <v>25</v>
      </c>
      <c r="H142" s="4" t="s">
        <v>36</v>
      </c>
      <c r="I142" s="5">
        <v>44713</v>
      </c>
      <c r="J142" s="6">
        <v>0</v>
      </c>
      <c r="K142" s="6">
        <v>0</v>
      </c>
      <c r="L142" s="6">
        <v>3.0912799999999998</v>
      </c>
      <c r="M142" s="6">
        <v>3.0912799999999998</v>
      </c>
      <c r="N142" s="6">
        <v>3.0912799999999998</v>
      </c>
      <c r="O142" s="6">
        <v>3.0912799999999998</v>
      </c>
      <c r="P142" s="6">
        <v>0</v>
      </c>
      <c r="Q142" s="4" t="s">
        <v>26</v>
      </c>
      <c r="R142" s="4">
        <v>0</v>
      </c>
      <c r="S142" s="6">
        <v>0</v>
      </c>
      <c r="T142" s="6">
        <v>21</v>
      </c>
      <c r="U142" s="6">
        <v>83</v>
      </c>
      <c r="V142" s="6">
        <f>IF(ISERROR(VLOOKUP($S$142,'TAR FIN'!$A$1:$O$92,15,0)),0,VLOOKUP($S$142,'TAR FIN'!$A$1:$O$92,15,0))</f>
        <v>0</v>
      </c>
      <c r="W142" s="6">
        <f>IF(ISERROR(VLOOKUP($T$142,'TAR FIN'!$A$1:$O$92,15,0)),0,VLOOKUP($T$142,'TAR FIN'!$A$1:$O$92,15,0))</f>
        <v>789.62</v>
      </c>
      <c r="X142" s="6">
        <f>IF(ISERROR(VLOOKUP($U$142,'TAR FIN'!$A$1:$O$92,15,0)),0,VLOOKUP($U$142,'TAR FIN'!$A$1:$O$92,15,0))</f>
        <v>488.15</v>
      </c>
      <c r="Y142" s="6"/>
      <c r="Z142" s="6">
        <f ca="1">('TUSD BE'!$AM$15+'TUSD BF_350'!$AM$15+'TUSD CVA'!$AM$15)*1</f>
        <v>911.84</v>
      </c>
      <c r="AA142" s="6">
        <f ca="1">('TE BE'!$AB$7+'TE BF_350'!$AB$7+'TE CVA'!$AB$7)*1</f>
        <v>399.84</v>
      </c>
      <c r="AB142" s="6">
        <f>$K$142*$V$142</f>
        <v>0</v>
      </c>
      <c r="AC142" s="6">
        <f>$M$142*$W$142</f>
        <v>2440.9365135999997</v>
      </c>
      <c r="AD142" s="6">
        <f>$O$142*$X$142</f>
        <v>1509.0083319999999</v>
      </c>
      <c r="AE142" s="6">
        <f>$K$142*$Y$142</f>
        <v>0</v>
      </c>
      <c r="AF142" s="6">
        <f ca="1">$M$142*$Z$142</f>
        <v>2818.7527552000001</v>
      </c>
      <c r="AG142" s="6">
        <f ca="1">$O$142*$AA$142</f>
        <v>1236.0173951999998</v>
      </c>
    </row>
    <row r="143" spans="1:33" ht="11.25" customHeight="1" x14ac:dyDescent="0.3">
      <c r="A143" s="4" t="s">
        <v>27</v>
      </c>
      <c r="B143" s="4" t="s">
        <v>34</v>
      </c>
      <c r="C143" s="4" t="s">
        <v>35</v>
      </c>
      <c r="D143" s="4" t="s">
        <v>40</v>
      </c>
      <c r="E143" s="4" t="s">
        <v>25</v>
      </c>
      <c r="F143" s="4" t="s">
        <v>25</v>
      </c>
      <c r="G143" s="4" t="s">
        <v>25</v>
      </c>
      <c r="H143" s="4" t="s">
        <v>36</v>
      </c>
      <c r="I143" s="5">
        <v>44713</v>
      </c>
      <c r="J143" s="6">
        <v>0</v>
      </c>
      <c r="K143" s="6">
        <v>0</v>
      </c>
      <c r="L143" s="6">
        <v>0.80100000000000005</v>
      </c>
      <c r="M143" s="6">
        <v>0.80100000000000005</v>
      </c>
      <c r="N143" s="6">
        <v>0.80100000000000005</v>
      </c>
      <c r="O143" s="6">
        <v>0.80100000000000005</v>
      </c>
      <c r="P143" s="6">
        <v>0</v>
      </c>
      <c r="Q143" s="4" t="s">
        <v>26</v>
      </c>
      <c r="R143" s="4">
        <v>0</v>
      </c>
      <c r="S143" s="6">
        <v>0</v>
      </c>
      <c r="T143" s="6">
        <v>21</v>
      </c>
      <c r="U143" s="6">
        <v>83</v>
      </c>
      <c r="V143" s="6">
        <f>IF(ISERROR(VLOOKUP($S$143,'TAR FIN'!$A$1:$O$92,15,0)),0,VLOOKUP($S$143,'TAR FIN'!$A$1:$O$92,15,0))</f>
        <v>0</v>
      </c>
      <c r="W143" s="6">
        <f>IF(ISERROR(VLOOKUP($T$143,'TAR FIN'!$A$1:$O$92,15,0)),0,VLOOKUP($T$143,'TAR FIN'!$A$1:$O$92,15,0))</f>
        <v>789.62</v>
      </c>
      <c r="X143" s="6">
        <f>IF(ISERROR(VLOOKUP($U$143,'TAR FIN'!$A$1:$O$92,15,0)),0,VLOOKUP($U$143,'TAR FIN'!$A$1:$O$92,15,0))</f>
        <v>488.15</v>
      </c>
      <c r="Y143" s="6"/>
      <c r="Z143" s="6">
        <f ca="1">('TUSD BE'!$AM$15+'TUSD BF_350'!$AM$15+'TUSD CVA'!$AM$15)*1</f>
        <v>911.84</v>
      </c>
      <c r="AA143" s="6">
        <f ca="1">('TE BE'!$AB$7+'TE BF_350'!$AB$7+'TE CVA'!$AB$7)*1</f>
        <v>399.84</v>
      </c>
      <c r="AB143" s="6">
        <f>$K$143*$V$143</f>
        <v>0</v>
      </c>
      <c r="AC143" s="6">
        <f>$M$143*$W$143</f>
        <v>632.48562000000004</v>
      </c>
      <c r="AD143" s="6">
        <f>$O$143*$X$143</f>
        <v>391.00815</v>
      </c>
      <c r="AE143" s="6">
        <f>$K$143*$Y$143</f>
        <v>0</v>
      </c>
      <c r="AF143" s="6">
        <f ca="1">$M$143*$Z$143</f>
        <v>730.38384000000008</v>
      </c>
      <c r="AG143" s="6">
        <f ca="1">$O$143*$AA$143</f>
        <v>320.27184</v>
      </c>
    </row>
    <row r="144" spans="1:33" ht="11.25" customHeight="1" x14ac:dyDescent="0.3">
      <c r="A144" s="4" t="s">
        <v>21</v>
      </c>
      <c r="B144" s="4" t="s">
        <v>34</v>
      </c>
      <c r="C144" s="4" t="s">
        <v>35</v>
      </c>
      <c r="D144" s="4" t="s">
        <v>40</v>
      </c>
      <c r="E144" s="4" t="s">
        <v>25</v>
      </c>
      <c r="F144" s="4" t="s">
        <v>25</v>
      </c>
      <c r="G144" s="4" t="s">
        <v>25</v>
      </c>
      <c r="H144" s="4" t="s">
        <v>36</v>
      </c>
      <c r="I144" s="5">
        <v>44743</v>
      </c>
      <c r="J144" s="6">
        <v>0</v>
      </c>
      <c r="K144" s="6">
        <v>0</v>
      </c>
      <c r="L144" s="6">
        <v>3.3119999999999998</v>
      </c>
      <c r="M144" s="6">
        <v>3.3119999999999998</v>
      </c>
      <c r="N144" s="6">
        <v>3.3119999999999998</v>
      </c>
      <c r="O144" s="6">
        <v>3.3119999999999998</v>
      </c>
      <c r="P144" s="6">
        <v>0</v>
      </c>
      <c r="Q144" s="4" t="s">
        <v>26</v>
      </c>
      <c r="R144" s="4">
        <v>0</v>
      </c>
      <c r="S144" s="6">
        <v>0</v>
      </c>
      <c r="T144" s="6">
        <v>21</v>
      </c>
      <c r="U144" s="6">
        <v>83</v>
      </c>
      <c r="V144" s="6">
        <f>IF(ISERROR(VLOOKUP($S$144,'TAR FIN'!$A$1:$O$92,15,0)),0,VLOOKUP($S$144,'TAR FIN'!$A$1:$O$92,15,0))</f>
        <v>0</v>
      </c>
      <c r="W144" s="6">
        <f>IF(ISERROR(VLOOKUP($T$144,'TAR FIN'!$A$1:$O$92,15,0)),0,VLOOKUP($T$144,'TAR FIN'!$A$1:$O$92,15,0))</f>
        <v>789.62</v>
      </c>
      <c r="X144" s="6">
        <f>IF(ISERROR(VLOOKUP($U$144,'TAR FIN'!$A$1:$O$92,15,0)),0,VLOOKUP($U$144,'TAR FIN'!$A$1:$O$92,15,0))</f>
        <v>488.15</v>
      </c>
      <c r="Y144" s="6"/>
      <c r="Z144" s="6">
        <f ca="1">('TUSD BE'!$AM$15+'TUSD BF_350'!$AM$15+'TUSD CVA'!$AM$15)*1</f>
        <v>911.84</v>
      </c>
      <c r="AA144" s="6">
        <f ca="1">('TE BE'!$AB$7+'TE BF_350'!$AB$7+'TE CVA'!$AB$7)*1</f>
        <v>399.84</v>
      </c>
      <c r="AB144" s="6">
        <f>$K$144*$V$144</f>
        <v>0</v>
      </c>
      <c r="AC144" s="6">
        <f>$M$144*$W$144</f>
        <v>2615.2214399999998</v>
      </c>
      <c r="AD144" s="6">
        <f>$O$144*$X$144</f>
        <v>1616.7527999999998</v>
      </c>
      <c r="AE144" s="6">
        <f>$K$144*$Y$144</f>
        <v>0</v>
      </c>
      <c r="AF144" s="6">
        <f ca="1">$M$144*$Z$144</f>
        <v>3020.0140799999999</v>
      </c>
      <c r="AG144" s="6">
        <f ca="1">$O$144*$AA$144</f>
        <v>1324.2700799999998</v>
      </c>
    </row>
    <row r="145" spans="1:33" ht="11.25" customHeight="1" x14ac:dyDescent="0.3">
      <c r="A145" s="4" t="s">
        <v>27</v>
      </c>
      <c r="B145" s="4" t="s">
        <v>34</v>
      </c>
      <c r="C145" s="4" t="s">
        <v>35</v>
      </c>
      <c r="D145" s="4" t="s">
        <v>40</v>
      </c>
      <c r="E145" s="4" t="s">
        <v>25</v>
      </c>
      <c r="F145" s="4" t="s">
        <v>25</v>
      </c>
      <c r="G145" s="4" t="s">
        <v>25</v>
      </c>
      <c r="H145" s="4" t="s">
        <v>36</v>
      </c>
      <c r="I145" s="5">
        <v>44743</v>
      </c>
      <c r="J145" s="6">
        <v>0</v>
      </c>
      <c r="K145" s="6">
        <v>0</v>
      </c>
      <c r="L145" s="6">
        <v>0.75527999999999995</v>
      </c>
      <c r="M145" s="6">
        <v>0.75527999999999995</v>
      </c>
      <c r="N145" s="6">
        <v>0.75527999999999995</v>
      </c>
      <c r="O145" s="6">
        <v>0.75527999999999995</v>
      </c>
      <c r="P145" s="6">
        <v>0</v>
      </c>
      <c r="Q145" s="4" t="s">
        <v>26</v>
      </c>
      <c r="R145" s="4">
        <v>0</v>
      </c>
      <c r="S145" s="6">
        <v>0</v>
      </c>
      <c r="T145" s="6">
        <v>21</v>
      </c>
      <c r="U145" s="6">
        <v>83</v>
      </c>
      <c r="V145" s="6">
        <f>IF(ISERROR(VLOOKUP($S$145,'TAR FIN'!$A$1:$O$92,15,0)),0,VLOOKUP($S$145,'TAR FIN'!$A$1:$O$92,15,0))</f>
        <v>0</v>
      </c>
      <c r="W145" s="6">
        <f>IF(ISERROR(VLOOKUP($T$145,'TAR FIN'!$A$1:$O$92,15,0)),0,VLOOKUP($T$145,'TAR FIN'!$A$1:$O$92,15,0))</f>
        <v>789.62</v>
      </c>
      <c r="X145" s="6">
        <f>IF(ISERROR(VLOOKUP($U$145,'TAR FIN'!$A$1:$O$92,15,0)),0,VLOOKUP($U$145,'TAR FIN'!$A$1:$O$92,15,0))</f>
        <v>488.15</v>
      </c>
      <c r="Y145" s="6"/>
      <c r="Z145" s="6">
        <f ca="1">('TUSD BE'!$AM$15+'TUSD BF_350'!$AM$15+'TUSD CVA'!$AM$15)*1</f>
        <v>911.84</v>
      </c>
      <c r="AA145" s="6">
        <f ca="1">('TE BE'!$AB$7+'TE BF_350'!$AB$7+'TE CVA'!$AB$7)*1</f>
        <v>399.84</v>
      </c>
      <c r="AB145" s="6">
        <f>$K$145*$V$145</f>
        <v>0</v>
      </c>
      <c r="AC145" s="6">
        <f>$M$145*$W$145</f>
        <v>596.3841936</v>
      </c>
      <c r="AD145" s="6">
        <f>$O$145*$X$145</f>
        <v>368.68993199999994</v>
      </c>
      <c r="AE145" s="6">
        <f>$K$145*$Y$145</f>
        <v>0</v>
      </c>
      <c r="AF145" s="6">
        <f ca="1">$M$145*$Z$145</f>
        <v>688.69451519999996</v>
      </c>
      <c r="AG145" s="6">
        <f ca="1">$O$145*$AA$145</f>
        <v>301.99115519999998</v>
      </c>
    </row>
    <row r="146" spans="1:33" ht="11.25" customHeight="1" x14ac:dyDescent="0.3">
      <c r="A146" s="4" t="s">
        <v>21</v>
      </c>
      <c r="B146" s="4" t="s">
        <v>34</v>
      </c>
      <c r="C146" s="4" t="s">
        <v>35</v>
      </c>
      <c r="D146" s="4" t="s">
        <v>33</v>
      </c>
      <c r="E146" s="4" t="s">
        <v>25</v>
      </c>
      <c r="F146" s="4" t="s">
        <v>55</v>
      </c>
      <c r="G146" s="4" t="s">
        <v>25</v>
      </c>
      <c r="H146" s="4" t="s">
        <v>37</v>
      </c>
      <c r="I146" s="5">
        <v>44409</v>
      </c>
      <c r="J146" s="6">
        <v>0</v>
      </c>
      <c r="K146" s="6">
        <v>0</v>
      </c>
      <c r="L146" s="6">
        <v>2970.8047099999999</v>
      </c>
      <c r="M146" s="6">
        <v>2970.8047099999999</v>
      </c>
      <c r="N146" s="6">
        <v>0</v>
      </c>
      <c r="O146" s="6">
        <v>0</v>
      </c>
      <c r="P146" s="6">
        <v>0</v>
      </c>
      <c r="Q146" s="4" t="s">
        <v>56</v>
      </c>
      <c r="R146" s="4">
        <v>0</v>
      </c>
      <c r="S146" s="6">
        <v>0</v>
      </c>
      <c r="T146" s="6">
        <v>22</v>
      </c>
      <c r="U146" s="6">
        <v>0</v>
      </c>
      <c r="V146" s="6">
        <f>IF(ISERROR(VLOOKUP($S$146,'TAR FIN'!$A$1:$O$92,15,0)),0,VLOOKUP($S$146,'TAR FIN'!$A$1:$O$92,15,0))</f>
        <v>0</v>
      </c>
      <c r="W146" s="6">
        <f>IF(ISERROR(VLOOKUP($T$146,'TAR FIN'!$A$1:$O$92,15,0)),0,VLOOKUP($T$146,'TAR FIN'!$A$1:$O$92,15,0))</f>
        <v>73.28</v>
      </c>
      <c r="X146" s="6">
        <f>IF(ISERROR(VLOOKUP($U$146,'TAR FIN'!$A$1:$O$92,15,0)),0,VLOOKUP($U$146,'TAR FIN'!$A$1:$O$92,15,0))</f>
        <v>0</v>
      </c>
      <c r="Y146" s="6"/>
      <c r="Z146" s="6">
        <f ca="1">('TUSD BE'!$AM$16+'TUSD BF_350'!$AM$16+'TUSD CVA'!$AM$16)*1</f>
        <v>126.25</v>
      </c>
      <c r="AA146" s="6"/>
      <c r="AB146" s="6">
        <f>$K$146*$V$146</f>
        <v>0</v>
      </c>
      <c r="AC146" s="6">
        <f>$M$146*$W$146</f>
        <v>217700.56914879999</v>
      </c>
      <c r="AD146" s="6">
        <f>$O$146*$X$146</f>
        <v>0</v>
      </c>
      <c r="AE146" s="6">
        <f>$K$146*$Y$146</f>
        <v>0</v>
      </c>
      <c r="AF146" s="6">
        <f ca="1">$M$146*$Z$146</f>
        <v>375064.09463750001</v>
      </c>
      <c r="AG146" s="6">
        <f>$O$146*$AA$146</f>
        <v>0</v>
      </c>
    </row>
    <row r="147" spans="1:33" ht="11.25" customHeight="1" x14ac:dyDescent="0.3">
      <c r="A147" s="4" t="s">
        <v>21</v>
      </c>
      <c r="B147" s="4" t="s">
        <v>34</v>
      </c>
      <c r="C147" s="4" t="s">
        <v>35</v>
      </c>
      <c r="D147" s="4" t="s">
        <v>33</v>
      </c>
      <c r="E147" s="4" t="s">
        <v>25</v>
      </c>
      <c r="F147" s="4" t="s">
        <v>55</v>
      </c>
      <c r="G147" s="4" t="s">
        <v>25</v>
      </c>
      <c r="H147" s="4" t="s">
        <v>37</v>
      </c>
      <c r="I147" s="5">
        <v>44440</v>
      </c>
      <c r="J147" s="6">
        <v>0</v>
      </c>
      <c r="K147" s="6">
        <v>0</v>
      </c>
      <c r="L147" s="6">
        <v>2776.491</v>
      </c>
      <c r="M147" s="6">
        <v>2776.491</v>
      </c>
      <c r="N147" s="6">
        <v>0</v>
      </c>
      <c r="O147" s="6">
        <v>0</v>
      </c>
      <c r="P147" s="6">
        <v>0</v>
      </c>
      <c r="Q147" s="4" t="s">
        <v>56</v>
      </c>
      <c r="R147" s="4">
        <v>0</v>
      </c>
      <c r="S147" s="6">
        <v>0</v>
      </c>
      <c r="T147" s="6">
        <v>22</v>
      </c>
      <c r="U147" s="6">
        <v>0</v>
      </c>
      <c r="V147" s="6">
        <f>IF(ISERROR(VLOOKUP($S$147,'TAR FIN'!$A$1:$O$92,15,0)),0,VLOOKUP($S$147,'TAR FIN'!$A$1:$O$92,15,0))</f>
        <v>0</v>
      </c>
      <c r="W147" s="6">
        <f>IF(ISERROR(VLOOKUP($T$147,'TAR FIN'!$A$1:$O$92,15,0)),0,VLOOKUP($T$147,'TAR FIN'!$A$1:$O$92,15,0))</f>
        <v>73.28</v>
      </c>
      <c r="X147" s="6">
        <f>IF(ISERROR(VLOOKUP($U$147,'TAR FIN'!$A$1:$O$92,15,0)),0,VLOOKUP($U$147,'TAR FIN'!$A$1:$O$92,15,0))</f>
        <v>0</v>
      </c>
      <c r="Y147" s="6"/>
      <c r="Z147" s="6">
        <f ca="1">('TUSD BE'!$AM$16+'TUSD BF_350'!$AM$16+'TUSD CVA'!$AM$16)*1</f>
        <v>126.25</v>
      </c>
      <c r="AA147" s="6"/>
      <c r="AB147" s="6">
        <f>$K$147*$V$147</f>
        <v>0</v>
      </c>
      <c r="AC147" s="6">
        <f>$M$147*$W$147</f>
        <v>203461.26048</v>
      </c>
      <c r="AD147" s="6">
        <f>$O$147*$X$147</f>
        <v>0</v>
      </c>
      <c r="AE147" s="6">
        <f>$K$147*$Y$147</f>
        <v>0</v>
      </c>
      <c r="AF147" s="6">
        <f ca="1">$M$147*$Z$147</f>
        <v>350531.98875000002</v>
      </c>
      <c r="AG147" s="6">
        <f>$O$147*$AA$147</f>
        <v>0</v>
      </c>
    </row>
    <row r="148" spans="1:33" ht="11.25" customHeight="1" x14ac:dyDescent="0.3">
      <c r="A148" s="4" t="s">
        <v>21</v>
      </c>
      <c r="B148" s="4" t="s">
        <v>34</v>
      </c>
      <c r="C148" s="4" t="s">
        <v>35</v>
      </c>
      <c r="D148" s="4" t="s">
        <v>33</v>
      </c>
      <c r="E148" s="4" t="s">
        <v>25</v>
      </c>
      <c r="F148" s="4" t="s">
        <v>55</v>
      </c>
      <c r="G148" s="4" t="s">
        <v>25</v>
      </c>
      <c r="H148" s="4" t="s">
        <v>37</v>
      </c>
      <c r="I148" s="5">
        <v>44470</v>
      </c>
      <c r="J148" s="6">
        <v>0</v>
      </c>
      <c r="K148" s="6">
        <v>0</v>
      </c>
      <c r="L148" s="6">
        <v>3080.5311900000002</v>
      </c>
      <c r="M148" s="6">
        <v>3080.5311900000002</v>
      </c>
      <c r="N148" s="6">
        <v>0</v>
      </c>
      <c r="O148" s="6">
        <v>0</v>
      </c>
      <c r="P148" s="6">
        <v>0</v>
      </c>
      <c r="Q148" s="4" t="s">
        <v>56</v>
      </c>
      <c r="R148" s="4">
        <v>0</v>
      </c>
      <c r="S148" s="6">
        <v>0</v>
      </c>
      <c r="T148" s="6">
        <v>22</v>
      </c>
      <c r="U148" s="6">
        <v>0</v>
      </c>
      <c r="V148" s="6">
        <f>IF(ISERROR(VLOOKUP($S$148,'TAR FIN'!$A$1:$O$92,15,0)),0,VLOOKUP($S$148,'TAR FIN'!$A$1:$O$92,15,0))</f>
        <v>0</v>
      </c>
      <c r="W148" s="6">
        <f>IF(ISERROR(VLOOKUP($T$148,'TAR FIN'!$A$1:$O$92,15,0)),0,VLOOKUP($T$148,'TAR FIN'!$A$1:$O$92,15,0))</f>
        <v>73.28</v>
      </c>
      <c r="X148" s="6">
        <f>IF(ISERROR(VLOOKUP($U$148,'TAR FIN'!$A$1:$O$92,15,0)),0,VLOOKUP($U$148,'TAR FIN'!$A$1:$O$92,15,0))</f>
        <v>0</v>
      </c>
      <c r="Y148" s="6"/>
      <c r="Z148" s="6">
        <f ca="1">('TUSD BE'!$AM$16+'TUSD BF_350'!$AM$16+'TUSD CVA'!$AM$16)*1</f>
        <v>126.25</v>
      </c>
      <c r="AA148" s="6"/>
      <c r="AB148" s="6">
        <f>$K$148*$V$148</f>
        <v>0</v>
      </c>
      <c r="AC148" s="6">
        <f>$M$148*$W$148</f>
        <v>225741.32560320001</v>
      </c>
      <c r="AD148" s="6">
        <f>$O$148*$X$148</f>
        <v>0</v>
      </c>
      <c r="AE148" s="6">
        <f>$K$148*$Y$148</f>
        <v>0</v>
      </c>
      <c r="AF148" s="6">
        <f ca="1">$M$148*$Z$148</f>
        <v>388917.0627375</v>
      </c>
      <c r="AG148" s="6">
        <f>$O$148*$AA$148</f>
        <v>0</v>
      </c>
    </row>
    <row r="149" spans="1:33" ht="11.25" customHeight="1" x14ac:dyDescent="0.3">
      <c r="A149" s="4" t="s">
        <v>21</v>
      </c>
      <c r="B149" s="4" t="s">
        <v>34</v>
      </c>
      <c r="C149" s="4" t="s">
        <v>35</v>
      </c>
      <c r="D149" s="4" t="s">
        <v>33</v>
      </c>
      <c r="E149" s="4" t="s">
        <v>25</v>
      </c>
      <c r="F149" s="4" t="s">
        <v>55</v>
      </c>
      <c r="G149" s="4" t="s">
        <v>25</v>
      </c>
      <c r="H149" s="4" t="s">
        <v>37</v>
      </c>
      <c r="I149" s="5">
        <v>44501</v>
      </c>
      <c r="J149" s="6">
        <v>0</v>
      </c>
      <c r="K149" s="6">
        <v>0</v>
      </c>
      <c r="L149" s="6">
        <v>3219.0039999999999</v>
      </c>
      <c r="M149" s="6">
        <v>3219.0039999999999</v>
      </c>
      <c r="N149" s="6">
        <v>0</v>
      </c>
      <c r="O149" s="6">
        <v>0</v>
      </c>
      <c r="P149" s="6">
        <v>0</v>
      </c>
      <c r="Q149" s="4" t="s">
        <v>56</v>
      </c>
      <c r="R149" s="4">
        <v>0</v>
      </c>
      <c r="S149" s="6">
        <v>0</v>
      </c>
      <c r="T149" s="6">
        <v>22</v>
      </c>
      <c r="U149" s="6">
        <v>0</v>
      </c>
      <c r="V149" s="6">
        <f>IF(ISERROR(VLOOKUP($S$149,'TAR FIN'!$A$1:$O$92,15,0)),0,VLOOKUP($S$149,'TAR FIN'!$A$1:$O$92,15,0))</f>
        <v>0</v>
      </c>
      <c r="W149" s="6">
        <f>IF(ISERROR(VLOOKUP($T$149,'TAR FIN'!$A$1:$O$92,15,0)),0,VLOOKUP($T$149,'TAR FIN'!$A$1:$O$92,15,0))</f>
        <v>73.28</v>
      </c>
      <c r="X149" s="6">
        <f>IF(ISERROR(VLOOKUP($U$149,'TAR FIN'!$A$1:$O$92,15,0)),0,VLOOKUP($U$149,'TAR FIN'!$A$1:$O$92,15,0))</f>
        <v>0</v>
      </c>
      <c r="Y149" s="6"/>
      <c r="Z149" s="6">
        <f ca="1">('TUSD BE'!$AM$16+'TUSD BF_350'!$AM$16+'TUSD CVA'!$AM$16)*1</f>
        <v>126.25</v>
      </c>
      <c r="AA149" s="6"/>
      <c r="AB149" s="6">
        <f>$K$149*$V$149</f>
        <v>0</v>
      </c>
      <c r="AC149" s="6">
        <f>$M$149*$W$149</f>
        <v>235888.61311999999</v>
      </c>
      <c r="AD149" s="6">
        <f>$O$149*$X$149</f>
        <v>0</v>
      </c>
      <c r="AE149" s="6">
        <f>$K$149*$Y$149</f>
        <v>0</v>
      </c>
      <c r="AF149" s="6">
        <f ca="1">$M$149*$Z$149</f>
        <v>406399.255</v>
      </c>
      <c r="AG149" s="6">
        <f>$O$149*$AA$149</f>
        <v>0</v>
      </c>
    </row>
    <row r="150" spans="1:33" ht="11.25" customHeight="1" x14ac:dyDescent="0.3">
      <c r="A150" s="4" t="s">
        <v>21</v>
      </c>
      <c r="B150" s="4" t="s">
        <v>34</v>
      </c>
      <c r="C150" s="4" t="s">
        <v>35</v>
      </c>
      <c r="D150" s="4" t="s">
        <v>33</v>
      </c>
      <c r="E150" s="4" t="s">
        <v>25</v>
      </c>
      <c r="F150" s="4" t="s">
        <v>55</v>
      </c>
      <c r="G150" s="4" t="s">
        <v>25</v>
      </c>
      <c r="H150" s="4" t="s">
        <v>37</v>
      </c>
      <c r="I150" s="5">
        <v>44531</v>
      </c>
      <c r="J150" s="6">
        <v>0</v>
      </c>
      <c r="K150" s="6">
        <v>0</v>
      </c>
      <c r="L150" s="6">
        <v>2476.0529999999999</v>
      </c>
      <c r="M150" s="6">
        <v>2476.0529999999999</v>
      </c>
      <c r="N150" s="6">
        <v>0</v>
      </c>
      <c r="O150" s="6">
        <v>0</v>
      </c>
      <c r="P150" s="6">
        <v>0</v>
      </c>
      <c r="Q150" s="4" t="s">
        <v>56</v>
      </c>
      <c r="R150" s="4">
        <v>0</v>
      </c>
      <c r="S150" s="6">
        <v>0</v>
      </c>
      <c r="T150" s="6">
        <v>22</v>
      </c>
      <c r="U150" s="6">
        <v>0</v>
      </c>
      <c r="V150" s="6">
        <f>IF(ISERROR(VLOOKUP($S$150,'TAR FIN'!$A$1:$O$92,15,0)),0,VLOOKUP($S$150,'TAR FIN'!$A$1:$O$92,15,0))</f>
        <v>0</v>
      </c>
      <c r="W150" s="6">
        <f>IF(ISERROR(VLOOKUP($T$150,'TAR FIN'!$A$1:$O$92,15,0)),0,VLOOKUP($T$150,'TAR FIN'!$A$1:$O$92,15,0))</f>
        <v>73.28</v>
      </c>
      <c r="X150" s="6">
        <f>IF(ISERROR(VLOOKUP($U$150,'TAR FIN'!$A$1:$O$92,15,0)),0,VLOOKUP($U$150,'TAR FIN'!$A$1:$O$92,15,0))</f>
        <v>0</v>
      </c>
      <c r="Y150" s="6"/>
      <c r="Z150" s="6">
        <f ca="1">('TUSD BE'!$AM$16+'TUSD BF_350'!$AM$16+'TUSD CVA'!$AM$16)*1</f>
        <v>126.25</v>
      </c>
      <c r="AA150" s="6"/>
      <c r="AB150" s="6">
        <f>$K$150*$V$150</f>
        <v>0</v>
      </c>
      <c r="AC150" s="6">
        <f>$M$150*$W$150</f>
        <v>181445.16383999999</v>
      </c>
      <c r="AD150" s="6">
        <f>$O$150*$X$150</f>
        <v>0</v>
      </c>
      <c r="AE150" s="6">
        <f>$K$150*$Y$150</f>
        <v>0</v>
      </c>
      <c r="AF150" s="6">
        <f ca="1">$M$150*$Z$150</f>
        <v>312601.69124999997</v>
      </c>
      <c r="AG150" s="6">
        <f>$O$150*$AA$150</f>
        <v>0</v>
      </c>
    </row>
    <row r="151" spans="1:33" ht="11.25" customHeight="1" x14ac:dyDescent="0.3">
      <c r="A151" s="4" t="s">
        <v>21</v>
      </c>
      <c r="B151" s="4" t="s">
        <v>34</v>
      </c>
      <c r="C151" s="4" t="s">
        <v>35</v>
      </c>
      <c r="D151" s="4" t="s">
        <v>33</v>
      </c>
      <c r="E151" s="4" t="s">
        <v>25</v>
      </c>
      <c r="F151" s="4" t="s">
        <v>55</v>
      </c>
      <c r="G151" s="4" t="s">
        <v>25</v>
      </c>
      <c r="H151" s="4" t="s">
        <v>37</v>
      </c>
      <c r="I151" s="5">
        <v>44562</v>
      </c>
      <c r="J151" s="6">
        <v>0</v>
      </c>
      <c r="K151" s="6">
        <v>0</v>
      </c>
      <c r="L151" s="6">
        <v>2614.6350000000002</v>
      </c>
      <c r="M151" s="6">
        <v>2614.6350000000002</v>
      </c>
      <c r="N151" s="6">
        <v>0</v>
      </c>
      <c r="O151" s="6">
        <v>0</v>
      </c>
      <c r="P151" s="6">
        <v>0</v>
      </c>
      <c r="Q151" s="4" t="s">
        <v>56</v>
      </c>
      <c r="R151" s="4">
        <v>0</v>
      </c>
      <c r="S151" s="6">
        <v>0</v>
      </c>
      <c r="T151" s="6">
        <v>22</v>
      </c>
      <c r="U151" s="6">
        <v>0</v>
      </c>
      <c r="V151" s="6">
        <f>IF(ISERROR(VLOOKUP($S$151,'TAR FIN'!$A$1:$O$92,15,0)),0,VLOOKUP($S$151,'TAR FIN'!$A$1:$O$92,15,0))</f>
        <v>0</v>
      </c>
      <c r="W151" s="6">
        <f>IF(ISERROR(VLOOKUP($T$151,'TAR FIN'!$A$1:$O$92,15,0)),0,VLOOKUP($T$151,'TAR FIN'!$A$1:$O$92,15,0))</f>
        <v>73.28</v>
      </c>
      <c r="X151" s="6">
        <f>IF(ISERROR(VLOOKUP($U$151,'TAR FIN'!$A$1:$O$92,15,0)),0,VLOOKUP($U$151,'TAR FIN'!$A$1:$O$92,15,0))</f>
        <v>0</v>
      </c>
      <c r="Y151" s="6"/>
      <c r="Z151" s="6">
        <f ca="1">('TUSD BE'!$AM$16+'TUSD BF_350'!$AM$16+'TUSD CVA'!$AM$16)*1</f>
        <v>126.25</v>
      </c>
      <c r="AA151" s="6"/>
      <c r="AB151" s="6">
        <f>$K$151*$V$151</f>
        <v>0</v>
      </c>
      <c r="AC151" s="6">
        <f>$M$151*$W$151</f>
        <v>191600.45280000003</v>
      </c>
      <c r="AD151" s="6">
        <f>$O$151*$X$151</f>
        <v>0</v>
      </c>
      <c r="AE151" s="6">
        <f>$K$151*$Y$151</f>
        <v>0</v>
      </c>
      <c r="AF151" s="6">
        <f ca="1">$M$151*$Z$151</f>
        <v>330097.66875000001</v>
      </c>
      <c r="AG151" s="6">
        <f>$O$151*$AA$151</f>
        <v>0</v>
      </c>
    </row>
    <row r="152" spans="1:33" ht="11.25" customHeight="1" x14ac:dyDescent="0.3">
      <c r="A152" s="4" t="s">
        <v>21</v>
      </c>
      <c r="B152" s="4" t="s">
        <v>34</v>
      </c>
      <c r="C152" s="4" t="s">
        <v>35</v>
      </c>
      <c r="D152" s="4" t="s">
        <v>33</v>
      </c>
      <c r="E152" s="4" t="s">
        <v>25</v>
      </c>
      <c r="F152" s="4" t="s">
        <v>55</v>
      </c>
      <c r="G152" s="4" t="s">
        <v>25</v>
      </c>
      <c r="H152" s="4" t="s">
        <v>37</v>
      </c>
      <c r="I152" s="5">
        <v>44593</v>
      </c>
      <c r="J152" s="6">
        <v>0</v>
      </c>
      <c r="K152" s="6">
        <v>0</v>
      </c>
      <c r="L152" s="6">
        <v>2692.8690000000001</v>
      </c>
      <c r="M152" s="6">
        <v>2692.8690000000001</v>
      </c>
      <c r="N152" s="6">
        <v>0</v>
      </c>
      <c r="O152" s="6">
        <v>0</v>
      </c>
      <c r="P152" s="6">
        <v>0</v>
      </c>
      <c r="Q152" s="4" t="s">
        <v>56</v>
      </c>
      <c r="R152" s="4">
        <v>0</v>
      </c>
      <c r="S152" s="6">
        <v>0</v>
      </c>
      <c r="T152" s="6">
        <v>22</v>
      </c>
      <c r="U152" s="6">
        <v>0</v>
      </c>
      <c r="V152" s="6">
        <f>IF(ISERROR(VLOOKUP($S$152,'TAR FIN'!$A$1:$O$92,15,0)),0,VLOOKUP($S$152,'TAR FIN'!$A$1:$O$92,15,0))</f>
        <v>0</v>
      </c>
      <c r="W152" s="6">
        <f>IF(ISERROR(VLOOKUP($T$152,'TAR FIN'!$A$1:$O$92,15,0)),0,VLOOKUP($T$152,'TAR FIN'!$A$1:$O$92,15,0))</f>
        <v>73.28</v>
      </c>
      <c r="X152" s="6">
        <f>IF(ISERROR(VLOOKUP($U$152,'TAR FIN'!$A$1:$O$92,15,0)),0,VLOOKUP($U$152,'TAR FIN'!$A$1:$O$92,15,0))</f>
        <v>0</v>
      </c>
      <c r="Y152" s="6"/>
      <c r="Z152" s="6">
        <f ca="1">('TUSD BE'!$AM$16+'TUSD BF_350'!$AM$16+'TUSD CVA'!$AM$16)*1</f>
        <v>126.25</v>
      </c>
      <c r="AA152" s="6"/>
      <c r="AB152" s="6">
        <f>$K$152*$V$152</f>
        <v>0</v>
      </c>
      <c r="AC152" s="6">
        <f>$M$152*$W$152</f>
        <v>197333.44032000002</v>
      </c>
      <c r="AD152" s="6">
        <f>$O$152*$X$152</f>
        <v>0</v>
      </c>
      <c r="AE152" s="6">
        <f>$K$152*$Y$152</f>
        <v>0</v>
      </c>
      <c r="AF152" s="6">
        <f ca="1">$M$152*$Z$152</f>
        <v>339974.71124999999</v>
      </c>
      <c r="AG152" s="6">
        <f>$O$152*$AA$152</f>
        <v>0</v>
      </c>
    </row>
    <row r="153" spans="1:33" ht="11.25" customHeight="1" x14ac:dyDescent="0.3">
      <c r="A153" s="4" t="s">
        <v>21</v>
      </c>
      <c r="B153" s="4" t="s">
        <v>34</v>
      </c>
      <c r="C153" s="4" t="s">
        <v>35</v>
      </c>
      <c r="D153" s="4" t="s">
        <v>33</v>
      </c>
      <c r="E153" s="4" t="s">
        <v>25</v>
      </c>
      <c r="F153" s="4" t="s">
        <v>55</v>
      </c>
      <c r="G153" s="4" t="s">
        <v>25</v>
      </c>
      <c r="H153" s="4" t="s">
        <v>37</v>
      </c>
      <c r="I153" s="5">
        <v>44621</v>
      </c>
      <c r="J153" s="6">
        <v>0</v>
      </c>
      <c r="K153" s="6">
        <v>0</v>
      </c>
      <c r="L153" s="6">
        <v>3033.424</v>
      </c>
      <c r="M153" s="6">
        <v>3033.424</v>
      </c>
      <c r="N153" s="6">
        <v>0</v>
      </c>
      <c r="O153" s="6">
        <v>0</v>
      </c>
      <c r="P153" s="6">
        <v>0</v>
      </c>
      <c r="Q153" s="4" t="s">
        <v>56</v>
      </c>
      <c r="R153" s="4">
        <v>0</v>
      </c>
      <c r="S153" s="6">
        <v>0</v>
      </c>
      <c r="T153" s="6">
        <v>22</v>
      </c>
      <c r="U153" s="6">
        <v>0</v>
      </c>
      <c r="V153" s="6">
        <f>IF(ISERROR(VLOOKUP($S$153,'TAR FIN'!$A$1:$O$92,15,0)),0,VLOOKUP($S$153,'TAR FIN'!$A$1:$O$92,15,0))</f>
        <v>0</v>
      </c>
      <c r="W153" s="6">
        <f>IF(ISERROR(VLOOKUP($T$153,'TAR FIN'!$A$1:$O$92,15,0)),0,VLOOKUP($T$153,'TAR FIN'!$A$1:$O$92,15,0))</f>
        <v>73.28</v>
      </c>
      <c r="X153" s="6">
        <f>IF(ISERROR(VLOOKUP($U$153,'TAR FIN'!$A$1:$O$92,15,0)),0,VLOOKUP($U$153,'TAR FIN'!$A$1:$O$92,15,0))</f>
        <v>0</v>
      </c>
      <c r="Y153" s="6"/>
      <c r="Z153" s="6">
        <f ca="1">('TUSD BE'!$AM$16+'TUSD BF_350'!$AM$16+'TUSD CVA'!$AM$16)*1</f>
        <v>126.25</v>
      </c>
      <c r="AA153" s="6"/>
      <c r="AB153" s="6">
        <f>$K$153*$V$153</f>
        <v>0</v>
      </c>
      <c r="AC153" s="6">
        <f>$M$153*$W$153</f>
        <v>222289.31072000001</v>
      </c>
      <c r="AD153" s="6">
        <f>$O$153*$X$153</f>
        <v>0</v>
      </c>
      <c r="AE153" s="6">
        <f>$K$153*$Y$153</f>
        <v>0</v>
      </c>
      <c r="AF153" s="6">
        <f ca="1">$M$153*$Z$153</f>
        <v>382969.77999999997</v>
      </c>
      <c r="AG153" s="6">
        <f>$O$153*$AA$153</f>
        <v>0</v>
      </c>
    </row>
    <row r="154" spans="1:33" ht="11.25" customHeight="1" x14ac:dyDescent="0.3">
      <c r="A154" s="4" t="s">
        <v>21</v>
      </c>
      <c r="B154" s="4" t="s">
        <v>34</v>
      </c>
      <c r="C154" s="4" t="s">
        <v>35</v>
      </c>
      <c r="D154" s="4" t="s">
        <v>33</v>
      </c>
      <c r="E154" s="4" t="s">
        <v>25</v>
      </c>
      <c r="F154" s="4" t="s">
        <v>55</v>
      </c>
      <c r="G154" s="4" t="s">
        <v>25</v>
      </c>
      <c r="H154" s="4" t="s">
        <v>37</v>
      </c>
      <c r="I154" s="5">
        <v>44652</v>
      </c>
      <c r="J154" s="6">
        <v>0</v>
      </c>
      <c r="K154" s="6">
        <v>0</v>
      </c>
      <c r="L154" s="6">
        <v>2854.1410000000001</v>
      </c>
      <c r="M154" s="6">
        <v>2854.1410000000001</v>
      </c>
      <c r="N154" s="6">
        <v>0</v>
      </c>
      <c r="O154" s="6">
        <v>0</v>
      </c>
      <c r="P154" s="6">
        <v>0</v>
      </c>
      <c r="Q154" s="4" t="s">
        <v>56</v>
      </c>
      <c r="R154" s="4">
        <v>0</v>
      </c>
      <c r="S154" s="6">
        <v>0</v>
      </c>
      <c r="T154" s="6">
        <v>22</v>
      </c>
      <c r="U154" s="6">
        <v>0</v>
      </c>
      <c r="V154" s="6">
        <f>IF(ISERROR(VLOOKUP($S$154,'TAR FIN'!$A$1:$O$92,15,0)),0,VLOOKUP($S$154,'TAR FIN'!$A$1:$O$92,15,0))</f>
        <v>0</v>
      </c>
      <c r="W154" s="6">
        <f>IF(ISERROR(VLOOKUP($T$154,'TAR FIN'!$A$1:$O$92,15,0)),0,VLOOKUP($T$154,'TAR FIN'!$A$1:$O$92,15,0))</f>
        <v>73.28</v>
      </c>
      <c r="X154" s="6">
        <f>IF(ISERROR(VLOOKUP($U$154,'TAR FIN'!$A$1:$O$92,15,0)),0,VLOOKUP($U$154,'TAR FIN'!$A$1:$O$92,15,0))</f>
        <v>0</v>
      </c>
      <c r="Y154" s="6"/>
      <c r="Z154" s="6">
        <f ca="1">('TUSD BE'!$AM$16+'TUSD BF_350'!$AM$16+'TUSD CVA'!$AM$16)*1</f>
        <v>126.25</v>
      </c>
      <c r="AA154" s="6"/>
      <c r="AB154" s="6">
        <f>$K$154*$V$154</f>
        <v>0</v>
      </c>
      <c r="AC154" s="6">
        <f>$M$154*$W$154</f>
        <v>209151.45248000001</v>
      </c>
      <c r="AD154" s="6">
        <f>$O$154*$X$154</f>
        <v>0</v>
      </c>
      <c r="AE154" s="6">
        <f>$K$154*$Y$154</f>
        <v>0</v>
      </c>
      <c r="AF154" s="6">
        <f ca="1">$M$154*$Z$154</f>
        <v>360335.30125000002</v>
      </c>
      <c r="AG154" s="6">
        <f>$O$154*$AA$154</f>
        <v>0</v>
      </c>
    </row>
    <row r="155" spans="1:33" ht="11.25" customHeight="1" x14ac:dyDescent="0.3">
      <c r="A155" s="4" t="s">
        <v>21</v>
      </c>
      <c r="B155" s="4" t="s">
        <v>34</v>
      </c>
      <c r="C155" s="4" t="s">
        <v>35</v>
      </c>
      <c r="D155" s="4" t="s">
        <v>33</v>
      </c>
      <c r="E155" s="4" t="s">
        <v>25</v>
      </c>
      <c r="F155" s="4" t="s">
        <v>55</v>
      </c>
      <c r="G155" s="4" t="s">
        <v>25</v>
      </c>
      <c r="H155" s="4" t="s">
        <v>37</v>
      </c>
      <c r="I155" s="5">
        <v>44682</v>
      </c>
      <c r="J155" s="6">
        <v>0</v>
      </c>
      <c r="K155" s="6">
        <v>0</v>
      </c>
      <c r="L155" s="6">
        <v>2914.23</v>
      </c>
      <c r="M155" s="6">
        <v>2914.23</v>
      </c>
      <c r="N155" s="6">
        <v>0</v>
      </c>
      <c r="O155" s="6">
        <v>0</v>
      </c>
      <c r="P155" s="6">
        <v>0</v>
      </c>
      <c r="Q155" s="4" t="s">
        <v>56</v>
      </c>
      <c r="R155" s="4">
        <v>0</v>
      </c>
      <c r="S155" s="6">
        <v>0</v>
      </c>
      <c r="T155" s="6">
        <v>22</v>
      </c>
      <c r="U155" s="6">
        <v>0</v>
      </c>
      <c r="V155" s="6">
        <f>IF(ISERROR(VLOOKUP($S$155,'TAR FIN'!$A$1:$O$92,15,0)),0,VLOOKUP($S$155,'TAR FIN'!$A$1:$O$92,15,0))</f>
        <v>0</v>
      </c>
      <c r="W155" s="6">
        <f>IF(ISERROR(VLOOKUP($T$155,'TAR FIN'!$A$1:$O$92,15,0)),0,VLOOKUP($T$155,'TAR FIN'!$A$1:$O$92,15,0))</f>
        <v>73.28</v>
      </c>
      <c r="X155" s="6">
        <f>IF(ISERROR(VLOOKUP($U$155,'TAR FIN'!$A$1:$O$92,15,0)),0,VLOOKUP($U$155,'TAR FIN'!$A$1:$O$92,15,0))</f>
        <v>0</v>
      </c>
      <c r="Y155" s="6"/>
      <c r="Z155" s="6">
        <f ca="1">('TUSD BE'!$AM$16+'TUSD BF_350'!$AM$16+'TUSD CVA'!$AM$16)*1</f>
        <v>126.25</v>
      </c>
      <c r="AA155" s="6"/>
      <c r="AB155" s="6">
        <f>$K$155*$V$155</f>
        <v>0</v>
      </c>
      <c r="AC155" s="6">
        <f>$M$155*$W$155</f>
        <v>213554.77439999999</v>
      </c>
      <c r="AD155" s="6">
        <f>$O$155*$X$155</f>
        <v>0</v>
      </c>
      <c r="AE155" s="6">
        <f>$K$155*$Y$155</f>
        <v>0</v>
      </c>
      <c r="AF155" s="6">
        <f ca="1">$M$155*$Z$155</f>
        <v>367921.53749999998</v>
      </c>
      <c r="AG155" s="6">
        <f>$O$155*$AA$155</f>
        <v>0</v>
      </c>
    </row>
    <row r="156" spans="1:33" ht="11.25" customHeight="1" x14ac:dyDescent="0.3">
      <c r="A156" s="4" t="s">
        <v>21</v>
      </c>
      <c r="B156" s="4" t="s">
        <v>34</v>
      </c>
      <c r="C156" s="4" t="s">
        <v>35</v>
      </c>
      <c r="D156" s="4" t="s">
        <v>33</v>
      </c>
      <c r="E156" s="4" t="s">
        <v>25</v>
      </c>
      <c r="F156" s="4" t="s">
        <v>55</v>
      </c>
      <c r="G156" s="4" t="s">
        <v>25</v>
      </c>
      <c r="H156" s="4" t="s">
        <v>37</v>
      </c>
      <c r="I156" s="5">
        <v>44713</v>
      </c>
      <c r="J156" s="6">
        <v>0</v>
      </c>
      <c r="K156" s="6">
        <v>0</v>
      </c>
      <c r="L156" s="6">
        <v>2965.4425299999998</v>
      </c>
      <c r="M156" s="6">
        <v>2965.4425299999998</v>
      </c>
      <c r="N156" s="6">
        <v>0</v>
      </c>
      <c r="O156" s="6">
        <v>0</v>
      </c>
      <c r="P156" s="6">
        <v>0</v>
      </c>
      <c r="Q156" s="4" t="s">
        <v>56</v>
      </c>
      <c r="R156" s="4">
        <v>0</v>
      </c>
      <c r="S156" s="6">
        <v>0</v>
      </c>
      <c r="T156" s="6">
        <v>22</v>
      </c>
      <c r="U156" s="6">
        <v>0</v>
      </c>
      <c r="V156" s="6">
        <f>IF(ISERROR(VLOOKUP($S$156,'TAR FIN'!$A$1:$O$92,15,0)),0,VLOOKUP($S$156,'TAR FIN'!$A$1:$O$92,15,0))</f>
        <v>0</v>
      </c>
      <c r="W156" s="6">
        <f>IF(ISERROR(VLOOKUP($T$156,'TAR FIN'!$A$1:$O$92,15,0)),0,VLOOKUP($T$156,'TAR FIN'!$A$1:$O$92,15,0))</f>
        <v>73.28</v>
      </c>
      <c r="X156" s="6">
        <f>IF(ISERROR(VLOOKUP($U$156,'TAR FIN'!$A$1:$O$92,15,0)),0,VLOOKUP($U$156,'TAR FIN'!$A$1:$O$92,15,0))</f>
        <v>0</v>
      </c>
      <c r="Y156" s="6"/>
      <c r="Z156" s="6">
        <f ca="1">('TUSD BE'!$AM$16+'TUSD BF_350'!$AM$16+'TUSD CVA'!$AM$16)*1</f>
        <v>126.25</v>
      </c>
      <c r="AA156" s="6"/>
      <c r="AB156" s="6">
        <f>$K$156*$V$156</f>
        <v>0</v>
      </c>
      <c r="AC156" s="6">
        <f>$M$156*$W$156</f>
        <v>217307.62859839998</v>
      </c>
      <c r="AD156" s="6">
        <f>$O$156*$X$156</f>
        <v>0</v>
      </c>
      <c r="AE156" s="6">
        <f>$K$156*$Y$156</f>
        <v>0</v>
      </c>
      <c r="AF156" s="6">
        <f ca="1">$M$156*$Z$156</f>
        <v>374387.1194125</v>
      </c>
      <c r="AG156" s="6">
        <f>$O$156*$AA$156</f>
        <v>0</v>
      </c>
    </row>
    <row r="157" spans="1:33" ht="11.25" customHeight="1" x14ac:dyDescent="0.3">
      <c r="A157" s="4" t="s">
        <v>21</v>
      </c>
      <c r="B157" s="4" t="s">
        <v>34</v>
      </c>
      <c r="C157" s="4" t="s">
        <v>35</v>
      </c>
      <c r="D157" s="4" t="s">
        <v>33</v>
      </c>
      <c r="E157" s="4" t="s">
        <v>25</v>
      </c>
      <c r="F157" s="4" t="s">
        <v>55</v>
      </c>
      <c r="G157" s="4" t="s">
        <v>25</v>
      </c>
      <c r="H157" s="4" t="s">
        <v>37</v>
      </c>
      <c r="I157" s="5">
        <v>44743</v>
      </c>
      <c r="J157" s="6">
        <v>0</v>
      </c>
      <c r="K157" s="6">
        <v>0</v>
      </c>
      <c r="L157" s="6">
        <v>3008.4816900000001</v>
      </c>
      <c r="M157" s="6">
        <v>3008.4816900000001</v>
      </c>
      <c r="N157" s="6">
        <v>0</v>
      </c>
      <c r="O157" s="6">
        <v>0</v>
      </c>
      <c r="P157" s="6">
        <v>0</v>
      </c>
      <c r="Q157" s="4" t="s">
        <v>56</v>
      </c>
      <c r="R157" s="4">
        <v>0</v>
      </c>
      <c r="S157" s="6">
        <v>0</v>
      </c>
      <c r="T157" s="6">
        <v>22</v>
      </c>
      <c r="U157" s="6">
        <v>0</v>
      </c>
      <c r="V157" s="6">
        <f>IF(ISERROR(VLOOKUP($S$157,'TAR FIN'!$A$1:$O$92,15,0)),0,VLOOKUP($S$157,'TAR FIN'!$A$1:$O$92,15,0))</f>
        <v>0</v>
      </c>
      <c r="W157" s="6">
        <f>IF(ISERROR(VLOOKUP($T$157,'TAR FIN'!$A$1:$O$92,15,0)),0,VLOOKUP($T$157,'TAR FIN'!$A$1:$O$92,15,0))</f>
        <v>73.28</v>
      </c>
      <c r="X157" s="6">
        <f>IF(ISERROR(VLOOKUP($U$157,'TAR FIN'!$A$1:$O$92,15,0)),0,VLOOKUP($U$157,'TAR FIN'!$A$1:$O$92,15,0))</f>
        <v>0</v>
      </c>
      <c r="Y157" s="6"/>
      <c r="Z157" s="6">
        <f ca="1">('TUSD BE'!$AM$16+'TUSD BF_350'!$AM$16+'TUSD CVA'!$AM$16)*1</f>
        <v>126.25</v>
      </c>
      <c r="AA157" s="6"/>
      <c r="AB157" s="6">
        <f>$K$157*$V$157</f>
        <v>0</v>
      </c>
      <c r="AC157" s="6">
        <f>$M$157*$W$157</f>
        <v>220461.53824320002</v>
      </c>
      <c r="AD157" s="6">
        <f>$O$157*$X$157</f>
        <v>0</v>
      </c>
      <c r="AE157" s="6">
        <f>$K$157*$Y$157</f>
        <v>0</v>
      </c>
      <c r="AF157" s="6">
        <f ca="1">$M$157*$Z$157</f>
        <v>379820.81336249999</v>
      </c>
      <c r="AG157" s="6">
        <f>$O$157*$AA$157</f>
        <v>0</v>
      </c>
    </row>
    <row r="158" spans="1:33" ht="11.25" customHeight="1" x14ac:dyDescent="0.3">
      <c r="A158" s="4" t="s">
        <v>21</v>
      </c>
      <c r="B158" s="4" t="s">
        <v>34</v>
      </c>
      <c r="C158" s="4" t="s">
        <v>35</v>
      </c>
      <c r="D158" s="4" t="s">
        <v>33</v>
      </c>
      <c r="E158" s="4" t="s">
        <v>25</v>
      </c>
      <c r="F158" s="4" t="s">
        <v>55</v>
      </c>
      <c r="G158" s="4" t="s">
        <v>25</v>
      </c>
      <c r="H158" s="4" t="s">
        <v>25</v>
      </c>
      <c r="I158" s="5">
        <v>44409</v>
      </c>
      <c r="J158" s="6">
        <v>10860.54</v>
      </c>
      <c r="K158" s="6">
        <v>5493.7808088390002</v>
      </c>
      <c r="L158" s="6">
        <v>0</v>
      </c>
      <c r="M158" s="6">
        <v>0</v>
      </c>
      <c r="N158" s="6">
        <v>0</v>
      </c>
      <c r="O158" s="6">
        <v>0</v>
      </c>
      <c r="P158" s="6">
        <v>12</v>
      </c>
      <c r="Q158" s="4" t="s">
        <v>56</v>
      </c>
      <c r="R158" s="4">
        <v>0</v>
      </c>
      <c r="S158" s="6">
        <v>18</v>
      </c>
      <c r="T158" s="6">
        <v>0</v>
      </c>
      <c r="U158" s="6">
        <v>0</v>
      </c>
      <c r="V158" s="6">
        <f>IF(ISERROR(VLOOKUP($S$158,'TAR FIN'!$A$1:$O$92,15,0)),0,VLOOKUP($S$158,'TAR FIN'!$A$1:$O$92,15,0))</f>
        <v>18.489999999999998</v>
      </c>
      <c r="W158" s="6">
        <f>IF(ISERROR(VLOOKUP($T$158,'TAR FIN'!$A$1:$O$92,15,0)),0,VLOOKUP($T$158,'TAR FIN'!$A$1:$O$92,15,0))</f>
        <v>0</v>
      </c>
      <c r="X158" s="6">
        <f>IF(ISERROR(VLOOKUP($U$158,'TAR FIN'!$A$1:$O$92,15,0)),0,VLOOKUP($U$158,'TAR FIN'!$A$1:$O$92,15,0))</f>
        <v>0</v>
      </c>
      <c r="Y158" s="6">
        <f ca="1">('TUSD BE'!$AM$14+'TUSD BF_350'!$AM$14+'TUSD CVA'!$AM$14)*1</f>
        <v>15.64</v>
      </c>
      <c r="Z158" s="6"/>
      <c r="AA158" s="6"/>
      <c r="AB158" s="6">
        <f>$K$158*$V$158</f>
        <v>101580.00715543311</v>
      </c>
      <c r="AC158" s="6">
        <f>$M$158*$W$158</f>
        <v>0</v>
      </c>
      <c r="AD158" s="6">
        <f>$O$158*$X$158</f>
        <v>0</v>
      </c>
      <c r="AE158" s="6">
        <f ca="1">$K$158*$Y$158</f>
        <v>85922.731850241966</v>
      </c>
      <c r="AF158" s="6">
        <f>$M$158*$Z$158</f>
        <v>0</v>
      </c>
      <c r="AG158" s="6">
        <f>$O$158*$AA$158</f>
        <v>0</v>
      </c>
    </row>
    <row r="159" spans="1:33" ht="11.25" customHeight="1" x14ac:dyDescent="0.3">
      <c r="A159" s="4" t="s">
        <v>21</v>
      </c>
      <c r="B159" s="4" t="s">
        <v>34</v>
      </c>
      <c r="C159" s="4" t="s">
        <v>35</v>
      </c>
      <c r="D159" s="4" t="s">
        <v>33</v>
      </c>
      <c r="E159" s="4" t="s">
        <v>25</v>
      </c>
      <c r="F159" s="4" t="s">
        <v>55</v>
      </c>
      <c r="G159" s="4" t="s">
        <v>25</v>
      </c>
      <c r="H159" s="4" t="s">
        <v>25</v>
      </c>
      <c r="I159" s="5">
        <v>44440</v>
      </c>
      <c r="J159" s="6">
        <v>10843</v>
      </c>
      <c r="K159" s="6">
        <v>5470.3615940400005</v>
      </c>
      <c r="L159" s="6">
        <v>0</v>
      </c>
      <c r="M159" s="6">
        <v>0</v>
      </c>
      <c r="N159" s="6">
        <v>0</v>
      </c>
      <c r="O159" s="6">
        <v>0</v>
      </c>
      <c r="P159" s="6">
        <v>12</v>
      </c>
      <c r="Q159" s="4" t="s">
        <v>56</v>
      </c>
      <c r="R159" s="4">
        <v>0</v>
      </c>
      <c r="S159" s="6">
        <v>18</v>
      </c>
      <c r="T159" s="6">
        <v>0</v>
      </c>
      <c r="U159" s="6">
        <v>0</v>
      </c>
      <c r="V159" s="6">
        <f>IF(ISERROR(VLOOKUP($S$159,'TAR FIN'!$A$1:$O$92,15,0)),0,VLOOKUP($S$159,'TAR FIN'!$A$1:$O$92,15,0))</f>
        <v>18.489999999999998</v>
      </c>
      <c r="W159" s="6">
        <f>IF(ISERROR(VLOOKUP($T$159,'TAR FIN'!$A$1:$O$92,15,0)),0,VLOOKUP($T$159,'TAR FIN'!$A$1:$O$92,15,0))</f>
        <v>0</v>
      </c>
      <c r="X159" s="6">
        <f>IF(ISERROR(VLOOKUP($U$159,'TAR FIN'!$A$1:$O$92,15,0)),0,VLOOKUP($U$159,'TAR FIN'!$A$1:$O$92,15,0))</f>
        <v>0</v>
      </c>
      <c r="Y159" s="6">
        <f ca="1">('TUSD BE'!$AM$14+'TUSD BF_350'!$AM$14+'TUSD CVA'!$AM$14)*1</f>
        <v>15.64</v>
      </c>
      <c r="Z159" s="6"/>
      <c r="AA159" s="6"/>
      <c r="AB159" s="6">
        <f>$K$159*$V$159</f>
        <v>101146.9858737996</v>
      </c>
      <c r="AC159" s="6">
        <f>$M$159*$W$159</f>
        <v>0</v>
      </c>
      <c r="AD159" s="6">
        <f>$O$159*$X$159</f>
        <v>0</v>
      </c>
      <c r="AE159" s="6">
        <f ca="1">$K$159*$Y$159</f>
        <v>85556.455330785611</v>
      </c>
      <c r="AF159" s="6">
        <f>$M$159*$Z$159</f>
        <v>0</v>
      </c>
      <c r="AG159" s="6">
        <f>$O$159*$AA$159</f>
        <v>0</v>
      </c>
    </row>
    <row r="160" spans="1:33" ht="11.25" customHeight="1" x14ac:dyDescent="0.3">
      <c r="A160" s="4" t="s">
        <v>21</v>
      </c>
      <c r="B160" s="4" t="s">
        <v>34</v>
      </c>
      <c r="C160" s="4" t="s">
        <v>35</v>
      </c>
      <c r="D160" s="4" t="s">
        <v>33</v>
      </c>
      <c r="E160" s="4" t="s">
        <v>25</v>
      </c>
      <c r="F160" s="4" t="s">
        <v>55</v>
      </c>
      <c r="G160" s="4" t="s">
        <v>25</v>
      </c>
      <c r="H160" s="4" t="s">
        <v>25</v>
      </c>
      <c r="I160" s="5">
        <v>44470</v>
      </c>
      <c r="J160" s="6">
        <v>11240.22</v>
      </c>
      <c r="K160" s="6">
        <v>5671.8020857470001</v>
      </c>
      <c r="L160" s="6">
        <v>0</v>
      </c>
      <c r="M160" s="6">
        <v>0</v>
      </c>
      <c r="N160" s="6">
        <v>0</v>
      </c>
      <c r="O160" s="6">
        <v>0</v>
      </c>
      <c r="P160" s="6">
        <v>12</v>
      </c>
      <c r="Q160" s="4" t="s">
        <v>56</v>
      </c>
      <c r="R160" s="4">
        <v>0</v>
      </c>
      <c r="S160" s="6">
        <v>18</v>
      </c>
      <c r="T160" s="6">
        <v>0</v>
      </c>
      <c r="U160" s="6">
        <v>0</v>
      </c>
      <c r="V160" s="6">
        <f>IF(ISERROR(VLOOKUP($S$160,'TAR FIN'!$A$1:$O$92,15,0)),0,VLOOKUP($S$160,'TAR FIN'!$A$1:$O$92,15,0))</f>
        <v>18.489999999999998</v>
      </c>
      <c r="W160" s="6">
        <f>IF(ISERROR(VLOOKUP($T$160,'TAR FIN'!$A$1:$O$92,15,0)),0,VLOOKUP($T$160,'TAR FIN'!$A$1:$O$92,15,0))</f>
        <v>0</v>
      </c>
      <c r="X160" s="6">
        <f>IF(ISERROR(VLOOKUP($U$160,'TAR FIN'!$A$1:$O$92,15,0)),0,VLOOKUP($U$160,'TAR FIN'!$A$1:$O$92,15,0))</f>
        <v>0</v>
      </c>
      <c r="Y160" s="6">
        <f ca="1">('TUSD BE'!$AM$14+'TUSD BF_350'!$AM$14+'TUSD CVA'!$AM$14)*1</f>
        <v>15.64</v>
      </c>
      <c r="Z160" s="6"/>
      <c r="AA160" s="6"/>
      <c r="AB160" s="6">
        <f>$K$160*$V$160</f>
        <v>104871.62056546203</v>
      </c>
      <c r="AC160" s="6">
        <f>$M$160*$W$160</f>
        <v>0</v>
      </c>
      <c r="AD160" s="6">
        <f>$O$160*$X$160</f>
        <v>0</v>
      </c>
      <c r="AE160" s="6">
        <f ca="1">$K$160*$Y$160</f>
        <v>88706.984621083087</v>
      </c>
      <c r="AF160" s="6">
        <f>$M$160*$Z$160</f>
        <v>0</v>
      </c>
      <c r="AG160" s="6">
        <f>$O$160*$AA$160</f>
        <v>0</v>
      </c>
    </row>
    <row r="161" spans="1:33" ht="11.25" customHeight="1" x14ac:dyDescent="0.3">
      <c r="A161" s="4" t="s">
        <v>21</v>
      </c>
      <c r="B161" s="4" t="s">
        <v>34</v>
      </c>
      <c r="C161" s="4" t="s">
        <v>35</v>
      </c>
      <c r="D161" s="4" t="s">
        <v>33</v>
      </c>
      <c r="E161" s="4" t="s">
        <v>25</v>
      </c>
      <c r="F161" s="4" t="s">
        <v>55</v>
      </c>
      <c r="G161" s="4" t="s">
        <v>25</v>
      </c>
      <c r="H161" s="4" t="s">
        <v>25</v>
      </c>
      <c r="I161" s="5">
        <v>44501</v>
      </c>
      <c r="J161" s="6">
        <v>11461</v>
      </c>
      <c r="K161" s="6">
        <v>5831.1337689399998</v>
      </c>
      <c r="L161" s="6">
        <v>0</v>
      </c>
      <c r="M161" s="6">
        <v>0</v>
      </c>
      <c r="N161" s="6">
        <v>0</v>
      </c>
      <c r="O161" s="6">
        <v>0</v>
      </c>
      <c r="P161" s="6">
        <v>12</v>
      </c>
      <c r="Q161" s="4" t="s">
        <v>56</v>
      </c>
      <c r="R161" s="4">
        <v>0</v>
      </c>
      <c r="S161" s="6">
        <v>18</v>
      </c>
      <c r="T161" s="6">
        <v>0</v>
      </c>
      <c r="U161" s="6">
        <v>0</v>
      </c>
      <c r="V161" s="6">
        <f>IF(ISERROR(VLOOKUP($S$161,'TAR FIN'!$A$1:$O$92,15,0)),0,VLOOKUP($S$161,'TAR FIN'!$A$1:$O$92,15,0))</f>
        <v>18.489999999999998</v>
      </c>
      <c r="W161" s="6">
        <f>IF(ISERROR(VLOOKUP($T$161,'TAR FIN'!$A$1:$O$92,15,0)),0,VLOOKUP($T$161,'TAR FIN'!$A$1:$O$92,15,0))</f>
        <v>0</v>
      </c>
      <c r="X161" s="6">
        <f>IF(ISERROR(VLOOKUP($U$161,'TAR FIN'!$A$1:$O$92,15,0)),0,VLOOKUP($U$161,'TAR FIN'!$A$1:$O$92,15,0))</f>
        <v>0</v>
      </c>
      <c r="Y161" s="6">
        <f ca="1">('TUSD BE'!$AM$14+'TUSD BF_350'!$AM$14+'TUSD CVA'!$AM$14)*1</f>
        <v>15.64</v>
      </c>
      <c r="Z161" s="6"/>
      <c r="AA161" s="6"/>
      <c r="AB161" s="6">
        <f>$K$161*$V$161</f>
        <v>107817.66338770058</v>
      </c>
      <c r="AC161" s="6">
        <f>$M$161*$W$161</f>
        <v>0</v>
      </c>
      <c r="AD161" s="6">
        <f>$O$161*$X$161</f>
        <v>0</v>
      </c>
      <c r="AE161" s="6">
        <f ca="1">$K$161*$Y$161</f>
        <v>91198.932146221603</v>
      </c>
      <c r="AF161" s="6">
        <f>$M$161*$Z$161</f>
        <v>0</v>
      </c>
      <c r="AG161" s="6">
        <f>$O$161*$AA$161</f>
        <v>0</v>
      </c>
    </row>
    <row r="162" spans="1:33" ht="11.25" customHeight="1" x14ac:dyDescent="0.3">
      <c r="A162" s="4" t="s">
        <v>21</v>
      </c>
      <c r="B162" s="4" t="s">
        <v>34</v>
      </c>
      <c r="C162" s="4" t="s">
        <v>35</v>
      </c>
      <c r="D162" s="4" t="s">
        <v>33</v>
      </c>
      <c r="E162" s="4" t="s">
        <v>25</v>
      </c>
      <c r="F162" s="4" t="s">
        <v>55</v>
      </c>
      <c r="G162" s="4" t="s">
        <v>25</v>
      </c>
      <c r="H162" s="4" t="s">
        <v>25</v>
      </c>
      <c r="I162" s="5">
        <v>44531</v>
      </c>
      <c r="J162" s="6">
        <v>11352</v>
      </c>
      <c r="K162" s="6">
        <v>5753.7146567999998</v>
      </c>
      <c r="L162" s="6">
        <v>0</v>
      </c>
      <c r="M162" s="6">
        <v>0</v>
      </c>
      <c r="N162" s="6">
        <v>0</v>
      </c>
      <c r="O162" s="6">
        <v>0</v>
      </c>
      <c r="P162" s="6">
        <v>12</v>
      </c>
      <c r="Q162" s="4" t="s">
        <v>56</v>
      </c>
      <c r="R162" s="4">
        <v>0</v>
      </c>
      <c r="S162" s="6">
        <v>18</v>
      </c>
      <c r="T162" s="6">
        <v>0</v>
      </c>
      <c r="U162" s="6">
        <v>0</v>
      </c>
      <c r="V162" s="6">
        <f>IF(ISERROR(VLOOKUP($S$162,'TAR FIN'!$A$1:$O$92,15,0)),0,VLOOKUP($S$162,'TAR FIN'!$A$1:$O$92,15,0))</f>
        <v>18.489999999999998</v>
      </c>
      <c r="W162" s="6">
        <f>IF(ISERROR(VLOOKUP($T$162,'TAR FIN'!$A$1:$O$92,15,0)),0,VLOOKUP($T$162,'TAR FIN'!$A$1:$O$92,15,0))</f>
        <v>0</v>
      </c>
      <c r="X162" s="6">
        <f>IF(ISERROR(VLOOKUP($U$162,'TAR FIN'!$A$1:$O$92,15,0)),0,VLOOKUP($U$162,'TAR FIN'!$A$1:$O$92,15,0))</f>
        <v>0</v>
      </c>
      <c r="Y162" s="6">
        <f ca="1">('TUSD BE'!$AM$14+'TUSD BF_350'!$AM$14+'TUSD CVA'!$AM$14)*1</f>
        <v>15.64</v>
      </c>
      <c r="Z162" s="6"/>
      <c r="AA162" s="6"/>
      <c r="AB162" s="6">
        <f>$K$162*$V$162</f>
        <v>106386.18400423198</v>
      </c>
      <c r="AC162" s="6">
        <f>$M$162*$W$162</f>
        <v>0</v>
      </c>
      <c r="AD162" s="6">
        <f>$O$162*$X$162</f>
        <v>0</v>
      </c>
      <c r="AE162" s="6">
        <f ca="1">$K$162*$Y$162</f>
        <v>89988.097232351996</v>
      </c>
      <c r="AF162" s="6">
        <f>$M$162*$Z$162</f>
        <v>0</v>
      </c>
      <c r="AG162" s="6">
        <f>$O$162*$AA$162</f>
        <v>0</v>
      </c>
    </row>
    <row r="163" spans="1:33" ht="11.25" customHeight="1" x14ac:dyDescent="0.3">
      <c r="A163" s="4" t="s">
        <v>21</v>
      </c>
      <c r="B163" s="4" t="s">
        <v>34</v>
      </c>
      <c r="C163" s="4" t="s">
        <v>35</v>
      </c>
      <c r="D163" s="4" t="s">
        <v>33</v>
      </c>
      <c r="E163" s="4" t="s">
        <v>25</v>
      </c>
      <c r="F163" s="4" t="s">
        <v>55</v>
      </c>
      <c r="G163" s="4" t="s">
        <v>25</v>
      </c>
      <c r="H163" s="4" t="s">
        <v>25</v>
      </c>
      <c r="I163" s="5">
        <v>44562</v>
      </c>
      <c r="J163" s="6">
        <v>11339</v>
      </c>
      <c r="K163" s="6">
        <v>5732.9009979900002</v>
      </c>
      <c r="L163" s="6">
        <v>0</v>
      </c>
      <c r="M163" s="6">
        <v>0</v>
      </c>
      <c r="N163" s="6">
        <v>0</v>
      </c>
      <c r="O163" s="6">
        <v>0</v>
      </c>
      <c r="P163" s="6">
        <v>12</v>
      </c>
      <c r="Q163" s="4" t="s">
        <v>56</v>
      </c>
      <c r="R163" s="4">
        <v>0</v>
      </c>
      <c r="S163" s="6">
        <v>18</v>
      </c>
      <c r="T163" s="6">
        <v>0</v>
      </c>
      <c r="U163" s="6">
        <v>0</v>
      </c>
      <c r="V163" s="6">
        <f>IF(ISERROR(VLOOKUP($S$163,'TAR FIN'!$A$1:$O$92,15,0)),0,VLOOKUP($S$163,'TAR FIN'!$A$1:$O$92,15,0))</f>
        <v>18.489999999999998</v>
      </c>
      <c r="W163" s="6">
        <f>IF(ISERROR(VLOOKUP($T$163,'TAR FIN'!$A$1:$O$92,15,0)),0,VLOOKUP($T$163,'TAR FIN'!$A$1:$O$92,15,0))</f>
        <v>0</v>
      </c>
      <c r="X163" s="6">
        <f>IF(ISERROR(VLOOKUP($U$163,'TAR FIN'!$A$1:$O$92,15,0)),0,VLOOKUP($U$163,'TAR FIN'!$A$1:$O$92,15,0))</f>
        <v>0</v>
      </c>
      <c r="Y163" s="6">
        <f ca="1">('TUSD BE'!$AM$14+'TUSD BF_350'!$AM$14+'TUSD CVA'!$AM$14)*1</f>
        <v>15.64</v>
      </c>
      <c r="Z163" s="6"/>
      <c r="AA163" s="6"/>
      <c r="AB163" s="6">
        <f>$K$163*$V$163</f>
        <v>106001.33945283509</v>
      </c>
      <c r="AC163" s="6">
        <f>$M$163*$W$163</f>
        <v>0</v>
      </c>
      <c r="AD163" s="6">
        <f>$O$163*$X$163</f>
        <v>0</v>
      </c>
      <c r="AE163" s="6">
        <f ca="1">$K$163*$Y$163</f>
        <v>89662.571608563609</v>
      </c>
      <c r="AF163" s="6">
        <f>$M$163*$Z$163</f>
        <v>0</v>
      </c>
      <c r="AG163" s="6">
        <f>$O$163*$AA$163</f>
        <v>0</v>
      </c>
    </row>
    <row r="164" spans="1:33" ht="11.25" customHeight="1" x14ac:dyDescent="0.3">
      <c r="A164" s="4" t="s">
        <v>21</v>
      </c>
      <c r="B164" s="4" t="s">
        <v>34</v>
      </c>
      <c r="C164" s="4" t="s">
        <v>35</v>
      </c>
      <c r="D164" s="4" t="s">
        <v>33</v>
      </c>
      <c r="E164" s="4" t="s">
        <v>25</v>
      </c>
      <c r="F164" s="4" t="s">
        <v>55</v>
      </c>
      <c r="G164" s="4" t="s">
        <v>25</v>
      </c>
      <c r="H164" s="4" t="s">
        <v>25</v>
      </c>
      <c r="I164" s="5">
        <v>44593</v>
      </c>
      <c r="J164" s="6">
        <v>11178</v>
      </c>
      <c r="K164" s="6">
        <v>5654.33194482</v>
      </c>
      <c r="L164" s="6">
        <v>0</v>
      </c>
      <c r="M164" s="6">
        <v>0</v>
      </c>
      <c r="N164" s="6">
        <v>0</v>
      </c>
      <c r="O164" s="6">
        <v>0</v>
      </c>
      <c r="P164" s="6">
        <v>12</v>
      </c>
      <c r="Q164" s="4" t="s">
        <v>56</v>
      </c>
      <c r="R164" s="4">
        <v>0</v>
      </c>
      <c r="S164" s="6">
        <v>18</v>
      </c>
      <c r="T164" s="6">
        <v>0</v>
      </c>
      <c r="U164" s="6">
        <v>0</v>
      </c>
      <c r="V164" s="6">
        <f>IF(ISERROR(VLOOKUP($S$164,'TAR FIN'!$A$1:$O$92,15,0)),0,VLOOKUP($S$164,'TAR FIN'!$A$1:$O$92,15,0))</f>
        <v>18.489999999999998</v>
      </c>
      <c r="W164" s="6">
        <f>IF(ISERROR(VLOOKUP($T$164,'TAR FIN'!$A$1:$O$92,15,0)),0,VLOOKUP($T$164,'TAR FIN'!$A$1:$O$92,15,0))</f>
        <v>0</v>
      </c>
      <c r="X164" s="6">
        <f>IF(ISERROR(VLOOKUP($U$164,'TAR FIN'!$A$1:$O$92,15,0)),0,VLOOKUP($U$164,'TAR FIN'!$A$1:$O$92,15,0))</f>
        <v>0</v>
      </c>
      <c r="Y164" s="6">
        <f ca="1">('TUSD BE'!$AM$14+'TUSD BF_350'!$AM$14+'TUSD CVA'!$AM$14)*1</f>
        <v>15.64</v>
      </c>
      <c r="Z164" s="6"/>
      <c r="AA164" s="6"/>
      <c r="AB164" s="6">
        <f>$K$164*$V$164</f>
        <v>104548.5976597218</v>
      </c>
      <c r="AC164" s="6">
        <f>$M$164*$W$164</f>
        <v>0</v>
      </c>
      <c r="AD164" s="6">
        <f>$O$164*$X$164</f>
        <v>0</v>
      </c>
      <c r="AE164" s="6">
        <f ca="1">$K$164*$Y$164</f>
        <v>88433.75161698481</v>
      </c>
      <c r="AF164" s="6">
        <f>$M$164*$Z$164</f>
        <v>0</v>
      </c>
      <c r="AG164" s="6">
        <f>$O$164*$AA$164</f>
        <v>0</v>
      </c>
    </row>
    <row r="165" spans="1:33" ht="11.25" customHeight="1" x14ac:dyDescent="0.3">
      <c r="A165" s="4" t="s">
        <v>21</v>
      </c>
      <c r="B165" s="4" t="s">
        <v>34</v>
      </c>
      <c r="C165" s="4" t="s">
        <v>35</v>
      </c>
      <c r="D165" s="4" t="s">
        <v>33</v>
      </c>
      <c r="E165" s="4" t="s">
        <v>25</v>
      </c>
      <c r="F165" s="4" t="s">
        <v>55</v>
      </c>
      <c r="G165" s="4" t="s">
        <v>25</v>
      </c>
      <c r="H165" s="4" t="s">
        <v>25</v>
      </c>
      <c r="I165" s="5">
        <v>44621</v>
      </c>
      <c r="J165" s="6">
        <v>11143</v>
      </c>
      <c r="K165" s="6">
        <v>5667.1542977500003</v>
      </c>
      <c r="L165" s="6">
        <v>0</v>
      </c>
      <c r="M165" s="6">
        <v>0</v>
      </c>
      <c r="N165" s="6">
        <v>0</v>
      </c>
      <c r="O165" s="6">
        <v>0</v>
      </c>
      <c r="P165" s="6">
        <v>12</v>
      </c>
      <c r="Q165" s="4" t="s">
        <v>56</v>
      </c>
      <c r="R165" s="4">
        <v>0</v>
      </c>
      <c r="S165" s="6">
        <v>18</v>
      </c>
      <c r="T165" s="6">
        <v>0</v>
      </c>
      <c r="U165" s="6">
        <v>0</v>
      </c>
      <c r="V165" s="6">
        <f>IF(ISERROR(VLOOKUP($S$165,'TAR FIN'!$A$1:$O$92,15,0)),0,VLOOKUP($S$165,'TAR FIN'!$A$1:$O$92,15,0))</f>
        <v>18.489999999999998</v>
      </c>
      <c r="W165" s="6">
        <f>IF(ISERROR(VLOOKUP($T$165,'TAR FIN'!$A$1:$O$92,15,0)),0,VLOOKUP($T$165,'TAR FIN'!$A$1:$O$92,15,0))</f>
        <v>0</v>
      </c>
      <c r="X165" s="6">
        <f>IF(ISERROR(VLOOKUP($U$165,'TAR FIN'!$A$1:$O$92,15,0)),0,VLOOKUP($U$165,'TAR FIN'!$A$1:$O$92,15,0))</f>
        <v>0</v>
      </c>
      <c r="Y165" s="6">
        <f ca="1">('TUSD BE'!$AM$14+'TUSD BF_350'!$AM$14+'TUSD CVA'!$AM$14)*1</f>
        <v>15.64</v>
      </c>
      <c r="Z165" s="6"/>
      <c r="AA165" s="6"/>
      <c r="AB165" s="6">
        <f>$K$165*$V$165</f>
        <v>104785.6829653975</v>
      </c>
      <c r="AC165" s="6">
        <f>$M$165*$W$165</f>
        <v>0</v>
      </c>
      <c r="AD165" s="6">
        <f>$O$165*$X$165</f>
        <v>0</v>
      </c>
      <c r="AE165" s="6">
        <f ca="1">$K$165*$Y$165</f>
        <v>88634.293216810009</v>
      </c>
      <c r="AF165" s="6">
        <f>$M$165*$Z$165</f>
        <v>0</v>
      </c>
      <c r="AG165" s="6">
        <f>$O$165*$AA$165</f>
        <v>0</v>
      </c>
    </row>
    <row r="166" spans="1:33" ht="11.25" customHeight="1" x14ac:dyDescent="0.3">
      <c r="A166" s="4" t="s">
        <v>21</v>
      </c>
      <c r="B166" s="4" t="s">
        <v>34</v>
      </c>
      <c r="C166" s="4" t="s">
        <v>35</v>
      </c>
      <c r="D166" s="4" t="s">
        <v>33</v>
      </c>
      <c r="E166" s="4" t="s">
        <v>25</v>
      </c>
      <c r="F166" s="4" t="s">
        <v>55</v>
      </c>
      <c r="G166" s="4" t="s">
        <v>25</v>
      </c>
      <c r="H166" s="4" t="s">
        <v>25</v>
      </c>
      <c r="I166" s="5">
        <v>44652</v>
      </c>
      <c r="J166" s="6">
        <v>11145</v>
      </c>
      <c r="K166" s="6">
        <v>5626.5137967000001</v>
      </c>
      <c r="L166" s="6">
        <v>0</v>
      </c>
      <c r="M166" s="6">
        <v>0</v>
      </c>
      <c r="N166" s="6">
        <v>0</v>
      </c>
      <c r="O166" s="6">
        <v>0</v>
      </c>
      <c r="P166" s="6">
        <v>12</v>
      </c>
      <c r="Q166" s="4" t="s">
        <v>56</v>
      </c>
      <c r="R166" s="4">
        <v>0</v>
      </c>
      <c r="S166" s="6">
        <v>18</v>
      </c>
      <c r="T166" s="6">
        <v>0</v>
      </c>
      <c r="U166" s="6">
        <v>0</v>
      </c>
      <c r="V166" s="6">
        <f>IF(ISERROR(VLOOKUP($S$166,'TAR FIN'!$A$1:$O$92,15,0)),0,VLOOKUP($S$166,'TAR FIN'!$A$1:$O$92,15,0))</f>
        <v>18.489999999999998</v>
      </c>
      <c r="W166" s="6">
        <f>IF(ISERROR(VLOOKUP($T$166,'TAR FIN'!$A$1:$O$92,15,0)),0,VLOOKUP($T$166,'TAR FIN'!$A$1:$O$92,15,0))</f>
        <v>0</v>
      </c>
      <c r="X166" s="6">
        <f>IF(ISERROR(VLOOKUP($U$166,'TAR FIN'!$A$1:$O$92,15,0)),0,VLOOKUP($U$166,'TAR FIN'!$A$1:$O$92,15,0))</f>
        <v>0</v>
      </c>
      <c r="Y166" s="6">
        <f ca="1">('TUSD BE'!$AM$14+'TUSD BF_350'!$AM$14+'TUSD CVA'!$AM$14)*1</f>
        <v>15.64</v>
      </c>
      <c r="Z166" s="6"/>
      <c r="AA166" s="6"/>
      <c r="AB166" s="6">
        <f>$K$166*$V$166</f>
        <v>104034.24010098299</v>
      </c>
      <c r="AC166" s="6">
        <f>$M$166*$W$166</f>
        <v>0</v>
      </c>
      <c r="AD166" s="6">
        <f>$O$166*$X$166</f>
        <v>0</v>
      </c>
      <c r="AE166" s="6">
        <f ca="1">$K$166*$Y$166</f>
        <v>87998.675780388003</v>
      </c>
      <c r="AF166" s="6">
        <f>$M$166*$Z$166</f>
        <v>0</v>
      </c>
      <c r="AG166" s="6">
        <f>$O$166*$AA$166</f>
        <v>0</v>
      </c>
    </row>
    <row r="167" spans="1:33" ht="11.25" customHeight="1" x14ac:dyDescent="0.3">
      <c r="A167" s="4" t="s">
        <v>21</v>
      </c>
      <c r="B167" s="4" t="s">
        <v>34</v>
      </c>
      <c r="C167" s="4" t="s">
        <v>35</v>
      </c>
      <c r="D167" s="4" t="s">
        <v>33</v>
      </c>
      <c r="E167" s="4" t="s">
        <v>25</v>
      </c>
      <c r="F167" s="4" t="s">
        <v>55</v>
      </c>
      <c r="G167" s="4" t="s">
        <v>25</v>
      </c>
      <c r="H167" s="4" t="s">
        <v>25</v>
      </c>
      <c r="I167" s="5">
        <v>44682</v>
      </c>
      <c r="J167" s="6">
        <v>11192</v>
      </c>
      <c r="K167" s="6">
        <v>5663.6857464799996</v>
      </c>
      <c r="L167" s="6">
        <v>0</v>
      </c>
      <c r="M167" s="6">
        <v>0</v>
      </c>
      <c r="N167" s="6">
        <v>0</v>
      </c>
      <c r="O167" s="6">
        <v>0</v>
      </c>
      <c r="P167" s="6">
        <v>12</v>
      </c>
      <c r="Q167" s="4" t="s">
        <v>56</v>
      </c>
      <c r="R167" s="4">
        <v>0</v>
      </c>
      <c r="S167" s="6">
        <v>18</v>
      </c>
      <c r="T167" s="6">
        <v>0</v>
      </c>
      <c r="U167" s="6">
        <v>0</v>
      </c>
      <c r="V167" s="6">
        <f>IF(ISERROR(VLOOKUP($S$167,'TAR FIN'!$A$1:$O$92,15,0)),0,VLOOKUP($S$167,'TAR FIN'!$A$1:$O$92,15,0))</f>
        <v>18.489999999999998</v>
      </c>
      <c r="W167" s="6">
        <f>IF(ISERROR(VLOOKUP($T$167,'TAR FIN'!$A$1:$O$92,15,0)),0,VLOOKUP($T$167,'TAR FIN'!$A$1:$O$92,15,0))</f>
        <v>0</v>
      </c>
      <c r="X167" s="6">
        <f>IF(ISERROR(VLOOKUP($U$167,'TAR FIN'!$A$1:$O$92,15,0)),0,VLOOKUP($U$167,'TAR FIN'!$A$1:$O$92,15,0))</f>
        <v>0</v>
      </c>
      <c r="Y167" s="6">
        <f ca="1">('TUSD BE'!$AM$14+'TUSD BF_350'!$AM$14+'TUSD CVA'!$AM$14)*1</f>
        <v>15.64</v>
      </c>
      <c r="Z167" s="6"/>
      <c r="AA167" s="6"/>
      <c r="AB167" s="6">
        <f>$K$167*$V$167</f>
        <v>104721.54945241519</v>
      </c>
      <c r="AC167" s="6">
        <f>$M$167*$W$167</f>
        <v>0</v>
      </c>
      <c r="AD167" s="6">
        <f>$O$167*$X$167</f>
        <v>0</v>
      </c>
      <c r="AE167" s="6">
        <f ca="1">$K$167*$Y$167</f>
        <v>88580.045074947193</v>
      </c>
      <c r="AF167" s="6">
        <f>$M$167*$Z$167</f>
        <v>0</v>
      </c>
      <c r="AG167" s="6">
        <f>$O$167*$AA$167</f>
        <v>0</v>
      </c>
    </row>
    <row r="168" spans="1:33" ht="11.25" customHeight="1" x14ac:dyDescent="0.3">
      <c r="A168" s="4" t="s">
        <v>21</v>
      </c>
      <c r="B168" s="4" t="s">
        <v>34</v>
      </c>
      <c r="C168" s="4" t="s">
        <v>35</v>
      </c>
      <c r="D168" s="4" t="s">
        <v>33</v>
      </c>
      <c r="E168" s="4" t="s">
        <v>25</v>
      </c>
      <c r="F168" s="4" t="s">
        <v>55</v>
      </c>
      <c r="G168" s="4" t="s">
        <v>25</v>
      </c>
      <c r="H168" s="4" t="s">
        <v>25</v>
      </c>
      <c r="I168" s="5">
        <v>44713</v>
      </c>
      <c r="J168" s="6">
        <v>11135</v>
      </c>
      <c r="K168" s="6">
        <v>5673.2455318000002</v>
      </c>
      <c r="L168" s="6">
        <v>0</v>
      </c>
      <c r="M168" s="6">
        <v>0</v>
      </c>
      <c r="N168" s="6">
        <v>0</v>
      </c>
      <c r="O168" s="6">
        <v>0</v>
      </c>
      <c r="P168" s="6">
        <v>12</v>
      </c>
      <c r="Q168" s="4" t="s">
        <v>56</v>
      </c>
      <c r="R168" s="4">
        <v>0</v>
      </c>
      <c r="S168" s="6">
        <v>18</v>
      </c>
      <c r="T168" s="6">
        <v>0</v>
      </c>
      <c r="U168" s="6">
        <v>0</v>
      </c>
      <c r="V168" s="6">
        <f>IF(ISERROR(VLOOKUP($S$168,'TAR FIN'!$A$1:$O$92,15,0)),0,VLOOKUP($S$168,'TAR FIN'!$A$1:$O$92,15,0))</f>
        <v>18.489999999999998</v>
      </c>
      <c r="W168" s="6">
        <f>IF(ISERROR(VLOOKUP($T$168,'TAR FIN'!$A$1:$O$92,15,0)),0,VLOOKUP($T$168,'TAR FIN'!$A$1:$O$92,15,0))</f>
        <v>0</v>
      </c>
      <c r="X168" s="6">
        <f>IF(ISERROR(VLOOKUP($U$168,'TAR FIN'!$A$1:$O$92,15,0)),0,VLOOKUP($U$168,'TAR FIN'!$A$1:$O$92,15,0))</f>
        <v>0</v>
      </c>
      <c r="Y168" s="6">
        <f ca="1">('TUSD BE'!$AM$14+'TUSD BF_350'!$AM$14+'TUSD CVA'!$AM$14)*1</f>
        <v>15.64</v>
      </c>
      <c r="Z168" s="6"/>
      <c r="AA168" s="6"/>
      <c r="AB168" s="6">
        <f>$K$168*$V$168</f>
        <v>104898.30988298199</v>
      </c>
      <c r="AC168" s="6">
        <f>$M$168*$W$168</f>
        <v>0</v>
      </c>
      <c r="AD168" s="6">
        <f>$O$168*$X$168</f>
        <v>0</v>
      </c>
      <c r="AE168" s="6">
        <f ca="1">$K$168*$Y$168</f>
        <v>88729.560117352012</v>
      </c>
      <c r="AF168" s="6">
        <f>$M$168*$Z$168</f>
        <v>0</v>
      </c>
      <c r="AG168" s="6">
        <f>$O$168*$AA$168</f>
        <v>0</v>
      </c>
    </row>
    <row r="169" spans="1:33" ht="11.25" customHeight="1" x14ac:dyDescent="0.3">
      <c r="A169" s="4" t="s">
        <v>21</v>
      </c>
      <c r="B169" s="4" t="s">
        <v>34</v>
      </c>
      <c r="C169" s="4" t="s">
        <v>35</v>
      </c>
      <c r="D169" s="4" t="s">
        <v>33</v>
      </c>
      <c r="E169" s="4" t="s">
        <v>25</v>
      </c>
      <c r="F169" s="4" t="s">
        <v>55</v>
      </c>
      <c r="G169" s="4" t="s">
        <v>25</v>
      </c>
      <c r="H169" s="4" t="s">
        <v>25</v>
      </c>
      <c r="I169" s="5">
        <v>44743</v>
      </c>
      <c r="J169" s="6">
        <v>11165.48</v>
      </c>
      <c r="K169" s="6">
        <v>5624.0284935276004</v>
      </c>
      <c r="L169" s="6">
        <v>0</v>
      </c>
      <c r="M169" s="6">
        <v>0</v>
      </c>
      <c r="N169" s="6">
        <v>0</v>
      </c>
      <c r="O169" s="6">
        <v>0</v>
      </c>
      <c r="P169" s="6">
        <v>12</v>
      </c>
      <c r="Q169" s="4" t="s">
        <v>56</v>
      </c>
      <c r="R169" s="4">
        <v>0</v>
      </c>
      <c r="S169" s="6">
        <v>18</v>
      </c>
      <c r="T169" s="6">
        <v>0</v>
      </c>
      <c r="U169" s="6">
        <v>0</v>
      </c>
      <c r="V169" s="6">
        <f>IF(ISERROR(VLOOKUP($S$169,'TAR FIN'!$A$1:$O$92,15,0)),0,VLOOKUP($S$169,'TAR FIN'!$A$1:$O$92,15,0))</f>
        <v>18.489999999999998</v>
      </c>
      <c r="W169" s="6">
        <f>IF(ISERROR(VLOOKUP($T$169,'TAR FIN'!$A$1:$O$92,15,0)),0,VLOOKUP($T$169,'TAR FIN'!$A$1:$O$92,15,0))</f>
        <v>0</v>
      </c>
      <c r="X169" s="6">
        <f>IF(ISERROR(VLOOKUP($U$169,'TAR FIN'!$A$1:$O$92,15,0)),0,VLOOKUP($U$169,'TAR FIN'!$A$1:$O$92,15,0))</f>
        <v>0</v>
      </c>
      <c r="Y169" s="6">
        <f ca="1">('TUSD BE'!$AM$14+'TUSD BF_350'!$AM$14+'TUSD CVA'!$AM$14)*1</f>
        <v>15.64</v>
      </c>
      <c r="Z169" s="6"/>
      <c r="AA169" s="6"/>
      <c r="AB169" s="6">
        <f>$K$169*$V$169</f>
        <v>103988.28684532532</v>
      </c>
      <c r="AC169" s="6">
        <f>$M$169*$W$169</f>
        <v>0</v>
      </c>
      <c r="AD169" s="6">
        <f>$O$169*$X$169</f>
        <v>0</v>
      </c>
      <c r="AE169" s="6">
        <f ca="1">$K$169*$Y$169</f>
        <v>87959.805638771679</v>
      </c>
      <c r="AF169" s="6">
        <f>$M$169*$Z$169</f>
        <v>0</v>
      </c>
      <c r="AG169" s="6">
        <f>$O$169*$AA$169</f>
        <v>0</v>
      </c>
    </row>
    <row r="170" spans="1:33" ht="11.25" customHeight="1" x14ac:dyDescent="0.3">
      <c r="A170" s="4" t="s">
        <v>21</v>
      </c>
      <c r="B170" s="4" t="s">
        <v>34</v>
      </c>
      <c r="C170" s="4" t="s">
        <v>35</v>
      </c>
      <c r="D170" s="4" t="s">
        <v>33</v>
      </c>
      <c r="E170" s="4" t="s">
        <v>25</v>
      </c>
      <c r="F170" s="4" t="s">
        <v>55</v>
      </c>
      <c r="G170" s="4" t="s">
        <v>25</v>
      </c>
      <c r="H170" s="4" t="s">
        <v>36</v>
      </c>
      <c r="I170" s="5">
        <v>44409</v>
      </c>
      <c r="J170" s="6">
        <v>0</v>
      </c>
      <c r="K170" s="6">
        <v>0</v>
      </c>
      <c r="L170" s="6">
        <v>321.35113999999999</v>
      </c>
      <c r="M170" s="6">
        <v>162.49413787690801</v>
      </c>
      <c r="N170" s="6">
        <v>0</v>
      </c>
      <c r="O170" s="6">
        <v>0</v>
      </c>
      <c r="P170" s="6">
        <v>0</v>
      </c>
      <c r="Q170" s="4" t="s">
        <v>56</v>
      </c>
      <c r="R170" s="4">
        <v>0</v>
      </c>
      <c r="S170" s="6">
        <v>0</v>
      </c>
      <c r="T170" s="6">
        <v>21</v>
      </c>
      <c r="U170" s="6">
        <v>0</v>
      </c>
      <c r="V170" s="6">
        <f>IF(ISERROR(VLOOKUP($S$170,'TAR FIN'!$A$1:$O$92,15,0)),0,VLOOKUP($S$170,'TAR FIN'!$A$1:$O$92,15,0))</f>
        <v>0</v>
      </c>
      <c r="W170" s="6">
        <f>IF(ISERROR(VLOOKUP($T$170,'TAR FIN'!$A$1:$O$92,15,0)),0,VLOOKUP($T$170,'TAR FIN'!$A$1:$O$92,15,0))</f>
        <v>789.62</v>
      </c>
      <c r="X170" s="6">
        <f>IF(ISERROR(VLOOKUP($U$170,'TAR FIN'!$A$1:$O$92,15,0)),0,VLOOKUP($U$170,'TAR FIN'!$A$1:$O$92,15,0))</f>
        <v>0</v>
      </c>
      <c r="Y170" s="6"/>
      <c r="Z170" s="6">
        <f ca="1">('TUSD BE'!$AM$15+'TUSD BF_350'!$AM$15+'TUSD CVA'!$AM$15)*1</f>
        <v>911.84</v>
      </c>
      <c r="AA170" s="6"/>
      <c r="AB170" s="6">
        <f>$K$170*$V$170</f>
        <v>0</v>
      </c>
      <c r="AC170" s="6">
        <f>$M$170*$W$170</f>
        <v>128308.62115036411</v>
      </c>
      <c r="AD170" s="6">
        <f>$O$170*$X$170</f>
        <v>0</v>
      </c>
      <c r="AE170" s="6">
        <f>$K$170*$Y$170</f>
        <v>0</v>
      </c>
      <c r="AF170" s="6">
        <f ca="1">$M$170*$Z$170</f>
        <v>148168.65468167982</v>
      </c>
      <c r="AG170" s="6">
        <f>$O$170*$AA$170</f>
        <v>0</v>
      </c>
    </row>
    <row r="171" spans="1:33" ht="11.25" customHeight="1" x14ac:dyDescent="0.3">
      <c r="A171" s="4" t="s">
        <v>21</v>
      </c>
      <c r="B171" s="4" t="s">
        <v>34</v>
      </c>
      <c r="C171" s="4" t="s">
        <v>35</v>
      </c>
      <c r="D171" s="4" t="s">
        <v>33</v>
      </c>
      <c r="E171" s="4" t="s">
        <v>25</v>
      </c>
      <c r="F171" s="4" t="s">
        <v>55</v>
      </c>
      <c r="G171" s="4" t="s">
        <v>25</v>
      </c>
      <c r="H171" s="4" t="s">
        <v>36</v>
      </c>
      <c r="I171" s="5">
        <v>44440</v>
      </c>
      <c r="J171" s="6">
        <v>0</v>
      </c>
      <c r="K171" s="6">
        <v>0</v>
      </c>
      <c r="L171" s="6">
        <v>283.25900000000001</v>
      </c>
      <c r="M171" s="6">
        <v>142.74908403008999</v>
      </c>
      <c r="N171" s="6">
        <v>0</v>
      </c>
      <c r="O171" s="6">
        <v>0</v>
      </c>
      <c r="P171" s="6">
        <v>0</v>
      </c>
      <c r="Q171" s="4" t="s">
        <v>56</v>
      </c>
      <c r="R171" s="4">
        <v>0</v>
      </c>
      <c r="S171" s="6">
        <v>0</v>
      </c>
      <c r="T171" s="6">
        <v>21</v>
      </c>
      <c r="U171" s="6">
        <v>0</v>
      </c>
      <c r="V171" s="6">
        <f>IF(ISERROR(VLOOKUP($S$171,'TAR FIN'!$A$1:$O$92,15,0)),0,VLOOKUP($S$171,'TAR FIN'!$A$1:$O$92,15,0))</f>
        <v>0</v>
      </c>
      <c r="W171" s="6">
        <f>IF(ISERROR(VLOOKUP($T$171,'TAR FIN'!$A$1:$O$92,15,0)),0,VLOOKUP($T$171,'TAR FIN'!$A$1:$O$92,15,0))</f>
        <v>789.62</v>
      </c>
      <c r="X171" s="6">
        <f>IF(ISERROR(VLOOKUP($U$171,'TAR FIN'!$A$1:$O$92,15,0)),0,VLOOKUP($U$171,'TAR FIN'!$A$1:$O$92,15,0))</f>
        <v>0</v>
      </c>
      <c r="Y171" s="6"/>
      <c r="Z171" s="6">
        <f ca="1">('TUSD BE'!$AM$15+'TUSD BF_350'!$AM$15+'TUSD CVA'!$AM$15)*1</f>
        <v>911.84</v>
      </c>
      <c r="AA171" s="6"/>
      <c r="AB171" s="6">
        <f>$K$171*$V$171</f>
        <v>0</v>
      </c>
      <c r="AC171" s="6">
        <f>$M$171*$W$171</f>
        <v>112717.53173183966</v>
      </c>
      <c r="AD171" s="6">
        <f>$O$171*$X$171</f>
        <v>0</v>
      </c>
      <c r="AE171" s="6">
        <f>$K$171*$Y$171</f>
        <v>0</v>
      </c>
      <c r="AF171" s="6">
        <f ca="1">$M$171*$Z$171</f>
        <v>130164.32478199726</v>
      </c>
      <c r="AG171" s="6">
        <f>$O$171*$AA$171</f>
        <v>0</v>
      </c>
    </row>
    <row r="172" spans="1:33" ht="11.25" customHeight="1" x14ac:dyDescent="0.3">
      <c r="A172" s="4" t="s">
        <v>21</v>
      </c>
      <c r="B172" s="4" t="s">
        <v>34</v>
      </c>
      <c r="C172" s="4" t="s">
        <v>35</v>
      </c>
      <c r="D172" s="4" t="s">
        <v>33</v>
      </c>
      <c r="E172" s="4" t="s">
        <v>25</v>
      </c>
      <c r="F172" s="4" t="s">
        <v>55</v>
      </c>
      <c r="G172" s="4" t="s">
        <v>25</v>
      </c>
      <c r="H172" s="4" t="s">
        <v>36</v>
      </c>
      <c r="I172" s="5">
        <v>44470</v>
      </c>
      <c r="J172" s="6">
        <v>0</v>
      </c>
      <c r="K172" s="6">
        <v>0</v>
      </c>
      <c r="L172" s="6">
        <v>304.5573</v>
      </c>
      <c r="M172" s="6">
        <v>153.48364313974199</v>
      </c>
      <c r="N172" s="6">
        <v>0</v>
      </c>
      <c r="O172" s="6">
        <v>0</v>
      </c>
      <c r="P172" s="6">
        <v>0</v>
      </c>
      <c r="Q172" s="4" t="s">
        <v>56</v>
      </c>
      <c r="R172" s="4">
        <v>0</v>
      </c>
      <c r="S172" s="6">
        <v>0</v>
      </c>
      <c r="T172" s="6">
        <v>21</v>
      </c>
      <c r="U172" s="6">
        <v>0</v>
      </c>
      <c r="V172" s="6">
        <f>IF(ISERROR(VLOOKUP($S$172,'TAR FIN'!$A$1:$O$92,15,0)),0,VLOOKUP($S$172,'TAR FIN'!$A$1:$O$92,15,0))</f>
        <v>0</v>
      </c>
      <c r="W172" s="6">
        <f>IF(ISERROR(VLOOKUP($T$172,'TAR FIN'!$A$1:$O$92,15,0)),0,VLOOKUP($T$172,'TAR FIN'!$A$1:$O$92,15,0))</f>
        <v>789.62</v>
      </c>
      <c r="X172" s="6">
        <f>IF(ISERROR(VLOOKUP($U$172,'TAR FIN'!$A$1:$O$92,15,0)),0,VLOOKUP($U$172,'TAR FIN'!$A$1:$O$92,15,0))</f>
        <v>0</v>
      </c>
      <c r="Y172" s="6"/>
      <c r="Z172" s="6">
        <f ca="1">('TUSD BE'!$AM$15+'TUSD BF_350'!$AM$15+'TUSD CVA'!$AM$15)*1</f>
        <v>911.84</v>
      </c>
      <c r="AA172" s="6"/>
      <c r="AB172" s="6">
        <f>$K$172*$V$172</f>
        <v>0</v>
      </c>
      <c r="AC172" s="6">
        <f>$M$172*$W$172</f>
        <v>121193.75429600307</v>
      </c>
      <c r="AD172" s="6">
        <f>$O$172*$X$172</f>
        <v>0</v>
      </c>
      <c r="AE172" s="6">
        <f>$K$172*$Y$172</f>
        <v>0</v>
      </c>
      <c r="AF172" s="6">
        <f ca="1">$M$172*$Z$172</f>
        <v>139952.52516054234</v>
      </c>
      <c r="AG172" s="6">
        <f>$O$172*$AA$172</f>
        <v>0</v>
      </c>
    </row>
    <row r="173" spans="1:33" ht="11.25" customHeight="1" x14ac:dyDescent="0.3">
      <c r="A173" s="4" t="s">
        <v>21</v>
      </c>
      <c r="B173" s="4" t="s">
        <v>34</v>
      </c>
      <c r="C173" s="4" t="s">
        <v>35</v>
      </c>
      <c r="D173" s="4" t="s">
        <v>33</v>
      </c>
      <c r="E173" s="4" t="s">
        <v>25</v>
      </c>
      <c r="F173" s="4" t="s">
        <v>55</v>
      </c>
      <c r="G173" s="4" t="s">
        <v>25</v>
      </c>
      <c r="H173" s="4" t="s">
        <v>36</v>
      </c>
      <c r="I173" s="5">
        <v>44501</v>
      </c>
      <c r="J173" s="6">
        <v>0</v>
      </c>
      <c r="K173" s="6">
        <v>0</v>
      </c>
      <c r="L173" s="6">
        <v>286.74200000000002</v>
      </c>
      <c r="M173" s="6">
        <v>145.64622895191999</v>
      </c>
      <c r="N173" s="6">
        <v>0</v>
      </c>
      <c r="O173" s="6">
        <v>0</v>
      </c>
      <c r="P173" s="6">
        <v>0</v>
      </c>
      <c r="Q173" s="4" t="s">
        <v>56</v>
      </c>
      <c r="R173" s="4">
        <v>0</v>
      </c>
      <c r="S173" s="6">
        <v>0</v>
      </c>
      <c r="T173" s="6">
        <v>21</v>
      </c>
      <c r="U173" s="6">
        <v>0</v>
      </c>
      <c r="V173" s="6">
        <f>IF(ISERROR(VLOOKUP($S$173,'TAR FIN'!$A$1:$O$92,15,0)),0,VLOOKUP($S$173,'TAR FIN'!$A$1:$O$92,15,0))</f>
        <v>0</v>
      </c>
      <c r="W173" s="6">
        <f>IF(ISERROR(VLOOKUP($T$173,'TAR FIN'!$A$1:$O$92,15,0)),0,VLOOKUP($T$173,'TAR FIN'!$A$1:$O$92,15,0))</f>
        <v>789.62</v>
      </c>
      <c r="X173" s="6">
        <f>IF(ISERROR(VLOOKUP($U$173,'TAR FIN'!$A$1:$O$92,15,0)),0,VLOOKUP($U$173,'TAR FIN'!$A$1:$O$92,15,0))</f>
        <v>0</v>
      </c>
      <c r="Y173" s="6"/>
      <c r="Z173" s="6">
        <f ca="1">('TUSD BE'!$AM$15+'TUSD BF_350'!$AM$15+'TUSD CVA'!$AM$15)*1</f>
        <v>911.84</v>
      </c>
      <c r="AA173" s="6"/>
      <c r="AB173" s="6">
        <f>$K$173*$V$173</f>
        <v>0</v>
      </c>
      <c r="AC173" s="6">
        <f>$M$173*$W$173</f>
        <v>115005.17530501507</v>
      </c>
      <c r="AD173" s="6">
        <f>$O$173*$X$173</f>
        <v>0</v>
      </c>
      <c r="AE173" s="6">
        <f>$K$173*$Y$173</f>
        <v>0</v>
      </c>
      <c r="AF173" s="6">
        <f ca="1">$M$173*$Z$173</f>
        <v>132806.05740751873</v>
      </c>
      <c r="AG173" s="6">
        <f>$O$173*$AA$173</f>
        <v>0</v>
      </c>
    </row>
    <row r="174" spans="1:33" ht="11.25" customHeight="1" x14ac:dyDescent="0.3">
      <c r="A174" s="4" t="s">
        <v>21</v>
      </c>
      <c r="B174" s="4" t="s">
        <v>34</v>
      </c>
      <c r="C174" s="4" t="s">
        <v>35</v>
      </c>
      <c r="D174" s="4" t="s">
        <v>33</v>
      </c>
      <c r="E174" s="4" t="s">
        <v>25</v>
      </c>
      <c r="F174" s="4" t="s">
        <v>55</v>
      </c>
      <c r="G174" s="4" t="s">
        <v>25</v>
      </c>
      <c r="H174" s="4" t="s">
        <v>36</v>
      </c>
      <c r="I174" s="5">
        <v>44531</v>
      </c>
      <c r="J174" s="6">
        <v>0</v>
      </c>
      <c r="K174" s="6">
        <v>0</v>
      </c>
      <c r="L174" s="6">
        <v>248.25200000000001</v>
      </c>
      <c r="M174" s="6">
        <v>125.5233980954</v>
      </c>
      <c r="N174" s="6">
        <v>0</v>
      </c>
      <c r="O174" s="6">
        <v>0</v>
      </c>
      <c r="P174" s="6">
        <v>0</v>
      </c>
      <c r="Q174" s="4" t="s">
        <v>56</v>
      </c>
      <c r="R174" s="4">
        <v>0</v>
      </c>
      <c r="S174" s="6">
        <v>0</v>
      </c>
      <c r="T174" s="6">
        <v>21</v>
      </c>
      <c r="U174" s="6">
        <v>0</v>
      </c>
      <c r="V174" s="6">
        <f>IF(ISERROR(VLOOKUP($S$174,'TAR FIN'!$A$1:$O$92,15,0)),0,VLOOKUP($S$174,'TAR FIN'!$A$1:$O$92,15,0))</f>
        <v>0</v>
      </c>
      <c r="W174" s="6">
        <f>IF(ISERROR(VLOOKUP($T$174,'TAR FIN'!$A$1:$O$92,15,0)),0,VLOOKUP($T$174,'TAR FIN'!$A$1:$O$92,15,0))</f>
        <v>789.62</v>
      </c>
      <c r="X174" s="6">
        <f>IF(ISERROR(VLOOKUP($U$174,'TAR FIN'!$A$1:$O$92,15,0)),0,VLOOKUP($U$174,'TAR FIN'!$A$1:$O$92,15,0))</f>
        <v>0</v>
      </c>
      <c r="Y174" s="6"/>
      <c r="Z174" s="6">
        <f ca="1">('TUSD BE'!$AM$15+'TUSD BF_350'!$AM$15+'TUSD CVA'!$AM$15)*1</f>
        <v>911.84</v>
      </c>
      <c r="AA174" s="6"/>
      <c r="AB174" s="6">
        <f>$K$174*$V$174</f>
        <v>0</v>
      </c>
      <c r="AC174" s="6">
        <f>$M$174*$W$174</f>
        <v>99115.785604089746</v>
      </c>
      <c r="AD174" s="6">
        <f>$O$174*$X$174</f>
        <v>0</v>
      </c>
      <c r="AE174" s="6">
        <f>$K$174*$Y$174</f>
        <v>0</v>
      </c>
      <c r="AF174" s="6">
        <f ca="1">$M$174*$Z$174</f>
        <v>114457.25531930954</v>
      </c>
      <c r="AG174" s="6">
        <f>$O$174*$AA$174</f>
        <v>0</v>
      </c>
    </row>
    <row r="175" spans="1:33" ht="11.25" customHeight="1" x14ac:dyDescent="0.3">
      <c r="A175" s="4" t="s">
        <v>21</v>
      </c>
      <c r="B175" s="4" t="s">
        <v>34</v>
      </c>
      <c r="C175" s="4" t="s">
        <v>35</v>
      </c>
      <c r="D175" s="4" t="s">
        <v>33</v>
      </c>
      <c r="E175" s="4" t="s">
        <v>25</v>
      </c>
      <c r="F175" s="4" t="s">
        <v>55</v>
      </c>
      <c r="G175" s="4" t="s">
        <v>25</v>
      </c>
      <c r="H175" s="4" t="s">
        <v>36</v>
      </c>
      <c r="I175" s="5">
        <v>44562</v>
      </c>
      <c r="J175" s="6">
        <v>0</v>
      </c>
      <c r="K175" s="6">
        <v>0</v>
      </c>
      <c r="L175" s="6">
        <v>230.46899999999999</v>
      </c>
      <c r="M175" s="6">
        <v>116.43120336843</v>
      </c>
      <c r="N175" s="6">
        <v>0</v>
      </c>
      <c r="O175" s="6">
        <v>0</v>
      </c>
      <c r="P175" s="6">
        <v>0</v>
      </c>
      <c r="Q175" s="4" t="s">
        <v>56</v>
      </c>
      <c r="R175" s="4">
        <v>0</v>
      </c>
      <c r="S175" s="6">
        <v>0</v>
      </c>
      <c r="T175" s="6">
        <v>21</v>
      </c>
      <c r="U175" s="6">
        <v>0</v>
      </c>
      <c r="V175" s="6">
        <f>IF(ISERROR(VLOOKUP($S$175,'TAR FIN'!$A$1:$O$92,15,0)),0,VLOOKUP($S$175,'TAR FIN'!$A$1:$O$92,15,0))</f>
        <v>0</v>
      </c>
      <c r="W175" s="6">
        <f>IF(ISERROR(VLOOKUP($T$175,'TAR FIN'!$A$1:$O$92,15,0)),0,VLOOKUP($T$175,'TAR FIN'!$A$1:$O$92,15,0))</f>
        <v>789.62</v>
      </c>
      <c r="X175" s="6">
        <f>IF(ISERROR(VLOOKUP($U$175,'TAR FIN'!$A$1:$O$92,15,0)),0,VLOOKUP($U$175,'TAR FIN'!$A$1:$O$92,15,0))</f>
        <v>0</v>
      </c>
      <c r="Y175" s="6"/>
      <c r="Z175" s="6">
        <f ca="1">('TUSD BE'!$AM$15+'TUSD BF_350'!$AM$15+'TUSD CVA'!$AM$15)*1</f>
        <v>911.84</v>
      </c>
      <c r="AA175" s="6"/>
      <c r="AB175" s="6">
        <f>$K$175*$V$175</f>
        <v>0</v>
      </c>
      <c r="AC175" s="6">
        <f>$M$175*$W$175</f>
        <v>91936.406803779697</v>
      </c>
      <c r="AD175" s="6">
        <f>$O$175*$X$175</f>
        <v>0</v>
      </c>
      <c r="AE175" s="6">
        <f>$K$175*$Y$175</f>
        <v>0</v>
      </c>
      <c r="AF175" s="6">
        <f ca="1">$M$175*$Z$175</f>
        <v>106166.62847946922</v>
      </c>
      <c r="AG175" s="6">
        <f>$O$175*$AA$175</f>
        <v>0</v>
      </c>
    </row>
    <row r="176" spans="1:33" ht="11.25" customHeight="1" x14ac:dyDescent="0.3">
      <c r="A176" s="4" t="s">
        <v>21</v>
      </c>
      <c r="B176" s="4" t="s">
        <v>34</v>
      </c>
      <c r="C176" s="4" t="s">
        <v>35</v>
      </c>
      <c r="D176" s="4" t="s">
        <v>33</v>
      </c>
      <c r="E176" s="4" t="s">
        <v>25</v>
      </c>
      <c r="F176" s="4" t="s">
        <v>55</v>
      </c>
      <c r="G176" s="4" t="s">
        <v>25</v>
      </c>
      <c r="H176" s="4" t="s">
        <v>36</v>
      </c>
      <c r="I176" s="5">
        <v>44593</v>
      </c>
      <c r="J176" s="6">
        <v>0</v>
      </c>
      <c r="K176" s="6">
        <v>0</v>
      </c>
      <c r="L176" s="6">
        <v>228.01300000000001</v>
      </c>
      <c r="M176" s="6">
        <v>115.24984120822</v>
      </c>
      <c r="N176" s="6">
        <v>0</v>
      </c>
      <c r="O176" s="6">
        <v>0</v>
      </c>
      <c r="P176" s="6">
        <v>0</v>
      </c>
      <c r="Q176" s="4" t="s">
        <v>56</v>
      </c>
      <c r="R176" s="4">
        <v>0</v>
      </c>
      <c r="S176" s="6">
        <v>0</v>
      </c>
      <c r="T176" s="6">
        <v>21</v>
      </c>
      <c r="U176" s="6">
        <v>0</v>
      </c>
      <c r="V176" s="6">
        <f>IF(ISERROR(VLOOKUP($S$176,'TAR FIN'!$A$1:$O$92,15,0)),0,VLOOKUP($S$176,'TAR FIN'!$A$1:$O$92,15,0))</f>
        <v>0</v>
      </c>
      <c r="W176" s="6">
        <f>IF(ISERROR(VLOOKUP($T$176,'TAR FIN'!$A$1:$O$92,15,0)),0,VLOOKUP($T$176,'TAR FIN'!$A$1:$O$92,15,0))</f>
        <v>789.62</v>
      </c>
      <c r="X176" s="6">
        <f>IF(ISERROR(VLOOKUP($U$176,'TAR FIN'!$A$1:$O$92,15,0)),0,VLOOKUP($U$176,'TAR FIN'!$A$1:$O$92,15,0))</f>
        <v>0</v>
      </c>
      <c r="Y176" s="6"/>
      <c r="Z176" s="6">
        <f ca="1">('TUSD BE'!$AM$15+'TUSD BF_350'!$AM$15+'TUSD CVA'!$AM$15)*1</f>
        <v>911.84</v>
      </c>
      <c r="AA176" s="6"/>
      <c r="AB176" s="6">
        <f>$K$176*$V$176</f>
        <v>0</v>
      </c>
      <c r="AC176" s="6">
        <f>$M$176*$W$176</f>
        <v>91003.579614834685</v>
      </c>
      <c r="AD176" s="6">
        <f>$O$176*$X$176</f>
        <v>0</v>
      </c>
      <c r="AE176" s="6">
        <f>$K$176*$Y$176</f>
        <v>0</v>
      </c>
      <c r="AF176" s="6">
        <f ca="1">$M$176*$Z$176</f>
        <v>105089.41520730333</v>
      </c>
      <c r="AG176" s="6">
        <f>$O$176*$AA$176</f>
        <v>0</v>
      </c>
    </row>
    <row r="177" spans="1:33" ht="11.25" customHeight="1" x14ac:dyDescent="0.3">
      <c r="A177" s="4" t="s">
        <v>21</v>
      </c>
      <c r="B177" s="4" t="s">
        <v>34</v>
      </c>
      <c r="C177" s="4" t="s">
        <v>35</v>
      </c>
      <c r="D177" s="4" t="s">
        <v>33</v>
      </c>
      <c r="E177" s="4" t="s">
        <v>25</v>
      </c>
      <c r="F177" s="4" t="s">
        <v>55</v>
      </c>
      <c r="G177" s="4" t="s">
        <v>25</v>
      </c>
      <c r="H177" s="4" t="s">
        <v>36</v>
      </c>
      <c r="I177" s="5">
        <v>44621</v>
      </c>
      <c r="J177" s="6">
        <v>0</v>
      </c>
      <c r="K177" s="6">
        <v>0</v>
      </c>
      <c r="L177" s="6">
        <v>249.446</v>
      </c>
      <c r="M177" s="6">
        <v>126.737027004</v>
      </c>
      <c r="N177" s="6">
        <v>0</v>
      </c>
      <c r="O177" s="6">
        <v>0</v>
      </c>
      <c r="P177" s="6">
        <v>0</v>
      </c>
      <c r="Q177" s="4" t="s">
        <v>56</v>
      </c>
      <c r="R177" s="4">
        <v>0</v>
      </c>
      <c r="S177" s="6">
        <v>0</v>
      </c>
      <c r="T177" s="6">
        <v>21</v>
      </c>
      <c r="U177" s="6">
        <v>0</v>
      </c>
      <c r="V177" s="6">
        <f>IF(ISERROR(VLOOKUP($S$177,'TAR FIN'!$A$1:$O$92,15,0)),0,VLOOKUP($S$177,'TAR FIN'!$A$1:$O$92,15,0))</f>
        <v>0</v>
      </c>
      <c r="W177" s="6">
        <f>IF(ISERROR(VLOOKUP($T$177,'TAR FIN'!$A$1:$O$92,15,0)),0,VLOOKUP($T$177,'TAR FIN'!$A$1:$O$92,15,0))</f>
        <v>789.62</v>
      </c>
      <c r="X177" s="6">
        <f>IF(ISERROR(VLOOKUP($U$177,'TAR FIN'!$A$1:$O$92,15,0)),0,VLOOKUP($U$177,'TAR FIN'!$A$1:$O$92,15,0))</f>
        <v>0</v>
      </c>
      <c r="Y177" s="6"/>
      <c r="Z177" s="6">
        <f ca="1">('TUSD BE'!$AM$15+'TUSD BF_350'!$AM$15+'TUSD CVA'!$AM$15)*1</f>
        <v>911.84</v>
      </c>
      <c r="AA177" s="6"/>
      <c r="AB177" s="6">
        <f>$K$177*$V$177</f>
        <v>0</v>
      </c>
      <c r="AC177" s="6">
        <f>$M$177*$W$177</f>
        <v>100074.09126289848</v>
      </c>
      <c r="AD177" s="6">
        <f>$O$177*$X$177</f>
        <v>0</v>
      </c>
      <c r="AE177" s="6">
        <f>$K$177*$Y$177</f>
        <v>0</v>
      </c>
      <c r="AF177" s="6">
        <f ca="1">$M$177*$Z$177</f>
        <v>115563.89070332736</v>
      </c>
      <c r="AG177" s="6">
        <f>$O$177*$AA$177</f>
        <v>0</v>
      </c>
    </row>
    <row r="178" spans="1:33" ht="11.25" customHeight="1" x14ac:dyDescent="0.3">
      <c r="A178" s="4" t="s">
        <v>21</v>
      </c>
      <c r="B178" s="4" t="s">
        <v>34</v>
      </c>
      <c r="C178" s="4" t="s">
        <v>35</v>
      </c>
      <c r="D178" s="4" t="s">
        <v>33</v>
      </c>
      <c r="E178" s="4" t="s">
        <v>25</v>
      </c>
      <c r="F178" s="4" t="s">
        <v>55</v>
      </c>
      <c r="G178" s="4" t="s">
        <v>25</v>
      </c>
      <c r="H178" s="4" t="s">
        <v>36</v>
      </c>
      <c r="I178" s="5">
        <v>44652</v>
      </c>
      <c r="J178" s="6">
        <v>0</v>
      </c>
      <c r="K178" s="6">
        <v>0</v>
      </c>
      <c r="L178" s="6">
        <v>214.226</v>
      </c>
      <c r="M178" s="6">
        <v>108.15031656815999</v>
      </c>
      <c r="N178" s="6">
        <v>0</v>
      </c>
      <c r="O178" s="6">
        <v>0</v>
      </c>
      <c r="P178" s="6">
        <v>0</v>
      </c>
      <c r="Q178" s="4" t="s">
        <v>56</v>
      </c>
      <c r="R178" s="4">
        <v>0</v>
      </c>
      <c r="S178" s="6">
        <v>0</v>
      </c>
      <c r="T178" s="6">
        <v>21</v>
      </c>
      <c r="U178" s="6">
        <v>0</v>
      </c>
      <c r="V178" s="6">
        <f>IF(ISERROR(VLOOKUP($S$178,'TAR FIN'!$A$1:$O$92,15,0)),0,VLOOKUP($S$178,'TAR FIN'!$A$1:$O$92,15,0))</f>
        <v>0</v>
      </c>
      <c r="W178" s="6">
        <f>IF(ISERROR(VLOOKUP($T$178,'TAR FIN'!$A$1:$O$92,15,0)),0,VLOOKUP($T$178,'TAR FIN'!$A$1:$O$92,15,0))</f>
        <v>789.62</v>
      </c>
      <c r="X178" s="6">
        <f>IF(ISERROR(VLOOKUP($U$178,'TAR FIN'!$A$1:$O$92,15,0)),0,VLOOKUP($U$178,'TAR FIN'!$A$1:$O$92,15,0))</f>
        <v>0</v>
      </c>
      <c r="Y178" s="6"/>
      <c r="Z178" s="6">
        <f ca="1">('TUSD BE'!$AM$15+'TUSD BF_350'!$AM$15+'TUSD CVA'!$AM$15)*1</f>
        <v>911.84</v>
      </c>
      <c r="AA178" s="6"/>
      <c r="AB178" s="6">
        <f>$K$178*$V$178</f>
        <v>0</v>
      </c>
      <c r="AC178" s="6">
        <f>$M$178*$W$178</f>
        <v>85397.652968550494</v>
      </c>
      <c r="AD178" s="6">
        <f>$O$178*$X$178</f>
        <v>0</v>
      </c>
      <c r="AE178" s="6">
        <f>$K$178*$Y$178</f>
        <v>0</v>
      </c>
      <c r="AF178" s="6">
        <f ca="1">$M$178*$Z$178</f>
        <v>98615.784659511017</v>
      </c>
      <c r="AG178" s="6">
        <f>$O$178*$AA$178</f>
        <v>0</v>
      </c>
    </row>
    <row r="179" spans="1:33" ht="11.25" customHeight="1" x14ac:dyDescent="0.3">
      <c r="A179" s="4" t="s">
        <v>21</v>
      </c>
      <c r="B179" s="4" t="s">
        <v>34</v>
      </c>
      <c r="C179" s="4" t="s">
        <v>35</v>
      </c>
      <c r="D179" s="4" t="s">
        <v>33</v>
      </c>
      <c r="E179" s="4" t="s">
        <v>25</v>
      </c>
      <c r="F179" s="4" t="s">
        <v>55</v>
      </c>
      <c r="G179" s="4" t="s">
        <v>25</v>
      </c>
      <c r="H179" s="4" t="s">
        <v>36</v>
      </c>
      <c r="I179" s="5">
        <v>44682</v>
      </c>
      <c r="J179" s="6">
        <v>0</v>
      </c>
      <c r="K179" s="6">
        <v>0</v>
      </c>
      <c r="L179" s="6">
        <v>257.37099999999998</v>
      </c>
      <c r="M179" s="6">
        <v>130.17359853232</v>
      </c>
      <c r="N179" s="6">
        <v>0</v>
      </c>
      <c r="O179" s="6">
        <v>0</v>
      </c>
      <c r="P179" s="6">
        <v>0</v>
      </c>
      <c r="Q179" s="4" t="s">
        <v>56</v>
      </c>
      <c r="R179" s="4">
        <v>0</v>
      </c>
      <c r="S179" s="6">
        <v>0</v>
      </c>
      <c r="T179" s="6">
        <v>21</v>
      </c>
      <c r="U179" s="6">
        <v>0</v>
      </c>
      <c r="V179" s="6">
        <f>IF(ISERROR(VLOOKUP($S$179,'TAR FIN'!$A$1:$O$92,15,0)),0,VLOOKUP($S$179,'TAR FIN'!$A$1:$O$92,15,0))</f>
        <v>0</v>
      </c>
      <c r="W179" s="6">
        <f>IF(ISERROR(VLOOKUP($T$179,'TAR FIN'!$A$1:$O$92,15,0)),0,VLOOKUP($T$179,'TAR FIN'!$A$1:$O$92,15,0))</f>
        <v>789.62</v>
      </c>
      <c r="X179" s="6">
        <f>IF(ISERROR(VLOOKUP($U$179,'TAR FIN'!$A$1:$O$92,15,0)),0,VLOOKUP($U$179,'TAR FIN'!$A$1:$O$92,15,0))</f>
        <v>0</v>
      </c>
      <c r="Y179" s="6"/>
      <c r="Z179" s="6">
        <f ca="1">('TUSD BE'!$AM$15+'TUSD BF_350'!$AM$15+'TUSD CVA'!$AM$15)*1</f>
        <v>911.84</v>
      </c>
      <c r="AA179" s="6"/>
      <c r="AB179" s="6">
        <f>$K$179*$V$179</f>
        <v>0</v>
      </c>
      <c r="AC179" s="6">
        <f>$M$179*$W$179</f>
        <v>102787.67687309052</v>
      </c>
      <c r="AD179" s="6">
        <f>$O$179*$X$179</f>
        <v>0</v>
      </c>
      <c r="AE179" s="6">
        <f>$K$179*$Y$179</f>
        <v>0</v>
      </c>
      <c r="AF179" s="6">
        <f ca="1">$M$179*$Z$179</f>
        <v>118697.49408571067</v>
      </c>
      <c r="AG179" s="6">
        <f>$O$179*$AA$179</f>
        <v>0</v>
      </c>
    </row>
    <row r="180" spans="1:33" ht="11.25" customHeight="1" x14ac:dyDescent="0.3">
      <c r="A180" s="4" t="s">
        <v>21</v>
      </c>
      <c r="B180" s="4" t="s">
        <v>34</v>
      </c>
      <c r="C180" s="4" t="s">
        <v>35</v>
      </c>
      <c r="D180" s="4" t="s">
        <v>33</v>
      </c>
      <c r="E180" s="4" t="s">
        <v>25</v>
      </c>
      <c r="F180" s="4" t="s">
        <v>55</v>
      </c>
      <c r="G180" s="4" t="s">
        <v>25</v>
      </c>
      <c r="H180" s="4" t="s">
        <v>36</v>
      </c>
      <c r="I180" s="5">
        <v>44713</v>
      </c>
      <c r="J180" s="6">
        <v>0</v>
      </c>
      <c r="K180" s="6">
        <v>0</v>
      </c>
      <c r="L180" s="6">
        <v>251.95477</v>
      </c>
      <c r="M180" s="6">
        <v>128.185312520916</v>
      </c>
      <c r="N180" s="6">
        <v>0</v>
      </c>
      <c r="O180" s="6">
        <v>0</v>
      </c>
      <c r="P180" s="6">
        <v>0</v>
      </c>
      <c r="Q180" s="4" t="s">
        <v>56</v>
      </c>
      <c r="R180" s="4">
        <v>0</v>
      </c>
      <c r="S180" s="6">
        <v>0</v>
      </c>
      <c r="T180" s="6">
        <v>21</v>
      </c>
      <c r="U180" s="6">
        <v>0</v>
      </c>
      <c r="V180" s="6">
        <f>IF(ISERROR(VLOOKUP($S$180,'TAR FIN'!$A$1:$O$92,15,0)),0,VLOOKUP($S$180,'TAR FIN'!$A$1:$O$92,15,0))</f>
        <v>0</v>
      </c>
      <c r="W180" s="6">
        <f>IF(ISERROR(VLOOKUP($T$180,'TAR FIN'!$A$1:$O$92,15,0)),0,VLOOKUP($T$180,'TAR FIN'!$A$1:$O$92,15,0))</f>
        <v>789.62</v>
      </c>
      <c r="X180" s="6">
        <f>IF(ISERROR(VLOOKUP($U$180,'TAR FIN'!$A$1:$O$92,15,0)),0,VLOOKUP($U$180,'TAR FIN'!$A$1:$O$92,15,0))</f>
        <v>0</v>
      </c>
      <c r="Y180" s="6"/>
      <c r="Z180" s="6">
        <f ca="1">('TUSD BE'!$AM$15+'TUSD BF_350'!$AM$15+'TUSD CVA'!$AM$15)*1</f>
        <v>911.84</v>
      </c>
      <c r="AA180" s="6"/>
      <c r="AB180" s="6">
        <f>$K$180*$V$180</f>
        <v>0</v>
      </c>
      <c r="AC180" s="6">
        <f>$M$180*$W$180</f>
        <v>101217.68647276569</v>
      </c>
      <c r="AD180" s="6">
        <f>$O$180*$X$180</f>
        <v>0</v>
      </c>
      <c r="AE180" s="6">
        <f>$K$180*$Y$180</f>
        <v>0</v>
      </c>
      <c r="AF180" s="6">
        <f ca="1">$M$180*$Z$180</f>
        <v>116884.49536907204</v>
      </c>
      <c r="AG180" s="6">
        <f>$O$180*$AA$180</f>
        <v>0</v>
      </c>
    </row>
    <row r="181" spans="1:33" ht="11.25" customHeight="1" x14ac:dyDescent="0.3">
      <c r="A181" s="4" t="s">
        <v>21</v>
      </c>
      <c r="B181" s="4" t="s">
        <v>34</v>
      </c>
      <c r="C181" s="4" t="s">
        <v>35</v>
      </c>
      <c r="D181" s="4" t="s">
        <v>33</v>
      </c>
      <c r="E181" s="4" t="s">
        <v>25</v>
      </c>
      <c r="F181" s="4" t="s">
        <v>55</v>
      </c>
      <c r="G181" s="4" t="s">
        <v>25</v>
      </c>
      <c r="H181" s="4" t="s">
        <v>36</v>
      </c>
      <c r="I181" s="5">
        <v>44743</v>
      </c>
      <c r="J181" s="6">
        <v>0</v>
      </c>
      <c r="K181" s="6">
        <v>0</v>
      </c>
      <c r="L181" s="6">
        <v>246.23115999999999</v>
      </c>
      <c r="M181" s="6">
        <v>124.163633384801</v>
      </c>
      <c r="N181" s="6">
        <v>0</v>
      </c>
      <c r="O181" s="6">
        <v>0</v>
      </c>
      <c r="P181" s="6">
        <v>0</v>
      </c>
      <c r="Q181" s="4" t="s">
        <v>56</v>
      </c>
      <c r="R181" s="4">
        <v>0</v>
      </c>
      <c r="S181" s="6">
        <v>0</v>
      </c>
      <c r="T181" s="6">
        <v>21</v>
      </c>
      <c r="U181" s="6">
        <v>0</v>
      </c>
      <c r="V181" s="6">
        <f>IF(ISERROR(VLOOKUP($S$181,'TAR FIN'!$A$1:$O$92,15,0)),0,VLOOKUP($S$181,'TAR FIN'!$A$1:$O$92,15,0))</f>
        <v>0</v>
      </c>
      <c r="W181" s="6">
        <f>IF(ISERROR(VLOOKUP($T$181,'TAR FIN'!$A$1:$O$92,15,0)),0,VLOOKUP($T$181,'TAR FIN'!$A$1:$O$92,15,0))</f>
        <v>789.62</v>
      </c>
      <c r="X181" s="6">
        <f>IF(ISERROR(VLOOKUP($U$181,'TAR FIN'!$A$1:$O$92,15,0)),0,VLOOKUP($U$181,'TAR FIN'!$A$1:$O$92,15,0))</f>
        <v>0</v>
      </c>
      <c r="Y181" s="6"/>
      <c r="Z181" s="6">
        <f ca="1">('TUSD BE'!$AM$15+'TUSD BF_350'!$AM$15+'TUSD CVA'!$AM$15)*1</f>
        <v>911.84</v>
      </c>
      <c r="AA181" s="6"/>
      <c r="AB181" s="6">
        <f>$K$181*$V$181</f>
        <v>0</v>
      </c>
      <c r="AC181" s="6">
        <f>$M$181*$W$181</f>
        <v>98042.088193306568</v>
      </c>
      <c r="AD181" s="6">
        <f>$O$181*$X$181</f>
        <v>0</v>
      </c>
      <c r="AE181" s="6">
        <f>$K$181*$Y$181</f>
        <v>0</v>
      </c>
      <c r="AF181" s="6">
        <f ca="1">$M$181*$Z$181</f>
        <v>113217.36746559695</v>
      </c>
      <c r="AG181" s="6">
        <f>$O$181*$AA$181</f>
        <v>0</v>
      </c>
    </row>
    <row r="182" spans="1:33" ht="11.25" customHeight="1" x14ac:dyDescent="0.3">
      <c r="A182" s="4" t="s">
        <v>21</v>
      </c>
      <c r="B182" s="4" t="s">
        <v>34</v>
      </c>
      <c r="C182" s="4" t="s">
        <v>35</v>
      </c>
      <c r="D182" s="4" t="s">
        <v>33</v>
      </c>
      <c r="E182" s="4" t="s">
        <v>25</v>
      </c>
      <c r="F182" s="4" t="s">
        <v>25</v>
      </c>
      <c r="G182" s="4" t="s">
        <v>25</v>
      </c>
      <c r="H182" s="4" t="s">
        <v>37</v>
      </c>
      <c r="I182" s="5">
        <v>44409</v>
      </c>
      <c r="J182" s="6">
        <v>0</v>
      </c>
      <c r="K182" s="6">
        <v>0</v>
      </c>
      <c r="L182" s="6">
        <v>187.76761999999999</v>
      </c>
      <c r="M182" s="6">
        <v>187.76761999999999</v>
      </c>
      <c r="N182" s="6">
        <v>187.76761999999999</v>
      </c>
      <c r="O182" s="6">
        <v>187.76761999999999</v>
      </c>
      <c r="P182" s="6">
        <v>0</v>
      </c>
      <c r="Q182" s="4" t="s">
        <v>26</v>
      </c>
      <c r="R182" s="4">
        <v>0</v>
      </c>
      <c r="S182" s="6">
        <v>0</v>
      </c>
      <c r="T182" s="6">
        <v>22</v>
      </c>
      <c r="U182" s="6">
        <v>84</v>
      </c>
      <c r="V182" s="6">
        <f>IF(ISERROR(VLOOKUP($S$182,'TAR FIN'!$A$1:$O$92,15,0)),0,VLOOKUP($S$182,'TAR FIN'!$A$1:$O$92,15,0))</f>
        <v>0</v>
      </c>
      <c r="W182" s="6">
        <f>IF(ISERROR(VLOOKUP($T$182,'TAR FIN'!$A$1:$O$92,15,0)),0,VLOOKUP($T$182,'TAR FIN'!$A$1:$O$92,15,0))</f>
        <v>73.28</v>
      </c>
      <c r="X182" s="6">
        <f>IF(ISERROR(VLOOKUP($U$182,'TAR FIN'!$A$1:$O$92,15,0)),0,VLOOKUP($U$182,'TAR FIN'!$A$1:$O$92,15,0))</f>
        <v>286.76</v>
      </c>
      <c r="Y182" s="6"/>
      <c r="Z182" s="6">
        <f ca="1">('TUSD BE'!$AM$16+'TUSD BF_350'!$AM$16+'TUSD CVA'!$AM$16)*1</f>
        <v>126.25</v>
      </c>
      <c r="AA182" s="6">
        <f ca="1">('TE BE'!$AB$8+'TE BF_350'!$AB$8+'TE CVA'!$AB$8)*1</f>
        <v>250.03999999999996</v>
      </c>
      <c r="AB182" s="6">
        <f>$K$182*$V$182</f>
        <v>0</v>
      </c>
      <c r="AC182" s="6">
        <f>$M$182*$W$182</f>
        <v>13759.6111936</v>
      </c>
      <c r="AD182" s="6">
        <f>$O$182*$X$182</f>
        <v>53844.242711199993</v>
      </c>
      <c r="AE182" s="6">
        <f>$K$182*$Y$182</f>
        <v>0</v>
      </c>
      <c r="AF182" s="6">
        <f ca="1">$M$182*$Z$182</f>
        <v>23705.662024999998</v>
      </c>
      <c r="AG182" s="6">
        <f ca="1">$O$182*$AA$182</f>
        <v>46949.415704799991</v>
      </c>
    </row>
    <row r="183" spans="1:33" ht="11.25" customHeight="1" x14ac:dyDescent="0.3">
      <c r="A183" s="4" t="s">
        <v>27</v>
      </c>
      <c r="B183" s="4" t="s">
        <v>34</v>
      </c>
      <c r="C183" s="4" t="s">
        <v>35</v>
      </c>
      <c r="D183" s="4" t="s">
        <v>33</v>
      </c>
      <c r="E183" s="4" t="s">
        <v>25</v>
      </c>
      <c r="F183" s="4" t="s">
        <v>25</v>
      </c>
      <c r="G183" s="4" t="s">
        <v>25</v>
      </c>
      <c r="H183" s="4" t="s">
        <v>37</v>
      </c>
      <c r="I183" s="5">
        <v>44409</v>
      </c>
      <c r="J183" s="6">
        <v>0</v>
      </c>
      <c r="K183" s="6">
        <v>0</v>
      </c>
      <c r="L183" s="6">
        <v>32.51632</v>
      </c>
      <c r="M183" s="6">
        <v>32.51632</v>
      </c>
      <c r="N183" s="6">
        <v>32.51632</v>
      </c>
      <c r="O183" s="6">
        <v>32.51632</v>
      </c>
      <c r="P183" s="6">
        <v>0</v>
      </c>
      <c r="Q183" s="4" t="s">
        <v>26</v>
      </c>
      <c r="R183" s="4">
        <v>0</v>
      </c>
      <c r="S183" s="6">
        <v>0</v>
      </c>
      <c r="T183" s="6">
        <v>22</v>
      </c>
      <c r="U183" s="6">
        <v>84</v>
      </c>
      <c r="V183" s="6">
        <f>IF(ISERROR(VLOOKUP($S$183,'TAR FIN'!$A$1:$O$92,15,0)),0,VLOOKUP($S$183,'TAR FIN'!$A$1:$O$92,15,0))</f>
        <v>0</v>
      </c>
      <c r="W183" s="6">
        <f>IF(ISERROR(VLOOKUP($T$183,'TAR FIN'!$A$1:$O$92,15,0)),0,VLOOKUP($T$183,'TAR FIN'!$A$1:$O$92,15,0))</f>
        <v>73.28</v>
      </c>
      <c r="X183" s="6">
        <f>IF(ISERROR(VLOOKUP($U$183,'TAR FIN'!$A$1:$O$92,15,0)),0,VLOOKUP($U$183,'TAR FIN'!$A$1:$O$92,15,0))</f>
        <v>286.76</v>
      </c>
      <c r="Y183" s="6"/>
      <c r="Z183" s="6">
        <f ca="1">('TUSD BE'!$AM$16+'TUSD BF_350'!$AM$16+'TUSD CVA'!$AM$16)*1</f>
        <v>126.25</v>
      </c>
      <c r="AA183" s="6">
        <f ca="1">('TE BE'!$AB$8+'TE BF_350'!$AB$8+'TE CVA'!$AB$8)*1</f>
        <v>250.03999999999996</v>
      </c>
      <c r="AB183" s="6">
        <f>$K$183*$V$183</f>
        <v>0</v>
      </c>
      <c r="AC183" s="6">
        <f>$M$183*$W$183</f>
        <v>2382.7959295999999</v>
      </c>
      <c r="AD183" s="6">
        <f>$O$183*$X$183</f>
        <v>9324.3799232000001</v>
      </c>
      <c r="AE183" s="6">
        <f>$K$183*$Y$183</f>
        <v>0</v>
      </c>
      <c r="AF183" s="6">
        <f ca="1">$M$183*$Z$183</f>
        <v>4105.1854000000003</v>
      </c>
      <c r="AG183" s="6">
        <f ca="1">$O$183*$AA$183</f>
        <v>8130.3806527999986</v>
      </c>
    </row>
    <row r="184" spans="1:33" ht="11.25" customHeight="1" x14ac:dyDescent="0.3">
      <c r="A184" s="4" t="s">
        <v>21</v>
      </c>
      <c r="B184" s="4" t="s">
        <v>34</v>
      </c>
      <c r="C184" s="4" t="s">
        <v>35</v>
      </c>
      <c r="D184" s="4" t="s">
        <v>33</v>
      </c>
      <c r="E184" s="4" t="s">
        <v>25</v>
      </c>
      <c r="F184" s="4" t="s">
        <v>25</v>
      </c>
      <c r="G184" s="4" t="s">
        <v>25</v>
      </c>
      <c r="H184" s="4" t="s">
        <v>37</v>
      </c>
      <c r="I184" s="5">
        <v>44440</v>
      </c>
      <c r="J184" s="6">
        <v>0</v>
      </c>
      <c r="K184" s="6">
        <v>0</v>
      </c>
      <c r="L184" s="6">
        <v>186.911</v>
      </c>
      <c r="M184" s="6">
        <v>186.911</v>
      </c>
      <c r="N184" s="6">
        <v>186.911</v>
      </c>
      <c r="O184" s="6">
        <v>186.911</v>
      </c>
      <c r="P184" s="6">
        <v>0</v>
      </c>
      <c r="Q184" s="4" t="s">
        <v>26</v>
      </c>
      <c r="R184" s="4">
        <v>0</v>
      </c>
      <c r="S184" s="6">
        <v>0</v>
      </c>
      <c r="T184" s="6">
        <v>22</v>
      </c>
      <c r="U184" s="6">
        <v>84</v>
      </c>
      <c r="V184" s="6">
        <f>IF(ISERROR(VLOOKUP($S$184,'TAR FIN'!$A$1:$O$92,15,0)),0,VLOOKUP($S$184,'TAR FIN'!$A$1:$O$92,15,0))</f>
        <v>0</v>
      </c>
      <c r="W184" s="6">
        <f>IF(ISERROR(VLOOKUP($T$184,'TAR FIN'!$A$1:$O$92,15,0)),0,VLOOKUP($T$184,'TAR FIN'!$A$1:$O$92,15,0))</f>
        <v>73.28</v>
      </c>
      <c r="X184" s="6">
        <f>IF(ISERROR(VLOOKUP($U$184,'TAR FIN'!$A$1:$O$92,15,0)),0,VLOOKUP($U$184,'TAR FIN'!$A$1:$O$92,15,0))</f>
        <v>286.76</v>
      </c>
      <c r="Y184" s="6"/>
      <c r="Z184" s="6">
        <f ca="1">('TUSD BE'!$AM$16+'TUSD BF_350'!$AM$16+'TUSD CVA'!$AM$16)*1</f>
        <v>126.25</v>
      </c>
      <c r="AA184" s="6">
        <f ca="1">('TE BE'!$AB$8+'TE BF_350'!$AB$8+'TE CVA'!$AB$8)*1</f>
        <v>250.03999999999996</v>
      </c>
      <c r="AB184" s="6">
        <f>$K$184*$V$184</f>
        <v>0</v>
      </c>
      <c r="AC184" s="6">
        <f>$M$184*$W$184</f>
        <v>13696.83808</v>
      </c>
      <c r="AD184" s="6">
        <f>$O$184*$X$184</f>
        <v>53598.598359999996</v>
      </c>
      <c r="AE184" s="6">
        <f>$K$184*$Y$184</f>
        <v>0</v>
      </c>
      <c r="AF184" s="6">
        <f ca="1">$M$184*$Z$184</f>
        <v>23597.513750000002</v>
      </c>
      <c r="AG184" s="6">
        <f ca="1">$O$184*$AA$184</f>
        <v>46735.226439999991</v>
      </c>
    </row>
    <row r="185" spans="1:33" ht="11.25" customHeight="1" x14ac:dyDescent="0.3">
      <c r="A185" s="4" t="s">
        <v>27</v>
      </c>
      <c r="B185" s="4" t="s">
        <v>34</v>
      </c>
      <c r="C185" s="4" t="s">
        <v>35</v>
      </c>
      <c r="D185" s="4" t="s">
        <v>33</v>
      </c>
      <c r="E185" s="4" t="s">
        <v>25</v>
      </c>
      <c r="F185" s="4" t="s">
        <v>25</v>
      </c>
      <c r="G185" s="4" t="s">
        <v>25</v>
      </c>
      <c r="H185" s="4" t="s">
        <v>37</v>
      </c>
      <c r="I185" s="5">
        <v>44440</v>
      </c>
      <c r="J185" s="6">
        <v>0</v>
      </c>
      <c r="K185" s="6">
        <v>0</v>
      </c>
      <c r="L185" s="6">
        <v>22.265999999999998</v>
      </c>
      <c r="M185" s="6">
        <v>22.265999999999998</v>
      </c>
      <c r="N185" s="6">
        <v>22.265999999999998</v>
      </c>
      <c r="O185" s="6">
        <v>22.265999999999998</v>
      </c>
      <c r="P185" s="6">
        <v>0</v>
      </c>
      <c r="Q185" s="4" t="s">
        <v>26</v>
      </c>
      <c r="R185" s="4">
        <v>0</v>
      </c>
      <c r="S185" s="6">
        <v>0</v>
      </c>
      <c r="T185" s="6">
        <v>22</v>
      </c>
      <c r="U185" s="6">
        <v>84</v>
      </c>
      <c r="V185" s="6">
        <f>IF(ISERROR(VLOOKUP($S$185,'TAR FIN'!$A$1:$O$92,15,0)),0,VLOOKUP($S$185,'TAR FIN'!$A$1:$O$92,15,0))</f>
        <v>0</v>
      </c>
      <c r="W185" s="6">
        <f>IF(ISERROR(VLOOKUP($T$185,'TAR FIN'!$A$1:$O$92,15,0)),0,VLOOKUP($T$185,'TAR FIN'!$A$1:$O$92,15,0))</f>
        <v>73.28</v>
      </c>
      <c r="X185" s="6">
        <f>IF(ISERROR(VLOOKUP($U$185,'TAR FIN'!$A$1:$O$92,15,0)),0,VLOOKUP($U$185,'TAR FIN'!$A$1:$O$92,15,0))</f>
        <v>286.76</v>
      </c>
      <c r="Y185" s="6"/>
      <c r="Z185" s="6">
        <f ca="1">('TUSD BE'!$AM$16+'TUSD BF_350'!$AM$16+'TUSD CVA'!$AM$16)*1</f>
        <v>126.25</v>
      </c>
      <c r="AA185" s="6">
        <f ca="1">('TE BE'!$AB$8+'TE BF_350'!$AB$8+'TE CVA'!$AB$8)*1</f>
        <v>250.03999999999996</v>
      </c>
      <c r="AB185" s="6">
        <f>$K$185*$V$185</f>
        <v>0</v>
      </c>
      <c r="AC185" s="6">
        <f>$M$185*$W$185</f>
        <v>1631.65248</v>
      </c>
      <c r="AD185" s="6">
        <f>$O$185*$X$185</f>
        <v>6384.9981599999992</v>
      </c>
      <c r="AE185" s="6">
        <f>$K$185*$Y$185</f>
        <v>0</v>
      </c>
      <c r="AF185" s="6">
        <f ca="1">$M$185*$Z$185</f>
        <v>2811.0825</v>
      </c>
      <c r="AG185" s="6">
        <f ca="1">$O$185*$AA$185</f>
        <v>5567.3906399999987</v>
      </c>
    </row>
    <row r="186" spans="1:33" ht="11.25" customHeight="1" x14ac:dyDescent="0.3">
      <c r="A186" s="4" t="s">
        <v>21</v>
      </c>
      <c r="B186" s="4" t="s">
        <v>34</v>
      </c>
      <c r="C186" s="4" t="s">
        <v>35</v>
      </c>
      <c r="D186" s="4" t="s">
        <v>33</v>
      </c>
      <c r="E186" s="4" t="s">
        <v>25</v>
      </c>
      <c r="F186" s="4" t="s">
        <v>25</v>
      </c>
      <c r="G186" s="4" t="s">
        <v>25</v>
      </c>
      <c r="H186" s="4" t="s">
        <v>37</v>
      </c>
      <c r="I186" s="5">
        <v>44470</v>
      </c>
      <c r="J186" s="6">
        <v>0</v>
      </c>
      <c r="K186" s="6">
        <v>0</v>
      </c>
      <c r="L186" s="6">
        <v>177.922</v>
      </c>
      <c r="M186" s="6">
        <v>177.922</v>
      </c>
      <c r="N186" s="6">
        <v>177.922</v>
      </c>
      <c r="O186" s="6">
        <v>177.922</v>
      </c>
      <c r="P186" s="6">
        <v>0</v>
      </c>
      <c r="Q186" s="4" t="s">
        <v>26</v>
      </c>
      <c r="R186" s="4">
        <v>0</v>
      </c>
      <c r="S186" s="6">
        <v>0</v>
      </c>
      <c r="T186" s="6">
        <v>22</v>
      </c>
      <c r="U186" s="6">
        <v>84</v>
      </c>
      <c r="V186" s="6">
        <f>IF(ISERROR(VLOOKUP($S$186,'TAR FIN'!$A$1:$O$92,15,0)),0,VLOOKUP($S$186,'TAR FIN'!$A$1:$O$92,15,0))</f>
        <v>0</v>
      </c>
      <c r="W186" s="6">
        <f>IF(ISERROR(VLOOKUP($T$186,'TAR FIN'!$A$1:$O$92,15,0)),0,VLOOKUP($T$186,'TAR FIN'!$A$1:$O$92,15,0))</f>
        <v>73.28</v>
      </c>
      <c r="X186" s="6">
        <f>IF(ISERROR(VLOOKUP($U$186,'TAR FIN'!$A$1:$O$92,15,0)),0,VLOOKUP($U$186,'TAR FIN'!$A$1:$O$92,15,0))</f>
        <v>286.76</v>
      </c>
      <c r="Y186" s="6"/>
      <c r="Z186" s="6">
        <f ca="1">('TUSD BE'!$AM$16+'TUSD BF_350'!$AM$16+'TUSD CVA'!$AM$16)*1</f>
        <v>126.25</v>
      </c>
      <c r="AA186" s="6">
        <f ca="1">('TE BE'!$AB$8+'TE BF_350'!$AB$8+'TE CVA'!$AB$8)*1</f>
        <v>250.03999999999996</v>
      </c>
      <c r="AB186" s="6">
        <f>$K$186*$V$186</f>
        <v>0</v>
      </c>
      <c r="AC186" s="6">
        <f>$M$186*$W$186</f>
        <v>13038.124159999999</v>
      </c>
      <c r="AD186" s="6">
        <f>$O$186*$X$186</f>
        <v>51020.91272</v>
      </c>
      <c r="AE186" s="6">
        <f>$K$186*$Y$186</f>
        <v>0</v>
      </c>
      <c r="AF186" s="6">
        <f ca="1">$M$186*$Z$186</f>
        <v>22462.6525</v>
      </c>
      <c r="AG186" s="6">
        <f ca="1">$O$186*$AA$186</f>
        <v>44487.616879999994</v>
      </c>
    </row>
    <row r="187" spans="1:33" ht="11.25" customHeight="1" x14ac:dyDescent="0.3">
      <c r="A187" s="4" t="s">
        <v>27</v>
      </c>
      <c r="B187" s="4" t="s">
        <v>34</v>
      </c>
      <c r="C187" s="4" t="s">
        <v>35</v>
      </c>
      <c r="D187" s="4" t="s">
        <v>33</v>
      </c>
      <c r="E187" s="4" t="s">
        <v>25</v>
      </c>
      <c r="F187" s="4" t="s">
        <v>25</v>
      </c>
      <c r="G187" s="4" t="s">
        <v>25</v>
      </c>
      <c r="H187" s="4" t="s">
        <v>37</v>
      </c>
      <c r="I187" s="5">
        <v>44470</v>
      </c>
      <c r="J187" s="6">
        <v>0</v>
      </c>
      <c r="K187" s="6">
        <v>0</v>
      </c>
      <c r="L187" s="6">
        <v>16.67539</v>
      </c>
      <c r="M187" s="6">
        <v>16.67539</v>
      </c>
      <c r="N187" s="6">
        <v>16.67539</v>
      </c>
      <c r="O187" s="6">
        <v>16.67539</v>
      </c>
      <c r="P187" s="6">
        <v>0</v>
      </c>
      <c r="Q187" s="4" t="s">
        <v>26</v>
      </c>
      <c r="R187" s="4">
        <v>0</v>
      </c>
      <c r="S187" s="6">
        <v>0</v>
      </c>
      <c r="T187" s="6">
        <v>22</v>
      </c>
      <c r="U187" s="6">
        <v>84</v>
      </c>
      <c r="V187" s="6">
        <f>IF(ISERROR(VLOOKUP($S$187,'TAR FIN'!$A$1:$O$92,15,0)),0,VLOOKUP($S$187,'TAR FIN'!$A$1:$O$92,15,0))</f>
        <v>0</v>
      </c>
      <c r="W187" s="6">
        <f>IF(ISERROR(VLOOKUP($T$187,'TAR FIN'!$A$1:$O$92,15,0)),0,VLOOKUP($T$187,'TAR FIN'!$A$1:$O$92,15,0))</f>
        <v>73.28</v>
      </c>
      <c r="X187" s="6">
        <f>IF(ISERROR(VLOOKUP($U$187,'TAR FIN'!$A$1:$O$92,15,0)),0,VLOOKUP($U$187,'TAR FIN'!$A$1:$O$92,15,0))</f>
        <v>286.76</v>
      </c>
      <c r="Y187" s="6"/>
      <c r="Z187" s="6">
        <f ca="1">('TUSD BE'!$AM$16+'TUSD BF_350'!$AM$16+'TUSD CVA'!$AM$16)*1</f>
        <v>126.25</v>
      </c>
      <c r="AA187" s="6">
        <f ca="1">('TE BE'!$AB$8+'TE BF_350'!$AB$8+'TE CVA'!$AB$8)*1</f>
        <v>250.03999999999996</v>
      </c>
      <c r="AB187" s="6">
        <f>$K$187*$V$187</f>
        <v>0</v>
      </c>
      <c r="AC187" s="6">
        <f>$M$187*$W$187</f>
        <v>1221.9725791999999</v>
      </c>
      <c r="AD187" s="6">
        <f>$O$187*$X$187</f>
        <v>4781.8348364000003</v>
      </c>
      <c r="AE187" s="6">
        <f>$K$187*$Y$187</f>
        <v>0</v>
      </c>
      <c r="AF187" s="6">
        <f ca="1">$M$187*$Z$187</f>
        <v>2105.2679874999999</v>
      </c>
      <c r="AG187" s="6">
        <f ca="1">$O$187*$AA$187</f>
        <v>4169.5145155999999</v>
      </c>
    </row>
    <row r="188" spans="1:33" ht="11.25" customHeight="1" x14ac:dyDescent="0.3">
      <c r="A188" s="4" t="s">
        <v>21</v>
      </c>
      <c r="B188" s="4" t="s">
        <v>34</v>
      </c>
      <c r="C188" s="4" t="s">
        <v>35</v>
      </c>
      <c r="D188" s="4" t="s">
        <v>33</v>
      </c>
      <c r="E188" s="4" t="s">
        <v>25</v>
      </c>
      <c r="F188" s="4" t="s">
        <v>25</v>
      </c>
      <c r="G188" s="4" t="s">
        <v>25</v>
      </c>
      <c r="H188" s="4" t="s">
        <v>37</v>
      </c>
      <c r="I188" s="5">
        <v>44501</v>
      </c>
      <c r="J188" s="6">
        <v>0</v>
      </c>
      <c r="K188" s="6">
        <v>0</v>
      </c>
      <c r="L188" s="6">
        <v>177.07300000000001</v>
      </c>
      <c r="M188" s="6">
        <v>177.07300000000001</v>
      </c>
      <c r="N188" s="6">
        <v>177.07300000000001</v>
      </c>
      <c r="O188" s="6">
        <v>177.07300000000001</v>
      </c>
      <c r="P188" s="6">
        <v>0</v>
      </c>
      <c r="Q188" s="4" t="s">
        <v>26</v>
      </c>
      <c r="R188" s="4">
        <v>0</v>
      </c>
      <c r="S188" s="6">
        <v>0</v>
      </c>
      <c r="T188" s="6">
        <v>22</v>
      </c>
      <c r="U188" s="6">
        <v>84</v>
      </c>
      <c r="V188" s="6">
        <f>IF(ISERROR(VLOOKUP($S$188,'TAR FIN'!$A$1:$O$92,15,0)),0,VLOOKUP($S$188,'TAR FIN'!$A$1:$O$92,15,0))</f>
        <v>0</v>
      </c>
      <c r="W188" s="6">
        <f>IF(ISERROR(VLOOKUP($T$188,'TAR FIN'!$A$1:$O$92,15,0)),0,VLOOKUP($T$188,'TAR FIN'!$A$1:$O$92,15,0))</f>
        <v>73.28</v>
      </c>
      <c r="X188" s="6">
        <f>IF(ISERROR(VLOOKUP($U$188,'TAR FIN'!$A$1:$O$92,15,0)),0,VLOOKUP($U$188,'TAR FIN'!$A$1:$O$92,15,0))</f>
        <v>286.76</v>
      </c>
      <c r="Y188" s="6"/>
      <c r="Z188" s="6">
        <f ca="1">('TUSD BE'!$AM$16+'TUSD BF_350'!$AM$16+'TUSD CVA'!$AM$16)*1</f>
        <v>126.25</v>
      </c>
      <c r="AA188" s="6">
        <f ca="1">('TE BE'!$AB$8+'TE BF_350'!$AB$8+'TE CVA'!$AB$8)*1</f>
        <v>250.03999999999996</v>
      </c>
      <c r="AB188" s="6">
        <f>$K$188*$V$188</f>
        <v>0</v>
      </c>
      <c r="AC188" s="6">
        <f>$M$188*$W$188</f>
        <v>12975.909440000001</v>
      </c>
      <c r="AD188" s="6">
        <f>$O$188*$X$188</f>
        <v>50777.453480000004</v>
      </c>
      <c r="AE188" s="6">
        <f>$K$188*$Y$188</f>
        <v>0</v>
      </c>
      <c r="AF188" s="6">
        <f ca="1">$M$188*$Z$188</f>
        <v>22355.466250000001</v>
      </c>
      <c r="AG188" s="6">
        <f ca="1">$O$188*$AA$188</f>
        <v>44275.332919999993</v>
      </c>
    </row>
    <row r="189" spans="1:33" ht="11.25" customHeight="1" x14ac:dyDescent="0.3">
      <c r="A189" s="4" t="s">
        <v>27</v>
      </c>
      <c r="B189" s="4" t="s">
        <v>34</v>
      </c>
      <c r="C189" s="4" t="s">
        <v>35</v>
      </c>
      <c r="D189" s="4" t="s">
        <v>33</v>
      </c>
      <c r="E189" s="4" t="s">
        <v>25</v>
      </c>
      <c r="F189" s="4" t="s">
        <v>25</v>
      </c>
      <c r="G189" s="4" t="s">
        <v>25</v>
      </c>
      <c r="H189" s="4" t="s">
        <v>37</v>
      </c>
      <c r="I189" s="5">
        <v>44501</v>
      </c>
      <c r="J189" s="6">
        <v>0</v>
      </c>
      <c r="K189" s="6">
        <v>0</v>
      </c>
      <c r="L189" s="6">
        <v>10.463290000000001</v>
      </c>
      <c r="M189" s="6">
        <v>10.463290000000001</v>
      </c>
      <c r="N189" s="6">
        <v>10.463290000000001</v>
      </c>
      <c r="O189" s="6">
        <v>10.463290000000001</v>
      </c>
      <c r="P189" s="6">
        <v>0</v>
      </c>
      <c r="Q189" s="4" t="s">
        <v>26</v>
      </c>
      <c r="R189" s="4">
        <v>0</v>
      </c>
      <c r="S189" s="6">
        <v>0</v>
      </c>
      <c r="T189" s="6">
        <v>22</v>
      </c>
      <c r="U189" s="6">
        <v>84</v>
      </c>
      <c r="V189" s="6">
        <f>IF(ISERROR(VLOOKUP($S$189,'TAR FIN'!$A$1:$O$92,15,0)),0,VLOOKUP($S$189,'TAR FIN'!$A$1:$O$92,15,0))</f>
        <v>0</v>
      </c>
      <c r="W189" s="6">
        <f>IF(ISERROR(VLOOKUP($T$189,'TAR FIN'!$A$1:$O$92,15,0)),0,VLOOKUP($T$189,'TAR FIN'!$A$1:$O$92,15,0))</f>
        <v>73.28</v>
      </c>
      <c r="X189" s="6">
        <f>IF(ISERROR(VLOOKUP($U$189,'TAR FIN'!$A$1:$O$92,15,0)),0,VLOOKUP($U$189,'TAR FIN'!$A$1:$O$92,15,0))</f>
        <v>286.76</v>
      </c>
      <c r="Y189" s="6"/>
      <c r="Z189" s="6">
        <f ca="1">('TUSD BE'!$AM$16+'TUSD BF_350'!$AM$16+'TUSD CVA'!$AM$16)*1</f>
        <v>126.25</v>
      </c>
      <c r="AA189" s="6">
        <f ca="1">('TE BE'!$AB$8+'TE BF_350'!$AB$8+'TE CVA'!$AB$8)*1</f>
        <v>250.03999999999996</v>
      </c>
      <c r="AB189" s="6">
        <f>$K$189*$V$189</f>
        <v>0</v>
      </c>
      <c r="AC189" s="6">
        <f>$M$189*$W$189</f>
        <v>766.74989120000009</v>
      </c>
      <c r="AD189" s="6">
        <f>$O$189*$X$189</f>
        <v>3000.4530404000002</v>
      </c>
      <c r="AE189" s="6">
        <f>$K$189*$Y$189</f>
        <v>0</v>
      </c>
      <c r="AF189" s="6">
        <f ca="1">$M$189*$Z$189</f>
        <v>1320.9903625000002</v>
      </c>
      <c r="AG189" s="6">
        <f ca="1">$O$189*$AA$189</f>
        <v>2616.2410315999996</v>
      </c>
    </row>
    <row r="190" spans="1:33" ht="11.25" customHeight="1" x14ac:dyDescent="0.3">
      <c r="A190" s="4" t="s">
        <v>21</v>
      </c>
      <c r="B190" s="4" t="s">
        <v>34</v>
      </c>
      <c r="C190" s="4" t="s">
        <v>35</v>
      </c>
      <c r="D190" s="4" t="s">
        <v>33</v>
      </c>
      <c r="E190" s="4" t="s">
        <v>25</v>
      </c>
      <c r="F190" s="4" t="s">
        <v>25</v>
      </c>
      <c r="G190" s="4" t="s">
        <v>25</v>
      </c>
      <c r="H190" s="4" t="s">
        <v>37</v>
      </c>
      <c r="I190" s="5">
        <v>44531</v>
      </c>
      <c r="J190" s="6">
        <v>0</v>
      </c>
      <c r="K190" s="6">
        <v>0</v>
      </c>
      <c r="L190" s="6">
        <v>169.011</v>
      </c>
      <c r="M190" s="6">
        <v>169.011</v>
      </c>
      <c r="N190" s="6">
        <v>169.011</v>
      </c>
      <c r="O190" s="6">
        <v>169.011</v>
      </c>
      <c r="P190" s="6">
        <v>0</v>
      </c>
      <c r="Q190" s="4" t="s">
        <v>26</v>
      </c>
      <c r="R190" s="4">
        <v>0</v>
      </c>
      <c r="S190" s="6">
        <v>0</v>
      </c>
      <c r="T190" s="6">
        <v>22</v>
      </c>
      <c r="U190" s="6">
        <v>84</v>
      </c>
      <c r="V190" s="6">
        <f>IF(ISERROR(VLOOKUP($S$190,'TAR FIN'!$A$1:$O$92,15,0)),0,VLOOKUP($S$190,'TAR FIN'!$A$1:$O$92,15,0))</f>
        <v>0</v>
      </c>
      <c r="W190" s="6">
        <f>IF(ISERROR(VLOOKUP($T$190,'TAR FIN'!$A$1:$O$92,15,0)),0,VLOOKUP($T$190,'TAR FIN'!$A$1:$O$92,15,0))</f>
        <v>73.28</v>
      </c>
      <c r="X190" s="6">
        <f>IF(ISERROR(VLOOKUP($U$190,'TAR FIN'!$A$1:$O$92,15,0)),0,VLOOKUP($U$190,'TAR FIN'!$A$1:$O$92,15,0))</f>
        <v>286.76</v>
      </c>
      <c r="Y190" s="6"/>
      <c r="Z190" s="6">
        <f ca="1">('TUSD BE'!$AM$16+'TUSD BF_350'!$AM$16+'TUSD CVA'!$AM$16)*1</f>
        <v>126.25</v>
      </c>
      <c r="AA190" s="6">
        <f ca="1">('TE BE'!$AB$8+'TE BF_350'!$AB$8+'TE CVA'!$AB$8)*1</f>
        <v>250.03999999999996</v>
      </c>
      <c r="AB190" s="6">
        <f>$K$190*$V$190</f>
        <v>0</v>
      </c>
      <c r="AC190" s="6">
        <f>$M$190*$W$190</f>
        <v>12385.12608</v>
      </c>
      <c r="AD190" s="6">
        <f>$O$190*$X$190</f>
        <v>48465.594359999996</v>
      </c>
      <c r="AE190" s="6">
        <f>$K$190*$Y$190</f>
        <v>0</v>
      </c>
      <c r="AF190" s="6">
        <f ca="1">$M$190*$Z$190</f>
        <v>21337.638749999998</v>
      </c>
      <c r="AG190" s="6">
        <f ca="1">$O$190*$AA$190</f>
        <v>42259.510439999991</v>
      </c>
    </row>
    <row r="191" spans="1:33" ht="11.25" customHeight="1" x14ac:dyDescent="0.3">
      <c r="A191" s="4" t="s">
        <v>27</v>
      </c>
      <c r="B191" s="4" t="s">
        <v>34</v>
      </c>
      <c r="C191" s="4" t="s">
        <v>35</v>
      </c>
      <c r="D191" s="4" t="s">
        <v>33</v>
      </c>
      <c r="E191" s="4" t="s">
        <v>25</v>
      </c>
      <c r="F191" s="4" t="s">
        <v>25</v>
      </c>
      <c r="G191" s="4" t="s">
        <v>25</v>
      </c>
      <c r="H191" s="4" t="s">
        <v>37</v>
      </c>
      <c r="I191" s="5">
        <v>44531</v>
      </c>
      <c r="J191" s="6">
        <v>0</v>
      </c>
      <c r="K191" s="6">
        <v>0</v>
      </c>
      <c r="L191" s="6">
        <v>1.3240000000000001</v>
      </c>
      <c r="M191" s="6">
        <v>1.3240000000000001</v>
      </c>
      <c r="N191" s="6">
        <v>1.3240000000000001</v>
      </c>
      <c r="O191" s="6">
        <v>1.3240000000000001</v>
      </c>
      <c r="P191" s="6">
        <v>0</v>
      </c>
      <c r="Q191" s="4" t="s">
        <v>26</v>
      </c>
      <c r="R191" s="4">
        <v>0</v>
      </c>
      <c r="S191" s="6">
        <v>0</v>
      </c>
      <c r="T191" s="6">
        <v>22</v>
      </c>
      <c r="U191" s="6">
        <v>84</v>
      </c>
      <c r="V191" s="6">
        <f>IF(ISERROR(VLOOKUP($S$191,'TAR FIN'!$A$1:$O$92,15,0)),0,VLOOKUP($S$191,'TAR FIN'!$A$1:$O$92,15,0))</f>
        <v>0</v>
      </c>
      <c r="W191" s="6">
        <f>IF(ISERROR(VLOOKUP($T$191,'TAR FIN'!$A$1:$O$92,15,0)),0,VLOOKUP($T$191,'TAR FIN'!$A$1:$O$92,15,0))</f>
        <v>73.28</v>
      </c>
      <c r="X191" s="6">
        <f>IF(ISERROR(VLOOKUP($U$191,'TAR FIN'!$A$1:$O$92,15,0)),0,VLOOKUP($U$191,'TAR FIN'!$A$1:$O$92,15,0))</f>
        <v>286.76</v>
      </c>
      <c r="Y191" s="6"/>
      <c r="Z191" s="6">
        <f ca="1">('TUSD BE'!$AM$16+'TUSD BF_350'!$AM$16+'TUSD CVA'!$AM$16)*1</f>
        <v>126.25</v>
      </c>
      <c r="AA191" s="6">
        <f ca="1">('TE BE'!$AB$8+'TE BF_350'!$AB$8+'TE CVA'!$AB$8)*1</f>
        <v>250.03999999999996</v>
      </c>
      <c r="AB191" s="6">
        <f>$K$191*$V$191</f>
        <v>0</v>
      </c>
      <c r="AC191" s="6">
        <f>$M$191*$W$191</f>
        <v>97.022720000000007</v>
      </c>
      <c r="AD191" s="6">
        <f>$O$191*$X$191</f>
        <v>379.67023999999998</v>
      </c>
      <c r="AE191" s="6">
        <f>$K$191*$Y$191</f>
        <v>0</v>
      </c>
      <c r="AF191" s="6">
        <f ca="1">$M$191*$Z$191</f>
        <v>167.155</v>
      </c>
      <c r="AG191" s="6">
        <f ca="1">$O$191*$AA$191</f>
        <v>331.05295999999998</v>
      </c>
    </row>
    <row r="192" spans="1:33" ht="11.25" customHeight="1" x14ac:dyDescent="0.3">
      <c r="A192" s="4" t="s">
        <v>21</v>
      </c>
      <c r="B192" s="4" t="s">
        <v>34</v>
      </c>
      <c r="C192" s="4" t="s">
        <v>35</v>
      </c>
      <c r="D192" s="4" t="s">
        <v>33</v>
      </c>
      <c r="E192" s="4" t="s">
        <v>25</v>
      </c>
      <c r="F192" s="4" t="s">
        <v>25</v>
      </c>
      <c r="G192" s="4" t="s">
        <v>25</v>
      </c>
      <c r="H192" s="4" t="s">
        <v>37</v>
      </c>
      <c r="I192" s="5">
        <v>44562</v>
      </c>
      <c r="J192" s="6">
        <v>0</v>
      </c>
      <c r="K192" s="6">
        <v>0</v>
      </c>
      <c r="L192" s="6">
        <v>172.00299999999999</v>
      </c>
      <c r="M192" s="6">
        <v>172.00299999999999</v>
      </c>
      <c r="N192" s="6">
        <v>172.00299999999999</v>
      </c>
      <c r="O192" s="6">
        <v>172.00299999999999</v>
      </c>
      <c r="P192" s="6">
        <v>0</v>
      </c>
      <c r="Q192" s="4" t="s">
        <v>26</v>
      </c>
      <c r="R192" s="4">
        <v>0</v>
      </c>
      <c r="S192" s="6">
        <v>0</v>
      </c>
      <c r="T192" s="6">
        <v>22</v>
      </c>
      <c r="U192" s="6">
        <v>84</v>
      </c>
      <c r="V192" s="6">
        <f>IF(ISERROR(VLOOKUP($S$192,'TAR FIN'!$A$1:$O$92,15,0)),0,VLOOKUP($S$192,'TAR FIN'!$A$1:$O$92,15,0))</f>
        <v>0</v>
      </c>
      <c r="W192" s="6">
        <f>IF(ISERROR(VLOOKUP($T$192,'TAR FIN'!$A$1:$O$92,15,0)),0,VLOOKUP($T$192,'TAR FIN'!$A$1:$O$92,15,0))</f>
        <v>73.28</v>
      </c>
      <c r="X192" s="6">
        <f>IF(ISERROR(VLOOKUP($U$192,'TAR FIN'!$A$1:$O$92,15,0)),0,VLOOKUP($U$192,'TAR FIN'!$A$1:$O$92,15,0))</f>
        <v>286.76</v>
      </c>
      <c r="Y192" s="6"/>
      <c r="Z192" s="6">
        <f ca="1">('TUSD BE'!$AM$16+'TUSD BF_350'!$AM$16+'TUSD CVA'!$AM$16)*1</f>
        <v>126.25</v>
      </c>
      <c r="AA192" s="6">
        <f ca="1">('TE BE'!$AB$8+'TE BF_350'!$AB$8+'TE CVA'!$AB$8)*1</f>
        <v>250.03999999999996</v>
      </c>
      <c r="AB192" s="6">
        <f>$K$192*$V$192</f>
        <v>0</v>
      </c>
      <c r="AC192" s="6">
        <f>$M$192*$W$192</f>
        <v>12604.37984</v>
      </c>
      <c r="AD192" s="6">
        <f>$O$192*$X$192</f>
        <v>49323.580279999995</v>
      </c>
      <c r="AE192" s="6">
        <f>$K$192*$Y$192</f>
        <v>0</v>
      </c>
      <c r="AF192" s="6">
        <f ca="1">$M$192*$Z$192</f>
        <v>21715.37875</v>
      </c>
      <c r="AG192" s="6">
        <f ca="1">$O$192*$AA$192</f>
        <v>43007.630119999987</v>
      </c>
    </row>
    <row r="193" spans="1:33" ht="11.25" customHeight="1" x14ac:dyDescent="0.3">
      <c r="A193" s="4" t="s">
        <v>27</v>
      </c>
      <c r="B193" s="4" t="s">
        <v>34</v>
      </c>
      <c r="C193" s="4" t="s">
        <v>35</v>
      </c>
      <c r="D193" s="4" t="s">
        <v>33</v>
      </c>
      <c r="E193" s="4" t="s">
        <v>25</v>
      </c>
      <c r="F193" s="4" t="s">
        <v>25</v>
      </c>
      <c r="G193" s="4" t="s">
        <v>25</v>
      </c>
      <c r="H193" s="4" t="s">
        <v>37</v>
      </c>
      <c r="I193" s="5">
        <v>44562</v>
      </c>
      <c r="J193" s="6">
        <v>0</v>
      </c>
      <c r="K193" s="6">
        <v>0</v>
      </c>
      <c r="L193" s="6">
        <v>3.63</v>
      </c>
      <c r="M193" s="6">
        <v>3.63</v>
      </c>
      <c r="N193" s="6">
        <v>3.63</v>
      </c>
      <c r="O193" s="6">
        <v>3.63</v>
      </c>
      <c r="P193" s="6">
        <v>0</v>
      </c>
      <c r="Q193" s="4" t="s">
        <v>26</v>
      </c>
      <c r="R193" s="4">
        <v>0</v>
      </c>
      <c r="S193" s="6">
        <v>0</v>
      </c>
      <c r="T193" s="6">
        <v>22</v>
      </c>
      <c r="U193" s="6">
        <v>84</v>
      </c>
      <c r="V193" s="6">
        <f>IF(ISERROR(VLOOKUP($S$193,'TAR FIN'!$A$1:$O$92,15,0)),0,VLOOKUP($S$193,'TAR FIN'!$A$1:$O$92,15,0))</f>
        <v>0</v>
      </c>
      <c r="W193" s="6">
        <f>IF(ISERROR(VLOOKUP($T$193,'TAR FIN'!$A$1:$O$92,15,0)),0,VLOOKUP($T$193,'TAR FIN'!$A$1:$O$92,15,0))</f>
        <v>73.28</v>
      </c>
      <c r="X193" s="6">
        <f>IF(ISERROR(VLOOKUP($U$193,'TAR FIN'!$A$1:$O$92,15,0)),0,VLOOKUP($U$193,'TAR FIN'!$A$1:$O$92,15,0))</f>
        <v>286.76</v>
      </c>
      <c r="Y193" s="6"/>
      <c r="Z193" s="6">
        <f ca="1">('TUSD BE'!$AM$16+'TUSD BF_350'!$AM$16+'TUSD CVA'!$AM$16)*1</f>
        <v>126.25</v>
      </c>
      <c r="AA193" s="6">
        <f ca="1">('TE BE'!$AB$8+'TE BF_350'!$AB$8+'TE CVA'!$AB$8)*1</f>
        <v>250.03999999999996</v>
      </c>
      <c r="AB193" s="6">
        <f>$K$193*$V$193</f>
        <v>0</v>
      </c>
      <c r="AC193" s="6">
        <f>$M$193*$W$193</f>
        <v>266.00639999999999</v>
      </c>
      <c r="AD193" s="6">
        <f>$O$193*$X$193</f>
        <v>1040.9387999999999</v>
      </c>
      <c r="AE193" s="6">
        <f>$K$193*$Y$193</f>
        <v>0</v>
      </c>
      <c r="AF193" s="6">
        <f ca="1">$M$193*$Z$193</f>
        <v>458.28749999999997</v>
      </c>
      <c r="AG193" s="6">
        <f ca="1">$O$193*$AA$193</f>
        <v>907.64519999999982</v>
      </c>
    </row>
    <row r="194" spans="1:33" ht="11.25" customHeight="1" x14ac:dyDescent="0.3">
      <c r="A194" s="4" t="s">
        <v>21</v>
      </c>
      <c r="B194" s="4" t="s">
        <v>34</v>
      </c>
      <c r="C194" s="4" t="s">
        <v>35</v>
      </c>
      <c r="D194" s="4" t="s">
        <v>33</v>
      </c>
      <c r="E194" s="4" t="s">
        <v>25</v>
      </c>
      <c r="F194" s="4" t="s">
        <v>25</v>
      </c>
      <c r="G194" s="4" t="s">
        <v>25</v>
      </c>
      <c r="H194" s="4" t="s">
        <v>37</v>
      </c>
      <c r="I194" s="5">
        <v>44593</v>
      </c>
      <c r="J194" s="6">
        <v>0</v>
      </c>
      <c r="K194" s="6">
        <v>0</v>
      </c>
      <c r="L194" s="6">
        <v>165.65600000000001</v>
      </c>
      <c r="M194" s="6">
        <v>165.65600000000001</v>
      </c>
      <c r="N194" s="6">
        <v>165.65600000000001</v>
      </c>
      <c r="O194" s="6">
        <v>165.65600000000001</v>
      </c>
      <c r="P194" s="6">
        <v>0</v>
      </c>
      <c r="Q194" s="4" t="s">
        <v>26</v>
      </c>
      <c r="R194" s="4">
        <v>0</v>
      </c>
      <c r="S194" s="6">
        <v>0</v>
      </c>
      <c r="T194" s="6">
        <v>22</v>
      </c>
      <c r="U194" s="6">
        <v>84</v>
      </c>
      <c r="V194" s="6">
        <f>IF(ISERROR(VLOOKUP($S$194,'TAR FIN'!$A$1:$O$92,15,0)),0,VLOOKUP($S$194,'TAR FIN'!$A$1:$O$92,15,0))</f>
        <v>0</v>
      </c>
      <c r="W194" s="6">
        <f>IF(ISERROR(VLOOKUP($T$194,'TAR FIN'!$A$1:$O$92,15,0)),0,VLOOKUP($T$194,'TAR FIN'!$A$1:$O$92,15,0))</f>
        <v>73.28</v>
      </c>
      <c r="X194" s="6">
        <f>IF(ISERROR(VLOOKUP($U$194,'TAR FIN'!$A$1:$O$92,15,0)),0,VLOOKUP($U$194,'TAR FIN'!$A$1:$O$92,15,0))</f>
        <v>286.76</v>
      </c>
      <c r="Y194" s="6"/>
      <c r="Z194" s="6">
        <f ca="1">('TUSD BE'!$AM$16+'TUSD BF_350'!$AM$16+'TUSD CVA'!$AM$16)*1</f>
        <v>126.25</v>
      </c>
      <c r="AA194" s="6">
        <f ca="1">('TE BE'!$AB$8+'TE BF_350'!$AB$8+'TE CVA'!$AB$8)*1</f>
        <v>250.03999999999996</v>
      </c>
      <c r="AB194" s="6">
        <f>$K$194*$V$194</f>
        <v>0</v>
      </c>
      <c r="AC194" s="6">
        <f>$M$194*$W$194</f>
        <v>12139.27168</v>
      </c>
      <c r="AD194" s="6">
        <f>$O$194*$X$194</f>
        <v>47503.514560000003</v>
      </c>
      <c r="AE194" s="6">
        <f>$K$194*$Y$194</f>
        <v>0</v>
      </c>
      <c r="AF194" s="6">
        <f ca="1">$M$194*$Z$194</f>
        <v>20914.07</v>
      </c>
      <c r="AG194" s="6">
        <f ca="1">$O$194*$AA$194</f>
        <v>41420.626239999998</v>
      </c>
    </row>
    <row r="195" spans="1:33" ht="11.25" customHeight="1" x14ac:dyDescent="0.3">
      <c r="A195" s="4" t="s">
        <v>27</v>
      </c>
      <c r="B195" s="4" t="s">
        <v>34</v>
      </c>
      <c r="C195" s="4" t="s">
        <v>35</v>
      </c>
      <c r="D195" s="4" t="s">
        <v>33</v>
      </c>
      <c r="E195" s="4" t="s">
        <v>25</v>
      </c>
      <c r="F195" s="4" t="s">
        <v>25</v>
      </c>
      <c r="G195" s="4" t="s">
        <v>25</v>
      </c>
      <c r="H195" s="4" t="s">
        <v>37</v>
      </c>
      <c r="I195" s="5">
        <v>44593</v>
      </c>
      <c r="J195" s="6">
        <v>0</v>
      </c>
      <c r="K195" s="6">
        <v>0</v>
      </c>
      <c r="L195" s="6">
        <v>8.5209200000000003</v>
      </c>
      <c r="M195" s="6">
        <v>8.5209200000000003</v>
      </c>
      <c r="N195" s="6">
        <v>8.5209200000000003</v>
      </c>
      <c r="O195" s="6">
        <v>8.5209200000000003</v>
      </c>
      <c r="P195" s="6">
        <v>0</v>
      </c>
      <c r="Q195" s="4" t="s">
        <v>26</v>
      </c>
      <c r="R195" s="4">
        <v>0</v>
      </c>
      <c r="S195" s="6">
        <v>0</v>
      </c>
      <c r="T195" s="6">
        <v>22</v>
      </c>
      <c r="U195" s="6">
        <v>84</v>
      </c>
      <c r="V195" s="6">
        <f>IF(ISERROR(VLOOKUP($S$195,'TAR FIN'!$A$1:$O$92,15,0)),0,VLOOKUP($S$195,'TAR FIN'!$A$1:$O$92,15,0))</f>
        <v>0</v>
      </c>
      <c r="W195" s="6">
        <f>IF(ISERROR(VLOOKUP($T$195,'TAR FIN'!$A$1:$O$92,15,0)),0,VLOOKUP($T$195,'TAR FIN'!$A$1:$O$92,15,0))</f>
        <v>73.28</v>
      </c>
      <c r="X195" s="6">
        <f>IF(ISERROR(VLOOKUP($U$195,'TAR FIN'!$A$1:$O$92,15,0)),0,VLOOKUP($U$195,'TAR FIN'!$A$1:$O$92,15,0))</f>
        <v>286.76</v>
      </c>
      <c r="Y195" s="6"/>
      <c r="Z195" s="6">
        <f ca="1">('TUSD BE'!$AM$16+'TUSD BF_350'!$AM$16+'TUSD CVA'!$AM$16)*1</f>
        <v>126.25</v>
      </c>
      <c r="AA195" s="6">
        <f ca="1">('TE BE'!$AB$8+'TE BF_350'!$AB$8+'TE CVA'!$AB$8)*1</f>
        <v>250.03999999999996</v>
      </c>
      <c r="AB195" s="6">
        <f>$K$195*$V$195</f>
        <v>0</v>
      </c>
      <c r="AC195" s="6">
        <f>$M$195*$W$195</f>
        <v>624.41301759999999</v>
      </c>
      <c r="AD195" s="6">
        <f>$O$195*$X$195</f>
        <v>2443.4590192000001</v>
      </c>
      <c r="AE195" s="6">
        <f>$K$195*$Y$195</f>
        <v>0</v>
      </c>
      <c r="AF195" s="6">
        <f ca="1">$M$195*$Z$195</f>
        <v>1075.7661499999999</v>
      </c>
      <c r="AG195" s="6">
        <f ca="1">$O$195*$AA$195</f>
        <v>2130.5708367999996</v>
      </c>
    </row>
    <row r="196" spans="1:33" ht="11.25" customHeight="1" x14ac:dyDescent="0.3">
      <c r="A196" s="4" t="s">
        <v>21</v>
      </c>
      <c r="B196" s="4" t="s">
        <v>34</v>
      </c>
      <c r="C196" s="4" t="s">
        <v>35</v>
      </c>
      <c r="D196" s="4" t="s">
        <v>33</v>
      </c>
      <c r="E196" s="4" t="s">
        <v>25</v>
      </c>
      <c r="F196" s="4" t="s">
        <v>25</v>
      </c>
      <c r="G196" s="4" t="s">
        <v>25</v>
      </c>
      <c r="H196" s="4" t="s">
        <v>37</v>
      </c>
      <c r="I196" s="5">
        <v>44621</v>
      </c>
      <c r="J196" s="6">
        <v>0</v>
      </c>
      <c r="K196" s="6">
        <v>0</v>
      </c>
      <c r="L196" s="6">
        <v>188.005</v>
      </c>
      <c r="M196" s="6">
        <v>188.005</v>
      </c>
      <c r="N196" s="6">
        <v>188.005</v>
      </c>
      <c r="O196" s="6">
        <v>188.005</v>
      </c>
      <c r="P196" s="6">
        <v>0</v>
      </c>
      <c r="Q196" s="4" t="s">
        <v>26</v>
      </c>
      <c r="R196" s="4">
        <v>0</v>
      </c>
      <c r="S196" s="6">
        <v>0</v>
      </c>
      <c r="T196" s="6">
        <v>22</v>
      </c>
      <c r="U196" s="6">
        <v>84</v>
      </c>
      <c r="V196" s="6">
        <f>IF(ISERROR(VLOOKUP($S$196,'TAR FIN'!$A$1:$O$92,15,0)),0,VLOOKUP($S$196,'TAR FIN'!$A$1:$O$92,15,0))</f>
        <v>0</v>
      </c>
      <c r="W196" s="6">
        <f>IF(ISERROR(VLOOKUP($T$196,'TAR FIN'!$A$1:$O$92,15,0)),0,VLOOKUP($T$196,'TAR FIN'!$A$1:$O$92,15,0))</f>
        <v>73.28</v>
      </c>
      <c r="X196" s="6">
        <f>IF(ISERROR(VLOOKUP($U$196,'TAR FIN'!$A$1:$O$92,15,0)),0,VLOOKUP($U$196,'TAR FIN'!$A$1:$O$92,15,0))</f>
        <v>286.76</v>
      </c>
      <c r="Y196" s="6"/>
      <c r="Z196" s="6">
        <f ca="1">('TUSD BE'!$AM$16+'TUSD BF_350'!$AM$16+'TUSD CVA'!$AM$16)*1</f>
        <v>126.25</v>
      </c>
      <c r="AA196" s="6">
        <f ca="1">('TE BE'!$AB$8+'TE BF_350'!$AB$8+'TE CVA'!$AB$8)*1</f>
        <v>250.03999999999996</v>
      </c>
      <c r="AB196" s="6">
        <f>$K$196*$V$196</f>
        <v>0</v>
      </c>
      <c r="AC196" s="6">
        <f>$M$196*$W$196</f>
        <v>13777.0064</v>
      </c>
      <c r="AD196" s="6">
        <f>$O$196*$X$196</f>
        <v>53912.313799999996</v>
      </c>
      <c r="AE196" s="6">
        <f>$K$196*$Y$196</f>
        <v>0</v>
      </c>
      <c r="AF196" s="6">
        <f ca="1">$M$196*$Z$196</f>
        <v>23735.631249999999</v>
      </c>
      <c r="AG196" s="6">
        <f ca="1">$O$196*$AA$196</f>
        <v>47008.770199999992</v>
      </c>
    </row>
    <row r="197" spans="1:33" ht="11.25" customHeight="1" x14ac:dyDescent="0.3">
      <c r="A197" s="4" t="s">
        <v>27</v>
      </c>
      <c r="B197" s="4" t="s">
        <v>34</v>
      </c>
      <c r="C197" s="4" t="s">
        <v>35</v>
      </c>
      <c r="D197" s="4" t="s">
        <v>33</v>
      </c>
      <c r="E197" s="4" t="s">
        <v>25</v>
      </c>
      <c r="F197" s="4" t="s">
        <v>25</v>
      </c>
      <c r="G197" s="4" t="s">
        <v>25</v>
      </c>
      <c r="H197" s="4" t="s">
        <v>37</v>
      </c>
      <c r="I197" s="5">
        <v>44621</v>
      </c>
      <c r="J197" s="6">
        <v>0</v>
      </c>
      <c r="K197" s="6">
        <v>0</v>
      </c>
      <c r="L197" s="6">
        <v>20.262239999999998</v>
      </c>
      <c r="M197" s="6">
        <v>20.262239999999998</v>
      </c>
      <c r="N197" s="6">
        <v>20.262239999999998</v>
      </c>
      <c r="O197" s="6">
        <v>20.262239999999998</v>
      </c>
      <c r="P197" s="6">
        <v>0</v>
      </c>
      <c r="Q197" s="4" t="s">
        <v>26</v>
      </c>
      <c r="R197" s="4">
        <v>0</v>
      </c>
      <c r="S197" s="6">
        <v>0</v>
      </c>
      <c r="T197" s="6">
        <v>22</v>
      </c>
      <c r="U197" s="6">
        <v>84</v>
      </c>
      <c r="V197" s="6">
        <f>IF(ISERROR(VLOOKUP($S$197,'TAR FIN'!$A$1:$O$92,15,0)),0,VLOOKUP($S$197,'TAR FIN'!$A$1:$O$92,15,0))</f>
        <v>0</v>
      </c>
      <c r="W197" s="6">
        <f>IF(ISERROR(VLOOKUP($T$197,'TAR FIN'!$A$1:$O$92,15,0)),0,VLOOKUP($T$197,'TAR FIN'!$A$1:$O$92,15,0))</f>
        <v>73.28</v>
      </c>
      <c r="X197" s="6">
        <f>IF(ISERROR(VLOOKUP($U$197,'TAR FIN'!$A$1:$O$92,15,0)),0,VLOOKUP($U$197,'TAR FIN'!$A$1:$O$92,15,0))</f>
        <v>286.76</v>
      </c>
      <c r="Y197" s="6"/>
      <c r="Z197" s="6">
        <f ca="1">('TUSD BE'!$AM$16+'TUSD BF_350'!$AM$16+'TUSD CVA'!$AM$16)*1</f>
        <v>126.25</v>
      </c>
      <c r="AA197" s="6">
        <f ca="1">('TE BE'!$AB$8+'TE BF_350'!$AB$8+'TE CVA'!$AB$8)*1</f>
        <v>250.03999999999996</v>
      </c>
      <c r="AB197" s="6">
        <f>$K$197*$V$197</f>
        <v>0</v>
      </c>
      <c r="AC197" s="6">
        <f>$M$197*$W$197</f>
        <v>1484.8169472</v>
      </c>
      <c r="AD197" s="6">
        <f>$O$197*$X$197</f>
        <v>5810.3999423999994</v>
      </c>
      <c r="AE197" s="6">
        <f>$K$197*$Y$197</f>
        <v>0</v>
      </c>
      <c r="AF197" s="6">
        <f ca="1">$M$197*$Z$197</f>
        <v>2558.1077999999998</v>
      </c>
      <c r="AG197" s="6">
        <f ca="1">$O$197*$AA$197</f>
        <v>5066.370489599999</v>
      </c>
    </row>
    <row r="198" spans="1:33" ht="11.25" customHeight="1" x14ac:dyDescent="0.3">
      <c r="A198" s="4" t="s">
        <v>21</v>
      </c>
      <c r="B198" s="4" t="s">
        <v>34</v>
      </c>
      <c r="C198" s="4" t="s">
        <v>35</v>
      </c>
      <c r="D198" s="4" t="s">
        <v>33</v>
      </c>
      <c r="E198" s="4" t="s">
        <v>25</v>
      </c>
      <c r="F198" s="4" t="s">
        <v>25</v>
      </c>
      <c r="G198" s="4" t="s">
        <v>25</v>
      </c>
      <c r="H198" s="4" t="s">
        <v>37</v>
      </c>
      <c r="I198" s="5">
        <v>44652</v>
      </c>
      <c r="J198" s="6">
        <v>0</v>
      </c>
      <c r="K198" s="6">
        <v>0</v>
      </c>
      <c r="L198" s="6">
        <v>157.31800000000001</v>
      </c>
      <c r="M198" s="6">
        <v>157.31800000000001</v>
      </c>
      <c r="N198" s="6">
        <v>157.31800000000001</v>
      </c>
      <c r="O198" s="6">
        <v>157.31800000000001</v>
      </c>
      <c r="P198" s="6">
        <v>0</v>
      </c>
      <c r="Q198" s="4" t="s">
        <v>26</v>
      </c>
      <c r="R198" s="4">
        <v>0</v>
      </c>
      <c r="S198" s="6">
        <v>0</v>
      </c>
      <c r="T198" s="6">
        <v>22</v>
      </c>
      <c r="U198" s="6">
        <v>84</v>
      </c>
      <c r="V198" s="6">
        <f>IF(ISERROR(VLOOKUP($S$198,'TAR FIN'!$A$1:$O$92,15,0)),0,VLOOKUP($S$198,'TAR FIN'!$A$1:$O$92,15,0))</f>
        <v>0</v>
      </c>
      <c r="W198" s="6">
        <f>IF(ISERROR(VLOOKUP($T$198,'TAR FIN'!$A$1:$O$92,15,0)),0,VLOOKUP($T$198,'TAR FIN'!$A$1:$O$92,15,0))</f>
        <v>73.28</v>
      </c>
      <c r="X198" s="6">
        <f>IF(ISERROR(VLOOKUP($U$198,'TAR FIN'!$A$1:$O$92,15,0)),0,VLOOKUP($U$198,'TAR FIN'!$A$1:$O$92,15,0))</f>
        <v>286.76</v>
      </c>
      <c r="Y198" s="6"/>
      <c r="Z198" s="6">
        <f ca="1">('TUSD BE'!$AM$16+'TUSD BF_350'!$AM$16+'TUSD CVA'!$AM$16)*1</f>
        <v>126.25</v>
      </c>
      <c r="AA198" s="6">
        <f ca="1">('TE BE'!$AB$8+'TE BF_350'!$AB$8+'TE CVA'!$AB$8)*1</f>
        <v>250.03999999999996</v>
      </c>
      <c r="AB198" s="6">
        <f>$K$198*$V$198</f>
        <v>0</v>
      </c>
      <c r="AC198" s="6">
        <f>$M$198*$W$198</f>
        <v>11528.263040000002</v>
      </c>
      <c r="AD198" s="6">
        <f>$O$198*$X$198</f>
        <v>45112.509680000003</v>
      </c>
      <c r="AE198" s="6">
        <f>$K$198*$Y$198</f>
        <v>0</v>
      </c>
      <c r="AF198" s="6">
        <f ca="1">$M$198*$Z$198</f>
        <v>19861.397500000003</v>
      </c>
      <c r="AG198" s="6">
        <f ca="1">$O$198*$AA$198</f>
        <v>39335.792719999998</v>
      </c>
    </row>
    <row r="199" spans="1:33" ht="11.25" customHeight="1" x14ac:dyDescent="0.3">
      <c r="A199" s="4" t="s">
        <v>27</v>
      </c>
      <c r="B199" s="4" t="s">
        <v>34</v>
      </c>
      <c r="C199" s="4" t="s">
        <v>35</v>
      </c>
      <c r="D199" s="4" t="s">
        <v>33</v>
      </c>
      <c r="E199" s="4" t="s">
        <v>25</v>
      </c>
      <c r="F199" s="4" t="s">
        <v>25</v>
      </c>
      <c r="G199" s="4" t="s">
        <v>25</v>
      </c>
      <c r="H199" s="4" t="s">
        <v>37</v>
      </c>
      <c r="I199" s="5">
        <v>44652</v>
      </c>
      <c r="J199" s="6">
        <v>0</v>
      </c>
      <c r="K199" s="6">
        <v>0</v>
      </c>
      <c r="L199" s="6">
        <v>17.570340000000002</v>
      </c>
      <c r="M199" s="6">
        <v>17.570340000000002</v>
      </c>
      <c r="N199" s="6">
        <v>17.570340000000002</v>
      </c>
      <c r="O199" s="6">
        <v>17.570340000000002</v>
      </c>
      <c r="P199" s="6">
        <v>0</v>
      </c>
      <c r="Q199" s="4" t="s">
        <v>26</v>
      </c>
      <c r="R199" s="4">
        <v>0</v>
      </c>
      <c r="S199" s="6">
        <v>0</v>
      </c>
      <c r="T199" s="6">
        <v>22</v>
      </c>
      <c r="U199" s="6">
        <v>84</v>
      </c>
      <c r="V199" s="6">
        <f>IF(ISERROR(VLOOKUP($S$199,'TAR FIN'!$A$1:$O$92,15,0)),0,VLOOKUP($S$199,'TAR FIN'!$A$1:$O$92,15,0))</f>
        <v>0</v>
      </c>
      <c r="W199" s="6">
        <f>IF(ISERROR(VLOOKUP($T$199,'TAR FIN'!$A$1:$O$92,15,0)),0,VLOOKUP($T$199,'TAR FIN'!$A$1:$O$92,15,0))</f>
        <v>73.28</v>
      </c>
      <c r="X199" s="6">
        <f>IF(ISERROR(VLOOKUP($U$199,'TAR FIN'!$A$1:$O$92,15,0)),0,VLOOKUP($U$199,'TAR FIN'!$A$1:$O$92,15,0))</f>
        <v>286.76</v>
      </c>
      <c r="Y199" s="6"/>
      <c r="Z199" s="6">
        <f ca="1">('TUSD BE'!$AM$16+'TUSD BF_350'!$AM$16+'TUSD CVA'!$AM$16)*1</f>
        <v>126.25</v>
      </c>
      <c r="AA199" s="6">
        <f ca="1">('TE BE'!$AB$8+'TE BF_350'!$AB$8+'TE CVA'!$AB$8)*1</f>
        <v>250.03999999999996</v>
      </c>
      <c r="AB199" s="6">
        <f>$K$199*$V$199</f>
        <v>0</v>
      </c>
      <c r="AC199" s="6">
        <f>$M$199*$W$199</f>
        <v>1287.5545152000002</v>
      </c>
      <c r="AD199" s="6">
        <f>$O$199*$X$199</f>
        <v>5038.4706984000004</v>
      </c>
      <c r="AE199" s="6">
        <f>$K$199*$Y$199</f>
        <v>0</v>
      </c>
      <c r="AF199" s="6">
        <f ca="1">$M$199*$Z$199</f>
        <v>2218.2554250000003</v>
      </c>
      <c r="AG199" s="6">
        <f ca="1">$O$199*$AA$199</f>
        <v>4393.2878135999999</v>
      </c>
    </row>
    <row r="200" spans="1:33" ht="11.25" customHeight="1" x14ac:dyDescent="0.3">
      <c r="A200" s="4" t="s">
        <v>21</v>
      </c>
      <c r="B200" s="4" t="s">
        <v>34</v>
      </c>
      <c r="C200" s="4" t="s">
        <v>35</v>
      </c>
      <c r="D200" s="4" t="s">
        <v>33</v>
      </c>
      <c r="E200" s="4" t="s">
        <v>25</v>
      </c>
      <c r="F200" s="4" t="s">
        <v>25</v>
      </c>
      <c r="G200" s="4" t="s">
        <v>25</v>
      </c>
      <c r="H200" s="4" t="s">
        <v>37</v>
      </c>
      <c r="I200" s="5">
        <v>44682</v>
      </c>
      <c r="J200" s="6">
        <v>0</v>
      </c>
      <c r="K200" s="6">
        <v>0</v>
      </c>
      <c r="L200" s="6">
        <v>175.25800000000001</v>
      </c>
      <c r="M200" s="6">
        <v>175.25800000000001</v>
      </c>
      <c r="N200" s="6">
        <v>175.25800000000001</v>
      </c>
      <c r="O200" s="6">
        <v>175.25800000000001</v>
      </c>
      <c r="P200" s="6">
        <v>0</v>
      </c>
      <c r="Q200" s="4" t="s">
        <v>26</v>
      </c>
      <c r="R200" s="4">
        <v>0</v>
      </c>
      <c r="S200" s="6">
        <v>0</v>
      </c>
      <c r="T200" s="6">
        <v>22</v>
      </c>
      <c r="U200" s="6">
        <v>84</v>
      </c>
      <c r="V200" s="6">
        <f>IF(ISERROR(VLOOKUP($S$200,'TAR FIN'!$A$1:$O$92,15,0)),0,VLOOKUP($S$200,'TAR FIN'!$A$1:$O$92,15,0))</f>
        <v>0</v>
      </c>
      <c r="W200" s="6">
        <f>IF(ISERROR(VLOOKUP($T$200,'TAR FIN'!$A$1:$O$92,15,0)),0,VLOOKUP($T$200,'TAR FIN'!$A$1:$O$92,15,0))</f>
        <v>73.28</v>
      </c>
      <c r="X200" s="6">
        <f>IF(ISERROR(VLOOKUP($U$200,'TAR FIN'!$A$1:$O$92,15,0)),0,VLOOKUP($U$200,'TAR FIN'!$A$1:$O$92,15,0))</f>
        <v>286.76</v>
      </c>
      <c r="Y200" s="6"/>
      <c r="Z200" s="6">
        <f ca="1">('TUSD BE'!$AM$16+'TUSD BF_350'!$AM$16+'TUSD CVA'!$AM$16)*1</f>
        <v>126.25</v>
      </c>
      <c r="AA200" s="6">
        <f ca="1">('TE BE'!$AB$8+'TE BF_350'!$AB$8+'TE CVA'!$AB$8)*1</f>
        <v>250.03999999999996</v>
      </c>
      <c r="AB200" s="6">
        <f>$K$200*$V$200</f>
        <v>0</v>
      </c>
      <c r="AC200" s="6">
        <f>$M$200*$W$200</f>
        <v>12842.90624</v>
      </c>
      <c r="AD200" s="6">
        <f>$O$200*$X$200</f>
        <v>50256.984080000002</v>
      </c>
      <c r="AE200" s="6">
        <f>$K$200*$Y$200</f>
        <v>0</v>
      </c>
      <c r="AF200" s="6">
        <f ca="1">$M$200*$Z$200</f>
        <v>22126.322500000002</v>
      </c>
      <c r="AG200" s="6">
        <f ca="1">$O$200*$AA$200</f>
        <v>43821.510319999994</v>
      </c>
    </row>
    <row r="201" spans="1:33" ht="11.25" customHeight="1" x14ac:dyDescent="0.3">
      <c r="A201" s="4" t="s">
        <v>27</v>
      </c>
      <c r="B201" s="4" t="s">
        <v>34</v>
      </c>
      <c r="C201" s="4" t="s">
        <v>35</v>
      </c>
      <c r="D201" s="4" t="s">
        <v>33</v>
      </c>
      <c r="E201" s="4" t="s">
        <v>25</v>
      </c>
      <c r="F201" s="4" t="s">
        <v>25</v>
      </c>
      <c r="G201" s="4" t="s">
        <v>25</v>
      </c>
      <c r="H201" s="4" t="s">
        <v>37</v>
      </c>
      <c r="I201" s="5">
        <v>44682</v>
      </c>
      <c r="J201" s="6">
        <v>0</v>
      </c>
      <c r="K201" s="6">
        <v>0</v>
      </c>
      <c r="L201" s="6">
        <v>24.851900000000001</v>
      </c>
      <c r="M201" s="6">
        <v>24.851900000000001</v>
      </c>
      <c r="N201" s="6">
        <v>24.851900000000001</v>
      </c>
      <c r="O201" s="6">
        <v>24.851900000000001</v>
      </c>
      <c r="P201" s="6">
        <v>0</v>
      </c>
      <c r="Q201" s="4" t="s">
        <v>26</v>
      </c>
      <c r="R201" s="4">
        <v>0</v>
      </c>
      <c r="S201" s="6">
        <v>0</v>
      </c>
      <c r="T201" s="6">
        <v>22</v>
      </c>
      <c r="U201" s="6">
        <v>84</v>
      </c>
      <c r="V201" s="6">
        <f>IF(ISERROR(VLOOKUP($S$201,'TAR FIN'!$A$1:$O$92,15,0)),0,VLOOKUP($S$201,'TAR FIN'!$A$1:$O$92,15,0))</f>
        <v>0</v>
      </c>
      <c r="W201" s="6">
        <f>IF(ISERROR(VLOOKUP($T$201,'TAR FIN'!$A$1:$O$92,15,0)),0,VLOOKUP($T$201,'TAR FIN'!$A$1:$O$92,15,0))</f>
        <v>73.28</v>
      </c>
      <c r="X201" s="6">
        <f>IF(ISERROR(VLOOKUP($U$201,'TAR FIN'!$A$1:$O$92,15,0)),0,VLOOKUP($U$201,'TAR FIN'!$A$1:$O$92,15,0))</f>
        <v>286.76</v>
      </c>
      <c r="Y201" s="6"/>
      <c r="Z201" s="6">
        <f ca="1">('TUSD BE'!$AM$16+'TUSD BF_350'!$AM$16+'TUSD CVA'!$AM$16)*1</f>
        <v>126.25</v>
      </c>
      <c r="AA201" s="6">
        <f ca="1">('TE BE'!$AB$8+'TE BF_350'!$AB$8+'TE CVA'!$AB$8)*1</f>
        <v>250.03999999999996</v>
      </c>
      <c r="AB201" s="6">
        <f>$K$201*$V$201</f>
        <v>0</v>
      </c>
      <c r="AC201" s="6">
        <f>$M$201*$W$201</f>
        <v>1821.147232</v>
      </c>
      <c r="AD201" s="6">
        <f>$O$201*$X$201</f>
        <v>7126.5308439999999</v>
      </c>
      <c r="AE201" s="6">
        <f>$K$201*$Y$201</f>
        <v>0</v>
      </c>
      <c r="AF201" s="6">
        <f ca="1">$M$201*$Z$201</f>
        <v>3137.5523750000002</v>
      </c>
      <c r="AG201" s="6">
        <f ca="1">$O$201*$AA$201</f>
        <v>6213.9690759999994</v>
      </c>
    </row>
    <row r="202" spans="1:33" ht="11.25" customHeight="1" x14ac:dyDescent="0.3">
      <c r="A202" s="4" t="s">
        <v>21</v>
      </c>
      <c r="B202" s="4" t="s">
        <v>34</v>
      </c>
      <c r="C202" s="4" t="s">
        <v>35</v>
      </c>
      <c r="D202" s="4" t="s">
        <v>33</v>
      </c>
      <c r="E202" s="4" t="s">
        <v>25</v>
      </c>
      <c r="F202" s="4" t="s">
        <v>25</v>
      </c>
      <c r="G202" s="4" t="s">
        <v>25</v>
      </c>
      <c r="H202" s="4" t="s">
        <v>37</v>
      </c>
      <c r="I202" s="5">
        <v>44713</v>
      </c>
      <c r="J202" s="6">
        <v>0</v>
      </c>
      <c r="K202" s="6">
        <v>0</v>
      </c>
      <c r="L202" s="6">
        <v>157.922</v>
      </c>
      <c r="M202" s="6">
        <v>157.922</v>
      </c>
      <c r="N202" s="6">
        <v>157.922</v>
      </c>
      <c r="O202" s="6">
        <v>157.922</v>
      </c>
      <c r="P202" s="6">
        <v>0</v>
      </c>
      <c r="Q202" s="4" t="s">
        <v>26</v>
      </c>
      <c r="R202" s="4">
        <v>0</v>
      </c>
      <c r="S202" s="6">
        <v>0</v>
      </c>
      <c r="T202" s="6">
        <v>22</v>
      </c>
      <c r="U202" s="6">
        <v>84</v>
      </c>
      <c r="V202" s="6">
        <f>IF(ISERROR(VLOOKUP($S$202,'TAR FIN'!$A$1:$O$92,15,0)),0,VLOOKUP($S$202,'TAR FIN'!$A$1:$O$92,15,0))</f>
        <v>0</v>
      </c>
      <c r="W202" s="6">
        <f>IF(ISERROR(VLOOKUP($T$202,'TAR FIN'!$A$1:$O$92,15,0)),0,VLOOKUP($T$202,'TAR FIN'!$A$1:$O$92,15,0))</f>
        <v>73.28</v>
      </c>
      <c r="X202" s="6">
        <f>IF(ISERROR(VLOOKUP($U$202,'TAR FIN'!$A$1:$O$92,15,0)),0,VLOOKUP($U$202,'TAR FIN'!$A$1:$O$92,15,0))</f>
        <v>286.76</v>
      </c>
      <c r="Y202" s="6"/>
      <c r="Z202" s="6">
        <f ca="1">('TUSD BE'!$AM$16+'TUSD BF_350'!$AM$16+'TUSD CVA'!$AM$16)*1</f>
        <v>126.25</v>
      </c>
      <c r="AA202" s="6">
        <f ca="1">('TE BE'!$AB$8+'TE BF_350'!$AB$8+'TE CVA'!$AB$8)*1</f>
        <v>250.03999999999996</v>
      </c>
      <c r="AB202" s="6">
        <f>$K$202*$V$202</f>
        <v>0</v>
      </c>
      <c r="AC202" s="6">
        <f>$M$202*$W$202</f>
        <v>11572.524160000001</v>
      </c>
      <c r="AD202" s="6">
        <f>$O$202*$X$202</f>
        <v>45285.712719999996</v>
      </c>
      <c r="AE202" s="6">
        <f>$K$202*$Y$202</f>
        <v>0</v>
      </c>
      <c r="AF202" s="6">
        <f ca="1">$M$202*$Z$202</f>
        <v>19937.6525</v>
      </c>
      <c r="AG202" s="6">
        <f ca="1">$O$202*$AA$202</f>
        <v>39486.816879999991</v>
      </c>
    </row>
    <row r="203" spans="1:33" ht="11.25" customHeight="1" x14ac:dyDescent="0.3">
      <c r="A203" s="4" t="s">
        <v>27</v>
      </c>
      <c r="B203" s="4" t="s">
        <v>34</v>
      </c>
      <c r="C203" s="4" t="s">
        <v>35</v>
      </c>
      <c r="D203" s="4" t="s">
        <v>33</v>
      </c>
      <c r="E203" s="4" t="s">
        <v>25</v>
      </c>
      <c r="F203" s="4" t="s">
        <v>25</v>
      </c>
      <c r="G203" s="4" t="s">
        <v>25</v>
      </c>
      <c r="H203" s="4" t="s">
        <v>37</v>
      </c>
      <c r="I203" s="5">
        <v>44713</v>
      </c>
      <c r="J203" s="6">
        <v>0</v>
      </c>
      <c r="K203" s="6">
        <v>0</v>
      </c>
      <c r="L203" s="6">
        <v>26.805409999999998</v>
      </c>
      <c r="M203" s="6">
        <v>26.805409999999998</v>
      </c>
      <c r="N203" s="6">
        <v>26.805409999999998</v>
      </c>
      <c r="O203" s="6">
        <v>26.805409999999998</v>
      </c>
      <c r="P203" s="6">
        <v>0</v>
      </c>
      <c r="Q203" s="4" t="s">
        <v>26</v>
      </c>
      <c r="R203" s="4">
        <v>0</v>
      </c>
      <c r="S203" s="6">
        <v>0</v>
      </c>
      <c r="T203" s="6">
        <v>22</v>
      </c>
      <c r="U203" s="6">
        <v>84</v>
      </c>
      <c r="V203" s="6">
        <f>IF(ISERROR(VLOOKUP($S$203,'TAR FIN'!$A$1:$O$92,15,0)),0,VLOOKUP($S$203,'TAR FIN'!$A$1:$O$92,15,0))</f>
        <v>0</v>
      </c>
      <c r="W203" s="6">
        <f>IF(ISERROR(VLOOKUP($T$203,'TAR FIN'!$A$1:$O$92,15,0)),0,VLOOKUP($T$203,'TAR FIN'!$A$1:$O$92,15,0))</f>
        <v>73.28</v>
      </c>
      <c r="X203" s="6">
        <f>IF(ISERROR(VLOOKUP($U$203,'TAR FIN'!$A$1:$O$92,15,0)),0,VLOOKUP($U$203,'TAR FIN'!$A$1:$O$92,15,0))</f>
        <v>286.76</v>
      </c>
      <c r="Y203" s="6"/>
      <c r="Z203" s="6">
        <f ca="1">('TUSD BE'!$AM$16+'TUSD BF_350'!$AM$16+'TUSD CVA'!$AM$16)*1</f>
        <v>126.25</v>
      </c>
      <c r="AA203" s="6">
        <f ca="1">('TE BE'!$AB$8+'TE BF_350'!$AB$8+'TE CVA'!$AB$8)*1</f>
        <v>250.03999999999996</v>
      </c>
      <c r="AB203" s="6">
        <f>$K$203*$V$203</f>
        <v>0</v>
      </c>
      <c r="AC203" s="6">
        <f>$M$203*$W$203</f>
        <v>1964.3004447999999</v>
      </c>
      <c r="AD203" s="6">
        <f>$O$203*$X$203</f>
        <v>7686.7193715999992</v>
      </c>
      <c r="AE203" s="6">
        <f>$K$203*$Y$203</f>
        <v>0</v>
      </c>
      <c r="AF203" s="6">
        <f ca="1">$M$203*$Z$203</f>
        <v>3384.1830124999997</v>
      </c>
      <c r="AG203" s="6">
        <f ca="1">$O$203*$AA$203</f>
        <v>6702.4247163999989</v>
      </c>
    </row>
    <row r="204" spans="1:33" ht="11.25" customHeight="1" x14ac:dyDescent="0.3">
      <c r="A204" s="4" t="s">
        <v>21</v>
      </c>
      <c r="B204" s="4" t="s">
        <v>34</v>
      </c>
      <c r="C204" s="4" t="s">
        <v>35</v>
      </c>
      <c r="D204" s="4" t="s">
        <v>33</v>
      </c>
      <c r="E204" s="4" t="s">
        <v>25</v>
      </c>
      <c r="F204" s="4" t="s">
        <v>25</v>
      </c>
      <c r="G204" s="4" t="s">
        <v>25</v>
      </c>
      <c r="H204" s="4" t="s">
        <v>37</v>
      </c>
      <c r="I204" s="5">
        <v>44743</v>
      </c>
      <c r="J204" s="6">
        <v>0</v>
      </c>
      <c r="K204" s="6">
        <v>0</v>
      </c>
      <c r="L204" s="6">
        <v>153.59897000000001</v>
      </c>
      <c r="M204" s="6">
        <v>153.59897000000001</v>
      </c>
      <c r="N204" s="6">
        <v>153.59897000000001</v>
      </c>
      <c r="O204" s="6">
        <v>153.59897000000001</v>
      </c>
      <c r="P204" s="6">
        <v>0</v>
      </c>
      <c r="Q204" s="4" t="s">
        <v>26</v>
      </c>
      <c r="R204" s="4">
        <v>0</v>
      </c>
      <c r="S204" s="6">
        <v>0</v>
      </c>
      <c r="T204" s="6">
        <v>22</v>
      </c>
      <c r="U204" s="6">
        <v>84</v>
      </c>
      <c r="V204" s="6">
        <f>IF(ISERROR(VLOOKUP($S$204,'TAR FIN'!$A$1:$O$92,15,0)),0,VLOOKUP($S$204,'TAR FIN'!$A$1:$O$92,15,0))</f>
        <v>0</v>
      </c>
      <c r="W204" s="6">
        <f>IF(ISERROR(VLOOKUP($T$204,'TAR FIN'!$A$1:$O$92,15,0)),0,VLOOKUP($T$204,'TAR FIN'!$A$1:$O$92,15,0))</f>
        <v>73.28</v>
      </c>
      <c r="X204" s="6">
        <f>IF(ISERROR(VLOOKUP($U$204,'TAR FIN'!$A$1:$O$92,15,0)),0,VLOOKUP($U$204,'TAR FIN'!$A$1:$O$92,15,0))</f>
        <v>286.76</v>
      </c>
      <c r="Y204" s="6"/>
      <c r="Z204" s="6">
        <f ca="1">('TUSD BE'!$AM$16+'TUSD BF_350'!$AM$16+'TUSD CVA'!$AM$16)*1</f>
        <v>126.25</v>
      </c>
      <c r="AA204" s="6">
        <f ca="1">('TE BE'!$AB$8+'TE BF_350'!$AB$8+'TE CVA'!$AB$8)*1</f>
        <v>250.03999999999996</v>
      </c>
      <c r="AB204" s="6">
        <f>$K$204*$V$204</f>
        <v>0</v>
      </c>
      <c r="AC204" s="6">
        <f>$M$204*$W$204</f>
        <v>11255.732521600001</v>
      </c>
      <c r="AD204" s="6">
        <f>$O$204*$X$204</f>
        <v>44046.0406372</v>
      </c>
      <c r="AE204" s="6">
        <f>$K$204*$Y$204</f>
        <v>0</v>
      </c>
      <c r="AF204" s="6">
        <f ca="1">$M$204*$Z$204</f>
        <v>19391.869962500001</v>
      </c>
      <c r="AG204" s="6">
        <f ca="1">$O$204*$AA$204</f>
        <v>38405.8864588</v>
      </c>
    </row>
    <row r="205" spans="1:33" ht="11.25" customHeight="1" x14ac:dyDescent="0.3">
      <c r="A205" s="4" t="s">
        <v>27</v>
      </c>
      <c r="B205" s="4" t="s">
        <v>34</v>
      </c>
      <c r="C205" s="4" t="s">
        <v>35</v>
      </c>
      <c r="D205" s="4" t="s">
        <v>33</v>
      </c>
      <c r="E205" s="4" t="s">
        <v>25</v>
      </c>
      <c r="F205" s="4" t="s">
        <v>25</v>
      </c>
      <c r="G205" s="4" t="s">
        <v>25</v>
      </c>
      <c r="H205" s="4" t="s">
        <v>37</v>
      </c>
      <c r="I205" s="5">
        <v>44743</v>
      </c>
      <c r="J205" s="6">
        <v>0</v>
      </c>
      <c r="K205" s="6">
        <v>0</v>
      </c>
      <c r="L205" s="6">
        <v>41.171619999999997</v>
      </c>
      <c r="M205" s="6">
        <v>41.171619999999997</v>
      </c>
      <c r="N205" s="6">
        <v>41.171619999999997</v>
      </c>
      <c r="O205" s="6">
        <v>41.171619999999997</v>
      </c>
      <c r="P205" s="6">
        <v>0</v>
      </c>
      <c r="Q205" s="4" t="s">
        <v>26</v>
      </c>
      <c r="R205" s="4">
        <v>0</v>
      </c>
      <c r="S205" s="6">
        <v>0</v>
      </c>
      <c r="T205" s="6">
        <v>22</v>
      </c>
      <c r="U205" s="6">
        <v>84</v>
      </c>
      <c r="V205" s="6">
        <f>IF(ISERROR(VLOOKUP($S$205,'TAR FIN'!$A$1:$O$92,15,0)),0,VLOOKUP($S$205,'TAR FIN'!$A$1:$O$92,15,0))</f>
        <v>0</v>
      </c>
      <c r="W205" s="6">
        <f>IF(ISERROR(VLOOKUP($T$205,'TAR FIN'!$A$1:$O$92,15,0)),0,VLOOKUP($T$205,'TAR FIN'!$A$1:$O$92,15,0))</f>
        <v>73.28</v>
      </c>
      <c r="X205" s="6">
        <f>IF(ISERROR(VLOOKUP($U$205,'TAR FIN'!$A$1:$O$92,15,0)),0,VLOOKUP($U$205,'TAR FIN'!$A$1:$O$92,15,0))</f>
        <v>286.76</v>
      </c>
      <c r="Y205" s="6"/>
      <c r="Z205" s="6">
        <f ca="1">('TUSD BE'!$AM$16+'TUSD BF_350'!$AM$16+'TUSD CVA'!$AM$16)*1</f>
        <v>126.25</v>
      </c>
      <c r="AA205" s="6">
        <f ca="1">('TE BE'!$AB$8+'TE BF_350'!$AB$8+'TE CVA'!$AB$8)*1</f>
        <v>250.03999999999996</v>
      </c>
      <c r="AB205" s="6">
        <f>$K$205*$V$205</f>
        <v>0</v>
      </c>
      <c r="AC205" s="6">
        <f>$M$205*$W$205</f>
        <v>3017.0563136000001</v>
      </c>
      <c r="AD205" s="6">
        <f>$O$205*$X$205</f>
        <v>11806.373751199999</v>
      </c>
      <c r="AE205" s="6">
        <f>$K$205*$Y$205</f>
        <v>0</v>
      </c>
      <c r="AF205" s="6">
        <f ca="1">$M$205*$Z$205</f>
        <v>5197.9170249999997</v>
      </c>
      <c r="AG205" s="6">
        <f ca="1">$O$205*$AA$205</f>
        <v>10294.551864799998</v>
      </c>
    </row>
    <row r="206" spans="1:33" ht="11.25" customHeight="1" x14ac:dyDescent="0.3">
      <c r="A206" s="4" t="s">
        <v>21</v>
      </c>
      <c r="B206" s="4" t="s">
        <v>34</v>
      </c>
      <c r="C206" s="4" t="s">
        <v>35</v>
      </c>
      <c r="D206" s="4" t="s">
        <v>33</v>
      </c>
      <c r="E206" s="4" t="s">
        <v>25</v>
      </c>
      <c r="F206" s="4" t="s">
        <v>25</v>
      </c>
      <c r="G206" s="4" t="s">
        <v>25</v>
      </c>
      <c r="H206" s="4" t="s">
        <v>25</v>
      </c>
      <c r="I206" s="5">
        <v>44409</v>
      </c>
      <c r="J206" s="6">
        <v>1378.57</v>
      </c>
      <c r="K206" s="6">
        <v>1378.57</v>
      </c>
      <c r="L206" s="6">
        <v>0</v>
      </c>
      <c r="M206" s="6">
        <v>0</v>
      </c>
      <c r="N206" s="6">
        <v>0</v>
      </c>
      <c r="O206" s="6">
        <v>0</v>
      </c>
      <c r="P206" s="6">
        <v>10</v>
      </c>
      <c r="Q206" s="4" t="s">
        <v>26</v>
      </c>
      <c r="R206" s="4">
        <v>0</v>
      </c>
      <c r="S206" s="6">
        <v>18</v>
      </c>
      <c r="T206" s="6">
        <v>0</v>
      </c>
      <c r="U206" s="6">
        <v>0</v>
      </c>
      <c r="V206" s="6">
        <f>IF(ISERROR(VLOOKUP($S$206,'TAR FIN'!$A$1:$O$92,15,0)),0,VLOOKUP($S$206,'TAR FIN'!$A$1:$O$92,15,0))</f>
        <v>18.489999999999998</v>
      </c>
      <c r="W206" s="6">
        <f>IF(ISERROR(VLOOKUP($T$206,'TAR FIN'!$A$1:$O$92,15,0)),0,VLOOKUP($T$206,'TAR FIN'!$A$1:$O$92,15,0))</f>
        <v>0</v>
      </c>
      <c r="X206" s="6">
        <f>IF(ISERROR(VLOOKUP($U$206,'TAR FIN'!$A$1:$O$92,15,0)),0,VLOOKUP($U$206,'TAR FIN'!$A$1:$O$92,15,0))</f>
        <v>0</v>
      </c>
      <c r="Y206" s="6">
        <f ca="1">('TUSD BE'!$AM$14+'TUSD BF_350'!$AM$14+'TUSD CVA'!$AM$14)*1</f>
        <v>15.64</v>
      </c>
      <c r="Z206" s="6"/>
      <c r="AA206" s="6"/>
      <c r="AB206" s="6">
        <f>$K$206*$V$206</f>
        <v>25489.759299999998</v>
      </c>
      <c r="AC206" s="6">
        <f>$M$206*$W$206</f>
        <v>0</v>
      </c>
      <c r="AD206" s="6">
        <f>$O$206*$X$206</f>
        <v>0</v>
      </c>
      <c r="AE206" s="6">
        <f ca="1">$K$206*$Y$206</f>
        <v>21560.834800000001</v>
      </c>
      <c r="AF206" s="6">
        <f>$M$206*$Z$206</f>
        <v>0</v>
      </c>
      <c r="AG206" s="6">
        <f>$O$206*$AA$206</f>
        <v>0</v>
      </c>
    </row>
    <row r="207" spans="1:33" ht="11.25" customHeight="1" x14ac:dyDescent="0.3">
      <c r="A207" s="4" t="s">
        <v>27</v>
      </c>
      <c r="B207" s="4" t="s">
        <v>34</v>
      </c>
      <c r="C207" s="4" t="s">
        <v>35</v>
      </c>
      <c r="D207" s="4" t="s">
        <v>33</v>
      </c>
      <c r="E207" s="4" t="s">
        <v>25</v>
      </c>
      <c r="F207" s="4" t="s">
        <v>25</v>
      </c>
      <c r="G207" s="4" t="s">
        <v>25</v>
      </c>
      <c r="H207" s="4" t="s">
        <v>25</v>
      </c>
      <c r="I207" s="5">
        <v>44409</v>
      </c>
      <c r="J207" s="6">
        <v>350</v>
      </c>
      <c r="K207" s="6">
        <v>350</v>
      </c>
      <c r="L207" s="6">
        <v>0</v>
      </c>
      <c r="M207" s="6">
        <v>0</v>
      </c>
      <c r="N207" s="6">
        <v>0</v>
      </c>
      <c r="O207" s="6">
        <v>0</v>
      </c>
      <c r="P207" s="6">
        <v>2</v>
      </c>
      <c r="Q207" s="4" t="s">
        <v>26</v>
      </c>
      <c r="R207" s="4">
        <v>0</v>
      </c>
      <c r="S207" s="6">
        <v>18</v>
      </c>
      <c r="T207" s="6">
        <v>0</v>
      </c>
      <c r="U207" s="6">
        <v>0</v>
      </c>
      <c r="V207" s="6">
        <f>IF(ISERROR(VLOOKUP($S$207,'TAR FIN'!$A$1:$O$92,15,0)),0,VLOOKUP($S$207,'TAR FIN'!$A$1:$O$92,15,0))</f>
        <v>18.489999999999998</v>
      </c>
      <c r="W207" s="6">
        <f>IF(ISERROR(VLOOKUP($T$207,'TAR FIN'!$A$1:$O$92,15,0)),0,VLOOKUP($T$207,'TAR FIN'!$A$1:$O$92,15,0))</f>
        <v>0</v>
      </c>
      <c r="X207" s="6">
        <f>IF(ISERROR(VLOOKUP($U$207,'TAR FIN'!$A$1:$O$92,15,0)),0,VLOOKUP($U$207,'TAR FIN'!$A$1:$O$92,15,0))</f>
        <v>0</v>
      </c>
      <c r="Y207" s="6">
        <f ca="1">('TUSD BE'!$AM$14+'TUSD BF_350'!$AM$14+'TUSD CVA'!$AM$14)*1</f>
        <v>15.64</v>
      </c>
      <c r="Z207" s="6"/>
      <c r="AA207" s="6"/>
      <c r="AB207" s="6">
        <f>$K$207*$V$207</f>
        <v>6471.4999999999991</v>
      </c>
      <c r="AC207" s="6">
        <f>$M$207*$W$207</f>
        <v>0</v>
      </c>
      <c r="AD207" s="6">
        <f>$O$207*$X$207</f>
        <v>0</v>
      </c>
      <c r="AE207" s="6">
        <f ca="1">$K$207*$Y$207</f>
        <v>5474</v>
      </c>
      <c r="AF207" s="6">
        <f>$M$207*$Z$207</f>
        <v>0</v>
      </c>
      <c r="AG207" s="6">
        <f>$O$207*$AA$207</f>
        <v>0</v>
      </c>
    </row>
    <row r="208" spans="1:33" ht="11.25" customHeight="1" x14ac:dyDescent="0.3">
      <c r="A208" s="4" t="s">
        <v>21</v>
      </c>
      <c r="B208" s="4" t="s">
        <v>34</v>
      </c>
      <c r="C208" s="4" t="s">
        <v>35</v>
      </c>
      <c r="D208" s="4" t="s">
        <v>33</v>
      </c>
      <c r="E208" s="4" t="s">
        <v>25</v>
      </c>
      <c r="F208" s="4" t="s">
        <v>25</v>
      </c>
      <c r="G208" s="4" t="s">
        <v>25</v>
      </c>
      <c r="H208" s="4" t="s">
        <v>25</v>
      </c>
      <c r="I208" s="5">
        <v>44440</v>
      </c>
      <c r="J208" s="6">
        <v>1369</v>
      </c>
      <c r="K208" s="6">
        <v>1369</v>
      </c>
      <c r="L208" s="6">
        <v>0</v>
      </c>
      <c r="M208" s="6">
        <v>0</v>
      </c>
      <c r="N208" s="6">
        <v>0</v>
      </c>
      <c r="O208" s="6">
        <v>0</v>
      </c>
      <c r="P208" s="6">
        <v>10</v>
      </c>
      <c r="Q208" s="4" t="s">
        <v>26</v>
      </c>
      <c r="R208" s="4">
        <v>0</v>
      </c>
      <c r="S208" s="6">
        <v>18</v>
      </c>
      <c r="T208" s="6">
        <v>0</v>
      </c>
      <c r="U208" s="6">
        <v>0</v>
      </c>
      <c r="V208" s="6">
        <f>IF(ISERROR(VLOOKUP($S$208,'TAR FIN'!$A$1:$O$92,15,0)),0,VLOOKUP($S$208,'TAR FIN'!$A$1:$O$92,15,0))</f>
        <v>18.489999999999998</v>
      </c>
      <c r="W208" s="6">
        <f>IF(ISERROR(VLOOKUP($T$208,'TAR FIN'!$A$1:$O$92,15,0)),0,VLOOKUP($T$208,'TAR FIN'!$A$1:$O$92,15,0))</f>
        <v>0</v>
      </c>
      <c r="X208" s="6">
        <f>IF(ISERROR(VLOOKUP($U$208,'TAR FIN'!$A$1:$O$92,15,0)),0,VLOOKUP($U$208,'TAR FIN'!$A$1:$O$92,15,0))</f>
        <v>0</v>
      </c>
      <c r="Y208" s="6">
        <f ca="1">('TUSD BE'!$AM$14+'TUSD BF_350'!$AM$14+'TUSD CVA'!$AM$14)*1</f>
        <v>15.64</v>
      </c>
      <c r="Z208" s="6"/>
      <c r="AA208" s="6"/>
      <c r="AB208" s="6">
        <f>$K$208*$V$208</f>
        <v>25312.809999999998</v>
      </c>
      <c r="AC208" s="6">
        <f>$M$208*$W$208</f>
        <v>0</v>
      </c>
      <c r="AD208" s="6">
        <f>$O$208*$X$208</f>
        <v>0</v>
      </c>
      <c r="AE208" s="6">
        <f ca="1">$K$208*$Y$208</f>
        <v>21411.16</v>
      </c>
      <c r="AF208" s="6">
        <f>$M$208*$Z$208</f>
        <v>0</v>
      </c>
      <c r="AG208" s="6">
        <f>$O$208*$AA$208</f>
        <v>0</v>
      </c>
    </row>
    <row r="209" spans="1:33" ht="11.25" customHeight="1" x14ac:dyDescent="0.3">
      <c r="A209" s="4" t="s">
        <v>27</v>
      </c>
      <c r="B209" s="4" t="s">
        <v>34</v>
      </c>
      <c r="C209" s="4" t="s">
        <v>35</v>
      </c>
      <c r="D209" s="4" t="s">
        <v>33</v>
      </c>
      <c r="E209" s="4" t="s">
        <v>25</v>
      </c>
      <c r="F209" s="4" t="s">
        <v>25</v>
      </c>
      <c r="G209" s="4" t="s">
        <v>25</v>
      </c>
      <c r="H209" s="4" t="s">
        <v>25</v>
      </c>
      <c r="I209" s="5">
        <v>44440</v>
      </c>
      <c r="J209" s="6">
        <v>350</v>
      </c>
      <c r="K209" s="6">
        <v>350</v>
      </c>
      <c r="L209" s="6">
        <v>0</v>
      </c>
      <c r="M209" s="6">
        <v>0</v>
      </c>
      <c r="N209" s="6">
        <v>0</v>
      </c>
      <c r="O209" s="6">
        <v>0</v>
      </c>
      <c r="P209" s="6">
        <v>2</v>
      </c>
      <c r="Q209" s="4" t="s">
        <v>26</v>
      </c>
      <c r="R209" s="4">
        <v>0</v>
      </c>
      <c r="S209" s="6">
        <v>18</v>
      </c>
      <c r="T209" s="6">
        <v>0</v>
      </c>
      <c r="U209" s="6">
        <v>0</v>
      </c>
      <c r="V209" s="6">
        <f>IF(ISERROR(VLOOKUP($S$209,'TAR FIN'!$A$1:$O$92,15,0)),0,VLOOKUP($S$209,'TAR FIN'!$A$1:$O$92,15,0))</f>
        <v>18.489999999999998</v>
      </c>
      <c r="W209" s="6">
        <f>IF(ISERROR(VLOOKUP($T$209,'TAR FIN'!$A$1:$O$92,15,0)),0,VLOOKUP($T$209,'TAR FIN'!$A$1:$O$92,15,0))</f>
        <v>0</v>
      </c>
      <c r="X209" s="6">
        <f>IF(ISERROR(VLOOKUP($U$209,'TAR FIN'!$A$1:$O$92,15,0)),0,VLOOKUP($U$209,'TAR FIN'!$A$1:$O$92,15,0))</f>
        <v>0</v>
      </c>
      <c r="Y209" s="6">
        <f ca="1">('TUSD BE'!$AM$14+'TUSD BF_350'!$AM$14+'TUSD CVA'!$AM$14)*1</f>
        <v>15.64</v>
      </c>
      <c r="Z209" s="6"/>
      <c r="AA209" s="6"/>
      <c r="AB209" s="6">
        <f>$K$209*$V$209</f>
        <v>6471.4999999999991</v>
      </c>
      <c r="AC209" s="6">
        <f>$M$209*$W$209</f>
        <v>0</v>
      </c>
      <c r="AD209" s="6">
        <f>$O$209*$X$209</f>
        <v>0</v>
      </c>
      <c r="AE209" s="6">
        <f ca="1">$K$209*$Y$209</f>
        <v>5474</v>
      </c>
      <c r="AF209" s="6">
        <f>$M$209*$Z$209</f>
        <v>0</v>
      </c>
      <c r="AG209" s="6">
        <f>$O$209*$AA$209</f>
        <v>0</v>
      </c>
    </row>
    <row r="210" spans="1:33" ht="11.25" customHeight="1" x14ac:dyDescent="0.3">
      <c r="A210" s="4" t="s">
        <v>21</v>
      </c>
      <c r="B210" s="4" t="s">
        <v>34</v>
      </c>
      <c r="C210" s="4" t="s">
        <v>35</v>
      </c>
      <c r="D210" s="4" t="s">
        <v>33</v>
      </c>
      <c r="E210" s="4" t="s">
        <v>25</v>
      </c>
      <c r="F210" s="4" t="s">
        <v>25</v>
      </c>
      <c r="G210" s="4" t="s">
        <v>25</v>
      </c>
      <c r="H210" s="4" t="s">
        <v>25</v>
      </c>
      <c r="I210" s="5">
        <v>44470</v>
      </c>
      <c r="J210" s="6">
        <v>1399</v>
      </c>
      <c r="K210" s="6">
        <v>1399</v>
      </c>
      <c r="L210" s="6">
        <v>0</v>
      </c>
      <c r="M210" s="6">
        <v>0</v>
      </c>
      <c r="N210" s="6">
        <v>0</v>
      </c>
      <c r="O210" s="6">
        <v>0</v>
      </c>
      <c r="P210" s="6">
        <v>10</v>
      </c>
      <c r="Q210" s="4" t="s">
        <v>26</v>
      </c>
      <c r="R210" s="4">
        <v>0</v>
      </c>
      <c r="S210" s="6">
        <v>18</v>
      </c>
      <c r="T210" s="6">
        <v>0</v>
      </c>
      <c r="U210" s="6">
        <v>0</v>
      </c>
      <c r="V210" s="6">
        <f>IF(ISERROR(VLOOKUP($S$210,'TAR FIN'!$A$1:$O$92,15,0)),0,VLOOKUP($S$210,'TAR FIN'!$A$1:$O$92,15,0))</f>
        <v>18.489999999999998</v>
      </c>
      <c r="W210" s="6">
        <f>IF(ISERROR(VLOOKUP($T$210,'TAR FIN'!$A$1:$O$92,15,0)),0,VLOOKUP($T$210,'TAR FIN'!$A$1:$O$92,15,0))</f>
        <v>0</v>
      </c>
      <c r="X210" s="6">
        <f>IF(ISERROR(VLOOKUP($U$210,'TAR FIN'!$A$1:$O$92,15,0)),0,VLOOKUP($U$210,'TAR FIN'!$A$1:$O$92,15,0))</f>
        <v>0</v>
      </c>
      <c r="Y210" s="6">
        <f ca="1">('TUSD BE'!$AM$14+'TUSD BF_350'!$AM$14+'TUSD CVA'!$AM$14)*1</f>
        <v>15.64</v>
      </c>
      <c r="Z210" s="6"/>
      <c r="AA210" s="6"/>
      <c r="AB210" s="6">
        <f>$K$210*$V$210</f>
        <v>25867.51</v>
      </c>
      <c r="AC210" s="6">
        <f>$M$210*$W$210</f>
        <v>0</v>
      </c>
      <c r="AD210" s="6">
        <f>$O$210*$X$210</f>
        <v>0</v>
      </c>
      <c r="AE210" s="6">
        <f ca="1">$K$210*$Y$210</f>
        <v>21880.36</v>
      </c>
      <c r="AF210" s="6">
        <f>$M$210*$Z$210</f>
        <v>0</v>
      </c>
      <c r="AG210" s="6">
        <f>$O$210*$AA$210</f>
        <v>0</v>
      </c>
    </row>
    <row r="211" spans="1:33" ht="11.25" customHeight="1" x14ac:dyDescent="0.3">
      <c r="A211" s="4" t="s">
        <v>27</v>
      </c>
      <c r="B211" s="4" t="s">
        <v>34</v>
      </c>
      <c r="C211" s="4" t="s">
        <v>35</v>
      </c>
      <c r="D211" s="4" t="s">
        <v>33</v>
      </c>
      <c r="E211" s="4" t="s">
        <v>25</v>
      </c>
      <c r="F211" s="4" t="s">
        <v>25</v>
      </c>
      <c r="G211" s="4" t="s">
        <v>25</v>
      </c>
      <c r="H211" s="4" t="s">
        <v>25</v>
      </c>
      <c r="I211" s="5">
        <v>44470</v>
      </c>
      <c r="J211" s="6">
        <v>350</v>
      </c>
      <c r="K211" s="6">
        <v>350</v>
      </c>
      <c r="L211" s="6">
        <v>0</v>
      </c>
      <c r="M211" s="6">
        <v>0</v>
      </c>
      <c r="N211" s="6">
        <v>0</v>
      </c>
      <c r="O211" s="6">
        <v>0</v>
      </c>
      <c r="P211" s="6">
        <v>2</v>
      </c>
      <c r="Q211" s="4" t="s">
        <v>26</v>
      </c>
      <c r="R211" s="4">
        <v>0</v>
      </c>
      <c r="S211" s="6">
        <v>18</v>
      </c>
      <c r="T211" s="6">
        <v>0</v>
      </c>
      <c r="U211" s="6">
        <v>0</v>
      </c>
      <c r="V211" s="6">
        <f>IF(ISERROR(VLOOKUP($S$211,'TAR FIN'!$A$1:$O$92,15,0)),0,VLOOKUP($S$211,'TAR FIN'!$A$1:$O$92,15,0))</f>
        <v>18.489999999999998</v>
      </c>
      <c r="W211" s="6">
        <f>IF(ISERROR(VLOOKUP($T$211,'TAR FIN'!$A$1:$O$92,15,0)),0,VLOOKUP($T$211,'TAR FIN'!$A$1:$O$92,15,0))</f>
        <v>0</v>
      </c>
      <c r="X211" s="6">
        <f>IF(ISERROR(VLOOKUP($U$211,'TAR FIN'!$A$1:$O$92,15,0)),0,VLOOKUP($U$211,'TAR FIN'!$A$1:$O$92,15,0))</f>
        <v>0</v>
      </c>
      <c r="Y211" s="6">
        <f ca="1">('TUSD BE'!$AM$14+'TUSD BF_350'!$AM$14+'TUSD CVA'!$AM$14)*1</f>
        <v>15.64</v>
      </c>
      <c r="Z211" s="6"/>
      <c r="AA211" s="6"/>
      <c r="AB211" s="6">
        <f>$K$211*$V$211</f>
        <v>6471.4999999999991</v>
      </c>
      <c r="AC211" s="6">
        <f>$M$211*$W$211</f>
        <v>0</v>
      </c>
      <c r="AD211" s="6">
        <f>$O$211*$X$211</f>
        <v>0</v>
      </c>
      <c r="AE211" s="6">
        <f ca="1">$K$211*$Y$211</f>
        <v>5474</v>
      </c>
      <c r="AF211" s="6">
        <f>$M$211*$Z$211</f>
        <v>0</v>
      </c>
      <c r="AG211" s="6">
        <f>$O$211*$AA$211</f>
        <v>0</v>
      </c>
    </row>
    <row r="212" spans="1:33" ht="11.25" customHeight="1" x14ac:dyDescent="0.3">
      <c r="A212" s="4" t="s">
        <v>21</v>
      </c>
      <c r="B212" s="4" t="s">
        <v>34</v>
      </c>
      <c r="C212" s="4" t="s">
        <v>35</v>
      </c>
      <c r="D212" s="4" t="s">
        <v>33</v>
      </c>
      <c r="E212" s="4" t="s">
        <v>25</v>
      </c>
      <c r="F212" s="4" t="s">
        <v>25</v>
      </c>
      <c r="G212" s="4" t="s">
        <v>25</v>
      </c>
      <c r="H212" s="4" t="s">
        <v>25</v>
      </c>
      <c r="I212" s="5">
        <v>44501</v>
      </c>
      <c r="J212" s="6">
        <v>1397</v>
      </c>
      <c r="K212" s="6">
        <v>1397</v>
      </c>
      <c r="L212" s="6">
        <v>0</v>
      </c>
      <c r="M212" s="6">
        <v>0</v>
      </c>
      <c r="N212" s="6">
        <v>0</v>
      </c>
      <c r="O212" s="6">
        <v>0</v>
      </c>
      <c r="P212" s="6">
        <v>10</v>
      </c>
      <c r="Q212" s="4" t="s">
        <v>26</v>
      </c>
      <c r="R212" s="4">
        <v>0</v>
      </c>
      <c r="S212" s="6">
        <v>18</v>
      </c>
      <c r="T212" s="6">
        <v>0</v>
      </c>
      <c r="U212" s="6">
        <v>0</v>
      </c>
      <c r="V212" s="6">
        <f>IF(ISERROR(VLOOKUP($S$212,'TAR FIN'!$A$1:$O$92,15,0)),0,VLOOKUP($S$212,'TAR FIN'!$A$1:$O$92,15,0))</f>
        <v>18.489999999999998</v>
      </c>
      <c r="W212" s="6">
        <f>IF(ISERROR(VLOOKUP($T$212,'TAR FIN'!$A$1:$O$92,15,0)),0,VLOOKUP($T$212,'TAR FIN'!$A$1:$O$92,15,0))</f>
        <v>0</v>
      </c>
      <c r="X212" s="6">
        <f>IF(ISERROR(VLOOKUP($U$212,'TAR FIN'!$A$1:$O$92,15,0)),0,VLOOKUP($U$212,'TAR FIN'!$A$1:$O$92,15,0))</f>
        <v>0</v>
      </c>
      <c r="Y212" s="6">
        <f ca="1">('TUSD BE'!$AM$14+'TUSD BF_350'!$AM$14+'TUSD CVA'!$AM$14)*1</f>
        <v>15.64</v>
      </c>
      <c r="Z212" s="6"/>
      <c r="AA212" s="6"/>
      <c r="AB212" s="6">
        <f>$K$212*$V$212</f>
        <v>25830.53</v>
      </c>
      <c r="AC212" s="6">
        <f>$M$212*$W$212</f>
        <v>0</v>
      </c>
      <c r="AD212" s="6">
        <f>$O$212*$X$212</f>
        <v>0</v>
      </c>
      <c r="AE212" s="6">
        <f ca="1">$K$212*$Y$212</f>
        <v>21849.08</v>
      </c>
      <c r="AF212" s="6">
        <f>$M$212*$Z$212</f>
        <v>0</v>
      </c>
      <c r="AG212" s="6">
        <f>$O$212*$AA$212</f>
        <v>0</v>
      </c>
    </row>
    <row r="213" spans="1:33" ht="11.25" customHeight="1" x14ac:dyDescent="0.3">
      <c r="A213" s="4" t="s">
        <v>27</v>
      </c>
      <c r="B213" s="4" t="s">
        <v>34</v>
      </c>
      <c r="C213" s="4" t="s">
        <v>35</v>
      </c>
      <c r="D213" s="4" t="s">
        <v>33</v>
      </c>
      <c r="E213" s="4" t="s">
        <v>25</v>
      </c>
      <c r="F213" s="4" t="s">
        <v>25</v>
      </c>
      <c r="G213" s="4" t="s">
        <v>25</v>
      </c>
      <c r="H213" s="4" t="s">
        <v>25</v>
      </c>
      <c r="I213" s="5">
        <v>44501</v>
      </c>
      <c r="J213" s="6">
        <v>350</v>
      </c>
      <c r="K213" s="6">
        <v>350</v>
      </c>
      <c r="L213" s="6">
        <v>0</v>
      </c>
      <c r="M213" s="6">
        <v>0</v>
      </c>
      <c r="N213" s="6">
        <v>0</v>
      </c>
      <c r="O213" s="6">
        <v>0</v>
      </c>
      <c r="P213" s="6">
        <v>2</v>
      </c>
      <c r="Q213" s="4" t="s">
        <v>26</v>
      </c>
      <c r="R213" s="4">
        <v>0</v>
      </c>
      <c r="S213" s="6">
        <v>18</v>
      </c>
      <c r="T213" s="6">
        <v>0</v>
      </c>
      <c r="U213" s="6">
        <v>0</v>
      </c>
      <c r="V213" s="6">
        <f>IF(ISERROR(VLOOKUP($S$213,'TAR FIN'!$A$1:$O$92,15,0)),0,VLOOKUP($S$213,'TAR FIN'!$A$1:$O$92,15,0))</f>
        <v>18.489999999999998</v>
      </c>
      <c r="W213" s="6">
        <f>IF(ISERROR(VLOOKUP($T$213,'TAR FIN'!$A$1:$O$92,15,0)),0,VLOOKUP($T$213,'TAR FIN'!$A$1:$O$92,15,0))</f>
        <v>0</v>
      </c>
      <c r="X213" s="6">
        <f>IF(ISERROR(VLOOKUP($U$213,'TAR FIN'!$A$1:$O$92,15,0)),0,VLOOKUP($U$213,'TAR FIN'!$A$1:$O$92,15,0))</f>
        <v>0</v>
      </c>
      <c r="Y213" s="6">
        <f ca="1">('TUSD BE'!$AM$14+'TUSD BF_350'!$AM$14+'TUSD CVA'!$AM$14)*1</f>
        <v>15.64</v>
      </c>
      <c r="Z213" s="6"/>
      <c r="AA213" s="6"/>
      <c r="AB213" s="6">
        <f>$K$213*$V$213</f>
        <v>6471.4999999999991</v>
      </c>
      <c r="AC213" s="6">
        <f>$M$213*$W$213</f>
        <v>0</v>
      </c>
      <c r="AD213" s="6">
        <f>$O$213*$X$213</f>
        <v>0</v>
      </c>
      <c r="AE213" s="6">
        <f ca="1">$K$213*$Y$213</f>
        <v>5474</v>
      </c>
      <c r="AF213" s="6">
        <f>$M$213*$Z$213</f>
        <v>0</v>
      </c>
      <c r="AG213" s="6">
        <f>$O$213*$AA$213</f>
        <v>0</v>
      </c>
    </row>
    <row r="214" spans="1:33" ht="11.25" customHeight="1" x14ac:dyDescent="0.3">
      <c r="A214" s="4" t="s">
        <v>21</v>
      </c>
      <c r="B214" s="4" t="s">
        <v>34</v>
      </c>
      <c r="C214" s="4" t="s">
        <v>35</v>
      </c>
      <c r="D214" s="4" t="s">
        <v>33</v>
      </c>
      <c r="E214" s="4" t="s">
        <v>25</v>
      </c>
      <c r="F214" s="4" t="s">
        <v>25</v>
      </c>
      <c r="G214" s="4" t="s">
        <v>25</v>
      </c>
      <c r="H214" s="4" t="s">
        <v>25</v>
      </c>
      <c r="I214" s="5">
        <v>44531</v>
      </c>
      <c r="J214" s="6">
        <v>1411</v>
      </c>
      <c r="K214" s="6">
        <v>1411</v>
      </c>
      <c r="L214" s="6">
        <v>0</v>
      </c>
      <c r="M214" s="6">
        <v>0</v>
      </c>
      <c r="N214" s="6">
        <v>0</v>
      </c>
      <c r="O214" s="6">
        <v>0</v>
      </c>
      <c r="P214" s="6">
        <v>10</v>
      </c>
      <c r="Q214" s="4" t="s">
        <v>26</v>
      </c>
      <c r="R214" s="4">
        <v>0</v>
      </c>
      <c r="S214" s="6">
        <v>18</v>
      </c>
      <c r="T214" s="6">
        <v>0</v>
      </c>
      <c r="U214" s="6">
        <v>0</v>
      </c>
      <c r="V214" s="6">
        <f>IF(ISERROR(VLOOKUP($S$214,'TAR FIN'!$A$1:$O$92,15,0)),0,VLOOKUP($S$214,'TAR FIN'!$A$1:$O$92,15,0))</f>
        <v>18.489999999999998</v>
      </c>
      <c r="W214" s="6">
        <f>IF(ISERROR(VLOOKUP($T$214,'TAR FIN'!$A$1:$O$92,15,0)),0,VLOOKUP($T$214,'TAR FIN'!$A$1:$O$92,15,0))</f>
        <v>0</v>
      </c>
      <c r="X214" s="6">
        <f>IF(ISERROR(VLOOKUP($U$214,'TAR FIN'!$A$1:$O$92,15,0)),0,VLOOKUP($U$214,'TAR FIN'!$A$1:$O$92,15,0))</f>
        <v>0</v>
      </c>
      <c r="Y214" s="6">
        <f ca="1">('TUSD BE'!$AM$14+'TUSD BF_350'!$AM$14+'TUSD CVA'!$AM$14)*1</f>
        <v>15.64</v>
      </c>
      <c r="Z214" s="6"/>
      <c r="AA214" s="6"/>
      <c r="AB214" s="6">
        <f>$K$214*$V$214</f>
        <v>26089.39</v>
      </c>
      <c r="AC214" s="6">
        <f>$M$214*$W$214</f>
        <v>0</v>
      </c>
      <c r="AD214" s="6">
        <f>$O$214*$X$214</f>
        <v>0</v>
      </c>
      <c r="AE214" s="6">
        <f ca="1">$K$214*$Y$214</f>
        <v>22068.04</v>
      </c>
      <c r="AF214" s="6">
        <f>$M$214*$Z$214</f>
        <v>0</v>
      </c>
      <c r="AG214" s="6">
        <f>$O$214*$AA$214</f>
        <v>0</v>
      </c>
    </row>
    <row r="215" spans="1:33" ht="11.25" customHeight="1" x14ac:dyDescent="0.3">
      <c r="A215" s="4" t="s">
        <v>27</v>
      </c>
      <c r="B215" s="4" t="s">
        <v>34</v>
      </c>
      <c r="C215" s="4" t="s">
        <v>35</v>
      </c>
      <c r="D215" s="4" t="s">
        <v>33</v>
      </c>
      <c r="E215" s="4" t="s">
        <v>25</v>
      </c>
      <c r="F215" s="4" t="s">
        <v>25</v>
      </c>
      <c r="G215" s="4" t="s">
        <v>25</v>
      </c>
      <c r="H215" s="4" t="s">
        <v>25</v>
      </c>
      <c r="I215" s="5">
        <v>44531</v>
      </c>
      <c r="J215" s="6">
        <v>350</v>
      </c>
      <c r="K215" s="6">
        <v>350</v>
      </c>
      <c r="L215" s="6">
        <v>0</v>
      </c>
      <c r="M215" s="6">
        <v>0</v>
      </c>
      <c r="N215" s="6">
        <v>0</v>
      </c>
      <c r="O215" s="6">
        <v>0</v>
      </c>
      <c r="P215" s="6">
        <v>2</v>
      </c>
      <c r="Q215" s="4" t="s">
        <v>26</v>
      </c>
      <c r="R215" s="4">
        <v>0</v>
      </c>
      <c r="S215" s="6">
        <v>18</v>
      </c>
      <c r="T215" s="6">
        <v>0</v>
      </c>
      <c r="U215" s="6">
        <v>0</v>
      </c>
      <c r="V215" s="6">
        <f>IF(ISERROR(VLOOKUP($S$215,'TAR FIN'!$A$1:$O$92,15,0)),0,VLOOKUP($S$215,'TAR FIN'!$A$1:$O$92,15,0))</f>
        <v>18.489999999999998</v>
      </c>
      <c r="W215" s="6">
        <f>IF(ISERROR(VLOOKUP($T$215,'TAR FIN'!$A$1:$O$92,15,0)),0,VLOOKUP($T$215,'TAR FIN'!$A$1:$O$92,15,0))</f>
        <v>0</v>
      </c>
      <c r="X215" s="6">
        <f>IF(ISERROR(VLOOKUP($U$215,'TAR FIN'!$A$1:$O$92,15,0)),0,VLOOKUP($U$215,'TAR FIN'!$A$1:$O$92,15,0))</f>
        <v>0</v>
      </c>
      <c r="Y215" s="6">
        <f ca="1">('TUSD BE'!$AM$14+'TUSD BF_350'!$AM$14+'TUSD CVA'!$AM$14)*1</f>
        <v>15.64</v>
      </c>
      <c r="Z215" s="6"/>
      <c r="AA215" s="6"/>
      <c r="AB215" s="6">
        <f>$K$215*$V$215</f>
        <v>6471.4999999999991</v>
      </c>
      <c r="AC215" s="6">
        <f>$M$215*$W$215</f>
        <v>0</v>
      </c>
      <c r="AD215" s="6">
        <f>$O$215*$X$215</f>
        <v>0</v>
      </c>
      <c r="AE215" s="6">
        <f ca="1">$K$215*$Y$215</f>
        <v>5474</v>
      </c>
      <c r="AF215" s="6">
        <f>$M$215*$Z$215</f>
        <v>0</v>
      </c>
      <c r="AG215" s="6">
        <f>$O$215*$AA$215</f>
        <v>0</v>
      </c>
    </row>
    <row r="216" spans="1:33" ht="11.25" customHeight="1" x14ac:dyDescent="0.3">
      <c r="A216" s="4" t="s">
        <v>21</v>
      </c>
      <c r="B216" s="4" t="s">
        <v>34</v>
      </c>
      <c r="C216" s="4" t="s">
        <v>35</v>
      </c>
      <c r="D216" s="4" t="s">
        <v>33</v>
      </c>
      <c r="E216" s="4" t="s">
        <v>25</v>
      </c>
      <c r="F216" s="4" t="s">
        <v>25</v>
      </c>
      <c r="G216" s="4" t="s">
        <v>25</v>
      </c>
      <c r="H216" s="4" t="s">
        <v>25</v>
      </c>
      <c r="I216" s="5">
        <v>44562</v>
      </c>
      <c r="J216" s="6">
        <v>1310</v>
      </c>
      <c r="K216" s="6">
        <v>1310</v>
      </c>
      <c r="L216" s="6">
        <v>0</v>
      </c>
      <c r="M216" s="6">
        <v>0</v>
      </c>
      <c r="N216" s="6">
        <v>0</v>
      </c>
      <c r="O216" s="6">
        <v>0</v>
      </c>
      <c r="P216" s="6">
        <v>10</v>
      </c>
      <c r="Q216" s="4" t="s">
        <v>26</v>
      </c>
      <c r="R216" s="4">
        <v>0</v>
      </c>
      <c r="S216" s="6">
        <v>18</v>
      </c>
      <c r="T216" s="6">
        <v>0</v>
      </c>
      <c r="U216" s="6">
        <v>0</v>
      </c>
      <c r="V216" s="6">
        <f>IF(ISERROR(VLOOKUP($S$216,'TAR FIN'!$A$1:$O$92,15,0)),0,VLOOKUP($S$216,'TAR FIN'!$A$1:$O$92,15,0))</f>
        <v>18.489999999999998</v>
      </c>
      <c r="W216" s="6">
        <f>IF(ISERROR(VLOOKUP($T$216,'TAR FIN'!$A$1:$O$92,15,0)),0,VLOOKUP($T$216,'TAR FIN'!$A$1:$O$92,15,0))</f>
        <v>0</v>
      </c>
      <c r="X216" s="6">
        <f>IF(ISERROR(VLOOKUP($U$216,'TAR FIN'!$A$1:$O$92,15,0)),0,VLOOKUP($U$216,'TAR FIN'!$A$1:$O$92,15,0))</f>
        <v>0</v>
      </c>
      <c r="Y216" s="6">
        <f ca="1">('TUSD BE'!$AM$14+'TUSD BF_350'!$AM$14+'TUSD CVA'!$AM$14)*1</f>
        <v>15.64</v>
      </c>
      <c r="Z216" s="6"/>
      <c r="AA216" s="6"/>
      <c r="AB216" s="6">
        <f>$K$216*$V$216</f>
        <v>24221.899999999998</v>
      </c>
      <c r="AC216" s="6">
        <f>$M$216*$W$216</f>
        <v>0</v>
      </c>
      <c r="AD216" s="6">
        <f>$O$216*$X$216</f>
        <v>0</v>
      </c>
      <c r="AE216" s="6">
        <f ca="1">$K$216*$Y$216</f>
        <v>20488.400000000001</v>
      </c>
      <c r="AF216" s="6">
        <f>$M$216*$Z$216</f>
        <v>0</v>
      </c>
      <c r="AG216" s="6">
        <f>$O$216*$AA$216</f>
        <v>0</v>
      </c>
    </row>
    <row r="217" spans="1:33" ht="11.25" customHeight="1" x14ac:dyDescent="0.3">
      <c r="A217" s="4" t="s">
        <v>27</v>
      </c>
      <c r="B217" s="4" t="s">
        <v>34</v>
      </c>
      <c r="C217" s="4" t="s">
        <v>35</v>
      </c>
      <c r="D217" s="4" t="s">
        <v>33</v>
      </c>
      <c r="E217" s="4" t="s">
        <v>25</v>
      </c>
      <c r="F217" s="4" t="s">
        <v>25</v>
      </c>
      <c r="G217" s="4" t="s">
        <v>25</v>
      </c>
      <c r="H217" s="4" t="s">
        <v>25</v>
      </c>
      <c r="I217" s="5">
        <v>44562</v>
      </c>
      <c r="J217" s="6">
        <v>350</v>
      </c>
      <c r="K217" s="6">
        <v>350</v>
      </c>
      <c r="L217" s="6">
        <v>0</v>
      </c>
      <c r="M217" s="6">
        <v>0</v>
      </c>
      <c r="N217" s="6">
        <v>0</v>
      </c>
      <c r="O217" s="6">
        <v>0</v>
      </c>
      <c r="P217" s="6">
        <v>2</v>
      </c>
      <c r="Q217" s="4" t="s">
        <v>26</v>
      </c>
      <c r="R217" s="4">
        <v>0</v>
      </c>
      <c r="S217" s="6">
        <v>18</v>
      </c>
      <c r="T217" s="6">
        <v>0</v>
      </c>
      <c r="U217" s="6">
        <v>0</v>
      </c>
      <c r="V217" s="6">
        <f>IF(ISERROR(VLOOKUP($S$217,'TAR FIN'!$A$1:$O$92,15,0)),0,VLOOKUP($S$217,'TAR FIN'!$A$1:$O$92,15,0))</f>
        <v>18.489999999999998</v>
      </c>
      <c r="W217" s="6">
        <f>IF(ISERROR(VLOOKUP($T$217,'TAR FIN'!$A$1:$O$92,15,0)),0,VLOOKUP($T$217,'TAR FIN'!$A$1:$O$92,15,0))</f>
        <v>0</v>
      </c>
      <c r="X217" s="6">
        <f>IF(ISERROR(VLOOKUP($U$217,'TAR FIN'!$A$1:$O$92,15,0)),0,VLOOKUP($U$217,'TAR FIN'!$A$1:$O$92,15,0))</f>
        <v>0</v>
      </c>
      <c r="Y217" s="6">
        <f ca="1">('TUSD BE'!$AM$14+'TUSD BF_350'!$AM$14+'TUSD CVA'!$AM$14)*1</f>
        <v>15.64</v>
      </c>
      <c r="Z217" s="6"/>
      <c r="AA217" s="6"/>
      <c r="AB217" s="6">
        <f>$K$217*$V$217</f>
        <v>6471.4999999999991</v>
      </c>
      <c r="AC217" s="6">
        <f>$M$217*$W$217</f>
        <v>0</v>
      </c>
      <c r="AD217" s="6">
        <f>$O$217*$X$217</f>
        <v>0</v>
      </c>
      <c r="AE217" s="6">
        <f ca="1">$K$217*$Y$217</f>
        <v>5474</v>
      </c>
      <c r="AF217" s="6">
        <f>$M$217*$Z$217</f>
        <v>0</v>
      </c>
      <c r="AG217" s="6">
        <f>$O$217*$AA$217</f>
        <v>0</v>
      </c>
    </row>
    <row r="218" spans="1:33" ht="11.25" customHeight="1" x14ac:dyDescent="0.3">
      <c r="A218" s="4" t="s">
        <v>21</v>
      </c>
      <c r="B218" s="4" t="s">
        <v>34</v>
      </c>
      <c r="C218" s="4" t="s">
        <v>35</v>
      </c>
      <c r="D218" s="4" t="s">
        <v>33</v>
      </c>
      <c r="E218" s="4" t="s">
        <v>25</v>
      </c>
      <c r="F218" s="4" t="s">
        <v>25</v>
      </c>
      <c r="G218" s="4" t="s">
        <v>25</v>
      </c>
      <c r="H218" s="4" t="s">
        <v>25</v>
      </c>
      <c r="I218" s="5">
        <v>44593</v>
      </c>
      <c r="J218" s="6">
        <v>1336</v>
      </c>
      <c r="K218" s="6">
        <v>1336</v>
      </c>
      <c r="L218" s="6">
        <v>0</v>
      </c>
      <c r="M218" s="6">
        <v>0</v>
      </c>
      <c r="N218" s="6">
        <v>0</v>
      </c>
      <c r="O218" s="6">
        <v>0</v>
      </c>
      <c r="P218" s="6">
        <v>10</v>
      </c>
      <c r="Q218" s="4" t="s">
        <v>26</v>
      </c>
      <c r="R218" s="4">
        <v>0</v>
      </c>
      <c r="S218" s="6">
        <v>18</v>
      </c>
      <c r="T218" s="6">
        <v>0</v>
      </c>
      <c r="U218" s="6">
        <v>0</v>
      </c>
      <c r="V218" s="6">
        <f>IF(ISERROR(VLOOKUP($S$218,'TAR FIN'!$A$1:$O$92,15,0)),0,VLOOKUP($S$218,'TAR FIN'!$A$1:$O$92,15,0))</f>
        <v>18.489999999999998</v>
      </c>
      <c r="W218" s="6">
        <f>IF(ISERROR(VLOOKUP($T$218,'TAR FIN'!$A$1:$O$92,15,0)),0,VLOOKUP($T$218,'TAR FIN'!$A$1:$O$92,15,0))</f>
        <v>0</v>
      </c>
      <c r="X218" s="6">
        <f>IF(ISERROR(VLOOKUP($U$218,'TAR FIN'!$A$1:$O$92,15,0)),0,VLOOKUP($U$218,'TAR FIN'!$A$1:$O$92,15,0))</f>
        <v>0</v>
      </c>
      <c r="Y218" s="6">
        <f ca="1">('TUSD BE'!$AM$14+'TUSD BF_350'!$AM$14+'TUSD CVA'!$AM$14)*1</f>
        <v>15.64</v>
      </c>
      <c r="Z218" s="6"/>
      <c r="AA218" s="6"/>
      <c r="AB218" s="6">
        <f>$K$218*$V$218</f>
        <v>24702.639999999999</v>
      </c>
      <c r="AC218" s="6">
        <f>$M$218*$W$218</f>
        <v>0</v>
      </c>
      <c r="AD218" s="6">
        <f>$O$218*$X$218</f>
        <v>0</v>
      </c>
      <c r="AE218" s="6">
        <f ca="1">$K$218*$Y$218</f>
        <v>20895.04</v>
      </c>
      <c r="AF218" s="6">
        <f>$M$218*$Z$218</f>
        <v>0</v>
      </c>
      <c r="AG218" s="6">
        <f>$O$218*$AA$218</f>
        <v>0</v>
      </c>
    </row>
    <row r="219" spans="1:33" ht="11.25" customHeight="1" x14ac:dyDescent="0.3">
      <c r="A219" s="4" t="s">
        <v>27</v>
      </c>
      <c r="B219" s="4" t="s">
        <v>34</v>
      </c>
      <c r="C219" s="4" t="s">
        <v>35</v>
      </c>
      <c r="D219" s="4" t="s">
        <v>33</v>
      </c>
      <c r="E219" s="4" t="s">
        <v>25</v>
      </c>
      <c r="F219" s="4" t="s">
        <v>25</v>
      </c>
      <c r="G219" s="4" t="s">
        <v>25</v>
      </c>
      <c r="H219" s="4" t="s">
        <v>25</v>
      </c>
      <c r="I219" s="5">
        <v>44593</v>
      </c>
      <c r="J219" s="6">
        <v>350</v>
      </c>
      <c r="K219" s="6">
        <v>350</v>
      </c>
      <c r="L219" s="6">
        <v>0</v>
      </c>
      <c r="M219" s="6">
        <v>0</v>
      </c>
      <c r="N219" s="6">
        <v>0</v>
      </c>
      <c r="O219" s="6">
        <v>0</v>
      </c>
      <c r="P219" s="6">
        <v>2</v>
      </c>
      <c r="Q219" s="4" t="s">
        <v>26</v>
      </c>
      <c r="R219" s="4">
        <v>0</v>
      </c>
      <c r="S219" s="6">
        <v>18</v>
      </c>
      <c r="T219" s="6">
        <v>0</v>
      </c>
      <c r="U219" s="6">
        <v>0</v>
      </c>
      <c r="V219" s="6">
        <f>IF(ISERROR(VLOOKUP($S$219,'TAR FIN'!$A$1:$O$92,15,0)),0,VLOOKUP($S$219,'TAR FIN'!$A$1:$O$92,15,0))</f>
        <v>18.489999999999998</v>
      </c>
      <c r="W219" s="6">
        <f>IF(ISERROR(VLOOKUP($T$219,'TAR FIN'!$A$1:$O$92,15,0)),0,VLOOKUP($T$219,'TAR FIN'!$A$1:$O$92,15,0))</f>
        <v>0</v>
      </c>
      <c r="X219" s="6">
        <f>IF(ISERROR(VLOOKUP($U$219,'TAR FIN'!$A$1:$O$92,15,0)),0,VLOOKUP($U$219,'TAR FIN'!$A$1:$O$92,15,0))</f>
        <v>0</v>
      </c>
      <c r="Y219" s="6">
        <f ca="1">('TUSD BE'!$AM$14+'TUSD BF_350'!$AM$14+'TUSD CVA'!$AM$14)*1</f>
        <v>15.64</v>
      </c>
      <c r="Z219" s="6"/>
      <c r="AA219" s="6"/>
      <c r="AB219" s="6">
        <f>$K$219*$V$219</f>
        <v>6471.4999999999991</v>
      </c>
      <c r="AC219" s="6">
        <f>$M$219*$W$219</f>
        <v>0</v>
      </c>
      <c r="AD219" s="6">
        <f>$O$219*$X$219</f>
        <v>0</v>
      </c>
      <c r="AE219" s="6">
        <f ca="1">$K$219*$Y$219</f>
        <v>5474</v>
      </c>
      <c r="AF219" s="6">
        <f>$M$219*$Z$219</f>
        <v>0</v>
      </c>
      <c r="AG219" s="6">
        <f>$O$219*$AA$219</f>
        <v>0</v>
      </c>
    </row>
    <row r="220" spans="1:33" ht="11.25" customHeight="1" x14ac:dyDescent="0.3">
      <c r="A220" s="4" t="s">
        <v>21</v>
      </c>
      <c r="B220" s="4" t="s">
        <v>34</v>
      </c>
      <c r="C220" s="4" t="s">
        <v>35</v>
      </c>
      <c r="D220" s="4" t="s">
        <v>33</v>
      </c>
      <c r="E220" s="4" t="s">
        <v>25</v>
      </c>
      <c r="F220" s="4" t="s">
        <v>25</v>
      </c>
      <c r="G220" s="4" t="s">
        <v>25</v>
      </c>
      <c r="H220" s="4" t="s">
        <v>25</v>
      </c>
      <c r="I220" s="5">
        <v>44621</v>
      </c>
      <c r="J220" s="6">
        <v>1179</v>
      </c>
      <c r="K220" s="6">
        <v>1179</v>
      </c>
      <c r="L220" s="6">
        <v>0</v>
      </c>
      <c r="M220" s="6">
        <v>0</v>
      </c>
      <c r="N220" s="6">
        <v>0</v>
      </c>
      <c r="O220" s="6">
        <v>0</v>
      </c>
      <c r="P220" s="6">
        <v>9</v>
      </c>
      <c r="Q220" s="4" t="s">
        <v>26</v>
      </c>
      <c r="R220" s="4">
        <v>0</v>
      </c>
      <c r="S220" s="6">
        <v>18</v>
      </c>
      <c r="T220" s="6">
        <v>0</v>
      </c>
      <c r="U220" s="6">
        <v>0</v>
      </c>
      <c r="V220" s="6">
        <f>IF(ISERROR(VLOOKUP($S$220,'TAR FIN'!$A$1:$O$92,15,0)),0,VLOOKUP($S$220,'TAR FIN'!$A$1:$O$92,15,0))</f>
        <v>18.489999999999998</v>
      </c>
      <c r="W220" s="6">
        <f>IF(ISERROR(VLOOKUP($T$220,'TAR FIN'!$A$1:$O$92,15,0)),0,VLOOKUP($T$220,'TAR FIN'!$A$1:$O$92,15,0))</f>
        <v>0</v>
      </c>
      <c r="X220" s="6">
        <f>IF(ISERROR(VLOOKUP($U$220,'TAR FIN'!$A$1:$O$92,15,0)),0,VLOOKUP($U$220,'TAR FIN'!$A$1:$O$92,15,0))</f>
        <v>0</v>
      </c>
      <c r="Y220" s="6">
        <f ca="1">('TUSD BE'!$AM$14+'TUSD BF_350'!$AM$14+'TUSD CVA'!$AM$14)*1</f>
        <v>15.64</v>
      </c>
      <c r="Z220" s="6"/>
      <c r="AA220" s="6"/>
      <c r="AB220" s="6">
        <f>$K$220*$V$220</f>
        <v>21799.71</v>
      </c>
      <c r="AC220" s="6">
        <f>$M$220*$W$220</f>
        <v>0</v>
      </c>
      <c r="AD220" s="6">
        <f>$O$220*$X$220</f>
        <v>0</v>
      </c>
      <c r="AE220" s="6">
        <f ca="1">$K$220*$Y$220</f>
        <v>18439.560000000001</v>
      </c>
      <c r="AF220" s="6">
        <f>$M$220*$Z$220</f>
        <v>0</v>
      </c>
      <c r="AG220" s="6">
        <f>$O$220*$AA$220</f>
        <v>0</v>
      </c>
    </row>
    <row r="221" spans="1:33" ht="11.25" customHeight="1" x14ac:dyDescent="0.3">
      <c r="A221" s="4" t="s">
        <v>27</v>
      </c>
      <c r="B221" s="4" t="s">
        <v>34</v>
      </c>
      <c r="C221" s="4" t="s">
        <v>35</v>
      </c>
      <c r="D221" s="4" t="s">
        <v>33</v>
      </c>
      <c r="E221" s="4" t="s">
        <v>25</v>
      </c>
      <c r="F221" s="4" t="s">
        <v>25</v>
      </c>
      <c r="G221" s="4" t="s">
        <v>25</v>
      </c>
      <c r="H221" s="4" t="s">
        <v>25</v>
      </c>
      <c r="I221" s="5">
        <v>44621</v>
      </c>
      <c r="J221" s="6">
        <v>350</v>
      </c>
      <c r="K221" s="6">
        <v>350</v>
      </c>
      <c r="L221" s="6">
        <v>0</v>
      </c>
      <c r="M221" s="6">
        <v>0</v>
      </c>
      <c r="N221" s="6">
        <v>0</v>
      </c>
      <c r="O221" s="6">
        <v>0</v>
      </c>
      <c r="P221" s="6">
        <v>2</v>
      </c>
      <c r="Q221" s="4" t="s">
        <v>26</v>
      </c>
      <c r="R221" s="4">
        <v>0</v>
      </c>
      <c r="S221" s="6">
        <v>18</v>
      </c>
      <c r="T221" s="6">
        <v>0</v>
      </c>
      <c r="U221" s="6">
        <v>0</v>
      </c>
      <c r="V221" s="6">
        <f>IF(ISERROR(VLOOKUP($S$221,'TAR FIN'!$A$1:$O$92,15,0)),0,VLOOKUP($S$221,'TAR FIN'!$A$1:$O$92,15,0))</f>
        <v>18.489999999999998</v>
      </c>
      <c r="W221" s="6">
        <f>IF(ISERROR(VLOOKUP($T$221,'TAR FIN'!$A$1:$O$92,15,0)),0,VLOOKUP($T$221,'TAR FIN'!$A$1:$O$92,15,0))</f>
        <v>0</v>
      </c>
      <c r="X221" s="6">
        <f>IF(ISERROR(VLOOKUP($U$221,'TAR FIN'!$A$1:$O$92,15,0)),0,VLOOKUP($U$221,'TAR FIN'!$A$1:$O$92,15,0))</f>
        <v>0</v>
      </c>
      <c r="Y221" s="6">
        <f ca="1">('TUSD BE'!$AM$14+'TUSD BF_350'!$AM$14+'TUSD CVA'!$AM$14)*1</f>
        <v>15.64</v>
      </c>
      <c r="Z221" s="6"/>
      <c r="AA221" s="6"/>
      <c r="AB221" s="6">
        <f>$K$221*$V$221</f>
        <v>6471.4999999999991</v>
      </c>
      <c r="AC221" s="6">
        <f>$M$221*$W$221</f>
        <v>0</v>
      </c>
      <c r="AD221" s="6">
        <f>$O$221*$X$221</f>
        <v>0</v>
      </c>
      <c r="AE221" s="6">
        <f ca="1">$K$221*$Y$221</f>
        <v>5474</v>
      </c>
      <c r="AF221" s="6">
        <f>$M$221*$Z$221</f>
        <v>0</v>
      </c>
      <c r="AG221" s="6">
        <f>$O$221*$AA$221</f>
        <v>0</v>
      </c>
    </row>
    <row r="222" spans="1:33" ht="11.25" customHeight="1" x14ac:dyDescent="0.3">
      <c r="A222" s="4" t="s">
        <v>21</v>
      </c>
      <c r="B222" s="4" t="s">
        <v>34</v>
      </c>
      <c r="C222" s="4" t="s">
        <v>35</v>
      </c>
      <c r="D222" s="4" t="s">
        <v>33</v>
      </c>
      <c r="E222" s="4" t="s">
        <v>25</v>
      </c>
      <c r="F222" s="4" t="s">
        <v>25</v>
      </c>
      <c r="G222" s="4" t="s">
        <v>25</v>
      </c>
      <c r="H222" s="4" t="s">
        <v>25</v>
      </c>
      <c r="I222" s="5">
        <v>44652</v>
      </c>
      <c r="J222" s="6">
        <v>1394</v>
      </c>
      <c r="K222" s="6">
        <v>1394</v>
      </c>
      <c r="L222" s="6">
        <v>0</v>
      </c>
      <c r="M222" s="6">
        <v>0</v>
      </c>
      <c r="N222" s="6">
        <v>0</v>
      </c>
      <c r="O222" s="6">
        <v>0</v>
      </c>
      <c r="P222" s="6">
        <v>9</v>
      </c>
      <c r="Q222" s="4" t="s">
        <v>26</v>
      </c>
      <c r="R222" s="4">
        <v>0</v>
      </c>
      <c r="S222" s="6">
        <v>18</v>
      </c>
      <c r="T222" s="6">
        <v>0</v>
      </c>
      <c r="U222" s="6">
        <v>0</v>
      </c>
      <c r="V222" s="6">
        <f>IF(ISERROR(VLOOKUP($S$222,'TAR FIN'!$A$1:$O$92,15,0)),0,VLOOKUP($S$222,'TAR FIN'!$A$1:$O$92,15,0))</f>
        <v>18.489999999999998</v>
      </c>
      <c r="W222" s="6">
        <f>IF(ISERROR(VLOOKUP($T$222,'TAR FIN'!$A$1:$O$92,15,0)),0,VLOOKUP($T$222,'TAR FIN'!$A$1:$O$92,15,0))</f>
        <v>0</v>
      </c>
      <c r="X222" s="6">
        <f>IF(ISERROR(VLOOKUP($U$222,'TAR FIN'!$A$1:$O$92,15,0)),0,VLOOKUP($U$222,'TAR FIN'!$A$1:$O$92,15,0))</f>
        <v>0</v>
      </c>
      <c r="Y222" s="6">
        <f ca="1">('TUSD BE'!$AM$14+'TUSD BF_350'!$AM$14+'TUSD CVA'!$AM$14)*1</f>
        <v>15.64</v>
      </c>
      <c r="Z222" s="6"/>
      <c r="AA222" s="6"/>
      <c r="AB222" s="6">
        <f>$K$222*$V$222</f>
        <v>25775.059999999998</v>
      </c>
      <c r="AC222" s="6">
        <f>$M$222*$W$222</f>
        <v>0</v>
      </c>
      <c r="AD222" s="6">
        <f>$O$222*$X$222</f>
        <v>0</v>
      </c>
      <c r="AE222" s="6">
        <f ca="1">$K$222*$Y$222</f>
        <v>21802.16</v>
      </c>
      <c r="AF222" s="6">
        <f>$M$222*$Z$222</f>
        <v>0</v>
      </c>
      <c r="AG222" s="6">
        <f>$O$222*$AA$222</f>
        <v>0</v>
      </c>
    </row>
    <row r="223" spans="1:33" ht="11.25" customHeight="1" x14ac:dyDescent="0.3">
      <c r="A223" s="4" t="s">
        <v>27</v>
      </c>
      <c r="B223" s="4" t="s">
        <v>34</v>
      </c>
      <c r="C223" s="4" t="s">
        <v>35</v>
      </c>
      <c r="D223" s="4" t="s">
        <v>33</v>
      </c>
      <c r="E223" s="4" t="s">
        <v>25</v>
      </c>
      <c r="F223" s="4" t="s">
        <v>25</v>
      </c>
      <c r="G223" s="4" t="s">
        <v>25</v>
      </c>
      <c r="H223" s="4" t="s">
        <v>25</v>
      </c>
      <c r="I223" s="5">
        <v>44652</v>
      </c>
      <c r="J223" s="6">
        <v>350</v>
      </c>
      <c r="K223" s="6">
        <v>350</v>
      </c>
      <c r="L223" s="6">
        <v>0</v>
      </c>
      <c r="M223" s="6">
        <v>0</v>
      </c>
      <c r="N223" s="6">
        <v>0</v>
      </c>
      <c r="O223" s="6">
        <v>0</v>
      </c>
      <c r="P223" s="6">
        <v>2</v>
      </c>
      <c r="Q223" s="4" t="s">
        <v>26</v>
      </c>
      <c r="R223" s="4">
        <v>0</v>
      </c>
      <c r="S223" s="6">
        <v>18</v>
      </c>
      <c r="T223" s="6">
        <v>0</v>
      </c>
      <c r="U223" s="6">
        <v>0</v>
      </c>
      <c r="V223" s="6">
        <f>IF(ISERROR(VLOOKUP($S$223,'TAR FIN'!$A$1:$O$92,15,0)),0,VLOOKUP($S$223,'TAR FIN'!$A$1:$O$92,15,0))</f>
        <v>18.489999999999998</v>
      </c>
      <c r="W223" s="6">
        <f>IF(ISERROR(VLOOKUP($T$223,'TAR FIN'!$A$1:$O$92,15,0)),0,VLOOKUP($T$223,'TAR FIN'!$A$1:$O$92,15,0))</f>
        <v>0</v>
      </c>
      <c r="X223" s="6">
        <f>IF(ISERROR(VLOOKUP($U$223,'TAR FIN'!$A$1:$O$92,15,0)),0,VLOOKUP($U$223,'TAR FIN'!$A$1:$O$92,15,0))</f>
        <v>0</v>
      </c>
      <c r="Y223" s="6">
        <f ca="1">('TUSD BE'!$AM$14+'TUSD BF_350'!$AM$14+'TUSD CVA'!$AM$14)*1</f>
        <v>15.64</v>
      </c>
      <c r="Z223" s="6"/>
      <c r="AA223" s="6"/>
      <c r="AB223" s="6">
        <f>$K$223*$V$223</f>
        <v>6471.4999999999991</v>
      </c>
      <c r="AC223" s="6">
        <f>$M$223*$W$223</f>
        <v>0</v>
      </c>
      <c r="AD223" s="6">
        <f>$O$223*$X$223</f>
        <v>0</v>
      </c>
      <c r="AE223" s="6">
        <f ca="1">$K$223*$Y$223</f>
        <v>5474</v>
      </c>
      <c r="AF223" s="6">
        <f>$M$223*$Z$223</f>
        <v>0</v>
      </c>
      <c r="AG223" s="6">
        <f>$O$223*$AA$223</f>
        <v>0</v>
      </c>
    </row>
    <row r="224" spans="1:33" ht="11.25" customHeight="1" x14ac:dyDescent="0.3">
      <c r="A224" s="4" t="s">
        <v>21</v>
      </c>
      <c r="B224" s="4" t="s">
        <v>34</v>
      </c>
      <c r="C224" s="4" t="s">
        <v>35</v>
      </c>
      <c r="D224" s="4" t="s">
        <v>33</v>
      </c>
      <c r="E224" s="4" t="s">
        <v>25</v>
      </c>
      <c r="F224" s="4" t="s">
        <v>25</v>
      </c>
      <c r="G224" s="4" t="s">
        <v>25</v>
      </c>
      <c r="H224" s="4" t="s">
        <v>25</v>
      </c>
      <c r="I224" s="5">
        <v>44682</v>
      </c>
      <c r="J224" s="6">
        <v>1382</v>
      </c>
      <c r="K224" s="6">
        <v>1382</v>
      </c>
      <c r="L224" s="6">
        <v>0</v>
      </c>
      <c r="M224" s="6">
        <v>0</v>
      </c>
      <c r="N224" s="6">
        <v>0</v>
      </c>
      <c r="O224" s="6">
        <v>0</v>
      </c>
      <c r="P224" s="6">
        <v>9</v>
      </c>
      <c r="Q224" s="4" t="s">
        <v>26</v>
      </c>
      <c r="R224" s="4">
        <v>0</v>
      </c>
      <c r="S224" s="6">
        <v>18</v>
      </c>
      <c r="T224" s="6">
        <v>0</v>
      </c>
      <c r="U224" s="6">
        <v>0</v>
      </c>
      <c r="V224" s="6">
        <f>IF(ISERROR(VLOOKUP($S$224,'TAR FIN'!$A$1:$O$92,15,0)),0,VLOOKUP($S$224,'TAR FIN'!$A$1:$O$92,15,0))</f>
        <v>18.489999999999998</v>
      </c>
      <c r="W224" s="6">
        <f>IF(ISERROR(VLOOKUP($T$224,'TAR FIN'!$A$1:$O$92,15,0)),0,VLOOKUP($T$224,'TAR FIN'!$A$1:$O$92,15,0))</f>
        <v>0</v>
      </c>
      <c r="X224" s="6">
        <f>IF(ISERROR(VLOOKUP($U$224,'TAR FIN'!$A$1:$O$92,15,0)),0,VLOOKUP($U$224,'TAR FIN'!$A$1:$O$92,15,0))</f>
        <v>0</v>
      </c>
      <c r="Y224" s="6">
        <f ca="1">('TUSD BE'!$AM$14+'TUSD BF_350'!$AM$14+'TUSD CVA'!$AM$14)*1</f>
        <v>15.64</v>
      </c>
      <c r="Z224" s="6"/>
      <c r="AA224" s="6"/>
      <c r="AB224" s="6">
        <f>$K$224*$V$224</f>
        <v>25553.179999999997</v>
      </c>
      <c r="AC224" s="6">
        <f>$M$224*$W$224</f>
        <v>0</v>
      </c>
      <c r="AD224" s="6">
        <f>$O$224*$X$224</f>
        <v>0</v>
      </c>
      <c r="AE224" s="6">
        <f ca="1">$K$224*$Y$224</f>
        <v>21614.48</v>
      </c>
      <c r="AF224" s="6">
        <f>$M$224*$Z$224</f>
        <v>0</v>
      </c>
      <c r="AG224" s="6">
        <f>$O$224*$AA$224</f>
        <v>0</v>
      </c>
    </row>
    <row r="225" spans="1:33" ht="11.25" customHeight="1" x14ac:dyDescent="0.3">
      <c r="A225" s="4" t="s">
        <v>27</v>
      </c>
      <c r="B225" s="4" t="s">
        <v>34</v>
      </c>
      <c r="C225" s="4" t="s">
        <v>35</v>
      </c>
      <c r="D225" s="4" t="s">
        <v>33</v>
      </c>
      <c r="E225" s="4" t="s">
        <v>25</v>
      </c>
      <c r="F225" s="4" t="s">
        <v>25</v>
      </c>
      <c r="G225" s="4" t="s">
        <v>25</v>
      </c>
      <c r="H225" s="4" t="s">
        <v>25</v>
      </c>
      <c r="I225" s="5">
        <v>44682</v>
      </c>
      <c r="J225" s="6">
        <v>250</v>
      </c>
      <c r="K225" s="6">
        <v>250</v>
      </c>
      <c r="L225" s="6">
        <v>0</v>
      </c>
      <c r="M225" s="6">
        <v>0</v>
      </c>
      <c r="N225" s="6">
        <v>0</v>
      </c>
      <c r="O225" s="6">
        <v>0</v>
      </c>
      <c r="P225" s="6">
        <v>1</v>
      </c>
      <c r="Q225" s="4" t="s">
        <v>26</v>
      </c>
      <c r="R225" s="4">
        <v>0</v>
      </c>
      <c r="S225" s="6">
        <v>18</v>
      </c>
      <c r="T225" s="6">
        <v>0</v>
      </c>
      <c r="U225" s="6">
        <v>0</v>
      </c>
      <c r="V225" s="6">
        <f>IF(ISERROR(VLOOKUP($S$225,'TAR FIN'!$A$1:$O$92,15,0)),0,VLOOKUP($S$225,'TAR FIN'!$A$1:$O$92,15,0))</f>
        <v>18.489999999999998</v>
      </c>
      <c r="W225" s="6">
        <f>IF(ISERROR(VLOOKUP($T$225,'TAR FIN'!$A$1:$O$92,15,0)),0,VLOOKUP($T$225,'TAR FIN'!$A$1:$O$92,15,0))</f>
        <v>0</v>
      </c>
      <c r="X225" s="6">
        <f>IF(ISERROR(VLOOKUP($U$225,'TAR FIN'!$A$1:$O$92,15,0)),0,VLOOKUP($U$225,'TAR FIN'!$A$1:$O$92,15,0))</f>
        <v>0</v>
      </c>
      <c r="Y225" s="6">
        <f ca="1">('TUSD BE'!$AM$14+'TUSD BF_350'!$AM$14+'TUSD CVA'!$AM$14)*1</f>
        <v>15.64</v>
      </c>
      <c r="Z225" s="6"/>
      <c r="AA225" s="6"/>
      <c r="AB225" s="6">
        <f>$K$225*$V$225</f>
        <v>4622.5</v>
      </c>
      <c r="AC225" s="6">
        <f>$M$225*$W$225</f>
        <v>0</v>
      </c>
      <c r="AD225" s="6">
        <f>$O$225*$X$225</f>
        <v>0</v>
      </c>
      <c r="AE225" s="6">
        <f ca="1">$K$225*$Y$225</f>
        <v>3910</v>
      </c>
      <c r="AF225" s="6">
        <f>$M$225*$Z$225</f>
        <v>0</v>
      </c>
      <c r="AG225" s="6">
        <f>$O$225*$AA$225</f>
        <v>0</v>
      </c>
    </row>
    <row r="226" spans="1:33" ht="11.25" customHeight="1" x14ac:dyDescent="0.3">
      <c r="A226" s="4" t="s">
        <v>21</v>
      </c>
      <c r="B226" s="4" t="s">
        <v>34</v>
      </c>
      <c r="C226" s="4" t="s">
        <v>35</v>
      </c>
      <c r="D226" s="4" t="s">
        <v>33</v>
      </c>
      <c r="E226" s="4" t="s">
        <v>25</v>
      </c>
      <c r="F226" s="4" t="s">
        <v>25</v>
      </c>
      <c r="G226" s="4" t="s">
        <v>25</v>
      </c>
      <c r="H226" s="4" t="s">
        <v>25</v>
      </c>
      <c r="I226" s="5">
        <v>44713</v>
      </c>
      <c r="J226" s="6">
        <v>1251</v>
      </c>
      <c r="K226" s="6">
        <v>1251</v>
      </c>
      <c r="L226" s="6">
        <v>0</v>
      </c>
      <c r="M226" s="6">
        <v>0</v>
      </c>
      <c r="N226" s="6">
        <v>0</v>
      </c>
      <c r="O226" s="6">
        <v>0</v>
      </c>
      <c r="P226" s="6">
        <v>8</v>
      </c>
      <c r="Q226" s="4" t="s">
        <v>26</v>
      </c>
      <c r="R226" s="4">
        <v>0</v>
      </c>
      <c r="S226" s="6">
        <v>18</v>
      </c>
      <c r="T226" s="6">
        <v>0</v>
      </c>
      <c r="U226" s="6">
        <v>0</v>
      </c>
      <c r="V226" s="6">
        <f>IF(ISERROR(VLOOKUP($S$226,'TAR FIN'!$A$1:$O$92,15,0)),0,VLOOKUP($S$226,'TAR FIN'!$A$1:$O$92,15,0))</f>
        <v>18.489999999999998</v>
      </c>
      <c r="W226" s="6">
        <f>IF(ISERROR(VLOOKUP($T$226,'TAR FIN'!$A$1:$O$92,15,0)),0,VLOOKUP($T$226,'TAR FIN'!$A$1:$O$92,15,0))</f>
        <v>0</v>
      </c>
      <c r="X226" s="6">
        <f>IF(ISERROR(VLOOKUP($U$226,'TAR FIN'!$A$1:$O$92,15,0)),0,VLOOKUP($U$226,'TAR FIN'!$A$1:$O$92,15,0))</f>
        <v>0</v>
      </c>
      <c r="Y226" s="6">
        <f ca="1">('TUSD BE'!$AM$14+'TUSD BF_350'!$AM$14+'TUSD CVA'!$AM$14)*1</f>
        <v>15.64</v>
      </c>
      <c r="Z226" s="6"/>
      <c r="AA226" s="6"/>
      <c r="AB226" s="6">
        <f>$K$226*$V$226</f>
        <v>23130.989999999998</v>
      </c>
      <c r="AC226" s="6">
        <f>$M$226*$W$226</f>
        <v>0</v>
      </c>
      <c r="AD226" s="6">
        <f>$O$226*$X$226</f>
        <v>0</v>
      </c>
      <c r="AE226" s="6">
        <f ca="1">$K$226*$Y$226</f>
        <v>19565.64</v>
      </c>
      <c r="AF226" s="6">
        <f>$M$226*$Z$226</f>
        <v>0</v>
      </c>
      <c r="AG226" s="6">
        <f>$O$226*$AA$226</f>
        <v>0</v>
      </c>
    </row>
    <row r="227" spans="1:33" ht="11.25" customHeight="1" x14ac:dyDescent="0.3">
      <c r="A227" s="4" t="s">
        <v>27</v>
      </c>
      <c r="B227" s="4" t="s">
        <v>34</v>
      </c>
      <c r="C227" s="4" t="s">
        <v>35</v>
      </c>
      <c r="D227" s="4" t="s">
        <v>33</v>
      </c>
      <c r="E227" s="4" t="s">
        <v>25</v>
      </c>
      <c r="F227" s="4" t="s">
        <v>25</v>
      </c>
      <c r="G227" s="4" t="s">
        <v>25</v>
      </c>
      <c r="H227" s="4" t="s">
        <v>25</v>
      </c>
      <c r="I227" s="5">
        <v>44713</v>
      </c>
      <c r="J227" s="6">
        <v>370</v>
      </c>
      <c r="K227" s="6">
        <v>370</v>
      </c>
      <c r="L227" s="6">
        <v>0</v>
      </c>
      <c r="M227" s="6">
        <v>0</v>
      </c>
      <c r="N227" s="6">
        <v>0</v>
      </c>
      <c r="O227" s="6">
        <v>0</v>
      </c>
      <c r="P227" s="6">
        <v>2</v>
      </c>
      <c r="Q227" s="4" t="s">
        <v>26</v>
      </c>
      <c r="R227" s="4">
        <v>0</v>
      </c>
      <c r="S227" s="6">
        <v>18</v>
      </c>
      <c r="T227" s="6">
        <v>0</v>
      </c>
      <c r="U227" s="6">
        <v>0</v>
      </c>
      <c r="V227" s="6">
        <f>IF(ISERROR(VLOOKUP($S$227,'TAR FIN'!$A$1:$O$92,15,0)),0,VLOOKUP($S$227,'TAR FIN'!$A$1:$O$92,15,0))</f>
        <v>18.489999999999998</v>
      </c>
      <c r="W227" s="6">
        <f>IF(ISERROR(VLOOKUP($T$227,'TAR FIN'!$A$1:$O$92,15,0)),0,VLOOKUP($T$227,'TAR FIN'!$A$1:$O$92,15,0))</f>
        <v>0</v>
      </c>
      <c r="X227" s="6">
        <f>IF(ISERROR(VLOOKUP($U$227,'TAR FIN'!$A$1:$O$92,15,0)),0,VLOOKUP($U$227,'TAR FIN'!$A$1:$O$92,15,0))</f>
        <v>0</v>
      </c>
      <c r="Y227" s="6">
        <f ca="1">('TUSD BE'!$AM$14+'TUSD BF_350'!$AM$14+'TUSD CVA'!$AM$14)*1</f>
        <v>15.64</v>
      </c>
      <c r="Z227" s="6"/>
      <c r="AA227" s="6"/>
      <c r="AB227" s="6">
        <f>$K$227*$V$227</f>
        <v>6841.2999999999993</v>
      </c>
      <c r="AC227" s="6">
        <f>$M$227*$W$227</f>
        <v>0</v>
      </c>
      <c r="AD227" s="6">
        <f>$O$227*$X$227</f>
        <v>0</v>
      </c>
      <c r="AE227" s="6">
        <f ca="1">$K$227*$Y$227</f>
        <v>5786.8</v>
      </c>
      <c r="AF227" s="6">
        <f>$M$227*$Z$227</f>
        <v>0</v>
      </c>
      <c r="AG227" s="6">
        <f>$O$227*$AA$227</f>
        <v>0</v>
      </c>
    </row>
    <row r="228" spans="1:33" ht="11.25" customHeight="1" x14ac:dyDescent="0.3">
      <c r="A228" s="4" t="s">
        <v>21</v>
      </c>
      <c r="B228" s="4" t="s">
        <v>34</v>
      </c>
      <c r="C228" s="4" t="s">
        <v>35</v>
      </c>
      <c r="D228" s="4" t="s">
        <v>33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44743</v>
      </c>
      <c r="J228" s="6">
        <v>1251.6600000000001</v>
      </c>
      <c r="K228" s="6">
        <v>1251.6600000000001</v>
      </c>
      <c r="L228" s="6">
        <v>0</v>
      </c>
      <c r="M228" s="6">
        <v>0</v>
      </c>
      <c r="N228" s="6">
        <v>0</v>
      </c>
      <c r="O228" s="6">
        <v>0</v>
      </c>
      <c r="P228" s="6">
        <v>8</v>
      </c>
      <c r="Q228" s="4" t="s">
        <v>26</v>
      </c>
      <c r="R228" s="4">
        <v>0</v>
      </c>
      <c r="S228" s="6">
        <v>18</v>
      </c>
      <c r="T228" s="6">
        <v>0</v>
      </c>
      <c r="U228" s="6">
        <v>0</v>
      </c>
      <c r="V228" s="6">
        <f>IF(ISERROR(VLOOKUP($S$228,'TAR FIN'!$A$1:$O$92,15,0)),0,VLOOKUP($S$228,'TAR FIN'!$A$1:$O$92,15,0))</f>
        <v>18.489999999999998</v>
      </c>
      <c r="W228" s="6">
        <f>IF(ISERROR(VLOOKUP($T$228,'TAR FIN'!$A$1:$O$92,15,0)),0,VLOOKUP($T$228,'TAR FIN'!$A$1:$O$92,15,0))</f>
        <v>0</v>
      </c>
      <c r="X228" s="6">
        <f>IF(ISERROR(VLOOKUP($U$228,'TAR FIN'!$A$1:$O$92,15,0)),0,VLOOKUP($U$228,'TAR FIN'!$A$1:$O$92,15,0))</f>
        <v>0</v>
      </c>
      <c r="Y228" s="6">
        <f ca="1">('TUSD BE'!$AM$14+'TUSD BF_350'!$AM$14+'TUSD CVA'!$AM$14)*1</f>
        <v>15.64</v>
      </c>
      <c r="Z228" s="6"/>
      <c r="AA228" s="6"/>
      <c r="AB228" s="6">
        <f>$K$228*$V$228</f>
        <v>23143.1934</v>
      </c>
      <c r="AC228" s="6">
        <f>$M$228*$W$228</f>
        <v>0</v>
      </c>
      <c r="AD228" s="6">
        <f>$O$228*$X$228</f>
        <v>0</v>
      </c>
      <c r="AE228" s="6">
        <f ca="1">$K$228*$Y$228</f>
        <v>19575.9624</v>
      </c>
      <c r="AF228" s="6">
        <f>$M$228*$Z$228</f>
        <v>0</v>
      </c>
      <c r="AG228" s="6">
        <f>$O$228*$AA$228</f>
        <v>0</v>
      </c>
    </row>
    <row r="229" spans="1:33" ht="11.25" customHeight="1" x14ac:dyDescent="0.3">
      <c r="A229" s="4" t="s">
        <v>27</v>
      </c>
      <c r="B229" s="4" t="s">
        <v>34</v>
      </c>
      <c r="C229" s="4" t="s">
        <v>35</v>
      </c>
      <c r="D229" s="4" t="s">
        <v>33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44743</v>
      </c>
      <c r="J229" s="6">
        <v>370</v>
      </c>
      <c r="K229" s="6">
        <v>370</v>
      </c>
      <c r="L229" s="6">
        <v>0</v>
      </c>
      <c r="M229" s="6">
        <v>0</v>
      </c>
      <c r="N229" s="6">
        <v>0</v>
      </c>
      <c r="O229" s="6">
        <v>0</v>
      </c>
      <c r="P229" s="6">
        <v>2</v>
      </c>
      <c r="Q229" s="4" t="s">
        <v>26</v>
      </c>
      <c r="R229" s="4">
        <v>0</v>
      </c>
      <c r="S229" s="6">
        <v>18</v>
      </c>
      <c r="T229" s="6">
        <v>0</v>
      </c>
      <c r="U229" s="6">
        <v>0</v>
      </c>
      <c r="V229" s="6">
        <f>IF(ISERROR(VLOOKUP($S$229,'TAR FIN'!$A$1:$O$92,15,0)),0,VLOOKUP($S$229,'TAR FIN'!$A$1:$O$92,15,0))</f>
        <v>18.489999999999998</v>
      </c>
      <c r="W229" s="6">
        <f>IF(ISERROR(VLOOKUP($T$229,'TAR FIN'!$A$1:$O$92,15,0)),0,VLOOKUP($T$229,'TAR FIN'!$A$1:$O$92,15,0))</f>
        <v>0</v>
      </c>
      <c r="X229" s="6">
        <f>IF(ISERROR(VLOOKUP($U$229,'TAR FIN'!$A$1:$O$92,15,0)),0,VLOOKUP($U$229,'TAR FIN'!$A$1:$O$92,15,0))</f>
        <v>0</v>
      </c>
      <c r="Y229" s="6">
        <f ca="1">('TUSD BE'!$AM$14+'TUSD BF_350'!$AM$14+'TUSD CVA'!$AM$14)*1</f>
        <v>15.64</v>
      </c>
      <c r="Z229" s="6"/>
      <c r="AA229" s="6"/>
      <c r="AB229" s="6">
        <f>$K$229*$V$229</f>
        <v>6841.2999999999993</v>
      </c>
      <c r="AC229" s="6">
        <f>$M$229*$W$229</f>
        <v>0</v>
      </c>
      <c r="AD229" s="6">
        <f>$O$229*$X$229</f>
        <v>0</v>
      </c>
      <c r="AE229" s="6">
        <f ca="1">$K$229*$Y$229</f>
        <v>5786.8</v>
      </c>
      <c r="AF229" s="6">
        <f>$M$229*$Z$229</f>
        <v>0</v>
      </c>
      <c r="AG229" s="6">
        <f>$O$229*$AA$229</f>
        <v>0</v>
      </c>
    </row>
    <row r="230" spans="1:33" ht="11.25" customHeight="1" x14ac:dyDescent="0.3">
      <c r="A230" s="4" t="s">
        <v>21</v>
      </c>
      <c r="B230" s="4" t="s">
        <v>34</v>
      </c>
      <c r="C230" s="4" t="s">
        <v>35</v>
      </c>
      <c r="D230" s="4" t="s">
        <v>33</v>
      </c>
      <c r="E230" s="4" t="s">
        <v>25</v>
      </c>
      <c r="F230" s="4" t="s">
        <v>25</v>
      </c>
      <c r="G230" s="4" t="s">
        <v>25</v>
      </c>
      <c r="H230" s="4" t="s">
        <v>36</v>
      </c>
      <c r="I230" s="5">
        <v>44409</v>
      </c>
      <c r="J230" s="6">
        <v>0</v>
      </c>
      <c r="K230" s="6">
        <v>0</v>
      </c>
      <c r="L230" s="6">
        <v>17.806629999999998</v>
      </c>
      <c r="M230" s="6">
        <v>17.806629999999998</v>
      </c>
      <c r="N230" s="6">
        <v>17.806629999999998</v>
      </c>
      <c r="O230" s="6">
        <v>17.806629999999998</v>
      </c>
      <c r="P230" s="6">
        <v>0</v>
      </c>
      <c r="Q230" s="4" t="s">
        <v>26</v>
      </c>
      <c r="R230" s="4">
        <v>0</v>
      </c>
      <c r="S230" s="6">
        <v>0</v>
      </c>
      <c r="T230" s="6">
        <v>21</v>
      </c>
      <c r="U230" s="6">
        <v>83</v>
      </c>
      <c r="V230" s="6">
        <f>IF(ISERROR(VLOOKUP($S$230,'TAR FIN'!$A$1:$O$92,15,0)),0,VLOOKUP($S$230,'TAR FIN'!$A$1:$O$92,15,0))</f>
        <v>0</v>
      </c>
      <c r="W230" s="6">
        <f>IF(ISERROR(VLOOKUP($T$230,'TAR FIN'!$A$1:$O$92,15,0)),0,VLOOKUP($T$230,'TAR FIN'!$A$1:$O$92,15,0))</f>
        <v>789.62</v>
      </c>
      <c r="X230" s="6">
        <f>IF(ISERROR(VLOOKUP($U$230,'TAR FIN'!$A$1:$O$92,15,0)),0,VLOOKUP($U$230,'TAR FIN'!$A$1:$O$92,15,0))</f>
        <v>488.15</v>
      </c>
      <c r="Y230" s="6"/>
      <c r="Z230" s="6">
        <f ca="1">('TUSD BE'!$AM$15+'TUSD BF_350'!$AM$15+'TUSD CVA'!$AM$15)*1</f>
        <v>911.84</v>
      </c>
      <c r="AA230" s="6">
        <f ca="1">('TE BE'!$AB$7+'TE BF_350'!$AB$7+'TE CVA'!$AB$7)*1</f>
        <v>399.84</v>
      </c>
      <c r="AB230" s="6">
        <f>$K$230*$V$230</f>
        <v>0</v>
      </c>
      <c r="AC230" s="6">
        <f>$M$230*$W$230</f>
        <v>14060.4711806</v>
      </c>
      <c r="AD230" s="6">
        <f>$O$230*$X$230</f>
        <v>8692.3064344999984</v>
      </c>
      <c r="AE230" s="6">
        <f>$K$230*$Y$230</f>
        <v>0</v>
      </c>
      <c r="AF230" s="6">
        <f ca="1">$M$230*$Z$230</f>
        <v>16236.7974992</v>
      </c>
      <c r="AG230" s="6">
        <f ca="1">$O$230*$AA$230</f>
        <v>7119.8029391999989</v>
      </c>
    </row>
    <row r="231" spans="1:33" ht="11.25" customHeight="1" x14ac:dyDescent="0.3">
      <c r="A231" s="4" t="s">
        <v>27</v>
      </c>
      <c r="B231" s="4" t="s">
        <v>34</v>
      </c>
      <c r="C231" s="4" t="s">
        <v>35</v>
      </c>
      <c r="D231" s="4" t="s">
        <v>33</v>
      </c>
      <c r="E231" s="4" t="s">
        <v>25</v>
      </c>
      <c r="F231" s="4" t="s">
        <v>25</v>
      </c>
      <c r="G231" s="4" t="s">
        <v>25</v>
      </c>
      <c r="H231" s="4" t="s">
        <v>36</v>
      </c>
      <c r="I231" s="5">
        <v>44409</v>
      </c>
      <c r="J231" s="6">
        <v>0</v>
      </c>
      <c r="K231" s="6">
        <v>0</v>
      </c>
      <c r="L231" s="6">
        <v>0.58309</v>
      </c>
      <c r="M231" s="6">
        <v>0.58309</v>
      </c>
      <c r="N231" s="6">
        <v>0.58309</v>
      </c>
      <c r="O231" s="6">
        <v>0.58309</v>
      </c>
      <c r="P231" s="6">
        <v>0</v>
      </c>
      <c r="Q231" s="4" t="s">
        <v>26</v>
      </c>
      <c r="R231" s="4">
        <v>0</v>
      </c>
      <c r="S231" s="6">
        <v>0</v>
      </c>
      <c r="T231" s="6">
        <v>21</v>
      </c>
      <c r="U231" s="6">
        <v>83</v>
      </c>
      <c r="V231" s="6">
        <f>IF(ISERROR(VLOOKUP($S$231,'TAR FIN'!$A$1:$O$92,15,0)),0,VLOOKUP($S$231,'TAR FIN'!$A$1:$O$92,15,0))</f>
        <v>0</v>
      </c>
      <c r="W231" s="6">
        <f>IF(ISERROR(VLOOKUP($T$231,'TAR FIN'!$A$1:$O$92,15,0)),0,VLOOKUP($T$231,'TAR FIN'!$A$1:$O$92,15,0))</f>
        <v>789.62</v>
      </c>
      <c r="X231" s="6">
        <f>IF(ISERROR(VLOOKUP($U$231,'TAR FIN'!$A$1:$O$92,15,0)),0,VLOOKUP($U$231,'TAR FIN'!$A$1:$O$92,15,0))</f>
        <v>488.15</v>
      </c>
      <c r="Y231" s="6"/>
      <c r="Z231" s="6">
        <f ca="1">('TUSD BE'!$AM$15+'TUSD BF_350'!$AM$15+'TUSD CVA'!$AM$15)*1</f>
        <v>911.84</v>
      </c>
      <c r="AA231" s="6">
        <f ca="1">('TE BE'!$AB$7+'TE BF_350'!$AB$7+'TE CVA'!$AB$7)*1</f>
        <v>399.84</v>
      </c>
      <c r="AB231" s="6">
        <f>$K$231*$V$231</f>
        <v>0</v>
      </c>
      <c r="AC231" s="6">
        <f>$M$231*$W$231</f>
        <v>460.41952579999997</v>
      </c>
      <c r="AD231" s="6">
        <f>$O$231*$X$231</f>
        <v>284.63538349999999</v>
      </c>
      <c r="AE231" s="6">
        <f>$K$231*$Y$231</f>
        <v>0</v>
      </c>
      <c r="AF231" s="6">
        <f ca="1">$M$231*$Z$231</f>
        <v>531.68478560000005</v>
      </c>
      <c r="AG231" s="6">
        <f ca="1">$O$231*$AA$231</f>
        <v>233.14270559999997</v>
      </c>
    </row>
    <row r="232" spans="1:33" ht="11.25" customHeight="1" x14ac:dyDescent="0.3">
      <c r="A232" s="4" t="s">
        <v>21</v>
      </c>
      <c r="B232" s="4" t="s">
        <v>34</v>
      </c>
      <c r="C232" s="4" t="s">
        <v>35</v>
      </c>
      <c r="D232" s="4" t="s">
        <v>33</v>
      </c>
      <c r="E232" s="4" t="s">
        <v>25</v>
      </c>
      <c r="F232" s="4" t="s">
        <v>25</v>
      </c>
      <c r="G232" s="4" t="s">
        <v>25</v>
      </c>
      <c r="H232" s="4" t="s">
        <v>36</v>
      </c>
      <c r="I232" s="5">
        <v>44440</v>
      </c>
      <c r="J232" s="6">
        <v>0</v>
      </c>
      <c r="K232" s="6">
        <v>0</v>
      </c>
      <c r="L232" s="6">
        <v>17.073</v>
      </c>
      <c r="M232" s="6">
        <v>17.073</v>
      </c>
      <c r="N232" s="6">
        <v>17.073</v>
      </c>
      <c r="O232" s="6">
        <v>17.073</v>
      </c>
      <c r="P232" s="6">
        <v>0</v>
      </c>
      <c r="Q232" s="4" t="s">
        <v>26</v>
      </c>
      <c r="R232" s="4">
        <v>0</v>
      </c>
      <c r="S232" s="6">
        <v>0</v>
      </c>
      <c r="T232" s="6">
        <v>21</v>
      </c>
      <c r="U232" s="6">
        <v>83</v>
      </c>
      <c r="V232" s="6">
        <f>IF(ISERROR(VLOOKUP($S$232,'TAR FIN'!$A$1:$O$92,15,0)),0,VLOOKUP($S$232,'TAR FIN'!$A$1:$O$92,15,0))</f>
        <v>0</v>
      </c>
      <c r="W232" s="6">
        <f>IF(ISERROR(VLOOKUP($T$232,'TAR FIN'!$A$1:$O$92,15,0)),0,VLOOKUP($T$232,'TAR FIN'!$A$1:$O$92,15,0))</f>
        <v>789.62</v>
      </c>
      <c r="X232" s="6">
        <f>IF(ISERROR(VLOOKUP($U$232,'TAR FIN'!$A$1:$O$92,15,0)),0,VLOOKUP($U$232,'TAR FIN'!$A$1:$O$92,15,0))</f>
        <v>488.15</v>
      </c>
      <c r="Y232" s="6"/>
      <c r="Z232" s="6">
        <f ca="1">('TUSD BE'!$AM$15+'TUSD BF_350'!$AM$15+'TUSD CVA'!$AM$15)*1</f>
        <v>911.84</v>
      </c>
      <c r="AA232" s="6">
        <f ca="1">('TE BE'!$AB$7+'TE BF_350'!$AB$7+'TE CVA'!$AB$7)*1</f>
        <v>399.84</v>
      </c>
      <c r="AB232" s="6">
        <f>$K$232*$V$232</f>
        <v>0</v>
      </c>
      <c r="AC232" s="6">
        <f>$M$232*$W$232</f>
        <v>13481.18226</v>
      </c>
      <c r="AD232" s="6">
        <f>$O$232*$X$232</f>
        <v>8334.1849499999989</v>
      </c>
      <c r="AE232" s="6">
        <f>$K$232*$Y$232</f>
        <v>0</v>
      </c>
      <c r="AF232" s="6">
        <f ca="1">$M$232*$Z$232</f>
        <v>15567.84432</v>
      </c>
      <c r="AG232" s="6">
        <f ca="1">$O$232*$AA$232</f>
        <v>6826.4683199999999</v>
      </c>
    </row>
    <row r="233" spans="1:33" ht="11.25" customHeight="1" x14ac:dyDescent="0.3">
      <c r="A233" s="4" t="s">
        <v>27</v>
      </c>
      <c r="B233" s="4" t="s">
        <v>34</v>
      </c>
      <c r="C233" s="4" t="s">
        <v>35</v>
      </c>
      <c r="D233" s="4" t="s">
        <v>33</v>
      </c>
      <c r="E233" s="4" t="s">
        <v>25</v>
      </c>
      <c r="F233" s="4" t="s">
        <v>25</v>
      </c>
      <c r="G233" s="4" t="s">
        <v>25</v>
      </c>
      <c r="H233" s="4" t="s">
        <v>36</v>
      </c>
      <c r="I233" s="5">
        <v>44440</v>
      </c>
      <c r="J233" s="6">
        <v>0</v>
      </c>
      <c r="K233" s="6">
        <v>0</v>
      </c>
      <c r="L233" s="6">
        <v>0.39</v>
      </c>
      <c r="M233" s="6">
        <v>0.39</v>
      </c>
      <c r="N233" s="6">
        <v>0.39</v>
      </c>
      <c r="O233" s="6">
        <v>0.39</v>
      </c>
      <c r="P233" s="6">
        <v>0</v>
      </c>
      <c r="Q233" s="4" t="s">
        <v>26</v>
      </c>
      <c r="R233" s="4">
        <v>0</v>
      </c>
      <c r="S233" s="6">
        <v>0</v>
      </c>
      <c r="T233" s="6">
        <v>21</v>
      </c>
      <c r="U233" s="6">
        <v>83</v>
      </c>
      <c r="V233" s="6">
        <f>IF(ISERROR(VLOOKUP($S$233,'TAR FIN'!$A$1:$O$92,15,0)),0,VLOOKUP($S$233,'TAR FIN'!$A$1:$O$92,15,0))</f>
        <v>0</v>
      </c>
      <c r="W233" s="6">
        <f>IF(ISERROR(VLOOKUP($T$233,'TAR FIN'!$A$1:$O$92,15,0)),0,VLOOKUP($T$233,'TAR FIN'!$A$1:$O$92,15,0))</f>
        <v>789.62</v>
      </c>
      <c r="X233" s="6">
        <f>IF(ISERROR(VLOOKUP($U$233,'TAR FIN'!$A$1:$O$92,15,0)),0,VLOOKUP($U$233,'TAR FIN'!$A$1:$O$92,15,0))</f>
        <v>488.15</v>
      </c>
      <c r="Y233" s="6"/>
      <c r="Z233" s="6">
        <f ca="1">('TUSD BE'!$AM$15+'TUSD BF_350'!$AM$15+'TUSD CVA'!$AM$15)*1</f>
        <v>911.84</v>
      </c>
      <c r="AA233" s="6">
        <f ca="1">('TE BE'!$AB$7+'TE BF_350'!$AB$7+'TE CVA'!$AB$7)*1</f>
        <v>399.84</v>
      </c>
      <c r="AB233" s="6">
        <f>$K$233*$V$233</f>
        <v>0</v>
      </c>
      <c r="AC233" s="6">
        <f>$M$233*$W$233</f>
        <v>307.95179999999999</v>
      </c>
      <c r="AD233" s="6">
        <f>$O$233*$X$233</f>
        <v>190.3785</v>
      </c>
      <c r="AE233" s="6">
        <f>$K$233*$Y$233</f>
        <v>0</v>
      </c>
      <c r="AF233" s="6">
        <f ca="1">$M$233*$Z$233</f>
        <v>355.61760000000004</v>
      </c>
      <c r="AG233" s="6">
        <f ca="1">$O$233*$AA$233</f>
        <v>155.9376</v>
      </c>
    </row>
    <row r="234" spans="1:33" ht="11.25" customHeight="1" x14ac:dyDescent="0.3">
      <c r="A234" s="4" t="s">
        <v>21</v>
      </c>
      <c r="B234" s="4" t="s">
        <v>34</v>
      </c>
      <c r="C234" s="4" t="s">
        <v>35</v>
      </c>
      <c r="D234" s="4" t="s">
        <v>33</v>
      </c>
      <c r="E234" s="4" t="s">
        <v>25</v>
      </c>
      <c r="F234" s="4" t="s">
        <v>25</v>
      </c>
      <c r="G234" s="4" t="s">
        <v>25</v>
      </c>
      <c r="H234" s="4" t="s">
        <v>36</v>
      </c>
      <c r="I234" s="5">
        <v>44470</v>
      </c>
      <c r="J234" s="6">
        <v>0</v>
      </c>
      <c r="K234" s="6">
        <v>0</v>
      </c>
      <c r="L234" s="6">
        <v>15.673</v>
      </c>
      <c r="M234" s="6">
        <v>15.673</v>
      </c>
      <c r="N234" s="6">
        <v>15.673</v>
      </c>
      <c r="O234" s="6">
        <v>15.673</v>
      </c>
      <c r="P234" s="6">
        <v>0</v>
      </c>
      <c r="Q234" s="4" t="s">
        <v>26</v>
      </c>
      <c r="R234" s="4">
        <v>0</v>
      </c>
      <c r="S234" s="6">
        <v>0</v>
      </c>
      <c r="T234" s="6">
        <v>21</v>
      </c>
      <c r="U234" s="6">
        <v>83</v>
      </c>
      <c r="V234" s="6">
        <f>IF(ISERROR(VLOOKUP($S$234,'TAR FIN'!$A$1:$O$92,15,0)),0,VLOOKUP($S$234,'TAR FIN'!$A$1:$O$92,15,0))</f>
        <v>0</v>
      </c>
      <c r="W234" s="6">
        <f>IF(ISERROR(VLOOKUP($T$234,'TAR FIN'!$A$1:$O$92,15,0)),0,VLOOKUP($T$234,'TAR FIN'!$A$1:$O$92,15,0))</f>
        <v>789.62</v>
      </c>
      <c r="X234" s="6">
        <f>IF(ISERROR(VLOOKUP($U$234,'TAR FIN'!$A$1:$O$92,15,0)),0,VLOOKUP($U$234,'TAR FIN'!$A$1:$O$92,15,0))</f>
        <v>488.15</v>
      </c>
      <c r="Y234" s="6"/>
      <c r="Z234" s="6">
        <f ca="1">('TUSD BE'!$AM$15+'TUSD BF_350'!$AM$15+'TUSD CVA'!$AM$15)*1</f>
        <v>911.84</v>
      </c>
      <c r="AA234" s="6">
        <f ca="1">('TE BE'!$AB$7+'TE BF_350'!$AB$7+'TE CVA'!$AB$7)*1</f>
        <v>399.84</v>
      </c>
      <c r="AB234" s="6">
        <f>$K$234*$V$234</f>
        <v>0</v>
      </c>
      <c r="AC234" s="6">
        <f>$M$234*$W$234</f>
        <v>12375.714260000001</v>
      </c>
      <c r="AD234" s="6">
        <f>$O$234*$X$234</f>
        <v>7650.77495</v>
      </c>
      <c r="AE234" s="6">
        <f>$K$234*$Y$234</f>
        <v>0</v>
      </c>
      <c r="AF234" s="6">
        <f ca="1">$M$234*$Z$234</f>
        <v>14291.268320000001</v>
      </c>
      <c r="AG234" s="6">
        <f ca="1">$O$234*$AA$234</f>
        <v>6266.6923199999992</v>
      </c>
    </row>
    <row r="235" spans="1:33" ht="11.25" customHeight="1" x14ac:dyDescent="0.3">
      <c r="A235" s="4" t="s">
        <v>27</v>
      </c>
      <c r="B235" s="4" t="s">
        <v>34</v>
      </c>
      <c r="C235" s="4" t="s">
        <v>35</v>
      </c>
      <c r="D235" s="4" t="s">
        <v>33</v>
      </c>
      <c r="E235" s="4" t="s">
        <v>25</v>
      </c>
      <c r="F235" s="4" t="s">
        <v>25</v>
      </c>
      <c r="G235" s="4" t="s">
        <v>25</v>
      </c>
      <c r="H235" s="4" t="s">
        <v>36</v>
      </c>
      <c r="I235" s="5">
        <v>44470</v>
      </c>
      <c r="J235" s="6">
        <v>0</v>
      </c>
      <c r="K235" s="6">
        <v>0</v>
      </c>
      <c r="L235" s="6">
        <v>0.42138999999999999</v>
      </c>
      <c r="M235" s="6">
        <v>0.42138999999999999</v>
      </c>
      <c r="N235" s="6">
        <v>0.42138999999999999</v>
      </c>
      <c r="O235" s="6">
        <v>0.42138999999999999</v>
      </c>
      <c r="P235" s="6">
        <v>0</v>
      </c>
      <c r="Q235" s="4" t="s">
        <v>26</v>
      </c>
      <c r="R235" s="4">
        <v>0</v>
      </c>
      <c r="S235" s="6">
        <v>0</v>
      </c>
      <c r="T235" s="6">
        <v>21</v>
      </c>
      <c r="U235" s="6">
        <v>83</v>
      </c>
      <c r="V235" s="6">
        <f>IF(ISERROR(VLOOKUP($S$235,'TAR FIN'!$A$1:$O$92,15,0)),0,VLOOKUP($S$235,'TAR FIN'!$A$1:$O$92,15,0))</f>
        <v>0</v>
      </c>
      <c r="W235" s="6">
        <f>IF(ISERROR(VLOOKUP($T$235,'TAR FIN'!$A$1:$O$92,15,0)),0,VLOOKUP($T$235,'TAR FIN'!$A$1:$O$92,15,0))</f>
        <v>789.62</v>
      </c>
      <c r="X235" s="6">
        <f>IF(ISERROR(VLOOKUP($U$235,'TAR FIN'!$A$1:$O$92,15,0)),0,VLOOKUP($U$235,'TAR FIN'!$A$1:$O$92,15,0))</f>
        <v>488.15</v>
      </c>
      <c r="Y235" s="6"/>
      <c r="Z235" s="6">
        <f ca="1">('TUSD BE'!$AM$15+'TUSD BF_350'!$AM$15+'TUSD CVA'!$AM$15)*1</f>
        <v>911.84</v>
      </c>
      <c r="AA235" s="6">
        <f ca="1">('TE BE'!$AB$7+'TE BF_350'!$AB$7+'TE CVA'!$AB$7)*1</f>
        <v>399.84</v>
      </c>
      <c r="AB235" s="6">
        <f>$K$235*$V$235</f>
        <v>0</v>
      </c>
      <c r="AC235" s="6">
        <f>$M$235*$W$235</f>
        <v>332.73797179999997</v>
      </c>
      <c r="AD235" s="6">
        <f>$O$235*$X$235</f>
        <v>205.70152849999999</v>
      </c>
      <c r="AE235" s="6">
        <f>$K$235*$Y$235</f>
        <v>0</v>
      </c>
      <c r="AF235" s="6">
        <f ca="1">$M$235*$Z$235</f>
        <v>384.24025760000001</v>
      </c>
      <c r="AG235" s="6">
        <f ca="1">$O$235*$AA$235</f>
        <v>168.48857759999999</v>
      </c>
    </row>
    <row r="236" spans="1:33" ht="11.25" customHeight="1" x14ac:dyDescent="0.3">
      <c r="A236" s="4" t="s">
        <v>21</v>
      </c>
      <c r="B236" s="4" t="s">
        <v>34</v>
      </c>
      <c r="C236" s="4" t="s">
        <v>35</v>
      </c>
      <c r="D236" s="4" t="s">
        <v>33</v>
      </c>
      <c r="E236" s="4" t="s">
        <v>25</v>
      </c>
      <c r="F236" s="4" t="s">
        <v>25</v>
      </c>
      <c r="G236" s="4" t="s">
        <v>25</v>
      </c>
      <c r="H236" s="4" t="s">
        <v>36</v>
      </c>
      <c r="I236" s="5">
        <v>44501</v>
      </c>
      <c r="J236" s="6">
        <v>0</v>
      </c>
      <c r="K236" s="6">
        <v>0</v>
      </c>
      <c r="L236" s="6">
        <v>15.188000000000001</v>
      </c>
      <c r="M236" s="6">
        <v>15.188000000000001</v>
      </c>
      <c r="N236" s="6">
        <v>15.188000000000001</v>
      </c>
      <c r="O236" s="6">
        <v>15.188000000000001</v>
      </c>
      <c r="P236" s="6">
        <v>0</v>
      </c>
      <c r="Q236" s="4" t="s">
        <v>26</v>
      </c>
      <c r="R236" s="4">
        <v>0</v>
      </c>
      <c r="S236" s="6">
        <v>0</v>
      </c>
      <c r="T236" s="6">
        <v>21</v>
      </c>
      <c r="U236" s="6">
        <v>83</v>
      </c>
      <c r="V236" s="6">
        <f>IF(ISERROR(VLOOKUP($S$236,'TAR FIN'!$A$1:$O$92,15,0)),0,VLOOKUP($S$236,'TAR FIN'!$A$1:$O$92,15,0))</f>
        <v>0</v>
      </c>
      <c r="W236" s="6">
        <f>IF(ISERROR(VLOOKUP($T$236,'TAR FIN'!$A$1:$O$92,15,0)),0,VLOOKUP($T$236,'TAR FIN'!$A$1:$O$92,15,0))</f>
        <v>789.62</v>
      </c>
      <c r="X236" s="6">
        <f>IF(ISERROR(VLOOKUP($U$236,'TAR FIN'!$A$1:$O$92,15,0)),0,VLOOKUP($U$236,'TAR FIN'!$A$1:$O$92,15,0))</f>
        <v>488.15</v>
      </c>
      <c r="Y236" s="6"/>
      <c r="Z236" s="6">
        <f ca="1">('TUSD BE'!$AM$15+'TUSD BF_350'!$AM$15+'TUSD CVA'!$AM$15)*1</f>
        <v>911.84</v>
      </c>
      <c r="AA236" s="6">
        <f ca="1">('TE BE'!$AB$7+'TE BF_350'!$AB$7+'TE CVA'!$AB$7)*1</f>
        <v>399.84</v>
      </c>
      <c r="AB236" s="6">
        <f>$K$236*$V$236</f>
        <v>0</v>
      </c>
      <c r="AC236" s="6">
        <f>$M$236*$W$236</f>
        <v>11992.74856</v>
      </c>
      <c r="AD236" s="6">
        <f>$O$236*$X$236</f>
        <v>7414.0222000000003</v>
      </c>
      <c r="AE236" s="6">
        <f>$K$236*$Y$236</f>
        <v>0</v>
      </c>
      <c r="AF236" s="6">
        <f ca="1">$M$236*$Z$236</f>
        <v>13849.025920000002</v>
      </c>
      <c r="AG236" s="6">
        <f ca="1">$O$236*$AA$236</f>
        <v>6072.7699199999997</v>
      </c>
    </row>
    <row r="237" spans="1:33" ht="11.25" customHeight="1" x14ac:dyDescent="0.3">
      <c r="A237" s="4" t="s">
        <v>27</v>
      </c>
      <c r="B237" s="4" t="s">
        <v>34</v>
      </c>
      <c r="C237" s="4" t="s">
        <v>35</v>
      </c>
      <c r="D237" s="4" t="s">
        <v>33</v>
      </c>
      <c r="E237" s="4" t="s">
        <v>25</v>
      </c>
      <c r="F237" s="4" t="s">
        <v>25</v>
      </c>
      <c r="G237" s="4" t="s">
        <v>25</v>
      </c>
      <c r="H237" s="4" t="s">
        <v>36</v>
      </c>
      <c r="I237" s="5">
        <v>44501</v>
      </c>
      <c r="J237" s="6">
        <v>0</v>
      </c>
      <c r="K237" s="6">
        <v>0</v>
      </c>
      <c r="L237" s="6">
        <v>0.43491000000000002</v>
      </c>
      <c r="M237" s="6">
        <v>0.43491000000000002</v>
      </c>
      <c r="N237" s="6">
        <v>0.43491000000000002</v>
      </c>
      <c r="O237" s="6">
        <v>0.43491000000000002</v>
      </c>
      <c r="P237" s="6">
        <v>0</v>
      </c>
      <c r="Q237" s="4" t="s">
        <v>26</v>
      </c>
      <c r="R237" s="4">
        <v>0</v>
      </c>
      <c r="S237" s="6">
        <v>0</v>
      </c>
      <c r="T237" s="6">
        <v>21</v>
      </c>
      <c r="U237" s="6">
        <v>83</v>
      </c>
      <c r="V237" s="6">
        <f>IF(ISERROR(VLOOKUP($S$237,'TAR FIN'!$A$1:$O$92,15,0)),0,VLOOKUP($S$237,'TAR FIN'!$A$1:$O$92,15,0))</f>
        <v>0</v>
      </c>
      <c r="W237" s="6">
        <f>IF(ISERROR(VLOOKUP($T$237,'TAR FIN'!$A$1:$O$92,15,0)),0,VLOOKUP($T$237,'TAR FIN'!$A$1:$O$92,15,0))</f>
        <v>789.62</v>
      </c>
      <c r="X237" s="6">
        <f>IF(ISERROR(VLOOKUP($U$237,'TAR FIN'!$A$1:$O$92,15,0)),0,VLOOKUP($U$237,'TAR FIN'!$A$1:$O$92,15,0))</f>
        <v>488.15</v>
      </c>
      <c r="Y237" s="6"/>
      <c r="Z237" s="6">
        <f ca="1">('TUSD BE'!$AM$15+'TUSD BF_350'!$AM$15+'TUSD CVA'!$AM$15)*1</f>
        <v>911.84</v>
      </c>
      <c r="AA237" s="6">
        <f ca="1">('TE BE'!$AB$7+'TE BF_350'!$AB$7+'TE CVA'!$AB$7)*1</f>
        <v>399.84</v>
      </c>
      <c r="AB237" s="6">
        <f>$K$237*$V$237</f>
        <v>0</v>
      </c>
      <c r="AC237" s="6">
        <f>$M$237*$W$237</f>
        <v>343.41363419999999</v>
      </c>
      <c r="AD237" s="6">
        <f>$O$237*$X$237</f>
        <v>212.30131650000001</v>
      </c>
      <c r="AE237" s="6">
        <f>$K$237*$Y$237</f>
        <v>0</v>
      </c>
      <c r="AF237" s="6">
        <f ca="1">$M$237*$Z$237</f>
        <v>396.56833440000003</v>
      </c>
      <c r="AG237" s="6">
        <f ca="1">$O$237*$AA$237</f>
        <v>173.89441439999999</v>
      </c>
    </row>
    <row r="238" spans="1:33" ht="11.25" customHeight="1" x14ac:dyDescent="0.3">
      <c r="A238" s="4" t="s">
        <v>21</v>
      </c>
      <c r="B238" s="4" t="s">
        <v>34</v>
      </c>
      <c r="C238" s="4" t="s">
        <v>35</v>
      </c>
      <c r="D238" s="4" t="s">
        <v>33</v>
      </c>
      <c r="E238" s="4" t="s">
        <v>25</v>
      </c>
      <c r="F238" s="4" t="s">
        <v>25</v>
      </c>
      <c r="G238" s="4" t="s">
        <v>25</v>
      </c>
      <c r="H238" s="4" t="s">
        <v>36</v>
      </c>
      <c r="I238" s="5">
        <v>44531</v>
      </c>
      <c r="J238" s="6">
        <v>0</v>
      </c>
      <c r="K238" s="6">
        <v>0</v>
      </c>
      <c r="L238" s="6">
        <v>14.321</v>
      </c>
      <c r="M238" s="6">
        <v>14.321</v>
      </c>
      <c r="N238" s="6">
        <v>14.321</v>
      </c>
      <c r="O238" s="6">
        <v>14.321</v>
      </c>
      <c r="P238" s="6">
        <v>0</v>
      </c>
      <c r="Q238" s="4" t="s">
        <v>26</v>
      </c>
      <c r="R238" s="4">
        <v>0</v>
      </c>
      <c r="S238" s="6">
        <v>0</v>
      </c>
      <c r="T238" s="6">
        <v>21</v>
      </c>
      <c r="U238" s="6">
        <v>83</v>
      </c>
      <c r="V238" s="6">
        <f>IF(ISERROR(VLOOKUP($S$238,'TAR FIN'!$A$1:$O$92,15,0)),0,VLOOKUP($S$238,'TAR FIN'!$A$1:$O$92,15,0))</f>
        <v>0</v>
      </c>
      <c r="W238" s="6">
        <f>IF(ISERROR(VLOOKUP($T$238,'TAR FIN'!$A$1:$O$92,15,0)),0,VLOOKUP($T$238,'TAR FIN'!$A$1:$O$92,15,0))</f>
        <v>789.62</v>
      </c>
      <c r="X238" s="6">
        <f>IF(ISERROR(VLOOKUP($U$238,'TAR FIN'!$A$1:$O$92,15,0)),0,VLOOKUP($U$238,'TAR FIN'!$A$1:$O$92,15,0))</f>
        <v>488.15</v>
      </c>
      <c r="Y238" s="6"/>
      <c r="Z238" s="6">
        <f ca="1">('TUSD BE'!$AM$15+'TUSD BF_350'!$AM$15+'TUSD CVA'!$AM$15)*1</f>
        <v>911.84</v>
      </c>
      <c r="AA238" s="6">
        <f ca="1">('TE BE'!$AB$7+'TE BF_350'!$AB$7+'TE CVA'!$AB$7)*1</f>
        <v>399.84</v>
      </c>
      <c r="AB238" s="6">
        <f>$K$238*$V$238</f>
        <v>0</v>
      </c>
      <c r="AC238" s="6">
        <f>$M$238*$W$238</f>
        <v>11308.148020000001</v>
      </c>
      <c r="AD238" s="6">
        <f>$O$238*$X$238</f>
        <v>6990.7961499999992</v>
      </c>
      <c r="AE238" s="6">
        <f>$K$238*$Y$238</f>
        <v>0</v>
      </c>
      <c r="AF238" s="6">
        <f ca="1">$M$238*$Z$238</f>
        <v>13058.460639999999</v>
      </c>
      <c r="AG238" s="6">
        <f ca="1">$O$238*$AA$238</f>
        <v>5726.1086399999995</v>
      </c>
    </row>
    <row r="239" spans="1:33" ht="11.25" customHeight="1" x14ac:dyDescent="0.3">
      <c r="A239" s="4" t="s">
        <v>27</v>
      </c>
      <c r="B239" s="4" t="s">
        <v>34</v>
      </c>
      <c r="C239" s="4" t="s">
        <v>35</v>
      </c>
      <c r="D239" s="4" t="s">
        <v>33</v>
      </c>
      <c r="E239" s="4" t="s">
        <v>25</v>
      </c>
      <c r="F239" s="4" t="s">
        <v>25</v>
      </c>
      <c r="G239" s="4" t="s">
        <v>25</v>
      </c>
      <c r="H239" s="4" t="s">
        <v>36</v>
      </c>
      <c r="I239" s="5">
        <v>44531</v>
      </c>
      <c r="J239" s="6">
        <v>0</v>
      </c>
      <c r="K239" s="6">
        <v>0</v>
      </c>
      <c r="L239" s="6">
        <v>0.32100000000000001</v>
      </c>
      <c r="M239" s="6">
        <v>0.32100000000000001</v>
      </c>
      <c r="N239" s="6">
        <v>0.32100000000000001</v>
      </c>
      <c r="O239" s="6">
        <v>0.32100000000000001</v>
      </c>
      <c r="P239" s="6">
        <v>0</v>
      </c>
      <c r="Q239" s="4" t="s">
        <v>26</v>
      </c>
      <c r="R239" s="4">
        <v>0</v>
      </c>
      <c r="S239" s="6">
        <v>0</v>
      </c>
      <c r="T239" s="6">
        <v>21</v>
      </c>
      <c r="U239" s="6">
        <v>83</v>
      </c>
      <c r="V239" s="6">
        <f>IF(ISERROR(VLOOKUP($S$239,'TAR FIN'!$A$1:$O$92,15,0)),0,VLOOKUP($S$239,'TAR FIN'!$A$1:$O$92,15,0))</f>
        <v>0</v>
      </c>
      <c r="W239" s="6">
        <f>IF(ISERROR(VLOOKUP($T$239,'TAR FIN'!$A$1:$O$92,15,0)),0,VLOOKUP($T$239,'TAR FIN'!$A$1:$O$92,15,0))</f>
        <v>789.62</v>
      </c>
      <c r="X239" s="6">
        <f>IF(ISERROR(VLOOKUP($U$239,'TAR FIN'!$A$1:$O$92,15,0)),0,VLOOKUP($U$239,'TAR FIN'!$A$1:$O$92,15,0))</f>
        <v>488.15</v>
      </c>
      <c r="Y239" s="6"/>
      <c r="Z239" s="6">
        <f ca="1">('TUSD BE'!$AM$15+'TUSD BF_350'!$AM$15+'TUSD CVA'!$AM$15)*1</f>
        <v>911.84</v>
      </c>
      <c r="AA239" s="6">
        <f ca="1">('TE BE'!$AB$7+'TE BF_350'!$AB$7+'TE CVA'!$AB$7)*1</f>
        <v>399.84</v>
      </c>
      <c r="AB239" s="6">
        <f>$K$239*$V$239</f>
        <v>0</v>
      </c>
      <c r="AC239" s="6">
        <f>$M$239*$W$239</f>
        <v>253.46802</v>
      </c>
      <c r="AD239" s="6">
        <f>$O$239*$X$239</f>
        <v>156.69614999999999</v>
      </c>
      <c r="AE239" s="6">
        <f>$K$239*$Y$239</f>
        <v>0</v>
      </c>
      <c r="AF239" s="6">
        <f ca="1">$M$239*$Z$239</f>
        <v>292.70064000000002</v>
      </c>
      <c r="AG239" s="6">
        <f ca="1">$O$239*$AA$239</f>
        <v>128.34863999999999</v>
      </c>
    </row>
    <row r="240" spans="1:33" ht="11.25" customHeight="1" x14ac:dyDescent="0.3">
      <c r="A240" s="4" t="s">
        <v>21</v>
      </c>
      <c r="B240" s="4" t="s">
        <v>34</v>
      </c>
      <c r="C240" s="4" t="s">
        <v>35</v>
      </c>
      <c r="D240" s="4" t="s">
        <v>33</v>
      </c>
      <c r="E240" s="4" t="s">
        <v>25</v>
      </c>
      <c r="F240" s="4" t="s">
        <v>25</v>
      </c>
      <c r="G240" s="4" t="s">
        <v>25</v>
      </c>
      <c r="H240" s="4" t="s">
        <v>36</v>
      </c>
      <c r="I240" s="5">
        <v>44562</v>
      </c>
      <c r="J240" s="6">
        <v>0</v>
      </c>
      <c r="K240" s="6">
        <v>0</v>
      </c>
      <c r="L240" s="6">
        <v>14.286</v>
      </c>
      <c r="M240" s="6">
        <v>14.286</v>
      </c>
      <c r="N240" s="6">
        <v>14.286</v>
      </c>
      <c r="O240" s="6">
        <v>14.286</v>
      </c>
      <c r="P240" s="6">
        <v>0</v>
      </c>
      <c r="Q240" s="4" t="s">
        <v>26</v>
      </c>
      <c r="R240" s="4">
        <v>0</v>
      </c>
      <c r="S240" s="6">
        <v>0</v>
      </c>
      <c r="T240" s="6">
        <v>21</v>
      </c>
      <c r="U240" s="6">
        <v>83</v>
      </c>
      <c r="V240" s="6">
        <f>IF(ISERROR(VLOOKUP($S$240,'TAR FIN'!$A$1:$O$92,15,0)),0,VLOOKUP($S$240,'TAR FIN'!$A$1:$O$92,15,0))</f>
        <v>0</v>
      </c>
      <c r="W240" s="6">
        <f>IF(ISERROR(VLOOKUP($T$240,'TAR FIN'!$A$1:$O$92,15,0)),0,VLOOKUP($T$240,'TAR FIN'!$A$1:$O$92,15,0))</f>
        <v>789.62</v>
      </c>
      <c r="X240" s="6">
        <f>IF(ISERROR(VLOOKUP($U$240,'TAR FIN'!$A$1:$O$92,15,0)),0,VLOOKUP($U$240,'TAR FIN'!$A$1:$O$92,15,0))</f>
        <v>488.15</v>
      </c>
      <c r="Y240" s="6"/>
      <c r="Z240" s="6">
        <f ca="1">('TUSD BE'!$AM$15+'TUSD BF_350'!$AM$15+'TUSD CVA'!$AM$15)*1</f>
        <v>911.84</v>
      </c>
      <c r="AA240" s="6">
        <f ca="1">('TE BE'!$AB$7+'TE BF_350'!$AB$7+'TE CVA'!$AB$7)*1</f>
        <v>399.84</v>
      </c>
      <c r="AB240" s="6">
        <f>$K$240*$V$240</f>
        <v>0</v>
      </c>
      <c r="AC240" s="6">
        <f>$M$240*$W$240</f>
        <v>11280.51132</v>
      </c>
      <c r="AD240" s="6">
        <f>$O$240*$X$240</f>
        <v>6973.7108999999991</v>
      </c>
      <c r="AE240" s="6">
        <f>$K$240*$Y$240</f>
        <v>0</v>
      </c>
      <c r="AF240" s="6">
        <f ca="1">$M$240*$Z$240</f>
        <v>13026.54624</v>
      </c>
      <c r="AG240" s="6">
        <f ca="1">$O$240*$AA$240</f>
        <v>5712.1142399999999</v>
      </c>
    </row>
    <row r="241" spans="1:33" ht="11.25" customHeight="1" x14ac:dyDescent="0.3">
      <c r="A241" s="4" t="s">
        <v>27</v>
      </c>
      <c r="B241" s="4" t="s">
        <v>34</v>
      </c>
      <c r="C241" s="4" t="s">
        <v>35</v>
      </c>
      <c r="D241" s="4" t="s">
        <v>33</v>
      </c>
      <c r="E241" s="4" t="s">
        <v>25</v>
      </c>
      <c r="F241" s="4" t="s">
        <v>25</v>
      </c>
      <c r="G241" s="4" t="s">
        <v>25</v>
      </c>
      <c r="H241" s="4" t="s">
        <v>36</v>
      </c>
      <c r="I241" s="5">
        <v>44562</v>
      </c>
      <c r="J241" s="6">
        <v>0</v>
      </c>
      <c r="K241" s="6">
        <v>0</v>
      </c>
      <c r="L241" s="6">
        <v>0.29899999999999999</v>
      </c>
      <c r="M241" s="6">
        <v>0.29899999999999999</v>
      </c>
      <c r="N241" s="6">
        <v>0.29899999999999999</v>
      </c>
      <c r="O241" s="6">
        <v>0.29899999999999999</v>
      </c>
      <c r="P241" s="6">
        <v>0</v>
      </c>
      <c r="Q241" s="4" t="s">
        <v>26</v>
      </c>
      <c r="R241" s="4">
        <v>0</v>
      </c>
      <c r="S241" s="6">
        <v>0</v>
      </c>
      <c r="T241" s="6">
        <v>21</v>
      </c>
      <c r="U241" s="6">
        <v>83</v>
      </c>
      <c r="V241" s="6">
        <f>IF(ISERROR(VLOOKUP($S$241,'TAR FIN'!$A$1:$O$92,15,0)),0,VLOOKUP($S$241,'TAR FIN'!$A$1:$O$92,15,0))</f>
        <v>0</v>
      </c>
      <c r="W241" s="6">
        <f>IF(ISERROR(VLOOKUP($T$241,'TAR FIN'!$A$1:$O$92,15,0)),0,VLOOKUP($T$241,'TAR FIN'!$A$1:$O$92,15,0))</f>
        <v>789.62</v>
      </c>
      <c r="X241" s="6">
        <f>IF(ISERROR(VLOOKUP($U$241,'TAR FIN'!$A$1:$O$92,15,0)),0,VLOOKUP($U$241,'TAR FIN'!$A$1:$O$92,15,0))</f>
        <v>488.15</v>
      </c>
      <c r="Y241" s="6"/>
      <c r="Z241" s="6">
        <f ca="1">('TUSD BE'!$AM$15+'TUSD BF_350'!$AM$15+'TUSD CVA'!$AM$15)*1</f>
        <v>911.84</v>
      </c>
      <c r="AA241" s="6">
        <f ca="1">('TE BE'!$AB$7+'TE BF_350'!$AB$7+'TE CVA'!$AB$7)*1</f>
        <v>399.84</v>
      </c>
      <c r="AB241" s="6">
        <f>$K$241*$V$241</f>
        <v>0</v>
      </c>
      <c r="AC241" s="6">
        <f>$M$241*$W$241</f>
        <v>236.09637999999998</v>
      </c>
      <c r="AD241" s="6">
        <f>$O$241*$X$241</f>
        <v>145.95684999999997</v>
      </c>
      <c r="AE241" s="6">
        <f>$K$241*$Y$241</f>
        <v>0</v>
      </c>
      <c r="AF241" s="6">
        <f ca="1">$M$241*$Z$241</f>
        <v>272.64015999999998</v>
      </c>
      <c r="AG241" s="6">
        <f ca="1">$O$241*$AA$241</f>
        <v>119.55215999999999</v>
      </c>
    </row>
    <row r="242" spans="1:33" ht="11.25" customHeight="1" x14ac:dyDescent="0.3">
      <c r="A242" s="4" t="s">
        <v>21</v>
      </c>
      <c r="B242" s="4" t="s">
        <v>34</v>
      </c>
      <c r="C242" s="4" t="s">
        <v>35</v>
      </c>
      <c r="D242" s="4" t="s">
        <v>33</v>
      </c>
      <c r="E242" s="4" t="s">
        <v>25</v>
      </c>
      <c r="F242" s="4" t="s">
        <v>25</v>
      </c>
      <c r="G242" s="4" t="s">
        <v>25</v>
      </c>
      <c r="H242" s="4" t="s">
        <v>36</v>
      </c>
      <c r="I242" s="5">
        <v>44593</v>
      </c>
      <c r="J242" s="6">
        <v>0</v>
      </c>
      <c r="K242" s="6">
        <v>0</v>
      </c>
      <c r="L242" s="6">
        <v>14.051</v>
      </c>
      <c r="M242" s="6">
        <v>14.051</v>
      </c>
      <c r="N242" s="6">
        <v>14.051</v>
      </c>
      <c r="O242" s="6">
        <v>14.051</v>
      </c>
      <c r="P242" s="6">
        <v>0</v>
      </c>
      <c r="Q242" s="4" t="s">
        <v>26</v>
      </c>
      <c r="R242" s="4">
        <v>0</v>
      </c>
      <c r="S242" s="6">
        <v>0</v>
      </c>
      <c r="T242" s="6">
        <v>21</v>
      </c>
      <c r="U242" s="6">
        <v>83</v>
      </c>
      <c r="V242" s="6">
        <f>IF(ISERROR(VLOOKUP($S$242,'TAR FIN'!$A$1:$O$92,15,0)),0,VLOOKUP($S$242,'TAR FIN'!$A$1:$O$92,15,0))</f>
        <v>0</v>
      </c>
      <c r="W242" s="6">
        <f>IF(ISERROR(VLOOKUP($T$242,'TAR FIN'!$A$1:$O$92,15,0)),0,VLOOKUP($T$242,'TAR FIN'!$A$1:$O$92,15,0))</f>
        <v>789.62</v>
      </c>
      <c r="X242" s="6">
        <f>IF(ISERROR(VLOOKUP($U$242,'TAR FIN'!$A$1:$O$92,15,0)),0,VLOOKUP($U$242,'TAR FIN'!$A$1:$O$92,15,0))</f>
        <v>488.15</v>
      </c>
      <c r="Y242" s="6"/>
      <c r="Z242" s="6">
        <f ca="1">('TUSD BE'!$AM$15+'TUSD BF_350'!$AM$15+'TUSD CVA'!$AM$15)*1</f>
        <v>911.84</v>
      </c>
      <c r="AA242" s="6">
        <f ca="1">('TE BE'!$AB$7+'TE BF_350'!$AB$7+'TE CVA'!$AB$7)*1</f>
        <v>399.84</v>
      </c>
      <c r="AB242" s="6">
        <f>$K$242*$V$242</f>
        <v>0</v>
      </c>
      <c r="AC242" s="6">
        <f>$M$242*$W$242</f>
        <v>11094.95062</v>
      </c>
      <c r="AD242" s="6">
        <f>$O$242*$X$242</f>
        <v>6858.9956499999998</v>
      </c>
      <c r="AE242" s="6">
        <f>$K$242*$Y$242</f>
        <v>0</v>
      </c>
      <c r="AF242" s="6">
        <f ca="1">$M$242*$Z$242</f>
        <v>12812.263840000001</v>
      </c>
      <c r="AG242" s="6">
        <f ca="1">$O$242*$AA$242</f>
        <v>5618.1518399999995</v>
      </c>
    </row>
    <row r="243" spans="1:33" ht="11.25" customHeight="1" x14ac:dyDescent="0.3">
      <c r="A243" s="4" t="s">
        <v>27</v>
      </c>
      <c r="B243" s="4" t="s">
        <v>34</v>
      </c>
      <c r="C243" s="4" t="s">
        <v>35</v>
      </c>
      <c r="D243" s="4" t="s">
        <v>33</v>
      </c>
      <c r="E243" s="4" t="s">
        <v>25</v>
      </c>
      <c r="F243" s="4" t="s">
        <v>25</v>
      </c>
      <c r="G243" s="4" t="s">
        <v>25</v>
      </c>
      <c r="H243" s="4" t="s">
        <v>36</v>
      </c>
      <c r="I243" s="5">
        <v>44593</v>
      </c>
      <c r="J243" s="6">
        <v>0</v>
      </c>
      <c r="K243" s="6">
        <v>0</v>
      </c>
      <c r="L243" s="6">
        <v>0.39291999999999999</v>
      </c>
      <c r="M243" s="6">
        <v>0.39291999999999999</v>
      </c>
      <c r="N243" s="6">
        <v>0.39291999999999999</v>
      </c>
      <c r="O243" s="6">
        <v>0.39291999999999999</v>
      </c>
      <c r="P243" s="6">
        <v>0</v>
      </c>
      <c r="Q243" s="4" t="s">
        <v>26</v>
      </c>
      <c r="R243" s="4">
        <v>0</v>
      </c>
      <c r="S243" s="6">
        <v>0</v>
      </c>
      <c r="T243" s="6">
        <v>21</v>
      </c>
      <c r="U243" s="6">
        <v>83</v>
      </c>
      <c r="V243" s="6">
        <f>IF(ISERROR(VLOOKUP($S$243,'TAR FIN'!$A$1:$O$92,15,0)),0,VLOOKUP($S$243,'TAR FIN'!$A$1:$O$92,15,0))</f>
        <v>0</v>
      </c>
      <c r="W243" s="6">
        <f>IF(ISERROR(VLOOKUP($T$243,'TAR FIN'!$A$1:$O$92,15,0)),0,VLOOKUP($T$243,'TAR FIN'!$A$1:$O$92,15,0))</f>
        <v>789.62</v>
      </c>
      <c r="X243" s="6">
        <f>IF(ISERROR(VLOOKUP($U$243,'TAR FIN'!$A$1:$O$92,15,0)),0,VLOOKUP($U$243,'TAR FIN'!$A$1:$O$92,15,0))</f>
        <v>488.15</v>
      </c>
      <c r="Y243" s="6"/>
      <c r="Z243" s="6">
        <f ca="1">('TUSD BE'!$AM$15+'TUSD BF_350'!$AM$15+'TUSD CVA'!$AM$15)*1</f>
        <v>911.84</v>
      </c>
      <c r="AA243" s="6">
        <f ca="1">('TE BE'!$AB$7+'TE BF_350'!$AB$7+'TE CVA'!$AB$7)*1</f>
        <v>399.84</v>
      </c>
      <c r="AB243" s="6">
        <f>$K$243*$V$243</f>
        <v>0</v>
      </c>
      <c r="AC243" s="6">
        <f>$M$243*$W$243</f>
        <v>310.25749039999999</v>
      </c>
      <c r="AD243" s="6">
        <f>$O$243*$X$243</f>
        <v>191.80389799999998</v>
      </c>
      <c r="AE243" s="6">
        <f>$K$243*$Y$243</f>
        <v>0</v>
      </c>
      <c r="AF243" s="6">
        <f ca="1">$M$243*$Z$243</f>
        <v>358.2801728</v>
      </c>
      <c r="AG243" s="6">
        <f ca="1">$O$243*$AA$243</f>
        <v>157.10513279999998</v>
      </c>
    </row>
    <row r="244" spans="1:33" ht="11.25" customHeight="1" x14ac:dyDescent="0.3">
      <c r="A244" s="4" t="s">
        <v>21</v>
      </c>
      <c r="B244" s="4" t="s">
        <v>34</v>
      </c>
      <c r="C244" s="4" t="s">
        <v>35</v>
      </c>
      <c r="D244" s="4" t="s">
        <v>33</v>
      </c>
      <c r="E244" s="4" t="s">
        <v>25</v>
      </c>
      <c r="F244" s="4" t="s">
        <v>25</v>
      </c>
      <c r="G244" s="4" t="s">
        <v>25</v>
      </c>
      <c r="H244" s="4" t="s">
        <v>36</v>
      </c>
      <c r="I244" s="5">
        <v>44621</v>
      </c>
      <c r="J244" s="6">
        <v>0</v>
      </c>
      <c r="K244" s="6">
        <v>0</v>
      </c>
      <c r="L244" s="6">
        <v>14.566000000000001</v>
      </c>
      <c r="M244" s="6">
        <v>14.566000000000001</v>
      </c>
      <c r="N244" s="6">
        <v>14.566000000000001</v>
      </c>
      <c r="O244" s="6">
        <v>14.566000000000001</v>
      </c>
      <c r="P244" s="6">
        <v>0</v>
      </c>
      <c r="Q244" s="4" t="s">
        <v>26</v>
      </c>
      <c r="R244" s="4">
        <v>0</v>
      </c>
      <c r="S244" s="6">
        <v>0</v>
      </c>
      <c r="T244" s="6">
        <v>21</v>
      </c>
      <c r="U244" s="6">
        <v>83</v>
      </c>
      <c r="V244" s="6">
        <f>IF(ISERROR(VLOOKUP($S$244,'TAR FIN'!$A$1:$O$92,15,0)),0,VLOOKUP($S$244,'TAR FIN'!$A$1:$O$92,15,0))</f>
        <v>0</v>
      </c>
      <c r="W244" s="6">
        <f>IF(ISERROR(VLOOKUP($T$244,'TAR FIN'!$A$1:$O$92,15,0)),0,VLOOKUP($T$244,'TAR FIN'!$A$1:$O$92,15,0))</f>
        <v>789.62</v>
      </c>
      <c r="X244" s="6">
        <f>IF(ISERROR(VLOOKUP($U$244,'TAR FIN'!$A$1:$O$92,15,0)),0,VLOOKUP($U$244,'TAR FIN'!$A$1:$O$92,15,0))</f>
        <v>488.15</v>
      </c>
      <c r="Y244" s="6"/>
      <c r="Z244" s="6">
        <f ca="1">('TUSD BE'!$AM$15+'TUSD BF_350'!$AM$15+'TUSD CVA'!$AM$15)*1</f>
        <v>911.84</v>
      </c>
      <c r="AA244" s="6">
        <f ca="1">('TE BE'!$AB$7+'TE BF_350'!$AB$7+'TE CVA'!$AB$7)*1</f>
        <v>399.84</v>
      </c>
      <c r="AB244" s="6">
        <f>$K$244*$V$244</f>
        <v>0</v>
      </c>
      <c r="AC244" s="6">
        <f>$M$244*$W$244</f>
        <v>11501.60492</v>
      </c>
      <c r="AD244" s="6">
        <f>$O$244*$X$244</f>
        <v>7110.3928999999998</v>
      </c>
      <c r="AE244" s="6">
        <f>$K$244*$Y$244</f>
        <v>0</v>
      </c>
      <c r="AF244" s="6">
        <f ca="1">$M$244*$Z$244</f>
        <v>13281.861440000001</v>
      </c>
      <c r="AG244" s="6">
        <f ca="1">$O$244*$AA$244</f>
        <v>5824.0694400000002</v>
      </c>
    </row>
    <row r="245" spans="1:33" ht="11.25" customHeight="1" x14ac:dyDescent="0.3">
      <c r="A245" s="4" t="s">
        <v>27</v>
      </c>
      <c r="B245" s="4" t="s">
        <v>34</v>
      </c>
      <c r="C245" s="4" t="s">
        <v>35</v>
      </c>
      <c r="D245" s="4" t="s">
        <v>33</v>
      </c>
      <c r="E245" s="4" t="s">
        <v>25</v>
      </c>
      <c r="F245" s="4" t="s">
        <v>25</v>
      </c>
      <c r="G245" s="4" t="s">
        <v>25</v>
      </c>
      <c r="H245" s="4" t="s">
        <v>36</v>
      </c>
      <c r="I245" s="5">
        <v>44621</v>
      </c>
      <c r="J245" s="6">
        <v>0</v>
      </c>
      <c r="K245" s="6">
        <v>0</v>
      </c>
      <c r="L245" s="6">
        <v>0.40798000000000001</v>
      </c>
      <c r="M245" s="6">
        <v>0.40798000000000001</v>
      </c>
      <c r="N245" s="6">
        <v>0.40798000000000001</v>
      </c>
      <c r="O245" s="6">
        <v>0.40798000000000001</v>
      </c>
      <c r="P245" s="6">
        <v>0</v>
      </c>
      <c r="Q245" s="4" t="s">
        <v>26</v>
      </c>
      <c r="R245" s="4">
        <v>0</v>
      </c>
      <c r="S245" s="6">
        <v>0</v>
      </c>
      <c r="T245" s="6">
        <v>21</v>
      </c>
      <c r="U245" s="6">
        <v>83</v>
      </c>
      <c r="V245" s="6">
        <f>IF(ISERROR(VLOOKUP($S$245,'TAR FIN'!$A$1:$O$92,15,0)),0,VLOOKUP($S$245,'TAR FIN'!$A$1:$O$92,15,0))</f>
        <v>0</v>
      </c>
      <c r="W245" s="6">
        <f>IF(ISERROR(VLOOKUP($T$245,'TAR FIN'!$A$1:$O$92,15,0)),0,VLOOKUP($T$245,'TAR FIN'!$A$1:$O$92,15,0))</f>
        <v>789.62</v>
      </c>
      <c r="X245" s="6">
        <f>IF(ISERROR(VLOOKUP($U$245,'TAR FIN'!$A$1:$O$92,15,0)),0,VLOOKUP($U$245,'TAR FIN'!$A$1:$O$92,15,0))</f>
        <v>488.15</v>
      </c>
      <c r="Y245" s="6"/>
      <c r="Z245" s="6">
        <f ca="1">('TUSD BE'!$AM$15+'TUSD BF_350'!$AM$15+'TUSD CVA'!$AM$15)*1</f>
        <v>911.84</v>
      </c>
      <c r="AA245" s="6">
        <f ca="1">('TE BE'!$AB$7+'TE BF_350'!$AB$7+'TE CVA'!$AB$7)*1</f>
        <v>399.84</v>
      </c>
      <c r="AB245" s="6">
        <f>$K$245*$V$245</f>
        <v>0</v>
      </c>
      <c r="AC245" s="6">
        <f>$M$245*$W$245</f>
        <v>322.1491676</v>
      </c>
      <c r="AD245" s="6">
        <f>$O$245*$X$245</f>
        <v>199.15543700000001</v>
      </c>
      <c r="AE245" s="6">
        <f>$K$245*$Y$245</f>
        <v>0</v>
      </c>
      <c r="AF245" s="6">
        <f ca="1">$M$245*$Z$245</f>
        <v>372.01248320000002</v>
      </c>
      <c r="AG245" s="6">
        <f ca="1">$O$245*$AA$245</f>
        <v>163.12672319999999</v>
      </c>
    </row>
    <row r="246" spans="1:33" ht="11.25" customHeight="1" x14ac:dyDescent="0.3">
      <c r="A246" s="4" t="s">
        <v>21</v>
      </c>
      <c r="B246" s="4" t="s">
        <v>34</v>
      </c>
      <c r="C246" s="4" t="s">
        <v>35</v>
      </c>
      <c r="D246" s="4" t="s">
        <v>33</v>
      </c>
      <c r="E246" s="4" t="s">
        <v>25</v>
      </c>
      <c r="F246" s="4" t="s">
        <v>25</v>
      </c>
      <c r="G246" s="4" t="s">
        <v>25</v>
      </c>
      <c r="H246" s="4" t="s">
        <v>36</v>
      </c>
      <c r="I246" s="5">
        <v>44652</v>
      </c>
      <c r="J246" s="6">
        <v>0</v>
      </c>
      <c r="K246" s="6">
        <v>0</v>
      </c>
      <c r="L246" s="6">
        <v>11.105</v>
      </c>
      <c r="M246" s="6">
        <v>11.105</v>
      </c>
      <c r="N246" s="6">
        <v>11.105</v>
      </c>
      <c r="O246" s="6">
        <v>11.105</v>
      </c>
      <c r="P246" s="6">
        <v>0</v>
      </c>
      <c r="Q246" s="4" t="s">
        <v>26</v>
      </c>
      <c r="R246" s="4">
        <v>0</v>
      </c>
      <c r="S246" s="6">
        <v>0</v>
      </c>
      <c r="T246" s="6">
        <v>21</v>
      </c>
      <c r="U246" s="6">
        <v>83</v>
      </c>
      <c r="V246" s="6">
        <f>IF(ISERROR(VLOOKUP($S$246,'TAR FIN'!$A$1:$O$92,15,0)),0,VLOOKUP($S$246,'TAR FIN'!$A$1:$O$92,15,0))</f>
        <v>0</v>
      </c>
      <c r="W246" s="6">
        <f>IF(ISERROR(VLOOKUP($T$246,'TAR FIN'!$A$1:$O$92,15,0)),0,VLOOKUP($T$246,'TAR FIN'!$A$1:$O$92,15,0))</f>
        <v>789.62</v>
      </c>
      <c r="X246" s="6">
        <f>IF(ISERROR(VLOOKUP($U$246,'TAR FIN'!$A$1:$O$92,15,0)),0,VLOOKUP($U$246,'TAR FIN'!$A$1:$O$92,15,0))</f>
        <v>488.15</v>
      </c>
      <c r="Y246" s="6"/>
      <c r="Z246" s="6">
        <f ca="1">('TUSD BE'!$AM$15+'TUSD BF_350'!$AM$15+'TUSD CVA'!$AM$15)*1</f>
        <v>911.84</v>
      </c>
      <c r="AA246" s="6">
        <f ca="1">('TE BE'!$AB$7+'TE BF_350'!$AB$7+'TE CVA'!$AB$7)*1</f>
        <v>399.84</v>
      </c>
      <c r="AB246" s="6">
        <f>$K$246*$V$246</f>
        <v>0</v>
      </c>
      <c r="AC246" s="6">
        <f>$M$246*$W$246</f>
        <v>8768.7301000000007</v>
      </c>
      <c r="AD246" s="6">
        <f>$O$246*$X$246</f>
        <v>5420.9057499999999</v>
      </c>
      <c r="AE246" s="6">
        <f>$K$246*$Y$246</f>
        <v>0</v>
      </c>
      <c r="AF246" s="6">
        <f ca="1">$M$246*$Z$246</f>
        <v>10125.983200000001</v>
      </c>
      <c r="AG246" s="6">
        <f ca="1">$O$246*$AA$246</f>
        <v>4440.2231999999995</v>
      </c>
    </row>
    <row r="247" spans="1:33" ht="11.25" customHeight="1" x14ac:dyDescent="0.3">
      <c r="A247" s="4" t="s">
        <v>27</v>
      </c>
      <c r="B247" s="4" t="s">
        <v>34</v>
      </c>
      <c r="C247" s="4" t="s">
        <v>35</v>
      </c>
      <c r="D247" s="4" t="s">
        <v>33</v>
      </c>
      <c r="E247" s="4" t="s">
        <v>25</v>
      </c>
      <c r="F247" s="4" t="s">
        <v>25</v>
      </c>
      <c r="G247" s="4" t="s">
        <v>25</v>
      </c>
      <c r="H247" s="4" t="s">
        <v>36</v>
      </c>
      <c r="I247" s="5">
        <v>44652</v>
      </c>
      <c r="J247" s="6">
        <v>0</v>
      </c>
      <c r="K247" s="6">
        <v>0</v>
      </c>
      <c r="L247" s="6">
        <v>0.38883000000000001</v>
      </c>
      <c r="M247" s="6">
        <v>0.38883000000000001</v>
      </c>
      <c r="N247" s="6">
        <v>0.38883000000000001</v>
      </c>
      <c r="O247" s="6">
        <v>0.38883000000000001</v>
      </c>
      <c r="P247" s="6">
        <v>0</v>
      </c>
      <c r="Q247" s="4" t="s">
        <v>26</v>
      </c>
      <c r="R247" s="4">
        <v>0</v>
      </c>
      <c r="S247" s="6">
        <v>0</v>
      </c>
      <c r="T247" s="6">
        <v>21</v>
      </c>
      <c r="U247" s="6">
        <v>83</v>
      </c>
      <c r="V247" s="6">
        <f>IF(ISERROR(VLOOKUP($S$247,'TAR FIN'!$A$1:$O$92,15,0)),0,VLOOKUP($S$247,'TAR FIN'!$A$1:$O$92,15,0))</f>
        <v>0</v>
      </c>
      <c r="W247" s="6">
        <f>IF(ISERROR(VLOOKUP($T$247,'TAR FIN'!$A$1:$O$92,15,0)),0,VLOOKUP($T$247,'TAR FIN'!$A$1:$O$92,15,0))</f>
        <v>789.62</v>
      </c>
      <c r="X247" s="6">
        <f>IF(ISERROR(VLOOKUP($U$247,'TAR FIN'!$A$1:$O$92,15,0)),0,VLOOKUP($U$247,'TAR FIN'!$A$1:$O$92,15,0))</f>
        <v>488.15</v>
      </c>
      <c r="Y247" s="6"/>
      <c r="Z247" s="6">
        <f ca="1">('TUSD BE'!$AM$15+'TUSD BF_350'!$AM$15+'TUSD CVA'!$AM$15)*1</f>
        <v>911.84</v>
      </c>
      <c r="AA247" s="6">
        <f ca="1">('TE BE'!$AB$7+'TE BF_350'!$AB$7+'TE CVA'!$AB$7)*1</f>
        <v>399.84</v>
      </c>
      <c r="AB247" s="6">
        <f>$K$247*$V$247</f>
        <v>0</v>
      </c>
      <c r="AC247" s="6">
        <f>$M$247*$W$247</f>
        <v>307.02794460000001</v>
      </c>
      <c r="AD247" s="6">
        <f>$O$247*$X$247</f>
        <v>189.80736450000001</v>
      </c>
      <c r="AE247" s="6">
        <f>$K$247*$Y$247</f>
        <v>0</v>
      </c>
      <c r="AF247" s="6">
        <f ca="1">$M$247*$Z$247</f>
        <v>354.55074720000005</v>
      </c>
      <c r="AG247" s="6">
        <f ca="1">$O$247*$AA$247</f>
        <v>155.46978719999998</v>
      </c>
    </row>
    <row r="248" spans="1:33" ht="11.25" customHeight="1" x14ac:dyDescent="0.3">
      <c r="A248" s="4" t="s">
        <v>21</v>
      </c>
      <c r="B248" s="4" t="s">
        <v>34</v>
      </c>
      <c r="C248" s="4" t="s">
        <v>35</v>
      </c>
      <c r="D248" s="4" t="s">
        <v>33</v>
      </c>
      <c r="E248" s="4" t="s">
        <v>25</v>
      </c>
      <c r="F248" s="4" t="s">
        <v>25</v>
      </c>
      <c r="G248" s="4" t="s">
        <v>25</v>
      </c>
      <c r="H248" s="4" t="s">
        <v>36</v>
      </c>
      <c r="I248" s="5">
        <v>44682</v>
      </c>
      <c r="J248" s="6">
        <v>0</v>
      </c>
      <c r="K248" s="6">
        <v>0</v>
      </c>
      <c r="L248" s="6">
        <v>15.603999999999999</v>
      </c>
      <c r="M248" s="6">
        <v>15.603999999999999</v>
      </c>
      <c r="N248" s="6">
        <v>15.603999999999999</v>
      </c>
      <c r="O248" s="6">
        <v>15.603999999999999</v>
      </c>
      <c r="P248" s="6">
        <v>0</v>
      </c>
      <c r="Q248" s="4" t="s">
        <v>26</v>
      </c>
      <c r="R248" s="4">
        <v>0</v>
      </c>
      <c r="S248" s="6">
        <v>0</v>
      </c>
      <c r="T248" s="6">
        <v>21</v>
      </c>
      <c r="U248" s="6">
        <v>83</v>
      </c>
      <c r="V248" s="6">
        <f>IF(ISERROR(VLOOKUP($S$248,'TAR FIN'!$A$1:$O$92,15,0)),0,VLOOKUP($S$248,'TAR FIN'!$A$1:$O$92,15,0))</f>
        <v>0</v>
      </c>
      <c r="W248" s="6">
        <f>IF(ISERROR(VLOOKUP($T$248,'TAR FIN'!$A$1:$O$92,15,0)),0,VLOOKUP($T$248,'TAR FIN'!$A$1:$O$92,15,0))</f>
        <v>789.62</v>
      </c>
      <c r="X248" s="6">
        <f>IF(ISERROR(VLOOKUP($U$248,'TAR FIN'!$A$1:$O$92,15,0)),0,VLOOKUP($U$248,'TAR FIN'!$A$1:$O$92,15,0))</f>
        <v>488.15</v>
      </c>
      <c r="Y248" s="6"/>
      <c r="Z248" s="6">
        <f ca="1">('TUSD BE'!$AM$15+'TUSD BF_350'!$AM$15+'TUSD CVA'!$AM$15)*1</f>
        <v>911.84</v>
      </c>
      <c r="AA248" s="6">
        <f ca="1">('TE BE'!$AB$7+'TE BF_350'!$AB$7+'TE CVA'!$AB$7)*1</f>
        <v>399.84</v>
      </c>
      <c r="AB248" s="6">
        <f>$K$248*$V$248</f>
        <v>0</v>
      </c>
      <c r="AC248" s="6">
        <f>$M$248*$W$248</f>
        <v>12321.23048</v>
      </c>
      <c r="AD248" s="6">
        <f>$O$248*$X$248</f>
        <v>7617.092599999999</v>
      </c>
      <c r="AE248" s="6">
        <f>$K$248*$Y$248</f>
        <v>0</v>
      </c>
      <c r="AF248" s="6">
        <f ca="1">$M$248*$Z$248</f>
        <v>14228.351360000001</v>
      </c>
      <c r="AG248" s="6">
        <f ca="1">$O$248*$AA$248</f>
        <v>6239.1033599999992</v>
      </c>
    </row>
    <row r="249" spans="1:33" ht="11.25" customHeight="1" x14ac:dyDescent="0.3">
      <c r="A249" s="4" t="s">
        <v>27</v>
      </c>
      <c r="B249" s="4" t="s">
        <v>34</v>
      </c>
      <c r="C249" s="4" t="s">
        <v>35</v>
      </c>
      <c r="D249" s="4" t="s">
        <v>33</v>
      </c>
      <c r="E249" s="4" t="s">
        <v>25</v>
      </c>
      <c r="F249" s="4" t="s">
        <v>25</v>
      </c>
      <c r="G249" s="4" t="s">
        <v>25</v>
      </c>
      <c r="H249" s="4" t="s">
        <v>36</v>
      </c>
      <c r="I249" s="5">
        <v>44682</v>
      </c>
      <c r="J249" s="6">
        <v>0</v>
      </c>
      <c r="K249" s="6">
        <v>0</v>
      </c>
      <c r="L249" s="6">
        <v>0.49231999999999998</v>
      </c>
      <c r="M249" s="6">
        <v>0.49231999999999998</v>
      </c>
      <c r="N249" s="6">
        <v>0.49231999999999998</v>
      </c>
      <c r="O249" s="6">
        <v>0.49231999999999998</v>
      </c>
      <c r="P249" s="6">
        <v>0</v>
      </c>
      <c r="Q249" s="4" t="s">
        <v>26</v>
      </c>
      <c r="R249" s="4">
        <v>0</v>
      </c>
      <c r="S249" s="6">
        <v>0</v>
      </c>
      <c r="T249" s="6">
        <v>21</v>
      </c>
      <c r="U249" s="6">
        <v>83</v>
      </c>
      <c r="V249" s="6">
        <f>IF(ISERROR(VLOOKUP($S$249,'TAR FIN'!$A$1:$O$92,15,0)),0,VLOOKUP($S$249,'TAR FIN'!$A$1:$O$92,15,0))</f>
        <v>0</v>
      </c>
      <c r="W249" s="6">
        <f>IF(ISERROR(VLOOKUP($T$249,'TAR FIN'!$A$1:$O$92,15,0)),0,VLOOKUP($T$249,'TAR FIN'!$A$1:$O$92,15,0))</f>
        <v>789.62</v>
      </c>
      <c r="X249" s="6">
        <f>IF(ISERROR(VLOOKUP($U$249,'TAR FIN'!$A$1:$O$92,15,0)),0,VLOOKUP($U$249,'TAR FIN'!$A$1:$O$92,15,0))</f>
        <v>488.15</v>
      </c>
      <c r="Y249" s="6"/>
      <c r="Z249" s="6">
        <f ca="1">('TUSD BE'!$AM$15+'TUSD BF_350'!$AM$15+'TUSD CVA'!$AM$15)*1</f>
        <v>911.84</v>
      </c>
      <c r="AA249" s="6">
        <f ca="1">('TE BE'!$AB$7+'TE BF_350'!$AB$7+'TE CVA'!$AB$7)*1</f>
        <v>399.84</v>
      </c>
      <c r="AB249" s="6">
        <f>$K$249*$V$249</f>
        <v>0</v>
      </c>
      <c r="AC249" s="6">
        <f>$M$249*$W$249</f>
        <v>388.74571839999999</v>
      </c>
      <c r="AD249" s="6">
        <f>$O$249*$X$249</f>
        <v>240.32600799999997</v>
      </c>
      <c r="AE249" s="6">
        <f>$K$249*$Y$249</f>
        <v>0</v>
      </c>
      <c r="AF249" s="6">
        <f ca="1">$M$249*$Z$249</f>
        <v>448.91706879999998</v>
      </c>
      <c r="AG249" s="6">
        <f ca="1">$O$249*$AA$249</f>
        <v>196.84922879999999</v>
      </c>
    </row>
    <row r="250" spans="1:33" ht="11.25" customHeight="1" x14ac:dyDescent="0.3">
      <c r="A250" s="4" t="s">
        <v>21</v>
      </c>
      <c r="B250" s="4" t="s">
        <v>34</v>
      </c>
      <c r="C250" s="4" t="s">
        <v>35</v>
      </c>
      <c r="D250" s="4" t="s">
        <v>33</v>
      </c>
      <c r="E250" s="4" t="s">
        <v>25</v>
      </c>
      <c r="F250" s="4" t="s">
        <v>25</v>
      </c>
      <c r="G250" s="4" t="s">
        <v>25</v>
      </c>
      <c r="H250" s="4" t="s">
        <v>36</v>
      </c>
      <c r="I250" s="5">
        <v>44713</v>
      </c>
      <c r="J250" s="6">
        <v>0</v>
      </c>
      <c r="K250" s="6">
        <v>0</v>
      </c>
      <c r="L250" s="6">
        <v>14.263</v>
      </c>
      <c r="M250" s="6">
        <v>14.263</v>
      </c>
      <c r="N250" s="6">
        <v>14.263</v>
      </c>
      <c r="O250" s="6">
        <v>14.263</v>
      </c>
      <c r="P250" s="6">
        <v>0</v>
      </c>
      <c r="Q250" s="4" t="s">
        <v>26</v>
      </c>
      <c r="R250" s="4">
        <v>0</v>
      </c>
      <c r="S250" s="6">
        <v>0</v>
      </c>
      <c r="T250" s="6">
        <v>21</v>
      </c>
      <c r="U250" s="6">
        <v>83</v>
      </c>
      <c r="V250" s="6">
        <f>IF(ISERROR(VLOOKUP($S$250,'TAR FIN'!$A$1:$O$92,15,0)),0,VLOOKUP($S$250,'TAR FIN'!$A$1:$O$92,15,0))</f>
        <v>0</v>
      </c>
      <c r="W250" s="6">
        <f>IF(ISERROR(VLOOKUP($T$250,'TAR FIN'!$A$1:$O$92,15,0)),0,VLOOKUP($T$250,'TAR FIN'!$A$1:$O$92,15,0))</f>
        <v>789.62</v>
      </c>
      <c r="X250" s="6">
        <f>IF(ISERROR(VLOOKUP($U$250,'TAR FIN'!$A$1:$O$92,15,0)),0,VLOOKUP($U$250,'TAR FIN'!$A$1:$O$92,15,0))</f>
        <v>488.15</v>
      </c>
      <c r="Y250" s="6"/>
      <c r="Z250" s="6">
        <f ca="1">('TUSD BE'!$AM$15+'TUSD BF_350'!$AM$15+'TUSD CVA'!$AM$15)*1</f>
        <v>911.84</v>
      </c>
      <c r="AA250" s="6">
        <f ca="1">('TE BE'!$AB$7+'TE BF_350'!$AB$7+'TE CVA'!$AB$7)*1</f>
        <v>399.84</v>
      </c>
      <c r="AB250" s="6">
        <f>$K$250*$V$250</f>
        <v>0</v>
      </c>
      <c r="AC250" s="6">
        <f>$M$250*$W$250</f>
        <v>11262.350060000001</v>
      </c>
      <c r="AD250" s="6">
        <f>$O$250*$X$250</f>
        <v>6962.4834499999997</v>
      </c>
      <c r="AE250" s="6">
        <f>$K$250*$Y$250</f>
        <v>0</v>
      </c>
      <c r="AF250" s="6">
        <f ca="1">$M$250*$Z$250</f>
        <v>13005.573920000001</v>
      </c>
      <c r="AG250" s="6">
        <f ca="1">$O$250*$AA$250</f>
        <v>5702.9179199999999</v>
      </c>
    </row>
    <row r="251" spans="1:33" ht="11.25" customHeight="1" x14ac:dyDescent="0.3">
      <c r="A251" s="4" t="s">
        <v>27</v>
      </c>
      <c r="B251" s="4" t="s">
        <v>34</v>
      </c>
      <c r="C251" s="4" t="s">
        <v>35</v>
      </c>
      <c r="D251" s="4" t="s">
        <v>33</v>
      </c>
      <c r="E251" s="4" t="s">
        <v>25</v>
      </c>
      <c r="F251" s="4" t="s">
        <v>25</v>
      </c>
      <c r="G251" s="4" t="s">
        <v>25</v>
      </c>
      <c r="H251" s="4" t="s">
        <v>36</v>
      </c>
      <c r="I251" s="5">
        <v>44713</v>
      </c>
      <c r="J251" s="6">
        <v>0</v>
      </c>
      <c r="K251" s="6">
        <v>0</v>
      </c>
      <c r="L251" s="6">
        <v>0.80052000000000001</v>
      </c>
      <c r="M251" s="6">
        <v>0.80052000000000001</v>
      </c>
      <c r="N251" s="6">
        <v>0.80052000000000001</v>
      </c>
      <c r="O251" s="6">
        <v>0.80052000000000001</v>
      </c>
      <c r="P251" s="6">
        <v>0</v>
      </c>
      <c r="Q251" s="4" t="s">
        <v>26</v>
      </c>
      <c r="R251" s="4">
        <v>0</v>
      </c>
      <c r="S251" s="6">
        <v>0</v>
      </c>
      <c r="T251" s="6">
        <v>21</v>
      </c>
      <c r="U251" s="6">
        <v>83</v>
      </c>
      <c r="V251" s="6">
        <f>IF(ISERROR(VLOOKUP($S$251,'TAR FIN'!$A$1:$O$92,15,0)),0,VLOOKUP($S$251,'TAR FIN'!$A$1:$O$92,15,0))</f>
        <v>0</v>
      </c>
      <c r="W251" s="6">
        <f>IF(ISERROR(VLOOKUP($T$251,'TAR FIN'!$A$1:$O$92,15,0)),0,VLOOKUP($T$251,'TAR FIN'!$A$1:$O$92,15,0))</f>
        <v>789.62</v>
      </c>
      <c r="X251" s="6">
        <f>IF(ISERROR(VLOOKUP($U$251,'TAR FIN'!$A$1:$O$92,15,0)),0,VLOOKUP($U$251,'TAR FIN'!$A$1:$O$92,15,0))</f>
        <v>488.15</v>
      </c>
      <c r="Y251" s="6"/>
      <c r="Z251" s="6">
        <f ca="1">('TUSD BE'!$AM$15+'TUSD BF_350'!$AM$15+'TUSD CVA'!$AM$15)*1</f>
        <v>911.84</v>
      </c>
      <c r="AA251" s="6">
        <f ca="1">('TE BE'!$AB$7+'TE BF_350'!$AB$7+'TE CVA'!$AB$7)*1</f>
        <v>399.84</v>
      </c>
      <c r="AB251" s="6">
        <f>$K$251*$V$251</f>
        <v>0</v>
      </c>
      <c r="AC251" s="6">
        <f>$M$251*$W$251</f>
        <v>632.10660240000004</v>
      </c>
      <c r="AD251" s="6">
        <f>$O$251*$X$251</f>
        <v>390.77383800000001</v>
      </c>
      <c r="AE251" s="6">
        <f>$K$251*$Y$251</f>
        <v>0</v>
      </c>
      <c r="AF251" s="6">
        <f ca="1">$M$251*$Z$251</f>
        <v>729.94615680000004</v>
      </c>
      <c r="AG251" s="6">
        <f ca="1">$O$251*$AA$251</f>
        <v>320.07991679999998</v>
      </c>
    </row>
    <row r="252" spans="1:33" ht="11.25" customHeight="1" x14ac:dyDescent="0.3">
      <c r="A252" s="4" t="s">
        <v>21</v>
      </c>
      <c r="B252" s="4" t="s">
        <v>34</v>
      </c>
      <c r="C252" s="4" t="s">
        <v>35</v>
      </c>
      <c r="D252" s="4" t="s">
        <v>33</v>
      </c>
      <c r="E252" s="4" t="s">
        <v>25</v>
      </c>
      <c r="F252" s="4" t="s">
        <v>25</v>
      </c>
      <c r="G252" s="4" t="s">
        <v>25</v>
      </c>
      <c r="H252" s="4" t="s">
        <v>36</v>
      </c>
      <c r="I252" s="5">
        <v>44743</v>
      </c>
      <c r="J252" s="6">
        <v>0</v>
      </c>
      <c r="K252" s="6">
        <v>0</v>
      </c>
      <c r="L252" s="6">
        <v>13.87434</v>
      </c>
      <c r="M252" s="6">
        <v>13.87434</v>
      </c>
      <c r="N252" s="6">
        <v>13.87434</v>
      </c>
      <c r="O252" s="6">
        <v>13.87434</v>
      </c>
      <c r="P252" s="6">
        <v>0</v>
      </c>
      <c r="Q252" s="4" t="s">
        <v>26</v>
      </c>
      <c r="R252" s="4">
        <v>0</v>
      </c>
      <c r="S252" s="6">
        <v>0</v>
      </c>
      <c r="T252" s="6">
        <v>21</v>
      </c>
      <c r="U252" s="6">
        <v>83</v>
      </c>
      <c r="V252" s="6">
        <f>IF(ISERROR(VLOOKUP($S$252,'TAR FIN'!$A$1:$O$92,15,0)),0,VLOOKUP($S$252,'TAR FIN'!$A$1:$O$92,15,0))</f>
        <v>0</v>
      </c>
      <c r="W252" s="6">
        <f>IF(ISERROR(VLOOKUP($T$252,'TAR FIN'!$A$1:$O$92,15,0)),0,VLOOKUP($T$252,'TAR FIN'!$A$1:$O$92,15,0))</f>
        <v>789.62</v>
      </c>
      <c r="X252" s="6">
        <f>IF(ISERROR(VLOOKUP($U$252,'TAR FIN'!$A$1:$O$92,15,0)),0,VLOOKUP($U$252,'TAR FIN'!$A$1:$O$92,15,0))</f>
        <v>488.15</v>
      </c>
      <c r="Y252" s="6"/>
      <c r="Z252" s="6">
        <f ca="1">('TUSD BE'!$AM$15+'TUSD BF_350'!$AM$15+'TUSD CVA'!$AM$15)*1</f>
        <v>911.84</v>
      </c>
      <c r="AA252" s="6">
        <f ca="1">('TE BE'!$AB$7+'TE BF_350'!$AB$7+'TE CVA'!$AB$7)*1</f>
        <v>399.84</v>
      </c>
      <c r="AB252" s="6">
        <f>$K$252*$V$252</f>
        <v>0</v>
      </c>
      <c r="AC252" s="6">
        <f>$M$252*$W$252</f>
        <v>10955.456350800001</v>
      </c>
      <c r="AD252" s="6">
        <f>$O$252*$X$252</f>
        <v>6772.7590709999995</v>
      </c>
      <c r="AE252" s="6">
        <f>$K$252*$Y$252</f>
        <v>0</v>
      </c>
      <c r="AF252" s="6">
        <f ca="1">$M$252*$Z$252</f>
        <v>12651.1781856</v>
      </c>
      <c r="AG252" s="6">
        <f ca="1">$O$252*$AA$252</f>
        <v>5547.5161055999997</v>
      </c>
    </row>
    <row r="253" spans="1:33" ht="11.25" customHeight="1" x14ac:dyDescent="0.3">
      <c r="A253" s="4" t="s">
        <v>27</v>
      </c>
      <c r="B253" s="4" t="s">
        <v>34</v>
      </c>
      <c r="C253" s="4" t="s">
        <v>35</v>
      </c>
      <c r="D253" s="4" t="s">
        <v>33</v>
      </c>
      <c r="E253" s="4" t="s">
        <v>25</v>
      </c>
      <c r="F253" s="4" t="s">
        <v>25</v>
      </c>
      <c r="G253" s="4" t="s">
        <v>25</v>
      </c>
      <c r="H253" s="4" t="s">
        <v>36</v>
      </c>
      <c r="I253" s="5">
        <v>44743</v>
      </c>
      <c r="J253" s="6">
        <v>0</v>
      </c>
      <c r="K253" s="6">
        <v>0</v>
      </c>
      <c r="L253" s="6">
        <v>1.2235799999999999</v>
      </c>
      <c r="M253" s="6">
        <v>1.2235799999999999</v>
      </c>
      <c r="N253" s="6">
        <v>1.2235799999999999</v>
      </c>
      <c r="O253" s="6">
        <v>1.2235799999999999</v>
      </c>
      <c r="P253" s="6">
        <v>0</v>
      </c>
      <c r="Q253" s="4" t="s">
        <v>26</v>
      </c>
      <c r="R253" s="4">
        <v>0</v>
      </c>
      <c r="S253" s="6">
        <v>0</v>
      </c>
      <c r="T253" s="6">
        <v>21</v>
      </c>
      <c r="U253" s="6">
        <v>83</v>
      </c>
      <c r="V253" s="6">
        <f>IF(ISERROR(VLOOKUP($S$253,'TAR FIN'!$A$1:$O$92,15,0)),0,VLOOKUP($S$253,'TAR FIN'!$A$1:$O$92,15,0))</f>
        <v>0</v>
      </c>
      <c r="W253" s="6">
        <f>IF(ISERROR(VLOOKUP($T$253,'TAR FIN'!$A$1:$O$92,15,0)),0,VLOOKUP($T$253,'TAR FIN'!$A$1:$O$92,15,0))</f>
        <v>789.62</v>
      </c>
      <c r="X253" s="6">
        <f>IF(ISERROR(VLOOKUP($U$253,'TAR FIN'!$A$1:$O$92,15,0)),0,VLOOKUP($U$253,'TAR FIN'!$A$1:$O$92,15,0))</f>
        <v>488.15</v>
      </c>
      <c r="Y253" s="6"/>
      <c r="Z253" s="6">
        <f ca="1">('TUSD BE'!$AM$15+'TUSD BF_350'!$AM$15+'TUSD CVA'!$AM$15)*1</f>
        <v>911.84</v>
      </c>
      <c r="AA253" s="6">
        <f ca="1">('TE BE'!$AB$7+'TE BF_350'!$AB$7+'TE CVA'!$AB$7)*1</f>
        <v>399.84</v>
      </c>
      <c r="AB253" s="6">
        <f>$K$253*$V$253</f>
        <v>0</v>
      </c>
      <c r="AC253" s="6">
        <f>$M$253*$W$253</f>
        <v>966.16323959999988</v>
      </c>
      <c r="AD253" s="6">
        <f>$O$253*$X$253</f>
        <v>597.29057699999987</v>
      </c>
      <c r="AE253" s="6">
        <f>$K$253*$Y$253</f>
        <v>0</v>
      </c>
      <c r="AF253" s="6">
        <f ca="1">$M$253*$Z$253</f>
        <v>1115.7091871999999</v>
      </c>
      <c r="AG253" s="6">
        <f ca="1">$O$253*$AA$253</f>
        <v>489.23622719999992</v>
      </c>
    </row>
    <row r="254" spans="1:33" ht="11.25" customHeight="1" x14ac:dyDescent="0.3">
      <c r="A254" s="4" t="s">
        <v>21</v>
      </c>
      <c r="B254" s="4" t="s">
        <v>34</v>
      </c>
      <c r="C254" s="4" t="s">
        <v>35</v>
      </c>
      <c r="D254" s="4" t="s">
        <v>43</v>
      </c>
      <c r="E254" s="4" t="s">
        <v>25</v>
      </c>
      <c r="F254" s="4" t="s">
        <v>25</v>
      </c>
      <c r="G254" s="4" t="s">
        <v>25</v>
      </c>
      <c r="H254" s="4" t="s">
        <v>37</v>
      </c>
      <c r="I254" s="5">
        <v>44409</v>
      </c>
      <c r="J254" s="6">
        <v>0</v>
      </c>
      <c r="K254" s="6">
        <v>0</v>
      </c>
      <c r="L254" s="6">
        <v>9.8829999999999991</v>
      </c>
      <c r="M254" s="6">
        <v>9.8829999999999991</v>
      </c>
      <c r="N254" s="6">
        <v>9.8829999999999991</v>
      </c>
      <c r="O254" s="6">
        <v>9.8829999999999991</v>
      </c>
      <c r="P254" s="6">
        <v>0</v>
      </c>
      <c r="Q254" s="4" t="s">
        <v>26</v>
      </c>
      <c r="R254" s="4">
        <v>0</v>
      </c>
      <c r="S254" s="6">
        <v>0</v>
      </c>
      <c r="T254" s="6">
        <v>22</v>
      </c>
      <c r="U254" s="6">
        <v>84</v>
      </c>
      <c r="V254" s="6">
        <f>IF(ISERROR(VLOOKUP($S$254,'TAR FIN'!$A$1:$O$92,15,0)),0,VLOOKUP($S$254,'TAR FIN'!$A$1:$O$92,15,0))</f>
        <v>0</v>
      </c>
      <c r="W254" s="6">
        <f>IF(ISERROR(VLOOKUP($T$254,'TAR FIN'!$A$1:$O$92,15,0)),0,VLOOKUP($T$254,'TAR FIN'!$A$1:$O$92,15,0))</f>
        <v>73.28</v>
      </c>
      <c r="X254" s="6">
        <f>IF(ISERROR(VLOOKUP($U$254,'TAR FIN'!$A$1:$O$92,15,0)),0,VLOOKUP($U$254,'TAR FIN'!$A$1:$O$92,15,0))</f>
        <v>286.76</v>
      </c>
      <c r="Y254" s="6"/>
      <c r="Z254" s="6">
        <f ca="1">('TUSD BE'!$AM$16+'TUSD BF_350'!$AM$16+'TUSD CVA'!$AM$16)*1</f>
        <v>126.25</v>
      </c>
      <c r="AA254" s="6">
        <f ca="1">('TE BE'!$AB$8+'TE BF_350'!$AB$8+'TE CVA'!$AB$8)*1</f>
        <v>250.03999999999996</v>
      </c>
      <c r="AB254" s="6">
        <f>$K$254*$V$254</f>
        <v>0</v>
      </c>
      <c r="AC254" s="6">
        <f>$M$254*$W$254</f>
        <v>724.22623999999996</v>
      </c>
      <c r="AD254" s="6">
        <f>$O$254*$X$254</f>
        <v>2834.0490799999998</v>
      </c>
      <c r="AE254" s="6">
        <f>$K$254*$Y$254</f>
        <v>0</v>
      </c>
      <c r="AF254" s="6">
        <f ca="1">$M$254*$Z$254</f>
        <v>1247.72875</v>
      </c>
      <c r="AG254" s="6">
        <f ca="1">$O$254*$AA$254</f>
        <v>2471.1453199999996</v>
      </c>
    </row>
    <row r="255" spans="1:33" ht="11.25" customHeight="1" x14ac:dyDescent="0.3">
      <c r="A255" s="4" t="s">
        <v>21</v>
      </c>
      <c r="B255" s="4" t="s">
        <v>34</v>
      </c>
      <c r="C255" s="4" t="s">
        <v>35</v>
      </c>
      <c r="D255" s="4" t="s">
        <v>43</v>
      </c>
      <c r="E255" s="4" t="s">
        <v>25</v>
      </c>
      <c r="F255" s="4" t="s">
        <v>25</v>
      </c>
      <c r="G255" s="4" t="s">
        <v>25</v>
      </c>
      <c r="H255" s="4" t="s">
        <v>37</v>
      </c>
      <c r="I255" s="5">
        <v>44440</v>
      </c>
      <c r="J255" s="6">
        <v>0</v>
      </c>
      <c r="K255" s="6">
        <v>0</v>
      </c>
      <c r="L255" s="6">
        <v>11.0678</v>
      </c>
      <c r="M255" s="6">
        <v>11.0678</v>
      </c>
      <c r="N255" s="6">
        <v>11.0678</v>
      </c>
      <c r="O255" s="6">
        <v>11.0678</v>
      </c>
      <c r="P255" s="6">
        <v>0</v>
      </c>
      <c r="Q255" s="4" t="s">
        <v>26</v>
      </c>
      <c r="R255" s="4">
        <v>0</v>
      </c>
      <c r="S255" s="6">
        <v>0</v>
      </c>
      <c r="T255" s="6">
        <v>22</v>
      </c>
      <c r="U255" s="6">
        <v>84</v>
      </c>
      <c r="V255" s="6">
        <f>IF(ISERROR(VLOOKUP($S$255,'TAR FIN'!$A$1:$O$92,15,0)),0,VLOOKUP($S$255,'TAR FIN'!$A$1:$O$92,15,0))</f>
        <v>0</v>
      </c>
      <c r="W255" s="6">
        <f>IF(ISERROR(VLOOKUP($T$255,'TAR FIN'!$A$1:$O$92,15,0)),0,VLOOKUP($T$255,'TAR FIN'!$A$1:$O$92,15,0))</f>
        <v>73.28</v>
      </c>
      <c r="X255" s="6">
        <f>IF(ISERROR(VLOOKUP($U$255,'TAR FIN'!$A$1:$O$92,15,0)),0,VLOOKUP($U$255,'TAR FIN'!$A$1:$O$92,15,0))</f>
        <v>286.76</v>
      </c>
      <c r="Y255" s="6"/>
      <c r="Z255" s="6">
        <f ca="1">('TUSD BE'!$AM$16+'TUSD BF_350'!$AM$16+'TUSD CVA'!$AM$16)*1</f>
        <v>126.25</v>
      </c>
      <c r="AA255" s="6">
        <f ca="1">('TE BE'!$AB$8+'TE BF_350'!$AB$8+'TE CVA'!$AB$8)*1</f>
        <v>250.03999999999996</v>
      </c>
      <c r="AB255" s="6">
        <f>$K$255*$V$255</f>
        <v>0</v>
      </c>
      <c r="AC255" s="6">
        <f>$M$255*$W$255</f>
        <v>811.04838400000006</v>
      </c>
      <c r="AD255" s="6">
        <f>$O$255*$X$255</f>
        <v>3173.8023279999998</v>
      </c>
      <c r="AE255" s="6">
        <f>$K$255*$Y$255</f>
        <v>0</v>
      </c>
      <c r="AF255" s="6">
        <f ca="1">$M$255*$Z$255</f>
        <v>1397.3097500000001</v>
      </c>
      <c r="AG255" s="6">
        <f ca="1">$O$255*$AA$255</f>
        <v>2767.3927119999994</v>
      </c>
    </row>
    <row r="256" spans="1:33" ht="11.25" customHeight="1" x14ac:dyDescent="0.3">
      <c r="A256" s="4" t="s">
        <v>21</v>
      </c>
      <c r="B256" s="4" t="s">
        <v>34</v>
      </c>
      <c r="C256" s="4" t="s">
        <v>35</v>
      </c>
      <c r="D256" s="4" t="s">
        <v>43</v>
      </c>
      <c r="E256" s="4" t="s">
        <v>25</v>
      </c>
      <c r="F256" s="4" t="s">
        <v>25</v>
      </c>
      <c r="G256" s="4" t="s">
        <v>25</v>
      </c>
      <c r="H256" s="4" t="s">
        <v>37</v>
      </c>
      <c r="I256" s="5">
        <v>44470</v>
      </c>
      <c r="J256" s="6">
        <v>0</v>
      </c>
      <c r="K256" s="6">
        <v>0</v>
      </c>
      <c r="L256" s="6">
        <v>11.593</v>
      </c>
      <c r="M256" s="6">
        <v>11.593</v>
      </c>
      <c r="N256" s="6">
        <v>11.593</v>
      </c>
      <c r="O256" s="6">
        <v>11.593</v>
      </c>
      <c r="P256" s="6">
        <v>0</v>
      </c>
      <c r="Q256" s="4" t="s">
        <v>26</v>
      </c>
      <c r="R256" s="4">
        <v>0</v>
      </c>
      <c r="S256" s="6">
        <v>0</v>
      </c>
      <c r="T256" s="6">
        <v>22</v>
      </c>
      <c r="U256" s="6">
        <v>84</v>
      </c>
      <c r="V256" s="6">
        <f>IF(ISERROR(VLOOKUP($S$256,'TAR FIN'!$A$1:$O$92,15,0)),0,VLOOKUP($S$256,'TAR FIN'!$A$1:$O$92,15,0))</f>
        <v>0</v>
      </c>
      <c r="W256" s="6">
        <f>IF(ISERROR(VLOOKUP($T$256,'TAR FIN'!$A$1:$O$92,15,0)),0,VLOOKUP($T$256,'TAR FIN'!$A$1:$O$92,15,0))</f>
        <v>73.28</v>
      </c>
      <c r="X256" s="6">
        <f>IF(ISERROR(VLOOKUP($U$256,'TAR FIN'!$A$1:$O$92,15,0)),0,VLOOKUP($U$256,'TAR FIN'!$A$1:$O$92,15,0))</f>
        <v>286.76</v>
      </c>
      <c r="Y256" s="6"/>
      <c r="Z256" s="6">
        <f ca="1">('TUSD BE'!$AM$16+'TUSD BF_350'!$AM$16+'TUSD CVA'!$AM$16)*1</f>
        <v>126.25</v>
      </c>
      <c r="AA256" s="6">
        <f ca="1">('TE BE'!$AB$8+'TE BF_350'!$AB$8+'TE CVA'!$AB$8)*1</f>
        <v>250.03999999999996</v>
      </c>
      <c r="AB256" s="6">
        <f>$K$256*$V$256</f>
        <v>0</v>
      </c>
      <c r="AC256" s="6">
        <f>$M$256*$W$256</f>
        <v>849.53503999999998</v>
      </c>
      <c r="AD256" s="6">
        <f>$O$256*$X$256</f>
        <v>3324.40868</v>
      </c>
      <c r="AE256" s="6">
        <f>$K$256*$Y$256</f>
        <v>0</v>
      </c>
      <c r="AF256" s="6">
        <f ca="1">$M$256*$Z$256</f>
        <v>1463.61625</v>
      </c>
      <c r="AG256" s="6">
        <f ca="1">$O$256*$AA$256</f>
        <v>2898.7137199999997</v>
      </c>
    </row>
    <row r="257" spans="1:33" ht="11.25" customHeight="1" x14ac:dyDescent="0.3">
      <c r="A257" s="4" t="s">
        <v>21</v>
      </c>
      <c r="B257" s="4" t="s">
        <v>34</v>
      </c>
      <c r="C257" s="4" t="s">
        <v>35</v>
      </c>
      <c r="D257" s="4" t="s">
        <v>43</v>
      </c>
      <c r="E257" s="4" t="s">
        <v>25</v>
      </c>
      <c r="F257" s="4" t="s">
        <v>25</v>
      </c>
      <c r="G257" s="4" t="s">
        <v>25</v>
      </c>
      <c r="H257" s="4" t="s">
        <v>37</v>
      </c>
      <c r="I257" s="5">
        <v>44501</v>
      </c>
      <c r="J257" s="6">
        <v>0</v>
      </c>
      <c r="K257" s="6">
        <v>0</v>
      </c>
      <c r="L257" s="6">
        <v>13.98794</v>
      </c>
      <c r="M257" s="6">
        <v>13.98794</v>
      </c>
      <c r="N257" s="6">
        <v>13.98794</v>
      </c>
      <c r="O257" s="6">
        <v>13.98794</v>
      </c>
      <c r="P257" s="6">
        <v>0</v>
      </c>
      <c r="Q257" s="4" t="s">
        <v>26</v>
      </c>
      <c r="R257" s="4">
        <v>0</v>
      </c>
      <c r="S257" s="6">
        <v>0</v>
      </c>
      <c r="T257" s="6">
        <v>22</v>
      </c>
      <c r="U257" s="6">
        <v>84</v>
      </c>
      <c r="V257" s="6">
        <f>IF(ISERROR(VLOOKUP($S$257,'TAR FIN'!$A$1:$O$92,15,0)),0,VLOOKUP($S$257,'TAR FIN'!$A$1:$O$92,15,0))</f>
        <v>0</v>
      </c>
      <c r="W257" s="6">
        <f>IF(ISERROR(VLOOKUP($T$257,'TAR FIN'!$A$1:$O$92,15,0)),0,VLOOKUP($T$257,'TAR FIN'!$A$1:$O$92,15,0))</f>
        <v>73.28</v>
      </c>
      <c r="X257" s="6">
        <f>IF(ISERROR(VLOOKUP($U$257,'TAR FIN'!$A$1:$O$92,15,0)),0,VLOOKUP($U$257,'TAR FIN'!$A$1:$O$92,15,0))</f>
        <v>286.76</v>
      </c>
      <c r="Y257" s="6"/>
      <c r="Z257" s="6">
        <f ca="1">('TUSD BE'!$AM$16+'TUSD BF_350'!$AM$16+'TUSD CVA'!$AM$16)*1</f>
        <v>126.25</v>
      </c>
      <c r="AA257" s="6">
        <f ca="1">('TE BE'!$AB$8+'TE BF_350'!$AB$8+'TE CVA'!$AB$8)*1</f>
        <v>250.03999999999996</v>
      </c>
      <c r="AB257" s="6">
        <f>$K$257*$V$257</f>
        <v>0</v>
      </c>
      <c r="AC257" s="6">
        <f>$M$257*$W$257</f>
        <v>1025.0362431999999</v>
      </c>
      <c r="AD257" s="6">
        <f>$O$257*$X$257</f>
        <v>4011.1816743999998</v>
      </c>
      <c r="AE257" s="6">
        <f>$K$257*$Y$257</f>
        <v>0</v>
      </c>
      <c r="AF257" s="6">
        <f ca="1">$M$257*$Z$257</f>
        <v>1765.977425</v>
      </c>
      <c r="AG257" s="6">
        <f ca="1">$O$257*$AA$257</f>
        <v>3497.5445175999994</v>
      </c>
    </row>
    <row r="258" spans="1:33" ht="11.25" customHeight="1" x14ac:dyDescent="0.3">
      <c r="A258" s="4" t="s">
        <v>21</v>
      </c>
      <c r="B258" s="4" t="s">
        <v>34</v>
      </c>
      <c r="C258" s="4" t="s">
        <v>35</v>
      </c>
      <c r="D258" s="4" t="s">
        <v>43</v>
      </c>
      <c r="E258" s="4" t="s">
        <v>25</v>
      </c>
      <c r="F258" s="4" t="s">
        <v>25</v>
      </c>
      <c r="G258" s="4" t="s">
        <v>25</v>
      </c>
      <c r="H258" s="4" t="s">
        <v>37</v>
      </c>
      <c r="I258" s="5">
        <v>44531</v>
      </c>
      <c r="J258" s="6">
        <v>0</v>
      </c>
      <c r="K258" s="6">
        <v>0</v>
      </c>
      <c r="L258" s="6">
        <v>16.49072</v>
      </c>
      <c r="M258" s="6">
        <v>16.49072</v>
      </c>
      <c r="N258" s="6">
        <v>16.49072</v>
      </c>
      <c r="O258" s="6">
        <v>16.49072</v>
      </c>
      <c r="P258" s="6">
        <v>0</v>
      </c>
      <c r="Q258" s="4" t="s">
        <v>26</v>
      </c>
      <c r="R258" s="4">
        <v>0</v>
      </c>
      <c r="S258" s="6">
        <v>0</v>
      </c>
      <c r="T258" s="6">
        <v>22</v>
      </c>
      <c r="U258" s="6">
        <v>84</v>
      </c>
      <c r="V258" s="6">
        <f>IF(ISERROR(VLOOKUP($S$258,'TAR FIN'!$A$1:$O$92,15,0)),0,VLOOKUP($S$258,'TAR FIN'!$A$1:$O$92,15,0))</f>
        <v>0</v>
      </c>
      <c r="W258" s="6">
        <f>IF(ISERROR(VLOOKUP($T$258,'TAR FIN'!$A$1:$O$92,15,0)),0,VLOOKUP($T$258,'TAR FIN'!$A$1:$O$92,15,0))</f>
        <v>73.28</v>
      </c>
      <c r="X258" s="6">
        <f>IF(ISERROR(VLOOKUP($U$258,'TAR FIN'!$A$1:$O$92,15,0)),0,VLOOKUP($U$258,'TAR FIN'!$A$1:$O$92,15,0))</f>
        <v>286.76</v>
      </c>
      <c r="Y258" s="6"/>
      <c r="Z258" s="6">
        <f ca="1">('TUSD BE'!$AM$16+'TUSD BF_350'!$AM$16+'TUSD CVA'!$AM$16)*1</f>
        <v>126.25</v>
      </c>
      <c r="AA258" s="6">
        <f ca="1">('TE BE'!$AB$8+'TE BF_350'!$AB$8+'TE CVA'!$AB$8)*1</f>
        <v>250.03999999999996</v>
      </c>
      <c r="AB258" s="6">
        <f>$K$258*$V$258</f>
        <v>0</v>
      </c>
      <c r="AC258" s="6">
        <f>$M$258*$W$258</f>
        <v>1208.4399616000001</v>
      </c>
      <c r="AD258" s="6">
        <f>$O$258*$X$258</f>
        <v>4728.8788672000001</v>
      </c>
      <c r="AE258" s="6">
        <f>$K$258*$Y$258</f>
        <v>0</v>
      </c>
      <c r="AF258" s="6">
        <f ca="1">$M$258*$Z$258</f>
        <v>2081.9533999999999</v>
      </c>
      <c r="AG258" s="6">
        <f ca="1">$O$258*$AA$258</f>
        <v>4123.3396287999994</v>
      </c>
    </row>
    <row r="259" spans="1:33" ht="11.25" customHeight="1" x14ac:dyDescent="0.3">
      <c r="A259" s="4" t="s">
        <v>21</v>
      </c>
      <c r="B259" s="4" t="s">
        <v>34</v>
      </c>
      <c r="C259" s="4" t="s">
        <v>35</v>
      </c>
      <c r="D259" s="4" t="s">
        <v>43</v>
      </c>
      <c r="E259" s="4" t="s">
        <v>25</v>
      </c>
      <c r="F259" s="4" t="s">
        <v>25</v>
      </c>
      <c r="G259" s="4" t="s">
        <v>25</v>
      </c>
      <c r="H259" s="4" t="s">
        <v>37</v>
      </c>
      <c r="I259" s="5">
        <v>44562</v>
      </c>
      <c r="J259" s="6">
        <v>0</v>
      </c>
      <c r="K259" s="6">
        <v>0</v>
      </c>
      <c r="L259" s="6">
        <v>20.244700000000002</v>
      </c>
      <c r="M259" s="6">
        <v>20.244700000000002</v>
      </c>
      <c r="N259" s="6">
        <v>20.244700000000002</v>
      </c>
      <c r="O259" s="6">
        <v>20.244700000000002</v>
      </c>
      <c r="P259" s="6">
        <v>0</v>
      </c>
      <c r="Q259" s="4" t="s">
        <v>26</v>
      </c>
      <c r="R259" s="4">
        <v>0</v>
      </c>
      <c r="S259" s="6">
        <v>0</v>
      </c>
      <c r="T259" s="6">
        <v>22</v>
      </c>
      <c r="U259" s="6">
        <v>84</v>
      </c>
      <c r="V259" s="6">
        <f>IF(ISERROR(VLOOKUP($S$259,'TAR FIN'!$A$1:$O$92,15,0)),0,VLOOKUP($S$259,'TAR FIN'!$A$1:$O$92,15,0))</f>
        <v>0</v>
      </c>
      <c r="W259" s="6">
        <f>IF(ISERROR(VLOOKUP($T$259,'TAR FIN'!$A$1:$O$92,15,0)),0,VLOOKUP($T$259,'TAR FIN'!$A$1:$O$92,15,0))</f>
        <v>73.28</v>
      </c>
      <c r="X259" s="6">
        <f>IF(ISERROR(VLOOKUP($U$259,'TAR FIN'!$A$1:$O$92,15,0)),0,VLOOKUP($U$259,'TAR FIN'!$A$1:$O$92,15,0))</f>
        <v>286.76</v>
      </c>
      <c r="Y259" s="6"/>
      <c r="Z259" s="6">
        <f ca="1">('TUSD BE'!$AM$16+'TUSD BF_350'!$AM$16+'TUSD CVA'!$AM$16)*1</f>
        <v>126.25</v>
      </c>
      <c r="AA259" s="6">
        <f ca="1">('TE BE'!$AB$8+'TE BF_350'!$AB$8+'TE CVA'!$AB$8)*1</f>
        <v>250.03999999999996</v>
      </c>
      <c r="AB259" s="6">
        <f>$K$259*$V$259</f>
        <v>0</v>
      </c>
      <c r="AC259" s="6">
        <f>$M$259*$W$259</f>
        <v>1483.5316160000002</v>
      </c>
      <c r="AD259" s="6">
        <f>$O$259*$X$259</f>
        <v>5805.3701719999999</v>
      </c>
      <c r="AE259" s="6">
        <f>$K$259*$Y$259</f>
        <v>0</v>
      </c>
      <c r="AF259" s="6">
        <f ca="1">$M$259*$Z$259</f>
        <v>2555.8933750000001</v>
      </c>
      <c r="AG259" s="6">
        <f ca="1">$O$259*$AA$259</f>
        <v>5061.9847879999998</v>
      </c>
    </row>
    <row r="260" spans="1:33" ht="11.25" customHeight="1" x14ac:dyDescent="0.3">
      <c r="A260" s="4" t="s">
        <v>21</v>
      </c>
      <c r="B260" s="4" t="s">
        <v>34</v>
      </c>
      <c r="C260" s="4" t="s">
        <v>35</v>
      </c>
      <c r="D260" s="4" t="s">
        <v>43</v>
      </c>
      <c r="E260" s="4" t="s">
        <v>25</v>
      </c>
      <c r="F260" s="4" t="s">
        <v>25</v>
      </c>
      <c r="G260" s="4" t="s">
        <v>25</v>
      </c>
      <c r="H260" s="4" t="s">
        <v>37</v>
      </c>
      <c r="I260" s="5">
        <v>44593</v>
      </c>
      <c r="J260" s="6">
        <v>0</v>
      </c>
      <c r="K260" s="6">
        <v>0</v>
      </c>
      <c r="L260" s="6">
        <v>17.725000000000001</v>
      </c>
      <c r="M260" s="6">
        <v>17.725000000000001</v>
      </c>
      <c r="N260" s="6">
        <v>17.725000000000001</v>
      </c>
      <c r="O260" s="6">
        <v>17.725000000000001</v>
      </c>
      <c r="P260" s="6">
        <v>0</v>
      </c>
      <c r="Q260" s="4" t="s">
        <v>26</v>
      </c>
      <c r="R260" s="4">
        <v>0</v>
      </c>
      <c r="S260" s="6">
        <v>0</v>
      </c>
      <c r="T260" s="6">
        <v>22</v>
      </c>
      <c r="U260" s="6">
        <v>84</v>
      </c>
      <c r="V260" s="6">
        <f>IF(ISERROR(VLOOKUP($S$260,'TAR FIN'!$A$1:$O$92,15,0)),0,VLOOKUP($S$260,'TAR FIN'!$A$1:$O$92,15,0))</f>
        <v>0</v>
      </c>
      <c r="W260" s="6">
        <f>IF(ISERROR(VLOOKUP($T$260,'TAR FIN'!$A$1:$O$92,15,0)),0,VLOOKUP($T$260,'TAR FIN'!$A$1:$O$92,15,0))</f>
        <v>73.28</v>
      </c>
      <c r="X260" s="6">
        <f>IF(ISERROR(VLOOKUP($U$260,'TAR FIN'!$A$1:$O$92,15,0)),0,VLOOKUP($U$260,'TAR FIN'!$A$1:$O$92,15,0))</f>
        <v>286.76</v>
      </c>
      <c r="Y260" s="6"/>
      <c r="Z260" s="6">
        <f ca="1">('TUSD BE'!$AM$16+'TUSD BF_350'!$AM$16+'TUSD CVA'!$AM$16)*1</f>
        <v>126.25</v>
      </c>
      <c r="AA260" s="6">
        <f ca="1">('TE BE'!$AB$8+'TE BF_350'!$AB$8+'TE CVA'!$AB$8)*1</f>
        <v>250.03999999999996</v>
      </c>
      <c r="AB260" s="6">
        <f>$K$260*$V$260</f>
        <v>0</v>
      </c>
      <c r="AC260" s="6">
        <f>$M$260*$W$260</f>
        <v>1298.8880000000001</v>
      </c>
      <c r="AD260" s="6">
        <f>$O$260*$X$260</f>
        <v>5082.8209999999999</v>
      </c>
      <c r="AE260" s="6">
        <f>$K$260*$Y$260</f>
        <v>0</v>
      </c>
      <c r="AF260" s="6">
        <f ca="1">$M$260*$Z$260</f>
        <v>2237.78125</v>
      </c>
      <c r="AG260" s="6">
        <f ca="1">$O$260*$AA$260</f>
        <v>4431.9589999999998</v>
      </c>
    </row>
    <row r="261" spans="1:33" ht="11.25" customHeight="1" x14ac:dyDescent="0.3">
      <c r="A261" s="4" t="s">
        <v>21</v>
      </c>
      <c r="B261" s="4" t="s">
        <v>34</v>
      </c>
      <c r="C261" s="4" t="s">
        <v>35</v>
      </c>
      <c r="D261" s="4" t="s">
        <v>43</v>
      </c>
      <c r="E261" s="4" t="s">
        <v>25</v>
      </c>
      <c r="F261" s="4" t="s">
        <v>25</v>
      </c>
      <c r="G261" s="4" t="s">
        <v>25</v>
      </c>
      <c r="H261" s="4" t="s">
        <v>37</v>
      </c>
      <c r="I261" s="5">
        <v>44621</v>
      </c>
      <c r="J261" s="6">
        <v>0</v>
      </c>
      <c r="K261" s="6">
        <v>0</v>
      </c>
      <c r="L261" s="6">
        <v>17.638680000000001</v>
      </c>
      <c r="M261" s="6">
        <v>17.638680000000001</v>
      </c>
      <c r="N261" s="6">
        <v>17.638680000000001</v>
      </c>
      <c r="O261" s="6">
        <v>17.638680000000001</v>
      </c>
      <c r="P261" s="6">
        <v>0</v>
      </c>
      <c r="Q261" s="4" t="s">
        <v>26</v>
      </c>
      <c r="R261" s="4">
        <v>0</v>
      </c>
      <c r="S261" s="6">
        <v>0</v>
      </c>
      <c r="T261" s="6">
        <v>22</v>
      </c>
      <c r="U261" s="6">
        <v>84</v>
      </c>
      <c r="V261" s="6">
        <f>IF(ISERROR(VLOOKUP($S$261,'TAR FIN'!$A$1:$O$92,15,0)),0,VLOOKUP($S$261,'TAR FIN'!$A$1:$O$92,15,0))</f>
        <v>0</v>
      </c>
      <c r="W261" s="6">
        <f>IF(ISERROR(VLOOKUP($T$261,'TAR FIN'!$A$1:$O$92,15,0)),0,VLOOKUP($T$261,'TAR FIN'!$A$1:$O$92,15,0))</f>
        <v>73.28</v>
      </c>
      <c r="X261" s="6">
        <f>IF(ISERROR(VLOOKUP($U$261,'TAR FIN'!$A$1:$O$92,15,0)),0,VLOOKUP($U$261,'TAR FIN'!$A$1:$O$92,15,0))</f>
        <v>286.76</v>
      </c>
      <c r="Y261" s="6"/>
      <c r="Z261" s="6">
        <f ca="1">('TUSD BE'!$AM$16+'TUSD BF_350'!$AM$16+'TUSD CVA'!$AM$16)*1</f>
        <v>126.25</v>
      </c>
      <c r="AA261" s="6">
        <f ca="1">('TE BE'!$AB$8+'TE BF_350'!$AB$8+'TE CVA'!$AB$8)*1</f>
        <v>250.03999999999996</v>
      </c>
      <c r="AB261" s="6">
        <f>$K$261*$V$261</f>
        <v>0</v>
      </c>
      <c r="AC261" s="6">
        <f>$M$261*$W$261</f>
        <v>1292.5624704000002</v>
      </c>
      <c r="AD261" s="6">
        <f>$O$261*$X$261</f>
        <v>5058.0678767999998</v>
      </c>
      <c r="AE261" s="6">
        <f>$K$261*$Y$261</f>
        <v>0</v>
      </c>
      <c r="AF261" s="6">
        <f ca="1">$M$261*$Z$261</f>
        <v>2226.8833500000001</v>
      </c>
      <c r="AG261" s="6">
        <f ca="1">$O$261*$AA$261</f>
        <v>4410.3755471999993</v>
      </c>
    </row>
    <row r="262" spans="1:33" ht="11.25" customHeight="1" x14ac:dyDescent="0.3">
      <c r="A262" s="4" t="s">
        <v>21</v>
      </c>
      <c r="B262" s="4" t="s">
        <v>34</v>
      </c>
      <c r="C262" s="4" t="s">
        <v>35</v>
      </c>
      <c r="D262" s="4" t="s">
        <v>43</v>
      </c>
      <c r="E262" s="4" t="s">
        <v>25</v>
      </c>
      <c r="F262" s="4" t="s">
        <v>25</v>
      </c>
      <c r="G262" s="4" t="s">
        <v>25</v>
      </c>
      <c r="H262" s="4" t="s">
        <v>37</v>
      </c>
      <c r="I262" s="5">
        <v>44652</v>
      </c>
      <c r="J262" s="6">
        <v>0</v>
      </c>
      <c r="K262" s="6">
        <v>0</v>
      </c>
      <c r="L262" s="6">
        <v>12.5853</v>
      </c>
      <c r="M262" s="6">
        <v>12.5853</v>
      </c>
      <c r="N262" s="6">
        <v>12.5853</v>
      </c>
      <c r="O262" s="6">
        <v>12.5853</v>
      </c>
      <c r="P262" s="6">
        <v>0</v>
      </c>
      <c r="Q262" s="4" t="s">
        <v>26</v>
      </c>
      <c r="R262" s="4">
        <v>0</v>
      </c>
      <c r="S262" s="6">
        <v>0</v>
      </c>
      <c r="T262" s="6">
        <v>22</v>
      </c>
      <c r="U262" s="6">
        <v>84</v>
      </c>
      <c r="V262" s="6">
        <f>IF(ISERROR(VLOOKUP($S$262,'TAR FIN'!$A$1:$O$92,15,0)),0,VLOOKUP($S$262,'TAR FIN'!$A$1:$O$92,15,0))</f>
        <v>0</v>
      </c>
      <c r="W262" s="6">
        <f>IF(ISERROR(VLOOKUP($T$262,'TAR FIN'!$A$1:$O$92,15,0)),0,VLOOKUP($T$262,'TAR FIN'!$A$1:$O$92,15,0))</f>
        <v>73.28</v>
      </c>
      <c r="X262" s="6">
        <f>IF(ISERROR(VLOOKUP($U$262,'TAR FIN'!$A$1:$O$92,15,0)),0,VLOOKUP($U$262,'TAR FIN'!$A$1:$O$92,15,0))</f>
        <v>286.76</v>
      </c>
      <c r="Y262" s="6"/>
      <c r="Z262" s="6">
        <f ca="1">('TUSD BE'!$AM$16+'TUSD BF_350'!$AM$16+'TUSD CVA'!$AM$16)*1</f>
        <v>126.25</v>
      </c>
      <c r="AA262" s="6">
        <f ca="1">('TE BE'!$AB$8+'TE BF_350'!$AB$8+'TE CVA'!$AB$8)*1</f>
        <v>250.03999999999996</v>
      </c>
      <c r="AB262" s="6">
        <f>$K$262*$V$262</f>
        <v>0</v>
      </c>
      <c r="AC262" s="6">
        <f>$M$262*$W$262</f>
        <v>922.25078400000007</v>
      </c>
      <c r="AD262" s="6">
        <f>$O$262*$X$262</f>
        <v>3608.9606279999998</v>
      </c>
      <c r="AE262" s="6">
        <f>$K$262*$Y$262</f>
        <v>0</v>
      </c>
      <c r="AF262" s="6">
        <f ca="1">$M$262*$Z$262</f>
        <v>1588.894125</v>
      </c>
      <c r="AG262" s="6">
        <f ca="1">$O$262*$AA$262</f>
        <v>3146.8284119999994</v>
      </c>
    </row>
    <row r="263" spans="1:33" ht="11.25" customHeight="1" x14ac:dyDescent="0.3">
      <c r="A263" s="4" t="s">
        <v>21</v>
      </c>
      <c r="B263" s="4" t="s">
        <v>34</v>
      </c>
      <c r="C263" s="4" t="s">
        <v>35</v>
      </c>
      <c r="D263" s="4" t="s">
        <v>43</v>
      </c>
      <c r="E263" s="4" t="s">
        <v>25</v>
      </c>
      <c r="F263" s="4" t="s">
        <v>25</v>
      </c>
      <c r="G263" s="4" t="s">
        <v>25</v>
      </c>
      <c r="H263" s="4" t="s">
        <v>37</v>
      </c>
      <c r="I263" s="5">
        <v>44682</v>
      </c>
      <c r="J263" s="6">
        <v>0</v>
      </c>
      <c r="K263" s="6">
        <v>0</v>
      </c>
      <c r="L263" s="6">
        <v>9.7867800000000003</v>
      </c>
      <c r="M263" s="6">
        <v>9.7867800000000003</v>
      </c>
      <c r="N263" s="6">
        <v>9.7867800000000003</v>
      </c>
      <c r="O263" s="6">
        <v>9.7867800000000003</v>
      </c>
      <c r="P263" s="6">
        <v>0</v>
      </c>
      <c r="Q263" s="4" t="s">
        <v>26</v>
      </c>
      <c r="R263" s="4">
        <v>0</v>
      </c>
      <c r="S263" s="6">
        <v>0</v>
      </c>
      <c r="T263" s="6">
        <v>22</v>
      </c>
      <c r="U263" s="6">
        <v>84</v>
      </c>
      <c r="V263" s="6">
        <f>IF(ISERROR(VLOOKUP($S$263,'TAR FIN'!$A$1:$O$92,15,0)),0,VLOOKUP($S$263,'TAR FIN'!$A$1:$O$92,15,0))</f>
        <v>0</v>
      </c>
      <c r="W263" s="6">
        <f>IF(ISERROR(VLOOKUP($T$263,'TAR FIN'!$A$1:$O$92,15,0)),0,VLOOKUP($T$263,'TAR FIN'!$A$1:$O$92,15,0))</f>
        <v>73.28</v>
      </c>
      <c r="X263" s="6">
        <f>IF(ISERROR(VLOOKUP($U$263,'TAR FIN'!$A$1:$O$92,15,0)),0,VLOOKUP($U$263,'TAR FIN'!$A$1:$O$92,15,0))</f>
        <v>286.76</v>
      </c>
      <c r="Y263" s="6"/>
      <c r="Z263" s="6">
        <f ca="1">('TUSD BE'!$AM$16+'TUSD BF_350'!$AM$16+'TUSD CVA'!$AM$16)*1</f>
        <v>126.25</v>
      </c>
      <c r="AA263" s="6">
        <f ca="1">('TE BE'!$AB$8+'TE BF_350'!$AB$8+'TE CVA'!$AB$8)*1</f>
        <v>250.03999999999996</v>
      </c>
      <c r="AB263" s="6">
        <f>$K$263*$V$263</f>
        <v>0</v>
      </c>
      <c r="AC263" s="6">
        <f>$M$263*$W$263</f>
        <v>717.17523840000001</v>
      </c>
      <c r="AD263" s="6">
        <f>$O$263*$X$263</f>
        <v>2806.4570328</v>
      </c>
      <c r="AE263" s="6">
        <f>$K$263*$Y$263</f>
        <v>0</v>
      </c>
      <c r="AF263" s="6">
        <f ca="1">$M$263*$Z$263</f>
        <v>1235.5809750000001</v>
      </c>
      <c r="AG263" s="6">
        <f ca="1">$O$263*$AA$263</f>
        <v>2447.0864711999998</v>
      </c>
    </row>
    <row r="264" spans="1:33" ht="11.25" customHeight="1" x14ac:dyDescent="0.3">
      <c r="A264" s="4" t="s">
        <v>21</v>
      </c>
      <c r="B264" s="4" t="s">
        <v>34</v>
      </c>
      <c r="C264" s="4" t="s">
        <v>35</v>
      </c>
      <c r="D264" s="4" t="s">
        <v>43</v>
      </c>
      <c r="E264" s="4" t="s">
        <v>25</v>
      </c>
      <c r="F264" s="4" t="s">
        <v>25</v>
      </c>
      <c r="G264" s="4" t="s">
        <v>25</v>
      </c>
      <c r="H264" s="4" t="s">
        <v>37</v>
      </c>
      <c r="I264" s="5">
        <v>44713</v>
      </c>
      <c r="J264" s="6">
        <v>0</v>
      </c>
      <c r="K264" s="6">
        <v>0</v>
      </c>
      <c r="L264" s="6">
        <v>8.5603899999999999</v>
      </c>
      <c r="M264" s="6">
        <v>8.5603899999999999</v>
      </c>
      <c r="N264" s="6">
        <v>8.5603899999999999</v>
      </c>
      <c r="O264" s="6">
        <v>8.5603899999999999</v>
      </c>
      <c r="P264" s="6">
        <v>0</v>
      </c>
      <c r="Q264" s="4" t="s">
        <v>26</v>
      </c>
      <c r="R264" s="4">
        <v>0</v>
      </c>
      <c r="S264" s="6">
        <v>0</v>
      </c>
      <c r="T264" s="6">
        <v>22</v>
      </c>
      <c r="U264" s="6">
        <v>84</v>
      </c>
      <c r="V264" s="6">
        <f>IF(ISERROR(VLOOKUP($S$264,'TAR FIN'!$A$1:$O$92,15,0)),0,VLOOKUP($S$264,'TAR FIN'!$A$1:$O$92,15,0))</f>
        <v>0</v>
      </c>
      <c r="W264" s="6">
        <f>IF(ISERROR(VLOOKUP($T$264,'TAR FIN'!$A$1:$O$92,15,0)),0,VLOOKUP($T$264,'TAR FIN'!$A$1:$O$92,15,0))</f>
        <v>73.28</v>
      </c>
      <c r="X264" s="6">
        <f>IF(ISERROR(VLOOKUP($U$264,'TAR FIN'!$A$1:$O$92,15,0)),0,VLOOKUP($U$264,'TAR FIN'!$A$1:$O$92,15,0))</f>
        <v>286.76</v>
      </c>
      <c r="Y264" s="6"/>
      <c r="Z264" s="6">
        <f ca="1">('TUSD BE'!$AM$16+'TUSD BF_350'!$AM$16+'TUSD CVA'!$AM$16)*1</f>
        <v>126.25</v>
      </c>
      <c r="AA264" s="6">
        <f ca="1">('TE BE'!$AB$8+'TE BF_350'!$AB$8+'TE CVA'!$AB$8)*1</f>
        <v>250.03999999999996</v>
      </c>
      <c r="AB264" s="6">
        <f>$K$264*$V$264</f>
        <v>0</v>
      </c>
      <c r="AC264" s="6">
        <f>$M$264*$W$264</f>
        <v>627.30537920000006</v>
      </c>
      <c r="AD264" s="6">
        <f>$O$264*$X$264</f>
        <v>2454.7774363999997</v>
      </c>
      <c r="AE264" s="6">
        <f>$K$264*$Y$264</f>
        <v>0</v>
      </c>
      <c r="AF264" s="6">
        <f ca="1">$M$264*$Z$264</f>
        <v>1080.7492374999999</v>
      </c>
      <c r="AG264" s="6">
        <f ca="1">$O$264*$AA$264</f>
        <v>2140.4399155999995</v>
      </c>
    </row>
    <row r="265" spans="1:33" ht="11.25" customHeight="1" x14ac:dyDescent="0.3">
      <c r="A265" s="4" t="s">
        <v>21</v>
      </c>
      <c r="B265" s="4" t="s">
        <v>34</v>
      </c>
      <c r="C265" s="4" t="s">
        <v>35</v>
      </c>
      <c r="D265" s="4" t="s">
        <v>43</v>
      </c>
      <c r="E265" s="4" t="s">
        <v>25</v>
      </c>
      <c r="F265" s="4" t="s">
        <v>25</v>
      </c>
      <c r="G265" s="4" t="s">
        <v>25</v>
      </c>
      <c r="H265" s="4" t="s">
        <v>37</v>
      </c>
      <c r="I265" s="5">
        <v>44743</v>
      </c>
      <c r="J265" s="6">
        <v>0</v>
      </c>
      <c r="K265" s="6">
        <v>0</v>
      </c>
      <c r="L265" s="6">
        <v>10.27472</v>
      </c>
      <c r="M265" s="6">
        <v>10.27472</v>
      </c>
      <c r="N265" s="6">
        <v>10.27472</v>
      </c>
      <c r="O265" s="6">
        <v>10.27472</v>
      </c>
      <c r="P265" s="6">
        <v>0</v>
      </c>
      <c r="Q265" s="4" t="s">
        <v>26</v>
      </c>
      <c r="R265" s="4">
        <v>0</v>
      </c>
      <c r="S265" s="6">
        <v>0</v>
      </c>
      <c r="T265" s="6">
        <v>22</v>
      </c>
      <c r="U265" s="6">
        <v>84</v>
      </c>
      <c r="V265" s="6">
        <f>IF(ISERROR(VLOOKUP($S$265,'TAR FIN'!$A$1:$O$92,15,0)),0,VLOOKUP($S$265,'TAR FIN'!$A$1:$O$92,15,0))</f>
        <v>0</v>
      </c>
      <c r="W265" s="6">
        <f>IF(ISERROR(VLOOKUP($T$265,'TAR FIN'!$A$1:$O$92,15,0)),0,VLOOKUP($T$265,'TAR FIN'!$A$1:$O$92,15,0))</f>
        <v>73.28</v>
      </c>
      <c r="X265" s="6">
        <f>IF(ISERROR(VLOOKUP($U$265,'TAR FIN'!$A$1:$O$92,15,0)),0,VLOOKUP($U$265,'TAR FIN'!$A$1:$O$92,15,0))</f>
        <v>286.76</v>
      </c>
      <c r="Y265" s="6"/>
      <c r="Z265" s="6">
        <f ca="1">('TUSD BE'!$AM$16+'TUSD BF_350'!$AM$16+'TUSD CVA'!$AM$16)*1</f>
        <v>126.25</v>
      </c>
      <c r="AA265" s="6">
        <f ca="1">('TE BE'!$AB$8+'TE BF_350'!$AB$8+'TE CVA'!$AB$8)*1</f>
        <v>250.03999999999996</v>
      </c>
      <c r="AB265" s="6">
        <f>$K$265*$V$265</f>
        <v>0</v>
      </c>
      <c r="AC265" s="6">
        <f>$M$265*$W$265</f>
        <v>752.93148159999998</v>
      </c>
      <c r="AD265" s="6">
        <f>$O$265*$X$265</f>
        <v>2946.3787072</v>
      </c>
      <c r="AE265" s="6">
        <f>$K$265*$Y$265</f>
        <v>0</v>
      </c>
      <c r="AF265" s="6">
        <f ca="1">$M$265*$Z$265</f>
        <v>1297.1834000000001</v>
      </c>
      <c r="AG265" s="6">
        <f ca="1">$O$265*$AA$265</f>
        <v>2569.0909887999996</v>
      </c>
    </row>
    <row r="266" spans="1:33" ht="11.25" customHeight="1" x14ac:dyDescent="0.3">
      <c r="A266" s="4" t="s">
        <v>21</v>
      </c>
      <c r="B266" s="4" t="s">
        <v>34</v>
      </c>
      <c r="C266" s="4" t="s">
        <v>35</v>
      </c>
      <c r="D266" s="4" t="s">
        <v>43</v>
      </c>
      <c r="E266" s="4" t="s">
        <v>25</v>
      </c>
      <c r="F266" s="4" t="s">
        <v>25</v>
      </c>
      <c r="G266" s="4" t="s">
        <v>25</v>
      </c>
      <c r="H266" s="4" t="s">
        <v>25</v>
      </c>
      <c r="I266" s="5">
        <v>44409</v>
      </c>
      <c r="J266" s="6">
        <v>115</v>
      </c>
      <c r="K266" s="6">
        <v>115</v>
      </c>
      <c r="L266" s="6">
        <v>0</v>
      </c>
      <c r="M266" s="6">
        <v>0</v>
      </c>
      <c r="N266" s="6">
        <v>0</v>
      </c>
      <c r="O266" s="6">
        <v>0</v>
      </c>
      <c r="P266" s="6">
        <v>2</v>
      </c>
      <c r="Q266" s="4" t="s">
        <v>26</v>
      </c>
      <c r="R266" s="4">
        <v>0</v>
      </c>
      <c r="S266" s="6">
        <v>18</v>
      </c>
      <c r="T266" s="6">
        <v>0</v>
      </c>
      <c r="U266" s="6">
        <v>0</v>
      </c>
      <c r="V266" s="6">
        <f>IF(ISERROR(VLOOKUP($S$266,'TAR FIN'!$A$1:$O$92,15,0)),0,VLOOKUP($S$266,'TAR FIN'!$A$1:$O$92,15,0))</f>
        <v>18.489999999999998</v>
      </c>
      <c r="W266" s="6">
        <f>IF(ISERROR(VLOOKUP($T$266,'TAR FIN'!$A$1:$O$92,15,0)),0,VLOOKUP($T$266,'TAR FIN'!$A$1:$O$92,15,0))</f>
        <v>0</v>
      </c>
      <c r="X266" s="6">
        <f>IF(ISERROR(VLOOKUP($U$266,'TAR FIN'!$A$1:$O$92,15,0)),0,VLOOKUP($U$266,'TAR FIN'!$A$1:$O$92,15,0))</f>
        <v>0</v>
      </c>
      <c r="Y266" s="6">
        <f ca="1">('TUSD BE'!$AM$14+'TUSD BF_350'!$AM$14+'TUSD CVA'!$AM$14)*1</f>
        <v>15.64</v>
      </c>
      <c r="Z266" s="6"/>
      <c r="AA266" s="6"/>
      <c r="AB266" s="6">
        <f>$K$266*$V$266</f>
        <v>2126.35</v>
      </c>
      <c r="AC266" s="6">
        <f>$M$266*$W$266</f>
        <v>0</v>
      </c>
      <c r="AD266" s="6">
        <f>$O$266*$X$266</f>
        <v>0</v>
      </c>
      <c r="AE266" s="6">
        <f ca="1">$K$266*$Y$266</f>
        <v>1798.6000000000001</v>
      </c>
      <c r="AF266" s="6">
        <f>$M$266*$Z$266</f>
        <v>0</v>
      </c>
      <c r="AG266" s="6">
        <f>$O$266*$AA$266</f>
        <v>0</v>
      </c>
    </row>
    <row r="267" spans="1:33" ht="11.25" customHeight="1" x14ac:dyDescent="0.3">
      <c r="A267" s="4" t="s">
        <v>21</v>
      </c>
      <c r="B267" s="4" t="s">
        <v>34</v>
      </c>
      <c r="C267" s="4" t="s">
        <v>35</v>
      </c>
      <c r="D267" s="4" t="s">
        <v>43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44440</v>
      </c>
      <c r="J267" s="6">
        <v>115</v>
      </c>
      <c r="K267" s="6">
        <v>115</v>
      </c>
      <c r="L267" s="6">
        <v>0</v>
      </c>
      <c r="M267" s="6">
        <v>0</v>
      </c>
      <c r="N267" s="6">
        <v>0</v>
      </c>
      <c r="O267" s="6">
        <v>0</v>
      </c>
      <c r="P267" s="6">
        <v>2</v>
      </c>
      <c r="Q267" s="4" t="s">
        <v>26</v>
      </c>
      <c r="R267" s="4">
        <v>0</v>
      </c>
      <c r="S267" s="6">
        <v>18</v>
      </c>
      <c r="T267" s="6">
        <v>0</v>
      </c>
      <c r="U267" s="6">
        <v>0</v>
      </c>
      <c r="V267" s="6">
        <f>IF(ISERROR(VLOOKUP($S$267,'TAR FIN'!$A$1:$O$92,15,0)),0,VLOOKUP($S$267,'TAR FIN'!$A$1:$O$92,15,0))</f>
        <v>18.489999999999998</v>
      </c>
      <c r="W267" s="6">
        <f>IF(ISERROR(VLOOKUP($T$267,'TAR FIN'!$A$1:$O$92,15,0)),0,VLOOKUP($T$267,'TAR FIN'!$A$1:$O$92,15,0))</f>
        <v>0</v>
      </c>
      <c r="X267" s="6">
        <f>IF(ISERROR(VLOOKUP($U$267,'TAR FIN'!$A$1:$O$92,15,0)),0,VLOOKUP($U$267,'TAR FIN'!$A$1:$O$92,15,0))</f>
        <v>0</v>
      </c>
      <c r="Y267" s="6">
        <f ca="1">('TUSD BE'!$AM$14+'TUSD BF_350'!$AM$14+'TUSD CVA'!$AM$14)*1</f>
        <v>15.64</v>
      </c>
      <c r="Z267" s="6"/>
      <c r="AA267" s="6"/>
      <c r="AB267" s="6">
        <f>$K$267*$V$267</f>
        <v>2126.35</v>
      </c>
      <c r="AC267" s="6">
        <f>$M$267*$W$267</f>
        <v>0</v>
      </c>
      <c r="AD267" s="6">
        <f>$O$267*$X$267</f>
        <v>0</v>
      </c>
      <c r="AE267" s="6">
        <f ca="1">$K$267*$Y$267</f>
        <v>1798.6000000000001</v>
      </c>
      <c r="AF267" s="6">
        <f>$M$267*$Z$267</f>
        <v>0</v>
      </c>
      <c r="AG267" s="6">
        <f>$O$267*$AA$267</f>
        <v>0</v>
      </c>
    </row>
    <row r="268" spans="1:33" ht="11.25" customHeight="1" x14ac:dyDescent="0.3">
      <c r="A268" s="4" t="s">
        <v>21</v>
      </c>
      <c r="B268" s="4" t="s">
        <v>34</v>
      </c>
      <c r="C268" s="4" t="s">
        <v>35</v>
      </c>
      <c r="D268" s="4" t="s">
        <v>43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44470</v>
      </c>
      <c r="J268" s="6">
        <v>115</v>
      </c>
      <c r="K268" s="6">
        <v>115</v>
      </c>
      <c r="L268" s="6">
        <v>0</v>
      </c>
      <c r="M268" s="6">
        <v>0</v>
      </c>
      <c r="N268" s="6">
        <v>0</v>
      </c>
      <c r="O268" s="6">
        <v>0</v>
      </c>
      <c r="P268" s="6">
        <v>2</v>
      </c>
      <c r="Q268" s="4" t="s">
        <v>26</v>
      </c>
      <c r="R268" s="4">
        <v>0</v>
      </c>
      <c r="S268" s="6">
        <v>18</v>
      </c>
      <c r="T268" s="6">
        <v>0</v>
      </c>
      <c r="U268" s="6">
        <v>0</v>
      </c>
      <c r="V268" s="6">
        <f>IF(ISERROR(VLOOKUP($S$268,'TAR FIN'!$A$1:$O$92,15,0)),0,VLOOKUP($S$268,'TAR FIN'!$A$1:$O$92,15,0))</f>
        <v>18.489999999999998</v>
      </c>
      <c r="W268" s="6">
        <f>IF(ISERROR(VLOOKUP($T$268,'TAR FIN'!$A$1:$O$92,15,0)),0,VLOOKUP($T$268,'TAR FIN'!$A$1:$O$92,15,0))</f>
        <v>0</v>
      </c>
      <c r="X268" s="6">
        <f>IF(ISERROR(VLOOKUP($U$268,'TAR FIN'!$A$1:$O$92,15,0)),0,VLOOKUP($U$268,'TAR FIN'!$A$1:$O$92,15,0))</f>
        <v>0</v>
      </c>
      <c r="Y268" s="6">
        <f ca="1">('TUSD BE'!$AM$14+'TUSD BF_350'!$AM$14+'TUSD CVA'!$AM$14)*1</f>
        <v>15.64</v>
      </c>
      <c r="Z268" s="6"/>
      <c r="AA268" s="6"/>
      <c r="AB268" s="6">
        <f>$K$268*$V$268</f>
        <v>2126.35</v>
      </c>
      <c r="AC268" s="6">
        <f>$M$268*$W$268</f>
        <v>0</v>
      </c>
      <c r="AD268" s="6">
        <f>$O$268*$X$268</f>
        <v>0</v>
      </c>
      <c r="AE268" s="6">
        <f ca="1">$K$268*$Y$268</f>
        <v>1798.6000000000001</v>
      </c>
      <c r="AF268" s="6">
        <f>$M$268*$Z$268</f>
        <v>0</v>
      </c>
      <c r="AG268" s="6">
        <f>$O$268*$AA$268</f>
        <v>0</v>
      </c>
    </row>
    <row r="269" spans="1:33" ht="11.25" customHeight="1" x14ac:dyDescent="0.3">
      <c r="A269" s="4" t="s">
        <v>21</v>
      </c>
      <c r="B269" s="4" t="s">
        <v>34</v>
      </c>
      <c r="C269" s="4" t="s">
        <v>35</v>
      </c>
      <c r="D269" s="4" t="s">
        <v>43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44501</v>
      </c>
      <c r="J269" s="6">
        <v>115.01</v>
      </c>
      <c r="K269" s="6">
        <v>115.01</v>
      </c>
      <c r="L269" s="6">
        <v>0</v>
      </c>
      <c r="M269" s="6">
        <v>0</v>
      </c>
      <c r="N269" s="6">
        <v>0</v>
      </c>
      <c r="O269" s="6">
        <v>0</v>
      </c>
      <c r="P269" s="6">
        <v>2</v>
      </c>
      <c r="Q269" s="4" t="s">
        <v>26</v>
      </c>
      <c r="R269" s="4">
        <v>0</v>
      </c>
      <c r="S269" s="6">
        <v>18</v>
      </c>
      <c r="T269" s="6">
        <v>0</v>
      </c>
      <c r="U269" s="6">
        <v>0</v>
      </c>
      <c r="V269" s="6">
        <f>IF(ISERROR(VLOOKUP($S$269,'TAR FIN'!$A$1:$O$92,15,0)),0,VLOOKUP($S$269,'TAR FIN'!$A$1:$O$92,15,0))</f>
        <v>18.489999999999998</v>
      </c>
      <c r="W269" s="6">
        <f>IF(ISERROR(VLOOKUP($T$269,'TAR FIN'!$A$1:$O$92,15,0)),0,VLOOKUP($T$269,'TAR FIN'!$A$1:$O$92,15,0))</f>
        <v>0</v>
      </c>
      <c r="X269" s="6">
        <f>IF(ISERROR(VLOOKUP($U$269,'TAR FIN'!$A$1:$O$92,15,0)),0,VLOOKUP($U$269,'TAR FIN'!$A$1:$O$92,15,0))</f>
        <v>0</v>
      </c>
      <c r="Y269" s="6">
        <f ca="1">('TUSD BE'!$AM$14+'TUSD BF_350'!$AM$14+'TUSD CVA'!$AM$14)*1</f>
        <v>15.64</v>
      </c>
      <c r="Z269" s="6"/>
      <c r="AA269" s="6"/>
      <c r="AB269" s="6">
        <f>$K$269*$V$269</f>
        <v>2126.5349000000001</v>
      </c>
      <c r="AC269" s="6">
        <f>$M$269*$W$269</f>
        <v>0</v>
      </c>
      <c r="AD269" s="6">
        <f>$O$269*$X$269</f>
        <v>0</v>
      </c>
      <c r="AE269" s="6">
        <f ca="1">$K$269*$Y$269</f>
        <v>1798.7564000000002</v>
      </c>
      <c r="AF269" s="6">
        <f>$M$269*$Z$269</f>
        <v>0</v>
      </c>
      <c r="AG269" s="6">
        <f>$O$269*$AA$269</f>
        <v>0</v>
      </c>
    </row>
    <row r="270" spans="1:33" ht="11.25" customHeight="1" x14ac:dyDescent="0.3">
      <c r="A270" s="4" t="s">
        <v>21</v>
      </c>
      <c r="B270" s="4" t="s">
        <v>34</v>
      </c>
      <c r="C270" s="4" t="s">
        <v>35</v>
      </c>
      <c r="D270" s="4" t="s">
        <v>43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44531</v>
      </c>
      <c r="J270" s="6">
        <v>115</v>
      </c>
      <c r="K270" s="6">
        <v>115</v>
      </c>
      <c r="L270" s="6">
        <v>0</v>
      </c>
      <c r="M270" s="6">
        <v>0</v>
      </c>
      <c r="N270" s="6">
        <v>0</v>
      </c>
      <c r="O270" s="6">
        <v>0</v>
      </c>
      <c r="P270" s="6">
        <v>2</v>
      </c>
      <c r="Q270" s="4" t="s">
        <v>26</v>
      </c>
      <c r="R270" s="4">
        <v>0</v>
      </c>
      <c r="S270" s="6">
        <v>18</v>
      </c>
      <c r="T270" s="6">
        <v>0</v>
      </c>
      <c r="U270" s="6">
        <v>0</v>
      </c>
      <c r="V270" s="6">
        <f>IF(ISERROR(VLOOKUP($S$270,'TAR FIN'!$A$1:$O$92,15,0)),0,VLOOKUP($S$270,'TAR FIN'!$A$1:$O$92,15,0))</f>
        <v>18.489999999999998</v>
      </c>
      <c r="W270" s="6">
        <f>IF(ISERROR(VLOOKUP($T$270,'TAR FIN'!$A$1:$O$92,15,0)),0,VLOOKUP($T$270,'TAR FIN'!$A$1:$O$92,15,0))</f>
        <v>0</v>
      </c>
      <c r="X270" s="6">
        <f>IF(ISERROR(VLOOKUP($U$270,'TAR FIN'!$A$1:$O$92,15,0)),0,VLOOKUP($U$270,'TAR FIN'!$A$1:$O$92,15,0))</f>
        <v>0</v>
      </c>
      <c r="Y270" s="6">
        <f ca="1">('TUSD BE'!$AM$14+'TUSD BF_350'!$AM$14+'TUSD CVA'!$AM$14)*1</f>
        <v>15.64</v>
      </c>
      <c r="Z270" s="6"/>
      <c r="AA270" s="6"/>
      <c r="AB270" s="6">
        <f>$K$270*$V$270</f>
        <v>2126.35</v>
      </c>
      <c r="AC270" s="6">
        <f>$M$270*$W$270</f>
        <v>0</v>
      </c>
      <c r="AD270" s="6">
        <f>$O$270*$X$270</f>
        <v>0</v>
      </c>
      <c r="AE270" s="6">
        <f ca="1">$K$270*$Y$270</f>
        <v>1798.6000000000001</v>
      </c>
      <c r="AF270" s="6">
        <f>$M$270*$Z$270</f>
        <v>0</v>
      </c>
      <c r="AG270" s="6">
        <f>$O$270*$AA$270</f>
        <v>0</v>
      </c>
    </row>
    <row r="271" spans="1:33" ht="11.25" customHeight="1" x14ac:dyDescent="0.3">
      <c r="A271" s="4" t="s">
        <v>21</v>
      </c>
      <c r="B271" s="4" t="s">
        <v>34</v>
      </c>
      <c r="C271" s="4" t="s">
        <v>35</v>
      </c>
      <c r="D271" s="4" t="s">
        <v>43</v>
      </c>
      <c r="E271" s="4" t="s">
        <v>25</v>
      </c>
      <c r="F271" s="4" t="s">
        <v>25</v>
      </c>
      <c r="G271" s="4" t="s">
        <v>25</v>
      </c>
      <c r="H271" s="4" t="s">
        <v>25</v>
      </c>
      <c r="I271" s="5">
        <v>44562</v>
      </c>
      <c r="J271" s="6">
        <v>115</v>
      </c>
      <c r="K271" s="6">
        <v>115</v>
      </c>
      <c r="L271" s="6">
        <v>0</v>
      </c>
      <c r="M271" s="6">
        <v>0</v>
      </c>
      <c r="N271" s="6">
        <v>0</v>
      </c>
      <c r="O271" s="6">
        <v>0</v>
      </c>
      <c r="P271" s="6">
        <v>2</v>
      </c>
      <c r="Q271" s="4" t="s">
        <v>26</v>
      </c>
      <c r="R271" s="4">
        <v>0</v>
      </c>
      <c r="S271" s="6">
        <v>18</v>
      </c>
      <c r="T271" s="6">
        <v>0</v>
      </c>
      <c r="U271" s="6">
        <v>0</v>
      </c>
      <c r="V271" s="6">
        <f>IF(ISERROR(VLOOKUP($S$271,'TAR FIN'!$A$1:$O$92,15,0)),0,VLOOKUP($S$271,'TAR FIN'!$A$1:$O$92,15,0))</f>
        <v>18.489999999999998</v>
      </c>
      <c r="W271" s="6">
        <f>IF(ISERROR(VLOOKUP($T$271,'TAR FIN'!$A$1:$O$92,15,0)),0,VLOOKUP($T$271,'TAR FIN'!$A$1:$O$92,15,0))</f>
        <v>0</v>
      </c>
      <c r="X271" s="6">
        <f>IF(ISERROR(VLOOKUP($U$271,'TAR FIN'!$A$1:$O$92,15,0)),0,VLOOKUP($U$271,'TAR FIN'!$A$1:$O$92,15,0))</f>
        <v>0</v>
      </c>
      <c r="Y271" s="6">
        <f ca="1">('TUSD BE'!$AM$14+'TUSD BF_350'!$AM$14+'TUSD CVA'!$AM$14)*1</f>
        <v>15.64</v>
      </c>
      <c r="Z271" s="6"/>
      <c r="AA271" s="6"/>
      <c r="AB271" s="6">
        <f>$K$271*$V$271</f>
        <v>2126.35</v>
      </c>
      <c r="AC271" s="6">
        <f>$M$271*$W$271</f>
        <v>0</v>
      </c>
      <c r="AD271" s="6">
        <f>$O$271*$X$271</f>
        <v>0</v>
      </c>
      <c r="AE271" s="6">
        <f ca="1">$K$271*$Y$271</f>
        <v>1798.6000000000001</v>
      </c>
      <c r="AF271" s="6">
        <f>$M$271*$Z$271</f>
        <v>0</v>
      </c>
      <c r="AG271" s="6">
        <f>$O$271*$AA$271</f>
        <v>0</v>
      </c>
    </row>
    <row r="272" spans="1:33" ht="11.25" customHeight="1" x14ac:dyDescent="0.3">
      <c r="A272" s="4" t="s">
        <v>21</v>
      </c>
      <c r="B272" s="4" t="s">
        <v>34</v>
      </c>
      <c r="C272" s="4" t="s">
        <v>35</v>
      </c>
      <c r="D272" s="4" t="s">
        <v>43</v>
      </c>
      <c r="E272" s="4" t="s">
        <v>25</v>
      </c>
      <c r="F272" s="4" t="s">
        <v>25</v>
      </c>
      <c r="G272" s="4" t="s">
        <v>25</v>
      </c>
      <c r="H272" s="4" t="s">
        <v>25</v>
      </c>
      <c r="I272" s="5">
        <v>44593</v>
      </c>
      <c r="J272" s="6">
        <v>115</v>
      </c>
      <c r="K272" s="6">
        <v>115</v>
      </c>
      <c r="L272" s="6">
        <v>0</v>
      </c>
      <c r="M272" s="6">
        <v>0</v>
      </c>
      <c r="N272" s="6">
        <v>0</v>
      </c>
      <c r="O272" s="6">
        <v>0</v>
      </c>
      <c r="P272" s="6">
        <v>2</v>
      </c>
      <c r="Q272" s="4" t="s">
        <v>26</v>
      </c>
      <c r="R272" s="4">
        <v>0</v>
      </c>
      <c r="S272" s="6">
        <v>18</v>
      </c>
      <c r="T272" s="6">
        <v>0</v>
      </c>
      <c r="U272" s="6">
        <v>0</v>
      </c>
      <c r="V272" s="6">
        <f>IF(ISERROR(VLOOKUP($S$272,'TAR FIN'!$A$1:$O$92,15,0)),0,VLOOKUP($S$272,'TAR FIN'!$A$1:$O$92,15,0))</f>
        <v>18.489999999999998</v>
      </c>
      <c r="W272" s="6">
        <f>IF(ISERROR(VLOOKUP($T$272,'TAR FIN'!$A$1:$O$92,15,0)),0,VLOOKUP($T$272,'TAR FIN'!$A$1:$O$92,15,0))</f>
        <v>0</v>
      </c>
      <c r="X272" s="6">
        <f>IF(ISERROR(VLOOKUP($U$272,'TAR FIN'!$A$1:$O$92,15,0)),0,VLOOKUP($U$272,'TAR FIN'!$A$1:$O$92,15,0))</f>
        <v>0</v>
      </c>
      <c r="Y272" s="6">
        <f ca="1">('TUSD BE'!$AM$14+'TUSD BF_350'!$AM$14+'TUSD CVA'!$AM$14)*1</f>
        <v>15.64</v>
      </c>
      <c r="Z272" s="6"/>
      <c r="AA272" s="6"/>
      <c r="AB272" s="6">
        <f>$K$272*$V$272</f>
        <v>2126.35</v>
      </c>
      <c r="AC272" s="6">
        <f>$M$272*$W$272</f>
        <v>0</v>
      </c>
      <c r="AD272" s="6">
        <f>$O$272*$X$272</f>
        <v>0</v>
      </c>
      <c r="AE272" s="6">
        <f ca="1">$K$272*$Y$272</f>
        <v>1798.6000000000001</v>
      </c>
      <c r="AF272" s="6">
        <f>$M$272*$Z$272</f>
        <v>0</v>
      </c>
      <c r="AG272" s="6">
        <f>$O$272*$AA$272</f>
        <v>0</v>
      </c>
    </row>
    <row r="273" spans="1:33" ht="11.25" customHeight="1" x14ac:dyDescent="0.3">
      <c r="A273" s="4" t="s">
        <v>21</v>
      </c>
      <c r="B273" s="4" t="s">
        <v>34</v>
      </c>
      <c r="C273" s="4" t="s">
        <v>35</v>
      </c>
      <c r="D273" s="4" t="s">
        <v>43</v>
      </c>
      <c r="E273" s="4" t="s">
        <v>25</v>
      </c>
      <c r="F273" s="4" t="s">
        <v>25</v>
      </c>
      <c r="G273" s="4" t="s">
        <v>25</v>
      </c>
      <c r="H273" s="4" t="s">
        <v>25</v>
      </c>
      <c r="I273" s="5">
        <v>44621</v>
      </c>
      <c r="J273" s="6">
        <v>115</v>
      </c>
      <c r="K273" s="6">
        <v>115</v>
      </c>
      <c r="L273" s="6">
        <v>0</v>
      </c>
      <c r="M273" s="6">
        <v>0</v>
      </c>
      <c r="N273" s="6">
        <v>0</v>
      </c>
      <c r="O273" s="6">
        <v>0</v>
      </c>
      <c r="P273" s="6">
        <v>2</v>
      </c>
      <c r="Q273" s="4" t="s">
        <v>26</v>
      </c>
      <c r="R273" s="4">
        <v>0</v>
      </c>
      <c r="S273" s="6">
        <v>18</v>
      </c>
      <c r="T273" s="6">
        <v>0</v>
      </c>
      <c r="U273" s="6">
        <v>0</v>
      </c>
      <c r="V273" s="6">
        <f>IF(ISERROR(VLOOKUP($S$273,'TAR FIN'!$A$1:$O$92,15,0)),0,VLOOKUP($S$273,'TAR FIN'!$A$1:$O$92,15,0))</f>
        <v>18.489999999999998</v>
      </c>
      <c r="W273" s="6">
        <f>IF(ISERROR(VLOOKUP($T$273,'TAR FIN'!$A$1:$O$92,15,0)),0,VLOOKUP($T$273,'TAR FIN'!$A$1:$O$92,15,0))</f>
        <v>0</v>
      </c>
      <c r="X273" s="6">
        <f>IF(ISERROR(VLOOKUP($U$273,'TAR FIN'!$A$1:$O$92,15,0)),0,VLOOKUP($U$273,'TAR FIN'!$A$1:$O$92,15,0))</f>
        <v>0</v>
      </c>
      <c r="Y273" s="6">
        <f ca="1">('TUSD BE'!$AM$14+'TUSD BF_350'!$AM$14+'TUSD CVA'!$AM$14)*1</f>
        <v>15.64</v>
      </c>
      <c r="Z273" s="6"/>
      <c r="AA273" s="6"/>
      <c r="AB273" s="6">
        <f>$K$273*$V$273</f>
        <v>2126.35</v>
      </c>
      <c r="AC273" s="6">
        <f>$M$273*$W$273</f>
        <v>0</v>
      </c>
      <c r="AD273" s="6">
        <f>$O$273*$X$273</f>
        <v>0</v>
      </c>
      <c r="AE273" s="6">
        <f ca="1">$K$273*$Y$273</f>
        <v>1798.6000000000001</v>
      </c>
      <c r="AF273" s="6">
        <f>$M$273*$Z$273</f>
        <v>0</v>
      </c>
      <c r="AG273" s="6">
        <f>$O$273*$AA$273</f>
        <v>0</v>
      </c>
    </row>
    <row r="274" spans="1:33" ht="11.25" customHeight="1" x14ac:dyDescent="0.3">
      <c r="A274" s="4" t="s">
        <v>21</v>
      </c>
      <c r="B274" s="4" t="s">
        <v>34</v>
      </c>
      <c r="C274" s="4" t="s">
        <v>35</v>
      </c>
      <c r="D274" s="4" t="s">
        <v>43</v>
      </c>
      <c r="E274" s="4" t="s">
        <v>25</v>
      </c>
      <c r="F274" s="4" t="s">
        <v>25</v>
      </c>
      <c r="G274" s="4" t="s">
        <v>25</v>
      </c>
      <c r="H274" s="4" t="s">
        <v>25</v>
      </c>
      <c r="I274" s="5">
        <v>44652</v>
      </c>
      <c r="J274" s="6">
        <v>115</v>
      </c>
      <c r="K274" s="6">
        <v>115</v>
      </c>
      <c r="L274" s="6">
        <v>0</v>
      </c>
      <c r="M274" s="6">
        <v>0</v>
      </c>
      <c r="N274" s="6">
        <v>0</v>
      </c>
      <c r="O274" s="6">
        <v>0</v>
      </c>
      <c r="P274" s="6">
        <v>2</v>
      </c>
      <c r="Q274" s="4" t="s">
        <v>26</v>
      </c>
      <c r="R274" s="4">
        <v>0</v>
      </c>
      <c r="S274" s="6">
        <v>18</v>
      </c>
      <c r="T274" s="6">
        <v>0</v>
      </c>
      <c r="U274" s="6">
        <v>0</v>
      </c>
      <c r="V274" s="6">
        <f>IF(ISERROR(VLOOKUP($S$274,'TAR FIN'!$A$1:$O$92,15,0)),0,VLOOKUP($S$274,'TAR FIN'!$A$1:$O$92,15,0))</f>
        <v>18.489999999999998</v>
      </c>
      <c r="W274" s="6">
        <f>IF(ISERROR(VLOOKUP($T$274,'TAR FIN'!$A$1:$O$92,15,0)),0,VLOOKUP($T$274,'TAR FIN'!$A$1:$O$92,15,0))</f>
        <v>0</v>
      </c>
      <c r="X274" s="6">
        <f>IF(ISERROR(VLOOKUP($U$274,'TAR FIN'!$A$1:$O$92,15,0)),0,VLOOKUP($U$274,'TAR FIN'!$A$1:$O$92,15,0))</f>
        <v>0</v>
      </c>
      <c r="Y274" s="6">
        <f ca="1">('TUSD BE'!$AM$14+'TUSD BF_350'!$AM$14+'TUSD CVA'!$AM$14)*1</f>
        <v>15.64</v>
      </c>
      <c r="Z274" s="6"/>
      <c r="AA274" s="6"/>
      <c r="AB274" s="6">
        <f>$K$274*$V$274</f>
        <v>2126.35</v>
      </c>
      <c r="AC274" s="6">
        <f>$M$274*$W$274</f>
        <v>0</v>
      </c>
      <c r="AD274" s="6">
        <f>$O$274*$X$274</f>
        <v>0</v>
      </c>
      <c r="AE274" s="6">
        <f ca="1">$K$274*$Y$274</f>
        <v>1798.6000000000001</v>
      </c>
      <c r="AF274" s="6">
        <f>$M$274*$Z$274</f>
        <v>0</v>
      </c>
      <c r="AG274" s="6">
        <f>$O$274*$AA$274</f>
        <v>0</v>
      </c>
    </row>
    <row r="275" spans="1:33" ht="11.25" customHeight="1" x14ac:dyDescent="0.3">
      <c r="A275" s="4" t="s">
        <v>21</v>
      </c>
      <c r="B275" s="4" t="s">
        <v>34</v>
      </c>
      <c r="C275" s="4" t="s">
        <v>35</v>
      </c>
      <c r="D275" s="4" t="s">
        <v>43</v>
      </c>
      <c r="E275" s="4" t="s">
        <v>25</v>
      </c>
      <c r="F275" s="4" t="s">
        <v>25</v>
      </c>
      <c r="G275" s="4" t="s">
        <v>25</v>
      </c>
      <c r="H275" s="4" t="s">
        <v>25</v>
      </c>
      <c r="I275" s="5">
        <v>44682</v>
      </c>
      <c r="J275" s="6">
        <v>115</v>
      </c>
      <c r="K275" s="6">
        <v>115</v>
      </c>
      <c r="L275" s="6">
        <v>0</v>
      </c>
      <c r="M275" s="6">
        <v>0</v>
      </c>
      <c r="N275" s="6">
        <v>0</v>
      </c>
      <c r="O275" s="6">
        <v>0</v>
      </c>
      <c r="P275" s="6">
        <v>2</v>
      </c>
      <c r="Q275" s="4" t="s">
        <v>26</v>
      </c>
      <c r="R275" s="4">
        <v>0</v>
      </c>
      <c r="S275" s="6">
        <v>18</v>
      </c>
      <c r="T275" s="6">
        <v>0</v>
      </c>
      <c r="U275" s="6">
        <v>0</v>
      </c>
      <c r="V275" s="6">
        <f>IF(ISERROR(VLOOKUP($S$275,'TAR FIN'!$A$1:$O$92,15,0)),0,VLOOKUP($S$275,'TAR FIN'!$A$1:$O$92,15,0))</f>
        <v>18.489999999999998</v>
      </c>
      <c r="W275" s="6">
        <f>IF(ISERROR(VLOOKUP($T$275,'TAR FIN'!$A$1:$O$92,15,0)),0,VLOOKUP($T$275,'TAR FIN'!$A$1:$O$92,15,0))</f>
        <v>0</v>
      </c>
      <c r="X275" s="6">
        <f>IF(ISERROR(VLOOKUP($U$275,'TAR FIN'!$A$1:$O$92,15,0)),0,VLOOKUP($U$275,'TAR FIN'!$A$1:$O$92,15,0))</f>
        <v>0</v>
      </c>
      <c r="Y275" s="6">
        <f ca="1">('TUSD BE'!$AM$14+'TUSD BF_350'!$AM$14+'TUSD CVA'!$AM$14)*1</f>
        <v>15.64</v>
      </c>
      <c r="Z275" s="6"/>
      <c r="AA275" s="6"/>
      <c r="AB275" s="6">
        <f>$K$275*$V$275</f>
        <v>2126.35</v>
      </c>
      <c r="AC275" s="6">
        <f>$M$275*$W$275</f>
        <v>0</v>
      </c>
      <c r="AD275" s="6">
        <f>$O$275*$X$275</f>
        <v>0</v>
      </c>
      <c r="AE275" s="6">
        <f ca="1">$K$275*$Y$275</f>
        <v>1798.6000000000001</v>
      </c>
      <c r="AF275" s="6">
        <f>$M$275*$Z$275</f>
        <v>0</v>
      </c>
      <c r="AG275" s="6">
        <f>$O$275*$AA$275</f>
        <v>0</v>
      </c>
    </row>
    <row r="276" spans="1:33" ht="11.25" customHeight="1" x14ac:dyDescent="0.3">
      <c r="A276" s="4" t="s">
        <v>21</v>
      </c>
      <c r="B276" s="4" t="s">
        <v>34</v>
      </c>
      <c r="C276" s="4" t="s">
        <v>35</v>
      </c>
      <c r="D276" s="4" t="s">
        <v>43</v>
      </c>
      <c r="E276" s="4" t="s">
        <v>25</v>
      </c>
      <c r="F276" s="4" t="s">
        <v>25</v>
      </c>
      <c r="G276" s="4" t="s">
        <v>25</v>
      </c>
      <c r="H276" s="4" t="s">
        <v>25</v>
      </c>
      <c r="I276" s="5">
        <v>44713</v>
      </c>
      <c r="J276" s="6">
        <v>115</v>
      </c>
      <c r="K276" s="6">
        <v>115</v>
      </c>
      <c r="L276" s="6">
        <v>0</v>
      </c>
      <c r="M276" s="6">
        <v>0</v>
      </c>
      <c r="N276" s="6">
        <v>0</v>
      </c>
      <c r="O276" s="6">
        <v>0</v>
      </c>
      <c r="P276" s="6">
        <v>2</v>
      </c>
      <c r="Q276" s="4" t="s">
        <v>26</v>
      </c>
      <c r="R276" s="4">
        <v>0</v>
      </c>
      <c r="S276" s="6">
        <v>18</v>
      </c>
      <c r="T276" s="6">
        <v>0</v>
      </c>
      <c r="U276" s="6">
        <v>0</v>
      </c>
      <c r="V276" s="6">
        <f>IF(ISERROR(VLOOKUP($S$276,'TAR FIN'!$A$1:$O$92,15,0)),0,VLOOKUP($S$276,'TAR FIN'!$A$1:$O$92,15,0))</f>
        <v>18.489999999999998</v>
      </c>
      <c r="W276" s="6">
        <f>IF(ISERROR(VLOOKUP($T$276,'TAR FIN'!$A$1:$O$92,15,0)),0,VLOOKUP($T$276,'TAR FIN'!$A$1:$O$92,15,0))</f>
        <v>0</v>
      </c>
      <c r="X276" s="6">
        <f>IF(ISERROR(VLOOKUP($U$276,'TAR FIN'!$A$1:$O$92,15,0)),0,VLOOKUP($U$276,'TAR FIN'!$A$1:$O$92,15,0))</f>
        <v>0</v>
      </c>
      <c r="Y276" s="6">
        <f ca="1">('TUSD BE'!$AM$14+'TUSD BF_350'!$AM$14+'TUSD CVA'!$AM$14)*1</f>
        <v>15.64</v>
      </c>
      <c r="Z276" s="6"/>
      <c r="AA276" s="6"/>
      <c r="AB276" s="6">
        <f>$K$276*$V$276</f>
        <v>2126.35</v>
      </c>
      <c r="AC276" s="6">
        <f>$M$276*$W$276</f>
        <v>0</v>
      </c>
      <c r="AD276" s="6">
        <f>$O$276*$X$276</f>
        <v>0</v>
      </c>
      <c r="AE276" s="6">
        <f ca="1">$K$276*$Y$276</f>
        <v>1798.6000000000001</v>
      </c>
      <c r="AF276" s="6">
        <f>$M$276*$Z$276</f>
        <v>0</v>
      </c>
      <c r="AG276" s="6">
        <f>$O$276*$AA$276</f>
        <v>0</v>
      </c>
    </row>
    <row r="277" spans="1:33" ht="11.25" customHeight="1" x14ac:dyDescent="0.3">
      <c r="A277" s="4" t="s">
        <v>21</v>
      </c>
      <c r="B277" s="4" t="s">
        <v>34</v>
      </c>
      <c r="C277" s="4" t="s">
        <v>35</v>
      </c>
      <c r="D277" s="4" t="s">
        <v>43</v>
      </c>
      <c r="E277" s="4" t="s">
        <v>25</v>
      </c>
      <c r="F277" s="4" t="s">
        <v>25</v>
      </c>
      <c r="G277" s="4" t="s">
        <v>25</v>
      </c>
      <c r="H277" s="4" t="s">
        <v>25</v>
      </c>
      <c r="I277" s="5">
        <v>44743</v>
      </c>
      <c r="J277" s="6">
        <v>115</v>
      </c>
      <c r="K277" s="6">
        <v>115</v>
      </c>
      <c r="L277" s="6">
        <v>0</v>
      </c>
      <c r="M277" s="6">
        <v>0</v>
      </c>
      <c r="N277" s="6">
        <v>0</v>
      </c>
      <c r="O277" s="6">
        <v>0</v>
      </c>
      <c r="P277" s="6">
        <v>2</v>
      </c>
      <c r="Q277" s="4" t="s">
        <v>26</v>
      </c>
      <c r="R277" s="4">
        <v>0</v>
      </c>
      <c r="S277" s="6">
        <v>18</v>
      </c>
      <c r="T277" s="6">
        <v>0</v>
      </c>
      <c r="U277" s="6">
        <v>0</v>
      </c>
      <c r="V277" s="6">
        <f>IF(ISERROR(VLOOKUP($S$277,'TAR FIN'!$A$1:$O$92,15,0)),0,VLOOKUP($S$277,'TAR FIN'!$A$1:$O$92,15,0))</f>
        <v>18.489999999999998</v>
      </c>
      <c r="W277" s="6">
        <f>IF(ISERROR(VLOOKUP($T$277,'TAR FIN'!$A$1:$O$92,15,0)),0,VLOOKUP($T$277,'TAR FIN'!$A$1:$O$92,15,0))</f>
        <v>0</v>
      </c>
      <c r="X277" s="6">
        <f>IF(ISERROR(VLOOKUP($U$277,'TAR FIN'!$A$1:$O$92,15,0)),0,VLOOKUP($U$277,'TAR FIN'!$A$1:$O$92,15,0))</f>
        <v>0</v>
      </c>
      <c r="Y277" s="6">
        <f ca="1">('TUSD BE'!$AM$14+'TUSD BF_350'!$AM$14+'TUSD CVA'!$AM$14)*1</f>
        <v>15.64</v>
      </c>
      <c r="Z277" s="6"/>
      <c r="AA277" s="6"/>
      <c r="AB277" s="6">
        <f>$K$277*$V$277</f>
        <v>2126.35</v>
      </c>
      <c r="AC277" s="6">
        <f>$M$277*$W$277</f>
        <v>0</v>
      </c>
      <c r="AD277" s="6">
        <f>$O$277*$X$277</f>
        <v>0</v>
      </c>
      <c r="AE277" s="6">
        <f ca="1">$K$277*$Y$277</f>
        <v>1798.6000000000001</v>
      </c>
      <c r="AF277" s="6">
        <f>$M$277*$Z$277</f>
        <v>0</v>
      </c>
      <c r="AG277" s="6">
        <f>$O$277*$AA$277</f>
        <v>0</v>
      </c>
    </row>
    <row r="278" spans="1:33" ht="11.25" customHeight="1" x14ac:dyDescent="0.3">
      <c r="A278" s="4" t="s">
        <v>21</v>
      </c>
      <c r="B278" s="4" t="s">
        <v>34</v>
      </c>
      <c r="C278" s="4" t="s">
        <v>35</v>
      </c>
      <c r="D278" s="4" t="s">
        <v>43</v>
      </c>
      <c r="E278" s="4" t="s">
        <v>25</v>
      </c>
      <c r="F278" s="4" t="s">
        <v>25</v>
      </c>
      <c r="G278" s="4" t="s">
        <v>25</v>
      </c>
      <c r="H278" s="4" t="s">
        <v>36</v>
      </c>
      <c r="I278" s="5">
        <v>44409</v>
      </c>
      <c r="J278" s="6">
        <v>0</v>
      </c>
      <c r="K278" s="6">
        <v>0</v>
      </c>
      <c r="L278" s="6">
        <v>0.81699999999999995</v>
      </c>
      <c r="M278" s="6">
        <v>0.81699999999999995</v>
      </c>
      <c r="N278" s="6">
        <v>0.81699999999999995</v>
      </c>
      <c r="O278" s="6">
        <v>0.81699999999999995</v>
      </c>
      <c r="P278" s="6">
        <v>0</v>
      </c>
      <c r="Q278" s="4" t="s">
        <v>26</v>
      </c>
      <c r="R278" s="4">
        <v>0</v>
      </c>
      <c r="S278" s="6">
        <v>0</v>
      </c>
      <c r="T278" s="6">
        <v>21</v>
      </c>
      <c r="U278" s="6">
        <v>83</v>
      </c>
      <c r="V278" s="6">
        <f>IF(ISERROR(VLOOKUP($S$278,'TAR FIN'!$A$1:$O$92,15,0)),0,VLOOKUP($S$278,'TAR FIN'!$A$1:$O$92,15,0))</f>
        <v>0</v>
      </c>
      <c r="W278" s="6">
        <f>IF(ISERROR(VLOOKUP($T$278,'TAR FIN'!$A$1:$O$92,15,0)),0,VLOOKUP($T$278,'TAR FIN'!$A$1:$O$92,15,0))</f>
        <v>789.62</v>
      </c>
      <c r="X278" s="6">
        <f>IF(ISERROR(VLOOKUP($U$278,'TAR FIN'!$A$1:$O$92,15,0)),0,VLOOKUP($U$278,'TAR FIN'!$A$1:$O$92,15,0))</f>
        <v>488.15</v>
      </c>
      <c r="Y278" s="6"/>
      <c r="Z278" s="6">
        <f ca="1">('TUSD BE'!$AM$15+'TUSD BF_350'!$AM$15+'TUSD CVA'!$AM$15)*1</f>
        <v>911.84</v>
      </c>
      <c r="AA278" s="6">
        <f ca="1">('TE BE'!$AB$7+'TE BF_350'!$AB$7+'TE CVA'!$AB$7)*1</f>
        <v>399.84</v>
      </c>
      <c r="AB278" s="6">
        <f>$K$278*$V$278</f>
        <v>0</v>
      </c>
      <c r="AC278" s="6">
        <f>$M$278*$W$278</f>
        <v>645.11953999999992</v>
      </c>
      <c r="AD278" s="6">
        <f>$O$278*$X$278</f>
        <v>398.81854999999996</v>
      </c>
      <c r="AE278" s="6">
        <f>$K$278*$Y$278</f>
        <v>0</v>
      </c>
      <c r="AF278" s="6">
        <f ca="1">$M$278*$Z$278</f>
        <v>744.97327999999993</v>
      </c>
      <c r="AG278" s="6">
        <f ca="1">$O$278*$AA$278</f>
        <v>326.66927999999996</v>
      </c>
    </row>
    <row r="279" spans="1:33" ht="11.25" customHeight="1" x14ac:dyDescent="0.3">
      <c r="A279" s="4" t="s">
        <v>21</v>
      </c>
      <c r="B279" s="4" t="s">
        <v>34</v>
      </c>
      <c r="C279" s="4" t="s">
        <v>35</v>
      </c>
      <c r="D279" s="4" t="s">
        <v>43</v>
      </c>
      <c r="E279" s="4" t="s">
        <v>25</v>
      </c>
      <c r="F279" s="4" t="s">
        <v>25</v>
      </c>
      <c r="G279" s="4" t="s">
        <v>25</v>
      </c>
      <c r="H279" s="4" t="s">
        <v>36</v>
      </c>
      <c r="I279" s="5">
        <v>44440</v>
      </c>
      <c r="J279" s="6">
        <v>0</v>
      </c>
      <c r="K279" s="6">
        <v>0</v>
      </c>
      <c r="L279" s="6">
        <v>0.82306000000000001</v>
      </c>
      <c r="M279" s="6">
        <v>0.82306000000000001</v>
      </c>
      <c r="N279" s="6">
        <v>0.82306000000000001</v>
      </c>
      <c r="O279" s="6">
        <v>0.82306000000000001</v>
      </c>
      <c r="P279" s="6">
        <v>0</v>
      </c>
      <c r="Q279" s="4" t="s">
        <v>26</v>
      </c>
      <c r="R279" s="4">
        <v>0</v>
      </c>
      <c r="S279" s="6">
        <v>0</v>
      </c>
      <c r="T279" s="6">
        <v>21</v>
      </c>
      <c r="U279" s="6">
        <v>83</v>
      </c>
      <c r="V279" s="6">
        <f>IF(ISERROR(VLOOKUP($S$279,'TAR FIN'!$A$1:$O$92,15,0)),0,VLOOKUP($S$279,'TAR FIN'!$A$1:$O$92,15,0))</f>
        <v>0</v>
      </c>
      <c r="W279" s="6">
        <f>IF(ISERROR(VLOOKUP($T$279,'TAR FIN'!$A$1:$O$92,15,0)),0,VLOOKUP($T$279,'TAR FIN'!$A$1:$O$92,15,0))</f>
        <v>789.62</v>
      </c>
      <c r="X279" s="6">
        <f>IF(ISERROR(VLOOKUP($U$279,'TAR FIN'!$A$1:$O$92,15,0)),0,VLOOKUP($U$279,'TAR FIN'!$A$1:$O$92,15,0))</f>
        <v>488.15</v>
      </c>
      <c r="Y279" s="6"/>
      <c r="Z279" s="6">
        <f ca="1">('TUSD BE'!$AM$15+'TUSD BF_350'!$AM$15+'TUSD CVA'!$AM$15)*1</f>
        <v>911.84</v>
      </c>
      <c r="AA279" s="6">
        <f ca="1">('TE BE'!$AB$7+'TE BF_350'!$AB$7+'TE CVA'!$AB$7)*1</f>
        <v>399.84</v>
      </c>
      <c r="AB279" s="6">
        <f>$K$279*$V$279</f>
        <v>0</v>
      </c>
      <c r="AC279" s="6">
        <f>$M$279*$W$279</f>
        <v>649.90463720000002</v>
      </c>
      <c r="AD279" s="6">
        <f>$O$279*$X$279</f>
        <v>401.77673899999996</v>
      </c>
      <c r="AE279" s="6">
        <f>$K$279*$Y$279</f>
        <v>0</v>
      </c>
      <c r="AF279" s="6">
        <f ca="1">$M$279*$Z$279</f>
        <v>750.49903040000004</v>
      </c>
      <c r="AG279" s="6">
        <f ca="1">$O$279*$AA$279</f>
        <v>329.09231039999997</v>
      </c>
    </row>
    <row r="280" spans="1:33" ht="11.25" customHeight="1" x14ac:dyDescent="0.3">
      <c r="A280" s="4" t="s">
        <v>21</v>
      </c>
      <c r="B280" s="4" t="s">
        <v>34</v>
      </c>
      <c r="C280" s="4" t="s">
        <v>35</v>
      </c>
      <c r="D280" s="4" t="s">
        <v>43</v>
      </c>
      <c r="E280" s="4" t="s">
        <v>25</v>
      </c>
      <c r="F280" s="4" t="s">
        <v>25</v>
      </c>
      <c r="G280" s="4" t="s">
        <v>25</v>
      </c>
      <c r="H280" s="4" t="s">
        <v>36</v>
      </c>
      <c r="I280" s="5">
        <v>44470</v>
      </c>
      <c r="J280" s="6">
        <v>0</v>
      </c>
      <c r="K280" s="6">
        <v>0</v>
      </c>
      <c r="L280" s="6">
        <v>0.76600000000000001</v>
      </c>
      <c r="M280" s="6">
        <v>0.76600000000000001</v>
      </c>
      <c r="N280" s="6">
        <v>0.76600000000000001</v>
      </c>
      <c r="O280" s="6">
        <v>0.76600000000000001</v>
      </c>
      <c r="P280" s="6">
        <v>0</v>
      </c>
      <c r="Q280" s="4" t="s">
        <v>26</v>
      </c>
      <c r="R280" s="4">
        <v>0</v>
      </c>
      <c r="S280" s="6">
        <v>0</v>
      </c>
      <c r="T280" s="6">
        <v>21</v>
      </c>
      <c r="U280" s="6">
        <v>83</v>
      </c>
      <c r="V280" s="6">
        <f>IF(ISERROR(VLOOKUP($S$280,'TAR FIN'!$A$1:$O$92,15,0)),0,VLOOKUP($S$280,'TAR FIN'!$A$1:$O$92,15,0))</f>
        <v>0</v>
      </c>
      <c r="W280" s="6">
        <f>IF(ISERROR(VLOOKUP($T$280,'TAR FIN'!$A$1:$O$92,15,0)),0,VLOOKUP($T$280,'TAR FIN'!$A$1:$O$92,15,0))</f>
        <v>789.62</v>
      </c>
      <c r="X280" s="6">
        <f>IF(ISERROR(VLOOKUP($U$280,'TAR FIN'!$A$1:$O$92,15,0)),0,VLOOKUP($U$280,'TAR FIN'!$A$1:$O$92,15,0))</f>
        <v>488.15</v>
      </c>
      <c r="Y280" s="6"/>
      <c r="Z280" s="6">
        <f ca="1">('TUSD BE'!$AM$15+'TUSD BF_350'!$AM$15+'TUSD CVA'!$AM$15)*1</f>
        <v>911.84</v>
      </c>
      <c r="AA280" s="6">
        <f ca="1">('TE BE'!$AB$7+'TE BF_350'!$AB$7+'TE CVA'!$AB$7)*1</f>
        <v>399.84</v>
      </c>
      <c r="AB280" s="6">
        <f>$K$280*$V$280</f>
        <v>0</v>
      </c>
      <c r="AC280" s="6">
        <f>$M$280*$W$280</f>
        <v>604.84892000000002</v>
      </c>
      <c r="AD280" s="6">
        <f>$O$280*$X$280</f>
        <v>373.92289999999997</v>
      </c>
      <c r="AE280" s="6">
        <f>$K$280*$Y$280</f>
        <v>0</v>
      </c>
      <c r="AF280" s="6">
        <f ca="1">$M$280*$Z$280</f>
        <v>698.46944000000008</v>
      </c>
      <c r="AG280" s="6">
        <f ca="1">$O$280*$AA$280</f>
        <v>306.27744000000001</v>
      </c>
    </row>
    <row r="281" spans="1:33" ht="11.25" customHeight="1" x14ac:dyDescent="0.3">
      <c r="A281" s="4" t="s">
        <v>21</v>
      </c>
      <c r="B281" s="4" t="s">
        <v>34</v>
      </c>
      <c r="C281" s="4" t="s">
        <v>35</v>
      </c>
      <c r="D281" s="4" t="s">
        <v>43</v>
      </c>
      <c r="E281" s="4" t="s">
        <v>25</v>
      </c>
      <c r="F281" s="4" t="s">
        <v>25</v>
      </c>
      <c r="G281" s="4" t="s">
        <v>25</v>
      </c>
      <c r="H281" s="4" t="s">
        <v>36</v>
      </c>
      <c r="I281" s="5">
        <v>44501</v>
      </c>
      <c r="J281" s="6">
        <v>0</v>
      </c>
      <c r="K281" s="6">
        <v>0</v>
      </c>
      <c r="L281" s="6">
        <v>0.80735000000000001</v>
      </c>
      <c r="M281" s="6">
        <v>0.80735000000000001</v>
      </c>
      <c r="N281" s="6">
        <v>0.80735000000000001</v>
      </c>
      <c r="O281" s="6">
        <v>0.80735000000000001</v>
      </c>
      <c r="P281" s="6">
        <v>0</v>
      </c>
      <c r="Q281" s="4" t="s">
        <v>26</v>
      </c>
      <c r="R281" s="4">
        <v>0</v>
      </c>
      <c r="S281" s="6">
        <v>0</v>
      </c>
      <c r="T281" s="6">
        <v>21</v>
      </c>
      <c r="U281" s="6">
        <v>83</v>
      </c>
      <c r="V281" s="6">
        <f>IF(ISERROR(VLOOKUP($S$281,'TAR FIN'!$A$1:$O$92,15,0)),0,VLOOKUP($S$281,'TAR FIN'!$A$1:$O$92,15,0))</f>
        <v>0</v>
      </c>
      <c r="W281" s="6">
        <f>IF(ISERROR(VLOOKUP($T$281,'TAR FIN'!$A$1:$O$92,15,0)),0,VLOOKUP($T$281,'TAR FIN'!$A$1:$O$92,15,0))</f>
        <v>789.62</v>
      </c>
      <c r="X281" s="6">
        <f>IF(ISERROR(VLOOKUP($U$281,'TAR FIN'!$A$1:$O$92,15,0)),0,VLOOKUP($U$281,'TAR FIN'!$A$1:$O$92,15,0))</f>
        <v>488.15</v>
      </c>
      <c r="Y281" s="6"/>
      <c r="Z281" s="6">
        <f ca="1">('TUSD BE'!$AM$15+'TUSD BF_350'!$AM$15+'TUSD CVA'!$AM$15)*1</f>
        <v>911.84</v>
      </c>
      <c r="AA281" s="6">
        <f ca="1">('TE BE'!$AB$7+'TE BF_350'!$AB$7+'TE CVA'!$AB$7)*1</f>
        <v>399.84</v>
      </c>
      <c r="AB281" s="6">
        <f>$K$281*$V$281</f>
        <v>0</v>
      </c>
      <c r="AC281" s="6">
        <f>$M$281*$W$281</f>
        <v>637.49970700000006</v>
      </c>
      <c r="AD281" s="6">
        <f>$O$281*$X$281</f>
        <v>394.10790249999997</v>
      </c>
      <c r="AE281" s="6">
        <f>$K$281*$Y$281</f>
        <v>0</v>
      </c>
      <c r="AF281" s="6">
        <f ca="1">$M$281*$Z$281</f>
        <v>736.17402400000003</v>
      </c>
      <c r="AG281" s="6">
        <f ca="1">$O$281*$AA$281</f>
        <v>322.81082399999997</v>
      </c>
    </row>
    <row r="282" spans="1:33" ht="11.25" customHeight="1" x14ac:dyDescent="0.3">
      <c r="A282" s="4" t="s">
        <v>21</v>
      </c>
      <c r="B282" s="4" t="s">
        <v>34</v>
      </c>
      <c r="C282" s="4" t="s">
        <v>35</v>
      </c>
      <c r="D282" s="4" t="s">
        <v>43</v>
      </c>
      <c r="E282" s="4" t="s">
        <v>25</v>
      </c>
      <c r="F282" s="4" t="s">
        <v>25</v>
      </c>
      <c r="G282" s="4" t="s">
        <v>25</v>
      </c>
      <c r="H282" s="4" t="s">
        <v>36</v>
      </c>
      <c r="I282" s="5">
        <v>44531</v>
      </c>
      <c r="J282" s="6">
        <v>0</v>
      </c>
      <c r="K282" s="6">
        <v>0</v>
      </c>
      <c r="L282" s="6">
        <v>0.97685999999999995</v>
      </c>
      <c r="M282" s="6">
        <v>0.97685999999999995</v>
      </c>
      <c r="N282" s="6">
        <v>0.97685999999999995</v>
      </c>
      <c r="O282" s="6">
        <v>0.97685999999999995</v>
      </c>
      <c r="P282" s="6">
        <v>0</v>
      </c>
      <c r="Q282" s="4" t="s">
        <v>26</v>
      </c>
      <c r="R282" s="4">
        <v>0</v>
      </c>
      <c r="S282" s="6">
        <v>0</v>
      </c>
      <c r="T282" s="6">
        <v>21</v>
      </c>
      <c r="U282" s="6">
        <v>83</v>
      </c>
      <c r="V282" s="6">
        <f>IF(ISERROR(VLOOKUP($S$282,'TAR FIN'!$A$1:$O$92,15,0)),0,VLOOKUP($S$282,'TAR FIN'!$A$1:$O$92,15,0))</f>
        <v>0</v>
      </c>
      <c r="W282" s="6">
        <f>IF(ISERROR(VLOOKUP($T$282,'TAR FIN'!$A$1:$O$92,15,0)),0,VLOOKUP($T$282,'TAR FIN'!$A$1:$O$92,15,0))</f>
        <v>789.62</v>
      </c>
      <c r="X282" s="6">
        <f>IF(ISERROR(VLOOKUP($U$282,'TAR FIN'!$A$1:$O$92,15,0)),0,VLOOKUP($U$282,'TAR FIN'!$A$1:$O$92,15,0))</f>
        <v>488.15</v>
      </c>
      <c r="Y282" s="6"/>
      <c r="Z282" s="6">
        <f ca="1">('TUSD BE'!$AM$15+'TUSD BF_350'!$AM$15+'TUSD CVA'!$AM$15)*1</f>
        <v>911.84</v>
      </c>
      <c r="AA282" s="6">
        <f ca="1">('TE BE'!$AB$7+'TE BF_350'!$AB$7+'TE CVA'!$AB$7)*1</f>
        <v>399.84</v>
      </c>
      <c r="AB282" s="6">
        <f>$K$282*$V$282</f>
        <v>0</v>
      </c>
      <c r="AC282" s="6">
        <f>$M$282*$W$282</f>
        <v>771.34819319999997</v>
      </c>
      <c r="AD282" s="6">
        <f>$O$282*$X$282</f>
        <v>476.85420899999997</v>
      </c>
      <c r="AE282" s="6">
        <f>$K$282*$Y$282</f>
        <v>0</v>
      </c>
      <c r="AF282" s="6">
        <f ca="1">$M$282*$Z$282</f>
        <v>890.74002239999993</v>
      </c>
      <c r="AG282" s="6">
        <f ca="1">$O$282*$AA$282</f>
        <v>390.58770239999996</v>
      </c>
    </row>
    <row r="283" spans="1:33" ht="11.25" customHeight="1" x14ac:dyDescent="0.3">
      <c r="A283" s="4" t="s">
        <v>21</v>
      </c>
      <c r="B283" s="4" t="s">
        <v>34</v>
      </c>
      <c r="C283" s="4" t="s">
        <v>35</v>
      </c>
      <c r="D283" s="4" t="s">
        <v>43</v>
      </c>
      <c r="E283" s="4" t="s">
        <v>25</v>
      </c>
      <c r="F283" s="4" t="s">
        <v>25</v>
      </c>
      <c r="G283" s="4" t="s">
        <v>25</v>
      </c>
      <c r="H283" s="4" t="s">
        <v>36</v>
      </c>
      <c r="I283" s="5">
        <v>44562</v>
      </c>
      <c r="J283" s="6">
        <v>0</v>
      </c>
      <c r="K283" s="6">
        <v>0</v>
      </c>
      <c r="L283" s="6">
        <v>1.06816</v>
      </c>
      <c r="M283" s="6">
        <v>1.06816</v>
      </c>
      <c r="N283" s="6">
        <v>1.06816</v>
      </c>
      <c r="O283" s="6">
        <v>1.06816</v>
      </c>
      <c r="P283" s="6">
        <v>0</v>
      </c>
      <c r="Q283" s="4" t="s">
        <v>26</v>
      </c>
      <c r="R283" s="4">
        <v>0</v>
      </c>
      <c r="S283" s="6">
        <v>0</v>
      </c>
      <c r="T283" s="6">
        <v>21</v>
      </c>
      <c r="U283" s="6">
        <v>83</v>
      </c>
      <c r="V283" s="6">
        <f>IF(ISERROR(VLOOKUP($S$283,'TAR FIN'!$A$1:$O$92,15,0)),0,VLOOKUP($S$283,'TAR FIN'!$A$1:$O$92,15,0))</f>
        <v>0</v>
      </c>
      <c r="W283" s="6">
        <f>IF(ISERROR(VLOOKUP($T$283,'TAR FIN'!$A$1:$O$92,15,0)),0,VLOOKUP($T$283,'TAR FIN'!$A$1:$O$92,15,0))</f>
        <v>789.62</v>
      </c>
      <c r="X283" s="6">
        <f>IF(ISERROR(VLOOKUP($U$283,'TAR FIN'!$A$1:$O$92,15,0)),0,VLOOKUP($U$283,'TAR FIN'!$A$1:$O$92,15,0))</f>
        <v>488.15</v>
      </c>
      <c r="Y283" s="6"/>
      <c r="Z283" s="6">
        <f ca="1">('TUSD BE'!$AM$15+'TUSD BF_350'!$AM$15+'TUSD CVA'!$AM$15)*1</f>
        <v>911.84</v>
      </c>
      <c r="AA283" s="6">
        <f ca="1">('TE BE'!$AB$7+'TE BF_350'!$AB$7+'TE CVA'!$AB$7)*1</f>
        <v>399.84</v>
      </c>
      <c r="AB283" s="6">
        <f>$K$283*$V$283</f>
        <v>0</v>
      </c>
      <c r="AC283" s="6">
        <f>$M$283*$W$283</f>
        <v>843.44049919999998</v>
      </c>
      <c r="AD283" s="6">
        <f>$O$283*$X$283</f>
        <v>521.42230399999994</v>
      </c>
      <c r="AE283" s="6">
        <f>$K$283*$Y$283</f>
        <v>0</v>
      </c>
      <c r="AF283" s="6">
        <f ca="1">$M$283*$Z$283</f>
        <v>973.99101440000004</v>
      </c>
      <c r="AG283" s="6">
        <f ca="1">$O$283*$AA$283</f>
        <v>427.09309439999998</v>
      </c>
    </row>
    <row r="284" spans="1:33" ht="11.25" customHeight="1" x14ac:dyDescent="0.3">
      <c r="A284" s="4" t="s">
        <v>21</v>
      </c>
      <c r="B284" s="4" t="s">
        <v>34</v>
      </c>
      <c r="C284" s="4" t="s">
        <v>35</v>
      </c>
      <c r="D284" s="4" t="s">
        <v>43</v>
      </c>
      <c r="E284" s="4" t="s">
        <v>25</v>
      </c>
      <c r="F284" s="4" t="s">
        <v>25</v>
      </c>
      <c r="G284" s="4" t="s">
        <v>25</v>
      </c>
      <c r="H284" s="4" t="s">
        <v>36</v>
      </c>
      <c r="I284" s="5">
        <v>44593</v>
      </c>
      <c r="J284" s="6">
        <v>0</v>
      </c>
      <c r="K284" s="6">
        <v>0</v>
      </c>
      <c r="L284" s="6">
        <v>0.998</v>
      </c>
      <c r="M284" s="6">
        <v>0.998</v>
      </c>
      <c r="N284" s="6">
        <v>0.998</v>
      </c>
      <c r="O284" s="6">
        <v>0.998</v>
      </c>
      <c r="P284" s="6">
        <v>0</v>
      </c>
      <c r="Q284" s="4" t="s">
        <v>26</v>
      </c>
      <c r="R284" s="4">
        <v>0</v>
      </c>
      <c r="S284" s="6">
        <v>0</v>
      </c>
      <c r="T284" s="6">
        <v>21</v>
      </c>
      <c r="U284" s="6">
        <v>83</v>
      </c>
      <c r="V284" s="6">
        <f>IF(ISERROR(VLOOKUP($S$284,'TAR FIN'!$A$1:$O$92,15,0)),0,VLOOKUP($S$284,'TAR FIN'!$A$1:$O$92,15,0))</f>
        <v>0</v>
      </c>
      <c r="W284" s="6">
        <f>IF(ISERROR(VLOOKUP($T$284,'TAR FIN'!$A$1:$O$92,15,0)),0,VLOOKUP($T$284,'TAR FIN'!$A$1:$O$92,15,0))</f>
        <v>789.62</v>
      </c>
      <c r="X284" s="6">
        <f>IF(ISERROR(VLOOKUP($U$284,'TAR FIN'!$A$1:$O$92,15,0)),0,VLOOKUP($U$284,'TAR FIN'!$A$1:$O$92,15,0))</f>
        <v>488.15</v>
      </c>
      <c r="Y284" s="6"/>
      <c r="Z284" s="6">
        <f ca="1">('TUSD BE'!$AM$15+'TUSD BF_350'!$AM$15+'TUSD CVA'!$AM$15)*1</f>
        <v>911.84</v>
      </c>
      <c r="AA284" s="6">
        <f ca="1">('TE BE'!$AB$7+'TE BF_350'!$AB$7+'TE CVA'!$AB$7)*1</f>
        <v>399.84</v>
      </c>
      <c r="AB284" s="6">
        <f>$K$284*$V$284</f>
        <v>0</v>
      </c>
      <c r="AC284" s="6">
        <f>$M$284*$W$284</f>
        <v>788.04075999999998</v>
      </c>
      <c r="AD284" s="6">
        <f>$O$284*$X$284</f>
        <v>487.1737</v>
      </c>
      <c r="AE284" s="6">
        <f>$K$284*$Y$284</f>
        <v>0</v>
      </c>
      <c r="AF284" s="6">
        <f ca="1">$M$284*$Z$284</f>
        <v>910.01632000000006</v>
      </c>
      <c r="AG284" s="6">
        <f ca="1">$O$284*$AA$284</f>
        <v>399.04031999999995</v>
      </c>
    </row>
    <row r="285" spans="1:33" ht="11.25" customHeight="1" x14ac:dyDescent="0.3">
      <c r="A285" s="4" t="s">
        <v>21</v>
      </c>
      <c r="B285" s="4" t="s">
        <v>34</v>
      </c>
      <c r="C285" s="4" t="s">
        <v>35</v>
      </c>
      <c r="D285" s="4" t="s">
        <v>43</v>
      </c>
      <c r="E285" s="4" t="s">
        <v>25</v>
      </c>
      <c r="F285" s="4" t="s">
        <v>25</v>
      </c>
      <c r="G285" s="4" t="s">
        <v>25</v>
      </c>
      <c r="H285" s="4" t="s">
        <v>36</v>
      </c>
      <c r="I285" s="5">
        <v>44621</v>
      </c>
      <c r="J285" s="6">
        <v>0</v>
      </c>
      <c r="K285" s="6">
        <v>0</v>
      </c>
      <c r="L285" s="6">
        <v>1.04671</v>
      </c>
      <c r="M285" s="6">
        <v>1.04671</v>
      </c>
      <c r="N285" s="6">
        <v>1.04671</v>
      </c>
      <c r="O285" s="6">
        <v>1.04671</v>
      </c>
      <c r="P285" s="6">
        <v>0</v>
      </c>
      <c r="Q285" s="4" t="s">
        <v>26</v>
      </c>
      <c r="R285" s="4">
        <v>0</v>
      </c>
      <c r="S285" s="6">
        <v>0</v>
      </c>
      <c r="T285" s="6">
        <v>21</v>
      </c>
      <c r="U285" s="6">
        <v>83</v>
      </c>
      <c r="V285" s="6">
        <f>IF(ISERROR(VLOOKUP($S$285,'TAR FIN'!$A$1:$O$92,15,0)),0,VLOOKUP($S$285,'TAR FIN'!$A$1:$O$92,15,0))</f>
        <v>0</v>
      </c>
      <c r="W285" s="6">
        <f>IF(ISERROR(VLOOKUP($T$285,'TAR FIN'!$A$1:$O$92,15,0)),0,VLOOKUP($T$285,'TAR FIN'!$A$1:$O$92,15,0))</f>
        <v>789.62</v>
      </c>
      <c r="X285" s="6">
        <f>IF(ISERROR(VLOOKUP($U$285,'TAR FIN'!$A$1:$O$92,15,0)),0,VLOOKUP($U$285,'TAR FIN'!$A$1:$O$92,15,0))</f>
        <v>488.15</v>
      </c>
      <c r="Y285" s="6"/>
      <c r="Z285" s="6">
        <f ca="1">('TUSD BE'!$AM$15+'TUSD BF_350'!$AM$15+'TUSD CVA'!$AM$15)*1</f>
        <v>911.84</v>
      </c>
      <c r="AA285" s="6">
        <f ca="1">('TE BE'!$AB$7+'TE BF_350'!$AB$7+'TE CVA'!$AB$7)*1</f>
        <v>399.84</v>
      </c>
      <c r="AB285" s="6">
        <f>$K$285*$V$285</f>
        <v>0</v>
      </c>
      <c r="AC285" s="6">
        <f>$M$285*$W$285</f>
        <v>826.50315020000005</v>
      </c>
      <c r="AD285" s="6">
        <f>$O$285*$X$285</f>
        <v>510.95148649999999</v>
      </c>
      <c r="AE285" s="6">
        <f>$K$285*$Y$285</f>
        <v>0</v>
      </c>
      <c r="AF285" s="6">
        <f ca="1">$M$285*$Z$285</f>
        <v>954.4320464000001</v>
      </c>
      <c r="AG285" s="6">
        <f ca="1">$O$285*$AA$285</f>
        <v>418.51652639999998</v>
      </c>
    </row>
    <row r="286" spans="1:33" ht="11.25" customHeight="1" x14ac:dyDescent="0.3">
      <c r="A286" s="4" t="s">
        <v>21</v>
      </c>
      <c r="B286" s="4" t="s">
        <v>34</v>
      </c>
      <c r="C286" s="4" t="s">
        <v>35</v>
      </c>
      <c r="D286" s="4" t="s">
        <v>43</v>
      </c>
      <c r="E286" s="4" t="s">
        <v>25</v>
      </c>
      <c r="F286" s="4" t="s">
        <v>25</v>
      </c>
      <c r="G286" s="4" t="s">
        <v>25</v>
      </c>
      <c r="H286" s="4" t="s">
        <v>36</v>
      </c>
      <c r="I286" s="5">
        <v>44652</v>
      </c>
      <c r="J286" s="6">
        <v>0</v>
      </c>
      <c r="K286" s="6">
        <v>0</v>
      </c>
      <c r="L286" s="6">
        <v>0.77219000000000004</v>
      </c>
      <c r="M286" s="6">
        <v>0.77219000000000004</v>
      </c>
      <c r="N286" s="6">
        <v>0.77219000000000004</v>
      </c>
      <c r="O286" s="6">
        <v>0.77219000000000004</v>
      </c>
      <c r="P286" s="6">
        <v>0</v>
      </c>
      <c r="Q286" s="4" t="s">
        <v>26</v>
      </c>
      <c r="R286" s="4">
        <v>0</v>
      </c>
      <c r="S286" s="6">
        <v>0</v>
      </c>
      <c r="T286" s="6">
        <v>21</v>
      </c>
      <c r="U286" s="6">
        <v>83</v>
      </c>
      <c r="V286" s="6">
        <f>IF(ISERROR(VLOOKUP($S$286,'TAR FIN'!$A$1:$O$92,15,0)),0,VLOOKUP($S$286,'TAR FIN'!$A$1:$O$92,15,0))</f>
        <v>0</v>
      </c>
      <c r="W286" s="6">
        <f>IF(ISERROR(VLOOKUP($T$286,'TAR FIN'!$A$1:$O$92,15,0)),0,VLOOKUP($T$286,'TAR FIN'!$A$1:$O$92,15,0))</f>
        <v>789.62</v>
      </c>
      <c r="X286" s="6">
        <f>IF(ISERROR(VLOOKUP($U$286,'TAR FIN'!$A$1:$O$92,15,0)),0,VLOOKUP($U$286,'TAR FIN'!$A$1:$O$92,15,0))</f>
        <v>488.15</v>
      </c>
      <c r="Y286" s="6"/>
      <c r="Z286" s="6">
        <f ca="1">('TUSD BE'!$AM$15+'TUSD BF_350'!$AM$15+'TUSD CVA'!$AM$15)*1</f>
        <v>911.84</v>
      </c>
      <c r="AA286" s="6">
        <f ca="1">('TE BE'!$AB$7+'TE BF_350'!$AB$7+'TE CVA'!$AB$7)*1</f>
        <v>399.84</v>
      </c>
      <c r="AB286" s="6">
        <f>$K$286*$V$286</f>
        <v>0</v>
      </c>
      <c r="AC286" s="6">
        <f>$M$286*$W$286</f>
        <v>609.73666780000008</v>
      </c>
      <c r="AD286" s="6">
        <f>$O$286*$X$286</f>
        <v>376.9445485</v>
      </c>
      <c r="AE286" s="6">
        <f>$K$286*$Y$286</f>
        <v>0</v>
      </c>
      <c r="AF286" s="6">
        <f ca="1">$M$286*$Z$286</f>
        <v>704.11372960000006</v>
      </c>
      <c r="AG286" s="6">
        <f ca="1">$O$286*$AA$286</f>
        <v>308.75244959999998</v>
      </c>
    </row>
    <row r="287" spans="1:33" ht="11.25" customHeight="1" x14ac:dyDescent="0.3">
      <c r="A287" s="4" t="s">
        <v>21</v>
      </c>
      <c r="B287" s="4" t="s">
        <v>34</v>
      </c>
      <c r="C287" s="4" t="s">
        <v>35</v>
      </c>
      <c r="D287" s="4" t="s">
        <v>43</v>
      </c>
      <c r="E287" s="4" t="s">
        <v>25</v>
      </c>
      <c r="F287" s="4" t="s">
        <v>25</v>
      </c>
      <c r="G287" s="4" t="s">
        <v>25</v>
      </c>
      <c r="H287" s="4" t="s">
        <v>36</v>
      </c>
      <c r="I287" s="5">
        <v>44682</v>
      </c>
      <c r="J287" s="6">
        <v>0</v>
      </c>
      <c r="K287" s="6">
        <v>0</v>
      </c>
      <c r="L287" s="6">
        <v>0.79690000000000005</v>
      </c>
      <c r="M287" s="6">
        <v>0.79690000000000005</v>
      </c>
      <c r="N287" s="6">
        <v>0.79690000000000005</v>
      </c>
      <c r="O287" s="6">
        <v>0.79690000000000005</v>
      </c>
      <c r="P287" s="6">
        <v>0</v>
      </c>
      <c r="Q287" s="4" t="s">
        <v>26</v>
      </c>
      <c r="R287" s="4">
        <v>0</v>
      </c>
      <c r="S287" s="6">
        <v>0</v>
      </c>
      <c r="T287" s="6">
        <v>21</v>
      </c>
      <c r="U287" s="6">
        <v>83</v>
      </c>
      <c r="V287" s="6">
        <f>IF(ISERROR(VLOOKUP($S$287,'TAR FIN'!$A$1:$O$92,15,0)),0,VLOOKUP($S$287,'TAR FIN'!$A$1:$O$92,15,0))</f>
        <v>0</v>
      </c>
      <c r="W287" s="6">
        <f>IF(ISERROR(VLOOKUP($T$287,'TAR FIN'!$A$1:$O$92,15,0)),0,VLOOKUP($T$287,'TAR FIN'!$A$1:$O$92,15,0))</f>
        <v>789.62</v>
      </c>
      <c r="X287" s="6">
        <f>IF(ISERROR(VLOOKUP($U$287,'TAR FIN'!$A$1:$O$92,15,0)),0,VLOOKUP($U$287,'TAR FIN'!$A$1:$O$92,15,0))</f>
        <v>488.15</v>
      </c>
      <c r="Y287" s="6"/>
      <c r="Z287" s="6">
        <f ca="1">('TUSD BE'!$AM$15+'TUSD BF_350'!$AM$15+'TUSD CVA'!$AM$15)*1</f>
        <v>911.84</v>
      </c>
      <c r="AA287" s="6">
        <f ca="1">('TE BE'!$AB$7+'TE BF_350'!$AB$7+'TE CVA'!$AB$7)*1</f>
        <v>399.84</v>
      </c>
      <c r="AB287" s="6">
        <f>$K$287*$V$287</f>
        <v>0</v>
      </c>
      <c r="AC287" s="6">
        <f>$M$287*$W$287</f>
        <v>629.24817800000005</v>
      </c>
      <c r="AD287" s="6">
        <f>$O$287*$X$287</f>
        <v>389.00673499999999</v>
      </c>
      <c r="AE287" s="6">
        <f>$K$287*$Y$287</f>
        <v>0</v>
      </c>
      <c r="AF287" s="6">
        <f ca="1">$M$287*$Z$287</f>
        <v>726.64529600000003</v>
      </c>
      <c r="AG287" s="6">
        <f ca="1">$O$287*$AA$287</f>
        <v>318.632496</v>
      </c>
    </row>
    <row r="288" spans="1:33" ht="11.25" customHeight="1" x14ac:dyDescent="0.3">
      <c r="A288" s="4" t="s">
        <v>21</v>
      </c>
      <c r="B288" s="4" t="s">
        <v>34</v>
      </c>
      <c r="C288" s="4" t="s">
        <v>35</v>
      </c>
      <c r="D288" s="4" t="s">
        <v>43</v>
      </c>
      <c r="E288" s="4" t="s">
        <v>25</v>
      </c>
      <c r="F288" s="4" t="s">
        <v>25</v>
      </c>
      <c r="G288" s="4" t="s">
        <v>25</v>
      </c>
      <c r="H288" s="4" t="s">
        <v>36</v>
      </c>
      <c r="I288" s="5">
        <v>44713</v>
      </c>
      <c r="J288" s="6">
        <v>0</v>
      </c>
      <c r="K288" s="6">
        <v>0</v>
      </c>
      <c r="L288" s="6">
        <v>0.72843999999999998</v>
      </c>
      <c r="M288" s="6">
        <v>0.72843999999999998</v>
      </c>
      <c r="N288" s="6">
        <v>0.72843999999999998</v>
      </c>
      <c r="O288" s="6">
        <v>0.72843999999999998</v>
      </c>
      <c r="P288" s="6">
        <v>0</v>
      </c>
      <c r="Q288" s="4" t="s">
        <v>26</v>
      </c>
      <c r="R288" s="4">
        <v>0</v>
      </c>
      <c r="S288" s="6">
        <v>0</v>
      </c>
      <c r="T288" s="6">
        <v>21</v>
      </c>
      <c r="U288" s="6">
        <v>83</v>
      </c>
      <c r="V288" s="6">
        <f>IF(ISERROR(VLOOKUP($S$288,'TAR FIN'!$A$1:$O$92,15,0)),0,VLOOKUP($S$288,'TAR FIN'!$A$1:$O$92,15,0))</f>
        <v>0</v>
      </c>
      <c r="W288" s="6">
        <f>IF(ISERROR(VLOOKUP($T$288,'TAR FIN'!$A$1:$O$92,15,0)),0,VLOOKUP($T$288,'TAR FIN'!$A$1:$O$92,15,0))</f>
        <v>789.62</v>
      </c>
      <c r="X288" s="6">
        <f>IF(ISERROR(VLOOKUP($U$288,'TAR FIN'!$A$1:$O$92,15,0)),0,VLOOKUP($U$288,'TAR FIN'!$A$1:$O$92,15,0))</f>
        <v>488.15</v>
      </c>
      <c r="Y288" s="6"/>
      <c r="Z288" s="6">
        <f ca="1">('TUSD BE'!$AM$15+'TUSD BF_350'!$AM$15+'TUSD CVA'!$AM$15)*1</f>
        <v>911.84</v>
      </c>
      <c r="AA288" s="6">
        <f ca="1">('TE BE'!$AB$7+'TE BF_350'!$AB$7+'TE CVA'!$AB$7)*1</f>
        <v>399.84</v>
      </c>
      <c r="AB288" s="6">
        <f>$K$288*$V$288</f>
        <v>0</v>
      </c>
      <c r="AC288" s="6">
        <f>$M$288*$W$288</f>
        <v>575.19079279999994</v>
      </c>
      <c r="AD288" s="6">
        <f>$O$288*$X$288</f>
        <v>355.58798599999994</v>
      </c>
      <c r="AE288" s="6">
        <f>$K$288*$Y$288</f>
        <v>0</v>
      </c>
      <c r="AF288" s="6">
        <f ca="1">$M$288*$Z$288</f>
        <v>664.22072960000003</v>
      </c>
      <c r="AG288" s="6">
        <f ca="1">$O$288*$AA$288</f>
        <v>291.25944959999998</v>
      </c>
    </row>
    <row r="289" spans="1:33" ht="11.25" customHeight="1" x14ac:dyDescent="0.3">
      <c r="A289" s="4" t="s">
        <v>21</v>
      </c>
      <c r="B289" s="4" t="s">
        <v>34</v>
      </c>
      <c r="C289" s="4" t="s">
        <v>35</v>
      </c>
      <c r="D289" s="4" t="s">
        <v>43</v>
      </c>
      <c r="E289" s="4" t="s">
        <v>25</v>
      </c>
      <c r="F289" s="4" t="s">
        <v>25</v>
      </c>
      <c r="G289" s="4" t="s">
        <v>25</v>
      </c>
      <c r="H289" s="4" t="s">
        <v>36</v>
      </c>
      <c r="I289" s="5">
        <v>44743</v>
      </c>
      <c r="J289" s="6">
        <v>0</v>
      </c>
      <c r="K289" s="6">
        <v>0</v>
      </c>
      <c r="L289" s="6">
        <v>0.79681999999999997</v>
      </c>
      <c r="M289" s="6">
        <v>0.79681999999999997</v>
      </c>
      <c r="N289" s="6">
        <v>0.79681999999999997</v>
      </c>
      <c r="O289" s="6">
        <v>0.79681999999999997</v>
      </c>
      <c r="P289" s="6">
        <v>0</v>
      </c>
      <c r="Q289" s="4" t="s">
        <v>26</v>
      </c>
      <c r="R289" s="4">
        <v>0</v>
      </c>
      <c r="S289" s="6">
        <v>0</v>
      </c>
      <c r="T289" s="6">
        <v>21</v>
      </c>
      <c r="U289" s="6">
        <v>83</v>
      </c>
      <c r="V289" s="6">
        <f>IF(ISERROR(VLOOKUP($S$289,'TAR FIN'!$A$1:$O$92,15,0)),0,VLOOKUP($S$289,'TAR FIN'!$A$1:$O$92,15,0))</f>
        <v>0</v>
      </c>
      <c r="W289" s="6">
        <f>IF(ISERROR(VLOOKUP($T$289,'TAR FIN'!$A$1:$O$92,15,0)),0,VLOOKUP($T$289,'TAR FIN'!$A$1:$O$92,15,0))</f>
        <v>789.62</v>
      </c>
      <c r="X289" s="6">
        <f>IF(ISERROR(VLOOKUP($U$289,'TAR FIN'!$A$1:$O$92,15,0)),0,VLOOKUP($U$289,'TAR FIN'!$A$1:$O$92,15,0))</f>
        <v>488.15</v>
      </c>
      <c r="Y289" s="6"/>
      <c r="Z289" s="6">
        <f ca="1">('TUSD BE'!$AM$15+'TUSD BF_350'!$AM$15+'TUSD CVA'!$AM$15)*1</f>
        <v>911.84</v>
      </c>
      <c r="AA289" s="6">
        <f ca="1">('TE BE'!$AB$7+'TE BF_350'!$AB$7+'TE CVA'!$AB$7)*1</f>
        <v>399.84</v>
      </c>
      <c r="AB289" s="6">
        <f>$K$289*$V$289</f>
        <v>0</v>
      </c>
      <c r="AC289" s="6">
        <f>$M$289*$W$289</f>
        <v>629.18500840000002</v>
      </c>
      <c r="AD289" s="6">
        <f>$O$289*$X$289</f>
        <v>388.96768299999997</v>
      </c>
      <c r="AE289" s="6">
        <f>$K$289*$Y$289</f>
        <v>0</v>
      </c>
      <c r="AF289" s="6">
        <f ca="1">$M$289*$Z$289</f>
        <v>726.57234879999999</v>
      </c>
      <c r="AG289" s="6">
        <f ca="1">$O$289*$AA$289</f>
        <v>318.60050879999994</v>
      </c>
    </row>
    <row r="290" spans="1:33" ht="11.25" customHeight="1" x14ac:dyDescent="0.3">
      <c r="A290" s="4" t="s">
        <v>21</v>
      </c>
      <c r="B290" s="4" t="s">
        <v>22</v>
      </c>
      <c r="C290" s="4" t="s">
        <v>23</v>
      </c>
      <c r="D290" s="4" t="s">
        <v>24</v>
      </c>
      <c r="E290" s="4" t="s">
        <v>24</v>
      </c>
      <c r="F290" s="4" t="s">
        <v>25</v>
      </c>
      <c r="G290" s="4" t="s">
        <v>25</v>
      </c>
      <c r="H290" s="4" t="s">
        <v>25</v>
      </c>
      <c r="I290" s="5">
        <v>44409</v>
      </c>
      <c r="J290" s="6">
        <v>0</v>
      </c>
      <c r="K290" s="6">
        <v>0</v>
      </c>
      <c r="L290" s="6">
        <v>905.87900000000002</v>
      </c>
      <c r="M290" s="6">
        <v>905.87900000000002</v>
      </c>
      <c r="N290" s="6">
        <v>905.87900000000002</v>
      </c>
      <c r="O290" s="6">
        <v>905.87900000000002</v>
      </c>
      <c r="P290" s="6">
        <v>5048</v>
      </c>
      <c r="Q290" s="4" t="s">
        <v>26</v>
      </c>
      <c r="R290" s="4">
        <v>0</v>
      </c>
      <c r="S290" s="6">
        <v>0</v>
      </c>
      <c r="T290" s="6">
        <v>38</v>
      </c>
      <c r="U290" s="6">
        <v>89</v>
      </c>
      <c r="V290" s="6">
        <f>IF(ISERROR(VLOOKUP($S$290,'TAR FIN'!$A$1:$O$92,15,0)),0,VLOOKUP($S$290,'TAR FIN'!$A$1:$O$92,15,0))</f>
        <v>0</v>
      </c>
      <c r="W290" s="6">
        <f>IF(ISERROR(VLOOKUP($T$290,'TAR FIN'!$A$1:$O$92,15,0)),0,VLOOKUP($T$290,'TAR FIN'!$A$1:$O$92,15,0))</f>
        <v>343.17</v>
      </c>
      <c r="X290" s="6">
        <f>IF(ISERROR(VLOOKUP($U$290,'TAR FIN'!$A$1:$O$92,15,0)),0,VLOOKUP($U$290,'TAR FIN'!$A$1:$O$92,15,0))</f>
        <v>303.54000000000002</v>
      </c>
      <c r="Y290" s="6"/>
      <c r="Z290" s="6">
        <f ca="1">('TUSD BE'!$AM$24+'TUSD BF_350'!$AM$24+'TUSD CVA'!$AM$24)*1</f>
        <v>310.49</v>
      </c>
      <c r="AA290" s="6">
        <f ca="1">('TE BE'!$AB$12+'TE BF_350'!$AB$12+'TE CVA'!$AB$12)*1</f>
        <v>262.52999999999997</v>
      </c>
      <c r="AB290" s="6">
        <f>$K$290*$V$290</f>
        <v>0</v>
      </c>
      <c r="AC290" s="6">
        <f>$M$290*$W$290</f>
        <v>310870.49643</v>
      </c>
      <c r="AD290" s="6">
        <f>$O$290*$X$290</f>
        <v>274970.51166000002</v>
      </c>
      <c r="AE290" s="6">
        <f>$K$290*$Y$290</f>
        <v>0</v>
      </c>
      <c r="AF290" s="6">
        <f ca="1">$M$290*$Z$290</f>
        <v>281266.37070999999</v>
      </c>
      <c r="AG290" s="6">
        <f ca="1">$O$290*$AA$290</f>
        <v>237820.41386999999</v>
      </c>
    </row>
    <row r="291" spans="1:33" ht="11.25" customHeight="1" x14ac:dyDescent="0.3">
      <c r="A291" s="4" t="s">
        <v>27</v>
      </c>
      <c r="B291" s="4" t="s">
        <v>22</v>
      </c>
      <c r="C291" s="4" t="s">
        <v>23</v>
      </c>
      <c r="D291" s="4" t="s">
        <v>24</v>
      </c>
      <c r="E291" s="4" t="s">
        <v>24</v>
      </c>
      <c r="F291" s="4" t="s">
        <v>25</v>
      </c>
      <c r="G291" s="4" t="s">
        <v>25</v>
      </c>
      <c r="H291" s="4" t="s">
        <v>25</v>
      </c>
      <c r="I291" s="5">
        <v>44409</v>
      </c>
      <c r="J291" s="6">
        <v>0</v>
      </c>
      <c r="K291" s="6">
        <v>0</v>
      </c>
      <c r="L291" s="6">
        <v>8.3460000000000001</v>
      </c>
      <c r="M291" s="6">
        <v>8.3460000000000001</v>
      </c>
      <c r="N291" s="6">
        <v>8.3460000000000001</v>
      </c>
      <c r="O291" s="6">
        <v>8.3460000000000001</v>
      </c>
      <c r="P291" s="6">
        <v>66</v>
      </c>
      <c r="Q291" s="4" t="s">
        <v>26</v>
      </c>
      <c r="R291" s="4">
        <v>0</v>
      </c>
      <c r="S291" s="6">
        <v>0</v>
      </c>
      <c r="T291" s="6">
        <v>38</v>
      </c>
      <c r="U291" s="6">
        <v>89</v>
      </c>
      <c r="V291" s="6">
        <f>IF(ISERROR(VLOOKUP($S$291,'TAR FIN'!$A$1:$O$92,15,0)),0,VLOOKUP($S$291,'TAR FIN'!$A$1:$O$92,15,0))</f>
        <v>0</v>
      </c>
      <c r="W291" s="6">
        <f>IF(ISERROR(VLOOKUP($T$291,'TAR FIN'!$A$1:$O$92,15,0)),0,VLOOKUP($T$291,'TAR FIN'!$A$1:$O$92,15,0))</f>
        <v>343.17</v>
      </c>
      <c r="X291" s="6">
        <f>IF(ISERROR(VLOOKUP($U$291,'TAR FIN'!$A$1:$O$92,15,0)),0,VLOOKUP($U$291,'TAR FIN'!$A$1:$O$92,15,0))</f>
        <v>303.54000000000002</v>
      </c>
      <c r="Y291" s="6"/>
      <c r="Z291" s="6">
        <f ca="1">('TUSD BE'!$AM$24+'TUSD BF_350'!$AM$24+'TUSD CVA'!$AM$24)*1</f>
        <v>310.49</v>
      </c>
      <c r="AA291" s="6">
        <f ca="1">('TE BE'!$AB$12+'TE BF_350'!$AB$12+'TE CVA'!$AB$12)*1</f>
        <v>262.52999999999997</v>
      </c>
      <c r="AB291" s="6">
        <f>$K$291*$V$291</f>
        <v>0</v>
      </c>
      <c r="AC291" s="6">
        <f>$M$291*$W$291</f>
        <v>2864.0968200000002</v>
      </c>
      <c r="AD291" s="6">
        <f>$O$291*$X$291</f>
        <v>2533.3448400000002</v>
      </c>
      <c r="AE291" s="6">
        <f>$K$291*$Y$291</f>
        <v>0</v>
      </c>
      <c r="AF291" s="6">
        <f ca="1">$M$291*$Z$291</f>
        <v>2591.3495400000002</v>
      </c>
      <c r="AG291" s="6">
        <f ca="1">$O$291*$AA$291</f>
        <v>2191.0753799999998</v>
      </c>
    </row>
    <row r="292" spans="1:33" ht="11.25" customHeight="1" x14ac:dyDescent="0.3">
      <c r="A292" s="4" t="s">
        <v>21</v>
      </c>
      <c r="B292" s="4" t="s">
        <v>22</v>
      </c>
      <c r="C292" s="4" t="s">
        <v>23</v>
      </c>
      <c r="D292" s="4" t="s">
        <v>24</v>
      </c>
      <c r="E292" s="4" t="s">
        <v>24</v>
      </c>
      <c r="F292" s="4" t="s">
        <v>25</v>
      </c>
      <c r="G292" s="4" t="s">
        <v>25</v>
      </c>
      <c r="H292" s="4" t="s">
        <v>25</v>
      </c>
      <c r="I292" s="5">
        <v>44440</v>
      </c>
      <c r="J292" s="6">
        <v>0</v>
      </c>
      <c r="K292" s="6">
        <v>0</v>
      </c>
      <c r="L292" s="6">
        <v>965.36699999999996</v>
      </c>
      <c r="M292" s="6">
        <v>965.36699999999996</v>
      </c>
      <c r="N292" s="6">
        <v>965.36699999999996</v>
      </c>
      <c r="O292" s="6">
        <v>965.36699999999996</v>
      </c>
      <c r="P292" s="6">
        <v>5063</v>
      </c>
      <c r="Q292" s="4" t="s">
        <v>26</v>
      </c>
      <c r="R292" s="4">
        <v>0</v>
      </c>
      <c r="S292" s="6">
        <v>0</v>
      </c>
      <c r="T292" s="6">
        <v>38</v>
      </c>
      <c r="U292" s="6">
        <v>89</v>
      </c>
      <c r="V292" s="6">
        <f>IF(ISERROR(VLOOKUP($S$292,'TAR FIN'!$A$1:$O$92,15,0)),0,VLOOKUP($S$292,'TAR FIN'!$A$1:$O$92,15,0))</f>
        <v>0</v>
      </c>
      <c r="W292" s="6">
        <f>IF(ISERROR(VLOOKUP($T$292,'TAR FIN'!$A$1:$O$92,15,0)),0,VLOOKUP($T$292,'TAR FIN'!$A$1:$O$92,15,0))</f>
        <v>343.17</v>
      </c>
      <c r="X292" s="6">
        <f>IF(ISERROR(VLOOKUP($U$292,'TAR FIN'!$A$1:$O$92,15,0)),0,VLOOKUP($U$292,'TAR FIN'!$A$1:$O$92,15,0))</f>
        <v>303.54000000000002</v>
      </c>
      <c r="Y292" s="6"/>
      <c r="Z292" s="6">
        <f ca="1">('TUSD BE'!$AM$24+'TUSD BF_350'!$AM$24+'TUSD CVA'!$AM$24)*1</f>
        <v>310.49</v>
      </c>
      <c r="AA292" s="6">
        <f ca="1">('TE BE'!$AB$12+'TE BF_350'!$AB$12+'TE CVA'!$AB$12)*1</f>
        <v>262.52999999999997</v>
      </c>
      <c r="AB292" s="6">
        <f>$K$292*$V$292</f>
        <v>0</v>
      </c>
      <c r="AC292" s="6">
        <f>$M$292*$W$292</f>
        <v>331284.99339000002</v>
      </c>
      <c r="AD292" s="6">
        <f>$O$292*$X$292</f>
        <v>293027.49917999998</v>
      </c>
      <c r="AE292" s="6">
        <f>$K$292*$Y$292</f>
        <v>0</v>
      </c>
      <c r="AF292" s="6">
        <f ca="1">$M$292*$Z$292</f>
        <v>299736.79982999997</v>
      </c>
      <c r="AG292" s="6">
        <f ca="1">$O$292*$AA$292</f>
        <v>253437.79850999996</v>
      </c>
    </row>
    <row r="293" spans="1:33" ht="11.25" customHeight="1" x14ac:dyDescent="0.3">
      <c r="A293" s="4" t="s">
        <v>27</v>
      </c>
      <c r="B293" s="4" t="s">
        <v>22</v>
      </c>
      <c r="C293" s="4" t="s">
        <v>23</v>
      </c>
      <c r="D293" s="4" t="s">
        <v>24</v>
      </c>
      <c r="E293" s="4" t="s">
        <v>24</v>
      </c>
      <c r="F293" s="4" t="s">
        <v>25</v>
      </c>
      <c r="G293" s="4" t="s">
        <v>25</v>
      </c>
      <c r="H293" s="4" t="s">
        <v>25</v>
      </c>
      <c r="I293" s="5">
        <v>44440</v>
      </c>
      <c r="J293" s="6">
        <v>0</v>
      </c>
      <c r="K293" s="6">
        <v>0</v>
      </c>
      <c r="L293" s="6">
        <v>8.8989999999999991</v>
      </c>
      <c r="M293" s="6">
        <v>8.8989999999999991</v>
      </c>
      <c r="N293" s="6">
        <v>8.8989999999999991</v>
      </c>
      <c r="O293" s="6">
        <v>8.8989999999999991</v>
      </c>
      <c r="P293" s="6">
        <v>70</v>
      </c>
      <c r="Q293" s="4" t="s">
        <v>26</v>
      </c>
      <c r="R293" s="4">
        <v>0</v>
      </c>
      <c r="S293" s="6">
        <v>0</v>
      </c>
      <c r="T293" s="6">
        <v>38</v>
      </c>
      <c r="U293" s="6">
        <v>89</v>
      </c>
      <c r="V293" s="6">
        <f>IF(ISERROR(VLOOKUP($S$293,'TAR FIN'!$A$1:$O$92,15,0)),0,VLOOKUP($S$293,'TAR FIN'!$A$1:$O$92,15,0))</f>
        <v>0</v>
      </c>
      <c r="W293" s="6">
        <f>IF(ISERROR(VLOOKUP($T$293,'TAR FIN'!$A$1:$O$92,15,0)),0,VLOOKUP($T$293,'TAR FIN'!$A$1:$O$92,15,0))</f>
        <v>343.17</v>
      </c>
      <c r="X293" s="6">
        <f>IF(ISERROR(VLOOKUP($U$293,'TAR FIN'!$A$1:$O$92,15,0)),0,VLOOKUP($U$293,'TAR FIN'!$A$1:$O$92,15,0))</f>
        <v>303.54000000000002</v>
      </c>
      <c r="Y293" s="6"/>
      <c r="Z293" s="6">
        <f ca="1">('TUSD BE'!$AM$24+'TUSD BF_350'!$AM$24+'TUSD CVA'!$AM$24)*1</f>
        <v>310.49</v>
      </c>
      <c r="AA293" s="6">
        <f ca="1">('TE BE'!$AB$12+'TE BF_350'!$AB$12+'TE CVA'!$AB$12)*1</f>
        <v>262.52999999999997</v>
      </c>
      <c r="AB293" s="6">
        <f>$K$293*$V$293</f>
        <v>0</v>
      </c>
      <c r="AC293" s="6">
        <f>$M$293*$W$293</f>
        <v>3053.8698299999996</v>
      </c>
      <c r="AD293" s="6">
        <f>$O$293*$X$293</f>
        <v>2701.20246</v>
      </c>
      <c r="AE293" s="6">
        <f>$K$293*$Y$293</f>
        <v>0</v>
      </c>
      <c r="AF293" s="6">
        <f ca="1">$M$293*$Z$293</f>
        <v>2763.05051</v>
      </c>
      <c r="AG293" s="6">
        <f ca="1">$O$293*$AA$293</f>
        <v>2336.2544699999994</v>
      </c>
    </row>
    <row r="294" spans="1:33" ht="11.25" customHeight="1" x14ac:dyDescent="0.3">
      <c r="A294" s="4" t="s">
        <v>21</v>
      </c>
      <c r="B294" s="4" t="s">
        <v>22</v>
      </c>
      <c r="C294" s="4" t="s">
        <v>23</v>
      </c>
      <c r="D294" s="4" t="s">
        <v>24</v>
      </c>
      <c r="E294" s="4" t="s">
        <v>24</v>
      </c>
      <c r="F294" s="4" t="s">
        <v>25</v>
      </c>
      <c r="G294" s="4" t="s">
        <v>25</v>
      </c>
      <c r="H294" s="4" t="s">
        <v>25</v>
      </c>
      <c r="I294" s="5">
        <v>44470</v>
      </c>
      <c r="J294" s="6">
        <v>0</v>
      </c>
      <c r="K294" s="6">
        <v>0</v>
      </c>
      <c r="L294" s="6">
        <v>857.79</v>
      </c>
      <c r="M294" s="6">
        <v>857.79</v>
      </c>
      <c r="N294" s="6">
        <v>857.79</v>
      </c>
      <c r="O294" s="6">
        <v>857.79</v>
      </c>
      <c r="P294" s="6">
        <v>5084</v>
      </c>
      <c r="Q294" s="4" t="s">
        <v>26</v>
      </c>
      <c r="R294" s="4">
        <v>0</v>
      </c>
      <c r="S294" s="6">
        <v>0</v>
      </c>
      <c r="T294" s="6">
        <v>38</v>
      </c>
      <c r="U294" s="6">
        <v>89</v>
      </c>
      <c r="V294" s="6">
        <f>IF(ISERROR(VLOOKUP($S$294,'TAR FIN'!$A$1:$O$92,15,0)),0,VLOOKUP($S$294,'TAR FIN'!$A$1:$O$92,15,0))</f>
        <v>0</v>
      </c>
      <c r="W294" s="6">
        <f>IF(ISERROR(VLOOKUP($T$294,'TAR FIN'!$A$1:$O$92,15,0)),0,VLOOKUP($T$294,'TAR FIN'!$A$1:$O$92,15,0))</f>
        <v>343.17</v>
      </c>
      <c r="X294" s="6">
        <f>IF(ISERROR(VLOOKUP($U$294,'TAR FIN'!$A$1:$O$92,15,0)),0,VLOOKUP($U$294,'TAR FIN'!$A$1:$O$92,15,0))</f>
        <v>303.54000000000002</v>
      </c>
      <c r="Y294" s="6"/>
      <c r="Z294" s="6">
        <f ca="1">('TUSD BE'!$AM$24+'TUSD BF_350'!$AM$24+'TUSD CVA'!$AM$24)*1</f>
        <v>310.49</v>
      </c>
      <c r="AA294" s="6">
        <f ca="1">('TE BE'!$AB$12+'TE BF_350'!$AB$12+'TE CVA'!$AB$12)*1</f>
        <v>262.52999999999997</v>
      </c>
      <c r="AB294" s="6">
        <f>$K$294*$V$294</f>
        <v>0</v>
      </c>
      <c r="AC294" s="6">
        <f>$M$294*$W$294</f>
        <v>294367.79430000001</v>
      </c>
      <c r="AD294" s="6">
        <f>$O$294*$X$294</f>
        <v>260373.5766</v>
      </c>
      <c r="AE294" s="6">
        <f>$K$294*$Y$294</f>
        <v>0</v>
      </c>
      <c r="AF294" s="6">
        <f ca="1">$M$294*$Z$294</f>
        <v>266335.21710000001</v>
      </c>
      <c r="AG294" s="6">
        <f ca="1">$O$294*$AA$294</f>
        <v>225195.60869999995</v>
      </c>
    </row>
    <row r="295" spans="1:33" ht="11.25" customHeight="1" x14ac:dyDescent="0.3">
      <c r="A295" s="4" t="s">
        <v>27</v>
      </c>
      <c r="B295" s="4" t="s">
        <v>22</v>
      </c>
      <c r="C295" s="4" t="s">
        <v>23</v>
      </c>
      <c r="D295" s="4" t="s">
        <v>24</v>
      </c>
      <c r="E295" s="4" t="s">
        <v>24</v>
      </c>
      <c r="F295" s="4" t="s">
        <v>25</v>
      </c>
      <c r="G295" s="4" t="s">
        <v>25</v>
      </c>
      <c r="H295" s="4" t="s">
        <v>25</v>
      </c>
      <c r="I295" s="5">
        <v>44470</v>
      </c>
      <c r="J295" s="6">
        <v>0</v>
      </c>
      <c r="K295" s="6">
        <v>0</v>
      </c>
      <c r="L295" s="6">
        <v>7.76</v>
      </c>
      <c r="M295" s="6">
        <v>7.76</v>
      </c>
      <c r="N295" s="6">
        <v>7.76</v>
      </c>
      <c r="O295" s="6">
        <v>7.76</v>
      </c>
      <c r="P295" s="6">
        <v>71</v>
      </c>
      <c r="Q295" s="4" t="s">
        <v>26</v>
      </c>
      <c r="R295" s="4">
        <v>0</v>
      </c>
      <c r="S295" s="6">
        <v>0</v>
      </c>
      <c r="T295" s="6">
        <v>38</v>
      </c>
      <c r="U295" s="6">
        <v>89</v>
      </c>
      <c r="V295" s="6">
        <f>IF(ISERROR(VLOOKUP($S$295,'TAR FIN'!$A$1:$O$92,15,0)),0,VLOOKUP($S$295,'TAR FIN'!$A$1:$O$92,15,0))</f>
        <v>0</v>
      </c>
      <c r="W295" s="6">
        <f>IF(ISERROR(VLOOKUP($T$295,'TAR FIN'!$A$1:$O$92,15,0)),0,VLOOKUP($T$295,'TAR FIN'!$A$1:$O$92,15,0))</f>
        <v>343.17</v>
      </c>
      <c r="X295" s="6">
        <f>IF(ISERROR(VLOOKUP($U$295,'TAR FIN'!$A$1:$O$92,15,0)),0,VLOOKUP($U$295,'TAR FIN'!$A$1:$O$92,15,0))</f>
        <v>303.54000000000002</v>
      </c>
      <c r="Y295" s="6"/>
      <c r="Z295" s="6">
        <f ca="1">('TUSD BE'!$AM$24+'TUSD BF_350'!$AM$24+'TUSD CVA'!$AM$24)*1</f>
        <v>310.49</v>
      </c>
      <c r="AA295" s="6">
        <f ca="1">('TE BE'!$AB$12+'TE BF_350'!$AB$12+'TE CVA'!$AB$12)*1</f>
        <v>262.52999999999997</v>
      </c>
      <c r="AB295" s="6">
        <f>$K$295*$V$295</f>
        <v>0</v>
      </c>
      <c r="AC295" s="6">
        <f>$M$295*$W$295</f>
        <v>2662.9992000000002</v>
      </c>
      <c r="AD295" s="6">
        <f>$O$295*$X$295</f>
        <v>2355.4704000000002</v>
      </c>
      <c r="AE295" s="6">
        <f>$K$295*$Y$295</f>
        <v>0</v>
      </c>
      <c r="AF295" s="6">
        <f ca="1">$M$295*$Z$295</f>
        <v>2409.4023999999999</v>
      </c>
      <c r="AG295" s="6">
        <f ca="1">$O$295*$AA$295</f>
        <v>2037.2327999999998</v>
      </c>
    </row>
    <row r="296" spans="1:33" ht="11.25" customHeight="1" x14ac:dyDescent="0.3">
      <c r="A296" s="4" t="s">
        <v>21</v>
      </c>
      <c r="B296" s="4" t="s">
        <v>22</v>
      </c>
      <c r="C296" s="4" t="s">
        <v>23</v>
      </c>
      <c r="D296" s="4" t="s">
        <v>24</v>
      </c>
      <c r="E296" s="4" t="s">
        <v>24</v>
      </c>
      <c r="F296" s="4" t="s">
        <v>25</v>
      </c>
      <c r="G296" s="4" t="s">
        <v>25</v>
      </c>
      <c r="H296" s="4" t="s">
        <v>25</v>
      </c>
      <c r="I296" s="5">
        <v>44501</v>
      </c>
      <c r="J296" s="6">
        <v>0</v>
      </c>
      <c r="K296" s="6">
        <v>0</v>
      </c>
      <c r="L296" s="6">
        <v>850.14300000000003</v>
      </c>
      <c r="M296" s="6">
        <v>850.14300000000003</v>
      </c>
      <c r="N296" s="6">
        <v>850.14300000000003</v>
      </c>
      <c r="O296" s="6">
        <v>850.14300000000003</v>
      </c>
      <c r="P296" s="6">
        <v>5097</v>
      </c>
      <c r="Q296" s="4" t="s">
        <v>26</v>
      </c>
      <c r="R296" s="4">
        <v>0</v>
      </c>
      <c r="S296" s="6">
        <v>0</v>
      </c>
      <c r="T296" s="6">
        <v>38</v>
      </c>
      <c r="U296" s="6">
        <v>89</v>
      </c>
      <c r="V296" s="6">
        <f>IF(ISERROR(VLOOKUP($S$296,'TAR FIN'!$A$1:$O$92,15,0)),0,VLOOKUP($S$296,'TAR FIN'!$A$1:$O$92,15,0))</f>
        <v>0</v>
      </c>
      <c r="W296" s="6">
        <f>IF(ISERROR(VLOOKUP($T$296,'TAR FIN'!$A$1:$O$92,15,0)),0,VLOOKUP($T$296,'TAR FIN'!$A$1:$O$92,15,0))</f>
        <v>343.17</v>
      </c>
      <c r="X296" s="6">
        <f>IF(ISERROR(VLOOKUP($U$296,'TAR FIN'!$A$1:$O$92,15,0)),0,VLOOKUP($U$296,'TAR FIN'!$A$1:$O$92,15,0))</f>
        <v>303.54000000000002</v>
      </c>
      <c r="Y296" s="6"/>
      <c r="Z296" s="6">
        <f ca="1">('TUSD BE'!$AM$24+'TUSD BF_350'!$AM$24+'TUSD CVA'!$AM$24)*1</f>
        <v>310.49</v>
      </c>
      <c r="AA296" s="6">
        <f ca="1">('TE BE'!$AB$12+'TE BF_350'!$AB$12+'TE CVA'!$AB$12)*1</f>
        <v>262.52999999999997</v>
      </c>
      <c r="AB296" s="6">
        <f>$K$296*$V$296</f>
        <v>0</v>
      </c>
      <c r="AC296" s="6">
        <f>$M$296*$W$296</f>
        <v>291743.57331000001</v>
      </c>
      <c r="AD296" s="6">
        <f>$O$296*$X$296</f>
        <v>258052.40622000003</v>
      </c>
      <c r="AE296" s="6">
        <f>$K$296*$Y$296</f>
        <v>0</v>
      </c>
      <c r="AF296" s="6">
        <f ca="1">$M$296*$Z$296</f>
        <v>263960.90007000003</v>
      </c>
      <c r="AG296" s="6">
        <f ca="1">$O$296*$AA$296</f>
        <v>223188.04178999999</v>
      </c>
    </row>
    <row r="297" spans="1:33" ht="11.25" customHeight="1" x14ac:dyDescent="0.3">
      <c r="A297" s="4" t="s">
        <v>27</v>
      </c>
      <c r="B297" s="4" t="s">
        <v>22</v>
      </c>
      <c r="C297" s="4" t="s">
        <v>23</v>
      </c>
      <c r="D297" s="4" t="s">
        <v>24</v>
      </c>
      <c r="E297" s="4" t="s">
        <v>24</v>
      </c>
      <c r="F297" s="4" t="s">
        <v>25</v>
      </c>
      <c r="G297" s="4" t="s">
        <v>25</v>
      </c>
      <c r="H297" s="4" t="s">
        <v>25</v>
      </c>
      <c r="I297" s="5">
        <v>44501</v>
      </c>
      <c r="J297" s="6">
        <v>0</v>
      </c>
      <c r="K297" s="6">
        <v>0</v>
      </c>
      <c r="L297" s="6">
        <v>6.6920000000000002</v>
      </c>
      <c r="M297" s="6">
        <v>6.6920000000000002</v>
      </c>
      <c r="N297" s="6">
        <v>6.6920000000000002</v>
      </c>
      <c r="O297" s="6">
        <v>6.6920000000000002</v>
      </c>
      <c r="P297" s="6">
        <v>72</v>
      </c>
      <c r="Q297" s="4" t="s">
        <v>26</v>
      </c>
      <c r="R297" s="4">
        <v>0</v>
      </c>
      <c r="S297" s="6">
        <v>0</v>
      </c>
      <c r="T297" s="6">
        <v>38</v>
      </c>
      <c r="U297" s="6">
        <v>89</v>
      </c>
      <c r="V297" s="6">
        <f>IF(ISERROR(VLOOKUP($S$297,'TAR FIN'!$A$1:$O$92,15,0)),0,VLOOKUP($S$297,'TAR FIN'!$A$1:$O$92,15,0))</f>
        <v>0</v>
      </c>
      <c r="W297" s="6">
        <f>IF(ISERROR(VLOOKUP($T$297,'TAR FIN'!$A$1:$O$92,15,0)),0,VLOOKUP($T$297,'TAR FIN'!$A$1:$O$92,15,0))</f>
        <v>343.17</v>
      </c>
      <c r="X297" s="6">
        <f>IF(ISERROR(VLOOKUP($U$297,'TAR FIN'!$A$1:$O$92,15,0)),0,VLOOKUP($U$297,'TAR FIN'!$A$1:$O$92,15,0))</f>
        <v>303.54000000000002</v>
      </c>
      <c r="Y297" s="6"/>
      <c r="Z297" s="6">
        <f ca="1">('TUSD BE'!$AM$24+'TUSD BF_350'!$AM$24+'TUSD CVA'!$AM$24)*1</f>
        <v>310.49</v>
      </c>
      <c r="AA297" s="6">
        <f ca="1">('TE BE'!$AB$12+'TE BF_350'!$AB$12+'TE CVA'!$AB$12)*1</f>
        <v>262.52999999999997</v>
      </c>
      <c r="AB297" s="6">
        <f>$K$297*$V$297</f>
        <v>0</v>
      </c>
      <c r="AC297" s="6">
        <f>$M$297*$W$297</f>
        <v>2296.4936400000001</v>
      </c>
      <c r="AD297" s="6">
        <f>$O$297*$X$297</f>
        <v>2031.2896800000001</v>
      </c>
      <c r="AE297" s="6">
        <f>$K$297*$Y$297</f>
        <v>0</v>
      </c>
      <c r="AF297" s="6">
        <f ca="1">$M$297*$Z$297</f>
        <v>2077.7990800000002</v>
      </c>
      <c r="AG297" s="6">
        <f ca="1">$O$297*$AA$297</f>
        <v>1756.8507599999998</v>
      </c>
    </row>
    <row r="298" spans="1:33" ht="11.25" customHeight="1" x14ac:dyDescent="0.3">
      <c r="A298" s="4" t="s">
        <v>21</v>
      </c>
      <c r="B298" s="4" t="s">
        <v>22</v>
      </c>
      <c r="C298" s="4" t="s">
        <v>23</v>
      </c>
      <c r="D298" s="4" t="s">
        <v>24</v>
      </c>
      <c r="E298" s="4" t="s">
        <v>24</v>
      </c>
      <c r="F298" s="4" t="s">
        <v>25</v>
      </c>
      <c r="G298" s="4" t="s">
        <v>25</v>
      </c>
      <c r="H298" s="4" t="s">
        <v>25</v>
      </c>
      <c r="I298" s="5">
        <v>44531</v>
      </c>
      <c r="J298" s="6">
        <v>0</v>
      </c>
      <c r="K298" s="6">
        <v>0</v>
      </c>
      <c r="L298" s="6">
        <v>960.702</v>
      </c>
      <c r="M298" s="6">
        <v>960.702</v>
      </c>
      <c r="N298" s="6">
        <v>960.702</v>
      </c>
      <c r="O298" s="6">
        <v>960.702</v>
      </c>
      <c r="P298" s="6">
        <v>5105</v>
      </c>
      <c r="Q298" s="4" t="s">
        <v>26</v>
      </c>
      <c r="R298" s="4">
        <v>0</v>
      </c>
      <c r="S298" s="6">
        <v>0</v>
      </c>
      <c r="T298" s="6">
        <v>38</v>
      </c>
      <c r="U298" s="6">
        <v>89</v>
      </c>
      <c r="V298" s="6">
        <f>IF(ISERROR(VLOOKUP($S$298,'TAR FIN'!$A$1:$O$92,15,0)),0,VLOOKUP($S$298,'TAR FIN'!$A$1:$O$92,15,0))</f>
        <v>0</v>
      </c>
      <c r="W298" s="6">
        <f>IF(ISERROR(VLOOKUP($T$298,'TAR FIN'!$A$1:$O$92,15,0)),0,VLOOKUP($T$298,'TAR FIN'!$A$1:$O$92,15,0))</f>
        <v>343.17</v>
      </c>
      <c r="X298" s="6">
        <f>IF(ISERROR(VLOOKUP($U$298,'TAR FIN'!$A$1:$O$92,15,0)),0,VLOOKUP($U$298,'TAR FIN'!$A$1:$O$92,15,0))</f>
        <v>303.54000000000002</v>
      </c>
      <c r="Y298" s="6"/>
      <c r="Z298" s="6">
        <f ca="1">('TUSD BE'!$AM$24+'TUSD BF_350'!$AM$24+'TUSD CVA'!$AM$24)*1</f>
        <v>310.49</v>
      </c>
      <c r="AA298" s="6">
        <f ca="1">('TE BE'!$AB$12+'TE BF_350'!$AB$12+'TE CVA'!$AB$12)*1</f>
        <v>262.52999999999997</v>
      </c>
      <c r="AB298" s="6">
        <f>$K$298*$V$298</f>
        <v>0</v>
      </c>
      <c r="AC298" s="6">
        <f>$M$298*$W$298</f>
        <v>329684.10534000001</v>
      </c>
      <c r="AD298" s="6">
        <f>$O$298*$X$298</f>
        <v>291611.48508000001</v>
      </c>
      <c r="AE298" s="6">
        <f>$K$298*$Y$298</f>
        <v>0</v>
      </c>
      <c r="AF298" s="6">
        <f ca="1">$M$298*$Z$298</f>
        <v>298288.36398000002</v>
      </c>
      <c r="AG298" s="6">
        <f ca="1">$O$298*$AA$298</f>
        <v>252213.09605999998</v>
      </c>
    </row>
    <row r="299" spans="1:33" ht="11.25" customHeight="1" x14ac:dyDescent="0.3">
      <c r="A299" s="4" t="s">
        <v>27</v>
      </c>
      <c r="B299" s="4" t="s">
        <v>22</v>
      </c>
      <c r="C299" s="4" t="s">
        <v>23</v>
      </c>
      <c r="D299" s="4" t="s">
        <v>24</v>
      </c>
      <c r="E299" s="4" t="s">
        <v>24</v>
      </c>
      <c r="F299" s="4" t="s">
        <v>25</v>
      </c>
      <c r="G299" s="4" t="s">
        <v>25</v>
      </c>
      <c r="H299" s="4" t="s">
        <v>25</v>
      </c>
      <c r="I299" s="5">
        <v>44531</v>
      </c>
      <c r="J299" s="6">
        <v>0</v>
      </c>
      <c r="K299" s="6">
        <v>0</v>
      </c>
      <c r="L299" s="6">
        <v>7.8049999999999997</v>
      </c>
      <c r="M299" s="6">
        <v>7.8049999999999997</v>
      </c>
      <c r="N299" s="6">
        <v>7.8049999999999997</v>
      </c>
      <c r="O299" s="6">
        <v>7.8049999999999997</v>
      </c>
      <c r="P299" s="6">
        <v>78</v>
      </c>
      <c r="Q299" s="4" t="s">
        <v>26</v>
      </c>
      <c r="R299" s="4">
        <v>0</v>
      </c>
      <c r="S299" s="6">
        <v>0</v>
      </c>
      <c r="T299" s="6">
        <v>38</v>
      </c>
      <c r="U299" s="6">
        <v>89</v>
      </c>
      <c r="V299" s="6">
        <f>IF(ISERROR(VLOOKUP($S$299,'TAR FIN'!$A$1:$O$92,15,0)),0,VLOOKUP($S$299,'TAR FIN'!$A$1:$O$92,15,0))</f>
        <v>0</v>
      </c>
      <c r="W299" s="6">
        <f>IF(ISERROR(VLOOKUP($T$299,'TAR FIN'!$A$1:$O$92,15,0)),0,VLOOKUP($T$299,'TAR FIN'!$A$1:$O$92,15,0))</f>
        <v>343.17</v>
      </c>
      <c r="X299" s="6">
        <f>IF(ISERROR(VLOOKUP($U$299,'TAR FIN'!$A$1:$O$92,15,0)),0,VLOOKUP($U$299,'TAR FIN'!$A$1:$O$92,15,0))</f>
        <v>303.54000000000002</v>
      </c>
      <c r="Y299" s="6"/>
      <c r="Z299" s="6">
        <f ca="1">('TUSD BE'!$AM$24+'TUSD BF_350'!$AM$24+'TUSD CVA'!$AM$24)*1</f>
        <v>310.49</v>
      </c>
      <c r="AA299" s="6">
        <f ca="1">('TE BE'!$AB$12+'TE BF_350'!$AB$12+'TE CVA'!$AB$12)*1</f>
        <v>262.52999999999997</v>
      </c>
      <c r="AB299" s="6">
        <f>$K$299*$V$299</f>
        <v>0</v>
      </c>
      <c r="AC299" s="6">
        <f>$M$299*$W$299</f>
        <v>2678.4418500000002</v>
      </c>
      <c r="AD299" s="6">
        <f>$O$299*$X$299</f>
        <v>2369.1297</v>
      </c>
      <c r="AE299" s="6">
        <f>$K$299*$Y$299</f>
        <v>0</v>
      </c>
      <c r="AF299" s="6">
        <f ca="1">$M$299*$Z$299</f>
        <v>2423.3744499999998</v>
      </c>
      <c r="AG299" s="6">
        <f ca="1">$O$299*$AA$299</f>
        <v>2049.0466499999998</v>
      </c>
    </row>
    <row r="300" spans="1:33" ht="11.25" customHeight="1" x14ac:dyDescent="0.3">
      <c r="A300" s="4" t="s">
        <v>21</v>
      </c>
      <c r="B300" s="4" t="s">
        <v>22</v>
      </c>
      <c r="C300" s="4" t="s">
        <v>23</v>
      </c>
      <c r="D300" s="4" t="s">
        <v>24</v>
      </c>
      <c r="E300" s="4" t="s">
        <v>24</v>
      </c>
      <c r="F300" s="4" t="s">
        <v>25</v>
      </c>
      <c r="G300" s="4" t="s">
        <v>25</v>
      </c>
      <c r="H300" s="4" t="s">
        <v>25</v>
      </c>
      <c r="I300" s="5">
        <v>44562</v>
      </c>
      <c r="J300" s="6">
        <v>0</v>
      </c>
      <c r="K300" s="6">
        <v>0</v>
      </c>
      <c r="L300" s="6">
        <v>935.45699999999999</v>
      </c>
      <c r="M300" s="6">
        <v>935.45699999999999</v>
      </c>
      <c r="N300" s="6">
        <v>935.45699999999999</v>
      </c>
      <c r="O300" s="6">
        <v>935.45699999999999</v>
      </c>
      <c r="P300" s="6">
        <v>5108</v>
      </c>
      <c r="Q300" s="4" t="s">
        <v>26</v>
      </c>
      <c r="R300" s="4">
        <v>0</v>
      </c>
      <c r="S300" s="6">
        <v>0</v>
      </c>
      <c r="T300" s="6">
        <v>38</v>
      </c>
      <c r="U300" s="6">
        <v>89</v>
      </c>
      <c r="V300" s="6">
        <f>IF(ISERROR(VLOOKUP($S$300,'TAR FIN'!$A$1:$O$92,15,0)),0,VLOOKUP($S$300,'TAR FIN'!$A$1:$O$92,15,0))</f>
        <v>0</v>
      </c>
      <c r="W300" s="6">
        <f>IF(ISERROR(VLOOKUP($T$300,'TAR FIN'!$A$1:$O$92,15,0)),0,VLOOKUP($T$300,'TAR FIN'!$A$1:$O$92,15,0))</f>
        <v>343.17</v>
      </c>
      <c r="X300" s="6">
        <f>IF(ISERROR(VLOOKUP($U$300,'TAR FIN'!$A$1:$O$92,15,0)),0,VLOOKUP($U$300,'TAR FIN'!$A$1:$O$92,15,0))</f>
        <v>303.54000000000002</v>
      </c>
      <c r="Y300" s="6"/>
      <c r="Z300" s="6">
        <f ca="1">('TUSD BE'!$AM$24+'TUSD BF_350'!$AM$24+'TUSD CVA'!$AM$24)*1</f>
        <v>310.49</v>
      </c>
      <c r="AA300" s="6">
        <f ca="1">('TE BE'!$AB$12+'TE BF_350'!$AB$12+'TE CVA'!$AB$12)*1</f>
        <v>262.52999999999997</v>
      </c>
      <c r="AB300" s="6">
        <f>$K$300*$V$300</f>
        <v>0</v>
      </c>
      <c r="AC300" s="6">
        <f>$M$300*$W$300</f>
        <v>321020.77869000001</v>
      </c>
      <c r="AD300" s="6">
        <f>$O$300*$X$300</f>
        <v>283948.61778000003</v>
      </c>
      <c r="AE300" s="6">
        <f>$K$300*$Y$300</f>
        <v>0</v>
      </c>
      <c r="AF300" s="6">
        <f ca="1">$M$300*$Z$300</f>
        <v>290450.04392999999</v>
      </c>
      <c r="AG300" s="6">
        <f ca="1">$O$300*$AA$300</f>
        <v>245585.52620999998</v>
      </c>
    </row>
    <row r="301" spans="1:33" ht="11.25" customHeight="1" x14ac:dyDescent="0.3">
      <c r="A301" s="4" t="s">
        <v>27</v>
      </c>
      <c r="B301" s="4" t="s">
        <v>22</v>
      </c>
      <c r="C301" s="4" t="s">
        <v>23</v>
      </c>
      <c r="D301" s="4" t="s">
        <v>24</v>
      </c>
      <c r="E301" s="4" t="s">
        <v>24</v>
      </c>
      <c r="F301" s="4" t="s">
        <v>25</v>
      </c>
      <c r="G301" s="4" t="s">
        <v>25</v>
      </c>
      <c r="H301" s="4" t="s">
        <v>25</v>
      </c>
      <c r="I301" s="5">
        <v>44562</v>
      </c>
      <c r="J301" s="6">
        <v>0</v>
      </c>
      <c r="K301" s="6">
        <v>0</v>
      </c>
      <c r="L301" s="6">
        <v>8.8699999999999992</v>
      </c>
      <c r="M301" s="6">
        <v>8.8699999999999992</v>
      </c>
      <c r="N301" s="6">
        <v>8.8699999999999992</v>
      </c>
      <c r="O301" s="6">
        <v>8.8699999999999992</v>
      </c>
      <c r="P301" s="6">
        <v>84</v>
      </c>
      <c r="Q301" s="4" t="s">
        <v>26</v>
      </c>
      <c r="R301" s="4">
        <v>0</v>
      </c>
      <c r="S301" s="6">
        <v>0</v>
      </c>
      <c r="T301" s="6">
        <v>38</v>
      </c>
      <c r="U301" s="6">
        <v>89</v>
      </c>
      <c r="V301" s="6">
        <f>IF(ISERROR(VLOOKUP($S$301,'TAR FIN'!$A$1:$O$92,15,0)),0,VLOOKUP($S$301,'TAR FIN'!$A$1:$O$92,15,0))</f>
        <v>0</v>
      </c>
      <c r="W301" s="6">
        <f>IF(ISERROR(VLOOKUP($T$301,'TAR FIN'!$A$1:$O$92,15,0)),0,VLOOKUP($T$301,'TAR FIN'!$A$1:$O$92,15,0))</f>
        <v>343.17</v>
      </c>
      <c r="X301" s="6">
        <f>IF(ISERROR(VLOOKUP($U$301,'TAR FIN'!$A$1:$O$92,15,0)),0,VLOOKUP($U$301,'TAR FIN'!$A$1:$O$92,15,0))</f>
        <v>303.54000000000002</v>
      </c>
      <c r="Y301" s="6"/>
      <c r="Z301" s="6">
        <f ca="1">('TUSD BE'!$AM$24+'TUSD BF_350'!$AM$24+'TUSD CVA'!$AM$24)*1</f>
        <v>310.49</v>
      </c>
      <c r="AA301" s="6">
        <f ca="1">('TE BE'!$AB$12+'TE BF_350'!$AB$12+'TE CVA'!$AB$12)*1</f>
        <v>262.52999999999997</v>
      </c>
      <c r="AB301" s="6">
        <f>$K$301*$V$301</f>
        <v>0</v>
      </c>
      <c r="AC301" s="6">
        <f>$M$301*$W$301</f>
        <v>3043.9178999999999</v>
      </c>
      <c r="AD301" s="6">
        <f>$O$301*$X$301</f>
        <v>2692.3998000000001</v>
      </c>
      <c r="AE301" s="6">
        <f>$K$301*$Y$301</f>
        <v>0</v>
      </c>
      <c r="AF301" s="6">
        <f ca="1">$M$301*$Z$301</f>
        <v>2754.0463</v>
      </c>
      <c r="AG301" s="6">
        <f ca="1">$O$301*$AA$301</f>
        <v>2328.6410999999994</v>
      </c>
    </row>
    <row r="302" spans="1:33" ht="11.25" customHeight="1" x14ac:dyDescent="0.3">
      <c r="A302" s="4" t="s">
        <v>21</v>
      </c>
      <c r="B302" s="4" t="s">
        <v>22</v>
      </c>
      <c r="C302" s="4" t="s">
        <v>23</v>
      </c>
      <c r="D302" s="4" t="s">
        <v>24</v>
      </c>
      <c r="E302" s="4" t="s">
        <v>24</v>
      </c>
      <c r="F302" s="4" t="s">
        <v>25</v>
      </c>
      <c r="G302" s="4" t="s">
        <v>25</v>
      </c>
      <c r="H302" s="4" t="s">
        <v>25</v>
      </c>
      <c r="I302" s="5">
        <v>44593</v>
      </c>
      <c r="J302" s="6">
        <v>0</v>
      </c>
      <c r="K302" s="6">
        <v>0</v>
      </c>
      <c r="L302" s="6">
        <v>1210.3520000000001</v>
      </c>
      <c r="M302" s="6">
        <v>1210.3520000000001</v>
      </c>
      <c r="N302" s="6">
        <v>1210.3520000000001</v>
      </c>
      <c r="O302" s="6">
        <v>1210.3520000000001</v>
      </c>
      <c r="P302" s="6">
        <v>5094</v>
      </c>
      <c r="Q302" s="4" t="s">
        <v>26</v>
      </c>
      <c r="R302" s="4">
        <v>0</v>
      </c>
      <c r="S302" s="6">
        <v>0</v>
      </c>
      <c r="T302" s="6">
        <v>38</v>
      </c>
      <c r="U302" s="6">
        <v>89</v>
      </c>
      <c r="V302" s="6">
        <f>IF(ISERROR(VLOOKUP($S$302,'TAR FIN'!$A$1:$O$92,15,0)),0,VLOOKUP($S$302,'TAR FIN'!$A$1:$O$92,15,0))</f>
        <v>0</v>
      </c>
      <c r="W302" s="6">
        <f>IF(ISERROR(VLOOKUP($T$302,'TAR FIN'!$A$1:$O$92,15,0)),0,VLOOKUP($T$302,'TAR FIN'!$A$1:$O$92,15,0))</f>
        <v>343.17</v>
      </c>
      <c r="X302" s="6">
        <f>IF(ISERROR(VLOOKUP($U$302,'TAR FIN'!$A$1:$O$92,15,0)),0,VLOOKUP($U$302,'TAR FIN'!$A$1:$O$92,15,0))</f>
        <v>303.54000000000002</v>
      </c>
      <c r="Y302" s="6"/>
      <c r="Z302" s="6">
        <f ca="1">('TUSD BE'!$AM$24+'TUSD BF_350'!$AM$24+'TUSD CVA'!$AM$24)*1</f>
        <v>310.49</v>
      </c>
      <c r="AA302" s="6">
        <f ca="1">('TE BE'!$AB$12+'TE BF_350'!$AB$12+'TE CVA'!$AB$12)*1</f>
        <v>262.52999999999997</v>
      </c>
      <c r="AB302" s="6">
        <f>$K$302*$V$302</f>
        <v>0</v>
      </c>
      <c r="AC302" s="6">
        <f>$M$302*$W$302</f>
        <v>415356.49584000005</v>
      </c>
      <c r="AD302" s="6">
        <f>$O$302*$X$302</f>
        <v>367390.24608000007</v>
      </c>
      <c r="AE302" s="6">
        <f>$K$302*$Y$302</f>
        <v>0</v>
      </c>
      <c r="AF302" s="6">
        <f ca="1">$M$302*$Z$302</f>
        <v>375802.19248000003</v>
      </c>
      <c r="AG302" s="6">
        <f ca="1">$O$302*$AA$302</f>
        <v>317753.71055999998</v>
      </c>
    </row>
    <row r="303" spans="1:33" ht="11.25" customHeight="1" x14ac:dyDescent="0.3">
      <c r="A303" s="4" t="s">
        <v>27</v>
      </c>
      <c r="B303" s="4" t="s">
        <v>22</v>
      </c>
      <c r="C303" s="4" t="s">
        <v>23</v>
      </c>
      <c r="D303" s="4" t="s">
        <v>24</v>
      </c>
      <c r="E303" s="4" t="s">
        <v>24</v>
      </c>
      <c r="F303" s="4" t="s">
        <v>25</v>
      </c>
      <c r="G303" s="4" t="s">
        <v>25</v>
      </c>
      <c r="H303" s="4" t="s">
        <v>25</v>
      </c>
      <c r="I303" s="5">
        <v>44593</v>
      </c>
      <c r="J303" s="6">
        <v>0</v>
      </c>
      <c r="K303" s="6">
        <v>0</v>
      </c>
      <c r="L303" s="6">
        <v>12.363</v>
      </c>
      <c r="M303" s="6">
        <v>12.363</v>
      </c>
      <c r="N303" s="6">
        <v>12.363</v>
      </c>
      <c r="O303" s="6">
        <v>12.363</v>
      </c>
      <c r="P303" s="6">
        <v>85</v>
      </c>
      <c r="Q303" s="4" t="s">
        <v>26</v>
      </c>
      <c r="R303" s="4">
        <v>0</v>
      </c>
      <c r="S303" s="6">
        <v>0</v>
      </c>
      <c r="T303" s="6">
        <v>38</v>
      </c>
      <c r="U303" s="6">
        <v>89</v>
      </c>
      <c r="V303" s="6">
        <f>IF(ISERROR(VLOOKUP($S$303,'TAR FIN'!$A$1:$O$92,15,0)),0,VLOOKUP($S$303,'TAR FIN'!$A$1:$O$92,15,0))</f>
        <v>0</v>
      </c>
      <c r="W303" s="6">
        <f>IF(ISERROR(VLOOKUP($T$303,'TAR FIN'!$A$1:$O$92,15,0)),0,VLOOKUP($T$303,'TAR FIN'!$A$1:$O$92,15,0))</f>
        <v>343.17</v>
      </c>
      <c r="X303" s="6">
        <f>IF(ISERROR(VLOOKUP($U$303,'TAR FIN'!$A$1:$O$92,15,0)),0,VLOOKUP($U$303,'TAR FIN'!$A$1:$O$92,15,0))</f>
        <v>303.54000000000002</v>
      </c>
      <c r="Y303" s="6"/>
      <c r="Z303" s="6">
        <f ca="1">('TUSD BE'!$AM$24+'TUSD BF_350'!$AM$24+'TUSD CVA'!$AM$24)*1</f>
        <v>310.49</v>
      </c>
      <c r="AA303" s="6">
        <f ca="1">('TE BE'!$AB$12+'TE BF_350'!$AB$12+'TE CVA'!$AB$12)*1</f>
        <v>262.52999999999997</v>
      </c>
      <c r="AB303" s="6">
        <f>$K$303*$V$303</f>
        <v>0</v>
      </c>
      <c r="AC303" s="6">
        <f>$M$303*$W$303</f>
        <v>4242.6107099999999</v>
      </c>
      <c r="AD303" s="6">
        <f>$O$303*$X$303</f>
        <v>3752.6650199999999</v>
      </c>
      <c r="AE303" s="6">
        <f>$K$303*$Y$303</f>
        <v>0</v>
      </c>
      <c r="AF303" s="6">
        <f ca="1">$M$303*$Z$303</f>
        <v>3838.5878699999998</v>
      </c>
      <c r="AG303" s="6">
        <f ca="1">$O$303*$AA$303</f>
        <v>3245.6583899999996</v>
      </c>
    </row>
    <row r="304" spans="1:33" ht="11.25" customHeight="1" x14ac:dyDescent="0.3">
      <c r="A304" s="4" t="s">
        <v>21</v>
      </c>
      <c r="B304" s="4" t="s">
        <v>22</v>
      </c>
      <c r="C304" s="4" t="s">
        <v>23</v>
      </c>
      <c r="D304" s="4" t="s">
        <v>24</v>
      </c>
      <c r="E304" s="4" t="s">
        <v>24</v>
      </c>
      <c r="F304" s="4" t="s">
        <v>25</v>
      </c>
      <c r="G304" s="4" t="s">
        <v>25</v>
      </c>
      <c r="H304" s="4" t="s">
        <v>25</v>
      </c>
      <c r="I304" s="5">
        <v>44621</v>
      </c>
      <c r="J304" s="6">
        <v>0</v>
      </c>
      <c r="K304" s="6">
        <v>0</v>
      </c>
      <c r="L304" s="6">
        <v>1064.2370000000001</v>
      </c>
      <c r="M304" s="6">
        <v>1064.2370000000001</v>
      </c>
      <c r="N304" s="6">
        <v>1064.2370000000001</v>
      </c>
      <c r="O304" s="6">
        <v>1064.2370000000001</v>
      </c>
      <c r="P304" s="6">
        <v>5065</v>
      </c>
      <c r="Q304" s="4" t="s">
        <v>26</v>
      </c>
      <c r="R304" s="4">
        <v>0</v>
      </c>
      <c r="S304" s="6">
        <v>0</v>
      </c>
      <c r="T304" s="6">
        <v>38</v>
      </c>
      <c r="U304" s="6">
        <v>89</v>
      </c>
      <c r="V304" s="6">
        <f>IF(ISERROR(VLOOKUP($S$304,'TAR FIN'!$A$1:$O$92,15,0)),0,VLOOKUP($S$304,'TAR FIN'!$A$1:$O$92,15,0))</f>
        <v>0</v>
      </c>
      <c r="W304" s="6">
        <f>IF(ISERROR(VLOOKUP($T$304,'TAR FIN'!$A$1:$O$92,15,0)),0,VLOOKUP($T$304,'TAR FIN'!$A$1:$O$92,15,0))</f>
        <v>343.17</v>
      </c>
      <c r="X304" s="6">
        <f>IF(ISERROR(VLOOKUP($U$304,'TAR FIN'!$A$1:$O$92,15,0)),0,VLOOKUP($U$304,'TAR FIN'!$A$1:$O$92,15,0))</f>
        <v>303.54000000000002</v>
      </c>
      <c r="Y304" s="6"/>
      <c r="Z304" s="6">
        <f ca="1">('TUSD BE'!$AM$24+'TUSD BF_350'!$AM$24+'TUSD CVA'!$AM$24)*1</f>
        <v>310.49</v>
      </c>
      <c r="AA304" s="6">
        <f ca="1">('TE BE'!$AB$12+'TE BF_350'!$AB$12+'TE CVA'!$AB$12)*1</f>
        <v>262.52999999999997</v>
      </c>
      <c r="AB304" s="6">
        <f>$K$304*$V$304</f>
        <v>0</v>
      </c>
      <c r="AC304" s="6">
        <f>$M$304*$W$304</f>
        <v>365214.21129000006</v>
      </c>
      <c r="AD304" s="6">
        <f>$O$304*$X$304</f>
        <v>323038.49898000003</v>
      </c>
      <c r="AE304" s="6">
        <f>$K$304*$Y$304</f>
        <v>0</v>
      </c>
      <c r="AF304" s="6">
        <f ca="1">$M$304*$Z$304</f>
        <v>330434.94613000005</v>
      </c>
      <c r="AG304" s="6">
        <f ca="1">$O$304*$AA$304</f>
        <v>279394.13961000001</v>
      </c>
    </row>
    <row r="305" spans="1:33" ht="11.25" customHeight="1" x14ac:dyDescent="0.3">
      <c r="A305" s="4" t="s">
        <v>27</v>
      </c>
      <c r="B305" s="4" t="s">
        <v>22</v>
      </c>
      <c r="C305" s="4" t="s">
        <v>23</v>
      </c>
      <c r="D305" s="4" t="s">
        <v>24</v>
      </c>
      <c r="E305" s="4" t="s">
        <v>24</v>
      </c>
      <c r="F305" s="4" t="s">
        <v>25</v>
      </c>
      <c r="G305" s="4" t="s">
        <v>25</v>
      </c>
      <c r="H305" s="4" t="s">
        <v>25</v>
      </c>
      <c r="I305" s="5">
        <v>44621</v>
      </c>
      <c r="J305" s="6">
        <v>0</v>
      </c>
      <c r="K305" s="6">
        <v>0</v>
      </c>
      <c r="L305" s="6">
        <v>11.416</v>
      </c>
      <c r="M305" s="6">
        <v>11.416</v>
      </c>
      <c r="N305" s="6">
        <v>11.416</v>
      </c>
      <c r="O305" s="6">
        <v>11.416</v>
      </c>
      <c r="P305" s="6">
        <v>91</v>
      </c>
      <c r="Q305" s="4" t="s">
        <v>26</v>
      </c>
      <c r="R305" s="4">
        <v>0</v>
      </c>
      <c r="S305" s="6">
        <v>0</v>
      </c>
      <c r="T305" s="6">
        <v>38</v>
      </c>
      <c r="U305" s="6">
        <v>89</v>
      </c>
      <c r="V305" s="6">
        <f>IF(ISERROR(VLOOKUP($S$305,'TAR FIN'!$A$1:$O$92,15,0)),0,VLOOKUP($S$305,'TAR FIN'!$A$1:$O$92,15,0))</f>
        <v>0</v>
      </c>
      <c r="W305" s="6">
        <f>IF(ISERROR(VLOOKUP($T$305,'TAR FIN'!$A$1:$O$92,15,0)),0,VLOOKUP($T$305,'TAR FIN'!$A$1:$O$92,15,0))</f>
        <v>343.17</v>
      </c>
      <c r="X305" s="6">
        <f>IF(ISERROR(VLOOKUP($U$305,'TAR FIN'!$A$1:$O$92,15,0)),0,VLOOKUP($U$305,'TAR FIN'!$A$1:$O$92,15,0))</f>
        <v>303.54000000000002</v>
      </c>
      <c r="Y305" s="6"/>
      <c r="Z305" s="6">
        <f ca="1">('TUSD BE'!$AM$24+'TUSD BF_350'!$AM$24+'TUSD CVA'!$AM$24)*1</f>
        <v>310.49</v>
      </c>
      <c r="AA305" s="6">
        <f ca="1">('TE BE'!$AB$12+'TE BF_350'!$AB$12+'TE CVA'!$AB$12)*1</f>
        <v>262.52999999999997</v>
      </c>
      <c r="AB305" s="6">
        <f>$K$305*$V$305</f>
        <v>0</v>
      </c>
      <c r="AC305" s="6">
        <f>$M$305*$W$305</f>
        <v>3917.6287200000002</v>
      </c>
      <c r="AD305" s="6">
        <f>$O$305*$X$305</f>
        <v>3465.2126400000002</v>
      </c>
      <c r="AE305" s="6">
        <f>$K$305*$Y$305</f>
        <v>0</v>
      </c>
      <c r="AF305" s="6">
        <f ca="1">$M$305*$Z$305</f>
        <v>3544.55384</v>
      </c>
      <c r="AG305" s="6">
        <f ca="1">$O$305*$AA$305</f>
        <v>2997.0424799999996</v>
      </c>
    </row>
    <row r="306" spans="1:33" ht="11.25" customHeight="1" x14ac:dyDescent="0.3">
      <c r="A306" s="4" t="s">
        <v>21</v>
      </c>
      <c r="B306" s="4" t="s">
        <v>22</v>
      </c>
      <c r="C306" s="4" t="s">
        <v>23</v>
      </c>
      <c r="D306" s="4" t="s">
        <v>24</v>
      </c>
      <c r="E306" s="4" t="s">
        <v>24</v>
      </c>
      <c r="F306" s="4" t="s">
        <v>25</v>
      </c>
      <c r="G306" s="4" t="s">
        <v>25</v>
      </c>
      <c r="H306" s="4" t="s">
        <v>25</v>
      </c>
      <c r="I306" s="5">
        <v>44652</v>
      </c>
      <c r="J306" s="6">
        <v>0</v>
      </c>
      <c r="K306" s="6">
        <v>0</v>
      </c>
      <c r="L306" s="6">
        <v>938.63199999999995</v>
      </c>
      <c r="M306" s="6">
        <v>938.63199999999995</v>
      </c>
      <c r="N306" s="6">
        <v>938.63199999999995</v>
      </c>
      <c r="O306" s="6">
        <v>938.63199999999995</v>
      </c>
      <c r="P306" s="6">
        <v>5073</v>
      </c>
      <c r="Q306" s="4" t="s">
        <v>26</v>
      </c>
      <c r="R306" s="4">
        <v>0</v>
      </c>
      <c r="S306" s="6">
        <v>0</v>
      </c>
      <c r="T306" s="6">
        <v>38</v>
      </c>
      <c r="U306" s="6">
        <v>89</v>
      </c>
      <c r="V306" s="6">
        <f>IF(ISERROR(VLOOKUP($S$306,'TAR FIN'!$A$1:$O$92,15,0)),0,VLOOKUP($S$306,'TAR FIN'!$A$1:$O$92,15,0))</f>
        <v>0</v>
      </c>
      <c r="W306" s="6">
        <f>IF(ISERROR(VLOOKUP($T$306,'TAR FIN'!$A$1:$O$92,15,0)),0,VLOOKUP($T$306,'TAR FIN'!$A$1:$O$92,15,0))</f>
        <v>343.17</v>
      </c>
      <c r="X306" s="6">
        <f>IF(ISERROR(VLOOKUP($U$306,'TAR FIN'!$A$1:$O$92,15,0)),0,VLOOKUP($U$306,'TAR FIN'!$A$1:$O$92,15,0))</f>
        <v>303.54000000000002</v>
      </c>
      <c r="Y306" s="6"/>
      <c r="Z306" s="6">
        <f ca="1">('TUSD BE'!$AM$24+'TUSD BF_350'!$AM$24+'TUSD CVA'!$AM$24)*1</f>
        <v>310.49</v>
      </c>
      <c r="AA306" s="6">
        <f ca="1">('TE BE'!$AB$12+'TE BF_350'!$AB$12+'TE CVA'!$AB$12)*1</f>
        <v>262.52999999999997</v>
      </c>
      <c r="AB306" s="6">
        <f>$K$306*$V$306</f>
        <v>0</v>
      </c>
      <c r="AC306" s="6">
        <f>$M$306*$W$306</f>
        <v>322110.34344000003</v>
      </c>
      <c r="AD306" s="6">
        <f>$O$306*$X$306</f>
        <v>284912.35728</v>
      </c>
      <c r="AE306" s="6">
        <f>$K$306*$Y$306</f>
        <v>0</v>
      </c>
      <c r="AF306" s="6">
        <f ca="1">$M$306*$Z$306</f>
        <v>291435.84967999998</v>
      </c>
      <c r="AG306" s="6">
        <f ca="1">$O$306*$AA$306</f>
        <v>246419.05895999997</v>
      </c>
    </row>
    <row r="307" spans="1:33" ht="11.25" customHeight="1" x14ac:dyDescent="0.3">
      <c r="A307" s="4" t="s">
        <v>27</v>
      </c>
      <c r="B307" s="4" t="s">
        <v>22</v>
      </c>
      <c r="C307" s="4" t="s">
        <v>23</v>
      </c>
      <c r="D307" s="4" t="s">
        <v>24</v>
      </c>
      <c r="E307" s="4" t="s">
        <v>24</v>
      </c>
      <c r="F307" s="4" t="s">
        <v>25</v>
      </c>
      <c r="G307" s="4" t="s">
        <v>25</v>
      </c>
      <c r="H307" s="4" t="s">
        <v>25</v>
      </c>
      <c r="I307" s="5">
        <v>44652</v>
      </c>
      <c r="J307" s="6">
        <v>0</v>
      </c>
      <c r="K307" s="6">
        <v>0</v>
      </c>
      <c r="L307" s="6">
        <v>11.135999999999999</v>
      </c>
      <c r="M307" s="6">
        <v>11.135999999999999</v>
      </c>
      <c r="N307" s="6">
        <v>11.135999999999999</v>
      </c>
      <c r="O307" s="6">
        <v>11.135999999999999</v>
      </c>
      <c r="P307" s="6">
        <v>94</v>
      </c>
      <c r="Q307" s="4" t="s">
        <v>26</v>
      </c>
      <c r="R307" s="4">
        <v>0</v>
      </c>
      <c r="S307" s="6">
        <v>0</v>
      </c>
      <c r="T307" s="6">
        <v>38</v>
      </c>
      <c r="U307" s="6">
        <v>89</v>
      </c>
      <c r="V307" s="6">
        <f>IF(ISERROR(VLOOKUP($S$307,'TAR FIN'!$A$1:$O$92,15,0)),0,VLOOKUP($S$307,'TAR FIN'!$A$1:$O$92,15,0))</f>
        <v>0</v>
      </c>
      <c r="W307" s="6">
        <f>IF(ISERROR(VLOOKUP($T$307,'TAR FIN'!$A$1:$O$92,15,0)),0,VLOOKUP($T$307,'TAR FIN'!$A$1:$O$92,15,0))</f>
        <v>343.17</v>
      </c>
      <c r="X307" s="6">
        <f>IF(ISERROR(VLOOKUP($U$307,'TAR FIN'!$A$1:$O$92,15,0)),0,VLOOKUP($U$307,'TAR FIN'!$A$1:$O$92,15,0))</f>
        <v>303.54000000000002</v>
      </c>
      <c r="Y307" s="6"/>
      <c r="Z307" s="6">
        <f ca="1">('TUSD BE'!$AM$24+'TUSD BF_350'!$AM$24+'TUSD CVA'!$AM$24)*1</f>
        <v>310.49</v>
      </c>
      <c r="AA307" s="6">
        <f ca="1">('TE BE'!$AB$12+'TE BF_350'!$AB$12+'TE CVA'!$AB$12)*1</f>
        <v>262.52999999999997</v>
      </c>
      <c r="AB307" s="6">
        <f>$K$307*$V$307</f>
        <v>0</v>
      </c>
      <c r="AC307" s="6">
        <f>$M$307*$W$307</f>
        <v>3821.5411199999999</v>
      </c>
      <c r="AD307" s="6">
        <f>$O$307*$X$307</f>
        <v>3380.2214399999998</v>
      </c>
      <c r="AE307" s="6">
        <f>$K$307*$Y$307</f>
        <v>0</v>
      </c>
      <c r="AF307" s="6">
        <f ca="1">$M$307*$Z$307</f>
        <v>3457.6166399999997</v>
      </c>
      <c r="AG307" s="6">
        <f ca="1">$O$307*$AA$307</f>
        <v>2923.5340799999994</v>
      </c>
    </row>
    <row r="308" spans="1:33" ht="11.25" customHeight="1" x14ac:dyDescent="0.3">
      <c r="A308" s="4" t="s">
        <v>21</v>
      </c>
      <c r="B308" s="4" t="s">
        <v>22</v>
      </c>
      <c r="C308" s="4" t="s">
        <v>23</v>
      </c>
      <c r="D308" s="4" t="s">
        <v>24</v>
      </c>
      <c r="E308" s="4" t="s">
        <v>24</v>
      </c>
      <c r="F308" s="4" t="s">
        <v>25</v>
      </c>
      <c r="G308" s="4" t="s">
        <v>25</v>
      </c>
      <c r="H308" s="4" t="s">
        <v>25</v>
      </c>
      <c r="I308" s="5">
        <v>44682</v>
      </c>
      <c r="J308" s="6">
        <v>0</v>
      </c>
      <c r="K308" s="6">
        <v>0</v>
      </c>
      <c r="L308" s="6">
        <v>825.43399999999997</v>
      </c>
      <c r="M308" s="6">
        <v>825.43399999999997</v>
      </c>
      <c r="N308" s="6">
        <v>825.43399999999997</v>
      </c>
      <c r="O308" s="6">
        <v>825.43399999999997</v>
      </c>
      <c r="P308" s="6">
        <v>5049</v>
      </c>
      <c r="Q308" s="4" t="s">
        <v>26</v>
      </c>
      <c r="R308" s="4">
        <v>0</v>
      </c>
      <c r="S308" s="6">
        <v>0</v>
      </c>
      <c r="T308" s="6">
        <v>38</v>
      </c>
      <c r="U308" s="6">
        <v>89</v>
      </c>
      <c r="V308" s="6">
        <f>IF(ISERROR(VLOOKUP($S$308,'TAR FIN'!$A$1:$O$92,15,0)),0,VLOOKUP($S$308,'TAR FIN'!$A$1:$O$92,15,0))</f>
        <v>0</v>
      </c>
      <c r="W308" s="6">
        <f>IF(ISERROR(VLOOKUP($T$308,'TAR FIN'!$A$1:$O$92,15,0)),0,VLOOKUP($T$308,'TAR FIN'!$A$1:$O$92,15,0))</f>
        <v>343.17</v>
      </c>
      <c r="X308" s="6">
        <f>IF(ISERROR(VLOOKUP($U$308,'TAR FIN'!$A$1:$O$92,15,0)),0,VLOOKUP($U$308,'TAR FIN'!$A$1:$O$92,15,0))</f>
        <v>303.54000000000002</v>
      </c>
      <c r="Y308" s="6"/>
      <c r="Z308" s="6">
        <f ca="1">('TUSD BE'!$AM$24+'TUSD BF_350'!$AM$24+'TUSD CVA'!$AM$24)*1</f>
        <v>310.49</v>
      </c>
      <c r="AA308" s="6">
        <f ca="1">('TE BE'!$AB$12+'TE BF_350'!$AB$12+'TE CVA'!$AB$12)*1</f>
        <v>262.52999999999997</v>
      </c>
      <c r="AB308" s="6">
        <f>$K$308*$V$308</f>
        <v>0</v>
      </c>
      <c r="AC308" s="6">
        <f>$M$308*$W$308</f>
        <v>283264.18578</v>
      </c>
      <c r="AD308" s="6">
        <f>$O$308*$X$308</f>
        <v>250552.23636000001</v>
      </c>
      <c r="AE308" s="6">
        <f>$K$308*$Y$308</f>
        <v>0</v>
      </c>
      <c r="AF308" s="6">
        <f ca="1">$M$308*$Z$308</f>
        <v>256289.00266</v>
      </c>
      <c r="AG308" s="6">
        <f ca="1">$O$308*$AA$308</f>
        <v>216701.18801999997</v>
      </c>
    </row>
    <row r="309" spans="1:33" ht="11.25" customHeight="1" x14ac:dyDescent="0.3">
      <c r="A309" s="4" t="s">
        <v>27</v>
      </c>
      <c r="B309" s="4" t="s">
        <v>22</v>
      </c>
      <c r="C309" s="4" t="s">
        <v>23</v>
      </c>
      <c r="D309" s="4" t="s">
        <v>24</v>
      </c>
      <c r="E309" s="4" t="s">
        <v>24</v>
      </c>
      <c r="F309" s="4" t="s">
        <v>25</v>
      </c>
      <c r="G309" s="4" t="s">
        <v>25</v>
      </c>
      <c r="H309" s="4" t="s">
        <v>25</v>
      </c>
      <c r="I309" s="5">
        <v>44682</v>
      </c>
      <c r="J309" s="6">
        <v>0</v>
      </c>
      <c r="K309" s="6">
        <v>0</v>
      </c>
      <c r="L309" s="6">
        <v>8.3059999999999992</v>
      </c>
      <c r="M309" s="6">
        <v>8.3059999999999992</v>
      </c>
      <c r="N309" s="6">
        <v>8.3059999999999992</v>
      </c>
      <c r="O309" s="6">
        <v>8.3059999999999992</v>
      </c>
      <c r="P309" s="6">
        <v>100</v>
      </c>
      <c r="Q309" s="4" t="s">
        <v>26</v>
      </c>
      <c r="R309" s="4">
        <v>0</v>
      </c>
      <c r="S309" s="6">
        <v>0</v>
      </c>
      <c r="T309" s="6">
        <v>38</v>
      </c>
      <c r="U309" s="6">
        <v>89</v>
      </c>
      <c r="V309" s="6">
        <f>IF(ISERROR(VLOOKUP($S$309,'TAR FIN'!$A$1:$O$92,15,0)),0,VLOOKUP($S$309,'TAR FIN'!$A$1:$O$92,15,0))</f>
        <v>0</v>
      </c>
      <c r="W309" s="6">
        <f>IF(ISERROR(VLOOKUP($T$309,'TAR FIN'!$A$1:$O$92,15,0)),0,VLOOKUP($T$309,'TAR FIN'!$A$1:$O$92,15,0))</f>
        <v>343.17</v>
      </c>
      <c r="X309" s="6">
        <f>IF(ISERROR(VLOOKUP($U$309,'TAR FIN'!$A$1:$O$92,15,0)),0,VLOOKUP($U$309,'TAR FIN'!$A$1:$O$92,15,0))</f>
        <v>303.54000000000002</v>
      </c>
      <c r="Y309" s="6"/>
      <c r="Z309" s="6">
        <f ca="1">('TUSD BE'!$AM$24+'TUSD BF_350'!$AM$24+'TUSD CVA'!$AM$24)*1</f>
        <v>310.49</v>
      </c>
      <c r="AA309" s="6">
        <f ca="1">('TE BE'!$AB$12+'TE BF_350'!$AB$12+'TE CVA'!$AB$12)*1</f>
        <v>262.52999999999997</v>
      </c>
      <c r="AB309" s="6">
        <f>$K$309*$V$309</f>
        <v>0</v>
      </c>
      <c r="AC309" s="6">
        <f>$M$309*$W$309</f>
        <v>2850.3700199999998</v>
      </c>
      <c r="AD309" s="6">
        <f>$O$309*$X$309</f>
        <v>2521.2032399999998</v>
      </c>
      <c r="AE309" s="6">
        <f>$K$309*$Y$309</f>
        <v>0</v>
      </c>
      <c r="AF309" s="6">
        <f ca="1">$M$309*$Z$309</f>
        <v>2578.92994</v>
      </c>
      <c r="AG309" s="6">
        <f ca="1">$O$309*$AA$309</f>
        <v>2180.5741799999996</v>
      </c>
    </row>
    <row r="310" spans="1:33" ht="11.25" customHeight="1" x14ac:dyDescent="0.3">
      <c r="A310" s="4" t="s">
        <v>21</v>
      </c>
      <c r="B310" s="4" t="s">
        <v>22</v>
      </c>
      <c r="C310" s="4" t="s">
        <v>23</v>
      </c>
      <c r="D310" s="4" t="s">
        <v>24</v>
      </c>
      <c r="E310" s="4" t="s">
        <v>24</v>
      </c>
      <c r="F310" s="4" t="s">
        <v>25</v>
      </c>
      <c r="G310" s="4" t="s">
        <v>25</v>
      </c>
      <c r="H310" s="4" t="s">
        <v>25</v>
      </c>
      <c r="I310" s="5">
        <v>44713</v>
      </c>
      <c r="J310" s="6">
        <v>0</v>
      </c>
      <c r="K310" s="6">
        <v>0</v>
      </c>
      <c r="L310" s="6">
        <v>939.94399999999996</v>
      </c>
      <c r="M310" s="6">
        <v>939.94399999999996</v>
      </c>
      <c r="N310" s="6">
        <v>939.94399999999996</v>
      </c>
      <c r="O310" s="6">
        <v>939.94399999999996</v>
      </c>
      <c r="P310" s="6">
        <v>5130</v>
      </c>
      <c r="Q310" s="4" t="s">
        <v>26</v>
      </c>
      <c r="R310" s="4">
        <v>0</v>
      </c>
      <c r="S310" s="6">
        <v>0</v>
      </c>
      <c r="T310" s="6">
        <v>38</v>
      </c>
      <c r="U310" s="6">
        <v>89</v>
      </c>
      <c r="V310" s="6">
        <f>IF(ISERROR(VLOOKUP($S$310,'TAR FIN'!$A$1:$O$92,15,0)),0,VLOOKUP($S$310,'TAR FIN'!$A$1:$O$92,15,0))</f>
        <v>0</v>
      </c>
      <c r="W310" s="6">
        <f>IF(ISERROR(VLOOKUP($T$310,'TAR FIN'!$A$1:$O$92,15,0)),0,VLOOKUP($T$310,'TAR FIN'!$A$1:$O$92,15,0))</f>
        <v>343.17</v>
      </c>
      <c r="X310" s="6">
        <f>IF(ISERROR(VLOOKUP($U$310,'TAR FIN'!$A$1:$O$92,15,0)),0,VLOOKUP($U$310,'TAR FIN'!$A$1:$O$92,15,0))</f>
        <v>303.54000000000002</v>
      </c>
      <c r="Y310" s="6"/>
      <c r="Z310" s="6">
        <f ca="1">('TUSD BE'!$AM$24+'TUSD BF_350'!$AM$24+'TUSD CVA'!$AM$24)*1</f>
        <v>310.49</v>
      </c>
      <c r="AA310" s="6">
        <f ca="1">('TE BE'!$AB$12+'TE BF_350'!$AB$12+'TE CVA'!$AB$12)*1</f>
        <v>262.52999999999997</v>
      </c>
      <c r="AB310" s="6">
        <f>$K$310*$V$310</f>
        <v>0</v>
      </c>
      <c r="AC310" s="6">
        <f>$M$310*$W$310</f>
        <v>322560.58247999998</v>
      </c>
      <c r="AD310" s="6">
        <f>$O$310*$X$310</f>
        <v>285310.60175999999</v>
      </c>
      <c r="AE310" s="6">
        <f>$K$310*$Y$310</f>
        <v>0</v>
      </c>
      <c r="AF310" s="6">
        <f ca="1">$M$310*$Z$310</f>
        <v>291843.21256000001</v>
      </c>
      <c r="AG310" s="6">
        <f ca="1">$O$310*$AA$310</f>
        <v>246763.49831999996</v>
      </c>
    </row>
    <row r="311" spans="1:33" ht="11.25" customHeight="1" x14ac:dyDescent="0.3">
      <c r="A311" s="4" t="s">
        <v>27</v>
      </c>
      <c r="B311" s="4" t="s">
        <v>22</v>
      </c>
      <c r="C311" s="4" t="s">
        <v>23</v>
      </c>
      <c r="D311" s="4" t="s">
        <v>24</v>
      </c>
      <c r="E311" s="4" t="s">
        <v>24</v>
      </c>
      <c r="F311" s="4" t="s">
        <v>25</v>
      </c>
      <c r="G311" s="4" t="s">
        <v>25</v>
      </c>
      <c r="H311" s="4" t="s">
        <v>25</v>
      </c>
      <c r="I311" s="5">
        <v>44713</v>
      </c>
      <c r="J311" s="6">
        <v>0</v>
      </c>
      <c r="K311" s="6">
        <v>0</v>
      </c>
      <c r="L311" s="6">
        <v>12.606</v>
      </c>
      <c r="M311" s="6">
        <v>12.606</v>
      </c>
      <c r="N311" s="6">
        <v>12.606</v>
      </c>
      <c r="O311" s="6">
        <v>12.606</v>
      </c>
      <c r="P311" s="6">
        <v>101</v>
      </c>
      <c r="Q311" s="4" t="s">
        <v>26</v>
      </c>
      <c r="R311" s="4">
        <v>0</v>
      </c>
      <c r="S311" s="6">
        <v>0</v>
      </c>
      <c r="T311" s="6">
        <v>38</v>
      </c>
      <c r="U311" s="6">
        <v>89</v>
      </c>
      <c r="V311" s="6">
        <f>IF(ISERROR(VLOOKUP($S$311,'TAR FIN'!$A$1:$O$92,15,0)),0,VLOOKUP($S$311,'TAR FIN'!$A$1:$O$92,15,0))</f>
        <v>0</v>
      </c>
      <c r="W311" s="6">
        <f>IF(ISERROR(VLOOKUP($T$311,'TAR FIN'!$A$1:$O$92,15,0)),0,VLOOKUP($T$311,'TAR FIN'!$A$1:$O$92,15,0))</f>
        <v>343.17</v>
      </c>
      <c r="X311" s="6">
        <f>IF(ISERROR(VLOOKUP($U$311,'TAR FIN'!$A$1:$O$92,15,0)),0,VLOOKUP($U$311,'TAR FIN'!$A$1:$O$92,15,0))</f>
        <v>303.54000000000002</v>
      </c>
      <c r="Y311" s="6"/>
      <c r="Z311" s="6">
        <f ca="1">('TUSD BE'!$AM$24+'TUSD BF_350'!$AM$24+'TUSD CVA'!$AM$24)*1</f>
        <v>310.49</v>
      </c>
      <c r="AA311" s="6">
        <f ca="1">('TE BE'!$AB$12+'TE BF_350'!$AB$12+'TE CVA'!$AB$12)*1</f>
        <v>262.52999999999997</v>
      </c>
      <c r="AB311" s="6">
        <f>$K$311*$V$311</f>
        <v>0</v>
      </c>
      <c r="AC311" s="6">
        <f>$M$311*$W$311</f>
        <v>4326.0010200000006</v>
      </c>
      <c r="AD311" s="6">
        <f>$O$311*$X$311</f>
        <v>3826.42524</v>
      </c>
      <c r="AE311" s="6">
        <f>$K$311*$Y$311</f>
        <v>0</v>
      </c>
      <c r="AF311" s="6">
        <f ca="1">$M$311*$Z$311</f>
        <v>3914.03694</v>
      </c>
      <c r="AG311" s="6">
        <f ca="1">$O$311*$AA$311</f>
        <v>3309.4531799999995</v>
      </c>
    </row>
    <row r="312" spans="1:33" ht="11.25" customHeight="1" x14ac:dyDescent="0.3">
      <c r="A312" s="4" t="s">
        <v>21</v>
      </c>
      <c r="B312" s="4" t="s">
        <v>22</v>
      </c>
      <c r="C312" s="4" t="s">
        <v>23</v>
      </c>
      <c r="D312" s="4" t="s">
        <v>24</v>
      </c>
      <c r="E312" s="4" t="s">
        <v>24</v>
      </c>
      <c r="F312" s="4" t="s">
        <v>25</v>
      </c>
      <c r="G312" s="4" t="s">
        <v>25</v>
      </c>
      <c r="H312" s="4" t="s">
        <v>25</v>
      </c>
      <c r="I312" s="5">
        <v>44743</v>
      </c>
      <c r="J312" s="6">
        <v>0</v>
      </c>
      <c r="K312" s="6">
        <v>0</v>
      </c>
      <c r="L312" s="6">
        <v>954.72799999999995</v>
      </c>
      <c r="M312" s="6">
        <v>954.72799999999995</v>
      </c>
      <c r="N312" s="6">
        <v>954.72799999999995</v>
      </c>
      <c r="O312" s="6">
        <v>954.72799999999995</v>
      </c>
      <c r="P312" s="6">
        <v>5090</v>
      </c>
      <c r="Q312" s="4" t="s">
        <v>26</v>
      </c>
      <c r="R312" s="4">
        <v>0</v>
      </c>
      <c r="S312" s="6">
        <v>0</v>
      </c>
      <c r="T312" s="6">
        <v>38</v>
      </c>
      <c r="U312" s="6">
        <v>89</v>
      </c>
      <c r="V312" s="6">
        <f>IF(ISERROR(VLOOKUP($S$312,'TAR FIN'!$A$1:$O$92,15,0)),0,VLOOKUP($S$312,'TAR FIN'!$A$1:$O$92,15,0))</f>
        <v>0</v>
      </c>
      <c r="W312" s="6">
        <f>IF(ISERROR(VLOOKUP($T$312,'TAR FIN'!$A$1:$O$92,15,0)),0,VLOOKUP($T$312,'TAR FIN'!$A$1:$O$92,15,0))</f>
        <v>343.17</v>
      </c>
      <c r="X312" s="6">
        <f>IF(ISERROR(VLOOKUP($U$312,'TAR FIN'!$A$1:$O$92,15,0)),0,VLOOKUP($U$312,'TAR FIN'!$A$1:$O$92,15,0))</f>
        <v>303.54000000000002</v>
      </c>
      <c r="Y312" s="6"/>
      <c r="Z312" s="6">
        <f ca="1">('TUSD BE'!$AM$24+'TUSD BF_350'!$AM$24+'TUSD CVA'!$AM$24)*1</f>
        <v>310.49</v>
      </c>
      <c r="AA312" s="6">
        <f ca="1">('TE BE'!$AB$12+'TE BF_350'!$AB$12+'TE CVA'!$AB$12)*1</f>
        <v>262.52999999999997</v>
      </c>
      <c r="AB312" s="6">
        <f>$K$312*$V$312</f>
        <v>0</v>
      </c>
      <c r="AC312" s="6">
        <f>$M$312*$W$312</f>
        <v>327634.00776000001</v>
      </c>
      <c r="AD312" s="6">
        <f>$O$312*$X$312</f>
        <v>289798.13712000003</v>
      </c>
      <c r="AE312" s="6">
        <f>$K$312*$Y$312</f>
        <v>0</v>
      </c>
      <c r="AF312" s="6">
        <f ca="1">$M$312*$Z$312</f>
        <v>296433.49672</v>
      </c>
      <c r="AG312" s="6">
        <f ca="1">$O$312*$AA$312</f>
        <v>250644.74183999997</v>
      </c>
    </row>
    <row r="313" spans="1:33" ht="11.25" customHeight="1" x14ac:dyDescent="0.3">
      <c r="A313" s="4" t="s">
        <v>27</v>
      </c>
      <c r="B313" s="4" t="s">
        <v>22</v>
      </c>
      <c r="C313" s="4" t="s">
        <v>23</v>
      </c>
      <c r="D313" s="4" t="s">
        <v>24</v>
      </c>
      <c r="E313" s="4" t="s">
        <v>24</v>
      </c>
      <c r="F313" s="4" t="s">
        <v>25</v>
      </c>
      <c r="G313" s="4" t="s">
        <v>25</v>
      </c>
      <c r="H313" s="4" t="s">
        <v>25</v>
      </c>
      <c r="I313" s="5">
        <v>44743</v>
      </c>
      <c r="J313" s="6">
        <v>0</v>
      </c>
      <c r="K313" s="6">
        <v>0</v>
      </c>
      <c r="L313" s="6">
        <v>17.584</v>
      </c>
      <c r="M313" s="6">
        <v>17.584</v>
      </c>
      <c r="N313" s="6">
        <v>17.584</v>
      </c>
      <c r="O313" s="6">
        <v>17.584</v>
      </c>
      <c r="P313" s="6">
        <v>104</v>
      </c>
      <c r="Q313" s="4" t="s">
        <v>26</v>
      </c>
      <c r="R313" s="4">
        <v>0</v>
      </c>
      <c r="S313" s="6">
        <v>0</v>
      </c>
      <c r="T313" s="6">
        <v>38</v>
      </c>
      <c r="U313" s="6">
        <v>89</v>
      </c>
      <c r="V313" s="6">
        <f>IF(ISERROR(VLOOKUP($S$313,'TAR FIN'!$A$1:$O$92,15,0)),0,VLOOKUP($S$313,'TAR FIN'!$A$1:$O$92,15,0))</f>
        <v>0</v>
      </c>
      <c r="W313" s="6">
        <f>IF(ISERROR(VLOOKUP($T$313,'TAR FIN'!$A$1:$O$92,15,0)),0,VLOOKUP($T$313,'TAR FIN'!$A$1:$O$92,15,0))</f>
        <v>343.17</v>
      </c>
      <c r="X313" s="6">
        <f>IF(ISERROR(VLOOKUP($U$313,'TAR FIN'!$A$1:$O$92,15,0)),0,VLOOKUP($U$313,'TAR FIN'!$A$1:$O$92,15,0))</f>
        <v>303.54000000000002</v>
      </c>
      <c r="Y313" s="6"/>
      <c r="Z313" s="6">
        <f ca="1">('TUSD BE'!$AM$24+'TUSD BF_350'!$AM$24+'TUSD CVA'!$AM$24)*1</f>
        <v>310.49</v>
      </c>
      <c r="AA313" s="6">
        <f ca="1">('TE BE'!$AB$12+'TE BF_350'!$AB$12+'TE CVA'!$AB$12)*1</f>
        <v>262.52999999999997</v>
      </c>
      <c r="AB313" s="6">
        <f>$K$313*$V$313</f>
        <v>0</v>
      </c>
      <c r="AC313" s="6">
        <f>$M$313*$W$313</f>
        <v>6034.3012800000006</v>
      </c>
      <c r="AD313" s="6">
        <f>$O$313*$X$313</f>
        <v>5337.4473600000001</v>
      </c>
      <c r="AE313" s="6">
        <f>$K$313*$Y$313</f>
        <v>0</v>
      </c>
      <c r="AF313" s="6">
        <f ca="1">$M$313*$Z$313</f>
        <v>5459.6561600000005</v>
      </c>
      <c r="AG313" s="6">
        <f ca="1">$O$313*$AA$313</f>
        <v>4616.3275199999998</v>
      </c>
    </row>
    <row r="314" spans="1:33" ht="11.25" customHeight="1" x14ac:dyDescent="0.3">
      <c r="A314" s="4" t="s">
        <v>21</v>
      </c>
      <c r="B314" s="4" t="s">
        <v>22</v>
      </c>
      <c r="C314" s="4" t="s">
        <v>23</v>
      </c>
      <c r="D314" s="4" t="s">
        <v>24</v>
      </c>
      <c r="E314" s="4" t="s">
        <v>28</v>
      </c>
      <c r="F314" s="4" t="s">
        <v>25</v>
      </c>
      <c r="G314" s="4" t="s">
        <v>25</v>
      </c>
      <c r="H314" s="4" t="s">
        <v>25</v>
      </c>
      <c r="I314" s="5">
        <v>44409</v>
      </c>
      <c r="J314" s="6">
        <v>0</v>
      </c>
      <c r="K314" s="6">
        <v>0</v>
      </c>
      <c r="L314" s="6">
        <v>8.9700000000000006</v>
      </c>
      <c r="M314" s="6">
        <v>8.9700000000000006</v>
      </c>
      <c r="N314" s="6">
        <v>8.9700000000000006</v>
      </c>
      <c r="O314" s="6">
        <v>8.9700000000000006</v>
      </c>
      <c r="P314" s="6">
        <v>14</v>
      </c>
      <c r="Q314" s="4" t="s">
        <v>26</v>
      </c>
      <c r="R314" s="4">
        <v>0</v>
      </c>
      <c r="S314" s="6">
        <v>0</v>
      </c>
      <c r="T314" s="6">
        <v>41</v>
      </c>
      <c r="U314" s="6">
        <v>90</v>
      </c>
      <c r="V314" s="6">
        <f>IF(ISERROR(VLOOKUP($S$314,'TAR FIN'!$A$1:$O$92,15,0)),0,VLOOKUP($S$314,'TAR FIN'!$A$1:$O$92,15,0))</f>
        <v>0</v>
      </c>
      <c r="W314" s="6">
        <f>IF(ISERROR(VLOOKUP($T$314,'TAR FIN'!$A$1:$O$92,15,0)),0,VLOOKUP($T$314,'TAR FIN'!$A$1:$O$92,15,0))</f>
        <v>94.95</v>
      </c>
      <c r="X314" s="6">
        <f>IF(ISERROR(VLOOKUP($U$314,'TAR FIN'!$A$1:$O$92,15,0)),0,VLOOKUP($U$314,'TAR FIN'!$A$1:$O$92,15,0))</f>
        <v>106.24</v>
      </c>
      <c r="Y314" s="6"/>
      <c r="Z314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14" s="6">
        <f ca="1">('TE BE'!$AB$13+'TE BF_350'!$AB$13+'TE CVA'!$AB$13)*(1-CUSTOS!$M$34)</f>
        <v>91.885499999999979</v>
      </c>
      <c r="AB314" s="6">
        <f>$K$314*$V$314</f>
        <v>0</v>
      </c>
      <c r="AC314" s="6">
        <f>$M$314*$W$314</f>
        <v>851.70150000000012</v>
      </c>
      <c r="AD314" s="6">
        <f>$O$314*$X$314</f>
        <v>952.97280000000001</v>
      </c>
      <c r="AE314" s="6">
        <f>$K$314*$Y$314</f>
        <v>0</v>
      </c>
      <c r="AF314" s="6">
        <f ca="1">$M$314*$Z$314</f>
        <v>589.53530999999998</v>
      </c>
      <c r="AG314" s="6">
        <f ca="1">$O$314*$AA$314</f>
        <v>824.2129349999999</v>
      </c>
    </row>
    <row r="315" spans="1:33" ht="11.25" customHeight="1" x14ac:dyDescent="0.3">
      <c r="A315" s="4" t="s">
        <v>21</v>
      </c>
      <c r="B315" s="4" t="s">
        <v>22</v>
      </c>
      <c r="C315" s="4" t="s">
        <v>23</v>
      </c>
      <c r="D315" s="4" t="s">
        <v>24</v>
      </c>
      <c r="E315" s="4" t="s">
        <v>28</v>
      </c>
      <c r="F315" s="4" t="s">
        <v>25</v>
      </c>
      <c r="G315" s="4" t="s">
        <v>25</v>
      </c>
      <c r="H315" s="4" t="s">
        <v>25</v>
      </c>
      <c r="I315" s="5">
        <v>44440</v>
      </c>
      <c r="J315" s="6">
        <v>0</v>
      </c>
      <c r="K315" s="6">
        <v>0</v>
      </c>
      <c r="L315" s="6">
        <v>9.2100000000000009</v>
      </c>
      <c r="M315" s="6">
        <v>9.2100000000000009</v>
      </c>
      <c r="N315" s="6">
        <v>9.2100000000000009</v>
      </c>
      <c r="O315" s="6">
        <v>9.2100000000000009</v>
      </c>
      <c r="P315" s="6">
        <v>10</v>
      </c>
      <c r="Q315" s="4" t="s">
        <v>26</v>
      </c>
      <c r="R315" s="4">
        <v>0</v>
      </c>
      <c r="S315" s="6">
        <v>0</v>
      </c>
      <c r="T315" s="6">
        <v>41</v>
      </c>
      <c r="U315" s="6">
        <v>90</v>
      </c>
      <c r="V315" s="6">
        <f>IF(ISERROR(VLOOKUP($S$315,'TAR FIN'!$A$1:$O$92,15,0)),0,VLOOKUP($S$315,'TAR FIN'!$A$1:$O$92,15,0))</f>
        <v>0</v>
      </c>
      <c r="W315" s="6">
        <f>IF(ISERROR(VLOOKUP($T$315,'TAR FIN'!$A$1:$O$92,15,0)),0,VLOOKUP($T$315,'TAR FIN'!$A$1:$O$92,15,0))</f>
        <v>94.95</v>
      </c>
      <c r="X315" s="6">
        <f>IF(ISERROR(VLOOKUP($U$315,'TAR FIN'!$A$1:$O$92,15,0)),0,VLOOKUP($U$315,'TAR FIN'!$A$1:$O$92,15,0))</f>
        <v>106.24</v>
      </c>
      <c r="Y315" s="6"/>
      <c r="Z315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15" s="6">
        <f ca="1">('TE BE'!$AB$13+'TE BF_350'!$AB$13+'TE CVA'!$AB$13)*(1-CUSTOS!$M$34)</f>
        <v>91.885499999999979</v>
      </c>
      <c r="AB315" s="6">
        <f>$K$315*$V$315</f>
        <v>0</v>
      </c>
      <c r="AC315" s="6">
        <f>$M$315*$W$315</f>
        <v>874.48950000000013</v>
      </c>
      <c r="AD315" s="6">
        <f>$O$315*$X$315</f>
        <v>978.47040000000004</v>
      </c>
      <c r="AE315" s="6">
        <f>$K$315*$Y$315</f>
        <v>0</v>
      </c>
      <c r="AF315" s="6">
        <f ca="1">$M$315*$Z$315</f>
        <v>605.30883000000006</v>
      </c>
      <c r="AG315" s="6">
        <f ca="1">$O$315*$AA$315</f>
        <v>846.26545499999986</v>
      </c>
    </row>
    <row r="316" spans="1:33" ht="11.25" customHeight="1" x14ac:dyDescent="0.3">
      <c r="A316" s="4" t="s">
        <v>21</v>
      </c>
      <c r="B316" s="4" t="s">
        <v>22</v>
      </c>
      <c r="C316" s="4" t="s">
        <v>23</v>
      </c>
      <c r="D316" s="4" t="s">
        <v>24</v>
      </c>
      <c r="E316" s="4" t="s">
        <v>28</v>
      </c>
      <c r="F316" s="4" t="s">
        <v>25</v>
      </c>
      <c r="G316" s="4" t="s">
        <v>25</v>
      </c>
      <c r="H316" s="4" t="s">
        <v>25</v>
      </c>
      <c r="I316" s="5">
        <v>44470</v>
      </c>
      <c r="J316" s="6">
        <v>0</v>
      </c>
      <c r="K316" s="6">
        <v>0</v>
      </c>
      <c r="L316" s="6">
        <v>9.09</v>
      </c>
      <c r="M316" s="6">
        <v>9.09</v>
      </c>
      <c r="N316" s="6">
        <v>9.09</v>
      </c>
      <c r="O316" s="6">
        <v>9.09</v>
      </c>
      <c r="P316" s="6">
        <v>11</v>
      </c>
      <c r="Q316" s="4" t="s">
        <v>26</v>
      </c>
      <c r="R316" s="4">
        <v>0</v>
      </c>
      <c r="S316" s="6">
        <v>0</v>
      </c>
      <c r="T316" s="6">
        <v>41</v>
      </c>
      <c r="U316" s="6">
        <v>90</v>
      </c>
      <c r="V316" s="6">
        <f>IF(ISERROR(VLOOKUP($S$316,'TAR FIN'!$A$1:$O$92,15,0)),0,VLOOKUP($S$316,'TAR FIN'!$A$1:$O$92,15,0))</f>
        <v>0</v>
      </c>
      <c r="W316" s="6">
        <f>IF(ISERROR(VLOOKUP($T$316,'TAR FIN'!$A$1:$O$92,15,0)),0,VLOOKUP($T$316,'TAR FIN'!$A$1:$O$92,15,0))</f>
        <v>94.95</v>
      </c>
      <c r="X316" s="6">
        <f>IF(ISERROR(VLOOKUP($U$316,'TAR FIN'!$A$1:$O$92,15,0)),0,VLOOKUP($U$316,'TAR FIN'!$A$1:$O$92,15,0))</f>
        <v>106.24</v>
      </c>
      <c r="Y316" s="6"/>
      <c r="Z316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16" s="6">
        <f ca="1">('TE BE'!$AB$13+'TE BF_350'!$AB$13+'TE CVA'!$AB$13)*(1-CUSTOS!$M$34)</f>
        <v>91.885499999999979</v>
      </c>
      <c r="AB316" s="6">
        <f>$K$316*$V$316</f>
        <v>0</v>
      </c>
      <c r="AC316" s="6">
        <f>$M$316*$W$316</f>
        <v>863.09550000000002</v>
      </c>
      <c r="AD316" s="6">
        <f>$O$316*$X$316</f>
        <v>965.72159999999997</v>
      </c>
      <c r="AE316" s="6">
        <f>$K$316*$Y$316</f>
        <v>0</v>
      </c>
      <c r="AF316" s="6">
        <f ca="1">$M$316*$Z$316</f>
        <v>597.42206999999996</v>
      </c>
      <c r="AG316" s="6">
        <f ca="1">$O$316*$AA$316</f>
        <v>835.23919499999977</v>
      </c>
    </row>
    <row r="317" spans="1:33" ht="11.25" customHeight="1" x14ac:dyDescent="0.3">
      <c r="A317" s="4" t="s">
        <v>21</v>
      </c>
      <c r="B317" s="4" t="s">
        <v>22</v>
      </c>
      <c r="C317" s="4" t="s">
        <v>23</v>
      </c>
      <c r="D317" s="4" t="s">
        <v>24</v>
      </c>
      <c r="E317" s="4" t="s">
        <v>28</v>
      </c>
      <c r="F317" s="4" t="s">
        <v>25</v>
      </c>
      <c r="G317" s="4" t="s">
        <v>25</v>
      </c>
      <c r="H317" s="4" t="s">
        <v>25</v>
      </c>
      <c r="I317" s="5">
        <v>44501</v>
      </c>
      <c r="J317" s="6">
        <v>0</v>
      </c>
      <c r="K317" s="6">
        <v>0</v>
      </c>
      <c r="L317" s="6">
        <v>9.27</v>
      </c>
      <c r="M317" s="6">
        <v>9.27</v>
      </c>
      <c r="N317" s="6">
        <v>9.27</v>
      </c>
      <c r="O317" s="6">
        <v>9.27</v>
      </c>
      <c r="P317" s="6">
        <v>12</v>
      </c>
      <c r="Q317" s="4" t="s">
        <v>26</v>
      </c>
      <c r="R317" s="4">
        <v>0</v>
      </c>
      <c r="S317" s="6">
        <v>0</v>
      </c>
      <c r="T317" s="6">
        <v>41</v>
      </c>
      <c r="U317" s="6">
        <v>90</v>
      </c>
      <c r="V317" s="6">
        <f>IF(ISERROR(VLOOKUP($S$317,'TAR FIN'!$A$1:$O$92,15,0)),0,VLOOKUP($S$317,'TAR FIN'!$A$1:$O$92,15,0))</f>
        <v>0</v>
      </c>
      <c r="W317" s="6">
        <f>IF(ISERROR(VLOOKUP($T$317,'TAR FIN'!$A$1:$O$92,15,0)),0,VLOOKUP($T$317,'TAR FIN'!$A$1:$O$92,15,0))</f>
        <v>94.95</v>
      </c>
      <c r="X317" s="6">
        <f>IF(ISERROR(VLOOKUP($U$317,'TAR FIN'!$A$1:$O$92,15,0)),0,VLOOKUP($U$317,'TAR FIN'!$A$1:$O$92,15,0))</f>
        <v>106.24</v>
      </c>
      <c r="Y317" s="6"/>
      <c r="Z317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17" s="6">
        <f ca="1">('TE BE'!$AB$13+'TE BF_350'!$AB$13+'TE CVA'!$AB$13)*(1-CUSTOS!$M$34)</f>
        <v>91.885499999999979</v>
      </c>
      <c r="AB317" s="6">
        <f>$K$317*$V$317</f>
        <v>0</v>
      </c>
      <c r="AC317" s="6">
        <f>$M$317*$W$317</f>
        <v>880.18650000000002</v>
      </c>
      <c r="AD317" s="6">
        <f>$O$317*$X$317</f>
        <v>984.84479999999996</v>
      </c>
      <c r="AE317" s="6">
        <f>$K$317*$Y$317</f>
        <v>0</v>
      </c>
      <c r="AF317" s="6">
        <f ca="1">$M$317*$Z$317</f>
        <v>609.25220999999999</v>
      </c>
      <c r="AG317" s="6">
        <f ca="1">$O$317*$AA$317</f>
        <v>851.77858499999979</v>
      </c>
    </row>
    <row r="318" spans="1:33" ht="11.25" customHeight="1" x14ac:dyDescent="0.3">
      <c r="A318" s="4" t="s">
        <v>21</v>
      </c>
      <c r="B318" s="4" t="s">
        <v>22</v>
      </c>
      <c r="C318" s="4" t="s">
        <v>23</v>
      </c>
      <c r="D318" s="4" t="s">
        <v>24</v>
      </c>
      <c r="E318" s="4" t="s">
        <v>28</v>
      </c>
      <c r="F318" s="4" t="s">
        <v>25</v>
      </c>
      <c r="G318" s="4" t="s">
        <v>25</v>
      </c>
      <c r="H318" s="4" t="s">
        <v>25</v>
      </c>
      <c r="I318" s="5">
        <v>44531</v>
      </c>
      <c r="J318" s="6">
        <v>0</v>
      </c>
      <c r="K318" s="6">
        <v>0</v>
      </c>
      <c r="L318" s="6">
        <v>9.48</v>
      </c>
      <c r="M318" s="6">
        <v>9.48</v>
      </c>
      <c r="N318" s="6">
        <v>9.48</v>
      </c>
      <c r="O318" s="6">
        <v>9.48</v>
      </c>
      <c r="P318" s="6">
        <v>11</v>
      </c>
      <c r="Q318" s="4" t="s">
        <v>26</v>
      </c>
      <c r="R318" s="4">
        <v>0</v>
      </c>
      <c r="S318" s="6">
        <v>0</v>
      </c>
      <c r="T318" s="6">
        <v>41</v>
      </c>
      <c r="U318" s="6">
        <v>90</v>
      </c>
      <c r="V318" s="6">
        <f>IF(ISERROR(VLOOKUP($S$318,'TAR FIN'!$A$1:$O$92,15,0)),0,VLOOKUP($S$318,'TAR FIN'!$A$1:$O$92,15,0))</f>
        <v>0</v>
      </c>
      <c r="W318" s="6">
        <f>IF(ISERROR(VLOOKUP($T$318,'TAR FIN'!$A$1:$O$92,15,0)),0,VLOOKUP($T$318,'TAR FIN'!$A$1:$O$92,15,0))</f>
        <v>94.95</v>
      </c>
      <c r="X318" s="6">
        <f>IF(ISERROR(VLOOKUP($U$318,'TAR FIN'!$A$1:$O$92,15,0)),0,VLOOKUP($U$318,'TAR FIN'!$A$1:$O$92,15,0))</f>
        <v>106.24</v>
      </c>
      <c r="Y318" s="6"/>
      <c r="Z318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18" s="6">
        <f ca="1">('TE BE'!$AB$13+'TE BF_350'!$AB$13+'TE CVA'!$AB$13)*(1-CUSTOS!$M$34)</f>
        <v>91.885499999999979</v>
      </c>
      <c r="AB318" s="6">
        <f>$K$318*$V$318</f>
        <v>0</v>
      </c>
      <c r="AC318" s="6">
        <f>$M$318*$W$318</f>
        <v>900.12600000000009</v>
      </c>
      <c r="AD318" s="6">
        <f>$O$318*$X$318</f>
        <v>1007.1552</v>
      </c>
      <c r="AE318" s="6">
        <f>$K$318*$Y$318</f>
        <v>0</v>
      </c>
      <c r="AF318" s="6">
        <f ca="1">$M$318*$Z$318</f>
        <v>623.05403999999999</v>
      </c>
      <c r="AG318" s="6">
        <f ca="1">$O$318*$AA$318</f>
        <v>871.07453999999984</v>
      </c>
    </row>
    <row r="319" spans="1:33" ht="11.25" customHeight="1" x14ac:dyDescent="0.3">
      <c r="A319" s="4" t="s">
        <v>21</v>
      </c>
      <c r="B319" s="4" t="s">
        <v>22</v>
      </c>
      <c r="C319" s="4" t="s">
        <v>23</v>
      </c>
      <c r="D319" s="4" t="s">
        <v>24</v>
      </c>
      <c r="E319" s="4" t="s">
        <v>28</v>
      </c>
      <c r="F319" s="4" t="s">
        <v>25</v>
      </c>
      <c r="G319" s="4" t="s">
        <v>25</v>
      </c>
      <c r="H319" s="4" t="s">
        <v>25</v>
      </c>
      <c r="I319" s="5">
        <v>44562</v>
      </c>
      <c r="J319" s="6">
        <v>0</v>
      </c>
      <c r="K319" s="6">
        <v>0</v>
      </c>
      <c r="L319" s="6">
        <v>9.69</v>
      </c>
      <c r="M319" s="6">
        <v>9.69</v>
      </c>
      <c r="N319" s="6">
        <v>9.69</v>
      </c>
      <c r="O319" s="6">
        <v>9.69</v>
      </c>
      <c r="P319" s="6">
        <v>10</v>
      </c>
      <c r="Q319" s="4" t="s">
        <v>26</v>
      </c>
      <c r="R319" s="4">
        <v>0</v>
      </c>
      <c r="S319" s="6">
        <v>0</v>
      </c>
      <c r="T319" s="6">
        <v>41</v>
      </c>
      <c r="U319" s="6">
        <v>90</v>
      </c>
      <c r="V319" s="6">
        <f>IF(ISERROR(VLOOKUP($S$319,'TAR FIN'!$A$1:$O$92,15,0)),0,VLOOKUP($S$319,'TAR FIN'!$A$1:$O$92,15,0))</f>
        <v>0</v>
      </c>
      <c r="W319" s="6">
        <f>IF(ISERROR(VLOOKUP($T$319,'TAR FIN'!$A$1:$O$92,15,0)),0,VLOOKUP($T$319,'TAR FIN'!$A$1:$O$92,15,0))</f>
        <v>94.95</v>
      </c>
      <c r="X319" s="6">
        <f>IF(ISERROR(VLOOKUP($U$319,'TAR FIN'!$A$1:$O$92,15,0)),0,VLOOKUP($U$319,'TAR FIN'!$A$1:$O$92,15,0))</f>
        <v>106.24</v>
      </c>
      <c r="Y319" s="6"/>
      <c r="Z319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19" s="6">
        <f ca="1">('TE BE'!$AB$13+'TE BF_350'!$AB$13+'TE CVA'!$AB$13)*(1-CUSTOS!$M$34)</f>
        <v>91.885499999999979</v>
      </c>
      <c r="AB319" s="6">
        <f>$K$319*$V$319</f>
        <v>0</v>
      </c>
      <c r="AC319" s="6">
        <f>$M$319*$W$319</f>
        <v>920.06549999999993</v>
      </c>
      <c r="AD319" s="6">
        <f>$O$319*$X$319</f>
        <v>1029.4656</v>
      </c>
      <c r="AE319" s="6">
        <f>$K$319*$Y$319</f>
        <v>0</v>
      </c>
      <c r="AF319" s="6">
        <f ca="1">$M$319*$Z$319</f>
        <v>636.85586999999998</v>
      </c>
      <c r="AG319" s="6">
        <f ca="1">$O$319*$AA$319</f>
        <v>890.37049499999978</v>
      </c>
    </row>
    <row r="320" spans="1:33" ht="11.25" customHeight="1" x14ac:dyDescent="0.3">
      <c r="A320" s="4" t="s">
        <v>21</v>
      </c>
      <c r="B320" s="4" t="s">
        <v>22</v>
      </c>
      <c r="C320" s="4" t="s">
        <v>23</v>
      </c>
      <c r="D320" s="4" t="s">
        <v>24</v>
      </c>
      <c r="E320" s="4" t="s">
        <v>28</v>
      </c>
      <c r="F320" s="4" t="s">
        <v>25</v>
      </c>
      <c r="G320" s="4" t="s">
        <v>25</v>
      </c>
      <c r="H320" s="4" t="s">
        <v>25</v>
      </c>
      <c r="I320" s="5">
        <v>44593</v>
      </c>
      <c r="J320" s="6">
        <v>0</v>
      </c>
      <c r="K320" s="6">
        <v>0</v>
      </c>
      <c r="L320" s="6">
        <v>10.56</v>
      </c>
      <c r="M320" s="6">
        <v>10.56</v>
      </c>
      <c r="N320" s="6">
        <v>10.56</v>
      </c>
      <c r="O320" s="6">
        <v>10.56</v>
      </c>
      <c r="P320" s="6">
        <v>9</v>
      </c>
      <c r="Q320" s="4" t="s">
        <v>26</v>
      </c>
      <c r="R320" s="4">
        <v>0</v>
      </c>
      <c r="S320" s="6">
        <v>0</v>
      </c>
      <c r="T320" s="6">
        <v>41</v>
      </c>
      <c r="U320" s="6">
        <v>90</v>
      </c>
      <c r="V320" s="6">
        <f>IF(ISERROR(VLOOKUP($S$320,'TAR FIN'!$A$1:$O$92,15,0)),0,VLOOKUP($S$320,'TAR FIN'!$A$1:$O$92,15,0))</f>
        <v>0</v>
      </c>
      <c r="W320" s="6">
        <f>IF(ISERROR(VLOOKUP($T$320,'TAR FIN'!$A$1:$O$92,15,0)),0,VLOOKUP($T$320,'TAR FIN'!$A$1:$O$92,15,0))</f>
        <v>94.95</v>
      </c>
      <c r="X320" s="6">
        <f>IF(ISERROR(VLOOKUP($U$320,'TAR FIN'!$A$1:$O$92,15,0)),0,VLOOKUP($U$320,'TAR FIN'!$A$1:$O$92,15,0))</f>
        <v>106.24</v>
      </c>
      <c r="Y320" s="6"/>
      <c r="Z320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20" s="6">
        <f ca="1">('TE BE'!$AB$13+'TE BF_350'!$AB$13+'TE CVA'!$AB$13)*(1-CUSTOS!$M$34)</f>
        <v>91.885499999999979</v>
      </c>
      <c r="AB320" s="6">
        <f>$K$320*$V$320</f>
        <v>0</v>
      </c>
      <c r="AC320" s="6">
        <f>$M$320*$W$320</f>
        <v>1002.672</v>
      </c>
      <c r="AD320" s="6">
        <f>$O$320*$X$320</f>
        <v>1121.8943999999999</v>
      </c>
      <c r="AE320" s="6">
        <f>$K$320*$Y$320</f>
        <v>0</v>
      </c>
      <c r="AF320" s="6">
        <f ca="1">$M$320*$Z$320</f>
        <v>694.03488000000004</v>
      </c>
      <c r="AG320" s="6">
        <f ca="1">$O$320*$AA$320</f>
        <v>970.31087999999977</v>
      </c>
    </row>
    <row r="321" spans="1:33" ht="11.25" customHeight="1" x14ac:dyDescent="0.3">
      <c r="A321" s="4" t="s">
        <v>21</v>
      </c>
      <c r="B321" s="4" t="s">
        <v>22</v>
      </c>
      <c r="C321" s="4" t="s">
        <v>23</v>
      </c>
      <c r="D321" s="4" t="s">
        <v>24</v>
      </c>
      <c r="E321" s="4" t="s">
        <v>28</v>
      </c>
      <c r="F321" s="4" t="s">
        <v>25</v>
      </c>
      <c r="G321" s="4" t="s">
        <v>25</v>
      </c>
      <c r="H321" s="4" t="s">
        <v>25</v>
      </c>
      <c r="I321" s="5">
        <v>44621</v>
      </c>
      <c r="J321" s="6">
        <v>0</v>
      </c>
      <c r="K321" s="6">
        <v>0</v>
      </c>
      <c r="L321" s="6">
        <v>11.22</v>
      </c>
      <c r="M321" s="6">
        <v>11.22</v>
      </c>
      <c r="N321" s="6">
        <v>11.22</v>
      </c>
      <c r="O321" s="6">
        <v>11.22</v>
      </c>
      <c r="P321" s="6">
        <v>11</v>
      </c>
      <c r="Q321" s="4" t="s">
        <v>26</v>
      </c>
      <c r="R321" s="4">
        <v>0</v>
      </c>
      <c r="S321" s="6">
        <v>0</v>
      </c>
      <c r="T321" s="6">
        <v>41</v>
      </c>
      <c r="U321" s="6">
        <v>90</v>
      </c>
      <c r="V321" s="6">
        <f>IF(ISERROR(VLOOKUP($S$321,'TAR FIN'!$A$1:$O$92,15,0)),0,VLOOKUP($S$321,'TAR FIN'!$A$1:$O$92,15,0))</f>
        <v>0</v>
      </c>
      <c r="W321" s="6">
        <f>IF(ISERROR(VLOOKUP($T$321,'TAR FIN'!$A$1:$O$92,15,0)),0,VLOOKUP($T$321,'TAR FIN'!$A$1:$O$92,15,0))</f>
        <v>94.95</v>
      </c>
      <c r="X321" s="6">
        <f>IF(ISERROR(VLOOKUP($U$321,'TAR FIN'!$A$1:$O$92,15,0)),0,VLOOKUP($U$321,'TAR FIN'!$A$1:$O$92,15,0))</f>
        <v>106.24</v>
      </c>
      <c r="Y321" s="6"/>
      <c r="Z321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21" s="6">
        <f ca="1">('TE BE'!$AB$13+'TE BF_350'!$AB$13+'TE CVA'!$AB$13)*(1-CUSTOS!$M$34)</f>
        <v>91.885499999999979</v>
      </c>
      <c r="AB321" s="6">
        <f>$K$321*$V$321</f>
        <v>0</v>
      </c>
      <c r="AC321" s="6">
        <f>$M$321*$W$321</f>
        <v>1065.3390000000002</v>
      </c>
      <c r="AD321" s="6">
        <f>$O$321*$X$321</f>
        <v>1192.0128</v>
      </c>
      <c r="AE321" s="6">
        <f>$K$321*$Y$321</f>
        <v>0</v>
      </c>
      <c r="AF321" s="6">
        <f ca="1">$M$321*$Z$321</f>
        <v>737.41206</v>
      </c>
      <c r="AG321" s="6">
        <f ca="1">$O$321*$AA$321</f>
        <v>1030.9553099999998</v>
      </c>
    </row>
    <row r="322" spans="1:33" ht="11.25" customHeight="1" x14ac:dyDescent="0.3">
      <c r="A322" s="4" t="s">
        <v>21</v>
      </c>
      <c r="B322" s="4" t="s">
        <v>22</v>
      </c>
      <c r="C322" s="4" t="s">
        <v>23</v>
      </c>
      <c r="D322" s="4" t="s">
        <v>24</v>
      </c>
      <c r="E322" s="4" t="s">
        <v>28</v>
      </c>
      <c r="F322" s="4" t="s">
        <v>25</v>
      </c>
      <c r="G322" s="4" t="s">
        <v>25</v>
      </c>
      <c r="H322" s="4" t="s">
        <v>25</v>
      </c>
      <c r="I322" s="5">
        <v>44652</v>
      </c>
      <c r="J322" s="6">
        <v>0</v>
      </c>
      <c r="K322" s="6">
        <v>0</v>
      </c>
      <c r="L322" s="6">
        <v>11.37</v>
      </c>
      <c r="M322" s="6">
        <v>11.37</v>
      </c>
      <c r="N322" s="6">
        <v>11.37</v>
      </c>
      <c r="O322" s="6">
        <v>11.37</v>
      </c>
      <c r="P322" s="6">
        <v>14</v>
      </c>
      <c r="Q322" s="4" t="s">
        <v>26</v>
      </c>
      <c r="R322" s="4">
        <v>0</v>
      </c>
      <c r="S322" s="6">
        <v>0</v>
      </c>
      <c r="T322" s="6">
        <v>41</v>
      </c>
      <c r="U322" s="6">
        <v>90</v>
      </c>
      <c r="V322" s="6">
        <f>IF(ISERROR(VLOOKUP($S$322,'TAR FIN'!$A$1:$O$92,15,0)),0,VLOOKUP($S$322,'TAR FIN'!$A$1:$O$92,15,0))</f>
        <v>0</v>
      </c>
      <c r="W322" s="6">
        <f>IF(ISERROR(VLOOKUP($T$322,'TAR FIN'!$A$1:$O$92,15,0)),0,VLOOKUP($T$322,'TAR FIN'!$A$1:$O$92,15,0))</f>
        <v>94.95</v>
      </c>
      <c r="X322" s="6">
        <f>IF(ISERROR(VLOOKUP($U$322,'TAR FIN'!$A$1:$O$92,15,0)),0,VLOOKUP($U$322,'TAR FIN'!$A$1:$O$92,15,0))</f>
        <v>106.24</v>
      </c>
      <c r="Y322" s="6"/>
      <c r="Z322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22" s="6">
        <f ca="1">('TE BE'!$AB$13+'TE BF_350'!$AB$13+'TE CVA'!$AB$13)*(1-CUSTOS!$M$34)</f>
        <v>91.885499999999979</v>
      </c>
      <c r="AB322" s="6">
        <f>$K$322*$V$322</f>
        <v>0</v>
      </c>
      <c r="AC322" s="6">
        <f>$M$322*$W$322</f>
        <v>1079.5815</v>
      </c>
      <c r="AD322" s="6">
        <f>$O$322*$X$322</f>
        <v>1207.9487999999999</v>
      </c>
      <c r="AE322" s="6">
        <f>$K$322*$Y$322</f>
        <v>0</v>
      </c>
      <c r="AF322" s="6">
        <f ca="1">$M$322*$Z$322</f>
        <v>747.27050999999994</v>
      </c>
      <c r="AG322" s="6">
        <f ca="1">$O$322*$AA$322</f>
        <v>1044.7381349999996</v>
      </c>
    </row>
    <row r="323" spans="1:33" ht="11.25" customHeight="1" x14ac:dyDescent="0.3">
      <c r="A323" s="4" t="s">
        <v>21</v>
      </c>
      <c r="B323" s="4" t="s">
        <v>22</v>
      </c>
      <c r="C323" s="4" t="s">
        <v>23</v>
      </c>
      <c r="D323" s="4" t="s">
        <v>24</v>
      </c>
      <c r="E323" s="4" t="s">
        <v>28</v>
      </c>
      <c r="F323" s="4" t="s">
        <v>25</v>
      </c>
      <c r="G323" s="4" t="s">
        <v>25</v>
      </c>
      <c r="H323" s="4" t="s">
        <v>25</v>
      </c>
      <c r="I323" s="5">
        <v>44682</v>
      </c>
      <c r="J323" s="6">
        <v>0</v>
      </c>
      <c r="K323" s="6">
        <v>0</v>
      </c>
      <c r="L323" s="6">
        <v>11.82</v>
      </c>
      <c r="M323" s="6">
        <v>11.82</v>
      </c>
      <c r="N323" s="6">
        <v>11.82</v>
      </c>
      <c r="O323" s="6">
        <v>11.82</v>
      </c>
      <c r="P323" s="6">
        <v>9</v>
      </c>
      <c r="Q323" s="4" t="s">
        <v>26</v>
      </c>
      <c r="R323" s="4">
        <v>0</v>
      </c>
      <c r="S323" s="6">
        <v>0</v>
      </c>
      <c r="T323" s="6">
        <v>41</v>
      </c>
      <c r="U323" s="6">
        <v>90</v>
      </c>
      <c r="V323" s="6">
        <f>IF(ISERROR(VLOOKUP($S$323,'TAR FIN'!$A$1:$O$92,15,0)),0,VLOOKUP($S$323,'TAR FIN'!$A$1:$O$92,15,0))</f>
        <v>0</v>
      </c>
      <c r="W323" s="6">
        <f>IF(ISERROR(VLOOKUP($T$323,'TAR FIN'!$A$1:$O$92,15,0)),0,VLOOKUP($T$323,'TAR FIN'!$A$1:$O$92,15,0))</f>
        <v>94.95</v>
      </c>
      <c r="X323" s="6">
        <f>IF(ISERROR(VLOOKUP($U$323,'TAR FIN'!$A$1:$O$92,15,0)),0,VLOOKUP($U$323,'TAR FIN'!$A$1:$O$92,15,0))</f>
        <v>106.24</v>
      </c>
      <c r="Y323" s="6"/>
      <c r="Z323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23" s="6">
        <f ca="1">('TE BE'!$AB$13+'TE BF_350'!$AB$13+'TE CVA'!$AB$13)*(1-CUSTOS!$M$34)</f>
        <v>91.885499999999979</v>
      </c>
      <c r="AB323" s="6">
        <f>$K$323*$V$323</f>
        <v>0</v>
      </c>
      <c r="AC323" s="6">
        <f>$M$323*$W$323</f>
        <v>1122.309</v>
      </c>
      <c r="AD323" s="6">
        <f>$O$323*$X$323</f>
        <v>1255.7567999999999</v>
      </c>
      <c r="AE323" s="6">
        <f>$K$323*$Y$323</f>
        <v>0</v>
      </c>
      <c r="AF323" s="6">
        <f ca="1">$M$323*$Z$323</f>
        <v>776.84586000000002</v>
      </c>
      <c r="AG323" s="6">
        <f ca="1">$O$323*$AA$323</f>
        <v>1086.0866099999998</v>
      </c>
    </row>
    <row r="324" spans="1:33" ht="11.25" customHeight="1" x14ac:dyDescent="0.3">
      <c r="A324" s="4" t="s">
        <v>21</v>
      </c>
      <c r="B324" s="4" t="s">
        <v>22</v>
      </c>
      <c r="C324" s="4" t="s">
        <v>23</v>
      </c>
      <c r="D324" s="4" t="s">
        <v>24</v>
      </c>
      <c r="E324" s="4" t="s">
        <v>28</v>
      </c>
      <c r="F324" s="4" t="s">
        <v>25</v>
      </c>
      <c r="G324" s="4" t="s">
        <v>25</v>
      </c>
      <c r="H324" s="4" t="s">
        <v>25</v>
      </c>
      <c r="I324" s="5">
        <v>44713</v>
      </c>
      <c r="J324" s="6">
        <v>0</v>
      </c>
      <c r="K324" s="6">
        <v>0</v>
      </c>
      <c r="L324" s="6">
        <v>9.6300000000000008</v>
      </c>
      <c r="M324" s="6">
        <v>9.6300000000000008</v>
      </c>
      <c r="N324" s="6">
        <v>9.6300000000000008</v>
      </c>
      <c r="O324" s="6">
        <v>9.6300000000000008</v>
      </c>
      <c r="P324" s="6">
        <v>10</v>
      </c>
      <c r="Q324" s="4" t="s">
        <v>26</v>
      </c>
      <c r="R324" s="4">
        <v>0</v>
      </c>
      <c r="S324" s="6">
        <v>0</v>
      </c>
      <c r="T324" s="6">
        <v>41</v>
      </c>
      <c r="U324" s="6">
        <v>90</v>
      </c>
      <c r="V324" s="6">
        <f>IF(ISERROR(VLOOKUP($S$324,'TAR FIN'!$A$1:$O$92,15,0)),0,VLOOKUP($S$324,'TAR FIN'!$A$1:$O$92,15,0))</f>
        <v>0</v>
      </c>
      <c r="W324" s="6">
        <f>IF(ISERROR(VLOOKUP($T$324,'TAR FIN'!$A$1:$O$92,15,0)),0,VLOOKUP($T$324,'TAR FIN'!$A$1:$O$92,15,0))</f>
        <v>94.95</v>
      </c>
      <c r="X324" s="6">
        <f>IF(ISERROR(VLOOKUP($U$324,'TAR FIN'!$A$1:$O$92,15,0)),0,VLOOKUP($U$324,'TAR FIN'!$A$1:$O$92,15,0))</f>
        <v>106.24</v>
      </c>
      <c r="Y324" s="6"/>
      <c r="Z324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24" s="6">
        <f ca="1">('TE BE'!$AB$13+'TE BF_350'!$AB$13+'TE CVA'!$AB$13)*(1-CUSTOS!$M$34)</f>
        <v>91.885499999999979</v>
      </c>
      <c r="AB324" s="6">
        <f>$K$324*$V$324</f>
        <v>0</v>
      </c>
      <c r="AC324" s="6">
        <f>$M$324*$W$324</f>
        <v>914.36850000000015</v>
      </c>
      <c r="AD324" s="6">
        <f>$O$324*$X$324</f>
        <v>1023.0912000000001</v>
      </c>
      <c r="AE324" s="6">
        <f>$K$324*$Y$324</f>
        <v>0</v>
      </c>
      <c r="AF324" s="6">
        <f ca="1">$M$324*$Z$324</f>
        <v>632.91249000000005</v>
      </c>
      <c r="AG324" s="6">
        <f ca="1">$O$324*$AA$324</f>
        <v>884.85736499999985</v>
      </c>
    </row>
    <row r="325" spans="1:33" ht="11.25" customHeight="1" x14ac:dyDescent="0.3">
      <c r="A325" s="4" t="s">
        <v>21</v>
      </c>
      <c r="B325" s="4" t="s">
        <v>22</v>
      </c>
      <c r="C325" s="4" t="s">
        <v>23</v>
      </c>
      <c r="D325" s="4" t="s">
        <v>24</v>
      </c>
      <c r="E325" s="4" t="s">
        <v>28</v>
      </c>
      <c r="F325" s="4" t="s">
        <v>25</v>
      </c>
      <c r="G325" s="4" t="s">
        <v>25</v>
      </c>
      <c r="H325" s="4" t="s">
        <v>25</v>
      </c>
      <c r="I325" s="5">
        <v>44743</v>
      </c>
      <c r="J325" s="6">
        <v>0</v>
      </c>
      <c r="K325" s="6">
        <v>0</v>
      </c>
      <c r="L325" s="6">
        <v>10.95</v>
      </c>
      <c r="M325" s="6">
        <v>10.95</v>
      </c>
      <c r="N325" s="6">
        <v>10.95</v>
      </c>
      <c r="O325" s="6">
        <v>10.95</v>
      </c>
      <c r="P325" s="6">
        <v>17</v>
      </c>
      <c r="Q325" s="4" t="s">
        <v>26</v>
      </c>
      <c r="R325" s="4">
        <v>0</v>
      </c>
      <c r="S325" s="6">
        <v>0</v>
      </c>
      <c r="T325" s="6">
        <v>41</v>
      </c>
      <c r="U325" s="6">
        <v>90</v>
      </c>
      <c r="V325" s="6">
        <f>IF(ISERROR(VLOOKUP($S$325,'TAR FIN'!$A$1:$O$92,15,0)),0,VLOOKUP($S$325,'TAR FIN'!$A$1:$O$92,15,0))</f>
        <v>0</v>
      </c>
      <c r="W325" s="6">
        <f>IF(ISERROR(VLOOKUP($T$325,'TAR FIN'!$A$1:$O$92,15,0)),0,VLOOKUP($T$325,'TAR FIN'!$A$1:$O$92,15,0))</f>
        <v>94.95</v>
      </c>
      <c r="X325" s="6">
        <f>IF(ISERROR(VLOOKUP($U$325,'TAR FIN'!$A$1:$O$92,15,0)),0,VLOOKUP($U$325,'TAR FIN'!$A$1:$O$92,15,0))</f>
        <v>106.24</v>
      </c>
      <c r="Y325" s="6"/>
      <c r="Z325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25" s="6">
        <f ca="1">('TE BE'!$AB$13+'TE BF_350'!$AB$13+'TE CVA'!$AB$13)*(1-CUSTOS!$M$34)</f>
        <v>91.885499999999979</v>
      </c>
      <c r="AB325" s="6">
        <f>$K$325*$V$325</f>
        <v>0</v>
      </c>
      <c r="AC325" s="6">
        <f>$M$325*$W$325</f>
        <v>1039.7024999999999</v>
      </c>
      <c r="AD325" s="6">
        <f>$O$325*$X$325</f>
        <v>1163.328</v>
      </c>
      <c r="AE325" s="6">
        <f>$K$325*$Y$325</f>
        <v>0</v>
      </c>
      <c r="AF325" s="6">
        <f ca="1">$M$325*$Z$325</f>
        <v>719.66684999999995</v>
      </c>
      <c r="AG325" s="6">
        <f ca="1">$O$325*$AA$325</f>
        <v>1006.1462249999997</v>
      </c>
    </row>
    <row r="326" spans="1:33" ht="11.25" customHeight="1" x14ac:dyDescent="0.3">
      <c r="A326" s="4" t="s">
        <v>21</v>
      </c>
      <c r="B326" s="4" t="s">
        <v>22</v>
      </c>
      <c r="C326" s="4" t="s">
        <v>23</v>
      </c>
      <c r="D326" s="4" t="s">
        <v>24</v>
      </c>
      <c r="E326" s="4" t="s">
        <v>29</v>
      </c>
      <c r="F326" s="4" t="s">
        <v>25</v>
      </c>
      <c r="G326" s="4" t="s">
        <v>25</v>
      </c>
      <c r="H326" s="4" t="s">
        <v>25</v>
      </c>
      <c r="I326" s="5">
        <v>44409</v>
      </c>
      <c r="J326" s="6">
        <v>0</v>
      </c>
      <c r="K326" s="6">
        <v>0</v>
      </c>
      <c r="L326" s="6">
        <v>18.370999999999999</v>
      </c>
      <c r="M326" s="6">
        <v>18.370999999999999</v>
      </c>
      <c r="N326" s="6">
        <v>18.370999999999999</v>
      </c>
      <c r="O326" s="6">
        <v>18.370999999999999</v>
      </c>
      <c r="P326" s="6">
        <v>56</v>
      </c>
      <c r="Q326" s="4" t="s">
        <v>26</v>
      </c>
      <c r="R326" s="4">
        <v>0</v>
      </c>
      <c r="S326" s="6">
        <v>0</v>
      </c>
      <c r="T326" s="6">
        <v>42</v>
      </c>
      <c r="U326" s="6">
        <v>91</v>
      </c>
      <c r="V326" s="6">
        <f>IF(ISERROR(VLOOKUP($S$326,'TAR FIN'!$A$1:$O$92,15,0)),0,VLOOKUP($S$326,'TAR FIN'!$A$1:$O$92,15,0))</f>
        <v>0</v>
      </c>
      <c r="W326" s="6">
        <f>IF(ISERROR(VLOOKUP($T$326,'TAR FIN'!$A$1:$O$92,15,0)),0,VLOOKUP($T$326,'TAR FIN'!$A$1:$O$92,15,0))</f>
        <v>162.77000000000001</v>
      </c>
      <c r="X326" s="6">
        <f>IF(ISERROR(VLOOKUP($U$326,'TAR FIN'!$A$1:$O$92,15,0)),0,VLOOKUP($U$326,'TAR FIN'!$A$1:$O$92,15,0))</f>
        <v>182.12</v>
      </c>
      <c r="Y326" s="6"/>
      <c r="Z326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26" s="6">
        <f ca="1">('TE BE'!$AB$14+'TE BF_350'!$AB$14+'TE CVA'!$AB$14)*(1-CUSTOS!$M$35)</f>
        <v>157.51799999999997</v>
      </c>
      <c r="AB326" s="6">
        <f>$K$326*$V$326</f>
        <v>0</v>
      </c>
      <c r="AC326" s="6">
        <f>$M$326*$W$326</f>
        <v>2990.2476699999997</v>
      </c>
      <c r="AD326" s="6">
        <f>$O$326*$X$326</f>
        <v>3345.7265199999997</v>
      </c>
      <c r="AE326" s="6">
        <f>$K$326*$Y$326</f>
        <v>0</v>
      </c>
      <c r="AF326" s="6">
        <f ca="1">$M$326*$Z$326</f>
        <v>2069.8238279999996</v>
      </c>
      <c r="AG326" s="6">
        <f ca="1">$O$326*$AA$326</f>
        <v>2893.7631779999992</v>
      </c>
    </row>
    <row r="327" spans="1:33" ht="11.25" customHeight="1" x14ac:dyDescent="0.3">
      <c r="A327" s="4" t="s">
        <v>21</v>
      </c>
      <c r="B327" s="4" t="s">
        <v>22</v>
      </c>
      <c r="C327" s="4" t="s">
        <v>23</v>
      </c>
      <c r="D327" s="4" t="s">
        <v>24</v>
      </c>
      <c r="E327" s="4" t="s">
        <v>29</v>
      </c>
      <c r="F327" s="4" t="s">
        <v>25</v>
      </c>
      <c r="G327" s="4" t="s">
        <v>25</v>
      </c>
      <c r="H327" s="4" t="s">
        <v>25</v>
      </c>
      <c r="I327" s="5">
        <v>44440</v>
      </c>
      <c r="J327" s="6">
        <v>0</v>
      </c>
      <c r="K327" s="6">
        <v>0</v>
      </c>
      <c r="L327" s="6">
        <v>19.5</v>
      </c>
      <c r="M327" s="6">
        <v>19.5</v>
      </c>
      <c r="N327" s="6">
        <v>19.5</v>
      </c>
      <c r="O327" s="6">
        <v>19.5</v>
      </c>
      <c r="P327" s="6">
        <v>42</v>
      </c>
      <c r="Q327" s="4" t="s">
        <v>26</v>
      </c>
      <c r="R327" s="4">
        <v>0</v>
      </c>
      <c r="S327" s="6">
        <v>0</v>
      </c>
      <c r="T327" s="6">
        <v>42</v>
      </c>
      <c r="U327" s="6">
        <v>91</v>
      </c>
      <c r="V327" s="6">
        <f>IF(ISERROR(VLOOKUP($S$327,'TAR FIN'!$A$1:$O$92,15,0)),0,VLOOKUP($S$327,'TAR FIN'!$A$1:$O$92,15,0))</f>
        <v>0</v>
      </c>
      <c r="W327" s="6">
        <f>IF(ISERROR(VLOOKUP($T$327,'TAR FIN'!$A$1:$O$92,15,0)),0,VLOOKUP($T$327,'TAR FIN'!$A$1:$O$92,15,0))</f>
        <v>162.77000000000001</v>
      </c>
      <c r="X327" s="6">
        <f>IF(ISERROR(VLOOKUP($U$327,'TAR FIN'!$A$1:$O$92,15,0)),0,VLOOKUP($U$327,'TAR FIN'!$A$1:$O$92,15,0))</f>
        <v>182.12</v>
      </c>
      <c r="Y327" s="6"/>
      <c r="Z327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27" s="6">
        <f ca="1">('TE BE'!$AB$14+'TE BF_350'!$AB$14+'TE CVA'!$AB$14)*(1-CUSTOS!$M$35)</f>
        <v>157.51799999999997</v>
      </c>
      <c r="AB327" s="6">
        <f>$K$327*$V$327</f>
        <v>0</v>
      </c>
      <c r="AC327" s="6">
        <f>$M$327*$W$327</f>
        <v>3174.0150000000003</v>
      </c>
      <c r="AD327" s="6">
        <f>$O$327*$X$327</f>
        <v>3551.34</v>
      </c>
      <c r="AE327" s="6">
        <f>$K$327*$Y$327</f>
        <v>0</v>
      </c>
      <c r="AF327" s="6">
        <f ca="1">$M$327*$Z$327</f>
        <v>2197.0259999999998</v>
      </c>
      <c r="AG327" s="6">
        <f ca="1">$O$327*$AA$327</f>
        <v>3071.6009999999997</v>
      </c>
    </row>
    <row r="328" spans="1:33" ht="11.25" customHeight="1" x14ac:dyDescent="0.3">
      <c r="A328" s="4" t="s">
        <v>21</v>
      </c>
      <c r="B328" s="4" t="s">
        <v>22</v>
      </c>
      <c r="C328" s="4" t="s">
        <v>23</v>
      </c>
      <c r="D328" s="4" t="s">
        <v>24</v>
      </c>
      <c r="E328" s="4" t="s">
        <v>29</v>
      </c>
      <c r="F328" s="4" t="s">
        <v>25</v>
      </c>
      <c r="G328" s="4" t="s">
        <v>25</v>
      </c>
      <c r="H328" s="4" t="s">
        <v>25</v>
      </c>
      <c r="I328" s="5">
        <v>44470</v>
      </c>
      <c r="J328" s="6">
        <v>0</v>
      </c>
      <c r="K328" s="6">
        <v>0</v>
      </c>
      <c r="L328" s="6">
        <v>19.084</v>
      </c>
      <c r="M328" s="6">
        <v>19.084</v>
      </c>
      <c r="N328" s="6">
        <v>19.084</v>
      </c>
      <c r="O328" s="6">
        <v>19.084</v>
      </c>
      <c r="P328" s="6">
        <v>58</v>
      </c>
      <c r="Q328" s="4" t="s">
        <v>26</v>
      </c>
      <c r="R328" s="4">
        <v>0</v>
      </c>
      <c r="S328" s="6">
        <v>0</v>
      </c>
      <c r="T328" s="6">
        <v>42</v>
      </c>
      <c r="U328" s="6">
        <v>91</v>
      </c>
      <c r="V328" s="6">
        <f>IF(ISERROR(VLOOKUP($S$328,'TAR FIN'!$A$1:$O$92,15,0)),0,VLOOKUP($S$328,'TAR FIN'!$A$1:$O$92,15,0))</f>
        <v>0</v>
      </c>
      <c r="W328" s="6">
        <f>IF(ISERROR(VLOOKUP($T$328,'TAR FIN'!$A$1:$O$92,15,0)),0,VLOOKUP($T$328,'TAR FIN'!$A$1:$O$92,15,0))</f>
        <v>162.77000000000001</v>
      </c>
      <c r="X328" s="6">
        <f>IF(ISERROR(VLOOKUP($U$328,'TAR FIN'!$A$1:$O$92,15,0)),0,VLOOKUP($U$328,'TAR FIN'!$A$1:$O$92,15,0))</f>
        <v>182.12</v>
      </c>
      <c r="Y328" s="6"/>
      <c r="Z328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28" s="6">
        <f ca="1">('TE BE'!$AB$14+'TE BF_350'!$AB$14+'TE CVA'!$AB$14)*(1-CUSTOS!$M$35)</f>
        <v>157.51799999999997</v>
      </c>
      <c r="AB328" s="6">
        <f>$K$328*$V$328</f>
        <v>0</v>
      </c>
      <c r="AC328" s="6">
        <f>$M$328*$W$328</f>
        <v>3106.3026800000002</v>
      </c>
      <c r="AD328" s="6">
        <f>$O$328*$X$328</f>
        <v>3475.5780800000002</v>
      </c>
      <c r="AE328" s="6">
        <f>$K$328*$Y$328</f>
        <v>0</v>
      </c>
      <c r="AF328" s="6">
        <f ca="1">$M$328*$Z$328</f>
        <v>2150.1561119999997</v>
      </c>
      <c r="AG328" s="6">
        <f ca="1">$O$328*$AA$328</f>
        <v>3006.0735119999995</v>
      </c>
    </row>
    <row r="329" spans="1:33" ht="11.25" customHeight="1" x14ac:dyDescent="0.3">
      <c r="A329" s="4" t="s">
        <v>21</v>
      </c>
      <c r="B329" s="4" t="s">
        <v>22</v>
      </c>
      <c r="C329" s="4" t="s">
        <v>23</v>
      </c>
      <c r="D329" s="4" t="s">
        <v>24</v>
      </c>
      <c r="E329" s="4" t="s">
        <v>29</v>
      </c>
      <c r="F329" s="4" t="s">
        <v>25</v>
      </c>
      <c r="G329" s="4" t="s">
        <v>25</v>
      </c>
      <c r="H329" s="4" t="s">
        <v>25</v>
      </c>
      <c r="I329" s="5">
        <v>44501</v>
      </c>
      <c r="J329" s="6">
        <v>0</v>
      </c>
      <c r="K329" s="6">
        <v>0</v>
      </c>
      <c r="L329" s="6">
        <v>18.992999999999999</v>
      </c>
      <c r="M329" s="6">
        <v>18.992999999999999</v>
      </c>
      <c r="N329" s="6">
        <v>18.992999999999999</v>
      </c>
      <c r="O329" s="6">
        <v>18.992999999999999</v>
      </c>
      <c r="P329" s="6">
        <v>67</v>
      </c>
      <c r="Q329" s="4" t="s">
        <v>26</v>
      </c>
      <c r="R329" s="4">
        <v>0</v>
      </c>
      <c r="S329" s="6">
        <v>0</v>
      </c>
      <c r="T329" s="6">
        <v>42</v>
      </c>
      <c r="U329" s="6">
        <v>91</v>
      </c>
      <c r="V329" s="6">
        <f>IF(ISERROR(VLOOKUP($S$329,'TAR FIN'!$A$1:$O$92,15,0)),0,VLOOKUP($S$329,'TAR FIN'!$A$1:$O$92,15,0))</f>
        <v>0</v>
      </c>
      <c r="W329" s="6">
        <f>IF(ISERROR(VLOOKUP($T$329,'TAR FIN'!$A$1:$O$92,15,0)),0,VLOOKUP($T$329,'TAR FIN'!$A$1:$O$92,15,0))</f>
        <v>162.77000000000001</v>
      </c>
      <c r="X329" s="6">
        <f>IF(ISERROR(VLOOKUP($U$329,'TAR FIN'!$A$1:$O$92,15,0)),0,VLOOKUP($U$329,'TAR FIN'!$A$1:$O$92,15,0))</f>
        <v>182.12</v>
      </c>
      <c r="Y329" s="6"/>
      <c r="Z329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29" s="6">
        <f ca="1">('TE BE'!$AB$14+'TE BF_350'!$AB$14+'TE CVA'!$AB$14)*(1-CUSTOS!$M$35)</f>
        <v>157.51799999999997</v>
      </c>
      <c r="AB329" s="6">
        <f>$K$329*$V$329</f>
        <v>0</v>
      </c>
      <c r="AC329" s="6">
        <f>$M$329*$W$329</f>
        <v>3091.4906099999998</v>
      </c>
      <c r="AD329" s="6">
        <f>$O$329*$X$329</f>
        <v>3459.0051599999997</v>
      </c>
      <c r="AE329" s="6">
        <f>$K$329*$Y$329</f>
        <v>0</v>
      </c>
      <c r="AF329" s="6">
        <f ca="1">$M$329*$Z$329</f>
        <v>2139.9033239999999</v>
      </c>
      <c r="AG329" s="6">
        <f ca="1">$O$329*$AA$329</f>
        <v>2991.7393739999993</v>
      </c>
    </row>
    <row r="330" spans="1:33" ht="11.25" customHeight="1" x14ac:dyDescent="0.3">
      <c r="A330" s="4" t="s">
        <v>21</v>
      </c>
      <c r="B330" s="4" t="s">
        <v>22</v>
      </c>
      <c r="C330" s="4" t="s">
        <v>23</v>
      </c>
      <c r="D330" s="4" t="s">
        <v>24</v>
      </c>
      <c r="E330" s="4" t="s">
        <v>29</v>
      </c>
      <c r="F330" s="4" t="s">
        <v>25</v>
      </c>
      <c r="G330" s="4" t="s">
        <v>25</v>
      </c>
      <c r="H330" s="4" t="s">
        <v>25</v>
      </c>
      <c r="I330" s="5">
        <v>44531</v>
      </c>
      <c r="J330" s="6">
        <v>0</v>
      </c>
      <c r="K330" s="6">
        <v>0</v>
      </c>
      <c r="L330" s="6">
        <v>20.306999999999999</v>
      </c>
      <c r="M330" s="6">
        <v>20.306999999999999</v>
      </c>
      <c r="N330" s="6">
        <v>20.306999999999999</v>
      </c>
      <c r="O330" s="6">
        <v>20.306999999999999</v>
      </c>
      <c r="P330" s="6">
        <v>47</v>
      </c>
      <c r="Q330" s="4" t="s">
        <v>26</v>
      </c>
      <c r="R330" s="4">
        <v>0</v>
      </c>
      <c r="S330" s="6">
        <v>0</v>
      </c>
      <c r="T330" s="6">
        <v>42</v>
      </c>
      <c r="U330" s="6">
        <v>91</v>
      </c>
      <c r="V330" s="6">
        <f>IF(ISERROR(VLOOKUP($S$330,'TAR FIN'!$A$1:$O$92,15,0)),0,VLOOKUP($S$330,'TAR FIN'!$A$1:$O$92,15,0))</f>
        <v>0</v>
      </c>
      <c r="W330" s="6">
        <f>IF(ISERROR(VLOOKUP($T$330,'TAR FIN'!$A$1:$O$92,15,0)),0,VLOOKUP($T$330,'TAR FIN'!$A$1:$O$92,15,0))</f>
        <v>162.77000000000001</v>
      </c>
      <c r="X330" s="6">
        <f>IF(ISERROR(VLOOKUP($U$330,'TAR FIN'!$A$1:$O$92,15,0)),0,VLOOKUP($U$330,'TAR FIN'!$A$1:$O$92,15,0))</f>
        <v>182.12</v>
      </c>
      <c r="Y330" s="6"/>
      <c r="Z330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30" s="6">
        <f ca="1">('TE BE'!$AB$14+'TE BF_350'!$AB$14+'TE CVA'!$AB$14)*(1-CUSTOS!$M$35)</f>
        <v>157.51799999999997</v>
      </c>
      <c r="AB330" s="6">
        <f>$K$330*$V$330</f>
        <v>0</v>
      </c>
      <c r="AC330" s="6">
        <f>$M$330*$W$330</f>
        <v>3305.37039</v>
      </c>
      <c r="AD330" s="6">
        <f>$O$330*$X$330</f>
        <v>3698.3108399999996</v>
      </c>
      <c r="AE330" s="6">
        <f>$K$330*$Y$330</f>
        <v>0</v>
      </c>
      <c r="AF330" s="6">
        <f ca="1">$M$330*$Z$330</f>
        <v>2287.9490759999999</v>
      </c>
      <c r="AG330" s="6">
        <f ca="1">$O$330*$AA$330</f>
        <v>3198.7180259999991</v>
      </c>
    </row>
    <row r="331" spans="1:33" ht="11.25" customHeight="1" x14ac:dyDescent="0.3">
      <c r="A331" s="4" t="s">
        <v>21</v>
      </c>
      <c r="B331" s="4" t="s">
        <v>22</v>
      </c>
      <c r="C331" s="4" t="s">
        <v>23</v>
      </c>
      <c r="D331" s="4" t="s">
        <v>24</v>
      </c>
      <c r="E331" s="4" t="s">
        <v>29</v>
      </c>
      <c r="F331" s="4" t="s">
        <v>25</v>
      </c>
      <c r="G331" s="4" t="s">
        <v>25</v>
      </c>
      <c r="H331" s="4" t="s">
        <v>25</v>
      </c>
      <c r="I331" s="5">
        <v>44562</v>
      </c>
      <c r="J331" s="6">
        <v>0</v>
      </c>
      <c r="K331" s="6">
        <v>0</v>
      </c>
      <c r="L331" s="6">
        <v>20.56</v>
      </c>
      <c r="M331" s="6">
        <v>20.56</v>
      </c>
      <c r="N331" s="6">
        <v>20.56</v>
      </c>
      <c r="O331" s="6">
        <v>20.56</v>
      </c>
      <c r="P331" s="6">
        <v>54</v>
      </c>
      <c r="Q331" s="4" t="s">
        <v>26</v>
      </c>
      <c r="R331" s="4">
        <v>0</v>
      </c>
      <c r="S331" s="6">
        <v>0</v>
      </c>
      <c r="T331" s="6">
        <v>42</v>
      </c>
      <c r="U331" s="6">
        <v>91</v>
      </c>
      <c r="V331" s="6">
        <f>IF(ISERROR(VLOOKUP($S$331,'TAR FIN'!$A$1:$O$92,15,0)),0,VLOOKUP($S$331,'TAR FIN'!$A$1:$O$92,15,0))</f>
        <v>0</v>
      </c>
      <c r="W331" s="6">
        <f>IF(ISERROR(VLOOKUP($T$331,'TAR FIN'!$A$1:$O$92,15,0)),0,VLOOKUP($T$331,'TAR FIN'!$A$1:$O$92,15,0))</f>
        <v>162.77000000000001</v>
      </c>
      <c r="X331" s="6">
        <f>IF(ISERROR(VLOOKUP($U$331,'TAR FIN'!$A$1:$O$92,15,0)),0,VLOOKUP($U$331,'TAR FIN'!$A$1:$O$92,15,0))</f>
        <v>182.12</v>
      </c>
      <c r="Y331" s="6"/>
      <c r="Z331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31" s="6">
        <f ca="1">('TE BE'!$AB$14+'TE BF_350'!$AB$14+'TE CVA'!$AB$14)*(1-CUSTOS!$M$35)</f>
        <v>157.51799999999997</v>
      </c>
      <c r="AB331" s="6">
        <f>$K$331*$V$331</f>
        <v>0</v>
      </c>
      <c r="AC331" s="6">
        <f>$M$331*$W$331</f>
        <v>3346.5511999999999</v>
      </c>
      <c r="AD331" s="6">
        <f>$O$331*$X$331</f>
        <v>3744.3871999999997</v>
      </c>
      <c r="AE331" s="6">
        <f>$K$331*$Y$331</f>
        <v>0</v>
      </c>
      <c r="AF331" s="6">
        <f ca="1">$M$331*$Z$331</f>
        <v>2316.4540799999995</v>
      </c>
      <c r="AG331" s="6">
        <f ca="1">$O$331*$AA$331</f>
        <v>3238.5700799999991</v>
      </c>
    </row>
    <row r="332" spans="1:33" ht="11.25" customHeight="1" x14ac:dyDescent="0.3">
      <c r="A332" s="4" t="s">
        <v>21</v>
      </c>
      <c r="B332" s="4" t="s">
        <v>22</v>
      </c>
      <c r="C332" s="4" t="s">
        <v>23</v>
      </c>
      <c r="D332" s="4" t="s">
        <v>24</v>
      </c>
      <c r="E332" s="4" t="s">
        <v>29</v>
      </c>
      <c r="F332" s="4" t="s">
        <v>25</v>
      </c>
      <c r="G332" s="4" t="s">
        <v>25</v>
      </c>
      <c r="H332" s="4" t="s">
        <v>25</v>
      </c>
      <c r="I332" s="5">
        <v>44593</v>
      </c>
      <c r="J332" s="6">
        <v>0</v>
      </c>
      <c r="K332" s="6">
        <v>0</v>
      </c>
      <c r="L332" s="6">
        <v>23.015999999999998</v>
      </c>
      <c r="M332" s="6">
        <v>23.015999999999998</v>
      </c>
      <c r="N332" s="6">
        <v>23.015999999999998</v>
      </c>
      <c r="O332" s="6">
        <v>23.015999999999998</v>
      </c>
      <c r="P332" s="6">
        <v>37</v>
      </c>
      <c r="Q332" s="4" t="s">
        <v>26</v>
      </c>
      <c r="R332" s="4">
        <v>0</v>
      </c>
      <c r="S332" s="6">
        <v>0</v>
      </c>
      <c r="T332" s="6">
        <v>42</v>
      </c>
      <c r="U332" s="6">
        <v>91</v>
      </c>
      <c r="V332" s="6">
        <f>IF(ISERROR(VLOOKUP($S$332,'TAR FIN'!$A$1:$O$92,15,0)),0,VLOOKUP($S$332,'TAR FIN'!$A$1:$O$92,15,0))</f>
        <v>0</v>
      </c>
      <c r="W332" s="6">
        <f>IF(ISERROR(VLOOKUP($T$332,'TAR FIN'!$A$1:$O$92,15,0)),0,VLOOKUP($T$332,'TAR FIN'!$A$1:$O$92,15,0))</f>
        <v>162.77000000000001</v>
      </c>
      <c r="X332" s="6">
        <f>IF(ISERROR(VLOOKUP($U$332,'TAR FIN'!$A$1:$O$92,15,0)),0,VLOOKUP($U$332,'TAR FIN'!$A$1:$O$92,15,0))</f>
        <v>182.12</v>
      </c>
      <c r="Y332" s="6"/>
      <c r="Z332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32" s="6">
        <f ca="1">('TE BE'!$AB$14+'TE BF_350'!$AB$14+'TE CVA'!$AB$14)*(1-CUSTOS!$M$35)</f>
        <v>157.51799999999997</v>
      </c>
      <c r="AB332" s="6">
        <f>$K$332*$V$332</f>
        <v>0</v>
      </c>
      <c r="AC332" s="6">
        <f>$M$332*$W$332</f>
        <v>3746.31432</v>
      </c>
      <c r="AD332" s="6">
        <f>$O$332*$X$332</f>
        <v>4191.6739200000002</v>
      </c>
      <c r="AE332" s="6">
        <f>$K$332*$Y$332</f>
        <v>0</v>
      </c>
      <c r="AF332" s="6">
        <f ca="1">$M$332*$Z$332</f>
        <v>2593.1666879999998</v>
      </c>
      <c r="AG332" s="6">
        <f ca="1">$O$332*$AA$332</f>
        <v>3625.434287999999</v>
      </c>
    </row>
    <row r="333" spans="1:33" ht="11.25" customHeight="1" x14ac:dyDescent="0.3">
      <c r="A333" s="4" t="s">
        <v>21</v>
      </c>
      <c r="B333" s="4" t="s">
        <v>22</v>
      </c>
      <c r="C333" s="4" t="s">
        <v>23</v>
      </c>
      <c r="D333" s="4" t="s">
        <v>24</v>
      </c>
      <c r="E333" s="4" t="s">
        <v>29</v>
      </c>
      <c r="F333" s="4" t="s">
        <v>25</v>
      </c>
      <c r="G333" s="4" t="s">
        <v>25</v>
      </c>
      <c r="H333" s="4" t="s">
        <v>25</v>
      </c>
      <c r="I333" s="5">
        <v>44621</v>
      </c>
      <c r="J333" s="6">
        <v>0</v>
      </c>
      <c r="K333" s="6">
        <v>0</v>
      </c>
      <c r="L333" s="6">
        <v>24</v>
      </c>
      <c r="M333" s="6">
        <v>24</v>
      </c>
      <c r="N333" s="6">
        <v>24</v>
      </c>
      <c r="O333" s="6">
        <v>24</v>
      </c>
      <c r="P333" s="6">
        <v>55</v>
      </c>
      <c r="Q333" s="4" t="s">
        <v>26</v>
      </c>
      <c r="R333" s="4">
        <v>0</v>
      </c>
      <c r="S333" s="6">
        <v>0</v>
      </c>
      <c r="T333" s="6">
        <v>42</v>
      </c>
      <c r="U333" s="6">
        <v>91</v>
      </c>
      <c r="V333" s="6">
        <f>IF(ISERROR(VLOOKUP($S$333,'TAR FIN'!$A$1:$O$92,15,0)),0,VLOOKUP($S$333,'TAR FIN'!$A$1:$O$92,15,0))</f>
        <v>0</v>
      </c>
      <c r="W333" s="6">
        <f>IF(ISERROR(VLOOKUP($T$333,'TAR FIN'!$A$1:$O$92,15,0)),0,VLOOKUP($T$333,'TAR FIN'!$A$1:$O$92,15,0))</f>
        <v>162.77000000000001</v>
      </c>
      <c r="X333" s="6">
        <f>IF(ISERROR(VLOOKUP($U$333,'TAR FIN'!$A$1:$O$92,15,0)),0,VLOOKUP($U$333,'TAR FIN'!$A$1:$O$92,15,0))</f>
        <v>182.12</v>
      </c>
      <c r="Y333" s="6"/>
      <c r="Z333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33" s="6">
        <f ca="1">('TE BE'!$AB$14+'TE BF_350'!$AB$14+'TE CVA'!$AB$14)*(1-CUSTOS!$M$35)</f>
        <v>157.51799999999997</v>
      </c>
      <c r="AB333" s="6">
        <f>$K$333*$V$333</f>
        <v>0</v>
      </c>
      <c r="AC333" s="6">
        <f>$M$333*$W$333</f>
        <v>3906.4800000000005</v>
      </c>
      <c r="AD333" s="6">
        <f>$O$333*$X$333</f>
        <v>4370.88</v>
      </c>
      <c r="AE333" s="6">
        <f>$K$333*$Y$333</f>
        <v>0</v>
      </c>
      <c r="AF333" s="6">
        <f ca="1">$M$333*$Z$333</f>
        <v>2704.0319999999997</v>
      </c>
      <c r="AG333" s="6">
        <f ca="1">$O$333*$AA$333</f>
        <v>3780.4319999999993</v>
      </c>
    </row>
    <row r="334" spans="1:33" ht="11.25" customHeight="1" x14ac:dyDescent="0.3">
      <c r="A334" s="4" t="s">
        <v>21</v>
      </c>
      <c r="B334" s="4" t="s">
        <v>22</v>
      </c>
      <c r="C334" s="4" t="s">
        <v>23</v>
      </c>
      <c r="D334" s="4" t="s">
        <v>24</v>
      </c>
      <c r="E334" s="4" t="s">
        <v>29</v>
      </c>
      <c r="F334" s="4" t="s">
        <v>25</v>
      </c>
      <c r="G334" s="4" t="s">
        <v>25</v>
      </c>
      <c r="H334" s="4" t="s">
        <v>25</v>
      </c>
      <c r="I334" s="5">
        <v>44652</v>
      </c>
      <c r="J334" s="6">
        <v>0</v>
      </c>
      <c r="K334" s="6">
        <v>0</v>
      </c>
      <c r="L334" s="6">
        <v>23.969000000000001</v>
      </c>
      <c r="M334" s="6">
        <v>23.969000000000001</v>
      </c>
      <c r="N334" s="6">
        <v>23.969000000000001</v>
      </c>
      <c r="O334" s="6">
        <v>23.969000000000001</v>
      </c>
      <c r="P334" s="6">
        <v>65</v>
      </c>
      <c r="Q334" s="4" t="s">
        <v>26</v>
      </c>
      <c r="R334" s="4">
        <v>0</v>
      </c>
      <c r="S334" s="6">
        <v>0</v>
      </c>
      <c r="T334" s="6">
        <v>42</v>
      </c>
      <c r="U334" s="6">
        <v>91</v>
      </c>
      <c r="V334" s="6">
        <f>IF(ISERROR(VLOOKUP($S$334,'TAR FIN'!$A$1:$O$92,15,0)),0,VLOOKUP($S$334,'TAR FIN'!$A$1:$O$92,15,0))</f>
        <v>0</v>
      </c>
      <c r="W334" s="6">
        <f>IF(ISERROR(VLOOKUP($T$334,'TAR FIN'!$A$1:$O$92,15,0)),0,VLOOKUP($T$334,'TAR FIN'!$A$1:$O$92,15,0))</f>
        <v>162.77000000000001</v>
      </c>
      <c r="X334" s="6">
        <f>IF(ISERROR(VLOOKUP($U$334,'TAR FIN'!$A$1:$O$92,15,0)),0,VLOOKUP($U$334,'TAR FIN'!$A$1:$O$92,15,0))</f>
        <v>182.12</v>
      </c>
      <c r="Y334" s="6"/>
      <c r="Z334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34" s="6">
        <f ca="1">('TE BE'!$AB$14+'TE BF_350'!$AB$14+'TE CVA'!$AB$14)*(1-CUSTOS!$M$35)</f>
        <v>157.51799999999997</v>
      </c>
      <c r="AB334" s="6">
        <f>$K$334*$V$334</f>
        <v>0</v>
      </c>
      <c r="AC334" s="6">
        <f>$M$334*$W$334</f>
        <v>3901.4341300000006</v>
      </c>
      <c r="AD334" s="6">
        <f>$O$334*$X$334</f>
        <v>4365.2342800000006</v>
      </c>
      <c r="AE334" s="6">
        <f>$K$334*$Y$334</f>
        <v>0</v>
      </c>
      <c r="AF334" s="6">
        <f ca="1">$M$334*$Z$334</f>
        <v>2700.5392919999999</v>
      </c>
      <c r="AG334" s="6">
        <f ca="1">$O$334*$AA$334</f>
        <v>3775.5489419999994</v>
      </c>
    </row>
    <row r="335" spans="1:33" ht="11.25" customHeight="1" x14ac:dyDescent="0.3">
      <c r="A335" s="4" t="s">
        <v>21</v>
      </c>
      <c r="B335" s="4" t="s">
        <v>22</v>
      </c>
      <c r="C335" s="4" t="s">
        <v>23</v>
      </c>
      <c r="D335" s="4" t="s">
        <v>24</v>
      </c>
      <c r="E335" s="4" t="s">
        <v>29</v>
      </c>
      <c r="F335" s="4" t="s">
        <v>25</v>
      </c>
      <c r="G335" s="4" t="s">
        <v>25</v>
      </c>
      <c r="H335" s="4" t="s">
        <v>25</v>
      </c>
      <c r="I335" s="5">
        <v>44682</v>
      </c>
      <c r="J335" s="6">
        <v>0</v>
      </c>
      <c r="K335" s="6">
        <v>0</v>
      </c>
      <c r="L335" s="6">
        <v>24.436</v>
      </c>
      <c r="M335" s="6">
        <v>24.436</v>
      </c>
      <c r="N335" s="6">
        <v>24.436</v>
      </c>
      <c r="O335" s="6">
        <v>24.436</v>
      </c>
      <c r="P335" s="6">
        <v>97</v>
      </c>
      <c r="Q335" s="4" t="s">
        <v>26</v>
      </c>
      <c r="R335" s="4">
        <v>0</v>
      </c>
      <c r="S335" s="6">
        <v>0</v>
      </c>
      <c r="T335" s="6">
        <v>42</v>
      </c>
      <c r="U335" s="6">
        <v>91</v>
      </c>
      <c r="V335" s="6">
        <f>IF(ISERROR(VLOOKUP($S$335,'TAR FIN'!$A$1:$O$92,15,0)),0,VLOOKUP($S$335,'TAR FIN'!$A$1:$O$92,15,0))</f>
        <v>0</v>
      </c>
      <c r="W335" s="6">
        <f>IF(ISERROR(VLOOKUP($T$335,'TAR FIN'!$A$1:$O$92,15,0)),0,VLOOKUP($T$335,'TAR FIN'!$A$1:$O$92,15,0))</f>
        <v>162.77000000000001</v>
      </c>
      <c r="X335" s="6">
        <f>IF(ISERROR(VLOOKUP($U$335,'TAR FIN'!$A$1:$O$92,15,0)),0,VLOOKUP($U$335,'TAR FIN'!$A$1:$O$92,15,0))</f>
        <v>182.12</v>
      </c>
      <c r="Y335" s="6"/>
      <c r="Z335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35" s="6">
        <f ca="1">('TE BE'!$AB$14+'TE BF_350'!$AB$14+'TE CVA'!$AB$14)*(1-CUSTOS!$M$35)</f>
        <v>157.51799999999997</v>
      </c>
      <c r="AB335" s="6">
        <f>$K$335*$V$335</f>
        <v>0</v>
      </c>
      <c r="AC335" s="6">
        <f>$M$335*$W$335</f>
        <v>3977.4477200000001</v>
      </c>
      <c r="AD335" s="6">
        <f>$O$335*$X$335</f>
        <v>4450.2843199999998</v>
      </c>
      <c r="AE335" s="6">
        <f>$K$335*$Y$335</f>
        <v>0</v>
      </c>
      <c r="AF335" s="6">
        <f ca="1">$M$335*$Z$335</f>
        <v>2753.155248</v>
      </c>
      <c r="AG335" s="6">
        <f ca="1">$O$335*$AA$335</f>
        <v>3849.1098479999991</v>
      </c>
    </row>
    <row r="336" spans="1:33" ht="11.25" customHeight="1" x14ac:dyDescent="0.3">
      <c r="A336" s="4" t="s">
        <v>21</v>
      </c>
      <c r="B336" s="4" t="s">
        <v>22</v>
      </c>
      <c r="C336" s="4" t="s">
        <v>23</v>
      </c>
      <c r="D336" s="4" t="s">
        <v>24</v>
      </c>
      <c r="E336" s="4" t="s">
        <v>29</v>
      </c>
      <c r="F336" s="4" t="s">
        <v>25</v>
      </c>
      <c r="G336" s="4" t="s">
        <v>25</v>
      </c>
      <c r="H336" s="4" t="s">
        <v>25</v>
      </c>
      <c r="I336" s="5">
        <v>44713</v>
      </c>
      <c r="J336" s="6">
        <v>0</v>
      </c>
      <c r="K336" s="6">
        <v>0</v>
      </c>
      <c r="L336" s="6">
        <v>19.992999999999999</v>
      </c>
      <c r="M336" s="6">
        <v>19.992999999999999</v>
      </c>
      <c r="N336" s="6">
        <v>19.992999999999999</v>
      </c>
      <c r="O336" s="6">
        <v>19.992999999999999</v>
      </c>
      <c r="P336" s="6">
        <v>64</v>
      </c>
      <c r="Q336" s="4" t="s">
        <v>26</v>
      </c>
      <c r="R336" s="4">
        <v>0</v>
      </c>
      <c r="S336" s="6">
        <v>0</v>
      </c>
      <c r="T336" s="6">
        <v>42</v>
      </c>
      <c r="U336" s="6">
        <v>91</v>
      </c>
      <c r="V336" s="6">
        <f>IF(ISERROR(VLOOKUP($S$336,'TAR FIN'!$A$1:$O$92,15,0)),0,VLOOKUP($S$336,'TAR FIN'!$A$1:$O$92,15,0))</f>
        <v>0</v>
      </c>
      <c r="W336" s="6">
        <f>IF(ISERROR(VLOOKUP($T$336,'TAR FIN'!$A$1:$O$92,15,0)),0,VLOOKUP($T$336,'TAR FIN'!$A$1:$O$92,15,0))</f>
        <v>162.77000000000001</v>
      </c>
      <c r="X336" s="6">
        <f>IF(ISERROR(VLOOKUP($U$336,'TAR FIN'!$A$1:$O$92,15,0)),0,VLOOKUP($U$336,'TAR FIN'!$A$1:$O$92,15,0))</f>
        <v>182.12</v>
      </c>
      <c r="Y336" s="6"/>
      <c r="Z336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36" s="6">
        <f ca="1">('TE BE'!$AB$14+'TE BF_350'!$AB$14+'TE CVA'!$AB$14)*(1-CUSTOS!$M$35)</f>
        <v>157.51799999999997</v>
      </c>
      <c r="AB336" s="6">
        <f>$K$336*$V$336</f>
        <v>0</v>
      </c>
      <c r="AC336" s="6">
        <f>$M$336*$W$336</f>
        <v>3254.2606099999998</v>
      </c>
      <c r="AD336" s="6">
        <f>$O$336*$X$336</f>
        <v>3641.1251600000001</v>
      </c>
      <c r="AE336" s="6">
        <f>$K$336*$Y$336</f>
        <v>0</v>
      </c>
      <c r="AF336" s="6">
        <f ca="1">$M$336*$Z$336</f>
        <v>2252.5713239999995</v>
      </c>
      <c r="AG336" s="6">
        <f ca="1">$O$336*$AA$336</f>
        <v>3149.2573739999993</v>
      </c>
    </row>
    <row r="337" spans="1:33" ht="11.25" customHeight="1" x14ac:dyDescent="0.3">
      <c r="A337" s="4" t="s">
        <v>21</v>
      </c>
      <c r="B337" s="4" t="s">
        <v>22</v>
      </c>
      <c r="C337" s="4" t="s">
        <v>23</v>
      </c>
      <c r="D337" s="4" t="s">
        <v>24</v>
      </c>
      <c r="E337" s="4" t="s">
        <v>29</v>
      </c>
      <c r="F337" s="4" t="s">
        <v>25</v>
      </c>
      <c r="G337" s="4" t="s">
        <v>25</v>
      </c>
      <c r="H337" s="4" t="s">
        <v>25</v>
      </c>
      <c r="I337" s="5">
        <v>44743</v>
      </c>
      <c r="J337" s="6">
        <v>0</v>
      </c>
      <c r="K337" s="6">
        <v>0</v>
      </c>
      <c r="L337" s="6">
        <v>22.091000000000001</v>
      </c>
      <c r="M337" s="6">
        <v>22.091000000000001</v>
      </c>
      <c r="N337" s="6">
        <v>22.091000000000001</v>
      </c>
      <c r="O337" s="6">
        <v>22.091000000000001</v>
      </c>
      <c r="P337" s="6">
        <v>78</v>
      </c>
      <c r="Q337" s="4" t="s">
        <v>26</v>
      </c>
      <c r="R337" s="4">
        <v>0</v>
      </c>
      <c r="S337" s="6">
        <v>0</v>
      </c>
      <c r="T337" s="6">
        <v>42</v>
      </c>
      <c r="U337" s="6">
        <v>91</v>
      </c>
      <c r="V337" s="6">
        <f>IF(ISERROR(VLOOKUP($S$337,'TAR FIN'!$A$1:$O$92,15,0)),0,VLOOKUP($S$337,'TAR FIN'!$A$1:$O$92,15,0))</f>
        <v>0</v>
      </c>
      <c r="W337" s="6">
        <f>IF(ISERROR(VLOOKUP($T$337,'TAR FIN'!$A$1:$O$92,15,0)),0,VLOOKUP($T$337,'TAR FIN'!$A$1:$O$92,15,0))</f>
        <v>162.77000000000001</v>
      </c>
      <c r="X337" s="6">
        <f>IF(ISERROR(VLOOKUP($U$337,'TAR FIN'!$A$1:$O$92,15,0)),0,VLOOKUP($U$337,'TAR FIN'!$A$1:$O$92,15,0))</f>
        <v>182.12</v>
      </c>
      <c r="Y337" s="6"/>
      <c r="Z337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37" s="6">
        <f ca="1">('TE BE'!$AB$14+'TE BF_350'!$AB$14+'TE CVA'!$AB$14)*(1-CUSTOS!$M$35)</f>
        <v>157.51799999999997</v>
      </c>
      <c r="AB337" s="6">
        <f>$K$337*$V$337</f>
        <v>0</v>
      </c>
      <c r="AC337" s="6">
        <f>$M$337*$W$337</f>
        <v>3595.7520700000005</v>
      </c>
      <c r="AD337" s="6">
        <f>$O$337*$X$337</f>
        <v>4023.2129200000004</v>
      </c>
      <c r="AE337" s="6">
        <f>$K$337*$Y$337</f>
        <v>0</v>
      </c>
      <c r="AF337" s="6">
        <f ca="1">$M$337*$Z$337</f>
        <v>2488.9487880000001</v>
      </c>
      <c r="AG337" s="6">
        <f ca="1">$O$337*$AA$337</f>
        <v>3479.7301379999994</v>
      </c>
    </row>
    <row r="338" spans="1:33" ht="11.25" customHeight="1" x14ac:dyDescent="0.3">
      <c r="A338" s="4" t="s">
        <v>21</v>
      </c>
      <c r="B338" s="4" t="s">
        <v>22</v>
      </c>
      <c r="C338" s="4" t="s">
        <v>23</v>
      </c>
      <c r="D338" s="4" t="s">
        <v>24</v>
      </c>
      <c r="E338" s="4" t="s">
        <v>30</v>
      </c>
      <c r="F338" s="4" t="s">
        <v>25</v>
      </c>
      <c r="G338" s="4" t="s">
        <v>25</v>
      </c>
      <c r="H338" s="4" t="s">
        <v>25</v>
      </c>
      <c r="I338" s="5">
        <v>44409</v>
      </c>
      <c r="J338" s="6">
        <v>0</v>
      </c>
      <c r="K338" s="6">
        <v>0</v>
      </c>
      <c r="L338" s="6">
        <v>17.896999999999998</v>
      </c>
      <c r="M338" s="6">
        <v>17.896999999999998</v>
      </c>
      <c r="N338" s="6">
        <v>17.896999999999998</v>
      </c>
      <c r="O338" s="6">
        <v>17.896999999999998</v>
      </c>
      <c r="P338" s="6">
        <v>147</v>
      </c>
      <c r="Q338" s="4" t="s">
        <v>26</v>
      </c>
      <c r="R338" s="4">
        <v>0</v>
      </c>
      <c r="S338" s="6">
        <v>0</v>
      </c>
      <c r="T338" s="6">
        <v>45</v>
      </c>
      <c r="U338" s="6">
        <v>2</v>
      </c>
      <c r="V338" s="6">
        <f>IF(ISERROR(VLOOKUP($S$338,'TAR FIN'!$A$1:$O$92,15,0)),0,VLOOKUP($S$338,'TAR FIN'!$A$1:$O$92,15,0))</f>
        <v>0</v>
      </c>
      <c r="W338" s="6">
        <f>IF(ISERROR(VLOOKUP($T$338,'TAR FIN'!$A$1:$O$92,15,0)),0,VLOOKUP($T$338,'TAR FIN'!$A$1:$O$92,15,0))</f>
        <v>244.15</v>
      </c>
      <c r="X338" s="6">
        <f>IF(ISERROR(VLOOKUP($U$338,'TAR FIN'!$A$1:$O$92,15,0)),0,VLOOKUP($U$338,'TAR FIN'!$A$1:$O$92,15,0))</f>
        <v>273.19</v>
      </c>
      <c r="Y338" s="6"/>
      <c r="Z338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38" s="6">
        <f ca="1">('TE BE'!$AB$15+'TE BF_350'!$AB$15+'TE CVA'!$AB$15)*(1-CUSTOS!$M$36)</f>
        <v>236.27699999999999</v>
      </c>
      <c r="AB338" s="6">
        <f>$K$338*$V$338</f>
        <v>0</v>
      </c>
      <c r="AC338" s="6">
        <f>$M$338*$W$338</f>
        <v>4369.5525499999994</v>
      </c>
      <c r="AD338" s="6">
        <f>$O$338*$X$338</f>
        <v>4889.2814299999991</v>
      </c>
      <c r="AE338" s="6">
        <f>$K$338*$Y$338</f>
        <v>0</v>
      </c>
      <c r="AF338" s="6">
        <f ca="1">$M$338*$Z$338</f>
        <v>3024.6287939999997</v>
      </c>
      <c r="AG338" s="6">
        <f ca="1">$O$338*$AA$338</f>
        <v>4228.649468999999</v>
      </c>
    </row>
    <row r="339" spans="1:33" ht="11.25" customHeight="1" x14ac:dyDescent="0.3">
      <c r="A339" s="4" t="s">
        <v>21</v>
      </c>
      <c r="B339" s="4" t="s">
        <v>22</v>
      </c>
      <c r="C339" s="4" t="s">
        <v>23</v>
      </c>
      <c r="D339" s="4" t="s">
        <v>24</v>
      </c>
      <c r="E339" s="4" t="s">
        <v>30</v>
      </c>
      <c r="F339" s="4" t="s">
        <v>25</v>
      </c>
      <c r="G339" s="4" t="s">
        <v>25</v>
      </c>
      <c r="H339" s="4" t="s">
        <v>25</v>
      </c>
      <c r="I339" s="5">
        <v>44440</v>
      </c>
      <c r="J339" s="6">
        <v>0</v>
      </c>
      <c r="K339" s="6">
        <v>0</v>
      </c>
      <c r="L339" s="6">
        <v>20.79</v>
      </c>
      <c r="M339" s="6">
        <v>20.79</v>
      </c>
      <c r="N339" s="6">
        <v>20.79</v>
      </c>
      <c r="O339" s="6">
        <v>20.79</v>
      </c>
      <c r="P339" s="6">
        <v>159</v>
      </c>
      <c r="Q339" s="4" t="s">
        <v>26</v>
      </c>
      <c r="R339" s="4">
        <v>0</v>
      </c>
      <c r="S339" s="6">
        <v>0</v>
      </c>
      <c r="T339" s="6">
        <v>45</v>
      </c>
      <c r="U339" s="6">
        <v>2</v>
      </c>
      <c r="V339" s="6">
        <f>IF(ISERROR(VLOOKUP($S$339,'TAR FIN'!$A$1:$O$92,15,0)),0,VLOOKUP($S$339,'TAR FIN'!$A$1:$O$92,15,0))</f>
        <v>0</v>
      </c>
      <c r="W339" s="6">
        <f>IF(ISERROR(VLOOKUP($T$339,'TAR FIN'!$A$1:$O$92,15,0)),0,VLOOKUP($T$339,'TAR FIN'!$A$1:$O$92,15,0))</f>
        <v>244.15</v>
      </c>
      <c r="X339" s="6">
        <f>IF(ISERROR(VLOOKUP($U$339,'TAR FIN'!$A$1:$O$92,15,0)),0,VLOOKUP($U$339,'TAR FIN'!$A$1:$O$92,15,0))</f>
        <v>273.19</v>
      </c>
      <c r="Y339" s="6"/>
      <c r="Z339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39" s="6">
        <f ca="1">('TE BE'!$AB$15+'TE BF_350'!$AB$15+'TE CVA'!$AB$15)*(1-CUSTOS!$M$36)</f>
        <v>236.27699999999999</v>
      </c>
      <c r="AB339" s="6">
        <f>$K$339*$V$339</f>
        <v>0</v>
      </c>
      <c r="AC339" s="6">
        <f>$M$339*$W$339</f>
        <v>5075.8784999999998</v>
      </c>
      <c r="AD339" s="6">
        <f>$O$339*$X$339</f>
        <v>5679.6201000000001</v>
      </c>
      <c r="AE339" s="6">
        <f>$K$339*$Y$339</f>
        <v>0</v>
      </c>
      <c r="AF339" s="6">
        <f ca="1">$M$339*$Z$339</f>
        <v>3513.5515799999998</v>
      </c>
      <c r="AG339" s="6">
        <f ca="1">$O$339*$AA$339</f>
        <v>4912.1988299999994</v>
      </c>
    </row>
    <row r="340" spans="1:33" ht="11.25" customHeight="1" x14ac:dyDescent="0.3">
      <c r="A340" s="4" t="s">
        <v>21</v>
      </c>
      <c r="B340" s="4" t="s">
        <v>22</v>
      </c>
      <c r="C340" s="4" t="s">
        <v>23</v>
      </c>
      <c r="D340" s="4" t="s">
        <v>24</v>
      </c>
      <c r="E340" s="4" t="s">
        <v>30</v>
      </c>
      <c r="F340" s="4" t="s">
        <v>25</v>
      </c>
      <c r="G340" s="4" t="s">
        <v>25</v>
      </c>
      <c r="H340" s="4" t="s">
        <v>25</v>
      </c>
      <c r="I340" s="5">
        <v>44470</v>
      </c>
      <c r="J340" s="6">
        <v>0</v>
      </c>
      <c r="K340" s="6">
        <v>0</v>
      </c>
      <c r="L340" s="6">
        <v>17.515999999999998</v>
      </c>
      <c r="M340" s="6">
        <v>17.515999999999998</v>
      </c>
      <c r="N340" s="6">
        <v>17.515999999999998</v>
      </c>
      <c r="O340" s="6">
        <v>17.515999999999998</v>
      </c>
      <c r="P340" s="6">
        <v>170</v>
      </c>
      <c r="Q340" s="4" t="s">
        <v>26</v>
      </c>
      <c r="R340" s="4">
        <v>0</v>
      </c>
      <c r="S340" s="6">
        <v>0</v>
      </c>
      <c r="T340" s="6">
        <v>45</v>
      </c>
      <c r="U340" s="6">
        <v>2</v>
      </c>
      <c r="V340" s="6">
        <f>IF(ISERROR(VLOOKUP($S$340,'TAR FIN'!$A$1:$O$92,15,0)),0,VLOOKUP($S$340,'TAR FIN'!$A$1:$O$92,15,0))</f>
        <v>0</v>
      </c>
      <c r="W340" s="6">
        <f>IF(ISERROR(VLOOKUP($T$340,'TAR FIN'!$A$1:$O$92,15,0)),0,VLOOKUP($T$340,'TAR FIN'!$A$1:$O$92,15,0))</f>
        <v>244.15</v>
      </c>
      <c r="X340" s="6">
        <f>IF(ISERROR(VLOOKUP($U$340,'TAR FIN'!$A$1:$O$92,15,0)),0,VLOOKUP($U$340,'TAR FIN'!$A$1:$O$92,15,0))</f>
        <v>273.19</v>
      </c>
      <c r="Y340" s="6"/>
      <c r="Z340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40" s="6">
        <f ca="1">('TE BE'!$AB$15+'TE BF_350'!$AB$15+'TE CVA'!$AB$15)*(1-CUSTOS!$M$36)</f>
        <v>236.27699999999999</v>
      </c>
      <c r="AB340" s="6">
        <f>$K$340*$V$340</f>
        <v>0</v>
      </c>
      <c r="AC340" s="6">
        <f>$M$340*$W$340</f>
        <v>4276.5313999999998</v>
      </c>
      <c r="AD340" s="6">
        <f>$O$340*$X$340</f>
        <v>4785.1960399999998</v>
      </c>
      <c r="AE340" s="6">
        <f>$K$340*$Y$340</f>
        <v>0</v>
      </c>
      <c r="AF340" s="6">
        <f ca="1">$M$340*$Z$340</f>
        <v>2960.239032</v>
      </c>
      <c r="AG340" s="6">
        <f ca="1">$O$340*$AA$340</f>
        <v>4138.6279319999994</v>
      </c>
    </row>
    <row r="341" spans="1:33" ht="11.25" customHeight="1" x14ac:dyDescent="0.3">
      <c r="A341" s="4" t="s">
        <v>21</v>
      </c>
      <c r="B341" s="4" t="s">
        <v>22</v>
      </c>
      <c r="C341" s="4" t="s">
        <v>23</v>
      </c>
      <c r="D341" s="4" t="s">
        <v>24</v>
      </c>
      <c r="E341" s="4" t="s">
        <v>30</v>
      </c>
      <c r="F341" s="4" t="s">
        <v>25</v>
      </c>
      <c r="G341" s="4" t="s">
        <v>25</v>
      </c>
      <c r="H341" s="4" t="s">
        <v>25</v>
      </c>
      <c r="I341" s="5">
        <v>44501</v>
      </c>
      <c r="J341" s="6">
        <v>0</v>
      </c>
      <c r="K341" s="6">
        <v>0</v>
      </c>
      <c r="L341" s="6">
        <v>16.582999999999998</v>
      </c>
      <c r="M341" s="6">
        <v>16.582999999999998</v>
      </c>
      <c r="N341" s="6">
        <v>16.582999999999998</v>
      </c>
      <c r="O341" s="6">
        <v>16.582999999999998</v>
      </c>
      <c r="P341" s="6">
        <v>170</v>
      </c>
      <c r="Q341" s="4" t="s">
        <v>26</v>
      </c>
      <c r="R341" s="4">
        <v>0</v>
      </c>
      <c r="S341" s="6">
        <v>0</v>
      </c>
      <c r="T341" s="6">
        <v>45</v>
      </c>
      <c r="U341" s="6">
        <v>2</v>
      </c>
      <c r="V341" s="6">
        <f>IF(ISERROR(VLOOKUP($S$341,'TAR FIN'!$A$1:$O$92,15,0)),0,VLOOKUP($S$341,'TAR FIN'!$A$1:$O$92,15,0))</f>
        <v>0</v>
      </c>
      <c r="W341" s="6">
        <f>IF(ISERROR(VLOOKUP($T$341,'TAR FIN'!$A$1:$O$92,15,0)),0,VLOOKUP($T$341,'TAR FIN'!$A$1:$O$92,15,0))</f>
        <v>244.15</v>
      </c>
      <c r="X341" s="6">
        <f>IF(ISERROR(VLOOKUP($U$341,'TAR FIN'!$A$1:$O$92,15,0)),0,VLOOKUP($U$341,'TAR FIN'!$A$1:$O$92,15,0))</f>
        <v>273.19</v>
      </c>
      <c r="Y341" s="6"/>
      <c r="Z341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41" s="6">
        <f ca="1">('TE BE'!$AB$15+'TE BF_350'!$AB$15+'TE CVA'!$AB$15)*(1-CUSTOS!$M$36)</f>
        <v>236.27699999999999</v>
      </c>
      <c r="AB341" s="6">
        <f>$K$341*$V$341</f>
        <v>0</v>
      </c>
      <c r="AC341" s="6">
        <f>$M$341*$W$341</f>
        <v>4048.7394499999996</v>
      </c>
      <c r="AD341" s="6">
        <f>$O$341*$X$341</f>
        <v>4530.3097699999998</v>
      </c>
      <c r="AE341" s="6">
        <f>$K$341*$Y$341</f>
        <v>0</v>
      </c>
      <c r="AF341" s="6">
        <f ca="1">$M$341*$Z$341</f>
        <v>2802.5601659999998</v>
      </c>
      <c r="AG341" s="6">
        <f ca="1">$O$341*$AA$341</f>
        <v>3918.1814909999994</v>
      </c>
    </row>
    <row r="342" spans="1:33" ht="11.25" customHeight="1" x14ac:dyDescent="0.3">
      <c r="A342" s="4" t="s">
        <v>21</v>
      </c>
      <c r="B342" s="4" t="s">
        <v>22</v>
      </c>
      <c r="C342" s="4" t="s">
        <v>23</v>
      </c>
      <c r="D342" s="4" t="s">
        <v>24</v>
      </c>
      <c r="E342" s="4" t="s">
        <v>30</v>
      </c>
      <c r="F342" s="4" t="s">
        <v>25</v>
      </c>
      <c r="G342" s="4" t="s">
        <v>25</v>
      </c>
      <c r="H342" s="4" t="s">
        <v>25</v>
      </c>
      <c r="I342" s="5">
        <v>44531</v>
      </c>
      <c r="J342" s="6">
        <v>0</v>
      </c>
      <c r="K342" s="6">
        <v>0</v>
      </c>
      <c r="L342" s="6">
        <v>20.638999999999999</v>
      </c>
      <c r="M342" s="6">
        <v>20.638999999999999</v>
      </c>
      <c r="N342" s="6">
        <v>20.638999999999999</v>
      </c>
      <c r="O342" s="6">
        <v>20.638999999999999</v>
      </c>
      <c r="P342" s="6">
        <v>161</v>
      </c>
      <c r="Q342" s="4" t="s">
        <v>26</v>
      </c>
      <c r="R342" s="4">
        <v>0</v>
      </c>
      <c r="S342" s="6">
        <v>0</v>
      </c>
      <c r="T342" s="6">
        <v>45</v>
      </c>
      <c r="U342" s="6">
        <v>2</v>
      </c>
      <c r="V342" s="6">
        <f>IF(ISERROR(VLOOKUP($S$342,'TAR FIN'!$A$1:$O$92,15,0)),0,VLOOKUP($S$342,'TAR FIN'!$A$1:$O$92,15,0))</f>
        <v>0</v>
      </c>
      <c r="W342" s="6">
        <f>IF(ISERROR(VLOOKUP($T$342,'TAR FIN'!$A$1:$O$92,15,0)),0,VLOOKUP($T$342,'TAR FIN'!$A$1:$O$92,15,0))</f>
        <v>244.15</v>
      </c>
      <c r="X342" s="6">
        <f>IF(ISERROR(VLOOKUP($U$342,'TAR FIN'!$A$1:$O$92,15,0)),0,VLOOKUP($U$342,'TAR FIN'!$A$1:$O$92,15,0))</f>
        <v>273.19</v>
      </c>
      <c r="Y342" s="6"/>
      <c r="Z342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42" s="6">
        <f ca="1">('TE BE'!$AB$15+'TE BF_350'!$AB$15+'TE CVA'!$AB$15)*(1-CUSTOS!$M$36)</f>
        <v>236.27699999999999</v>
      </c>
      <c r="AB342" s="6">
        <f>$K$342*$V$342</f>
        <v>0</v>
      </c>
      <c r="AC342" s="6">
        <f>$M$342*$W$342</f>
        <v>5039.0118499999999</v>
      </c>
      <c r="AD342" s="6">
        <f>$O$342*$X$342</f>
        <v>5638.36841</v>
      </c>
      <c r="AE342" s="6">
        <f>$K$342*$Y$342</f>
        <v>0</v>
      </c>
      <c r="AF342" s="6">
        <f ca="1">$M$342*$Z$342</f>
        <v>3488.0322780000001</v>
      </c>
      <c r="AG342" s="6">
        <f ca="1">$O$342*$AA$342</f>
        <v>4876.5210029999998</v>
      </c>
    </row>
    <row r="343" spans="1:33" ht="11.25" customHeight="1" x14ac:dyDescent="0.3">
      <c r="A343" s="4" t="s">
        <v>21</v>
      </c>
      <c r="B343" s="4" t="s">
        <v>22</v>
      </c>
      <c r="C343" s="4" t="s">
        <v>23</v>
      </c>
      <c r="D343" s="4" t="s">
        <v>24</v>
      </c>
      <c r="E343" s="4" t="s">
        <v>30</v>
      </c>
      <c r="F343" s="4" t="s">
        <v>25</v>
      </c>
      <c r="G343" s="4" t="s">
        <v>25</v>
      </c>
      <c r="H343" s="4" t="s">
        <v>25</v>
      </c>
      <c r="I343" s="5">
        <v>44562</v>
      </c>
      <c r="J343" s="6">
        <v>0</v>
      </c>
      <c r="K343" s="6">
        <v>0</v>
      </c>
      <c r="L343" s="6">
        <v>19.594000000000001</v>
      </c>
      <c r="M343" s="6">
        <v>19.594000000000001</v>
      </c>
      <c r="N343" s="6">
        <v>19.594000000000001</v>
      </c>
      <c r="O343" s="6">
        <v>19.594000000000001</v>
      </c>
      <c r="P343" s="6">
        <v>172</v>
      </c>
      <c r="Q343" s="4" t="s">
        <v>26</v>
      </c>
      <c r="R343" s="4">
        <v>0</v>
      </c>
      <c r="S343" s="6">
        <v>0</v>
      </c>
      <c r="T343" s="6">
        <v>45</v>
      </c>
      <c r="U343" s="6">
        <v>2</v>
      </c>
      <c r="V343" s="6">
        <f>IF(ISERROR(VLOOKUP($S$343,'TAR FIN'!$A$1:$O$92,15,0)),0,VLOOKUP($S$343,'TAR FIN'!$A$1:$O$92,15,0))</f>
        <v>0</v>
      </c>
      <c r="W343" s="6">
        <f>IF(ISERROR(VLOOKUP($T$343,'TAR FIN'!$A$1:$O$92,15,0)),0,VLOOKUP($T$343,'TAR FIN'!$A$1:$O$92,15,0))</f>
        <v>244.15</v>
      </c>
      <c r="X343" s="6">
        <f>IF(ISERROR(VLOOKUP($U$343,'TAR FIN'!$A$1:$O$92,15,0)),0,VLOOKUP($U$343,'TAR FIN'!$A$1:$O$92,15,0))</f>
        <v>273.19</v>
      </c>
      <c r="Y343" s="6"/>
      <c r="Z343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43" s="6">
        <f ca="1">('TE BE'!$AB$15+'TE BF_350'!$AB$15+'TE CVA'!$AB$15)*(1-CUSTOS!$M$36)</f>
        <v>236.27699999999999</v>
      </c>
      <c r="AB343" s="6">
        <f>$K$343*$V$343</f>
        <v>0</v>
      </c>
      <c r="AC343" s="6">
        <f>$M$343*$W$343</f>
        <v>4783.8751000000002</v>
      </c>
      <c r="AD343" s="6">
        <f>$O$343*$X$343</f>
        <v>5352.8848600000001</v>
      </c>
      <c r="AE343" s="6">
        <f>$K$343*$Y$343</f>
        <v>0</v>
      </c>
      <c r="AF343" s="6">
        <f ca="1">$M$343*$Z$343</f>
        <v>3311.4251880000002</v>
      </c>
      <c r="AG343" s="6">
        <f ca="1">$O$343*$AA$343</f>
        <v>4629.6115380000001</v>
      </c>
    </row>
    <row r="344" spans="1:33" ht="11.25" customHeight="1" x14ac:dyDescent="0.3">
      <c r="A344" s="4" t="s">
        <v>21</v>
      </c>
      <c r="B344" s="4" t="s">
        <v>22</v>
      </c>
      <c r="C344" s="4" t="s">
        <v>23</v>
      </c>
      <c r="D344" s="4" t="s">
        <v>24</v>
      </c>
      <c r="E344" s="4" t="s">
        <v>30</v>
      </c>
      <c r="F344" s="4" t="s">
        <v>25</v>
      </c>
      <c r="G344" s="4" t="s">
        <v>25</v>
      </c>
      <c r="H344" s="4" t="s">
        <v>25</v>
      </c>
      <c r="I344" s="5">
        <v>44593</v>
      </c>
      <c r="J344" s="6">
        <v>0</v>
      </c>
      <c r="K344" s="6">
        <v>0</v>
      </c>
      <c r="L344" s="6">
        <v>26.75</v>
      </c>
      <c r="M344" s="6">
        <v>26.75</v>
      </c>
      <c r="N344" s="6">
        <v>26.75</v>
      </c>
      <c r="O344" s="6">
        <v>26.75</v>
      </c>
      <c r="P344" s="6">
        <v>163</v>
      </c>
      <c r="Q344" s="4" t="s">
        <v>26</v>
      </c>
      <c r="R344" s="4">
        <v>0</v>
      </c>
      <c r="S344" s="6">
        <v>0</v>
      </c>
      <c r="T344" s="6">
        <v>45</v>
      </c>
      <c r="U344" s="6">
        <v>2</v>
      </c>
      <c r="V344" s="6">
        <f>IF(ISERROR(VLOOKUP($S$344,'TAR FIN'!$A$1:$O$92,15,0)),0,VLOOKUP($S$344,'TAR FIN'!$A$1:$O$92,15,0))</f>
        <v>0</v>
      </c>
      <c r="W344" s="6">
        <f>IF(ISERROR(VLOOKUP($T$344,'TAR FIN'!$A$1:$O$92,15,0)),0,VLOOKUP($T$344,'TAR FIN'!$A$1:$O$92,15,0))</f>
        <v>244.15</v>
      </c>
      <c r="X344" s="6">
        <f>IF(ISERROR(VLOOKUP($U$344,'TAR FIN'!$A$1:$O$92,15,0)),0,VLOOKUP($U$344,'TAR FIN'!$A$1:$O$92,15,0))</f>
        <v>273.19</v>
      </c>
      <c r="Y344" s="6"/>
      <c r="Z344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44" s="6">
        <f ca="1">('TE BE'!$AB$15+'TE BF_350'!$AB$15+'TE CVA'!$AB$15)*(1-CUSTOS!$M$36)</f>
        <v>236.27699999999999</v>
      </c>
      <c r="AB344" s="6">
        <f>$K$344*$V$344</f>
        <v>0</v>
      </c>
      <c r="AC344" s="6">
        <f>$M$344*$W$344</f>
        <v>6531.0124999999998</v>
      </c>
      <c r="AD344" s="6">
        <f>$O$344*$X$344</f>
        <v>7307.8324999999995</v>
      </c>
      <c r="AE344" s="6">
        <f>$K$344*$Y$344</f>
        <v>0</v>
      </c>
      <c r="AF344" s="6">
        <f ca="1">$M$344*$Z$344</f>
        <v>4520.8035</v>
      </c>
      <c r="AG344" s="6">
        <f ca="1">$O$344*$AA$344</f>
        <v>6320.4097499999998</v>
      </c>
    </row>
    <row r="345" spans="1:33" ht="11.25" customHeight="1" x14ac:dyDescent="0.3">
      <c r="A345" s="4" t="s">
        <v>21</v>
      </c>
      <c r="B345" s="4" t="s">
        <v>22</v>
      </c>
      <c r="C345" s="4" t="s">
        <v>23</v>
      </c>
      <c r="D345" s="4" t="s">
        <v>24</v>
      </c>
      <c r="E345" s="4" t="s">
        <v>30</v>
      </c>
      <c r="F345" s="4" t="s">
        <v>25</v>
      </c>
      <c r="G345" s="4" t="s">
        <v>25</v>
      </c>
      <c r="H345" s="4" t="s">
        <v>25</v>
      </c>
      <c r="I345" s="5">
        <v>44621</v>
      </c>
      <c r="J345" s="6">
        <v>0</v>
      </c>
      <c r="K345" s="6">
        <v>0</v>
      </c>
      <c r="L345" s="6">
        <v>25.718</v>
      </c>
      <c r="M345" s="6">
        <v>25.718</v>
      </c>
      <c r="N345" s="6">
        <v>25.718</v>
      </c>
      <c r="O345" s="6">
        <v>25.718</v>
      </c>
      <c r="P345" s="6">
        <v>190</v>
      </c>
      <c r="Q345" s="4" t="s">
        <v>26</v>
      </c>
      <c r="R345" s="4">
        <v>0</v>
      </c>
      <c r="S345" s="6">
        <v>0</v>
      </c>
      <c r="T345" s="6">
        <v>45</v>
      </c>
      <c r="U345" s="6">
        <v>2</v>
      </c>
      <c r="V345" s="6">
        <f>IF(ISERROR(VLOOKUP($S$345,'TAR FIN'!$A$1:$O$92,15,0)),0,VLOOKUP($S$345,'TAR FIN'!$A$1:$O$92,15,0))</f>
        <v>0</v>
      </c>
      <c r="W345" s="6">
        <f>IF(ISERROR(VLOOKUP($T$345,'TAR FIN'!$A$1:$O$92,15,0)),0,VLOOKUP($T$345,'TAR FIN'!$A$1:$O$92,15,0))</f>
        <v>244.15</v>
      </c>
      <c r="X345" s="6">
        <f>IF(ISERROR(VLOOKUP($U$345,'TAR FIN'!$A$1:$O$92,15,0)),0,VLOOKUP($U$345,'TAR FIN'!$A$1:$O$92,15,0))</f>
        <v>273.19</v>
      </c>
      <c r="Y345" s="6"/>
      <c r="Z345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45" s="6">
        <f ca="1">('TE BE'!$AB$15+'TE BF_350'!$AB$15+'TE CVA'!$AB$15)*(1-CUSTOS!$M$36)</f>
        <v>236.27699999999999</v>
      </c>
      <c r="AB345" s="6">
        <f>$K$345*$V$345</f>
        <v>0</v>
      </c>
      <c r="AC345" s="6">
        <f>$M$345*$W$345</f>
        <v>6279.0497000000005</v>
      </c>
      <c r="AD345" s="6">
        <f>$O$345*$X$345</f>
        <v>7025.9004199999999</v>
      </c>
      <c r="AE345" s="6">
        <f>$K$345*$Y$345</f>
        <v>0</v>
      </c>
      <c r="AF345" s="6">
        <f ca="1">$M$345*$Z$345</f>
        <v>4346.3934360000003</v>
      </c>
      <c r="AG345" s="6">
        <f ca="1">$O$345*$AA$345</f>
        <v>6076.5718859999997</v>
      </c>
    </row>
    <row r="346" spans="1:33" ht="11.25" customHeight="1" x14ac:dyDescent="0.3">
      <c r="A346" s="4" t="s">
        <v>21</v>
      </c>
      <c r="B346" s="4" t="s">
        <v>22</v>
      </c>
      <c r="C346" s="4" t="s">
        <v>23</v>
      </c>
      <c r="D346" s="4" t="s">
        <v>24</v>
      </c>
      <c r="E346" s="4" t="s">
        <v>30</v>
      </c>
      <c r="F346" s="4" t="s">
        <v>25</v>
      </c>
      <c r="G346" s="4" t="s">
        <v>25</v>
      </c>
      <c r="H346" s="4" t="s">
        <v>25</v>
      </c>
      <c r="I346" s="5">
        <v>44652</v>
      </c>
      <c r="J346" s="6">
        <v>0</v>
      </c>
      <c r="K346" s="6">
        <v>0</v>
      </c>
      <c r="L346" s="6">
        <v>22.731999999999999</v>
      </c>
      <c r="M346" s="6">
        <v>22.731999999999999</v>
      </c>
      <c r="N346" s="6">
        <v>22.731999999999999</v>
      </c>
      <c r="O346" s="6">
        <v>22.731999999999999</v>
      </c>
      <c r="P346" s="6">
        <v>205</v>
      </c>
      <c r="Q346" s="4" t="s">
        <v>26</v>
      </c>
      <c r="R346" s="4">
        <v>0</v>
      </c>
      <c r="S346" s="6">
        <v>0</v>
      </c>
      <c r="T346" s="6">
        <v>45</v>
      </c>
      <c r="U346" s="6">
        <v>2</v>
      </c>
      <c r="V346" s="6">
        <f>IF(ISERROR(VLOOKUP($S$346,'TAR FIN'!$A$1:$O$92,15,0)),0,VLOOKUP($S$346,'TAR FIN'!$A$1:$O$92,15,0))</f>
        <v>0</v>
      </c>
      <c r="W346" s="6">
        <f>IF(ISERROR(VLOOKUP($T$346,'TAR FIN'!$A$1:$O$92,15,0)),0,VLOOKUP($T$346,'TAR FIN'!$A$1:$O$92,15,0))</f>
        <v>244.15</v>
      </c>
      <c r="X346" s="6">
        <f>IF(ISERROR(VLOOKUP($U$346,'TAR FIN'!$A$1:$O$92,15,0)),0,VLOOKUP($U$346,'TAR FIN'!$A$1:$O$92,15,0))</f>
        <v>273.19</v>
      </c>
      <c r="Y346" s="6"/>
      <c r="Z346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46" s="6">
        <f ca="1">('TE BE'!$AB$15+'TE BF_350'!$AB$15+'TE CVA'!$AB$15)*(1-CUSTOS!$M$36)</f>
        <v>236.27699999999999</v>
      </c>
      <c r="AB346" s="6">
        <f>$K$346*$V$346</f>
        <v>0</v>
      </c>
      <c r="AC346" s="6">
        <f>$M$346*$W$346</f>
        <v>5550.0177999999996</v>
      </c>
      <c r="AD346" s="6">
        <f>$O$346*$X$346</f>
        <v>6210.1550799999995</v>
      </c>
      <c r="AE346" s="6">
        <f>$K$346*$Y$346</f>
        <v>0</v>
      </c>
      <c r="AF346" s="6">
        <f ca="1">$M$346*$Z$346</f>
        <v>3841.7534639999999</v>
      </c>
      <c r="AG346" s="6">
        <f ca="1">$O$346*$AA$346</f>
        <v>5371.0487639999992</v>
      </c>
    </row>
    <row r="347" spans="1:33" ht="11.25" customHeight="1" x14ac:dyDescent="0.3">
      <c r="A347" s="4" t="s">
        <v>21</v>
      </c>
      <c r="B347" s="4" t="s">
        <v>22</v>
      </c>
      <c r="C347" s="4" t="s">
        <v>23</v>
      </c>
      <c r="D347" s="4" t="s">
        <v>24</v>
      </c>
      <c r="E347" s="4" t="s">
        <v>30</v>
      </c>
      <c r="F347" s="4" t="s">
        <v>25</v>
      </c>
      <c r="G347" s="4" t="s">
        <v>25</v>
      </c>
      <c r="H347" s="4" t="s">
        <v>25</v>
      </c>
      <c r="I347" s="5">
        <v>44682</v>
      </c>
      <c r="J347" s="6">
        <v>0</v>
      </c>
      <c r="K347" s="6">
        <v>0</v>
      </c>
      <c r="L347" s="6">
        <v>21.222999999999999</v>
      </c>
      <c r="M347" s="6">
        <v>21.222999999999999</v>
      </c>
      <c r="N347" s="6">
        <v>21.222999999999999</v>
      </c>
      <c r="O347" s="6">
        <v>21.222999999999999</v>
      </c>
      <c r="P347" s="6">
        <v>212</v>
      </c>
      <c r="Q347" s="4" t="s">
        <v>26</v>
      </c>
      <c r="R347" s="4">
        <v>0</v>
      </c>
      <c r="S347" s="6">
        <v>0</v>
      </c>
      <c r="T347" s="6">
        <v>45</v>
      </c>
      <c r="U347" s="6">
        <v>2</v>
      </c>
      <c r="V347" s="6">
        <f>IF(ISERROR(VLOOKUP($S$347,'TAR FIN'!$A$1:$O$92,15,0)),0,VLOOKUP($S$347,'TAR FIN'!$A$1:$O$92,15,0))</f>
        <v>0</v>
      </c>
      <c r="W347" s="6">
        <f>IF(ISERROR(VLOOKUP($T$347,'TAR FIN'!$A$1:$O$92,15,0)),0,VLOOKUP($T$347,'TAR FIN'!$A$1:$O$92,15,0))</f>
        <v>244.15</v>
      </c>
      <c r="X347" s="6">
        <f>IF(ISERROR(VLOOKUP($U$347,'TAR FIN'!$A$1:$O$92,15,0)),0,VLOOKUP($U$347,'TAR FIN'!$A$1:$O$92,15,0))</f>
        <v>273.19</v>
      </c>
      <c r="Y347" s="6"/>
      <c r="Z347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47" s="6">
        <f ca="1">('TE BE'!$AB$15+'TE BF_350'!$AB$15+'TE CVA'!$AB$15)*(1-CUSTOS!$M$36)</f>
        <v>236.27699999999999</v>
      </c>
      <c r="AB347" s="6">
        <f>$K$347*$V$347</f>
        <v>0</v>
      </c>
      <c r="AC347" s="6">
        <f>$M$347*$W$347</f>
        <v>5181.5954499999998</v>
      </c>
      <c r="AD347" s="6">
        <f>$O$347*$X$347</f>
        <v>5797.9113699999998</v>
      </c>
      <c r="AE347" s="6">
        <f>$K$347*$Y$347</f>
        <v>0</v>
      </c>
      <c r="AF347" s="6">
        <f ca="1">$M$347*$Z$347</f>
        <v>3586.7294459999998</v>
      </c>
      <c r="AG347" s="6">
        <f ca="1">$O$347*$AA$347</f>
        <v>5014.5067709999994</v>
      </c>
    </row>
    <row r="348" spans="1:33" ht="11.25" customHeight="1" x14ac:dyDescent="0.3">
      <c r="A348" s="4" t="s">
        <v>21</v>
      </c>
      <c r="B348" s="4" t="s">
        <v>22</v>
      </c>
      <c r="C348" s="4" t="s">
        <v>23</v>
      </c>
      <c r="D348" s="4" t="s">
        <v>24</v>
      </c>
      <c r="E348" s="4" t="s">
        <v>30</v>
      </c>
      <c r="F348" s="4" t="s">
        <v>25</v>
      </c>
      <c r="G348" s="4" t="s">
        <v>25</v>
      </c>
      <c r="H348" s="4" t="s">
        <v>25</v>
      </c>
      <c r="I348" s="5">
        <v>44713</v>
      </c>
      <c r="J348" s="6">
        <v>0</v>
      </c>
      <c r="K348" s="6">
        <v>0</v>
      </c>
      <c r="L348" s="6">
        <v>18.413</v>
      </c>
      <c r="M348" s="6">
        <v>18.413</v>
      </c>
      <c r="N348" s="6">
        <v>18.413</v>
      </c>
      <c r="O348" s="6">
        <v>18.413</v>
      </c>
      <c r="P348" s="6">
        <v>178</v>
      </c>
      <c r="Q348" s="4" t="s">
        <v>26</v>
      </c>
      <c r="R348" s="4">
        <v>0</v>
      </c>
      <c r="S348" s="6">
        <v>0</v>
      </c>
      <c r="T348" s="6">
        <v>45</v>
      </c>
      <c r="U348" s="6">
        <v>2</v>
      </c>
      <c r="V348" s="6">
        <f>IF(ISERROR(VLOOKUP($S$348,'TAR FIN'!$A$1:$O$92,15,0)),0,VLOOKUP($S$348,'TAR FIN'!$A$1:$O$92,15,0))</f>
        <v>0</v>
      </c>
      <c r="W348" s="6">
        <f>IF(ISERROR(VLOOKUP($T$348,'TAR FIN'!$A$1:$O$92,15,0)),0,VLOOKUP($T$348,'TAR FIN'!$A$1:$O$92,15,0))</f>
        <v>244.15</v>
      </c>
      <c r="X348" s="6">
        <f>IF(ISERROR(VLOOKUP($U$348,'TAR FIN'!$A$1:$O$92,15,0)),0,VLOOKUP($U$348,'TAR FIN'!$A$1:$O$92,15,0))</f>
        <v>273.19</v>
      </c>
      <c r="Y348" s="6"/>
      <c r="Z348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48" s="6">
        <f ca="1">('TE BE'!$AB$15+'TE BF_350'!$AB$15+'TE CVA'!$AB$15)*(1-CUSTOS!$M$36)</f>
        <v>236.27699999999999</v>
      </c>
      <c r="AB348" s="6">
        <f>$K$348*$V$348</f>
        <v>0</v>
      </c>
      <c r="AC348" s="6">
        <f>$M$348*$W$348</f>
        <v>4495.53395</v>
      </c>
      <c r="AD348" s="6">
        <f>$O$348*$X$348</f>
        <v>5030.2474700000002</v>
      </c>
      <c r="AE348" s="6">
        <f>$K$348*$Y$348</f>
        <v>0</v>
      </c>
      <c r="AF348" s="6">
        <f ca="1">$M$348*$Z$348</f>
        <v>3111.833826</v>
      </c>
      <c r="AG348" s="6">
        <f ca="1">$O$348*$AA$348</f>
        <v>4350.5684009999995</v>
      </c>
    </row>
    <row r="349" spans="1:33" ht="11.25" customHeight="1" x14ac:dyDescent="0.3">
      <c r="A349" s="4" t="s">
        <v>21</v>
      </c>
      <c r="B349" s="4" t="s">
        <v>22</v>
      </c>
      <c r="C349" s="4" t="s">
        <v>23</v>
      </c>
      <c r="D349" s="4" t="s">
        <v>24</v>
      </c>
      <c r="E349" s="4" t="s">
        <v>30</v>
      </c>
      <c r="F349" s="4" t="s">
        <v>25</v>
      </c>
      <c r="G349" s="4" t="s">
        <v>25</v>
      </c>
      <c r="H349" s="4" t="s">
        <v>25</v>
      </c>
      <c r="I349" s="5">
        <v>44743</v>
      </c>
      <c r="J349" s="6">
        <v>0</v>
      </c>
      <c r="K349" s="6">
        <v>0</v>
      </c>
      <c r="L349" s="6">
        <v>20.666</v>
      </c>
      <c r="M349" s="6">
        <v>20.666</v>
      </c>
      <c r="N349" s="6">
        <v>20.666</v>
      </c>
      <c r="O349" s="6">
        <v>20.666</v>
      </c>
      <c r="P349" s="6">
        <v>180</v>
      </c>
      <c r="Q349" s="4" t="s">
        <v>26</v>
      </c>
      <c r="R349" s="4">
        <v>0</v>
      </c>
      <c r="S349" s="6">
        <v>0</v>
      </c>
      <c r="T349" s="6">
        <v>45</v>
      </c>
      <c r="U349" s="6">
        <v>2</v>
      </c>
      <c r="V349" s="6">
        <f>IF(ISERROR(VLOOKUP($S$349,'TAR FIN'!$A$1:$O$92,15,0)),0,VLOOKUP($S$349,'TAR FIN'!$A$1:$O$92,15,0))</f>
        <v>0</v>
      </c>
      <c r="W349" s="6">
        <f>IF(ISERROR(VLOOKUP($T$349,'TAR FIN'!$A$1:$O$92,15,0)),0,VLOOKUP($T$349,'TAR FIN'!$A$1:$O$92,15,0))</f>
        <v>244.15</v>
      </c>
      <c r="X349" s="6">
        <f>IF(ISERROR(VLOOKUP($U$349,'TAR FIN'!$A$1:$O$92,15,0)),0,VLOOKUP($U$349,'TAR FIN'!$A$1:$O$92,15,0))</f>
        <v>273.19</v>
      </c>
      <c r="Y349" s="6"/>
      <c r="Z349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49" s="6">
        <f ca="1">('TE BE'!$AB$15+'TE BF_350'!$AB$15+'TE CVA'!$AB$15)*(1-CUSTOS!$M$36)</f>
        <v>236.27699999999999</v>
      </c>
      <c r="AB349" s="6">
        <f>$K$349*$V$349</f>
        <v>0</v>
      </c>
      <c r="AC349" s="6">
        <f>$M$349*$W$349</f>
        <v>5045.6039000000001</v>
      </c>
      <c r="AD349" s="6">
        <f>$O$349*$X$349</f>
        <v>5645.7445399999997</v>
      </c>
      <c r="AE349" s="6">
        <f>$K$349*$Y$349</f>
        <v>0</v>
      </c>
      <c r="AF349" s="6">
        <f ca="1">$M$349*$Z$349</f>
        <v>3492.5953320000003</v>
      </c>
      <c r="AG349" s="6">
        <f ca="1">$O$349*$AA$349</f>
        <v>4882.900482</v>
      </c>
    </row>
    <row r="350" spans="1:33" ht="11.25" customHeight="1" x14ac:dyDescent="0.3">
      <c r="A350" s="4" t="s">
        <v>21</v>
      </c>
      <c r="B350" s="4" t="s">
        <v>22</v>
      </c>
      <c r="C350" s="4" t="s">
        <v>23</v>
      </c>
      <c r="D350" s="4" t="s">
        <v>24</v>
      </c>
      <c r="E350" s="4" t="s">
        <v>31</v>
      </c>
      <c r="F350" s="4" t="s">
        <v>25</v>
      </c>
      <c r="G350" s="4" t="s">
        <v>25</v>
      </c>
      <c r="H350" s="4" t="s">
        <v>25</v>
      </c>
      <c r="I350" s="5">
        <v>44409</v>
      </c>
      <c r="J350" s="6">
        <v>0</v>
      </c>
      <c r="K350" s="6">
        <v>0</v>
      </c>
      <c r="L350" s="6">
        <v>5.9829999999999997</v>
      </c>
      <c r="M350" s="6">
        <v>5.9829999999999997</v>
      </c>
      <c r="N350" s="6">
        <v>5.9829999999999997</v>
      </c>
      <c r="O350" s="6">
        <v>5.9829999999999997</v>
      </c>
      <c r="P350" s="6">
        <v>82</v>
      </c>
      <c r="Q350" s="4" t="s">
        <v>26</v>
      </c>
      <c r="R350" s="4">
        <v>0</v>
      </c>
      <c r="S350" s="6">
        <v>0</v>
      </c>
      <c r="T350" s="6">
        <v>46</v>
      </c>
      <c r="U350" s="6">
        <v>4</v>
      </c>
      <c r="V350" s="6">
        <f>IF(ISERROR(VLOOKUP($S$350,'TAR FIN'!$A$1:$O$92,15,0)),0,VLOOKUP($S$350,'TAR FIN'!$A$1:$O$92,15,0))</f>
        <v>0</v>
      </c>
      <c r="W350" s="6">
        <f>IF(ISERROR(VLOOKUP($T$350,'TAR FIN'!$A$1:$O$92,15,0)),0,VLOOKUP($T$350,'TAR FIN'!$A$1:$O$92,15,0))</f>
        <v>271.27999999999997</v>
      </c>
      <c r="X350" s="6">
        <f>IF(ISERROR(VLOOKUP($U$350,'TAR FIN'!$A$1:$O$92,15,0)),0,VLOOKUP($U$350,'TAR FIN'!$A$1:$O$92,15,0))</f>
        <v>303.54000000000002</v>
      </c>
      <c r="Y350" s="6"/>
      <c r="Z350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50" s="6">
        <f ca="1">('TE BE'!$AB$16+'TE BF_350'!$AB$16+'TE CVA'!$AB$16)*(1-CUSTOS!$M$37)</f>
        <v>262.52999999999997</v>
      </c>
      <c r="AB350" s="6">
        <f>$K$350*$V$350</f>
        <v>0</v>
      </c>
      <c r="AC350" s="6">
        <f>$M$350*$W$350</f>
        <v>1623.0682399999998</v>
      </c>
      <c r="AD350" s="6">
        <f>$O$350*$X$350</f>
        <v>1816.0798199999999</v>
      </c>
      <c r="AE350" s="6">
        <f>$K$350*$Y$350</f>
        <v>0</v>
      </c>
      <c r="AF350" s="6">
        <f ca="1">$M$350*$Z$350</f>
        <v>1123.48774</v>
      </c>
      <c r="AG350" s="6">
        <f ca="1">$O$350*$AA$350</f>
        <v>1570.7169899999997</v>
      </c>
    </row>
    <row r="351" spans="1:33" ht="11.25" customHeight="1" x14ac:dyDescent="0.3">
      <c r="A351" s="4" t="s">
        <v>21</v>
      </c>
      <c r="B351" s="4" t="s">
        <v>22</v>
      </c>
      <c r="C351" s="4" t="s">
        <v>23</v>
      </c>
      <c r="D351" s="4" t="s">
        <v>24</v>
      </c>
      <c r="E351" s="4" t="s">
        <v>31</v>
      </c>
      <c r="F351" s="4" t="s">
        <v>25</v>
      </c>
      <c r="G351" s="4" t="s">
        <v>25</v>
      </c>
      <c r="H351" s="4" t="s">
        <v>25</v>
      </c>
      <c r="I351" s="5">
        <v>44440</v>
      </c>
      <c r="J351" s="6">
        <v>0</v>
      </c>
      <c r="K351" s="6">
        <v>0</v>
      </c>
      <c r="L351" s="6">
        <v>7.6020000000000003</v>
      </c>
      <c r="M351" s="6">
        <v>7.6020000000000003</v>
      </c>
      <c r="N351" s="6">
        <v>7.6020000000000003</v>
      </c>
      <c r="O351" s="6">
        <v>7.6020000000000003</v>
      </c>
      <c r="P351" s="6">
        <v>96</v>
      </c>
      <c r="Q351" s="4" t="s">
        <v>26</v>
      </c>
      <c r="R351" s="4">
        <v>0</v>
      </c>
      <c r="S351" s="6">
        <v>0</v>
      </c>
      <c r="T351" s="6">
        <v>46</v>
      </c>
      <c r="U351" s="6">
        <v>4</v>
      </c>
      <c r="V351" s="6">
        <f>IF(ISERROR(VLOOKUP($S$351,'TAR FIN'!$A$1:$O$92,15,0)),0,VLOOKUP($S$351,'TAR FIN'!$A$1:$O$92,15,0))</f>
        <v>0</v>
      </c>
      <c r="W351" s="6">
        <f>IF(ISERROR(VLOOKUP($T$351,'TAR FIN'!$A$1:$O$92,15,0)),0,VLOOKUP($T$351,'TAR FIN'!$A$1:$O$92,15,0))</f>
        <v>271.27999999999997</v>
      </c>
      <c r="X351" s="6">
        <f>IF(ISERROR(VLOOKUP($U$351,'TAR FIN'!$A$1:$O$92,15,0)),0,VLOOKUP($U$351,'TAR FIN'!$A$1:$O$92,15,0))</f>
        <v>303.54000000000002</v>
      </c>
      <c r="Y351" s="6"/>
      <c r="Z351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51" s="6">
        <f ca="1">('TE BE'!$AB$16+'TE BF_350'!$AB$16+'TE CVA'!$AB$16)*(1-CUSTOS!$M$37)</f>
        <v>262.52999999999997</v>
      </c>
      <c r="AB351" s="6">
        <f>$K$351*$V$351</f>
        <v>0</v>
      </c>
      <c r="AC351" s="6">
        <f>$M$351*$W$351</f>
        <v>2062.2705599999999</v>
      </c>
      <c r="AD351" s="6">
        <f>$O$351*$X$351</f>
        <v>2307.5110800000002</v>
      </c>
      <c r="AE351" s="6">
        <f>$K$351*$Y$351</f>
        <v>0</v>
      </c>
      <c r="AF351" s="6">
        <f ca="1">$M$351*$Z$351</f>
        <v>1427.5035600000001</v>
      </c>
      <c r="AG351" s="6">
        <f ca="1">$O$351*$AA$351</f>
        <v>1995.7530599999998</v>
      </c>
    </row>
    <row r="352" spans="1:33" ht="11.25" customHeight="1" x14ac:dyDescent="0.3">
      <c r="A352" s="4" t="s">
        <v>21</v>
      </c>
      <c r="B352" s="4" t="s">
        <v>22</v>
      </c>
      <c r="C352" s="4" t="s">
        <v>23</v>
      </c>
      <c r="D352" s="4" t="s">
        <v>24</v>
      </c>
      <c r="E352" s="4" t="s">
        <v>31</v>
      </c>
      <c r="F352" s="4" t="s">
        <v>25</v>
      </c>
      <c r="G352" s="4" t="s">
        <v>25</v>
      </c>
      <c r="H352" s="4" t="s">
        <v>25</v>
      </c>
      <c r="I352" s="5">
        <v>44470</v>
      </c>
      <c r="J352" s="6">
        <v>0</v>
      </c>
      <c r="K352" s="6">
        <v>0</v>
      </c>
      <c r="L352" s="6">
        <v>4.5890000000000004</v>
      </c>
      <c r="M352" s="6">
        <v>4.5890000000000004</v>
      </c>
      <c r="N352" s="6">
        <v>4.5890000000000004</v>
      </c>
      <c r="O352" s="6">
        <v>4.5890000000000004</v>
      </c>
      <c r="P352" s="6">
        <v>64</v>
      </c>
      <c r="Q352" s="4" t="s">
        <v>26</v>
      </c>
      <c r="R352" s="4">
        <v>0</v>
      </c>
      <c r="S352" s="6">
        <v>0</v>
      </c>
      <c r="T352" s="6">
        <v>46</v>
      </c>
      <c r="U352" s="6">
        <v>4</v>
      </c>
      <c r="V352" s="6">
        <f>IF(ISERROR(VLOOKUP($S$352,'TAR FIN'!$A$1:$O$92,15,0)),0,VLOOKUP($S$352,'TAR FIN'!$A$1:$O$92,15,0))</f>
        <v>0</v>
      </c>
      <c r="W352" s="6">
        <f>IF(ISERROR(VLOOKUP($T$352,'TAR FIN'!$A$1:$O$92,15,0)),0,VLOOKUP($T$352,'TAR FIN'!$A$1:$O$92,15,0))</f>
        <v>271.27999999999997</v>
      </c>
      <c r="X352" s="6">
        <f>IF(ISERROR(VLOOKUP($U$352,'TAR FIN'!$A$1:$O$92,15,0)),0,VLOOKUP($U$352,'TAR FIN'!$A$1:$O$92,15,0))</f>
        <v>303.54000000000002</v>
      </c>
      <c r="Y352" s="6"/>
      <c r="Z352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52" s="6">
        <f ca="1">('TE BE'!$AB$16+'TE BF_350'!$AB$16+'TE CVA'!$AB$16)*(1-CUSTOS!$M$37)</f>
        <v>262.52999999999997</v>
      </c>
      <c r="AB352" s="6">
        <f>$K$352*$V$352</f>
        <v>0</v>
      </c>
      <c r="AC352" s="6">
        <f>$M$352*$W$352</f>
        <v>1244.90392</v>
      </c>
      <c r="AD352" s="6">
        <f>$O$352*$X$352</f>
        <v>1392.9450600000002</v>
      </c>
      <c r="AE352" s="6">
        <f>$K$352*$Y$352</f>
        <v>0</v>
      </c>
      <c r="AF352" s="6">
        <f ca="1">$M$352*$Z$352</f>
        <v>861.72242000000006</v>
      </c>
      <c r="AG352" s="6">
        <f ca="1">$O$352*$AA$352</f>
        <v>1204.75017</v>
      </c>
    </row>
    <row r="353" spans="1:33" ht="11.25" customHeight="1" x14ac:dyDescent="0.3">
      <c r="A353" s="4" t="s">
        <v>21</v>
      </c>
      <c r="B353" s="4" t="s">
        <v>22</v>
      </c>
      <c r="C353" s="4" t="s">
        <v>23</v>
      </c>
      <c r="D353" s="4" t="s">
        <v>24</v>
      </c>
      <c r="E353" s="4" t="s">
        <v>31</v>
      </c>
      <c r="F353" s="4" t="s">
        <v>25</v>
      </c>
      <c r="G353" s="4" t="s">
        <v>25</v>
      </c>
      <c r="H353" s="4" t="s">
        <v>25</v>
      </c>
      <c r="I353" s="5">
        <v>44501</v>
      </c>
      <c r="J353" s="6">
        <v>0</v>
      </c>
      <c r="K353" s="6">
        <v>0</v>
      </c>
      <c r="L353" s="6">
        <v>3.7509999999999999</v>
      </c>
      <c r="M353" s="6">
        <v>3.7509999999999999</v>
      </c>
      <c r="N353" s="6">
        <v>3.7509999999999999</v>
      </c>
      <c r="O353" s="6">
        <v>3.7509999999999999</v>
      </c>
      <c r="P353" s="6">
        <v>60</v>
      </c>
      <c r="Q353" s="4" t="s">
        <v>26</v>
      </c>
      <c r="R353" s="4">
        <v>0</v>
      </c>
      <c r="S353" s="6">
        <v>0</v>
      </c>
      <c r="T353" s="6">
        <v>46</v>
      </c>
      <c r="U353" s="6">
        <v>4</v>
      </c>
      <c r="V353" s="6">
        <f>IF(ISERROR(VLOOKUP($S$353,'TAR FIN'!$A$1:$O$92,15,0)),0,VLOOKUP($S$353,'TAR FIN'!$A$1:$O$92,15,0))</f>
        <v>0</v>
      </c>
      <c r="W353" s="6">
        <f>IF(ISERROR(VLOOKUP($T$353,'TAR FIN'!$A$1:$O$92,15,0)),0,VLOOKUP($T$353,'TAR FIN'!$A$1:$O$92,15,0))</f>
        <v>271.27999999999997</v>
      </c>
      <c r="X353" s="6">
        <f>IF(ISERROR(VLOOKUP($U$353,'TAR FIN'!$A$1:$O$92,15,0)),0,VLOOKUP($U$353,'TAR FIN'!$A$1:$O$92,15,0))</f>
        <v>303.54000000000002</v>
      </c>
      <c r="Y353" s="6"/>
      <c r="Z353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53" s="6">
        <f ca="1">('TE BE'!$AB$16+'TE BF_350'!$AB$16+'TE CVA'!$AB$16)*(1-CUSTOS!$M$37)</f>
        <v>262.52999999999997</v>
      </c>
      <c r="AB353" s="6">
        <f>$K$353*$V$353</f>
        <v>0</v>
      </c>
      <c r="AC353" s="6">
        <f>$M$353*$W$353</f>
        <v>1017.5712799999999</v>
      </c>
      <c r="AD353" s="6">
        <f>$O$353*$X$353</f>
        <v>1138.57854</v>
      </c>
      <c r="AE353" s="6">
        <f>$K$353*$Y$353</f>
        <v>0</v>
      </c>
      <c r="AF353" s="6">
        <f ca="1">$M$353*$Z$353</f>
        <v>704.36277999999993</v>
      </c>
      <c r="AG353" s="6">
        <f ca="1">$O$353*$AA$353</f>
        <v>984.75002999999992</v>
      </c>
    </row>
    <row r="354" spans="1:33" ht="11.25" customHeight="1" x14ac:dyDescent="0.3">
      <c r="A354" s="4" t="s">
        <v>21</v>
      </c>
      <c r="B354" s="4" t="s">
        <v>22</v>
      </c>
      <c r="C354" s="4" t="s">
        <v>23</v>
      </c>
      <c r="D354" s="4" t="s">
        <v>24</v>
      </c>
      <c r="E354" s="4" t="s">
        <v>31</v>
      </c>
      <c r="F354" s="4" t="s">
        <v>25</v>
      </c>
      <c r="G354" s="4" t="s">
        <v>25</v>
      </c>
      <c r="H354" s="4" t="s">
        <v>25</v>
      </c>
      <c r="I354" s="5">
        <v>44531</v>
      </c>
      <c r="J354" s="6">
        <v>0</v>
      </c>
      <c r="K354" s="6">
        <v>0</v>
      </c>
      <c r="L354" s="6">
        <v>7.5640000000000001</v>
      </c>
      <c r="M354" s="6">
        <v>7.5640000000000001</v>
      </c>
      <c r="N354" s="6">
        <v>7.5640000000000001</v>
      </c>
      <c r="O354" s="6">
        <v>7.5640000000000001</v>
      </c>
      <c r="P354" s="6">
        <v>97</v>
      </c>
      <c r="Q354" s="4" t="s">
        <v>26</v>
      </c>
      <c r="R354" s="4">
        <v>0</v>
      </c>
      <c r="S354" s="6">
        <v>0</v>
      </c>
      <c r="T354" s="6">
        <v>46</v>
      </c>
      <c r="U354" s="6">
        <v>4</v>
      </c>
      <c r="V354" s="6">
        <f>IF(ISERROR(VLOOKUP($S$354,'TAR FIN'!$A$1:$O$92,15,0)),0,VLOOKUP($S$354,'TAR FIN'!$A$1:$O$92,15,0))</f>
        <v>0</v>
      </c>
      <c r="W354" s="6">
        <f>IF(ISERROR(VLOOKUP($T$354,'TAR FIN'!$A$1:$O$92,15,0)),0,VLOOKUP($T$354,'TAR FIN'!$A$1:$O$92,15,0))</f>
        <v>271.27999999999997</v>
      </c>
      <c r="X354" s="6">
        <f>IF(ISERROR(VLOOKUP($U$354,'TAR FIN'!$A$1:$O$92,15,0)),0,VLOOKUP($U$354,'TAR FIN'!$A$1:$O$92,15,0))</f>
        <v>303.54000000000002</v>
      </c>
      <c r="Y354" s="6"/>
      <c r="Z354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54" s="6">
        <f ca="1">('TE BE'!$AB$16+'TE BF_350'!$AB$16+'TE CVA'!$AB$16)*(1-CUSTOS!$M$37)</f>
        <v>262.52999999999997</v>
      </c>
      <c r="AB354" s="6">
        <f>$K$354*$V$354</f>
        <v>0</v>
      </c>
      <c r="AC354" s="6">
        <f>$M$354*$W$354</f>
        <v>2051.9619199999997</v>
      </c>
      <c r="AD354" s="6">
        <f>$O$354*$X$354</f>
        <v>2295.9765600000001</v>
      </c>
      <c r="AE354" s="6">
        <f>$K$354*$Y$354</f>
        <v>0</v>
      </c>
      <c r="AF354" s="6">
        <f ca="1">$M$354*$Z$354</f>
        <v>1420.3679199999999</v>
      </c>
      <c r="AG354" s="6">
        <f ca="1">$O$354*$AA$354</f>
        <v>1985.7769199999998</v>
      </c>
    </row>
    <row r="355" spans="1:33" ht="11.25" customHeight="1" x14ac:dyDescent="0.3">
      <c r="A355" s="4" t="s">
        <v>21</v>
      </c>
      <c r="B355" s="4" t="s">
        <v>22</v>
      </c>
      <c r="C355" s="4" t="s">
        <v>23</v>
      </c>
      <c r="D355" s="4" t="s">
        <v>24</v>
      </c>
      <c r="E355" s="4" t="s">
        <v>31</v>
      </c>
      <c r="F355" s="4" t="s">
        <v>25</v>
      </c>
      <c r="G355" s="4" t="s">
        <v>25</v>
      </c>
      <c r="H355" s="4" t="s">
        <v>25</v>
      </c>
      <c r="I355" s="5">
        <v>44562</v>
      </c>
      <c r="J355" s="6">
        <v>0</v>
      </c>
      <c r="K355" s="6">
        <v>0</v>
      </c>
      <c r="L355" s="6">
        <v>6.6920000000000002</v>
      </c>
      <c r="M355" s="6">
        <v>6.6920000000000002</v>
      </c>
      <c r="N355" s="6">
        <v>6.6920000000000002</v>
      </c>
      <c r="O355" s="6">
        <v>6.6920000000000002</v>
      </c>
      <c r="P355" s="6">
        <v>87</v>
      </c>
      <c r="Q355" s="4" t="s">
        <v>26</v>
      </c>
      <c r="R355" s="4">
        <v>0</v>
      </c>
      <c r="S355" s="6">
        <v>0</v>
      </c>
      <c r="T355" s="6">
        <v>46</v>
      </c>
      <c r="U355" s="6">
        <v>4</v>
      </c>
      <c r="V355" s="6">
        <f>IF(ISERROR(VLOOKUP($S$355,'TAR FIN'!$A$1:$O$92,15,0)),0,VLOOKUP($S$355,'TAR FIN'!$A$1:$O$92,15,0))</f>
        <v>0</v>
      </c>
      <c r="W355" s="6">
        <f>IF(ISERROR(VLOOKUP($T$355,'TAR FIN'!$A$1:$O$92,15,0)),0,VLOOKUP($T$355,'TAR FIN'!$A$1:$O$92,15,0))</f>
        <v>271.27999999999997</v>
      </c>
      <c r="X355" s="6">
        <f>IF(ISERROR(VLOOKUP($U$355,'TAR FIN'!$A$1:$O$92,15,0)),0,VLOOKUP($U$355,'TAR FIN'!$A$1:$O$92,15,0))</f>
        <v>303.54000000000002</v>
      </c>
      <c r="Y355" s="6"/>
      <c r="Z355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55" s="6">
        <f ca="1">('TE BE'!$AB$16+'TE BF_350'!$AB$16+'TE CVA'!$AB$16)*(1-CUSTOS!$M$37)</f>
        <v>262.52999999999997</v>
      </c>
      <c r="AB355" s="6">
        <f>$K$355*$V$355</f>
        <v>0</v>
      </c>
      <c r="AC355" s="6">
        <f>$M$355*$W$355</f>
        <v>1815.4057599999999</v>
      </c>
      <c r="AD355" s="6">
        <f>$O$355*$X$355</f>
        <v>2031.2896800000001</v>
      </c>
      <c r="AE355" s="6">
        <f>$K$355*$Y$355</f>
        <v>0</v>
      </c>
      <c r="AF355" s="6">
        <f ca="1">$M$355*$Z$355</f>
        <v>1256.6237599999999</v>
      </c>
      <c r="AG355" s="6">
        <f ca="1">$O$355*$AA$355</f>
        <v>1756.8507599999998</v>
      </c>
    </row>
    <row r="356" spans="1:33" ht="11.25" customHeight="1" x14ac:dyDescent="0.3">
      <c r="A356" s="4" t="s">
        <v>21</v>
      </c>
      <c r="B356" s="4" t="s">
        <v>22</v>
      </c>
      <c r="C356" s="4" t="s">
        <v>23</v>
      </c>
      <c r="D356" s="4" t="s">
        <v>24</v>
      </c>
      <c r="E356" s="4" t="s">
        <v>31</v>
      </c>
      <c r="F356" s="4" t="s">
        <v>25</v>
      </c>
      <c r="G356" s="4" t="s">
        <v>25</v>
      </c>
      <c r="H356" s="4" t="s">
        <v>25</v>
      </c>
      <c r="I356" s="5">
        <v>44593</v>
      </c>
      <c r="J356" s="6">
        <v>0</v>
      </c>
      <c r="K356" s="6">
        <v>0</v>
      </c>
      <c r="L356" s="6">
        <v>15.93</v>
      </c>
      <c r="M356" s="6">
        <v>15.93</v>
      </c>
      <c r="N356" s="6">
        <v>15.93</v>
      </c>
      <c r="O356" s="6">
        <v>15.93</v>
      </c>
      <c r="P356" s="6">
        <v>143</v>
      </c>
      <c r="Q356" s="4" t="s">
        <v>26</v>
      </c>
      <c r="R356" s="4">
        <v>0</v>
      </c>
      <c r="S356" s="6">
        <v>0</v>
      </c>
      <c r="T356" s="6">
        <v>46</v>
      </c>
      <c r="U356" s="6">
        <v>4</v>
      </c>
      <c r="V356" s="6">
        <f>IF(ISERROR(VLOOKUP($S$356,'TAR FIN'!$A$1:$O$92,15,0)),0,VLOOKUP($S$356,'TAR FIN'!$A$1:$O$92,15,0))</f>
        <v>0</v>
      </c>
      <c r="W356" s="6">
        <f>IF(ISERROR(VLOOKUP($T$356,'TAR FIN'!$A$1:$O$92,15,0)),0,VLOOKUP($T$356,'TAR FIN'!$A$1:$O$92,15,0))</f>
        <v>271.27999999999997</v>
      </c>
      <c r="X356" s="6">
        <f>IF(ISERROR(VLOOKUP($U$356,'TAR FIN'!$A$1:$O$92,15,0)),0,VLOOKUP($U$356,'TAR FIN'!$A$1:$O$92,15,0))</f>
        <v>303.54000000000002</v>
      </c>
      <c r="Y356" s="6"/>
      <c r="Z356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56" s="6">
        <f ca="1">('TE BE'!$AB$16+'TE BF_350'!$AB$16+'TE CVA'!$AB$16)*(1-CUSTOS!$M$37)</f>
        <v>262.52999999999997</v>
      </c>
      <c r="AB356" s="6">
        <f>$K$356*$V$356</f>
        <v>0</v>
      </c>
      <c r="AC356" s="6">
        <f>$M$356*$W$356</f>
        <v>4321.4903999999997</v>
      </c>
      <c r="AD356" s="6">
        <f>$O$356*$X$356</f>
        <v>4835.3922000000002</v>
      </c>
      <c r="AE356" s="6">
        <f>$K$356*$Y$356</f>
        <v>0</v>
      </c>
      <c r="AF356" s="6">
        <f ca="1">$M$356*$Z$356</f>
        <v>2991.3353999999999</v>
      </c>
      <c r="AG356" s="6">
        <f ca="1">$O$356*$AA$356</f>
        <v>4182.1028999999999</v>
      </c>
    </row>
    <row r="357" spans="1:33" ht="11.25" customHeight="1" x14ac:dyDescent="0.3">
      <c r="A357" s="4" t="s">
        <v>21</v>
      </c>
      <c r="B357" s="4" t="s">
        <v>22</v>
      </c>
      <c r="C357" s="4" t="s">
        <v>23</v>
      </c>
      <c r="D357" s="4" t="s">
        <v>24</v>
      </c>
      <c r="E357" s="4" t="s">
        <v>31</v>
      </c>
      <c r="F357" s="4" t="s">
        <v>25</v>
      </c>
      <c r="G357" s="4" t="s">
        <v>25</v>
      </c>
      <c r="H357" s="4" t="s">
        <v>25</v>
      </c>
      <c r="I357" s="5">
        <v>44621</v>
      </c>
      <c r="J357" s="6">
        <v>0</v>
      </c>
      <c r="K357" s="6">
        <v>0</v>
      </c>
      <c r="L357" s="6">
        <v>12.44</v>
      </c>
      <c r="M357" s="6">
        <v>12.44</v>
      </c>
      <c r="N357" s="6">
        <v>12.44</v>
      </c>
      <c r="O357" s="6">
        <v>12.44</v>
      </c>
      <c r="P357" s="6">
        <v>118</v>
      </c>
      <c r="Q357" s="4" t="s">
        <v>26</v>
      </c>
      <c r="R357" s="4">
        <v>0</v>
      </c>
      <c r="S357" s="6">
        <v>0</v>
      </c>
      <c r="T357" s="6">
        <v>46</v>
      </c>
      <c r="U357" s="6">
        <v>4</v>
      </c>
      <c r="V357" s="6">
        <f>IF(ISERROR(VLOOKUP($S$357,'TAR FIN'!$A$1:$O$92,15,0)),0,VLOOKUP($S$357,'TAR FIN'!$A$1:$O$92,15,0))</f>
        <v>0</v>
      </c>
      <c r="W357" s="6">
        <f>IF(ISERROR(VLOOKUP($T$357,'TAR FIN'!$A$1:$O$92,15,0)),0,VLOOKUP($T$357,'TAR FIN'!$A$1:$O$92,15,0))</f>
        <v>271.27999999999997</v>
      </c>
      <c r="X357" s="6">
        <f>IF(ISERROR(VLOOKUP($U$357,'TAR FIN'!$A$1:$O$92,15,0)),0,VLOOKUP($U$357,'TAR FIN'!$A$1:$O$92,15,0))</f>
        <v>303.54000000000002</v>
      </c>
      <c r="Y357" s="6"/>
      <c r="Z357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57" s="6">
        <f ca="1">('TE BE'!$AB$16+'TE BF_350'!$AB$16+'TE CVA'!$AB$16)*(1-CUSTOS!$M$37)</f>
        <v>262.52999999999997</v>
      </c>
      <c r="AB357" s="6">
        <f>$K$357*$V$357</f>
        <v>0</v>
      </c>
      <c r="AC357" s="6">
        <f>$M$357*$W$357</f>
        <v>3374.7231999999995</v>
      </c>
      <c r="AD357" s="6">
        <f>$O$357*$X$357</f>
        <v>3776.0376000000001</v>
      </c>
      <c r="AE357" s="6">
        <f>$K$357*$Y$357</f>
        <v>0</v>
      </c>
      <c r="AF357" s="6">
        <f ca="1">$M$357*$Z$357</f>
        <v>2335.9832000000001</v>
      </c>
      <c r="AG357" s="6">
        <f ca="1">$O$357*$AA$357</f>
        <v>3265.8731999999995</v>
      </c>
    </row>
    <row r="358" spans="1:33" ht="11.25" customHeight="1" x14ac:dyDescent="0.3">
      <c r="A358" s="4" t="s">
        <v>21</v>
      </c>
      <c r="B358" s="4" t="s">
        <v>22</v>
      </c>
      <c r="C358" s="4" t="s">
        <v>23</v>
      </c>
      <c r="D358" s="4" t="s">
        <v>24</v>
      </c>
      <c r="E358" s="4" t="s">
        <v>31</v>
      </c>
      <c r="F358" s="4" t="s">
        <v>25</v>
      </c>
      <c r="G358" s="4" t="s">
        <v>25</v>
      </c>
      <c r="H358" s="4" t="s">
        <v>25</v>
      </c>
      <c r="I358" s="5">
        <v>44652</v>
      </c>
      <c r="J358" s="6">
        <v>0</v>
      </c>
      <c r="K358" s="6">
        <v>0</v>
      </c>
      <c r="L358" s="6">
        <v>7.141</v>
      </c>
      <c r="M358" s="6">
        <v>7.141</v>
      </c>
      <c r="N358" s="6">
        <v>7.141</v>
      </c>
      <c r="O358" s="6">
        <v>7.141</v>
      </c>
      <c r="P358" s="6">
        <v>95</v>
      </c>
      <c r="Q358" s="4" t="s">
        <v>26</v>
      </c>
      <c r="R358" s="4">
        <v>0</v>
      </c>
      <c r="S358" s="6">
        <v>0</v>
      </c>
      <c r="T358" s="6">
        <v>46</v>
      </c>
      <c r="U358" s="6">
        <v>4</v>
      </c>
      <c r="V358" s="6">
        <f>IF(ISERROR(VLOOKUP($S$358,'TAR FIN'!$A$1:$O$92,15,0)),0,VLOOKUP($S$358,'TAR FIN'!$A$1:$O$92,15,0))</f>
        <v>0</v>
      </c>
      <c r="W358" s="6">
        <f>IF(ISERROR(VLOOKUP($T$358,'TAR FIN'!$A$1:$O$92,15,0)),0,VLOOKUP($T$358,'TAR FIN'!$A$1:$O$92,15,0))</f>
        <v>271.27999999999997</v>
      </c>
      <c r="X358" s="6">
        <f>IF(ISERROR(VLOOKUP($U$358,'TAR FIN'!$A$1:$O$92,15,0)),0,VLOOKUP($U$358,'TAR FIN'!$A$1:$O$92,15,0))</f>
        <v>303.54000000000002</v>
      </c>
      <c r="Y358" s="6"/>
      <c r="Z358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58" s="6">
        <f ca="1">('TE BE'!$AB$16+'TE BF_350'!$AB$16+'TE CVA'!$AB$16)*(1-CUSTOS!$M$37)</f>
        <v>262.52999999999997</v>
      </c>
      <c r="AB358" s="6">
        <f>$K$358*$V$358</f>
        <v>0</v>
      </c>
      <c r="AC358" s="6">
        <f>$M$358*$W$358</f>
        <v>1937.2104799999997</v>
      </c>
      <c r="AD358" s="6">
        <f>$O$358*$X$358</f>
        <v>2167.5791400000003</v>
      </c>
      <c r="AE358" s="6">
        <f>$K$358*$Y$358</f>
        <v>0</v>
      </c>
      <c r="AF358" s="6">
        <f ca="1">$M$358*$Z$358</f>
        <v>1340.9369799999999</v>
      </c>
      <c r="AG358" s="6">
        <f ca="1">$O$358*$AA$358</f>
        <v>1874.7267299999999</v>
      </c>
    </row>
    <row r="359" spans="1:33" ht="11.25" customHeight="1" x14ac:dyDescent="0.3">
      <c r="A359" s="4" t="s">
        <v>21</v>
      </c>
      <c r="B359" s="4" t="s">
        <v>22</v>
      </c>
      <c r="C359" s="4" t="s">
        <v>23</v>
      </c>
      <c r="D359" s="4" t="s">
        <v>24</v>
      </c>
      <c r="E359" s="4" t="s">
        <v>31</v>
      </c>
      <c r="F359" s="4" t="s">
        <v>25</v>
      </c>
      <c r="G359" s="4" t="s">
        <v>25</v>
      </c>
      <c r="H359" s="4" t="s">
        <v>25</v>
      </c>
      <c r="I359" s="5">
        <v>44682</v>
      </c>
      <c r="J359" s="6">
        <v>0</v>
      </c>
      <c r="K359" s="6">
        <v>0</v>
      </c>
      <c r="L359" s="6">
        <v>5.4130000000000003</v>
      </c>
      <c r="M359" s="6">
        <v>5.4130000000000003</v>
      </c>
      <c r="N359" s="6">
        <v>5.4130000000000003</v>
      </c>
      <c r="O359" s="6">
        <v>5.4130000000000003</v>
      </c>
      <c r="P359" s="6">
        <v>76</v>
      </c>
      <c r="Q359" s="4" t="s">
        <v>26</v>
      </c>
      <c r="R359" s="4">
        <v>0</v>
      </c>
      <c r="S359" s="6">
        <v>0</v>
      </c>
      <c r="T359" s="6">
        <v>46</v>
      </c>
      <c r="U359" s="6">
        <v>4</v>
      </c>
      <c r="V359" s="6">
        <f>IF(ISERROR(VLOOKUP($S$359,'TAR FIN'!$A$1:$O$92,15,0)),0,VLOOKUP($S$359,'TAR FIN'!$A$1:$O$92,15,0))</f>
        <v>0</v>
      </c>
      <c r="W359" s="6">
        <f>IF(ISERROR(VLOOKUP($T$359,'TAR FIN'!$A$1:$O$92,15,0)),0,VLOOKUP($T$359,'TAR FIN'!$A$1:$O$92,15,0))</f>
        <v>271.27999999999997</v>
      </c>
      <c r="X359" s="6">
        <f>IF(ISERROR(VLOOKUP($U$359,'TAR FIN'!$A$1:$O$92,15,0)),0,VLOOKUP($U$359,'TAR FIN'!$A$1:$O$92,15,0))</f>
        <v>303.54000000000002</v>
      </c>
      <c r="Y359" s="6"/>
      <c r="Z359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59" s="6">
        <f ca="1">('TE BE'!$AB$16+'TE BF_350'!$AB$16+'TE CVA'!$AB$16)*(1-CUSTOS!$M$37)</f>
        <v>262.52999999999997</v>
      </c>
      <c r="AB359" s="6">
        <f>$K$359*$V$359</f>
        <v>0</v>
      </c>
      <c r="AC359" s="6">
        <f>$M$359*$W$359</f>
        <v>1468.4386399999999</v>
      </c>
      <c r="AD359" s="6">
        <f>$O$359*$X$359</f>
        <v>1643.0620200000001</v>
      </c>
      <c r="AE359" s="6">
        <f>$K$359*$Y$359</f>
        <v>0</v>
      </c>
      <c r="AF359" s="6">
        <f ca="1">$M$359*$Z$359</f>
        <v>1016.4531400000001</v>
      </c>
      <c r="AG359" s="6">
        <f ca="1">$O$359*$AA$359</f>
        <v>1421.0748899999999</v>
      </c>
    </row>
    <row r="360" spans="1:33" ht="11.25" customHeight="1" x14ac:dyDescent="0.3">
      <c r="A360" s="4" t="s">
        <v>21</v>
      </c>
      <c r="B360" s="4" t="s">
        <v>22</v>
      </c>
      <c r="C360" s="4" t="s">
        <v>23</v>
      </c>
      <c r="D360" s="4" t="s">
        <v>24</v>
      </c>
      <c r="E360" s="4" t="s">
        <v>31</v>
      </c>
      <c r="F360" s="4" t="s">
        <v>25</v>
      </c>
      <c r="G360" s="4" t="s">
        <v>25</v>
      </c>
      <c r="H360" s="4" t="s">
        <v>25</v>
      </c>
      <c r="I360" s="5">
        <v>44713</v>
      </c>
      <c r="J360" s="6">
        <v>0</v>
      </c>
      <c r="K360" s="6">
        <v>0</v>
      </c>
      <c r="L360" s="6">
        <v>6.1180000000000003</v>
      </c>
      <c r="M360" s="6">
        <v>6.1180000000000003</v>
      </c>
      <c r="N360" s="6">
        <v>6.1180000000000003</v>
      </c>
      <c r="O360" s="6">
        <v>6.1180000000000003</v>
      </c>
      <c r="P360" s="6">
        <v>69</v>
      </c>
      <c r="Q360" s="4" t="s">
        <v>26</v>
      </c>
      <c r="R360" s="4">
        <v>0</v>
      </c>
      <c r="S360" s="6">
        <v>0</v>
      </c>
      <c r="T360" s="6">
        <v>46</v>
      </c>
      <c r="U360" s="6">
        <v>4</v>
      </c>
      <c r="V360" s="6">
        <f>IF(ISERROR(VLOOKUP($S$360,'TAR FIN'!$A$1:$O$92,15,0)),0,VLOOKUP($S$360,'TAR FIN'!$A$1:$O$92,15,0))</f>
        <v>0</v>
      </c>
      <c r="W360" s="6">
        <f>IF(ISERROR(VLOOKUP($T$360,'TAR FIN'!$A$1:$O$92,15,0)),0,VLOOKUP($T$360,'TAR FIN'!$A$1:$O$92,15,0))</f>
        <v>271.27999999999997</v>
      </c>
      <c r="X360" s="6">
        <f>IF(ISERROR(VLOOKUP($U$360,'TAR FIN'!$A$1:$O$92,15,0)),0,VLOOKUP($U$360,'TAR FIN'!$A$1:$O$92,15,0))</f>
        <v>303.54000000000002</v>
      </c>
      <c r="Y360" s="6"/>
      <c r="Z360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60" s="6">
        <f ca="1">('TE BE'!$AB$16+'TE BF_350'!$AB$16+'TE CVA'!$AB$16)*(1-CUSTOS!$M$37)</f>
        <v>262.52999999999997</v>
      </c>
      <c r="AB360" s="6">
        <f>$K$360*$V$360</f>
        <v>0</v>
      </c>
      <c r="AC360" s="6">
        <f>$M$360*$W$360</f>
        <v>1659.6910399999999</v>
      </c>
      <c r="AD360" s="6">
        <f>$O$360*$X$360</f>
        <v>1857.0577200000002</v>
      </c>
      <c r="AE360" s="6">
        <f>$K$360*$Y$360</f>
        <v>0</v>
      </c>
      <c r="AF360" s="6">
        <f ca="1">$M$360*$Z$360</f>
        <v>1148.8380400000001</v>
      </c>
      <c r="AG360" s="6">
        <f ca="1">$O$360*$AA$360</f>
        <v>1606.1585399999999</v>
      </c>
    </row>
    <row r="361" spans="1:33" ht="11.25" customHeight="1" x14ac:dyDescent="0.3">
      <c r="A361" s="4" t="s">
        <v>21</v>
      </c>
      <c r="B361" s="4" t="s">
        <v>22</v>
      </c>
      <c r="C361" s="4" t="s">
        <v>23</v>
      </c>
      <c r="D361" s="4" t="s">
        <v>24</v>
      </c>
      <c r="E361" s="4" t="s">
        <v>31</v>
      </c>
      <c r="F361" s="4" t="s">
        <v>25</v>
      </c>
      <c r="G361" s="4" t="s">
        <v>25</v>
      </c>
      <c r="H361" s="4" t="s">
        <v>25</v>
      </c>
      <c r="I361" s="5">
        <v>44743</v>
      </c>
      <c r="J361" s="6">
        <v>0</v>
      </c>
      <c r="K361" s="6">
        <v>0</v>
      </c>
      <c r="L361" s="6">
        <v>8.77</v>
      </c>
      <c r="M361" s="6">
        <v>8.77</v>
      </c>
      <c r="N361" s="6">
        <v>8.77</v>
      </c>
      <c r="O361" s="6">
        <v>8.77</v>
      </c>
      <c r="P361" s="6">
        <v>90</v>
      </c>
      <c r="Q361" s="4" t="s">
        <v>26</v>
      </c>
      <c r="R361" s="4">
        <v>0</v>
      </c>
      <c r="S361" s="6">
        <v>0</v>
      </c>
      <c r="T361" s="6">
        <v>46</v>
      </c>
      <c r="U361" s="6">
        <v>4</v>
      </c>
      <c r="V361" s="6">
        <f>IF(ISERROR(VLOOKUP($S$361,'TAR FIN'!$A$1:$O$92,15,0)),0,VLOOKUP($S$361,'TAR FIN'!$A$1:$O$92,15,0))</f>
        <v>0</v>
      </c>
      <c r="W361" s="6">
        <f>IF(ISERROR(VLOOKUP($T$361,'TAR FIN'!$A$1:$O$92,15,0)),0,VLOOKUP($T$361,'TAR FIN'!$A$1:$O$92,15,0))</f>
        <v>271.27999999999997</v>
      </c>
      <c r="X361" s="6">
        <f>IF(ISERROR(VLOOKUP($U$361,'TAR FIN'!$A$1:$O$92,15,0)),0,VLOOKUP($U$361,'TAR FIN'!$A$1:$O$92,15,0))</f>
        <v>303.54000000000002</v>
      </c>
      <c r="Y361" s="6"/>
      <c r="Z361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61" s="6">
        <f ca="1">('TE BE'!$AB$16+'TE BF_350'!$AB$16+'TE CVA'!$AB$16)*(1-CUSTOS!$M$37)</f>
        <v>262.52999999999997</v>
      </c>
      <c r="AB361" s="6">
        <f>$K$361*$V$361</f>
        <v>0</v>
      </c>
      <c r="AC361" s="6">
        <f>$M$361*$W$361</f>
        <v>2379.1255999999998</v>
      </c>
      <c r="AD361" s="6">
        <f>$O$361*$X$361</f>
        <v>2662.0457999999999</v>
      </c>
      <c r="AE361" s="6">
        <f>$K$361*$Y$361</f>
        <v>0</v>
      </c>
      <c r="AF361" s="6">
        <f ca="1">$M$361*$Z$361</f>
        <v>1646.8306</v>
      </c>
      <c r="AG361" s="6">
        <f ca="1">$O$361*$AA$361</f>
        <v>2302.3880999999997</v>
      </c>
    </row>
    <row r="362" spans="1:33" ht="11.25" customHeight="1" x14ac:dyDescent="0.3">
      <c r="A362" s="4" t="s">
        <v>21</v>
      </c>
      <c r="B362" s="4" t="s">
        <v>41</v>
      </c>
      <c r="C362" s="4" t="s">
        <v>23</v>
      </c>
      <c r="D362" s="4" t="s">
        <v>42</v>
      </c>
      <c r="E362" s="4" t="s">
        <v>50</v>
      </c>
      <c r="F362" s="4" t="s">
        <v>51</v>
      </c>
      <c r="G362" s="4" t="s">
        <v>25</v>
      </c>
      <c r="H362" s="4" t="s">
        <v>25</v>
      </c>
      <c r="I362" s="5">
        <v>44409</v>
      </c>
      <c r="J362" s="6">
        <v>0</v>
      </c>
      <c r="K362" s="6">
        <v>0</v>
      </c>
      <c r="L362" s="6">
        <v>0.1</v>
      </c>
      <c r="M362" s="6">
        <v>0.1</v>
      </c>
      <c r="N362" s="6">
        <v>0.1</v>
      </c>
      <c r="O362" s="6">
        <v>0.1</v>
      </c>
      <c r="P362" s="6">
        <v>0</v>
      </c>
      <c r="Q362" s="4" t="s">
        <v>26</v>
      </c>
      <c r="R362" s="4">
        <v>0</v>
      </c>
      <c r="S362" s="6">
        <v>0</v>
      </c>
      <c r="T362" s="6">
        <v>62</v>
      </c>
      <c r="U362" s="6">
        <v>23</v>
      </c>
      <c r="V362" s="6">
        <f>IF(ISERROR(VLOOKUP($S$362,'TAR FIN'!$A$1:$O$92,15,0)),0,VLOOKUP($S$362,'TAR FIN'!$A$1:$O$92,15,0))</f>
        <v>0</v>
      </c>
      <c r="W362" s="6">
        <f>IF(ISERROR(VLOOKUP($T$362,'TAR FIN'!$A$1:$O$92,15,0)),0,VLOOKUP($T$362,'TAR FIN'!$A$1:$O$92,15,0))</f>
        <v>301.99</v>
      </c>
      <c r="X362" s="6">
        <f>IF(ISERROR(VLOOKUP($U$362,'TAR FIN'!$A$1:$O$92,15,0)),0,VLOOKUP($U$362,'TAR FIN'!$A$1:$O$92,15,0))</f>
        <v>267.11</v>
      </c>
      <c r="Y362" s="6"/>
      <c r="Z362" s="6">
        <f ca="1">('TUSD BE'!$AM$37+'TUSD BF_350'!$AM$37+'TUSD CVA'!$AM$37)*(1-CUSTOS!$M$38)</f>
        <v>291.86059999999998</v>
      </c>
      <c r="AA362" s="6">
        <f ca="1">('TE BE'!$AB$25+'TE BF_350'!$AB$25+'TE CVA'!$AB$25)*(1-CUSTOS!$M$38)</f>
        <v>246.77819999999997</v>
      </c>
      <c r="AB362" s="6">
        <f>$K$362*$V$362</f>
        <v>0</v>
      </c>
      <c r="AC362" s="6">
        <f>$M$362*$W$362</f>
        <v>30.199000000000002</v>
      </c>
      <c r="AD362" s="6">
        <f>$O$362*$X$362</f>
        <v>26.711000000000002</v>
      </c>
      <c r="AE362" s="6">
        <f>$K$362*$Y$362</f>
        <v>0</v>
      </c>
      <c r="AF362" s="6">
        <f ca="1">$M$362*$Z$362</f>
        <v>29.186059999999998</v>
      </c>
      <c r="AG362" s="6">
        <f ca="1">$O$362*$AA$362</f>
        <v>24.677819999999997</v>
      </c>
    </row>
    <row r="363" spans="1:33" ht="11.25" customHeight="1" x14ac:dyDescent="0.3">
      <c r="A363" s="4" t="s">
        <v>21</v>
      </c>
      <c r="B363" s="4" t="s">
        <v>41</v>
      </c>
      <c r="C363" s="4" t="s">
        <v>23</v>
      </c>
      <c r="D363" s="4" t="s">
        <v>42</v>
      </c>
      <c r="E363" s="4" t="s">
        <v>50</v>
      </c>
      <c r="F363" s="4" t="s">
        <v>51</v>
      </c>
      <c r="G363" s="4" t="s">
        <v>25</v>
      </c>
      <c r="H363" s="4" t="s">
        <v>25</v>
      </c>
      <c r="I363" s="5">
        <v>44440</v>
      </c>
      <c r="J363" s="6">
        <v>0</v>
      </c>
      <c r="K363" s="6">
        <v>0</v>
      </c>
      <c r="L363" s="6">
        <v>0.1</v>
      </c>
      <c r="M363" s="6">
        <v>0.1</v>
      </c>
      <c r="N363" s="6">
        <v>0.1</v>
      </c>
      <c r="O363" s="6">
        <v>0.1</v>
      </c>
      <c r="P363" s="6">
        <v>0</v>
      </c>
      <c r="Q363" s="4" t="s">
        <v>26</v>
      </c>
      <c r="R363" s="4">
        <v>0</v>
      </c>
      <c r="S363" s="6">
        <v>0</v>
      </c>
      <c r="T363" s="6">
        <v>62</v>
      </c>
      <c r="U363" s="6">
        <v>23</v>
      </c>
      <c r="V363" s="6">
        <f>IF(ISERROR(VLOOKUP($S$363,'TAR FIN'!$A$1:$O$92,15,0)),0,VLOOKUP($S$363,'TAR FIN'!$A$1:$O$92,15,0))</f>
        <v>0</v>
      </c>
      <c r="W363" s="6">
        <f>IF(ISERROR(VLOOKUP($T$363,'TAR FIN'!$A$1:$O$92,15,0)),0,VLOOKUP($T$363,'TAR FIN'!$A$1:$O$92,15,0))</f>
        <v>301.99</v>
      </c>
      <c r="X363" s="6">
        <f>IF(ISERROR(VLOOKUP($U$363,'TAR FIN'!$A$1:$O$92,15,0)),0,VLOOKUP($U$363,'TAR FIN'!$A$1:$O$92,15,0))</f>
        <v>267.11</v>
      </c>
      <c r="Y363" s="6"/>
      <c r="Z363" s="6">
        <f ca="1">('TUSD BE'!$AM$37+'TUSD BF_350'!$AM$37+'TUSD CVA'!$AM$37)*(1-CUSTOS!$M$38)</f>
        <v>291.86059999999998</v>
      </c>
      <c r="AA363" s="6">
        <f ca="1">('TE BE'!$AB$25+'TE BF_350'!$AB$25+'TE CVA'!$AB$25)*(1-CUSTOS!$M$38)</f>
        <v>246.77819999999997</v>
      </c>
      <c r="AB363" s="6">
        <f>$K$363*$V$363</f>
        <v>0</v>
      </c>
      <c r="AC363" s="6">
        <f>$M$363*$W$363</f>
        <v>30.199000000000002</v>
      </c>
      <c r="AD363" s="6">
        <f>$O$363*$X$363</f>
        <v>26.711000000000002</v>
      </c>
      <c r="AE363" s="6">
        <f>$K$363*$Y$363</f>
        <v>0</v>
      </c>
      <c r="AF363" s="6">
        <f ca="1">$M$363*$Z$363</f>
        <v>29.186059999999998</v>
      </c>
      <c r="AG363" s="6">
        <f ca="1">$O$363*$AA$363</f>
        <v>24.677819999999997</v>
      </c>
    </row>
    <row r="364" spans="1:33" ht="11.25" customHeight="1" x14ac:dyDescent="0.3">
      <c r="A364" s="4" t="s">
        <v>21</v>
      </c>
      <c r="B364" s="4" t="s">
        <v>41</v>
      </c>
      <c r="C364" s="4" t="s">
        <v>23</v>
      </c>
      <c r="D364" s="4" t="s">
        <v>42</v>
      </c>
      <c r="E364" s="4" t="s">
        <v>50</v>
      </c>
      <c r="F364" s="4" t="s">
        <v>51</v>
      </c>
      <c r="G364" s="4" t="s">
        <v>25</v>
      </c>
      <c r="H364" s="4" t="s">
        <v>25</v>
      </c>
      <c r="I364" s="5">
        <v>44470</v>
      </c>
      <c r="J364" s="6">
        <v>0</v>
      </c>
      <c r="K364" s="6">
        <v>0</v>
      </c>
      <c r="L364" s="6">
        <v>0.221</v>
      </c>
      <c r="M364" s="6">
        <v>0.221</v>
      </c>
      <c r="N364" s="6">
        <v>0.221</v>
      </c>
      <c r="O364" s="6">
        <v>0.221</v>
      </c>
      <c r="P364" s="6">
        <v>0</v>
      </c>
      <c r="Q364" s="4" t="s">
        <v>26</v>
      </c>
      <c r="R364" s="4">
        <v>0</v>
      </c>
      <c r="S364" s="6">
        <v>0</v>
      </c>
      <c r="T364" s="6">
        <v>62</v>
      </c>
      <c r="U364" s="6">
        <v>23</v>
      </c>
      <c r="V364" s="6">
        <f>IF(ISERROR(VLOOKUP($S$364,'TAR FIN'!$A$1:$O$92,15,0)),0,VLOOKUP($S$364,'TAR FIN'!$A$1:$O$92,15,0))</f>
        <v>0</v>
      </c>
      <c r="W364" s="6">
        <f>IF(ISERROR(VLOOKUP($T$364,'TAR FIN'!$A$1:$O$92,15,0)),0,VLOOKUP($T$364,'TAR FIN'!$A$1:$O$92,15,0))</f>
        <v>301.99</v>
      </c>
      <c r="X364" s="6">
        <f>IF(ISERROR(VLOOKUP($U$364,'TAR FIN'!$A$1:$O$92,15,0)),0,VLOOKUP($U$364,'TAR FIN'!$A$1:$O$92,15,0))</f>
        <v>267.11</v>
      </c>
      <c r="Y364" s="6"/>
      <c r="Z364" s="6">
        <f ca="1">('TUSD BE'!$AM$37+'TUSD BF_350'!$AM$37+'TUSD CVA'!$AM$37)*(1-CUSTOS!$M$38)</f>
        <v>291.86059999999998</v>
      </c>
      <c r="AA364" s="6">
        <f ca="1">('TE BE'!$AB$25+'TE BF_350'!$AB$25+'TE CVA'!$AB$25)*(1-CUSTOS!$M$38)</f>
        <v>246.77819999999997</v>
      </c>
      <c r="AB364" s="6">
        <f>$K$364*$V$364</f>
        <v>0</v>
      </c>
      <c r="AC364" s="6">
        <f>$M$364*$W$364</f>
        <v>66.739789999999999</v>
      </c>
      <c r="AD364" s="6">
        <f>$O$364*$X$364</f>
        <v>59.031310000000005</v>
      </c>
      <c r="AE364" s="6">
        <f>$K$364*$Y$364</f>
        <v>0</v>
      </c>
      <c r="AF364" s="6">
        <f ca="1">$M$364*$Z$364</f>
        <v>64.501192599999996</v>
      </c>
      <c r="AG364" s="6">
        <f ca="1">$O$364*$AA$364</f>
        <v>54.537982199999995</v>
      </c>
    </row>
    <row r="365" spans="1:33" ht="11.25" customHeight="1" x14ac:dyDescent="0.3">
      <c r="A365" s="4" t="s">
        <v>21</v>
      </c>
      <c r="B365" s="4" t="s">
        <v>41</v>
      </c>
      <c r="C365" s="4" t="s">
        <v>23</v>
      </c>
      <c r="D365" s="4" t="s">
        <v>42</v>
      </c>
      <c r="E365" s="4" t="s">
        <v>50</v>
      </c>
      <c r="F365" s="4" t="s">
        <v>51</v>
      </c>
      <c r="G365" s="4" t="s">
        <v>25</v>
      </c>
      <c r="H365" s="4" t="s">
        <v>25</v>
      </c>
      <c r="I365" s="5">
        <v>44501</v>
      </c>
      <c r="J365" s="6">
        <v>0</v>
      </c>
      <c r="K365" s="6">
        <v>0</v>
      </c>
      <c r="L365" s="6">
        <v>0.16200000000000001</v>
      </c>
      <c r="M365" s="6">
        <v>0.16200000000000001</v>
      </c>
      <c r="N365" s="6">
        <v>0.16200000000000001</v>
      </c>
      <c r="O365" s="6">
        <v>0.16200000000000001</v>
      </c>
      <c r="P365" s="6">
        <v>0</v>
      </c>
      <c r="Q365" s="4" t="s">
        <v>26</v>
      </c>
      <c r="R365" s="4">
        <v>0</v>
      </c>
      <c r="S365" s="6">
        <v>0</v>
      </c>
      <c r="T365" s="6">
        <v>62</v>
      </c>
      <c r="U365" s="6">
        <v>23</v>
      </c>
      <c r="V365" s="6">
        <f>IF(ISERROR(VLOOKUP($S$365,'TAR FIN'!$A$1:$O$92,15,0)),0,VLOOKUP($S$365,'TAR FIN'!$A$1:$O$92,15,0))</f>
        <v>0</v>
      </c>
      <c r="W365" s="6">
        <f>IF(ISERROR(VLOOKUP($T$365,'TAR FIN'!$A$1:$O$92,15,0)),0,VLOOKUP($T$365,'TAR FIN'!$A$1:$O$92,15,0))</f>
        <v>301.99</v>
      </c>
      <c r="X365" s="6">
        <f>IF(ISERROR(VLOOKUP($U$365,'TAR FIN'!$A$1:$O$92,15,0)),0,VLOOKUP($U$365,'TAR FIN'!$A$1:$O$92,15,0))</f>
        <v>267.11</v>
      </c>
      <c r="Y365" s="6"/>
      <c r="Z365" s="6">
        <f ca="1">('TUSD BE'!$AM$37+'TUSD BF_350'!$AM$37+'TUSD CVA'!$AM$37)*(1-CUSTOS!$M$38)</f>
        <v>291.86059999999998</v>
      </c>
      <c r="AA365" s="6">
        <f ca="1">('TE BE'!$AB$25+'TE BF_350'!$AB$25+'TE CVA'!$AB$25)*(1-CUSTOS!$M$38)</f>
        <v>246.77819999999997</v>
      </c>
      <c r="AB365" s="6">
        <f>$K$365*$V$365</f>
        <v>0</v>
      </c>
      <c r="AC365" s="6">
        <f>$M$365*$W$365</f>
        <v>48.922380000000004</v>
      </c>
      <c r="AD365" s="6">
        <f>$O$365*$X$365</f>
        <v>43.271820000000005</v>
      </c>
      <c r="AE365" s="6">
        <f>$K$365*$Y$365</f>
        <v>0</v>
      </c>
      <c r="AF365" s="6">
        <f ca="1">$M$365*$Z$365</f>
        <v>47.2814172</v>
      </c>
      <c r="AG365" s="6">
        <f ca="1">$O$365*$AA$365</f>
        <v>39.978068399999998</v>
      </c>
    </row>
    <row r="366" spans="1:33" ht="11.25" customHeight="1" x14ac:dyDescent="0.3">
      <c r="A366" s="4" t="s">
        <v>21</v>
      </c>
      <c r="B366" s="4" t="s">
        <v>41</v>
      </c>
      <c r="C366" s="4" t="s">
        <v>23</v>
      </c>
      <c r="D366" s="4" t="s">
        <v>42</v>
      </c>
      <c r="E366" s="4" t="s">
        <v>50</v>
      </c>
      <c r="F366" s="4" t="s">
        <v>51</v>
      </c>
      <c r="G366" s="4" t="s">
        <v>25</v>
      </c>
      <c r="H366" s="4" t="s">
        <v>25</v>
      </c>
      <c r="I366" s="5">
        <v>44531</v>
      </c>
      <c r="J366" s="6">
        <v>0</v>
      </c>
      <c r="K366" s="6">
        <v>0</v>
      </c>
      <c r="L366" s="6">
        <v>0.20599999999999999</v>
      </c>
      <c r="M366" s="6">
        <v>0.20599999999999999</v>
      </c>
      <c r="N366" s="6">
        <v>0.20599999999999999</v>
      </c>
      <c r="O366" s="6">
        <v>0.20599999999999999</v>
      </c>
      <c r="P366" s="6">
        <v>0</v>
      </c>
      <c r="Q366" s="4" t="s">
        <v>26</v>
      </c>
      <c r="R366" s="4">
        <v>0</v>
      </c>
      <c r="S366" s="6">
        <v>0</v>
      </c>
      <c r="T366" s="6">
        <v>62</v>
      </c>
      <c r="U366" s="6">
        <v>23</v>
      </c>
      <c r="V366" s="6">
        <f>IF(ISERROR(VLOOKUP($S$366,'TAR FIN'!$A$1:$O$92,15,0)),0,VLOOKUP($S$366,'TAR FIN'!$A$1:$O$92,15,0))</f>
        <v>0</v>
      </c>
      <c r="W366" s="6">
        <f>IF(ISERROR(VLOOKUP($T$366,'TAR FIN'!$A$1:$O$92,15,0)),0,VLOOKUP($T$366,'TAR FIN'!$A$1:$O$92,15,0))</f>
        <v>301.99</v>
      </c>
      <c r="X366" s="6">
        <f>IF(ISERROR(VLOOKUP($U$366,'TAR FIN'!$A$1:$O$92,15,0)),0,VLOOKUP($U$366,'TAR FIN'!$A$1:$O$92,15,0))</f>
        <v>267.11</v>
      </c>
      <c r="Y366" s="6"/>
      <c r="Z366" s="6">
        <f ca="1">('TUSD BE'!$AM$37+'TUSD BF_350'!$AM$37+'TUSD CVA'!$AM$37)*(1-CUSTOS!$M$38)</f>
        <v>291.86059999999998</v>
      </c>
      <c r="AA366" s="6">
        <f ca="1">('TE BE'!$AB$25+'TE BF_350'!$AB$25+'TE CVA'!$AB$25)*(1-CUSTOS!$M$38)</f>
        <v>246.77819999999997</v>
      </c>
      <c r="AB366" s="6">
        <f>$K$366*$V$366</f>
        <v>0</v>
      </c>
      <c r="AC366" s="6">
        <f>$M$366*$W$366</f>
        <v>62.209939999999996</v>
      </c>
      <c r="AD366" s="6">
        <f>$O$366*$X$366</f>
        <v>55.024659999999997</v>
      </c>
      <c r="AE366" s="6">
        <f>$K$366*$Y$366</f>
        <v>0</v>
      </c>
      <c r="AF366" s="6">
        <f ca="1">$M$366*$Z$366</f>
        <v>60.123283599999993</v>
      </c>
      <c r="AG366" s="6">
        <f ca="1">$O$366*$AA$366</f>
        <v>50.836309199999988</v>
      </c>
    </row>
    <row r="367" spans="1:33" ht="11.25" customHeight="1" x14ac:dyDescent="0.3">
      <c r="A367" s="4" t="s">
        <v>21</v>
      </c>
      <c r="B367" s="4" t="s">
        <v>41</v>
      </c>
      <c r="C367" s="4" t="s">
        <v>23</v>
      </c>
      <c r="D367" s="4" t="s">
        <v>42</v>
      </c>
      <c r="E367" s="4" t="s">
        <v>50</v>
      </c>
      <c r="F367" s="4" t="s">
        <v>51</v>
      </c>
      <c r="G367" s="4" t="s">
        <v>25</v>
      </c>
      <c r="H367" s="4" t="s">
        <v>25</v>
      </c>
      <c r="I367" s="5">
        <v>44562</v>
      </c>
      <c r="J367" s="6">
        <v>0</v>
      </c>
      <c r="K367" s="6">
        <v>0</v>
      </c>
      <c r="L367" s="6">
        <v>0.1</v>
      </c>
      <c r="M367" s="6">
        <v>0.1</v>
      </c>
      <c r="N367" s="6">
        <v>0.1</v>
      </c>
      <c r="O367" s="6">
        <v>0.1</v>
      </c>
      <c r="P367" s="6">
        <v>0</v>
      </c>
      <c r="Q367" s="4" t="s">
        <v>26</v>
      </c>
      <c r="R367" s="4">
        <v>0</v>
      </c>
      <c r="S367" s="6">
        <v>0</v>
      </c>
      <c r="T367" s="6">
        <v>62</v>
      </c>
      <c r="U367" s="6">
        <v>23</v>
      </c>
      <c r="V367" s="6">
        <f>IF(ISERROR(VLOOKUP($S$367,'TAR FIN'!$A$1:$O$92,15,0)),0,VLOOKUP($S$367,'TAR FIN'!$A$1:$O$92,15,0))</f>
        <v>0</v>
      </c>
      <c r="W367" s="6">
        <f>IF(ISERROR(VLOOKUP($T$367,'TAR FIN'!$A$1:$O$92,15,0)),0,VLOOKUP($T$367,'TAR FIN'!$A$1:$O$92,15,0))</f>
        <v>301.99</v>
      </c>
      <c r="X367" s="6">
        <f>IF(ISERROR(VLOOKUP($U$367,'TAR FIN'!$A$1:$O$92,15,0)),0,VLOOKUP($U$367,'TAR FIN'!$A$1:$O$92,15,0))</f>
        <v>267.11</v>
      </c>
      <c r="Y367" s="6"/>
      <c r="Z367" s="6">
        <f ca="1">('TUSD BE'!$AM$37+'TUSD BF_350'!$AM$37+'TUSD CVA'!$AM$37)*(1-CUSTOS!$M$38)</f>
        <v>291.86059999999998</v>
      </c>
      <c r="AA367" s="6">
        <f ca="1">('TE BE'!$AB$25+'TE BF_350'!$AB$25+'TE CVA'!$AB$25)*(1-CUSTOS!$M$38)</f>
        <v>246.77819999999997</v>
      </c>
      <c r="AB367" s="6">
        <f>$K$367*$V$367</f>
        <v>0</v>
      </c>
      <c r="AC367" s="6">
        <f>$M$367*$W$367</f>
        <v>30.199000000000002</v>
      </c>
      <c r="AD367" s="6">
        <f>$O$367*$X$367</f>
        <v>26.711000000000002</v>
      </c>
      <c r="AE367" s="6">
        <f>$K$367*$Y$367</f>
        <v>0</v>
      </c>
      <c r="AF367" s="6">
        <f ca="1">$M$367*$Z$367</f>
        <v>29.186059999999998</v>
      </c>
      <c r="AG367" s="6">
        <f ca="1">$O$367*$AA$367</f>
        <v>24.677819999999997</v>
      </c>
    </row>
    <row r="368" spans="1:33" ht="11.25" customHeight="1" x14ac:dyDescent="0.3">
      <c r="A368" s="4" t="s">
        <v>21</v>
      </c>
      <c r="B368" s="4" t="s">
        <v>41</v>
      </c>
      <c r="C368" s="4" t="s">
        <v>23</v>
      </c>
      <c r="D368" s="4" t="s">
        <v>42</v>
      </c>
      <c r="E368" s="4" t="s">
        <v>50</v>
      </c>
      <c r="F368" s="4" t="s">
        <v>51</v>
      </c>
      <c r="G368" s="4" t="s">
        <v>25</v>
      </c>
      <c r="H368" s="4" t="s">
        <v>25</v>
      </c>
      <c r="I368" s="5">
        <v>44593</v>
      </c>
      <c r="J368" s="6">
        <v>0</v>
      </c>
      <c r="K368" s="6">
        <v>0</v>
      </c>
      <c r="L368" s="6">
        <v>0.5</v>
      </c>
      <c r="M368" s="6">
        <v>0.5</v>
      </c>
      <c r="N368" s="6">
        <v>0.5</v>
      </c>
      <c r="O368" s="6">
        <v>0.5</v>
      </c>
      <c r="P368" s="6">
        <v>0</v>
      </c>
      <c r="Q368" s="4" t="s">
        <v>26</v>
      </c>
      <c r="R368" s="4">
        <v>0</v>
      </c>
      <c r="S368" s="6">
        <v>0</v>
      </c>
      <c r="T368" s="6">
        <v>62</v>
      </c>
      <c r="U368" s="6">
        <v>23</v>
      </c>
      <c r="V368" s="6">
        <f>IF(ISERROR(VLOOKUP($S$368,'TAR FIN'!$A$1:$O$92,15,0)),0,VLOOKUP($S$368,'TAR FIN'!$A$1:$O$92,15,0))</f>
        <v>0</v>
      </c>
      <c r="W368" s="6">
        <f>IF(ISERROR(VLOOKUP($T$368,'TAR FIN'!$A$1:$O$92,15,0)),0,VLOOKUP($T$368,'TAR FIN'!$A$1:$O$92,15,0))</f>
        <v>301.99</v>
      </c>
      <c r="X368" s="6">
        <f>IF(ISERROR(VLOOKUP($U$368,'TAR FIN'!$A$1:$O$92,15,0)),0,VLOOKUP($U$368,'TAR FIN'!$A$1:$O$92,15,0))</f>
        <v>267.11</v>
      </c>
      <c r="Y368" s="6"/>
      <c r="Z368" s="6">
        <f ca="1">('TUSD BE'!$AM$37+'TUSD BF_350'!$AM$37+'TUSD CVA'!$AM$37)*(1-CUSTOS!$M$38)</f>
        <v>291.86059999999998</v>
      </c>
      <c r="AA368" s="6">
        <f ca="1">('TE BE'!$AB$25+'TE BF_350'!$AB$25+'TE CVA'!$AB$25)*(1-CUSTOS!$M$38)</f>
        <v>246.77819999999997</v>
      </c>
      <c r="AB368" s="6">
        <f>$K$368*$V$368</f>
        <v>0</v>
      </c>
      <c r="AC368" s="6">
        <f>$M$368*$W$368</f>
        <v>150.995</v>
      </c>
      <c r="AD368" s="6">
        <f>$O$368*$X$368</f>
        <v>133.55500000000001</v>
      </c>
      <c r="AE368" s="6">
        <f>$K$368*$Y$368</f>
        <v>0</v>
      </c>
      <c r="AF368" s="6">
        <f ca="1">$M$368*$Z$368</f>
        <v>145.93029999999999</v>
      </c>
      <c r="AG368" s="6">
        <f ca="1">$O$368*$AA$368</f>
        <v>123.38909999999998</v>
      </c>
    </row>
    <row r="369" spans="1:33" ht="11.25" customHeight="1" x14ac:dyDescent="0.3">
      <c r="A369" s="4" t="s">
        <v>21</v>
      </c>
      <c r="B369" s="4" t="s">
        <v>41</v>
      </c>
      <c r="C369" s="4" t="s">
        <v>23</v>
      </c>
      <c r="D369" s="4" t="s">
        <v>42</v>
      </c>
      <c r="E369" s="4" t="s">
        <v>50</v>
      </c>
      <c r="F369" s="4" t="s">
        <v>51</v>
      </c>
      <c r="G369" s="4" t="s">
        <v>25</v>
      </c>
      <c r="H369" s="4" t="s">
        <v>25</v>
      </c>
      <c r="I369" s="5">
        <v>44621</v>
      </c>
      <c r="J369" s="6">
        <v>0</v>
      </c>
      <c r="K369" s="6">
        <v>0</v>
      </c>
      <c r="L369" s="6">
        <v>0.313</v>
      </c>
      <c r="M369" s="6">
        <v>0.313</v>
      </c>
      <c r="N369" s="6">
        <v>0.313</v>
      </c>
      <c r="O369" s="6">
        <v>0.313</v>
      </c>
      <c r="P369" s="6">
        <v>0</v>
      </c>
      <c r="Q369" s="4" t="s">
        <v>26</v>
      </c>
      <c r="R369" s="4">
        <v>0</v>
      </c>
      <c r="S369" s="6">
        <v>0</v>
      </c>
      <c r="T369" s="6">
        <v>62</v>
      </c>
      <c r="U369" s="6">
        <v>23</v>
      </c>
      <c r="V369" s="6">
        <f>IF(ISERROR(VLOOKUP($S$369,'TAR FIN'!$A$1:$O$92,15,0)),0,VLOOKUP($S$369,'TAR FIN'!$A$1:$O$92,15,0))</f>
        <v>0</v>
      </c>
      <c r="W369" s="6">
        <f>IF(ISERROR(VLOOKUP($T$369,'TAR FIN'!$A$1:$O$92,15,0)),0,VLOOKUP($T$369,'TAR FIN'!$A$1:$O$92,15,0))</f>
        <v>301.99</v>
      </c>
      <c r="X369" s="6">
        <f>IF(ISERROR(VLOOKUP($U$369,'TAR FIN'!$A$1:$O$92,15,0)),0,VLOOKUP($U$369,'TAR FIN'!$A$1:$O$92,15,0))</f>
        <v>267.11</v>
      </c>
      <c r="Y369" s="6"/>
      <c r="Z369" s="6">
        <f ca="1">('TUSD BE'!$AM$37+'TUSD BF_350'!$AM$37+'TUSD CVA'!$AM$37)*(1-CUSTOS!$M$38)</f>
        <v>291.86059999999998</v>
      </c>
      <c r="AA369" s="6">
        <f ca="1">('TE BE'!$AB$25+'TE BF_350'!$AB$25+'TE CVA'!$AB$25)*(1-CUSTOS!$M$38)</f>
        <v>246.77819999999997</v>
      </c>
      <c r="AB369" s="6">
        <f>$K$369*$V$369</f>
        <v>0</v>
      </c>
      <c r="AC369" s="6">
        <f>$M$369*$W$369</f>
        <v>94.522869999999998</v>
      </c>
      <c r="AD369" s="6">
        <f>$O$369*$X$369</f>
        <v>83.605429999999998</v>
      </c>
      <c r="AE369" s="6">
        <f>$K$369*$Y$369</f>
        <v>0</v>
      </c>
      <c r="AF369" s="6">
        <f ca="1">$M$369*$Z$369</f>
        <v>91.352367799999996</v>
      </c>
      <c r="AG369" s="6">
        <f ca="1">$O$369*$AA$369</f>
        <v>77.241576599999988</v>
      </c>
    </row>
    <row r="370" spans="1:33" ht="11.25" customHeight="1" x14ac:dyDescent="0.3">
      <c r="A370" s="4" t="s">
        <v>21</v>
      </c>
      <c r="B370" s="4" t="s">
        <v>41</v>
      </c>
      <c r="C370" s="4" t="s">
        <v>23</v>
      </c>
      <c r="D370" s="4" t="s">
        <v>42</v>
      </c>
      <c r="E370" s="4" t="s">
        <v>50</v>
      </c>
      <c r="F370" s="4" t="s">
        <v>51</v>
      </c>
      <c r="G370" s="4" t="s">
        <v>25</v>
      </c>
      <c r="H370" s="4" t="s">
        <v>25</v>
      </c>
      <c r="I370" s="5">
        <v>44652</v>
      </c>
      <c r="J370" s="6">
        <v>0</v>
      </c>
      <c r="K370" s="6">
        <v>0</v>
      </c>
      <c r="L370" s="6">
        <v>0.24299999999999999</v>
      </c>
      <c r="M370" s="6">
        <v>0.24299999999999999</v>
      </c>
      <c r="N370" s="6">
        <v>0.24299999999999999</v>
      </c>
      <c r="O370" s="6">
        <v>0.24299999999999999</v>
      </c>
      <c r="P370" s="6">
        <v>0</v>
      </c>
      <c r="Q370" s="4" t="s">
        <v>26</v>
      </c>
      <c r="R370" s="4">
        <v>0</v>
      </c>
      <c r="S370" s="6">
        <v>0</v>
      </c>
      <c r="T370" s="6">
        <v>62</v>
      </c>
      <c r="U370" s="6">
        <v>23</v>
      </c>
      <c r="V370" s="6">
        <f>IF(ISERROR(VLOOKUP($S$370,'TAR FIN'!$A$1:$O$92,15,0)),0,VLOOKUP($S$370,'TAR FIN'!$A$1:$O$92,15,0))</f>
        <v>0</v>
      </c>
      <c r="W370" s="6">
        <f>IF(ISERROR(VLOOKUP($T$370,'TAR FIN'!$A$1:$O$92,15,0)),0,VLOOKUP($T$370,'TAR FIN'!$A$1:$O$92,15,0))</f>
        <v>301.99</v>
      </c>
      <c r="X370" s="6">
        <f>IF(ISERROR(VLOOKUP($U$370,'TAR FIN'!$A$1:$O$92,15,0)),0,VLOOKUP($U$370,'TAR FIN'!$A$1:$O$92,15,0))</f>
        <v>267.11</v>
      </c>
      <c r="Y370" s="6"/>
      <c r="Z370" s="6">
        <f ca="1">('TUSD BE'!$AM$37+'TUSD BF_350'!$AM$37+'TUSD CVA'!$AM$37)*(1-CUSTOS!$M$38)</f>
        <v>291.86059999999998</v>
      </c>
      <c r="AA370" s="6">
        <f ca="1">('TE BE'!$AB$25+'TE BF_350'!$AB$25+'TE CVA'!$AB$25)*(1-CUSTOS!$M$38)</f>
        <v>246.77819999999997</v>
      </c>
      <c r="AB370" s="6">
        <f>$K$370*$V$370</f>
        <v>0</v>
      </c>
      <c r="AC370" s="6">
        <f>$M$370*$W$370</f>
        <v>73.383570000000006</v>
      </c>
      <c r="AD370" s="6">
        <f>$O$370*$X$370</f>
        <v>64.907730000000001</v>
      </c>
      <c r="AE370" s="6">
        <f>$K$370*$Y$370</f>
        <v>0</v>
      </c>
      <c r="AF370" s="6">
        <f ca="1">$M$370*$Z$370</f>
        <v>70.922125799999989</v>
      </c>
      <c r="AG370" s="6">
        <f ca="1">$O$370*$AA$370</f>
        <v>59.96710259999999</v>
      </c>
    </row>
    <row r="371" spans="1:33" ht="11.25" customHeight="1" x14ac:dyDescent="0.3">
      <c r="A371" s="4" t="s">
        <v>21</v>
      </c>
      <c r="B371" s="4" t="s">
        <v>41</v>
      </c>
      <c r="C371" s="4" t="s">
        <v>23</v>
      </c>
      <c r="D371" s="4" t="s">
        <v>42</v>
      </c>
      <c r="E371" s="4" t="s">
        <v>50</v>
      </c>
      <c r="F371" s="4" t="s">
        <v>51</v>
      </c>
      <c r="G371" s="4" t="s">
        <v>25</v>
      </c>
      <c r="H371" s="4" t="s">
        <v>25</v>
      </c>
      <c r="I371" s="5">
        <v>44682</v>
      </c>
      <c r="J371" s="6">
        <v>0</v>
      </c>
      <c r="K371" s="6">
        <v>0</v>
      </c>
      <c r="L371" s="6">
        <v>0.309</v>
      </c>
      <c r="M371" s="6">
        <v>0.309</v>
      </c>
      <c r="N371" s="6">
        <v>0.309</v>
      </c>
      <c r="O371" s="6">
        <v>0.309</v>
      </c>
      <c r="P371" s="6">
        <v>0</v>
      </c>
      <c r="Q371" s="4" t="s">
        <v>26</v>
      </c>
      <c r="R371" s="4">
        <v>0</v>
      </c>
      <c r="S371" s="6">
        <v>0</v>
      </c>
      <c r="T371" s="6">
        <v>62</v>
      </c>
      <c r="U371" s="6">
        <v>23</v>
      </c>
      <c r="V371" s="6">
        <f>IF(ISERROR(VLOOKUP($S$371,'TAR FIN'!$A$1:$O$92,15,0)),0,VLOOKUP($S$371,'TAR FIN'!$A$1:$O$92,15,0))</f>
        <v>0</v>
      </c>
      <c r="W371" s="6">
        <f>IF(ISERROR(VLOOKUP($T$371,'TAR FIN'!$A$1:$O$92,15,0)),0,VLOOKUP($T$371,'TAR FIN'!$A$1:$O$92,15,0))</f>
        <v>301.99</v>
      </c>
      <c r="X371" s="6">
        <f>IF(ISERROR(VLOOKUP($U$371,'TAR FIN'!$A$1:$O$92,15,0)),0,VLOOKUP($U$371,'TAR FIN'!$A$1:$O$92,15,0))</f>
        <v>267.11</v>
      </c>
      <c r="Y371" s="6"/>
      <c r="Z371" s="6">
        <f ca="1">('TUSD BE'!$AM$37+'TUSD BF_350'!$AM$37+'TUSD CVA'!$AM$37)*(1-CUSTOS!$M$38)</f>
        <v>291.86059999999998</v>
      </c>
      <c r="AA371" s="6">
        <f ca="1">('TE BE'!$AB$25+'TE BF_350'!$AB$25+'TE CVA'!$AB$25)*(1-CUSTOS!$M$38)</f>
        <v>246.77819999999997</v>
      </c>
      <c r="AB371" s="6">
        <f>$K$371*$V$371</f>
        <v>0</v>
      </c>
      <c r="AC371" s="6">
        <f>$M$371*$W$371</f>
        <v>93.314909999999998</v>
      </c>
      <c r="AD371" s="6">
        <f>$O$371*$X$371</f>
        <v>82.536990000000003</v>
      </c>
      <c r="AE371" s="6">
        <f>$K$371*$Y$371</f>
        <v>0</v>
      </c>
      <c r="AF371" s="6">
        <f ca="1">$M$371*$Z$371</f>
        <v>90.184925399999997</v>
      </c>
      <c r="AG371" s="6">
        <f ca="1">$O$371*$AA$371</f>
        <v>76.254463799999996</v>
      </c>
    </row>
    <row r="372" spans="1:33" ht="11.25" customHeight="1" x14ac:dyDescent="0.3">
      <c r="A372" s="4" t="s">
        <v>21</v>
      </c>
      <c r="B372" s="4" t="s">
        <v>41</v>
      </c>
      <c r="C372" s="4" t="s">
        <v>23</v>
      </c>
      <c r="D372" s="4" t="s">
        <v>42</v>
      </c>
      <c r="E372" s="4" t="s">
        <v>50</v>
      </c>
      <c r="F372" s="4" t="s">
        <v>51</v>
      </c>
      <c r="G372" s="4" t="s">
        <v>25</v>
      </c>
      <c r="H372" s="4" t="s">
        <v>25</v>
      </c>
      <c r="I372" s="5">
        <v>44713</v>
      </c>
      <c r="J372" s="6">
        <v>0</v>
      </c>
      <c r="K372" s="6">
        <v>0</v>
      </c>
      <c r="L372" s="6">
        <v>0.2</v>
      </c>
      <c r="M372" s="6">
        <v>0.2</v>
      </c>
      <c r="N372" s="6">
        <v>0.2</v>
      </c>
      <c r="O372" s="6">
        <v>0.2</v>
      </c>
      <c r="P372" s="6">
        <v>0</v>
      </c>
      <c r="Q372" s="4" t="s">
        <v>26</v>
      </c>
      <c r="R372" s="4">
        <v>0</v>
      </c>
      <c r="S372" s="6">
        <v>0</v>
      </c>
      <c r="T372" s="6">
        <v>62</v>
      </c>
      <c r="U372" s="6">
        <v>23</v>
      </c>
      <c r="V372" s="6">
        <f>IF(ISERROR(VLOOKUP($S$372,'TAR FIN'!$A$1:$O$92,15,0)),0,VLOOKUP($S$372,'TAR FIN'!$A$1:$O$92,15,0))</f>
        <v>0</v>
      </c>
      <c r="W372" s="6">
        <f>IF(ISERROR(VLOOKUP($T$372,'TAR FIN'!$A$1:$O$92,15,0)),0,VLOOKUP($T$372,'TAR FIN'!$A$1:$O$92,15,0))</f>
        <v>301.99</v>
      </c>
      <c r="X372" s="6">
        <f>IF(ISERROR(VLOOKUP($U$372,'TAR FIN'!$A$1:$O$92,15,0)),0,VLOOKUP($U$372,'TAR FIN'!$A$1:$O$92,15,0))</f>
        <v>267.11</v>
      </c>
      <c r="Y372" s="6"/>
      <c r="Z372" s="6">
        <f ca="1">('TUSD BE'!$AM$37+'TUSD BF_350'!$AM$37+'TUSD CVA'!$AM$37)*(1-CUSTOS!$M$38)</f>
        <v>291.86059999999998</v>
      </c>
      <c r="AA372" s="6">
        <f ca="1">('TE BE'!$AB$25+'TE BF_350'!$AB$25+'TE CVA'!$AB$25)*(1-CUSTOS!$M$38)</f>
        <v>246.77819999999997</v>
      </c>
      <c r="AB372" s="6">
        <f>$K$372*$V$372</f>
        <v>0</v>
      </c>
      <c r="AC372" s="6">
        <f>$M$372*$W$372</f>
        <v>60.398000000000003</v>
      </c>
      <c r="AD372" s="6">
        <f>$O$372*$X$372</f>
        <v>53.422000000000004</v>
      </c>
      <c r="AE372" s="6">
        <f>$K$372*$Y$372</f>
        <v>0</v>
      </c>
      <c r="AF372" s="6">
        <f ca="1">$M$372*$Z$372</f>
        <v>58.372119999999995</v>
      </c>
      <c r="AG372" s="6">
        <f ca="1">$O$372*$AA$372</f>
        <v>49.355639999999994</v>
      </c>
    </row>
    <row r="373" spans="1:33" ht="11.25" customHeight="1" x14ac:dyDescent="0.3">
      <c r="A373" s="4" t="s">
        <v>21</v>
      </c>
      <c r="B373" s="4" t="s">
        <v>41</v>
      </c>
      <c r="C373" s="4" t="s">
        <v>23</v>
      </c>
      <c r="D373" s="4" t="s">
        <v>42</v>
      </c>
      <c r="E373" s="4" t="s">
        <v>50</v>
      </c>
      <c r="F373" s="4" t="s">
        <v>51</v>
      </c>
      <c r="G373" s="4" t="s">
        <v>25</v>
      </c>
      <c r="H373" s="4" t="s">
        <v>25</v>
      </c>
      <c r="I373" s="5">
        <v>44743</v>
      </c>
      <c r="J373" s="6">
        <v>0</v>
      </c>
      <c r="K373" s="6">
        <v>0</v>
      </c>
      <c r="L373" s="6">
        <v>0.22500000000000001</v>
      </c>
      <c r="M373" s="6">
        <v>0.22500000000000001</v>
      </c>
      <c r="N373" s="6">
        <v>0.22500000000000001</v>
      </c>
      <c r="O373" s="6">
        <v>0.22500000000000001</v>
      </c>
      <c r="P373" s="6">
        <v>0</v>
      </c>
      <c r="Q373" s="4" t="s">
        <v>26</v>
      </c>
      <c r="R373" s="4">
        <v>0</v>
      </c>
      <c r="S373" s="6">
        <v>0</v>
      </c>
      <c r="T373" s="6">
        <v>62</v>
      </c>
      <c r="U373" s="6">
        <v>23</v>
      </c>
      <c r="V373" s="6">
        <f>IF(ISERROR(VLOOKUP($S$373,'TAR FIN'!$A$1:$O$92,15,0)),0,VLOOKUP($S$373,'TAR FIN'!$A$1:$O$92,15,0))</f>
        <v>0</v>
      </c>
      <c r="W373" s="6">
        <f>IF(ISERROR(VLOOKUP($T$373,'TAR FIN'!$A$1:$O$92,15,0)),0,VLOOKUP($T$373,'TAR FIN'!$A$1:$O$92,15,0))</f>
        <v>301.99</v>
      </c>
      <c r="X373" s="6">
        <f>IF(ISERROR(VLOOKUP($U$373,'TAR FIN'!$A$1:$O$92,15,0)),0,VLOOKUP($U$373,'TAR FIN'!$A$1:$O$92,15,0))</f>
        <v>267.11</v>
      </c>
      <c r="Y373" s="6"/>
      <c r="Z373" s="6">
        <f ca="1">('TUSD BE'!$AM$37+'TUSD BF_350'!$AM$37+'TUSD CVA'!$AM$37)*(1-CUSTOS!$M$38)</f>
        <v>291.86059999999998</v>
      </c>
      <c r="AA373" s="6">
        <f ca="1">('TE BE'!$AB$25+'TE BF_350'!$AB$25+'TE CVA'!$AB$25)*(1-CUSTOS!$M$38)</f>
        <v>246.77819999999997</v>
      </c>
      <c r="AB373" s="6">
        <f>$K$373*$V$373</f>
        <v>0</v>
      </c>
      <c r="AC373" s="6">
        <f>$M$373*$W$373</f>
        <v>67.947749999999999</v>
      </c>
      <c r="AD373" s="6">
        <f>$O$373*$X$373</f>
        <v>60.099750000000007</v>
      </c>
      <c r="AE373" s="6">
        <f>$K$373*$Y$373</f>
        <v>0</v>
      </c>
      <c r="AF373" s="6">
        <f ca="1">$M$373*$Z$373</f>
        <v>65.668634999999995</v>
      </c>
      <c r="AG373" s="6">
        <f ca="1">$O$373*$AA$373</f>
        <v>55.525094999999993</v>
      </c>
    </row>
    <row r="374" spans="1:33" ht="11.25" customHeight="1" x14ac:dyDescent="0.3">
      <c r="A374" s="4" t="s">
        <v>21</v>
      </c>
      <c r="B374" s="4" t="s">
        <v>41</v>
      </c>
      <c r="C374" s="4" t="s">
        <v>23</v>
      </c>
      <c r="D374" s="4" t="s">
        <v>42</v>
      </c>
      <c r="E374" s="4" t="s">
        <v>50</v>
      </c>
      <c r="F374" s="4" t="s">
        <v>53</v>
      </c>
      <c r="G374" s="4" t="s">
        <v>25</v>
      </c>
      <c r="H374" s="4" t="s">
        <v>25</v>
      </c>
      <c r="I374" s="5">
        <v>44501</v>
      </c>
      <c r="J374" s="6">
        <v>0</v>
      </c>
      <c r="K374" s="6">
        <v>0</v>
      </c>
      <c r="L374" s="6">
        <v>1.9E-2</v>
      </c>
      <c r="M374" s="6">
        <v>7.6E-3</v>
      </c>
      <c r="N374" s="6">
        <v>1.9E-2</v>
      </c>
      <c r="O374" s="6">
        <v>7.6E-3</v>
      </c>
      <c r="P374" s="6">
        <v>0</v>
      </c>
      <c r="Q374" s="4" t="s">
        <v>26</v>
      </c>
      <c r="R374" s="4">
        <v>0</v>
      </c>
      <c r="S374" s="6">
        <v>0</v>
      </c>
      <c r="T374" s="6">
        <v>62</v>
      </c>
      <c r="U374" s="6">
        <v>23</v>
      </c>
      <c r="V374" s="6">
        <f>IF(ISERROR(VLOOKUP($S$374,'TAR FIN'!$A$1:$O$92,15,0)),0,VLOOKUP($S$374,'TAR FIN'!$A$1:$O$92,15,0))</f>
        <v>0</v>
      </c>
      <c r="W374" s="6">
        <f>IF(ISERROR(VLOOKUP($T$374,'TAR FIN'!$A$1:$O$92,15,0)),0,VLOOKUP($T$374,'TAR FIN'!$A$1:$O$92,15,0))</f>
        <v>301.99</v>
      </c>
      <c r="X374" s="6">
        <f>IF(ISERROR(VLOOKUP($U$374,'TAR FIN'!$A$1:$O$92,15,0)),0,VLOOKUP($U$374,'TAR FIN'!$A$1:$O$92,15,0))</f>
        <v>267.11</v>
      </c>
      <c r="Y374" s="6"/>
      <c r="Z374" s="6">
        <f ca="1">('TUSD BE'!$AM$37+'TUSD BF_350'!$AM$37+'TUSD CVA'!$AM$37)*(1-CUSTOS!$M$38)</f>
        <v>291.86059999999998</v>
      </c>
      <c r="AA374" s="6">
        <f ca="1">('TE BE'!$AB$25+'TE BF_350'!$AB$25+'TE CVA'!$AB$25)*(1-CUSTOS!$M$38)</f>
        <v>246.77819999999997</v>
      </c>
      <c r="AB374" s="6">
        <f>$K$374*$V$374</f>
        <v>0</v>
      </c>
      <c r="AC374" s="6">
        <f>$M$374*$W$374</f>
        <v>2.2951239999999999</v>
      </c>
      <c r="AD374" s="6">
        <f>$O$374*$X$374</f>
        <v>2.030036</v>
      </c>
      <c r="AE374" s="6">
        <f>$K$374*$Y$374</f>
        <v>0</v>
      </c>
      <c r="AF374" s="6">
        <f ca="1">$M$374*$Z$374</f>
        <v>2.2181405599999997</v>
      </c>
      <c r="AG374" s="6">
        <f ca="1">$O$374*$AA$374</f>
        <v>1.8755143199999997</v>
      </c>
    </row>
    <row r="375" spans="1:33" ht="11.25" customHeight="1" x14ac:dyDescent="0.3">
      <c r="A375" s="4" t="s">
        <v>21</v>
      </c>
      <c r="B375" s="4" t="s">
        <v>41</v>
      </c>
      <c r="C375" s="4" t="s">
        <v>23</v>
      </c>
      <c r="D375" s="4" t="s">
        <v>42</v>
      </c>
      <c r="E375" s="4" t="s">
        <v>50</v>
      </c>
      <c r="F375" s="4" t="s">
        <v>53</v>
      </c>
      <c r="G375" s="4" t="s">
        <v>25</v>
      </c>
      <c r="H375" s="4" t="s">
        <v>25</v>
      </c>
      <c r="I375" s="5">
        <v>44621</v>
      </c>
      <c r="J375" s="6">
        <v>0</v>
      </c>
      <c r="K375" s="6">
        <v>0</v>
      </c>
      <c r="L375" s="6">
        <v>0.93799999999999994</v>
      </c>
      <c r="M375" s="6">
        <v>0.37519999999999998</v>
      </c>
      <c r="N375" s="6">
        <v>0.93799999999999994</v>
      </c>
      <c r="O375" s="6">
        <v>0.37519999999999998</v>
      </c>
      <c r="P375" s="6">
        <v>0</v>
      </c>
      <c r="Q375" s="4" t="s">
        <v>26</v>
      </c>
      <c r="R375" s="4">
        <v>0</v>
      </c>
      <c r="S375" s="6">
        <v>0</v>
      </c>
      <c r="T375" s="6">
        <v>62</v>
      </c>
      <c r="U375" s="6">
        <v>23</v>
      </c>
      <c r="V375" s="6">
        <f>IF(ISERROR(VLOOKUP($S$375,'TAR FIN'!$A$1:$O$92,15,0)),0,VLOOKUP($S$375,'TAR FIN'!$A$1:$O$92,15,0))</f>
        <v>0</v>
      </c>
      <c r="W375" s="6">
        <f>IF(ISERROR(VLOOKUP($T$375,'TAR FIN'!$A$1:$O$92,15,0)),0,VLOOKUP($T$375,'TAR FIN'!$A$1:$O$92,15,0))</f>
        <v>301.99</v>
      </c>
      <c r="X375" s="6">
        <f>IF(ISERROR(VLOOKUP($U$375,'TAR FIN'!$A$1:$O$92,15,0)),0,VLOOKUP($U$375,'TAR FIN'!$A$1:$O$92,15,0))</f>
        <v>267.11</v>
      </c>
      <c r="Y375" s="6"/>
      <c r="Z375" s="6">
        <f ca="1">('TUSD BE'!$AM$37+'TUSD BF_350'!$AM$37+'TUSD CVA'!$AM$37)*(1-CUSTOS!$M$38)</f>
        <v>291.86059999999998</v>
      </c>
      <c r="AA375" s="6">
        <f ca="1">('TE BE'!$AB$25+'TE BF_350'!$AB$25+'TE CVA'!$AB$25)*(1-CUSTOS!$M$38)</f>
        <v>246.77819999999997</v>
      </c>
      <c r="AB375" s="6">
        <f>$K$375*$V$375</f>
        <v>0</v>
      </c>
      <c r="AC375" s="6">
        <f>$M$375*$W$375</f>
        <v>113.306648</v>
      </c>
      <c r="AD375" s="6">
        <f>$O$375*$X$375</f>
        <v>100.219672</v>
      </c>
      <c r="AE375" s="6">
        <f>$K$375*$Y$375</f>
        <v>0</v>
      </c>
      <c r="AF375" s="6">
        <f ca="1">$M$375*$Z$375</f>
        <v>109.50609711999998</v>
      </c>
      <c r="AG375" s="6">
        <f ca="1">$O$375*$AA$375</f>
        <v>92.591180639999976</v>
      </c>
    </row>
    <row r="376" spans="1:33" ht="11.25" customHeight="1" x14ac:dyDescent="0.3">
      <c r="A376" s="4" t="s">
        <v>21</v>
      </c>
      <c r="B376" s="4" t="s">
        <v>41</v>
      </c>
      <c r="C376" s="4" t="s">
        <v>23</v>
      </c>
      <c r="D376" s="4" t="s">
        <v>42</v>
      </c>
      <c r="E376" s="4" t="s">
        <v>50</v>
      </c>
      <c r="F376" s="4" t="s">
        <v>53</v>
      </c>
      <c r="G376" s="4" t="s">
        <v>25</v>
      </c>
      <c r="H376" s="4" t="s">
        <v>25</v>
      </c>
      <c r="I376" s="5">
        <v>44652</v>
      </c>
      <c r="J376" s="6">
        <v>0</v>
      </c>
      <c r="K376" s="6">
        <v>0</v>
      </c>
      <c r="L376" s="6">
        <v>0.309</v>
      </c>
      <c r="M376" s="6">
        <v>0.1236</v>
      </c>
      <c r="N376" s="6">
        <v>0.309</v>
      </c>
      <c r="O376" s="6">
        <v>0.1236</v>
      </c>
      <c r="P376" s="6">
        <v>0</v>
      </c>
      <c r="Q376" s="4" t="s">
        <v>26</v>
      </c>
      <c r="R376" s="4">
        <v>0</v>
      </c>
      <c r="S376" s="6">
        <v>0</v>
      </c>
      <c r="T376" s="6">
        <v>62</v>
      </c>
      <c r="U376" s="6">
        <v>23</v>
      </c>
      <c r="V376" s="6">
        <f>IF(ISERROR(VLOOKUP($S$376,'TAR FIN'!$A$1:$O$92,15,0)),0,VLOOKUP($S$376,'TAR FIN'!$A$1:$O$92,15,0))</f>
        <v>0</v>
      </c>
      <c r="W376" s="6">
        <f>IF(ISERROR(VLOOKUP($T$376,'TAR FIN'!$A$1:$O$92,15,0)),0,VLOOKUP($T$376,'TAR FIN'!$A$1:$O$92,15,0))</f>
        <v>301.99</v>
      </c>
      <c r="X376" s="6">
        <f>IF(ISERROR(VLOOKUP($U$376,'TAR FIN'!$A$1:$O$92,15,0)),0,VLOOKUP($U$376,'TAR FIN'!$A$1:$O$92,15,0))</f>
        <v>267.11</v>
      </c>
      <c r="Y376" s="6"/>
      <c r="Z376" s="6">
        <f ca="1">('TUSD BE'!$AM$37+'TUSD BF_350'!$AM$37+'TUSD CVA'!$AM$37)*(1-CUSTOS!$M$38)</f>
        <v>291.86059999999998</v>
      </c>
      <c r="AA376" s="6">
        <f ca="1">('TE BE'!$AB$25+'TE BF_350'!$AB$25+'TE CVA'!$AB$25)*(1-CUSTOS!$M$38)</f>
        <v>246.77819999999997</v>
      </c>
      <c r="AB376" s="6">
        <f>$K$376*$V$376</f>
        <v>0</v>
      </c>
      <c r="AC376" s="6">
        <f>$M$376*$W$376</f>
        <v>37.325963999999999</v>
      </c>
      <c r="AD376" s="6">
        <f>$O$376*$X$376</f>
        <v>33.014796000000004</v>
      </c>
      <c r="AE376" s="6">
        <f>$K$376*$Y$376</f>
        <v>0</v>
      </c>
      <c r="AF376" s="6">
        <f ca="1">$M$376*$Z$376</f>
        <v>36.073970159999995</v>
      </c>
      <c r="AG376" s="6">
        <f ca="1">$O$376*$AA$376</f>
        <v>30.501785519999995</v>
      </c>
    </row>
    <row r="377" spans="1:33" ht="11.25" customHeight="1" x14ac:dyDescent="0.3">
      <c r="A377" s="4" t="s">
        <v>21</v>
      </c>
      <c r="B377" s="4" t="s">
        <v>41</v>
      </c>
      <c r="C377" s="4" t="s">
        <v>23</v>
      </c>
      <c r="D377" s="4" t="s">
        <v>42</v>
      </c>
      <c r="E377" s="4" t="s">
        <v>52</v>
      </c>
      <c r="F377" s="4" t="s">
        <v>51</v>
      </c>
      <c r="G377" s="4" t="s">
        <v>25</v>
      </c>
      <c r="H377" s="4" t="s">
        <v>25</v>
      </c>
      <c r="I377" s="5">
        <v>44409</v>
      </c>
      <c r="J377" s="6">
        <v>0</v>
      </c>
      <c r="K377" s="6">
        <v>0</v>
      </c>
      <c r="L377" s="6">
        <v>0.96799999999999997</v>
      </c>
      <c r="M377" s="6">
        <v>0.96799999999999997</v>
      </c>
      <c r="N377" s="6">
        <v>0.96799999999999997</v>
      </c>
      <c r="O377" s="6">
        <v>0.96799999999999997</v>
      </c>
      <c r="P377" s="6">
        <v>0</v>
      </c>
      <c r="Q377" s="4" t="s">
        <v>26</v>
      </c>
      <c r="R377" s="4">
        <v>0</v>
      </c>
      <c r="S377" s="6">
        <v>0</v>
      </c>
      <c r="T377" s="6">
        <v>62</v>
      </c>
      <c r="U377" s="6">
        <v>23</v>
      </c>
      <c r="V377" s="6">
        <f>IF(ISERROR(VLOOKUP($S$377,'TAR FIN'!$A$1:$O$92,15,0)),0,VLOOKUP($S$377,'TAR FIN'!$A$1:$O$92,15,0))</f>
        <v>0</v>
      </c>
      <c r="W377" s="6">
        <f>IF(ISERROR(VLOOKUP($T$377,'TAR FIN'!$A$1:$O$92,15,0)),0,VLOOKUP($T$377,'TAR FIN'!$A$1:$O$92,15,0))</f>
        <v>301.99</v>
      </c>
      <c r="X377" s="6">
        <f>IF(ISERROR(VLOOKUP($U$377,'TAR FIN'!$A$1:$O$92,15,0)),0,VLOOKUP($U$377,'TAR FIN'!$A$1:$O$92,15,0))</f>
        <v>267.11</v>
      </c>
      <c r="Y377" s="6"/>
      <c r="Z377" s="6">
        <f ca="1">('TUSD BE'!$AM$37+'TUSD BF_350'!$AM$37+'TUSD CVA'!$AM$37)*(1-CUSTOS!$M$38)</f>
        <v>291.86059999999998</v>
      </c>
      <c r="AA377" s="6">
        <f ca="1">('TE BE'!$AB$25+'TE BF_350'!$AB$25+'TE CVA'!$AB$25)*(1-CUSTOS!$M$38)</f>
        <v>246.77819999999997</v>
      </c>
      <c r="AB377" s="6">
        <f>$K$377*$V$377</f>
        <v>0</v>
      </c>
      <c r="AC377" s="6">
        <f>$M$377*$W$377</f>
        <v>292.32632000000001</v>
      </c>
      <c r="AD377" s="6">
        <f>$O$377*$X$377</f>
        <v>258.56247999999999</v>
      </c>
      <c r="AE377" s="6">
        <f>$K$377*$Y$377</f>
        <v>0</v>
      </c>
      <c r="AF377" s="6">
        <f ca="1">$M$377*$Z$377</f>
        <v>282.52106079999999</v>
      </c>
      <c r="AG377" s="6">
        <f ca="1">$O$377*$AA$377</f>
        <v>238.88129759999995</v>
      </c>
    </row>
    <row r="378" spans="1:33" ht="11.25" customHeight="1" x14ac:dyDescent="0.3">
      <c r="A378" s="4" t="s">
        <v>21</v>
      </c>
      <c r="B378" s="4" t="s">
        <v>41</v>
      </c>
      <c r="C378" s="4" t="s">
        <v>23</v>
      </c>
      <c r="D378" s="4" t="s">
        <v>42</v>
      </c>
      <c r="E378" s="4" t="s">
        <v>52</v>
      </c>
      <c r="F378" s="4" t="s">
        <v>51</v>
      </c>
      <c r="G378" s="4" t="s">
        <v>25</v>
      </c>
      <c r="H378" s="4" t="s">
        <v>25</v>
      </c>
      <c r="I378" s="5">
        <v>44440</v>
      </c>
      <c r="J378" s="6">
        <v>0</v>
      </c>
      <c r="K378" s="6">
        <v>0</v>
      </c>
      <c r="L378" s="6">
        <v>0.85199999999999998</v>
      </c>
      <c r="M378" s="6">
        <v>0.85199999999999998</v>
      </c>
      <c r="N378" s="6">
        <v>0.85199999999999998</v>
      </c>
      <c r="O378" s="6">
        <v>0.85199999999999998</v>
      </c>
      <c r="P378" s="6">
        <v>0</v>
      </c>
      <c r="Q378" s="4" t="s">
        <v>26</v>
      </c>
      <c r="R378" s="4">
        <v>0</v>
      </c>
      <c r="S378" s="6">
        <v>0</v>
      </c>
      <c r="T378" s="6">
        <v>62</v>
      </c>
      <c r="U378" s="6">
        <v>23</v>
      </c>
      <c r="V378" s="6">
        <f>IF(ISERROR(VLOOKUP($S$378,'TAR FIN'!$A$1:$O$92,15,0)),0,VLOOKUP($S$378,'TAR FIN'!$A$1:$O$92,15,0))</f>
        <v>0</v>
      </c>
      <c r="W378" s="6">
        <f>IF(ISERROR(VLOOKUP($T$378,'TAR FIN'!$A$1:$O$92,15,0)),0,VLOOKUP($T$378,'TAR FIN'!$A$1:$O$92,15,0))</f>
        <v>301.99</v>
      </c>
      <c r="X378" s="6">
        <f>IF(ISERROR(VLOOKUP($U$378,'TAR FIN'!$A$1:$O$92,15,0)),0,VLOOKUP($U$378,'TAR FIN'!$A$1:$O$92,15,0))</f>
        <v>267.11</v>
      </c>
      <c r="Y378" s="6"/>
      <c r="Z378" s="6">
        <f ca="1">('TUSD BE'!$AM$37+'TUSD BF_350'!$AM$37+'TUSD CVA'!$AM$37)*(1-CUSTOS!$M$38)</f>
        <v>291.86059999999998</v>
      </c>
      <c r="AA378" s="6">
        <f ca="1">('TE BE'!$AB$25+'TE BF_350'!$AB$25+'TE CVA'!$AB$25)*(1-CUSTOS!$M$38)</f>
        <v>246.77819999999997</v>
      </c>
      <c r="AB378" s="6">
        <f>$K$378*$V$378</f>
        <v>0</v>
      </c>
      <c r="AC378" s="6">
        <f>$M$378*$W$378</f>
        <v>257.29548</v>
      </c>
      <c r="AD378" s="6">
        <f>$O$378*$X$378</f>
        <v>227.57772</v>
      </c>
      <c r="AE378" s="6">
        <f>$K$378*$Y$378</f>
        <v>0</v>
      </c>
      <c r="AF378" s="6">
        <f ca="1">$M$378*$Z$378</f>
        <v>248.66523119999997</v>
      </c>
      <c r="AG378" s="6">
        <f ca="1">$O$378*$AA$378</f>
        <v>210.25502639999996</v>
      </c>
    </row>
    <row r="379" spans="1:33" ht="11.25" customHeight="1" x14ac:dyDescent="0.3">
      <c r="A379" s="4" t="s">
        <v>21</v>
      </c>
      <c r="B379" s="4" t="s">
        <v>41</v>
      </c>
      <c r="C379" s="4" t="s">
        <v>23</v>
      </c>
      <c r="D379" s="4" t="s">
        <v>42</v>
      </c>
      <c r="E379" s="4" t="s">
        <v>52</v>
      </c>
      <c r="F379" s="4" t="s">
        <v>51</v>
      </c>
      <c r="G379" s="4" t="s">
        <v>25</v>
      </c>
      <c r="H379" s="4" t="s">
        <v>25</v>
      </c>
      <c r="I379" s="5">
        <v>44470</v>
      </c>
      <c r="J379" s="6">
        <v>0</v>
      </c>
      <c r="K379" s="6">
        <v>0</v>
      </c>
      <c r="L379" s="6">
        <v>1.4</v>
      </c>
      <c r="M379" s="6">
        <v>1.4</v>
      </c>
      <c r="N379" s="6">
        <v>1.4</v>
      </c>
      <c r="O379" s="6">
        <v>1.4</v>
      </c>
      <c r="P379" s="6">
        <v>0</v>
      </c>
      <c r="Q379" s="4" t="s">
        <v>26</v>
      </c>
      <c r="R379" s="4">
        <v>0</v>
      </c>
      <c r="S379" s="6">
        <v>0</v>
      </c>
      <c r="T379" s="6">
        <v>62</v>
      </c>
      <c r="U379" s="6">
        <v>23</v>
      </c>
      <c r="V379" s="6">
        <f>IF(ISERROR(VLOOKUP($S$379,'TAR FIN'!$A$1:$O$92,15,0)),0,VLOOKUP($S$379,'TAR FIN'!$A$1:$O$92,15,0))</f>
        <v>0</v>
      </c>
      <c r="W379" s="6">
        <f>IF(ISERROR(VLOOKUP($T$379,'TAR FIN'!$A$1:$O$92,15,0)),0,VLOOKUP($T$379,'TAR FIN'!$A$1:$O$92,15,0))</f>
        <v>301.99</v>
      </c>
      <c r="X379" s="6">
        <f>IF(ISERROR(VLOOKUP($U$379,'TAR FIN'!$A$1:$O$92,15,0)),0,VLOOKUP($U$379,'TAR FIN'!$A$1:$O$92,15,0))</f>
        <v>267.11</v>
      </c>
      <c r="Y379" s="6"/>
      <c r="Z379" s="6">
        <f ca="1">('TUSD BE'!$AM$37+'TUSD BF_350'!$AM$37+'TUSD CVA'!$AM$37)*(1-CUSTOS!$M$38)</f>
        <v>291.86059999999998</v>
      </c>
      <c r="AA379" s="6">
        <f ca="1">('TE BE'!$AB$25+'TE BF_350'!$AB$25+'TE CVA'!$AB$25)*(1-CUSTOS!$M$38)</f>
        <v>246.77819999999997</v>
      </c>
      <c r="AB379" s="6">
        <f>$K$379*$V$379</f>
        <v>0</v>
      </c>
      <c r="AC379" s="6">
        <f>$M$379*$W$379</f>
        <v>422.786</v>
      </c>
      <c r="AD379" s="6">
        <f>$O$379*$X$379</f>
        <v>373.95400000000001</v>
      </c>
      <c r="AE379" s="6">
        <f>$K$379*$Y$379</f>
        <v>0</v>
      </c>
      <c r="AF379" s="6">
        <f ca="1">$M$379*$Z$379</f>
        <v>408.60483999999997</v>
      </c>
      <c r="AG379" s="6">
        <f ca="1">$O$379*$AA$379</f>
        <v>345.48947999999996</v>
      </c>
    </row>
    <row r="380" spans="1:33" ht="11.25" customHeight="1" x14ac:dyDescent="0.3">
      <c r="A380" s="4" t="s">
        <v>21</v>
      </c>
      <c r="B380" s="4" t="s">
        <v>41</v>
      </c>
      <c r="C380" s="4" t="s">
        <v>23</v>
      </c>
      <c r="D380" s="4" t="s">
        <v>42</v>
      </c>
      <c r="E380" s="4" t="s">
        <v>52</v>
      </c>
      <c r="F380" s="4" t="s">
        <v>51</v>
      </c>
      <c r="G380" s="4" t="s">
        <v>25</v>
      </c>
      <c r="H380" s="4" t="s">
        <v>25</v>
      </c>
      <c r="I380" s="5">
        <v>44501</v>
      </c>
      <c r="J380" s="6">
        <v>0</v>
      </c>
      <c r="K380" s="6">
        <v>0</v>
      </c>
      <c r="L380" s="6">
        <v>0.52100000000000002</v>
      </c>
      <c r="M380" s="6">
        <v>0.52100000000000002</v>
      </c>
      <c r="N380" s="6">
        <v>0.52100000000000002</v>
      </c>
      <c r="O380" s="6">
        <v>0.52100000000000002</v>
      </c>
      <c r="P380" s="6">
        <v>0</v>
      </c>
      <c r="Q380" s="4" t="s">
        <v>26</v>
      </c>
      <c r="R380" s="4">
        <v>0</v>
      </c>
      <c r="S380" s="6">
        <v>0</v>
      </c>
      <c r="T380" s="6">
        <v>62</v>
      </c>
      <c r="U380" s="6">
        <v>23</v>
      </c>
      <c r="V380" s="6">
        <f>IF(ISERROR(VLOOKUP($S$380,'TAR FIN'!$A$1:$O$92,15,0)),0,VLOOKUP($S$380,'TAR FIN'!$A$1:$O$92,15,0))</f>
        <v>0</v>
      </c>
      <c r="W380" s="6">
        <f>IF(ISERROR(VLOOKUP($T$380,'TAR FIN'!$A$1:$O$92,15,0)),0,VLOOKUP($T$380,'TAR FIN'!$A$1:$O$92,15,0))</f>
        <v>301.99</v>
      </c>
      <c r="X380" s="6">
        <f>IF(ISERROR(VLOOKUP($U$380,'TAR FIN'!$A$1:$O$92,15,0)),0,VLOOKUP($U$380,'TAR FIN'!$A$1:$O$92,15,0))</f>
        <v>267.11</v>
      </c>
      <c r="Y380" s="6"/>
      <c r="Z380" s="6">
        <f ca="1">('TUSD BE'!$AM$37+'TUSD BF_350'!$AM$37+'TUSD CVA'!$AM$37)*(1-CUSTOS!$M$38)</f>
        <v>291.86059999999998</v>
      </c>
      <c r="AA380" s="6">
        <f ca="1">('TE BE'!$AB$25+'TE BF_350'!$AB$25+'TE CVA'!$AB$25)*(1-CUSTOS!$M$38)</f>
        <v>246.77819999999997</v>
      </c>
      <c r="AB380" s="6">
        <f>$K$380*$V$380</f>
        <v>0</v>
      </c>
      <c r="AC380" s="6">
        <f>$M$380*$W$380</f>
        <v>157.33679000000001</v>
      </c>
      <c r="AD380" s="6">
        <f>$O$380*$X$380</f>
        <v>139.16431</v>
      </c>
      <c r="AE380" s="6">
        <f>$K$380*$Y$380</f>
        <v>0</v>
      </c>
      <c r="AF380" s="6">
        <f ca="1">$M$380*$Z$380</f>
        <v>152.05937259999999</v>
      </c>
      <c r="AG380" s="6">
        <f ca="1">$O$380*$AA$380</f>
        <v>128.57144219999998</v>
      </c>
    </row>
    <row r="381" spans="1:33" ht="11.25" customHeight="1" x14ac:dyDescent="0.3">
      <c r="A381" s="4" t="s">
        <v>21</v>
      </c>
      <c r="B381" s="4" t="s">
        <v>41</v>
      </c>
      <c r="C381" s="4" t="s">
        <v>23</v>
      </c>
      <c r="D381" s="4" t="s">
        <v>42</v>
      </c>
      <c r="E381" s="4" t="s">
        <v>52</v>
      </c>
      <c r="F381" s="4" t="s">
        <v>51</v>
      </c>
      <c r="G381" s="4" t="s">
        <v>25</v>
      </c>
      <c r="H381" s="4" t="s">
        <v>25</v>
      </c>
      <c r="I381" s="5">
        <v>44531</v>
      </c>
      <c r="J381" s="6">
        <v>0</v>
      </c>
      <c r="K381" s="6">
        <v>0</v>
      </c>
      <c r="L381" s="6">
        <v>1.2849999999999999</v>
      </c>
      <c r="M381" s="6">
        <v>1.2849999999999999</v>
      </c>
      <c r="N381" s="6">
        <v>1.2849999999999999</v>
      </c>
      <c r="O381" s="6">
        <v>1.2849999999999999</v>
      </c>
      <c r="P381" s="6">
        <v>0</v>
      </c>
      <c r="Q381" s="4" t="s">
        <v>26</v>
      </c>
      <c r="R381" s="4">
        <v>0</v>
      </c>
      <c r="S381" s="6">
        <v>0</v>
      </c>
      <c r="T381" s="6">
        <v>62</v>
      </c>
      <c r="U381" s="6">
        <v>23</v>
      </c>
      <c r="V381" s="6">
        <f>IF(ISERROR(VLOOKUP($S$381,'TAR FIN'!$A$1:$O$92,15,0)),0,VLOOKUP($S$381,'TAR FIN'!$A$1:$O$92,15,0))</f>
        <v>0</v>
      </c>
      <c r="W381" s="6">
        <f>IF(ISERROR(VLOOKUP($T$381,'TAR FIN'!$A$1:$O$92,15,0)),0,VLOOKUP($T$381,'TAR FIN'!$A$1:$O$92,15,0))</f>
        <v>301.99</v>
      </c>
      <c r="X381" s="6">
        <f>IF(ISERROR(VLOOKUP($U$381,'TAR FIN'!$A$1:$O$92,15,0)),0,VLOOKUP($U$381,'TAR FIN'!$A$1:$O$92,15,0))</f>
        <v>267.11</v>
      </c>
      <c r="Y381" s="6"/>
      <c r="Z381" s="6">
        <f ca="1">('TUSD BE'!$AM$37+'TUSD BF_350'!$AM$37+'TUSD CVA'!$AM$37)*(1-CUSTOS!$M$38)</f>
        <v>291.86059999999998</v>
      </c>
      <c r="AA381" s="6">
        <f ca="1">('TE BE'!$AB$25+'TE BF_350'!$AB$25+'TE CVA'!$AB$25)*(1-CUSTOS!$M$38)</f>
        <v>246.77819999999997</v>
      </c>
      <c r="AB381" s="6">
        <f>$K$381*$V$381</f>
        <v>0</v>
      </c>
      <c r="AC381" s="6">
        <f>$M$381*$W$381</f>
        <v>388.05714999999998</v>
      </c>
      <c r="AD381" s="6">
        <f>$O$381*$X$381</f>
        <v>343.23635000000002</v>
      </c>
      <c r="AE381" s="6">
        <f>$K$381*$Y$381</f>
        <v>0</v>
      </c>
      <c r="AF381" s="6">
        <f ca="1">$M$381*$Z$381</f>
        <v>375.04087099999992</v>
      </c>
      <c r="AG381" s="6">
        <f ca="1">$O$381*$AA$381</f>
        <v>317.10998699999993</v>
      </c>
    </row>
    <row r="382" spans="1:33" ht="11.25" customHeight="1" x14ac:dyDescent="0.3">
      <c r="A382" s="4" t="s">
        <v>21</v>
      </c>
      <c r="B382" s="4" t="s">
        <v>41</v>
      </c>
      <c r="C382" s="4" t="s">
        <v>23</v>
      </c>
      <c r="D382" s="4" t="s">
        <v>42</v>
      </c>
      <c r="E382" s="4" t="s">
        <v>52</v>
      </c>
      <c r="F382" s="4" t="s">
        <v>51</v>
      </c>
      <c r="G382" s="4" t="s">
        <v>25</v>
      </c>
      <c r="H382" s="4" t="s">
        <v>25</v>
      </c>
      <c r="I382" s="5">
        <v>44562</v>
      </c>
      <c r="J382" s="6">
        <v>0</v>
      </c>
      <c r="K382" s="6">
        <v>0</v>
      </c>
      <c r="L382" s="6">
        <v>1.57</v>
      </c>
      <c r="M382" s="6">
        <v>1.57</v>
      </c>
      <c r="N382" s="6">
        <v>1.57</v>
      </c>
      <c r="O382" s="6">
        <v>1.57</v>
      </c>
      <c r="P382" s="6">
        <v>0</v>
      </c>
      <c r="Q382" s="4" t="s">
        <v>26</v>
      </c>
      <c r="R382" s="4">
        <v>0</v>
      </c>
      <c r="S382" s="6">
        <v>0</v>
      </c>
      <c r="T382" s="6">
        <v>62</v>
      </c>
      <c r="U382" s="6">
        <v>23</v>
      </c>
      <c r="V382" s="6">
        <f>IF(ISERROR(VLOOKUP($S$382,'TAR FIN'!$A$1:$O$92,15,0)),0,VLOOKUP($S$382,'TAR FIN'!$A$1:$O$92,15,0))</f>
        <v>0</v>
      </c>
      <c r="W382" s="6">
        <f>IF(ISERROR(VLOOKUP($T$382,'TAR FIN'!$A$1:$O$92,15,0)),0,VLOOKUP($T$382,'TAR FIN'!$A$1:$O$92,15,0))</f>
        <v>301.99</v>
      </c>
      <c r="X382" s="6">
        <f>IF(ISERROR(VLOOKUP($U$382,'TAR FIN'!$A$1:$O$92,15,0)),0,VLOOKUP($U$382,'TAR FIN'!$A$1:$O$92,15,0))</f>
        <v>267.11</v>
      </c>
      <c r="Y382" s="6"/>
      <c r="Z382" s="6">
        <f ca="1">('TUSD BE'!$AM$37+'TUSD BF_350'!$AM$37+'TUSD CVA'!$AM$37)*(1-CUSTOS!$M$38)</f>
        <v>291.86059999999998</v>
      </c>
      <c r="AA382" s="6">
        <f ca="1">('TE BE'!$AB$25+'TE BF_350'!$AB$25+'TE CVA'!$AB$25)*(1-CUSTOS!$M$38)</f>
        <v>246.77819999999997</v>
      </c>
      <c r="AB382" s="6">
        <f>$K$382*$V$382</f>
        <v>0</v>
      </c>
      <c r="AC382" s="6">
        <f>$M$382*$W$382</f>
        <v>474.12430000000001</v>
      </c>
      <c r="AD382" s="6">
        <f>$O$382*$X$382</f>
        <v>419.36270000000002</v>
      </c>
      <c r="AE382" s="6">
        <f>$K$382*$Y$382</f>
        <v>0</v>
      </c>
      <c r="AF382" s="6">
        <f ca="1">$M$382*$Z$382</f>
        <v>458.22114199999999</v>
      </c>
      <c r="AG382" s="6">
        <f ca="1">$O$382*$AA$382</f>
        <v>387.44177399999995</v>
      </c>
    </row>
    <row r="383" spans="1:33" ht="11.25" customHeight="1" x14ac:dyDescent="0.3">
      <c r="A383" s="4" t="s">
        <v>21</v>
      </c>
      <c r="B383" s="4" t="s">
        <v>41</v>
      </c>
      <c r="C383" s="4" t="s">
        <v>23</v>
      </c>
      <c r="D383" s="4" t="s">
        <v>42</v>
      </c>
      <c r="E383" s="4" t="s">
        <v>52</v>
      </c>
      <c r="F383" s="4" t="s">
        <v>51</v>
      </c>
      <c r="G383" s="4" t="s">
        <v>25</v>
      </c>
      <c r="H383" s="4" t="s">
        <v>25</v>
      </c>
      <c r="I383" s="5">
        <v>44593</v>
      </c>
      <c r="J383" s="6">
        <v>0</v>
      </c>
      <c r="K383" s="6">
        <v>0</v>
      </c>
      <c r="L383" s="6">
        <v>1.621</v>
      </c>
      <c r="M383" s="6">
        <v>1.621</v>
      </c>
      <c r="N383" s="6">
        <v>1.621</v>
      </c>
      <c r="O383" s="6">
        <v>1.621</v>
      </c>
      <c r="P383" s="6">
        <v>0</v>
      </c>
      <c r="Q383" s="4" t="s">
        <v>26</v>
      </c>
      <c r="R383" s="4">
        <v>0</v>
      </c>
      <c r="S383" s="6">
        <v>0</v>
      </c>
      <c r="T383" s="6">
        <v>62</v>
      </c>
      <c r="U383" s="6">
        <v>23</v>
      </c>
      <c r="V383" s="6">
        <f>IF(ISERROR(VLOOKUP($S$383,'TAR FIN'!$A$1:$O$92,15,0)),0,VLOOKUP($S$383,'TAR FIN'!$A$1:$O$92,15,0))</f>
        <v>0</v>
      </c>
      <c r="W383" s="6">
        <f>IF(ISERROR(VLOOKUP($T$383,'TAR FIN'!$A$1:$O$92,15,0)),0,VLOOKUP($T$383,'TAR FIN'!$A$1:$O$92,15,0))</f>
        <v>301.99</v>
      </c>
      <c r="X383" s="6">
        <f>IF(ISERROR(VLOOKUP($U$383,'TAR FIN'!$A$1:$O$92,15,0)),0,VLOOKUP($U$383,'TAR FIN'!$A$1:$O$92,15,0))</f>
        <v>267.11</v>
      </c>
      <c r="Y383" s="6"/>
      <c r="Z383" s="6">
        <f ca="1">('TUSD BE'!$AM$37+'TUSD BF_350'!$AM$37+'TUSD CVA'!$AM$37)*(1-CUSTOS!$M$38)</f>
        <v>291.86059999999998</v>
      </c>
      <c r="AA383" s="6">
        <f ca="1">('TE BE'!$AB$25+'TE BF_350'!$AB$25+'TE CVA'!$AB$25)*(1-CUSTOS!$M$38)</f>
        <v>246.77819999999997</v>
      </c>
      <c r="AB383" s="6">
        <f>$K$383*$V$383</f>
        <v>0</v>
      </c>
      <c r="AC383" s="6">
        <f>$M$383*$W$383</f>
        <v>489.52579000000003</v>
      </c>
      <c r="AD383" s="6">
        <f>$O$383*$X$383</f>
        <v>432.98531000000003</v>
      </c>
      <c r="AE383" s="6">
        <f>$K$383*$Y$383</f>
        <v>0</v>
      </c>
      <c r="AF383" s="6">
        <f ca="1">$M$383*$Z$383</f>
        <v>473.10603259999993</v>
      </c>
      <c r="AG383" s="6">
        <f ca="1">$O$383*$AA$383</f>
        <v>400.02746219999995</v>
      </c>
    </row>
    <row r="384" spans="1:33" ht="11.25" customHeight="1" x14ac:dyDescent="0.3">
      <c r="A384" s="4" t="s">
        <v>21</v>
      </c>
      <c r="B384" s="4" t="s">
        <v>41</v>
      </c>
      <c r="C384" s="4" t="s">
        <v>23</v>
      </c>
      <c r="D384" s="4" t="s">
        <v>42</v>
      </c>
      <c r="E384" s="4" t="s">
        <v>52</v>
      </c>
      <c r="F384" s="4" t="s">
        <v>51</v>
      </c>
      <c r="G384" s="4" t="s">
        <v>25</v>
      </c>
      <c r="H384" s="4" t="s">
        <v>25</v>
      </c>
      <c r="I384" s="5">
        <v>44621</v>
      </c>
      <c r="J384" s="6">
        <v>0</v>
      </c>
      <c r="K384" s="6">
        <v>0</v>
      </c>
      <c r="L384" s="6">
        <v>0.90700000000000003</v>
      </c>
      <c r="M384" s="6">
        <v>0.90700000000000003</v>
      </c>
      <c r="N384" s="6">
        <v>0.90700000000000003</v>
      </c>
      <c r="O384" s="6">
        <v>0.90700000000000003</v>
      </c>
      <c r="P384" s="6">
        <v>0</v>
      </c>
      <c r="Q384" s="4" t="s">
        <v>26</v>
      </c>
      <c r="R384" s="4">
        <v>0</v>
      </c>
      <c r="S384" s="6">
        <v>0</v>
      </c>
      <c r="T384" s="6">
        <v>62</v>
      </c>
      <c r="U384" s="6">
        <v>23</v>
      </c>
      <c r="V384" s="6">
        <f>IF(ISERROR(VLOOKUP($S$384,'TAR FIN'!$A$1:$O$92,15,0)),0,VLOOKUP($S$384,'TAR FIN'!$A$1:$O$92,15,0))</f>
        <v>0</v>
      </c>
      <c r="W384" s="6">
        <f>IF(ISERROR(VLOOKUP($T$384,'TAR FIN'!$A$1:$O$92,15,0)),0,VLOOKUP($T$384,'TAR FIN'!$A$1:$O$92,15,0))</f>
        <v>301.99</v>
      </c>
      <c r="X384" s="6">
        <f>IF(ISERROR(VLOOKUP($U$384,'TAR FIN'!$A$1:$O$92,15,0)),0,VLOOKUP($U$384,'TAR FIN'!$A$1:$O$92,15,0))</f>
        <v>267.11</v>
      </c>
      <c r="Y384" s="6"/>
      <c r="Z384" s="6">
        <f ca="1">('TUSD BE'!$AM$37+'TUSD BF_350'!$AM$37+'TUSD CVA'!$AM$37)*(1-CUSTOS!$M$38)</f>
        <v>291.86059999999998</v>
      </c>
      <c r="AA384" s="6">
        <f ca="1">('TE BE'!$AB$25+'TE BF_350'!$AB$25+'TE CVA'!$AB$25)*(1-CUSTOS!$M$38)</f>
        <v>246.77819999999997</v>
      </c>
      <c r="AB384" s="6">
        <f>$K$384*$V$384</f>
        <v>0</v>
      </c>
      <c r="AC384" s="6">
        <f>$M$384*$W$384</f>
        <v>273.90493000000004</v>
      </c>
      <c r="AD384" s="6">
        <f>$O$384*$X$384</f>
        <v>242.26877000000002</v>
      </c>
      <c r="AE384" s="6">
        <f>$K$384*$Y$384</f>
        <v>0</v>
      </c>
      <c r="AF384" s="6">
        <f ca="1">$M$384*$Z$384</f>
        <v>264.71756419999997</v>
      </c>
      <c r="AG384" s="6">
        <f ca="1">$O$384*$AA$384</f>
        <v>223.82782739999999</v>
      </c>
    </row>
    <row r="385" spans="1:33" ht="11.25" customHeight="1" x14ac:dyDescent="0.3">
      <c r="A385" s="4" t="s">
        <v>21</v>
      </c>
      <c r="B385" s="4" t="s">
        <v>41</v>
      </c>
      <c r="C385" s="4" t="s">
        <v>23</v>
      </c>
      <c r="D385" s="4" t="s">
        <v>42</v>
      </c>
      <c r="E385" s="4" t="s">
        <v>52</v>
      </c>
      <c r="F385" s="4" t="s">
        <v>51</v>
      </c>
      <c r="G385" s="4" t="s">
        <v>25</v>
      </c>
      <c r="H385" s="4" t="s">
        <v>25</v>
      </c>
      <c r="I385" s="5">
        <v>44652</v>
      </c>
      <c r="J385" s="6">
        <v>0</v>
      </c>
      <c r="K385" s="6">
        <v>0</v>
      </c>
      <c r="L385" s="6">
        <v>1.081</v>
      </c>
      <c r="M385" s="6">
        <v>1.081</v>
      </c>
      <c r="N385" s="6">
        <v>1.081</v>
      </c>
      <c r="O385" s="6">
        <v>1.081</v>
      </c>
      <c r="P385" s="6">
        <v>0</v>
      </c>
      <c r="Q385" s="4" t="s">
        <v>26</v>
      </c>
      <c r="R385" s="4">
        <v>0</v>
      </c>
      <c r="S385" s="6">
        <v>0</v>
      </c>
      <c r="T385" s="6">
        <v>62</v>
      </c>
      <c r="U385" s="6">
        <v>23</v>
      </c>
      <c r="V385" s="6">
        <f>IF(ISERROR(VLOOKUP($S$385,'TAR FIN'!$A$1:$O$92,15,0)),0,VLOOKUP($S$385,'TAR FIN'!$A$1:$O$92,15,0))</f>
        <v>0</v>
      </c>
      <c r="W385" s="6">
        <f>IF(ISERROR(VLOOKUP($T$385,'TAR FIN'!$A$1:$O$92,15,0)),0,VLOOKUP($T$385,'TAR FIN'!$A$1:$O$92,15,0))</f>
        <v>301.99</v>
      </c>
      <c r="X385" s="6">
        <f>IF(ISERROR(VLOOKUP($U$385,'TAR FIN'!$A$1:$O$92,15,0)),0,VLOOKUP($U$385,'TAR FIN'!$A$1:$O$92,15,0))</f>
        <v>267.11</v>
      </c>
      <c r="Y385" s="6"/>
      <c r="Z385" s="6">
        <f ca="1">('TUSD BE'!$AM$37+'TUSD BF_350'!$AM$37+'TUSD CVA'!$AM$37)*(1-CUSTOS!$M$38)</f>
        <v>291.86059999999998</v>
      </c>
      <c r="AA385" s="6">
        <f ca="1">('TE BE'!$AB$25+'TE BF_350'!$AB$25+'TE CVA'!$AB$25)*(1-CUSTOS!$M$38)</f>
        <v>246.77819999999997</v>
      </c>
      <c r="AB385" s="6">
        <f>$K$385*$V$385</f>
        <v>0</v>
      </c>
      <c r="AC385" s="6">
        <f>$M$385*$W$385</f>
        <v>326.45119</v>
      </c>
      <c r="AD385" s="6">
        <f>$O$385*$X$385</f>
        <v>288.74590999999998</v>
      </c>
      <c r="AE385" s="6">
        <f>$K$385*$Y$385</f>
        <v>0</v>
      </c>
      <c r="AF385" s="6">
        <f ca="1">$M$385*$Z$385</f>
        <v>315.50130859999996</v>
      </c>
      <c r="AG385" s="6">
        <f ca="1">$O$385*$AA$385</f>
        <v>266.76723419999996</v>
      </c>
    </row>
    <row r="386" spans="1:33" ht="11.25" customHeight="1" x14ac:dyDescent="0.3">
      <c r="A386" s="4" t="s">
        <v>21</v>
      </c>
      <c r="B386" s="4" t="s">
        <v>41</v>
      </c>
      <c r="C386" s="4" t="s">
        <v>23</v>
      </c>
      <c r="D386" s="4" t="s">
        <v>42</v>
      </c>
      <c r="E386" s="4" t="s">
        <v>52</v>
      </c>
      <c r="F386" s="4" t="s">
        <v>51</v>
      </c>
      <c r="G386" s="4" t="s">
        <v>25</v>
      </c>
      <c r="H386" s="4" t="s">
        <v>25</v>
      </c>
      <c r="I386" s="5">
        <v>44682</v>
      </c>
      <c r="J386" s="6">
        <v>0</v>
      </c>
      <c r="K386" s="6">
        <v>0</v>
      </c>
      <c r="L386" s="6">
        <v>1.173</v>
      </c>
      <c r="M386" s="6">
        <v>1.173</v>
      </c>
      <c r="N386" s="6">
        <v>1.173</v>
      </c>
      <c r="O386" s="6">
        <v>1.173</v>
      </c>
      <c r="P386" s="6">
        <v>0</v>
      </c>
      <c r="Q386" s="4" t="s">
        <v>26</v>
      </c>
      <c r="R386" s="4">
        <v>0</v>
      </c>
      <c r="S386" s="6">
        <v>0</v>
      </c>
      <c r="T386" s="6">
        <v>62</v>
      </c>
      <c r="U386" s="6">
        <v>23</v>
      </c>
      <c r="V386" s="6">
        <f>IF(ISERROR(VLOOKUP($S$386,'TAR FIN'!$A$1:$O$92,15,0)),0,VLOOKUP($S$386,'TAR FIN'!$A$1:$O$92,15,0))</f>
        <v>0</v>
      </c>
      <c r="W386" s="6">
        <f>IF(ISERROR(VLOOKUP($T$386,'TAR FIN'!$A$1:$O$92,15,0)),0,VLOOKUP($T$386,'TAR FIN'!$A$1:$O$92,15,0))</f>
        <v>301.99</v>
      </c>
      <c r="X386" s="6">
        <f>IF(ISERROR(VLOOKUP($U$386,'TAR FIN'!$A$1:$O$92,15,0)),0,VLOOKUP($U$386,'TAR FIN'!$A$1:$O$92,15,0))</f>
        <v>267.11</v>
      </c>
      <c r="Y386" s="6"/>
      <c r="Z386" s="6">
        <f ca="1">('TUSD BE'!$AM$37+'TUSD BF_350'!$AM$37+'TUSD CVA'!$AM$37)*(1-CUSTOS!$M$38)</f>
        <v>291.86059999999998</v>
      </c>
      <c r="AA386" s="6">
        <f ca="1">('TE BE'!$AB$25+'TE BF_350'!$AB$25+'TE CVA'!$AB$25)*(1-CUSTOS!$M$38)</f>
        <v>246.77819999999997</v>
      </c>
      <c r="AB386" s="6">
        <f>$K$386*$V$386</f>
        <v>0</v>
      </c>
      <c r="AC386" s="6">
        <f>$M$386*$W$386</f>
        <v>354.23427000000004</v>
      </c>
      <c r="AD386" s="6">
        <f>$O$386*$X$386</f>
        <v>313.32003000000003</v>
      </c>
      <c r="AE386" s="6">
        <f>$K$386*$Y$386</f>
        <v>0</v>
      </c>
      <c r="AF386" s="6">
        <f ca="1">$M$386*$Z$386</f>
        <v>342.35248379999996</v>
      </c>
      <c r="AG386" s="6">
        <f ca="1">$O$386*$AA$386</f>
        <v>289.47082859999995</v>
      </c>
    </row>
    <row r="387" spans="1:33" ht="11.25" customHeight="1" x14ac:dyDescent="0.3">
      <c r="A387" s="4" t="s">
        <v>21</v>
      </c>
      <c r="B387" s="4" t="s">
        <v>41</v>
      </c>
      <c r="C387" s="4" t="s">
        <v>23</v>
      </c>
      <c r="D387" s="4" t="s">
        <v>42</v>
      </c>
      <c r="E387" s="4" t="s">
        <v>52</v>
      </c>
      <c r="F387" s="4" t="s">
        <v>51</v>
      </c>
      <c r="G387" s="4" t="s">
        <v>25</v>
      </c>
      <c r="H387" s="4" t="s">
        <v>25</v>
      </c>
      <c r="I387" s="5">
        <v>44713</v>
      </c>
      <c r="J387" s="6">
        <v>0</v>
      </c>
      <c r="K387" s="6">
        <v>0</v>
      </c>
      <c r="L387" s="6">
        <v>0.95299999999999996</v>
      </c>
      <c r="M387" s="6">
        <v>0.95299999999999996</v>
      </c>
      <c r="N387" s="6">
        <v>0.95299999999999996</v>
      </c>
      <c r="O387" s="6">
        <v>0.95299999999999996</v>
      </c>
      <c r="P387" s="6">
        <v>0</v>
      </c>
      <c r="Q387" s="4" t="s">
        <v>26</v>
      </c>
      <c r="R387" s="4">
        <v>0</v>
      </c>
      <c r="S387" s="6">
        <v>0</v>
      </c>
      <c r="T387" s="6">
        <v>62</v>
      </c>
      <c r="U387" s="6">
        <v>23</v>
      </c>
      <c r="V387" s="6">
        <f>IF(ISERROR(VLOOKUP($S$387,'TAR FIN'!$A$1:$O$92,15,0)),0,VLOOKUP($S$387,'TAR FIN'!$A$1:$O$92,15,0))</f>
        <v>0</v>
      </c>
      <c r="W387" s="6">
        <f>IF(ISERROR(VLOOKUP($T$387,'TAR FIN'!$A$1:$O$92,15,0)),0,VLOOKUP($T$387,'TAR FIN'!$A$1:$O$92,15,0))</f>
        <v>301.99</v>
      </c>
      <c r="X387" s="6">
        <f>IF(ISERROR(VLOOKUP($U$387,'TAR FIN'!$A$1:$O$92,15,0)),0,VLOOKUP($U$387,'TAR FIN'!$A$1:$O$92,15,0))</f>
        <v>267.11</v>
      </c>
      <c r="Y387" s="6"/>
      <c r="Z387" s="6">
        <f ca="1">('TUSD BE'!$AM$37+'TUSD BF_350'!$AM$37+'TUSD CVA'!$AM$37)*(1-CUSTOS!$M$38)</f>
        <v>291.86059999999998</v>
      </c>
      <c r="AA387" s="6">
        <f ca="1">('TE BE'!$AB$25+'TE BF_350'!$AB$25+'TE CVA'!$AB$25)*(1-CUSTOS!$M$38)</f>
        <v>246.77819999999997</v>
      </c>
      <c r="AB387" s="6">
        <f>$K$387*$V$387</f>
        <v>0</v>
      </c>
      <c r="AC387" s="6">
        <f>$M$387*$W$387</f>
        <v>287.79647</v>
      </c>
      <c r="AD387" s="6">
        <f>$O$387*$X$387</f>
        <v>254.55583000000001</v>
      </c>
      <c r="AE387" s="6">
        <f>$K$387*$Y$387</f>
        <v>0</v>
      </c>
      <c r="AF387" s="6">
        <f ca="1">$M$387*$Z$387</f>
        <v>278.14315179999994</v>
      </c>
      <c r="AG387" s="6">
        <f ca="1">$O$387*$AA$387</f>
        <v>235.17962459999995</v>
      </c>
    </row>
    <row r="388" spans="1:33" ht="11.25" customHeight="1" x14ac:dyDescent="0.3">
      <c r="A388" s="4" t="s">
        <v>21</v>
      </c>
      <c r="B388" s="4" t="s">
        <v>41</v>
      </c>
      <c r="C388" s="4" t="s">
        <v>23</v>
      </c>
      <c r="D388" s="4" t="s">
        <v>42</v>
      </c>
      <c r="E388" s="4" t="s">
        <v>52</v>
      </c>
      <c r="F388" s="4" t="s">
        <v>51</v>
      </c>
      <c r="G388" s="4" t="s">
        <v>25</v>
      </c>
      <c r="H388" s="4" t="s">
        <v>25</v>
      </c>
      <c r="I388" s="5">
        <v>44743</v>
      </c>
      <c r="J388" s="6">
        <v>0</v>
      </c>
      <c r="K388" s="6">
        <v>0</v>
      </c>
      <c r="L388" s="6">
        <v>0.73699999999999999</v>
      </c>
      <c r="M388" s="6">
        <v>0.73699999999999999</v>
      </c>
      <c r="N388" s="6">
        <v>0.73699999999999999</v>
      </c>
      <c r="O388" s="6">
        <v>0.73699999999999999</v>
      </c>
      <c r="P388" s="6">
        <v>0</v>
      </c>
      <c r="Q388" s="4" t="s">
        <v>26</v>
      </c>
      <c r="R388" s="4">
        <v>0</v>
      </c>
      <c r="S388" s="6">
        <v>0</v>
      </c>
      <c r="T388" s="6">
        <v>62</v>
      </c>
      <c r="U388" s="6">
        <v>23</v>
      </c>
      <c r="V388" s="6">
        <f>IF(ISERROR(VLOOKUP($S$388,'TAR FIN'!$A$1:$O$92,15,0)),0,VLOOKUP($S$388,'TAR FIN'!$A$1:$O$92,15,0))</f>
        <v>0</v>
      </c>
      <c r="W388" s="6">
        <f>IF(ISERROR(VLOOKUP($T$388,'TAR FIN'!$A$1:$O$92,15,0)),0,VLOOKUP($T$388,'TAR FIN'!$A$1:$O$92,15,0))</f>
        <v>301.99</v>
      </c>
      <c r="X388" s="6">
        <f>IF(ISERROR(VLOOKUP($U$388,'TAR FIN'!$A$1:$O$92,15,0)),0,VLOOKUP($U$388,'TAR FIN'!$A$1:$O$92,15,0))</f>
        <v>267.11</v>
      </c>
      <c r="Y388" s="6"/>
      <c r="Z388" s="6">
        <f ca="1">('TUSD BE'!$AM$37+'TUSD BF_350'!$AM$37+'TUSD CVA'!$AM$37)*(1-CUSTOS!$M$38)</f>
        <v>291.86059999999998</v>
      </c>
      <c r="AA388" s="6">
        <f ca="1">('TE BE'!$AB$25+'TE BF_350'!$AB$25+'TE CVA'!$AB$25)*(1-CUSTOS!$M$38)</f>
        <v>246.77819999999997</v>
      </c>
      <c r="AB388" s="6">
        <f>$K$388*$V$388</f>
        <v>0</v>
      </c>
      <c r="AC388" s="6">
        <f>$M$388*$W$388</f>
        <v>222.56663</v>
      </c>
      <c r="AD388" s="6">
        <f>$O$388*$X$388</f>
        <v>196.86007000000001</v>
      </c>
      <c r="AE388" s="6">
        <f>$K$388*$Y$388</f>
        <v>0</v>
      </c>
      <c r="AF388" s="6">
        <f ca="1">$M$388*$Z$388</f>
        <v>215.10126219999998</v>
      </c>
      <c r="AG388" s="6">
        <f ca="1">$O$388*$AA$388</f>
        <v>181.87553339999997</v>
      </c>
    </row>
    <row r="389" spans="1:33" ht="11.25" customHeight="1" x14ac:dyDescent="0.3">
      <c r="A389" s="4" t="s">
        <v>21</v>
      </c>
      <c r="B389" s="4" t="s">
        <v>41</v>
      </c>
      <c r="C389" s="4" t="s">
        <v>23</v>
      </c>
      <c r="D389" s="4" t="s">
        <v>42</v>
      </c>
      <c r="E389" s="4" t="s">
        <v>52</v>
      </c>
      <c r="F389" s="4" t="s">
        <v>53</v>
      </c>
      <c r="G389" s="4" t="s">
        <v>25</v>
      </c>
      <c r="H389" s="4" t="s">
        <v>25</v>
      </c>
      <c r="I389" s="5">
        <v>44409</v>
      </c>
      <c r="J389" s="6">
        <v>0</v>
      </c>
      <c r="K389" s="6">
        <v>0</v>
      </c>
      <c r="L389" s="6">
        <v>1.992</v>
      </c>
      <c r="M389" s="6">
        <v>0.79679999999999995</v>
      </c>
      <c r="N389" s="6">
        <v>1.992</v>
      </c>
      <c r="O389" s="6">
        <v>0.79679999999999995</v>
      </c>
      <c r="P389" s="6">
        <v>0</v>
      </c>
      <c r="Q389" s="4" t="s">
        <v>26</v>
      </c>
      <c r="R389" s="4">
        <v>0</v>
      </c>
      <c r="S389" s="6">
        <v>0</v>
      </c>
      <c r="T389" s="6">
        <v>62</v>
      </c>
      <c r="U389" s="6">
        <v>23</v>
      </c>
      <c r="V389" s="6">
        <f>IF(ISERROR(VLOOKUP($S$389,'TAR FIN'!$A$1:$O$92,15,0)),0,VLOOKUP($S$389,'TAR FIN'!$A$1:$O$92,15,0))</f>
        <v>0</v>
      </c>
      <c r="W389" s="6">
        <f>IF(ISERROR(VLOOKUP($T$389,'TAR FIN'!$A$1:$O$92,15,0)),0,VLOOKUP($T$389,'TAR FIN'!$A$1:$O$92,15,0))</f>
        <v>301.99</v>
      </c>
      <c r="X389" s="6">
        <f>IF(ISERROR(VLOOKUP($U$389,'TAR FIN'!$A$1:$O$92,15,0)),0,VLOOKUP($U$389,'TAR FIN'!$A$1:$O$92,15,0))</f>
        <v>267.11</v>
      </c>
      <c r="Y389" s="6"/>
      <c r="Z389" s="6">
        <f ca="1">('TUSD BE'!$AM$37+'TUSD BF_350'!$AM$37+'TUSD CVA'!$AM$37)*(1-CUSTOS!$M$38)</f>
        <v>291.86059999999998</v>
      </c>
      <c r="AA389" s="6">
        <f ca="1">('TE BE'!$AB$25+'TE BF_350'!$AB$25+'TE CVA'!$AB$25)*(1-CUSTOS!$M$38)</f>
        <v>246.77819999999997</v>
      </c>
      <c r="AB389" s="6">
        <f>$K$389*$V$389</f>
        <v>0</v>
      </c>
      <c r="AC389" s="6">
        <f>$M$389*$W$389</f>
        <v>240.625632</v>
      </c>
      <c r="AD389" s="6">
        <f>$O$389*$X$389</f>
        <v>212.833248</v>
      </c>
      <c r="AE389" s="6">
        <f>$K$389*$Y$389</f>
        <v>0</v>
      </c>
      <c r="AF389" s="6">
        <f ca="1">$M$389*$Z$389</f>
        <v>232.55452607999996</v>
      </c>
      <c r="AG389" s="6">
        <f ca="1">$O$389*$AA$389</f>
        <v>196.63286975999998</v>
      </c>
    </row>
    <row r="390" spans="1:33" ht="11.25" customHeight="1" x14ac:dyDescent="0.3">
      <c r="A390" s="4" t="s">
        <v>21</v>
      </c>
      <c r="B390" s="4" t="s">
        <v>41</v>
      </c>
      <c r="C390" s="4" t="s">
        <v>23</v>
      </c>
      <c r="D390" s="4" t="s">
        <v>42</v>
      </c>
      <c r="E390" s="4" t="s">
        <v>52</v>
      </c>
      <c r="F390" s="4" t="s">
        <v>53</v>
      </c>
      <c r="G390" s="4" t="s">
        <v>25</v>
      </c>
      <c r="H390" s="4" t="s">
        <v>25</v>
      </c>
      <c r="I390" s="5">
        <v>44440</v>
      </c>
      <c r="J390" s="6">
        <v>0</v>
      </c>
      <c r="K390" s="6">
        <v>0</v>
      </c>
      <c r="L390" s="6">
        <v>2.012</v>
      </c>
      <c r="M390" s="6">
        <v>0.80479999999999996</v>
      </c>
      <c r="N390" s="6">
        <v>2.012</v>
      </c>
      <c r="O390" s="6">
        <v>0.80479999999999996</v>
      </c>
      <c r="P390" s="6">
        <v>0</v>
      </c>
      <c r="Q390" s="4" t="s">
        <v>26</v>
      </c>
      <c r="R390" s="4">
        <v>0</v>
      </c>
      <c r="S390" s="6">
        <v>0</v>
      </c>
      <c r="T390" s="6">
        <v>62</v>
      </c>
      <c r="U390" s="6">
        <v>23</v>
      </c>
      <c r="V390" s="6">
        <f>IF(ISERROR(VLOOKUP($S$390,'TAR FIN'!$A$1:$O$92,15,0)),0,VLOOKUP($S$390,'TAR FIN'!$A$1:$O$92,15,0))</f>
        <v>0</v>
      </c>
      <c r="W390" s="6">
        <f>IF(ISERROR(VLOOKUP($T$390,'TAR FIN'!$A$1:$O$92,15,0)),0,VLOOKUP($T$390,'TAR FIN'!$A$1:$O$92,15,0))</f>
        <v>301.99</v>
      </c>
      <c r="X390" s="6">
        <f>IF(ISERROR(VLOOKUP($U$390,'TAR FIN'!$A$1:$O$92,15,0)),0,VLOOKUP($U$390,'TAR FIN'!$A$1:$O$92,15,0))</f>
        <v>267.11</v>
      </c>
      <c r="Y390" s="6"/>
      <c r="Z390" s="6">
        <f ca="1">('TUSD BE'!$AM$37+'TUSD BF_350'!$AM$37+'TUSD CVA'!$AM$37)*(1-CUSTOS!$M$38)</f>
        <v>291.86059999999998</v>
      </c>
      <c r="AA390" s="6">
        <f ca="1">('TE BE'!$AB$25+'TE BF_350'!$AB$25+'TE CVA'!$AB$25)*(1-CUSTOS!$M$38)</f>
        <v>246.77819999999997</v>
      </c>
      <c r="AB390" s="6">
        <f>$K$390*$V$390</f>
        <v>0</v>
      </c>
      <c r="AC390" s="6">
        <f>$M$390*$W$390</f>
        <v>243.041552</v>
      </c>
      <c r="AD390" s="6">
        <f>$O$390*$X$390</f>
        <v>214.97012799999999</v>
      </c>
      <c r="AE390" s="6">
        <f>$K$390*$Y$390</f>
        <v>0</v>
      </c>
      <c r="AF390" s="6">
        <f ca="1">$M$390*$Z$390</f>
        <v>234.88941087999996</v>
      </c>
      <c r="AG390" s="6">
        <f ca="1">$O$390*$AA$390</f>
        <v>198.60709535999996</v>
      </c>
    </row>
    <row r="391" spans="1:33" ht="11.25" customHeight="1" x14ac:dyDescent="0.3">
      <c r="A391" s="4" t="s">
        <v>21</v>
      </c>
      <c r="B391" s="4" t="s">
        <v>41</v>
      </c>
      <c r="C391" s="4" t="s">
        <v>23</v>
      </c>
      <c r="D391" s="4" t="s">
        <v>42</v>
      </c>
      <c r="E391" s="4" t="s">
        <v>52</v>
      </c>
      <c r="F391" s="4" t="s">
        <v>53</v>
      </c>
      <c r="G391" s="4" t="s">
        <v>25</v>
      </c>
      <c r="H391" s="4" t="s">
        <v>25</v>
      </c>
      <c r="I391" s="5">
        <v>44470</v>
      </c>
      <c r="J391" s="6">
        <v>0</v>
      </c>
      <c r="K391" s="6">
        <v>0</v>
      </c>
      <c r="L391" s="6">
        <v>1.7290000000000001</v>
      </c>
      <c r="M391" s="6">
        <v>0.69159999999999999</v>
      </c>
      <c r="N391" s="6">
        <v>1.7290000000000001</v>
      </c>
      <c r="O391" s="6">
        <v>0.69159999999999999</v>
      </c>
      <c r="P391" s="6">
        <v>0</v>
      </c>
      <c r="Q391" s="4" t="s">
        <v>26</v>
      </c>
      <c r="R391" s="4">
        <v>0</v>
      </c>
      <c r="S391" s="6">
        <v>0</v>
      </c>
      <c r="T391" s="6">
        <v>62</v>
      </c>
      <c r="U391" s="6">
        <v>23</v>
      </c>
      <c r="V391" s="6">
        <f>IF(ISERROR(VLOOKUP($S$391,'TAR FIN'!$A$1:$O$92,15,0)),0,VLOOKUP($S$391,'TAR FIN'!$A$1:$O$92,15,0))</f>
        <v>0</v>
      </c>
      <c r="W391" s="6">
        <f>IF(ISERROR(VLOOKUP($T$391,'TAR FIN'!$A$1:$O$92,15,0)),0,VLOOKUP($T$391,'TAR FIN'!$A$1:$O$92,15,0))</f>
        <v>301.99</v>
      </c>
      <c r="X391" s="6">
        <f>IF(ISERROR(VLOOKUP($U$391,'TAR FIN'!$A$1:$O$92,15,0)),0,VLOOKUP($U$391,'TAR FIN'!$A$1:$O$92,15,0))</f>
        <v>267.11</v>
      </c>
      <c r="Y391" s="6"/>
      <c r="Z391" s="6">
        <f ca="1">('TUSD BE'!$AM$37+'TUSD BF_350'!$AM$37+'TUSD CVA'!$AM$37)*(1-CUSTOS!$M$38)</f>
        <v>291.86059999999998</v>
      </c>
      <c r="AA391" s="6">
        <f ca="1">('TE BE'!$AB$25+'TE BF_350'!$AB$25+'TE CVA'!$AB$25)*(1-CUSTOS!$M$38)</f>
        <v>246.77819999999997</v>
      </c>
      <c r="AB391" s="6">
        <f>$K$391*$V$391</f>
        <v>0</v>
      </c>
      <c r="AC391" s="6">
        <f>$M$391*$W$391</f>
        <v>208.85628400000002</v>
      </c>
      <c r="AD391" s="6">
        <f>$O$391*$X$391</f>
        <v>184.73327600000002</v>
      </c>
      <c r="AE391" s="6">
        <f>$K$391*$Y$391</f>
        <v>0</v>
      </c>
      <c r="AF391" s="6">
        <f ca="1">$M$391*$Z$391</f>
        <v>201.85079095999998</v>
      </c>
      <c r="AG391" s="6">
        <f ca="1">$O$391*$AA$391</f>
        <v>170.67180311999996</v>
      </c>
    </row>
    <row r="392" spans="1:33" ht="11.25" customHeight="1" x14ac:dyDescent="0.3">
      <c r="A392" s="4" t="s">
        <v>21</v>
      </c>
      <c r="B392" s="4" t="s">
        <v>41</v>
      </c>
      <c r="C392" s="4" t="s">
        <v>23</v>
      </c>
      <c r="D392" s="4" t="s">
        <v>42</v>
      </c>
      <c r="E392" s="4" t="s">
        <v>52</v>
      </c>
      <c r="F392" s="4" t="s">
        <v>53</v>
      </c>
      <c r="G392" s="4" t="s">
        <v>25</v>
      </c>
      <c r="H392" s="4" t="s">
        <v>25</v>
      </c>
      <c r="I392" s="5">
        <v>44501</v>
      </c>
      <c r="J392" s="6">
        <v>0</v>
      </c>
      <c r="K392" s="6">
        <v>0</v>
      </c>
      <c r="L392" s="6">
        <v>0.91200000000000003</v>
      </c>
      <c r="M392" s="6">
        <v>0.36480000000000001</v>
      </c>
      <c r="N392" s="6">
        <v>0.91200000000000003</v>
      </c>
      <c r="O392" s="6">
        <v>0.36480000000000001</v>
      </c>
      <c r="P392" s="6">
        <v>0</v>
      </c>
      <c r="Q392" s="4" t="s">
        <v>26</v>
      </c>
      <c r="R392" s="4">
        <v>0</v>
      </c>
      <c r="S392" s="6">
        <v>0</v>
      </c>
      <c r="T392" s="6">
        <v>62</v>
      </c>
      <c r="U392" s="6">
        <v>23</v>
      </c>
      <c r="V392" s="6">
        <f>IF(ISERROR(VLOOKUP($S$392,'TAR FIN'!$A$1:$O$92,15,0)),0,VLOOKUP($S$392,'TAR FIN'!$A$1:$O$92,15,0))</f>
        <v>0</v>
      </c>
      <c r="W392" s="6">
        <f>IF(ISERROR(VLOOKUP($T$392,'TAR FIN'!$A$1:$O$92,15,0)),0,VLOOKUP($T$392,'TAR FIN'!$A$1:$O$92,15,0))</f>
        <v>301.99</v>
      </c>
      <c r="X392" s="6">
        <f>IF(ISERROR(VLOOKUP($U$392,'TAR FIN'!$A$1:$O$92,15,0)),0,VLOOKUP($U$392,'TAR FIN'!$A$1:$O$92,15,0))</f>
        <v>267.11</v>
      </c>
      <c r="Y392" s="6"/>
      <c r="Z392" s="6">
        <f ca="1">('TUSD BE'!$AM$37+'TUSD BF_350'!$AM$37+'TUSD CVA'!$AM$37)*(1-CUSTOS!$M$38)</f>
        <v>291.86059999999998</v>
      </c>
      <c r="AA392" s="6">
        <f ca="1">('TE BE'!$AB$25+'TE BF_350'!$AB$25+'TE CVA'!$AB$25)*(1-CUSTOS!$M$38)</f>
        <v>246.77819999999997</v>
      </c>
      <c r="AB392" s="6">
        <f>$K$392*$V$392</f>
        <v>0</v>
      </c>
      <c r="AC392" s="6">
        <f>$M$392*$W$392</f>
        <v>110.165952</v>
      </c>
      <c r="AD392" s="6">
        <f>$O$392*$X$392</f>
        <v>97.441728000000012</v>
      </c>
      <c r="AE392" s="6">
        <f>$K$392*$Y$392</f>
        <v>0</v>
      </c>
      <c r="AF392" s="6">
        <f ca="1">$M$392*$Z$392</f>
        <v>106.47074687999999</v>
      </c>
      <c r="AG392" s="6">
        <f ca="1">$O$392*$AA$392</f>
        <v>90.024687359999987</v>
      </c>
    </row>
    <row r="393" spans="1:33" ht="11.25" customHeight="1" x14ac:dyDescent="0.3">
      <c r="A393" s="4" t="s">
        <v>21</v>
      </c>
      <c r="B393" s="4" t="s">
        <v>41</v>
      </c>
      <c r="C393" s="4" t="s">
        <v>23</v>
      </c>
      <c r="D393" s="4" t="s">
        <v>42</v>
      </c>
      <c r="E393" s="4" t="s">
        <v>52</v>
      </c>
      <c r="F393" s="4" t="s">
        <v>53</v>
      </c>
      <c r="G393" s="4" t="s">
        <v>25</v>
      </c>
      <c r="H393" s="4" t="s">
        <v>25</v>
      </c>
      <c r="I393" s="5">
        <v>44531</v>
      </c>
      <c r="J393" s="6">
        <v>0</v>
      </c>
      <c r="K393" s="6">
        <v>0</v>
      </c>
      <c r="L393" s="6">
        <v>1.5309999999999999</v>
      </c>
      <c r="M393" s="6">
        <v>0.61240000000000006</v>
      </c>
      <c r="N393" s="6">
        <v>1.5309999999999999</v>
      </c>
      <c r="O393" s="6">
        <v>0.61240000000000006</v>
      </c>
      <c r="P393" s="6">
        <v>0</v>
      </c>
      <c r="Q393" s="4" t="s">
        <v>26</v>
      </c>
      <c r="R393" s="4">
        <v>0</v>
      </c>
      <c r="S393" s="6">
        <v>0</v>
      </c>
      <c r="T393" s="6">
        <v>62</v>
      </c>
      <c r="U393" s="6">
        <v>23</v>
      </c>
      <c r="V393" s="6">
        <f>IF(ISERROR(VLOOKUP($S$393,'TAR FIN'!$A$1:$O$92,15,0)),0,VLOOKUP($S$393,'TAR FIN'!$A$1:$O$92,15,0))</f>
        <v>0</v>
      </c>
      <c r="W393" s="6">
        <f>IF(ISERROR(VLOOKUP($T$393,'TAR FIN'!$A$1:$O$92,15,0)),0,VLOOKUP($T$393,'TAR FIN'!$A$1:$O$92,15,0))</f>
        <v>301.99</v>
      </c>
      <c r="X393" s="6">
        <f>IF(ISERROR(VLOOKUP($U$393,'TAR FIN'!$A$1:$O$92,15,0)),0,VLOOKUP($U$393,'TAR FIN'!$A$1:$O$92,15,0))</f>
        <v>267.11</v>
      </c>
      <c r="Y393" s="6"/>
      <c r="Z393" s="6">
        <f ca="1">('TUSD BE'!$AM$37+'TUSD BF_350'!$AM$37+'TUSD CVA'!$AM$37)*(1-CUSTOS!$M$38)</f>
        <v>291.86059999999998</v>
      </c>
      <c r="AA393" s="6">
        <f ca="1">('TE BE'!$AB$25+'TE BF_350'!$AB$25+'TE CVA'!$AB$25)*(1-CUSTOS!$M$38)</f>
        <v>246.77819999999997</v>
      </c>
      <c r="AB393" s="6">
        <f>$K$393*$V$393</f>
        <v>0</v>
      </c>
      <c r="AC393" s="6">
        <f>$M$393*$W$393</f>
        <v>184.93867600000002</v>
      </c>
      <c r="AD393" s="6">
        <f>$O$393*$X$393</f>
        <v>163.57816400000002</v>
      </c>
      <c r="AE393" s="6">
        <f>$K$393*$Y$393</f>
        <v>0</v>
      </c>
      <c r="AF393" s="6">
        <f ca="1">$M$393*$Z$393</f>
        <v>178.73543144000001</v>
      </c>
      <c r="AG393" s="6">
        <f ca="1">$O$393*$AA$393</f>
        <v>151.12696968</v>
      </c>
    </row>
    <row r="394" spans="1:33" ht="11.25" customHeight="1" x14ac:dyDescent="0.3">
      <c r="A394" s="4" t="s">
        <v>21</v>
      </c>
      <c r="B394" s="4" t="s">
        <v>41</v>
      </c>
      <c r="C394" s="4" t="s">
        <v>23</v>
      </c>
      <c r="D394" s="4" t="s">
        <v>42</v>
      </c>
      <c r="E394" s="4" t="s">
        <v>52</v>
      </c>
      <c r="F394" s="4" t="s">
        <v>53</v>
      </c>
      <c r="G394" s="4" t="s">
        <v>25</v>
      </c>
      <c r="H394" s="4" t="s">
        <v>25</v>
      </c>
      <c r="I394" s="5">
        <v>44562</v>
      </c>
      <c r="J394" s="6">
        <v>0</v>
      </c>
      <c r="K394" s="6">
        <v>0</v>
      </c>
      <c r="L394" s="6">
        <v>1.302</v>
      </c>
      <c r="M394" s="6">
        <v>0.52080000000000004</v>
      </c>
      <c r="N394" s="6">
        <v>1.302</v>
      </c>
      <c r="O394" s="6">
        <v>0.52080000000000004</v>
      </c>
      <c r="P394" s="6">
        <v>0</v>
      </c>
      <c r="Q394" s="4" t="s">
        <v>26</v>
      </c>
      <c r="R394" s="4">
        <v>0</v>
      </c>
      <c r="S394" s="6">
        <v>0</v>
      </c>
      <c r="T394" s="6">
        <v>62</v>
      </c>
      <c r="U394" s="6">
        <v>23</v>
      </c>
      <c r="V394" s="6">
        <f>IF(ISERROR(VLOOKUP($S$394,'TAR FIN'!$A$1:$O$92,15,0)),0,VLOOKUP($S$394,'TAR FIN'!$A$1:$O$92,15,0))</f>
        <v>0</v>
      </c>
      <c r="W394" s="6">
        <f>IF(ISERROR(VLOOKUP($T$394,'TAR FIN'!$A$1:$O$92,15,0)),0,VLOOKUP($T$394,'TAR FIN'!$A$1:$O$92,15,0))</f>
        <v>301.99</v>
      </c>
      <c r="X394" s="6">
        <f>IF(ISERROR(VLOOKUP($U$394,'TAR FIN'!$A$1:$O$92,15,0)),0,VLOOKUP($U$394,'TAR FIN'!$A$1:$O$92,15,0))</f>
        <v>267.11</v>
      </c>
      <c r="Y394" s="6"/>
      <c r="Z394" s="6">
        <f ca="1">('TUSD BE'!$AM$37+'TUSD BF_350'!$AM$37+'TUSD CVA'!$AM$37)*(1-CUSTOS!$M$38)</f>
        <v>291.86059999999998</v>
      </c>
      <c r="AA394" s="6">
        <f ca="1">('TE BE'!$AB$25+'TE BF_350'!$AB$25+'TE CVA'!$AB$25)*(1-CUSTOS!$M$38)</f>
        <v>246.77819999999997</v>
      </c>
      <c r="AB394" s="6">
        <f>$K$394*$V$394</f>
        <v>0</v>
      </c>
      <c r="AC394" s="6">
        <f>$M$394*$W$394</f>
        <v>157.27639200000002</v>
      </c>
      <c r="AD394" s="6">
        <f>$O$394*$X$394</f>
        <v>139.11088800000002</v>
      </c>
      <c r="AE394" s="6">
        <f>$K$394*$Y$394</f>
        <v>0</v>
      </c>
      <c r="AF394" s="6">
        <f ca="1">$M$394*$Z$394</f>
        <v>152.00100047999999</v>
      </c>
      <c r="AG394" s="6">
        <f ca="1">$O$394*$AA$394</f>
        <v>128.52208655999999</v>
      </c>
    </row>
    <row r="395" spans="1:33" ht="11.25" customHeight="1" x14ac:dyDescent="0.3">
      <c r="A395" s="4" t="s">
        <v>21</v>
      </c>
      <c r="B395" s="4" t="s">
        <v>41</v>
      </c>
      <c r="C395" s="4" t="s">
        <v>23</v>
      </c>
      <c r="D395" s="4" t="s">
        <v>42</v>
      </c>
      <c r="E395" s="4" t="s">
        <v>52</v>
      </c>
      <c r="F395" s="4" t="s">
        <v>53</v>
      </c>
      <c r="G395" s="4" t="s">
        <v>25</v>
      </c>
      <c r="H395" s="4" t="s">
        <v>25</v>
      </c>
      <c r="I395" s="5">
        <v>44593</v>
      </c>
      <c r="J395" s="6">
        <v>0</v>
      </c>
      <c r="K395" s="6">
        <v>0</v>
      </c>
      <c r="L395" s="6">
        <v>1.1479999999999999</v>
      </c>
      <c r="M395" s="6">
        <v>0.4592</v>
      </c>
      <c r="N395" s="6">
        <v>1.1479999999999999</v>
      </c>
      <c r="O395" s="6">
        <v>0.4592</v>
      </c>
      <c r="P395" s="6">
        <v>0</v>
      </c>
      <c r="Q395" s="4" t="s">
        <v>26</v>
      </c>
      <c r="R395" s="4">
        <v>0</v>
      </c>
      <c r="S395" s="6">
        <v>0</v>
      </c>
      <c r="T395" s="6">
        <v>62</v>
      </c>
      <c r="U395" s="6">
        <v>23</v>
      </c>
      <c r="V395" s="6">
        <f>IF(ISERROR(VLOOKUP($S$395,'TAR FIN'!$A$1:$O$92,15,0)),0,VLOOKUP($S$395,'TAR FIN'!$A$1:$O$92,15,0))</f>
        <v>0</v>
      </c>
      <c r="W395" s="6">
        <f>IF(ISERROR(VLOOKUP($T$395,'TAR FIN'!$A$1:$O$92,15,0)),0,VLOOKUP($T$395,'TAR FIN'!$A$1:$O$92,15,0))</f>
        <v>301.99</v>
      </c>
      <c r="X395" s="6">
        <f>IF(ISERROR(VLOOKUP($U$395,'TAR FIN'!$A$1:$O$92,15,0)),0,VLOOKUP($U$395,'TAR FIN'!$A$1:$O$92,15,0))</f>
        <v>267.11</v>
      </c>
      <c r="Y395" s="6"/>
      <c r="Z395" s="6">
        <f ca="1">('TUSD BE'!$AM$37+'TUSD BF_350'!$AM$37+'TUSD CVA'!$AM$37)*(1-CUSTOS!$M$38)</f>
        <v>291.86059999999998</v>
      </c>
      <c r="AA395" s="6">
        <f ca="1">('TE BE'!$AB$25+'TE BF_350'!$AB$25+'TE CVA'!$AB$25)*(1-CUSTOS!$M$38)</f>
        <v>246.77819999999997</v>
      </c>
      <c r="AB395" s="6">
        <f>$K$395*$V$395</f>
        <v>0</v>
      </c>
      <c r="AC395" s="6">
        <f>$M$395*$W$395</f>
        <v>138.67380800000001</v>
      </c>
      <c r="AD395" s="6">
        <f>$O$395*$X$395</f>
        <v>122.65691200000001</v>
      </c>
      <c r="AE395" s="6">
        <f>$K$395*$Y$395</f>
        <v>0</v>
      </c>
      <c r="AF395" s="6">
        <f ca="1">$M$395*$Z$395</f>
        <v>134.02238752</v>
      </c>
      <c r="AG395" s="6">
        <f ca="1">$O$395*$AA$395</f>
        <v>113.32054943999998</v>
      </c>
    </row>
    <row r="396" spans="1:33" ht="11.25" customHeight="1" x14ac:dyDescent="0.3">
      <c r="A396" s="4" t="s">
        <v>21</v>
      </c>
      <c r="B396" s="4" t="s">
        <v>41</v>
      </c>
      <c r="C396" s="4" t="s">
        <v>23</v>
      </c>
      <c r="D396" s="4" t="s">
        <v>42</v>
      </c>
      <c r="E396" s="4" t="s">
        <v>52</v>
      </c>
      <c r="F396" s="4" t="s">
        <v>53</v>
      </c>
      <c r="G396" s="4" t="s">
        <v>25</v>
      </c>
      <c r="H396" s="4" t="s">
        <v>25</v>
      </c>
      <c r="I396" s="5">
        <v>44621</v>
      </c>
      <c r="J396" s="6">
        <v>0</v>
      </c>
      <c r="K396" s="6">
        <v>0</v>
      </c>
      <c r="L396" s="6">
        <v>0.73399999999999999</v>
      </c>
      <c r="M396" s="6">
        <v>0.29360000000000003</v>
      </c>
      <c r="N396" s="6">
        <v>0.73399999999999999</v>
      </c>
      <c r="O396" s="6">
        <v>0.29360000000000003</v>
      </c>
      <c r="P396" s="6">
        <v>0</v>
      </c>
      <c r="Q396" s="4" t="s">
        <v>26</v>
      </c>
      <c r="R396" s="4">
        <v>0</v>
      </c>
      <c r="S396" s="6">
        <v>0</v>
      </c>
      <c r="T396" s="6">
        <v>62</v>
      </c>
      <c r="U396" s="6">
        <v>23</v>
      </c>
      <c r="V396" s="6">
        <f>IF(ISERROR(VLOOKUP($S$396,'TAR FIN'!$A$1:$O$92,15,0)),0,VLOOKUP($S$396,'TAR FIN'!$A$1:$O$92,15,0))</f>
        <v>0</v>
      </c>
      <c r="W396" s="6">
        <f>IF(ISERROR(VLOOKUP($T$396,'TAR FIN'!$A$1:$O$92,15,0)),0,VLOOKUP($T$396,'TAR FIN'!$A$1:$O$92,15,0))</f>
        <v>301.99</v>
      </c>
      <c r="X396" s="6">
        <f>IF(ISERROR(VLOOKUP($U$396,'TAR FIN'!$A$1:$O$92,15,0)),0,VLOOKUP($U$396,'TAR FIN'!$A$1:$O$92,15,0))</f>
        <v>267.11</v>
      </c>
      <c r="Y396" s="6"/>
      <c r="Z396" s="6">
        <f ca="1">('TUSD BE'!$AM$37+'TUSD BF_350'!$AM$37+'TUSD CVA'!$AM$37)*(1-CUSTOS!$M$38)</f>
        <v>291.86059999999998</v>
      </c>
      <c r="AA396" s="6">
        <f ca="1">('TE BE'!$AB$25+'TE BF_350'!$AB$25+'TE CVA'!$AB$25)*(1-CUSTOS!$M$38)</f>
        <v>246.77819999999997</v>
      </c>
      <c r="AB396" s="6">
        <f>$K$396*$V$396</f>
        <v>0</v>
      </c>
      <c r="AC396" s="6">
        <f>$M$396*$W$396</f>
        <v>88.664264000000017</v>
      </c>
      <c r="AD396" s="6">
        <f>$O$396*$X$396</f>
        <v>78.423496000000014</v>
      </c>
      <c r="AE396" s="6">
        <f>$K$396*$Y$396</f>
        <v>0</v>
      </c>
      <c r="AF396" s="6">
        <f ca="1">$M$396*$Z$396</f>
        <v>85.690272160000006</v>
      </c>
      <c r="AG396" s="6">
        <f ca="1">$O$396*$AA$396</f>
        <v>72.454079519999993</v>
      </c>
    </row>
    <row r="397" spans="1:33" ht="11.25" customHeight="1" x14ac:dyDescent="0.3">
      <c r="A397" s="4" t="s">
        <v>21</v>
      </c>
      <c r="B397" s="4" t="s">
        <v>41</v>
      </c>
      <c r="C397" s="4" t="s">
        <v>23</v>
      </c>
      <c r="D397" s="4" t="s">
        <v>42</v>
      </c>
      <c r="E397" s="4" t="s">
        <v>52</v>
      </c>
      <c r="F397" s="4" t="s">
        <v>53</v>
      </c>
      <c r="G397" s="4" t="s">
        <v>25</v>
      </c>
      <c r="H397" s="4" t="s">
        <v>25</v>
      </c>
      <c r="I397" s="5">
        <v>44652</v>
      </c>
      <c r="J397" s="6">
        <v>0</v>
      </c>
      <c r="K397" s="6">
        <v>0</v>
      </c>
      <c r="L397" s="6">
        <v>0.89300000000000002</v>
      </c>
      <c r="M397" s="6">
        <v>0.35720000000000002</v>
      </c>
      <c r="N397" s="6">
        <v>0.89300000000000002</v>
      </c>
      <c r="O397" s="6">
        <v>0.35720000000000002</v>
      </c>
      <c r="P397" s="6">
        <v>0</v>
      </c>
      <c r="Q397" s="4" t="s">
        <v>26</v>
      </c>
      <c r="R397" s="4">
        <v>0</v>
      </c>
      <c r="S397" s="6">
        <v>0</v>
      </c>
      <c r="T397" s="6">
        <v>62</v>
      </c>
      <c r="U397" s="6">
        <v>23</v>
      </c>
      <c r="V397" s="6">
        <f>IF(ISERROR(VLOOKUP($S$397,'TAR FIN'!$A$1:$O$92,15,0)),0,VLOOKUP($S$397,'TAR FIN'!$A$1:$O$92,15,0))</f>
        <v>0</v>
      </c>
      <c r="W397" s="6">
        <f>IF(ISERROR(VLOOKUP($T$397,'TAR FIN'!$A$1:$O$92,15,0)),0,VLOOKUP($T$397,'TAR FIN'!$A$1:$O$92,15,0))</f>
        <v>301.99</v>
      </c>
      <c r="X397" s="6">
        <f>IF(ISERROR(VLOOKUP($U$397,'TAR FIN'!$A$1:$O$92,15,0)),0,VLOOKUP($U$397,'TAR FIN'!$A$1:$O$92,15,0))</f>
        <v>267.11</v>
      </c>
      <c r="Y397" s="6"/>
      <c r="Z397" s="6">
        <f ca="1">('TUSD BE'!$AM$37+'TUSD BF_350'!$AM$37+'TUSD CVA'!$AM$37)*(1-CUSTOS!$M$38)</f>
        <v>291.86059999999998</v>
      </c>
      <c r="AA397" s="6">
        <f ca="1">('TE BE'!$AB$25+'TE BF_350'!$AB$25+'TE CVA'!$AB$25)*(1-CUSTOS!$M$38)</f>
        <v>246.77819999999997</v>
      </c>
      <c r="AB397" s="6">
        <f>$K$397*$V$397</f>
        <v>0</v>
      </c>
      <c r="AC397" s="6">
        <f>$M$397*$W$397</f>
        <v>107.870828</v>
      </c>
      <c r="AD397" s="6">
        <f>$O$397*$X$397</f>
        <v>95.411692000000016</v>
      </c>
      <c r="AE397" s="6">
        <f>$K$397*$Y$397</f>
        <v>0</v>
      </c>
      <c r="AF397" s="6">
        <f ca="1">$M$397*$Z$397</f>
        <v>104.25260632</v>
      </c>
      <c r="AG397" s="6">
        <f ca="1">$O$397*$AA$397</f>
        <v>88.149173039999994</v>
      </c>
    </row>
    <row r="398" spans="1:33" ht="11.25" customHeight="1" x14ac:dyDescent="0.3">
      <c r="A398" s="4" t="s">
        <v>21</v>
      </c>
      <c r="B398" s="4" t="s">
        <v>41</v>
      </c>
      <c r="C398" s="4" t="s">
        <v>23</v>
      </c>
      <c r="D398" s="4" t="s">
        <v>42</v>
      </c>
      <c r="E398" s="4" t="s">
        <v>52</v>
      </c>
      <c r="F398" s="4" t="s">
        <v>53</v>
      </c>
      <c r="G398" s="4" t="s">
        <v>25</v>
      </c>
      <c r="H398" s="4" t="s">
        <v>25</v>
      </c>
      <c r="I398" s="5">
        <v>44682</v>
      </c>
      <c r="J398" s="6">
        <v>0</v>
      </c>
      <c r="K398" s="6">
        <v>0</v>
      </c>
      <c r="L398" s="6">
        <v>1.534</v>
      </c>
      <c r="M398" s="6">
        <v>0.61360000000000003</v>
      </c>
      <c r="N398" s="6">
        <v>1.534</v>
      </c>
      <c r="O398" s="6">
        <v>0.61360000000000003</v>
      </c>
      <c r="P398" s="6">
        <v>0</v>
      </c>
      <c r="Q398" s="4" t="s">
        <v>26</v>
      </c>
      <c r="R398" s="4">
        <v>0</v>
      </c>
      <c r="S398" s="6">
        <v>0</v>
      </c>
      <c r="T398" s="6">
        <v>62</v>
      </c>
      <c r="U398" s="6">
        <v>23</v>
      </c>
      <c r="V398" s="6">
        <f>IF(ISERROR(VLOOKUP($S$398,'TAR FIN'!$A$1:$O$92,15,0)),0,VLOOKUP($S$398,'TAR FIN'!$A$1:$O$92,15,0))</f>
        <v>0</v>
      </c>
      <c r="W398" s="6">
        <f>IF(ISERROR(VLOOKUP($T$398,'TAR FIN'!$A$1:$O$92,15,0)),0,VLOOKUP($T$398,'TAR FIN'!$A$1:$O$92,15,0))</f>
        <v>301.99</v>
      </c>
      <c r="X398" s="6">
        <f>IF(ISERROR(VLOOKUP($U$398,'TAR FIN'!$A$1:$O$92,15,0)),0,VLOOKUP($U$398,'TAR FIN'!$A$1:$O$92,15,0))</f>
        <v>267.11</v>
      </c>
      <c r="Y398" s="6"/>
      <c r="Z398" s="6">
        <f ca="1">('TUSD BE'!$AM$37+'TUSD BF_350'!$AM$37+'TUSD CVA'!$AM$37)*(1-CUSTOS!$M$38)</f>
        <v>291.86059999999998</v>
      </c>
      <c r="AA398" s="6">
        <f ca="1">('TE BE'!$AB$25+'TE BF_350'!$AB$25+'TE CVA'!$AB$25)*(1-CUSTOS!$M$38)</f>
        <v>246.77819999999997</v>
      </c>
      <c r="AB398" s="6">
        <f>$K$398*$V$398</f>
        <v>0</v>
      </c>
      <c r="AC398" s="6">
        <f>$M$398*$W$398</f>
        <v>185.30106400000003</v>
      </c>
      <c r="AD398" s="6">
        <f>$O$398*$X$398</f>
        <v>163.89869600000003</v>
      </c>
      <c r="AE398" s="6">
        <f>$K$398*$Y$398</f>
        <v>0</v>
      </c>
      <c r="AF398" s="6">
        <f ca="1">$M$398*$Z$398</f>
        <v>179.08566415999999</v>
      </c>
      <c r="AG398" s="6">
        <f ca="1">$O$398*$AA$398</f>
        <v>151.42310351999998</v>
      </c>
    </row>
    <row r="399" spans="1:33" ht="11.25" customHeight="1" x14ac:dyDescent="0.3">
      <c r="A399" s="4" t="s">
        <v>21</v>
      </c>
      <c r="B399" s="4" t="s">
        <v>41</v>
      </c>
      <c r="C399" s="4" t="s">
        <v>23</v>
      </c>
      <c r="D399" s="4" t="s">
        <v>42</v>
      </c>
      <c r="E399" s="4" t="s">
        <v>52</v>
      </c>
      <c r="F399" s="4" t="s">
        <v>53</v>
      </c>
      <c r="G399" s="4" t="s">
        <v>25</v>
      </c>
      <c r="H399" s="4" t="s">
        <v>25</v>
      </c>
      <c r="I399" s="5">
        <v>44713</v>
      </c>
      <c r="J399" s="6">
        <v>0</v>
      </c>
      <c r="K399" s="6">
        <v>0</v>
      </c>
      <c r="L399" s="6">
        <v>1.4730000000000001</v>
      </c>
      <c r="M399" s="6">
        <v>0.58919999999999995</v>
      </c>
      <c r="N399" s="6">
        <v>1.4730000000000001</v>
      </c>
      <c r="O399" s="6">
        <v>0.58919999999999995</v>
      </c>
      <c r="P399" s="6">
        <v>0</v>
      </c>
      <c r="Q399" s="4" t="s">
        <v>26</v>
      </c>
      <c r="R399" s="4">
        <v>0</v>
      </c>
      <c r="S399" s="6">
        <v>0</v>
      </c>
      <c r="T399" s="6">
        <v>62</v>
      </c>
      <c r="U399" s="6">
        <v>23</v>
      </c>
      <c r="V399" s="6">
        <f>IF(ISERROR(VLOOKUP($S$399,'TAR FIN'!$A$1:$O$92,15,0)),0,VLOOKUP($S$399,'TAR FIN'!$A$1:$O$92,15,0))</f>
        <v>0</v>
      </c>
      <c r="W399" s="6">
        <f>IF(ISERROR(VLOOKUP($T$399,'TAR FIN'!$A$1:$O$92,15,0)),0,VLOOKUP($T$399,'TAR FIN'!$A$1:$O$92,15,0))</f>
        <v>301.99</v>
      </c>
      <c r="X399" s="6">
        <f>IF(ISERROR(VLOOKUP($U$399,'TAR FIN'!$A$1:$O$92,15,0)),0,VLOOKUP($U$399,'TAR FIN'!$A$1:$O$92,15,0))</f>
        <v>267.11</v>
      </c>
      <c r="Y399" s="6"/>
      <c r="Z399" s="6">
        <f ca="1">('TUSD BE'!$AM$37+'TUSD BF_350'!$AM$37+'TUSD CVA'!$AM$37)*(1-CUSTOS!$M$38)</f>
        <v>291.86059999999998</v>
      </c>
      <c r="AA399" s="6">
        <f ca="1">('TE BE'!$AB$25+'TE BF_350'!$AB$25+'TE CVA'!$AB$25)*(1-CUSTOS!$M$38)</f>
        <v>246.77819999999997</v>
      </c>
      <c r="AB399" s="6">
        <f>$K$399*$V$399</f>
        <v>0</v>
      </c>
      <c r="AC399" s="6">
        <f>$M$399*$W$399</f>
        <v>177.93250799999998</v>
      </c>
      <c r="AD399" s="6">
        <f>$O$399*$X$399</f>
        <v>157.381212</v>
      </c>
      <c r="AE399" s="6">
        <f>$K$399*$Y$399</f>
        <v>0</v>
      </c>
      <c r="AF399" s="6">
        <f ca="1">$M$399*$Z$399</f>
        <v>171.96426551999997</v>
      </c>
      <c r="AG399" s="6">
        <f ca="1">$O$399*$AA$399</f>
        <v>145.40171543999998</v>
      </c>
    </row>
    <row r="400" spans="1:33" ht="11.25" customHeight="1" x14ac:dyDescent="0.3">
      <c r="A400" s="4" t="s">
        <v>21</v>
      </c>
      <c r="B400" s="4" t="s">
        <v>41</v>
      </c>
      <c r="C400" s="4" t="s">
        <v>23</v>
      </c>
      <c r="D400" s="4" t="s">
        <v>42</v>
      </c>
      <c r="E400" s="4" t="s">
        <v>52</v>
      </c>
      <c r="F400" s="4" t="s">
        <v>53</v>
      </c>
      <c r="G400" s="4" t="s">
        <v>25</v>
      </c>
      <c r="H400" s="4" t="s">
        <v>25</v>
      </c>
      <c r="I400" s="5">
        <v>44743</v>
      </c>
      <c r="J400" s="6">
        <v>0</v>
      </c>
      <c r="K400" s="6">
        <v>0</v>
      </c>
      <c r="L400" s="6">
        <v>0.89500000000000002</v>
      </c>
      <c r="M400" s="6">
        <v>0.35799999999999998</v>
      </c>
      <c r="N400" s="6">
        <v>0.89500000000000002</v>
      </c>
      <c r="O400" s="6">
        <v>0.35799999999999998</v>
      </c>
      <c r="P400" s="6">
        <v>0</v>
      </c>
      <c r="Q400" s="4" t="s">
        <v>26</v>
      </c>
      <c r="R400" s="4">
        <v>0</v>
      </c>
      <c r="S400" s="6">
        <v>0</v>
      </c>
      <c r="T400" s="6">
        <v>62</v>
      </c>
      <c r="U400" s="6">
        <v>23</v>
      </c>
      <c r="V400" s="6">
        <f>IF(ISERROR(VLOOKUP($S$400,'TAR FIN'!$A$1:$O$92,15,0)),0,VLOOKUP($S$400,'TAR FIN'!$A$1:$O$92,15,0))</f>
        <v>0</v>
      </c>
      <c r="W400" s="6">
        <f>IF(ISERROR(VLOOKUP($T$400,'TAR FIN'!$A$1:$O$92,15,0)),0,VLOOKUP($T$400,'TAR FIN'!$A$1:$O$92,15,0))</f>
        <v>301.99</v>
      </c>
      <c r="X400" s="6">
        <f>IF(ISERROR(VLOOKUP($U$400,'TAR FIN'!$A$1:$O$92,15,0)),0,VLOOKUP($U$400,'TAR FIN'!$A$1:$O$92,15,0))</f>
        <v>267.11</v>
      </c>
      <c r="Y400" s="6"/>
      <c r="Z400" s="6">
        <f ca="1">('TUSD BE'!$AM$37+'TUSD BF_350'!$AM$37+'TUSD CVA'!$AM$37)*(1-CUSTOS!$M$38)</f>
        <v>291.86059999999998</v>
      </c>
      <c r="AA400" s="6">
        <f ca="1">('TE BE'!$AB$25+'TE BF_350'!$AB$25+'TE CVA'!$AB$25)*(1-CUSTOS!$M$38)</f>
        <v>246.77819999999997</v>
      </c>
      <c r="AB400" s="6">
        <f>$K$400*$V$400</f>
        <v>0</v>
      </c>
      <c r="AC400" s="6">
        <f>$M$400*$W$400</f>
        <v>108.11242</v>
      </c>
      <c r="AD400" s="6">
        <f>$O$400*$X$400</f>
        <v>95.625380000000007</v>
      </c>
      <c r="AE400" s="6">
        <f>$K$400*$Y$400</f>
        <v>0</v>
      </c>
      <c r="AF400" s="6">
        <f ca="1">$M$400*$Z$400</f>
        <v>104.48609479999999</v>
      </c>
      <c r="AG400" s="6">
        <f ca="1">$O$400*$AA$400</f>
        <v>88.346595599999986</v>
      </c>
    </row>
    <row r="401" spans="1:33" ht="11.25" customHeight="1" x14ac:dyDescent="0.3">
      <c r="A401" s="4" t="s">
        <v>21</v>
      </c>
      <c r="B401" s="4" t="s">
        <v>41</v>
      </c>
      <c r="C401" s="4" t="s">
        <v>23</v>
      </c>
      <c r="D401" s="4" t="s">
        <v>42</v>
      </c>
      <c r="E401" s="4" t="s">
        <v>25</v>
      </c>
      <c r="F401" s="4" t="s">
        <v>25</v>
      </c>
      <c r="G401" s="4" t="s">
        <v>25</v>
      </c>
      <c r="H401" s="4" t="s">
        <v>25</v>
      </c>
      <c r="I401" s="5">
        <v>44409</v>
      </c>
      <c r="J401" s="6">
        <v>0</v>
      </c>
      <c r="K401" s="6">
        <v>0</v>
      </c>
      <c r="L401" s="6">
        <v>201.24</v>
      </c>
      <c r="M401" s="6">
        <v>201.24</v>
      </c>
      <c r="N401" s="6">
        <v>201.24</v>
      </c>
      <c r="O401" s="6">
        <v>201.24</v>
      </c>
      <c r="P401" s="6">
        <v>794</v>
      </c>
      <c r="Q401" s="4" t="s">
        <v>26</v>
      </c>
      <c r="R401" s="4">
        <v>0</v>
      </c>
      <c r="S401" s="6">
        <v>0</v>
      </c>
      <c r="T401" s="6">
        <v>62</v>
      </c>
      <c r="U401" s="6">
        <v>23</v>
      </c>
      <c r="V401" s="6">
        <f>IF(ISERROR(VLOOKUP($S$401,'TAR FIN'!$A$1:$O$92,15,0)),0,VLOOKUP($S$401,'TAR FIN'!$A$1:$O$92,15,0))</f>
        <v>0</v>
      </c>
      <c r="W401" s="6">
        <f>IF(ISERROR(VLOOKUP($T$401,'TAR FIN'!$A$1:$O$92,15,0)),0,VLOOKUP($T$401,'TAR FIN'!$A$1:$O$92,15,0))</f>
        <v>301.99</v>
      </c>
      <c r="X401" s="6">
        <f>IF(ISERROR(VLOOKUP($U$401,'TAR FIN'!$A$1:$O$92,15,0)),0,VLOOKUP($U$401,'TAR FIN'!$A$1:$O$92,15,0))</f>
        <v>267.11</v>
      </c>
      <c r="Y401" s="6"/>
      <c r="Z401" s="6">
        <f ca="1">('TUSD BE'!$AM$37+'TUSD BF_350'!$AM$37+'TUSD CVA'!$AM$37)*(1-CUSTOS!$M$38)</f>
        <v>291.86059999999998</v>
      </c>
      <c r="AA401" s="6">
        <f ca="1">('TE BE'!$AB$25+'TE BF_350'!$AB$25+'TE CVA'!$AB$25)*(1-CUSTOS!$M$38)</f>
        <v>246.77819999999997</v>
      </c>
      <c r="AB401" s="6">
        <f>$K$401*$V$401</f>
        <v>0</v>
      </c>
      <c r="AC401" s="6">
        <f>$M$401*$W$401</f>
        <v>60772.467600000004</v>
      </c>
      <c r="AD401" s="6">
        <f>$O$401*$X$401</f>
        <v>53753.216400000005</v>
      </c>
      <c r="AE401" s="6">
        <f>$K$401*$Y$401</f>
        <v>0</v>
      </c>
      <c r="AF401" s="6">
        <f ca="1">$M$401*$Z$401</f>
        <v>58734.027144</v>
      </c>
      <c r="AG401" s="6">
        <f ca="1">$O$401*$AA$401</f>
        <v>49661.644967999993</v>
      </c>
    </row>
    <row r="402" spans="1:33" ht="11.25" customHeight="1" x14ac:dyDescent="0.3">
      <c r="A402" s="4" t="s">
        <v>27</v>
      </c>
      <c r="B402" s="4" t="s">
        <v>41</v>
      </c>
      <c r="C402" s="4" t="s">
        <v>23</v>
      </c>
      <c r="D402" s="4" t="s">
        <v>42</v>
      </c>
      <c r="E402" s="4" t="s">
        <v>25</v>
      </c>
      <c r="F402" s="4" t="s">
        <v>25</v>
      </c>
      <c r="G402" s="4" t="s">
        <v>25</v>
      </c>
      <c r="H402" s="4" t="s">
        <v>25</v>
      </c>
      <c r="I402" s="5">
        <v>44409</v>
      </c>
      <c r="J402" s="6">
        <v>0</v>
      </c>
      <c r="K402" s="6">
        <v>0</v>
      </c>
      <c r="L402" s="6">
        <v>4.51</v>
      </c>
      <c r="M402" s="6">
        <v>4.51</v>
      </c>
      <c r="N402" s="6">
        <v>4.51</v>
      </c>
      <c r="O402" s="6">
        <v>4.51</v>
      </c>
      <c r="P402" s="6">
        <v>32</v>
      </c>
      <c r="Q402" s="4" t="s">
        <v>26</v>
      </c>
      <c r="R402" s="4">
        <v>0</v>
      </c>
      <c r="S402" s="6">
        <v>0</v>
      </c>
      <c r="T402" s="6">
        <v>62</v>
      </c>
      <c r="U402" s="6">
        <v>23</v>
      </c>
      <c r="V402" s="6">
        <f>IF(ISERROR(VLOOKUP($S$402,'TAR FIN'!$A$1:$O$92,15,0)),0,VLOOKUP($S$402,'TAR FIN'!$A$1:$O$92,15,0))</f>
        <v>0</v>
      </c>
      <c r="W402" s="6">
        <f>IF(ISERROR(VLOOKUP($T$402,'TAR FIN'!$A$1:$O$92,15,0)),0,VLOOKUP($T$402,'TAR FIN'!$A$1:$O$92,15,0))</f>
        <v>301.99</v>
      </c>
      <c r="X402" s="6">
        <f>IF(ISERROR(VLOOKUP($U$402,'TAR FIN'!$A$1:$O$92,15,0)),0,VLOOKUP($U$402,'TAR FIN'!$A$1:$O$92,15,0))</f>
        <v>267.11</v>
      </c>
      <c r="Y402" s="6"/>
      <c r="Z402" s="6">
        <f ca="1">('TUSD BE'!$AM$37+'TUSD BF_350'!$AM$37+'TUSD CVA'!$AM$37)*(1-CUSTOS!$M$38)</f>
        <v>291.86059999999998</v>
      </c>
      <c r="AA402" s="6">
        <f ca="1">('TE BE'!$AB$25+'TE BF_350'!$AB$25+'TE CVA'!$AB$25)*(1-CUSTOS!$M$38)</f>
        <v>246.77819999999997</v>
      </c>
      <c r="AB402" s="6">
        <f>$K$402*$V$402</f>
        <v>0</v>
      </c>
      <c r="AC402" s="6">
        <f>$M$402*$W$402</f>
        <v>1361.9748999999999</v>
      </c>
      <c r="AD402" s="6">
        <f>$O$402*$X$402</f>
        <v>1204.6660999999999</v>
      </c>
      <c r="AE402" s="6">
        <f>$K$402*$Y$402</f>
        <v>0</v>
      </c>
      <c r="AF402" s="6">
        <f ca="1">$M$402*$Z$402</f>
        <v>1316.2913059999998</v>
      </c>
      <c r="AG402" s="6">
        <f ca="1">$O$402*$AA$402</f>
        <v>1112.9696819999999</v>
      </c>
    </row>
    <row r="403" spans="1:33" ht="11.25" customHeight="1" x14ac:dyDescent="0.3">
      <c r="A403" s="4" t="s">
        <v>21</v>
      </c>
      <c r="B403" s="4" t="s">
        <v>41</v>
      </c>
      <c r="C403" s="4" t="s">
        <v>23</v>
      </c>
      <c r="D403" s="4" t="s">
        <v>42</v>
      </c>
      <c r="E403" s="4" t="s">
        <v>25</v>
      </c>
      <c r="F403" s="4" t="s">
        <v>25</v>
      </c>
      <c r="G403" s="4" t="s">
        <v>25</v>
      </c>
      <c r="H403" s="4" t="s">
        <v>25</v>
      </c>
      <c r="I403" s="5">
        <v>44440</v>
      </c>
      <c r="J403" s="6">
        <v>0</v>
      </c>
      <c r="K403" s="6">
        <v>0</v>
      </c>
      <c r="L403" s="6">
        <v>228.11099999999999</v>
      </c>
      <c r="M403" s="6">
        <v>228.11099999999999</v>
      </c>
      <c r="N403" s="6">
        <v>228.11099999999999</v>
      </c>
      <c r="O403" s="6">
        <v>228.11099999999999</v>
      </c>
      <c r="P403" s="6">
        <v>791</v>
      </c>
      <c r="Q403" s="4" t="s">
        <v>26</v>
      </c>
      <c r="R403" s="4">
        <v>0</v>
      </c>
      <c r="S403" s="6">
        <v>0</v>
      </c>
      <c r="T403" s="6">
        <v>62</v>
      </c>
      <c r="U403" s="6">
        <v>23</v>
      </c>
      <c r="V403" s="6">
        <f>IF(ISERROR(VLOOKUP($S$403,'TAR FIN'!$A$1:$O$92,15,0)),0,VLOOKUP($S$403,'TAR FIN'!$A$1:$O$92,15,0))</f>
        <v>0</v>
      </c>
      <c r="W403" s="6">
        <f>IF(ISERROR(VLOOKUP($T$403,'TAR FIN'!$A$1:$O$92,15,0)),0,VLOOKUP($T$403,'TAR FIN'!$A$1:$O$92,15,0))</f>
        <v>301.99</v>
      </c>
      <c r="X403" s="6">
        <f>IF(ISERROR(VLOOKUP($U$403,'TAR FIN'!$A$1:$O$92,15,0)),0,VLOOKUP($U$403,'TAR FIN'!$A$1:$O$92,15,0))</f>
        <v>267.11</v>
      </c>
      <c r="Y403" s="6"/>
      <c r="Z403" s="6">
        <f ca="1">('TUSD BE'!$AM$37+'TUSD BF_350'!$AM$37+'TUSD CVA'!$AM$37)*(1-CUSTOS!$M$38)</f>
        <v>291.86059999999998</v>
      </c>
      <c r="AA403" s="6">
        <f ca="1">('TE BE'!$AB$25+'TE BF_350'!$AB$25+'TE CVA'!$AB$25)*(1-CUSTOS!$M$38)</f>
        <v>246.77819999999997</v>
      </c>
      <c r="AB403" s="6">
        <f>$K$403*$V$403</f>
        <v>0</v>
      </c>
      <c r="AC403" s="6">
        <f>$M$403*$W$403</f>
        <v>68887.240890000001</v>
      </c>
      <c r="AD403" s="6">
        <f>$O$403*$X$403</f>
        <v>60930.729209999998</v>
      </c>
      <c r="AE403" s="6">
        <f>$K$403*$Y$403</f>
        <v>0</v>
      </c>
      <c r="AF403" s="6">
        <f ca="1">$M$403*$Z$403</f>
        <v>66576.613326599996</v>
      </c>
      <c r="AG403" s="6">
        <f ca="1">$O$403*$AA$403</f>
        <v>56292.821980199988</v>
      </c>
    </row>
    <row r="404" spans="1:33" ht="11.25" customHeight="1" x14ac:dyDescent="0.3">
      <c r="A404" s="4" t="s">
        <v>27</v>
      </c>
      <c r="B404" s="4" t="s">
        <v>41</v>
      </c>
      <c r="C404" s="4" t="s">
        <v>23</v>
      </c>
      <c r="D404" s="4" t="s">
        <v>42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44440</v>
      </c>
      <c r="J404" s="6">
        <v>0</v>
      </c>
      <c r="K404" s="6">
        <v>0</v>
      </c>
      <c r="L404" s="6">
        <v>7.26</v>
      </c>
      <c r="M404" s="6">
        <v>7.26</v>
      </c>
      <c r="N404" s="6">
        <v>7.26</v>
      </c>
      <c r="O404" s="6">
        <v>7.26</v>
      </c>
      <c r="P404" s="6">
        <v>33</v>
      </c>
      <c r="Q404" s="4" t="s">
        <v>26</v>
      </c>
      <c r="R404" s="4">
        <v>0</v>
      </c>
      <c r="S404" s="6">
        <v>0</v>
      </c>
      <c r="T404" s="6">
        <v>62</v>
      </c>
      <c r="U404" s="6">
        <v>23</v>
      </c>
      <c r="V404" s="6">
        <f>IF(ISERROR(VLOOKUP($S$404,'TAR FIN'!$A$1:$O$92,15,0)),0,VLOOKUP($S$404,'TAR FIN'!$A$1:$O$92,15,0))</f>
        <v>0</v>
      </c>
      <c r="W404" s="6">
        <f>IF(ISERROR(VLOOKUP($T$404,'TAR FIN'!$A$1:$O$92,15,0)),0,VLOOKUP($T$404,'TAR FIN'!$A$1:$O$92,15,0))</f>
        <v>301.99</v>
      </c>
      <c r="X404" s="6">
        <f>IF(ISERROR(VLOOKUP($U$404,'TAR FIN'!$A$1:$O$92,15,0)),0,VLOOKUP($U$404,'TAR FIN'!$A$1:$O$92,15,0))</f>
        <v>267.11</v>
      </c>
      <c r="Y404" s="6"/>
      <c r="Z404" s="6">
        <f ca="1">('TUSD BE'!$AM$37+'TUSD BF_350'!$AM$37+'TUSD CVA'!$AM$37)*(1-CUSTOS!$M$38)</f>
        <v>291.86059999999998</v>
      </c>
      <c r="AA404" s="6">
        <f ca="1">('TE BE'!$AB$25+'TE BF_350'!$AB$25+'TE CVA'!$AB$25)*(1-CUSTOS!$M$38)</f>
        <v>246.77819999999997</v>
      </c>
      <c r="AB404" s="6">
        <f>$K$404*$V$404</f>
        <v>0</v>
      </c>
      <c r="AC404" s="6">
        <f>$M$404*$W$404</f>
        <v>2192.4474</v>
      </c>
      <c r="AD404" s="6">
        <f>$O$404*$X$404</f>
        <v>1939.2186000000002</v>
      </c>
      <c r="AE404" s="6">
        <f>$K$404*$Y$404</f>
        <v>0</v>
      </c>
      <c r="AF404" s="6">
        <f ca="1">$M$404*$Z$404</f>
        <v>2118.9079559999996</v>
      </c>
      <c r="AG404" s="6">
        <f ca="1">$O$404*$AA$404</f>
        <v>1791.6097319999997</v>
      </c>
    </row>
    <row r="405" spans="1:33" ht="11.25" customHeight="1" x14ac:dyDescent="0.3">
      <c r="A405" s="4" t="s">
        <v>21</v>
      </c>
      <c r="B405" s="4" t="s">
        <v>41</v>
      </c>
      <c r="C405" s="4" t="s">
        <v>23</v>
      </c>
      <c r="D405" s="4" t="s">
        <v>42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44470</v>
      </c>
      <c r="J405" s="6">
        <v>0</v>
      </c>
      <c r="K405" s="6">
        <v>0</v>
      </c>
      <c r="L405" s="6">
        <v>223.05</v>
      </c>
      <c r="M405" s="6">
        <v>223.05</v>
      </c>
      <c r="N405" s="6">
        <v>223.05</v>
      </c>
      <c r="O405" s="6">
        <v>223.05</v>
      </c>
      <c r="P405" s="6">
        <v>797</v>
      </c>
      <c r="Q405" s="4" t="s">
        <v>26</v>
      </c>
      <c r="R405" s="4">
        <v>0</v>
      </c>
      <c r="S405" s="6">
        <v>0</v>
      </c>
      <c r="T405" s="6">
        <v>62</v>
      </c>
      <c r="U405" s="6">
        <v>23</v>
      </c>
      <c r="V405" s="6">
        <f>IF(ISERROR(VLOOKUP($S$405,'TAR FIN'!$A$1:$O$92,15,0)),0,VLOOKUP($S$405,'TAR FIN'!$A$1:$O$92,15,0))</f>
        <v>0</v>
      </c>
      <c r="W405" s="6">
        <f>IF(ISERROR(VLOOKUP($T$405,'TAR FIN'!$A$1:$O$92,15,0)),0,VLOOKUP($T$405,'TAR FIN'!$A$1:$O$92,15,0))</f>
        <v>301.99</v>
      </c>
      <c r="X405" s="6">
        <f>IF(ISERROR(VLOOKUP($U$405,'TAR FIN'!$A$1:$O$92,15,0)),0,VLOOKUP($U$405,'TAR FIN'!$A$1:$O$92,15,0))</f>
        <v>267.11</v>
      </c>
      <c r="Y405" s="6"/>
      <c r="Z405" s="6">
        <f ca="1">('TUSD BE'!$AM$37+'TUSD BF_350'!$AM$37+'TUSD CVA'!$AM$37)*(1-CUSTOS!$M$38)</f>
        <v>291.86059999999998</v>
      </c>
      <c r="AA405" s="6">
        <f ca="1">('TE BE'!$AB$25+'TE BF_350'!$AB$25+'TE CVA'!$AB$25)*(1-CUSTOS!$M$38)</f>
        <v>246.77819999999997</v>
      </c>
      <c r="AB405" s="6">
        <f>$K$405*$V$405</f>
        <v>0</v>
      </c>
      <c r="AC405" s="6">
        <f>$M$405*$W$405</f>
        <v>67358.869500000001</v>
      </c>
      <c r="AD405" s="6">
        <f>$O$405*$X$405</f>
        <v>59578.885500000004</v>
      </c>
      <c r="AE405" s="6">
        <f>$K$405*$Y$405</f>
        <v>0</v>
      </c>
      <c r="AF405" s="6">
        <f ca="1">$M$405*$Z$405</f>
        <v>65099.506829999998</v>
      </c>
      <c r="AG405" s="6">
        <f ca="1">$O$405*$AA$405</f>
        <v>55043.877509999998</v>
      </c>
    </row>
    <row r="406" spans="1:33" ht="11.25" customHeight="1" x14ac:dyDescent="0.3">
      <c r="A406" s="4" t="s">
        <v>27</v>
      </c>
      <c r="B406" s="4" t="s">
        <v>41</v>
      </c>
      <c r="C406" s="4" t="s">
        <v>23</v>
      </c>
      <c r="D406" s="4" t="s">
        <v>42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44470</v>
      </c>
      <c r="J406" s="6">
        <v>0</v>
      </c>
      <c r="K406" s="6">
        <v>0</v>
      </c>
      <c r="L406" s="6">
        <v>10.824</v>
      </c>
      <c r="M406" s="6">
        <v>10.824</v>
      </c>
      <c r="N406" s="6">
        <v>10.824</v>
      </c>
      <c r="O406" s="6">
        <v>10.824</v>
      </c>
      <c r="P406" s="6">
        <v>33</v>
      </c>
      <c r="Q406" s="4" t="s">
        <v>26</v>
      </c>
      <c r="R406" s="4">
        <v>0</v>
      </c>
      <c r="S406" s="6">
        <v>0</v>
      </c>
      <c r="T406" s="6">
        <v>62</v>
      </c>
      <c r="U406" s="6">
        <v>23</v>
      </c>
      <c r="V406" s="6">
        <f>IF(ISERROR(VLOOKUP($S$406,'TAR FIN'!$A$1:$O$92,15,0)),0,VLOOKUP($S$406,'TAR FIN'!$A$1:$O$92,15,0))</f>
        <v>0</v>
      </c>
      <c r="W406" s="6">
        <f>IF(ISERROR(VLOOKUP($T$406,'TAR FIN'!$A$1:$O$92,15,0)),0,VLOOKUP($T$406,'TAR FIN'!$A$1:$O$92,15,0))</f>
        <v>301.99</v>
      </c>
      <c r="X406" s="6">
        <f>IF(ISERROR(VLOOKUP($U$406,'TAR FIN'!$A$1:$O$92,15,0)),0,VLOOKUP($U$406,'TAR FIN'!$A$1:$O$92,15,0))</f>
        <v>267.11</v>
      </c>
      <c r="Y406" s="6"/>
      <c r="Z406" s="6">
        <f ca="1">('TUSD BE'!$AM$37+'TUSD BF_350'!$AM$37+'TUSD CVA'!$AM$37)*(1-CUSTOS!$M$38)</f>
        <v>291.86059999999998</v>
      </c>
      <c r="AA406" s="6">
        <f ca="1">('TE BE'!$AB$25+'TE BF_350'!$AB$25+'TE CVA'!$AB$25)*(1-CUSTOS!$M$38)</f>
        <v>246.77819999999997</v>
      </c>
      <c r="AB406" s="6">
        <f>$K$406*$V$406</f>
        <v>0</v>
      </c>
      <c r="AC406" s="6">
        <f>$M$406*$W$406</f>
        <v>3268.7397599999999</v>
      </c>
      <c r="AD406" s="6">
        <f>$O$406*$X$406</f>
        <v>2891.1986400000001</v>
      </c>
      <c r="AE406" s="6">
        <f>$K$406*$Y$406</f>
        <v>0</v>
      </c>
      <c r="AF406" s="6">
        <f ca="1">$M$406*$Z$406</f>
        <v>3159.0991343999999</v>
      </c>
      <c r="AG406" s="6">
        <f ca="1">$O$406*$AA$406</f>
        <v>2671.1272367999995</v>
      </c>
    </row>
    <row r="407" spans="1:33" ht="11.25" customHeight="1" x14ac:dyDescent="0.3">
      <c r="A407" s="4" t="s">
        <v>21</v>
      </c>
      <c r="B407" s="4" t="s">
        <v>41</v>
      </c>
      <c r="C407" s="4" t="s">
        <v>23</v>
      </c>
      <c r="D407" s="4" t="s">
        <v>42</v>
      </c>
      <c r="E407" s="4" t="s">
        <v>25</v>
      </c>
      <c r="F407" s="4" t="s">
        <v>25</v>
      </c>
      <c r="G407" s="4" t="s">
        <v>25</v>
      </c>
      <c r="H407" s="4" t="s">
        <v>25</v>
      </c>
      <c r="I407" s="5">
        <v>44501</v>
      </c>
      <c r="J407" s="6">
        <v>0</v>
      </c>
      <c r="K407" s="6">
        <v>0</v>
      </c>
      <c r="L407" s="6">
        <v>284.45699999999999</v>
      </c>
      <c r="M407" s="6">
        <v>284.45699999999999</v>
      </c>
      <c r="N407" s="6">
        <v>284.45699999999999</v>
      </c>
      <c r="O407" s="6">
        <v>284.45699999999999</v>
      </c>
      <c r="P407" s="6">
        <v>797</v>
      </c>
      <c r="Q407" s="4" t="s">
        <v>26</v>
      </c>
      <c r="R407" s="4">
        <v>0</v>
      </c>
      <c r="S407" s="6">
        <v>0</v>
      </c>
      <c r="T407" s="6">
        <v>62</v>
      </c>
      <c r="U407" s="6">
        <v>23</v>
      </c>
      <c r="V407" s="6">
        <f>IF(ISERROR(VLOOKUP($S$407,'TAR FIN'!$A$1:$O$92,15,0)),0,VLOOKUP($S$407,'TAR FIN'!$A$1:$O$92,15,0))</f>
        <v>0</v>
      </c>
      <c r="W407" s="6">
        <f>IF(ISERROR(VLOOKUP($T$407,'TAR FIN'!$A$1:$O$92,15,0)),0,VLOOKUP($T$407,'TAR FIN'!$A$1:$O$92,15,0))</f>
        <v>301.99</v>
      </c>
      <c r="X407" s="6">
        <f>IF(ISERROR(VLOOKUP($U$407,'TAR FIN'!$A$1:$O$92,15,0)),0,VLOOKUP($U$407,'TAR FIN'!$A$1:$O$92,15,0))</f>
        <v>267.11</v>
      </c>
      <c r="Y407" s="6"/>
      <c r="Z407" s="6">
        <f ca="1">('TUSD BE'!$AM$37+'TUSD BF_350'!$AM$37+'TUSD CVA'!$AM$37)*(1-CUSTOS!$M$38)</f>
        <v>291.86059999999998</v>
      </c>
      <c r="AA407" s="6">
        <f ca="1">('TE BE'!$AB$25+'TE BF_350'!$AB$25+'TE CVA'!$AB$25)*(1-CUSTOS!$M$38)</f>
        <v>246.77819999999997</v>
      </c>
      <c r="AB407" s="6">
        <f>$K$407*$V$407</f>
        <v>0</v>
      </c>
      <c r="AC407" s="6">
        <f>$M$407*$W$407</f>
        <v>85903.169429999994</v>
      </c>
      <c r="AD407" s="6">
        <f>$O$407*$X$407</f>
        <v>75981.309269999998</v>
      </c>
      <c r="AE407" s="6">
        <f>$K$407*$Y$407</f>
        <v>0</v>
      </c>
      <c r="AF407" s="6">
        <f ca="1">$M$407*$Z$407</f>
        <v>83021.790694199997</v>
      </c>
      <c r="AG407" s="6">
        <f ca="1">$O$407*$AA$407</f>
        <v>70197.786437399991</v>
      </c>
    </row>
    <row r="408" spans="1:33" ht="11.25" customHeight="1" x14ac:dyDescent="0.3">
      <c r="A408" s="4" t="s">
        <v>27</v>
      </c>
      <c r="B408" s="4" t="s">
        <v>41</v>
      </c>
      <c r="C408" s="4" t="s">
        <v>23</v>
      </c>
      <c r="D408" s="4" t="s">
        <v>42</v>
      </c>
      <c r="E408" s="4" t="s">
        <v>25</v>
      </c>
      <c r="F408" s="4" t="s">
        <v>25</v>
      </c>
      <c r="G408" s="4" t="s">
        <v>25</v>
      </c>
      <c r="H408" s="4" t="s">
        <v>25</v>
      </c>
      <c r="I408" s="5">
        <v>44501</v>
      </c>
      <c r="J408" s="6">
        <v>0</v>
      </c>
      <c r="K408" s="6">
        <v>0</v>
      </c>
      <c r="L408" s="6">
        <v>16.957999999999998</v>
      </c>
      <c r="M408" s="6">
        <v>16.957999999999998</v>
      </c>
      <c r="N408" s="6">
        <v>16.957999999999998</v>
      </c>
      <c r="O408" s="6">
        <v>16.957999999999998</v>
      </c>
      <c r="P408" s="6">
        <v>33</v>
      </c>
      <c r="Q408" s="4" t="s">
        <v>26</v>
      </c>
      <c r="R408" s="4">
        <v>0</v>
      </c>
      <c r="S408" s="6">
        <v>0</v>
      </c>
      <c r="T408" s="6">
        <v>62</v>
      </c>
      <c r="U408" s="6">
        <v>23</v>
      </c>
      <c r="V408" s="6">
        <f>IF(ISERROR(VLOOKUP($S$408,'TAR FIN'!$A$1:$O$92,15,0)),0,VLOOKUP($S$408,'TAR FIN'!$A$1:$O$92,15,0))</f>
        <v>0</v>
      </c>
      <c r="W408" s="6">
        <f>IF(ISERROR(VLOOKUP($T$408,'TAR FIN'!$A$1:$O$92,15,0)),0,VLOOKUP($T$408,'TAR FIN'!$A$1:$O$92,15,0))</f>
        <v>301.99</v>
      </c>
      <c r="X408" s="6">
        <f>IF(ISERROR(VLOOKUP($U$408,'TAR FIN'!$A$1:$O$92,15,0)),0,VLOOKUP($U$408,'TAR FIN'!$A$1:$O$92,15,0))</f>
        <v>267.11</v>
      </c>
      <c r="Y408" s="6"/>
      <c r="Z408" s="6">
        <f ca="1">('TUSD BE'!$AM$37+'TUSD BF_350'!$AM$37+'TUSD CVA'!$AM$37)*(1-CUSTOS!$M$38)</f>
        <v>291.86059999999998</v>
      </c>
      <c r="AA408" s="6">
        <f ca="1">('TE BE'!$AB$25+'TE BF_350'!$AB$25+'TE CVA'!$AB$25)*(1-CUSTOS!$M$38)</f>
        <v>246.77819999999997</v>
      </c>
      <c r="AB408" s="6">
        <f>$K$408*$V$408</f>
        <v>0</v>
      </c>
      <c r="AC408" s="6">
        <f>$M$408*$W$408</f>
        <v>5121.14642</v>
      </c>
      <c r="AD408" s="6">
        <f>$O$408*$X$408</f>
        <v>4529.6513800000002</v>
      </c>
      <c r="AE408" s="6">
        <f>$K$408*$Y$408</f>
        <v>0</v>
      </c>
      <c r="AF408" s="6">
        <f ca="1">$M$408*$Z$408</f>
        <v>4949.3720547999992</v>
      </c>
      <c r="AG408" s="6">
        <f ca="1">$O$408*$AA$408</f>
        <v>4184.8647155999988</v>
      </c>
    </row>
    <row r="409" spans="1:33" ht="11.25" customHeight="1" x14ac:dyDescent="0.3">
      <c r="A409" s="4" t="s">
        <v>21</v>
      </c>
      <c r="B409" s="4" t="s">
        <v>41</v>
      </c>
      <c r="C409" s="4" t="s">
        <v>23</v>
      </c>
      <c r="D409" s="4" t="s">
        <v>42</v>
      </c>
      <c r="E409" s="4" t="s">
        <v>25</v>
      </c>
      <c r="F409" s="4" t="s">
        <v>25</v>
      </c>
      <c r="G409" s="4" t="s">
        <v>25</v>
      </c>
      <c r="H409" s="4" t="s">
        <v>25</v>
      </c>
      <c r="I409" s="5">
        <v>44531</v>
      </c>
      <c r="J409" s="6">
        <v>0</v>
      </c>
      <c r="K409" s="6">
        <v>0</v>
      </c>
      <c r="L409" s="6">
        <v>345.952</v>
      </c>
      <c r="M409" s="6">
        <v>345.952</v>
      </c>
      <c r="N409" s="6">
        <v>345.952</v>
      </c>
      <c r="O409" s="6">
        <v>345.952</v>
      </c>
      <c r="P409" s="6">
        <v>797</v>
      </c>
      <c r="Q409" s="4" t="s">
        <v>26</v>
      </c>
      <c r="R409" s="4">
        <v>0</v>
      </c>
      <c r="S409" s="6">
        <v>0</v>
      </c>
      <c r="T409" s="6">
        <v>62</v>
      </c>
      <c r="U409" s="6">
        <v>23</v>
      </c>
      <c r="V409" s="6">
        <f>IF(ISERROR(VLOOKUP($S$409,'TAR FIN'!$A$1:$O$92,15,0)),0,VLOOKUP($S$409,'TAR FIN'!$A$1:$O$92,15,0))</f>
        <v>0</v>
      </c>
      <c r="W409" s="6">
        <f>IF(ISERROR(VLOOKUP($T$409,'TAR FIN'!$A$1:$O$92,15,0)),0,VLOOKUP($T$409,'TAR FIN'!$A$1:$O$92,15,0))</f>
        <v>301.99</v>
      </c>
      <c r="X409" s="6">
        <f>IF(ISERROR(VLOOKUP($U$409,'TAR FIN'!$A$1:$O$92,15,0)),0,VLOOKUP($U$409,'TAR FIN'!$A$1:$O$92,15,0))</f>
        <v>267.11</v>
      </c>
      <c r="Y409" s="6"/>
      <c r="Z409" s="6">
        <f ca="1">('TUSD BE'!$AM$37+'TUSD BF_350'!$AM$37+'TUSD CVA'!$AM$37)*(1-CUSTOS!$M$38)</f>
        <v>291.86059999999998</v>
      </c>
      <c r="AA409" s="6">
        <f ca="1">('TE BE'!$AB$25+'TE BF_350'!$AB$25+'TE CVA'!$AB$25)*(1-CUSTOS!$M$38)</f>
        <v>246.77819999999997</v>
      </c>
      <c r="AB409" s="6">
        <f>$K$409*$V$409</f>
        <v>0</v>
      </c>
      <c r="AC409" s="6">
        <f>$M$409*$W$409</f>
        <v>104474.04448</v>
      </c>
      <c r="AD409" s="6">
        <f>$O$409*$X$409</f>
        <v>92407.238720000008</v>
      </c>
      <c r="AE409" s="6">
        <f>$K$409*$Y$409</f>
        <v>0</v>
      </c>
      <c r="AF409" s="6">
        <f ca="1">$M$409*$Z$409</f>
        <v>100969.75829119999</v>
      </c>
      <c r="AG409" s="6">
        <f ca="1">$O$409*$AA$409</f>
        <v>85373.411846399991</v>
      </c>
    </row>
    <row r="410" spans="1:33" ht="11.25" customHeight="1" x14ac:dyDescent="0.3">
      <c r="A410" s="4" t="s">
        <v>27</v>
      </c>
      <c r="B410" s="4" t="s">
        <v>41</v>
      </c>
      <c r="C410" s="4" t="s">
        <v>23</v>
      </c>
      <c r="D410" s="4" t="s">
        <v>42</v>
      </c>
      <c r="E410" s="4" t="s">
        <v>25</v>
      </c>
      <c r="F410" s="4" t="s">
        <v>25</v>
      </c>
      <c r="G410" s="4" t="s">
        <v>25</v>
      </c>
      <c r="H410" s="4" t="s">
        <v>25</v>
      </c>
      <c r="I410" s="5">
        <v>44531</v>
      </c>
      <c r="J410" s="6">
        <v>0</v>
      </c>
      <c r="K410" s="6">
        <v>0</v>
      </c>
      <c r="L410" s="6">
        <v>36.584000000000003</v>
      </c>
      <c r="M410" s="6">
        <v>36.584000000000003</v>
      </c>
      <c r="N410" s="6">
        <v>36.584000000000003</v>
      </c>
      <c r="O410" s="6">
        <v>36.584000000000003</v>
      </c>
      <c r="P410" s="6">
        <v>34</v>
      </c>
      <c r="Q410" s="4" t="s">
        <v>26</v>
      </c>
      <c r="R410" s="4">
        <v>0</v>
      </c>
      <c r="S410" s="6">
        <v>0</v>
      </c>
      <c r="T410" s="6">
        <v>62</v>
      </c>
      <c r="U410" s="6">
        <v>23</v>
      </c>
      <c r="V410" s="6">
        <f>IF(ISERROR(VLOOKUP($S$410,'TAR FIN'!$A$1:$O$92,15,0)),0,VLOOKUP($S$410,'TAR FIN'!$A$1:$O$92,15,0))</f>
        <v>0</v>
      </c>
      <c r="W410" s="6">
        <f>IF(ISERROR(VLOOKUP($T$410,'TAR FIN'!$A$1:$O$92,15,0)),0,VLOOKUP($T$410,'TAR FIN'!$A$1:$O$92,15,0))</f>
        <v>301.99</v>
      </c>
      <c r="X410" s="6">
        <f>IF(ISERROR(VLOOKUP($U$410,'TAR FIN'!$A$1:$O$92,15,0)),0,VLOOKUP($U$410,'TAR FIN'!$A$1:$O$92,15,0))</f>
        <v>267.11</v>
      </c>
      <c r="Y410" s="6"/>
      <c r="Z410" s="6">
        <f ca="1">('TUSD BE'!$AM$37+'TUSD BF_350'!$AM$37+'TUSD CVA'!$AM$37)*(1-CUSTOS!$M$38)</f>
        <v>291.86059999999998</v>
      </c>
      <c r="AA410" s="6">
        <f ca="1">('TE BE'!$AB$25+'TE BF_350'!$AB$25+'TE CVA'!$AB$25)*(1-CUSTOS!$M$38)</f>
        <v>246.77819999999997</v>
      </c>
      <c r="AB410" s="6">
        <f>$K$410*$V$410</f>
        <v>0</v>
      </c>
      <c r="AC410" s="6">
        <f>$M$410*$W$410</f>
        <v>11048.002160000002</v>
      </c>
      <c r="AD410" s="6">
        <f>$O$410*$X$410</f>
        <v>9771.9522400000005</v>
      </c>
      <c r="AE410" s="6">
        <f>$K$410*$Y$410</f>
        <v>0</v>
      </c>
      <c r="AF410" s="6">
        <f ca="1">$M$410*$Z$410</f>
        <v>10677.4281904</v>
      </c>
      <c r="AG410" s="6">
        <f ca="1">$O$410*$AA$410</f>
        <v>9028.1336687999992</v>
      </c>
    </row>
    <row r="411" spans="1:33" ht="11.25" customHeight="1" x14ac:dyDescent="0.3">
      <c r="A411" s="4" t="s">
        <v>21</v>
      </c>
      <c r="B411" s="4" t="s">
        <v>41</v>
      </c>
      <c r="C411" s="4" t="s">
        <v>23</v>
      </c>
      <c r="D411" s="4" t="s">
        <v>42</v>
      </c>
      <c r="E411" s="4" t="s">
        <v>25</v>
      </c>
      <c r="F411" s="4" t="s">
        <v>25</v>
      </c>
      <c r="G411" s="4" t="s">
        <v>25</v>
      </c>
      <c r="H411" s="4" t="s">
        <v>25</v>
      </c>
      <c r="I411" s="5">
        <v>44562</v>
      </c>
      <c r="J411" s="6">
        <v>0</v>
      </c>
      <c r="K411" s="6">
        <v>0</v>
      </c>
      <c r="L411" s="6">
        <v>302.08199999999999</v>
      </c>
      <c r="M411" s="6">
        <v>302.08199999999999</v>
      </c>
      <c r="N411" s="6">
        <v>302.08199999999999</v>
      </c>
      <c r="O411" s="6">
        <v>302.08199999999999</v>
      </c>
      <c r="P411" s="6">
        <v>792</v>
      </c>
      <c r="Q411" s="4" t="s">
        <v>26</v>
      </c>
      <c r="R411" s="4">
        <v>0</v>
      </c>
      <c r="S411" s="6">
        <v>0</v>
      </c>
      <c r="T411" s="6">
        <v>62</v>
      </c>
      <c r="U411" s="6">
        <v>23</v>
      </c>
      <c r="V411" s="6">
        <f>IF(ISERROR(VLOOKUP($S$411,'TAR FIN'!$A$1:$O$92,15,0)),0,VLOOKUP($S$411,'TAR FIN'!$A$1:$O$92,15,0))</f>
        <v>0</v>
      </c>
      <c r="W411" s="6">
        <f>IF(ISERROR(VLOOKUP($T$411,'TAR FIN'!$A$1:$O$92,15,0)),0,VLOOKUP($T$411,'TAR FIN'!$A$1:$O$92,15,0))</f>
        <v>301.99</v>
      </c>
      <c r="X411" s="6">
        <f>IF(ISERROR(VLOOKUP($U$411,'TAR FIN'!$A$1:$O$92,15,0)),0,VLOOKUP($U$411,'TAR FIN'!$A$1:$O$92,15,0))</f>
        <v>267.11</v>
      </c>
      <c r="Y411" s="6"/>
      <c r="Z411" s="6">
        <f ca="1">('TUSD BE'!$AM$37+'TUSD BF_350'!$AM$37+'TUSD CVA'!$AM$37)*(1-CUSTOS!$M$38)</f>
        <v>291.86059999999998</v>
      </c>
      <c r="AA411" s="6">
        <f ca="1">('TE BE'!$AB$25+'TE BF_350'!$AB$25+'TE CVA'!$AB$25)*(1-CUSTOS!$M$38)</f>
        <v>246.77819999999997</v>
      </c>
      <c r="AB411" s="6">
        <f>$K$411*$V$411</f>
        <v>0</v>
      </c>
      <c r="AC411" s="6">
        <f>$M$411*$W$411</f>
        <v>91225.743180000005</v>
      </c>
      <c r="AD411" s="6">
        <f>$O$411*$X$411</f>
        <v>80689.123019999999</v>
      </c>
      <c r="AE411" s="6">
        <f>$K$411*$Y$411</f>
        <v>0</v>
      </c>
      <c r="AF411" s="6">
        <f ca="1">$M$411*$Z$411</f>
        <v>88165.833769199991</v>
      </c>
      <c r="AG411" s="6">
        <f ca="1">$O$411*$AA$411</f>
        <v>74547.252212399995</v>
      </c>
    </row>
    <row r="412" spans="1:33" ht="11.25" customHeight="1" x14ac:dyDescent="0.3">
      <c r="A412" s="4" t="s">
        <v>27</v>
      </c>
      <c r="B412" s="4" t="s">
        <v>41</v>
      </c>
      <c r="C412" s="4" t="s">
        <v>23</v>
      </c>
      <c r="D412" s="4" t="s">
        <v>42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44562</v>
      </c>
      <c r="J412" s="6">
        <v>0</v>
      </c>
      <c r="K412" s="6">
        <v>0</v>
      </c>
      <c r="L412" s="6">
        <v>26.65</v>
      </c>
      <c r="M412" s="6">
        <v>26.65</v>
      </c>
      <c r="N412" s="6">
        <v>26.65</v>
      </c>
      <c r="O412" s="6">
        <v>26.65</v>
      </c>
      <c r="P412" s="6">
        <v>38</v>
      </c>
      <c r="Q412" s="4" t="s">
        <v>26</v>
      </c>
      <c r="R412" s="4">
        <v>0</v>
      </c>
      <c r="S412" s="6">
        <v>0</v>
      </c>
      <c r="T412" s="6">
        <v>62</v>
      </c>
      <c r="U412" s="6">
        <v>23</v>
      </c>
      <c r="V412" s="6">
        <f>IF(ISERROR(VLOOKUP($S$412,'TAR FIN'!$A$1:$O$92,15,0)),0,VLOOKUP($S$412,'TAR FIN'!$A$1:$O$92,15,0))</f>
        <v>0</v>
      </c>
      <c r="W412" s="6">
        <f>IF(ISERROR(VLOOKUP($T$412,'TAR FIN'!$A$1:$O$92,15,0)),0,VLOOKUP($T$412,'TAR FIN'!$A$1:$O$92,15,0))</f>
        <v>301.99</v>
      </c>
      <c r="X412" s="6">
        <f>IF(ISERROR(VLOOKUP($U$412,'TAR FIN'!$A$1:$O$92,15,0)),0,VLOOKUP($U$412,'TAR FIN'!$A$1:$O$92,15,0))</f>
        <v>267.11</v>
      </c>
      <c r="Y412" s="6"/>
      <c r="Z412" s="6">
        <f ca="1">('TUSD BE'!$AM$37+'TUSD BF_350'!$AM$37+'TUSD CVA'!$AM$37)*(1-CUSTOS!$M$38)</f>
        <v>291.86059999999998</v>
      </c>
      <c r="AA412" s="6">
        <f ca="1">('TE BE'!$AB$25+'TE BF_350'!$AB$25+'TE CVA'!$AB$25)*(1-CUSTOS!$M$38)</f>
        <v>246.77819999999997</v>
      </c>
      <c r="AB412" s="6">
        <f>$K$412*$V$412</f>
        <v>0</v>
      </c>
      <c r="AC412" s="6">
        <f>$M$412*$W$412</f>
        <v>8048.0334999999995</v>
      </c>
      <c r="AD412" s="6">
        <f>$O$412*$X$412</f>
        <v>7118.4814999999999</v>
      </c>
      <c r="AE412" s="6">
        <f>$K$412*$Y$412</f>
        <v>0</v>
      </c>
      <c r="AF412" s="6">
        <f ca="1">$M$412*$Z$412</f>
        <v>7778.0849899999994</v>
      </c>
      <c r="AG412" s="6">
        <f ca="1">$O$412*$AA$412</f>
        <v>6576.6390299999985</v>
      </c>
    </row>
    <row r="413" spans="1:33" ht="11.25" customHeight="1" x14ac:dyDescent="0.3">
      <c r="A413" s="4" t="s">
        <v>21</v>
      </c>
      <c r="B413" s="4" t="s">
        <v>41</v>
      </c>
      <c r="C413" s="4" t="s">
        <v>23</v>
      </c>
      <c r="D413" s="4" t="s">
        <v>42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44593</v>
      </c>
      <c r="J413" s="6">
        <v>0</v>
      </c>
      <c r="K413" s="6">
        <v>0</v>
      </c>
      <c r="L413" s="6">
        <v>276.39600000000002</v>
      </c>
      <c r="M413" s="6">
        <v>276.39600000000002</v>
      </c>
      <c r="N413" s="6">
        <v>276.39600000000002</v>
      </c>
      <c r="O413" s="6">
        <v>276.39600000000002</v>
      </c>
      <c r="P413" s="6">
        <v>790</v>
      </c>
      <c r="Q413" s="4" t="s">
        <v>26</v>
      </c>
      <c r="R413" s="4">
        <v>0</v>
      </c>
      <c r="S413" s="6">
        <v>0</v>
      </c>
      <c r="T413" s="6">
        <v>62</v>
      </c>
      <c r="U413" s="6">
        <v>23</v>
      </c>
      <c r="V413" s="6">
        <f>IF(ISERROR(VLOOKUP($S$413,'TAR FIN'!$A$1:$O$92,15,0)),0,VLOOKUP($S$413,'TAR FIN'!$A$1:$O$92,15,0))</f>
        <v>0</v>
      </c>
      <c r="W413" s="6">
        <f>IF(ISERROR(VLOOKUP($T$413,'TAR FIN'!$A$1:$O$92,15,0)),0,VLOOKUP($T$413,'TAR FIN'!$A$1:$O$92,15,0))</f>
        <v>301.99</v>
      </c>
      <c r="X413" s="6">
        <f>IF(ISERROR(VLOOKUP($U$413,'TAR FIN'!$A$1:$O$92,15,0)),0,VLOOKUP($U$413,'TAR FIN'!$A$1:$O$92,15,0))</f>
        <v>267.11</v>
      </c>
      <c r="Y413" s="6"/>
      <c r="Z413" s="6">
        <f ca="1">('TUSD BE'!$AM$37+'TUSD BF_350'!$AM$37+'TUSD CVA'!$AM$37)*(1-CUSTOS!$M$38)</f>
        <v>291.86059999999998</v>
      </c>
      <c r="AA413" s="6">
        <f ca="1">('TE BE'!$AB$25+'TE BF_350'!$AB$25+'TE CVA'!$AB$25)*(1-CUSTOS!$M$38)</f>
        <v>246.77819999999997</v>
      </c>
      <c r="AB413" s="6">
        <f>$K$413*$V$413</f>
        <v>0</v>
      </c>
      <c r="AC413" s="6">
        <f>$M$413*$W$413</f>
        <v>83468.828040000008</v>
      </c>
      <c r="AD413" s="6">
        <f>$O$413*$X$413</f>
        <v>73828.13556000001</v>
      </c>
      <c r="AE413" s="6">
        <f>$K$413*$Y$413</f>
        <v>0</v>
      </c>
      <c r="AF413" s="6">
        <f ca="1">$M$413*$Z$413</f>
        <v>80669.1023976</v>
      </c>
      <c r="AG413" s="6">
        <f ca="1">$O$413*$AA$413</f>
        <v>68208.5073672</v>
      </c>
    </row>
    <row r="414" spans="1:33" ht="11.25" customHeight="1" x14ac:dyDescent="0.3">
      <c r="A414" s="4" t="s">
        <v>27</v>
      </c>
      <c r="B414" s="4" t="s">
        <v>41</v>
      </c>
      <c r="C414" s="4" t="s">
        <v>23</v>
      </c>
      <c r="D414" s="4" t="s">
        <v>42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44593</v>
      </c>
      <c r="J414" s="6">
        <v>0</v>
      </c>
      <c r="K414" s="6">
        <v>0</v>
      </c>
      <c r="L414" s="6">
        <v>38.256999999999998</v>
      </c>
      <c r="M414" s="6">
        <v>38.256999999999998</v>
      </c>
      <c r="N414" s="6">
        <v>38.256999999999998</v>
      </c>
      <c r="O414" s="6">
        <v>38.256999999999998</v>
      </c>
      <c r="P414" s="6">
        <v>38</v>
      </c>
      <c r="Q414" s="4" t="s">
        <v>26</v>
      </c>
      <c r="R414" s="4">
        <v>0</v>
      </c>
      <c r="S414" s="6">
        <v>0</v>
      </c>
      <c r="T414" s="6">
        <v>62</v>
      </c>
      <c r="U414" s="6">
        <v>23</v>
      </c>
      <c r="V414" s="6">
        <f>IF(ISERROR(VLOOKUP($S$414,'TAR FIN'!$A$1:$O$92,15,0)),0,VLOOKUP($S$414,'TAR FIN'!$A$1:$O$92,15,0))</f>
        <v>0</v>
      </c>
      <c r="W414" s="6">
        <f>IF(ISERROR(VLOOKUP($T$414,'TAR FIN'!$A$1:$O$92,15,0)),0,VLOOKUP($T$414,'TAR FIN'!$A$1:$O$92,15,0))</f>
        <v>301.99</v>
      </c>
      <c r="X414" s="6">
        <f>IF(ISERROR(VLOOKUP($U$414,'TAR FIN'!$A$1:$O$92,15,0)),0,VLOOKUP($U$414,'TAR FIN'!$A$1:$O$92,15,0))</f>
        <v>267.11</v>
      </c>
      <c r="Y414" s="6"/>
      <c r="Z414" s="6">
        <f ca="1">('TUSD BE'!$AM$37+'TUSD BF_350'!$AM$37+'TUSD CVA'!$AM$37)*(1-CUSTOS!$M$38)</f>
        <v>291.86059999999998</v>
      </c>
      <c r="AA414" s="6">
        <f ca="1">('TE BE'!$AB$25+'TE BF_350'!$AB$25+'TE CVA'!$AB$25)*(1-CUSTOS!$M$38)</f>
        <v>246.77819999999997</v>
      </c>
      <c r="AB414" s="6">
        <f>$K$414*$V$414</f>
        <v>0</v>
      </c>
      <c r="AC414" s="6">
        <f>$M$414*$W$414</f>
        <v>11553.23143</v>
      </c>
      <c r="AD414" s="6">
        <f>$O$414*$X$414</f>
        <v>10218.82727</v>
      </c>
      <c r="AE414" s="6">
        <f>$K$414*$Y$414</f>
        <v>0</v>
      </c>
      <c r="AF414" s="6">
        <f ca="1">$M$414*$Z$414</f>
        <v>11165.710974199999</v>
      </c>
      <c r="AG414" s="6">
        <f ca="1">$O$414*$AA$414</f>
        <v>9440.9935973999982</v>
      </c>
    </row>
    <row r="415" spans="1:33" ht="11.25" customHeight="1" x14ac:dyDescent="0.3">
      <c r="A415" s="4" t="s">
        <v>21</v>
      </c>
      <c r="B415" s="4" t="s">
        <v>41</v>
      </c>
      <c r="C415" s="4" t="s">
        <v>23</v>
      </c>
      <c r="D415" s="4" t="s">
        <v>42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44621</v>
      </c>
      <c r="J415" s="6">
        <v>0</v>
      </c>
      <c r="K415" s="6">
        <v>0</v>
      </c>
      <c r="L415" s="6">
        <v>228.57900000000001</v>
      </c>
      <c r="M415" s="6">
        <v>228.57900000000001</v>
      </c>
      <c r="N415" s="6">
        <v>228.57900000000001</v>
      </c>
      <c r="O415" s="6">
        <v>228.57900000000001</v>
      </c>
      <c r="P415" s="6">
        <v>788</v>
      </c>
      <c r="Q415" s="4" t="s">
        <v>26</v>
      </c>
      <c r="R415" s="4">
        <v>0</v>
      </c>
      <c r="S415" s="6">
        <v>0</v>
      </c>
      <c r="T415" s="6">
        <v>62</v>
      </c>
      <c r="U415" s="6">
        <v>23</v>
      </c>
      <c r="V415" s="6">
        <f>IF(ISERROR(VLOOKUP($S$415,'TAR FIN'!$A$1:$O$92,15,0)),0,VLOOKUP($S$415,'TAR FIN'!$A$1:$O$92,15,0))</f>
        <v>0</v>
      </c>
      <c r="W415" s="6">
        <f>IF(ISERROR(VLOOKUP($T$415,'TAR FIN'!$A$1:$O$92,15,0)),0,VLOOKUP($T$415,'TAR FIN'!$A$1:$O$92,15,0))</f>
        <v>301.99</v>
      </c>
      <c r="X415" s="6">
        <f>IF(ISERROR(VLOOKUP($U$415,'TAR FIN'!$A$1:$O$92,15,0)),0,VLOOKUP($U$415,'TAR FIN'!$A$1:$O$92,15,0))</f>
        <v>267.11</v>
      </c>
      <c r="Y415" s="6"/>
      <c r="Z415" s="6">
        <f ca="1">('TUSD BE'!$AM$37+'TUSD BF_350'!$AM$37+'TUSD CVA'!$AM$37)*(1-CUSTOS!$M$38)</f>
        <v>291.86059999999998</v>
      </c>
      <c r="AA415" s="6">
        <f ca="1">('TE BE'!$AB$25+'TE BF_350'!$AB$25+'TE CVA'!$AB$25)*(1-CUSTOS!$M$38)</f>
        <v>246.77819999999997</v>
      </c>
      <c r="AB415" s="6">
        <f>$K$415*$V$415</f>
        <v>0</v>
      </c>
      <c r="AC415" s="6">
        <f>$M$415*$W$415</f>
        <v>69028.572209999998</v>
      </c>
      <c r="AD415" s="6">
        <f>$O$415*$X$415</f>
        <v>61055.736690000005</v>
      </c>
      <c r="AE415" s="6">
        <f>$K$415*$Y$415</f>
        <v>0</v>
      </c>
      <c r="AF415" s="6">
        <f ca="1">$M$415*$Z$415</f>
        <v>66713.204087399994</v>
      </c>
      <c r="AG415" s="6">
        <f ca="1">$O$415*$AA$415</f>
        <v>56408.314177799992</v>
      </c>
    </row>
    <row r="416" spans="1:33" ht="11.25" customHeight="1" x14ac:dyDescent="0.3">
      <c r="A416" s="4" t="s">
        <v>27</v>
      </c>
      <c r="B416" s="4" t="s">
        <v>41</v>
      </c>
      <c r="C416" s="4" t="s">
        <v>23</v>
      </c>
      <c r="D416" s="4" t="s">
        <v>42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44621</v>
      </c>
      <c r="J416" s="6">
        <v>0</v>
      </c>
      <c r="K416" s="6">
        <v>0</v>
      </c>
      <c r="L416" s="6">
        <v>8.7840000000000007</v>
      </c>
      <c r="M416" s="6">
        <v>8.7840000000000007</v>
      </c>
      <c r="N416" s="6">
        <v>8.7840000000000007</v>
      </c>
      <c r="O416" s="6">
        <v>8.7840000000000007</v>
      </c>
      <c r="P416" s="6">
        <v>38</v>
      </c>
      <c r="Q416" s="4" t="s">
        <v>26</v>
      </c>
      <c r="R416" s="4">
        <v>0</v>
      </c>
      <c r="S416" s="6">
        <v>0</v>
      </c>
      <c r="T416" s="6">
        <v>62</v>
      </c>
      <c r="U416" s="6">
        <v>23</v>
      </c>
      <c r="V416" s="6">
        <f>IF(ISERROR(VLOOKUP($S$416,'TAR FIN'!$A$1:$O$92,15,0)),0,VLOOKUP($S$416,'TAR FIN'!$A$1:$O$92,15,0))</f>
        <v>0</v>
      </c>
      <c r="W416" s="6">
        <f>IF(ISERROR(VLOOKUP($T$416,'TAR FIN'!$A$1:$O$92,15,0)),0,VLOOKUP($T$416,'TAR FIN'!$A$1:$O$92,15,0))</f>
        <v>301.99</v>
      </c>
      <c r="X416" s="6">
        <f>IF(ISERROR(VLOOKUP($U$416,'TAR FIN'!$A$1:$O$92,15,0)),0,VLOOKUP($U$416,'TAR FIN'!$A$1:$O$92,15,0))</f>
        <v>267.11</v>
      </c>
      <c r="Y416" s="6"/>
      <c r="Z416" s="6">
        <f ca="1">('TUSD BE'!$AM$37+'TUSD BF_350'!$AM$37+'TUSD CVA'!$AM$37)*(1-CUSTOS!$M$38)</f>
        <v>291.86059999999998</v>
      </c>
      <c r="AA416" s="6">
        <f ca="1">('TE BE'!$AB$25+'TE BF_350'!$AB$25+'TE CVA'!$AB$25)*(1-CUSTOS!$M$38)</f>
        <v>246.77819999999997</v>
      </c>
      <c r="AB416" s="6">
        <f>$K$416*$V$416</f>
        <v>0</v>
      </c>
      <c r="AC416" s="6">
        <f>$M$416*$W$416</f>
        <v>2652.6801600000003</v>
      </c>
      <c r="AD416" s="6">
        <f>$O$416*$X$416</f>
        <v>2346.2942400000002</v>
      </c>
      <c r="AE416" s="6">
        <f>$K$416*$Y$416</f>
        <v>0</v>
      </c>
      <c r="AF416" s="6">
        <f ca="1">$M$416*$Z$416</f>
        <v>2563.7035104000001</v>
      </c>
      <c r="AG416" s="6">
        <f ca="1">$O$416*$AA$416</f>
        <v>2167.6997087999998</v>
      </c>
    </row>
    <row r="417" spans="1:33" ht="11.25" customHeight="1" x14ac:dyDescent="0.3">
      <c r="A417" s="4" t="s">
        <v>21</v>
      </c>
      <c r="B417" s="4" t="s">
        <v>41</v>
      </c>
      <c r="C417" s="4" t="s">
        <v>23</v>
      </c>
      <c r="D417" s="4" t="s">
        <v>42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44652</v>
      </c>
      <c r="J417" s="6">
        <v>0</v>
      </c>
      <c r="K417" s="6">
        <v>0</v>
      </c>
      <c r="L417" s="6">
        <v>197.05199999999999</v>
      </c>
      <c r="M417" s="6">
        <v>197.05199999999999</v>
      </c>
      <c r="N417" s="6">
        <v>197.05199999999999</v>
      </c>
      <c r="O417" s="6">
        <v>197.05199999999999</v>
      </c>
      <c r="P417" s="6">
        <v>790</v>
      </c>
      <c r="Q417" s="4" t="s">
        <v>26</v>
      </c>
      <c r="R417" s="4">
        <v>0</v>
      </c>
      <c r="S417" s="6">
        <v>0</v>
      </c>
      <c r="T417" s="6">
        <v>62</v>
      </c>
      <c r="U417" s="6">
        <v>23</v>
      </c>
      <c r="V417" s="6">
        <f>IF(ISERROR(VLOOKUP($S$417,'TAR FIN'!$A$1:$O$92,15,0)),0,VLOOKUP($S$417,'TAR FIN'!$A$1:$O$92,15,0))</f>
        <v>0</v>
      </c>
      <c r="W417" s="6">
        <f>IF(ISERROR(VLOOKUP($T$417,'TAR FIN'!$A$1:$O$92,15,0)),0,VLOOKUP($T$417,'TAR FIN'!$A$1:$O$92,15,0))</f>
        <v>301.99</v>
      </c>
      <c r="X417" s="6">
        <f>IF(ISERROR(VLOOKUP($U$417,'TAR FIN'!$A$1:$O$92,15,0)),0,VLOOKUP($U$417,'TAR FIN'!$A$1:$O$92,15,0))</f>
        <v>267.11</v>
      </c>
      <c r="Y417" s="6"/>
      <c r="Z417" s="6">
        <f ca="1">('TUSD BE'!$AM$37+'TUSD BF_350'!$AM$37+'TUSD CVA'!$AM$37)*(1-CUSTOS!$M$38)</f>
        <v>291.86059999999998</v>
      </c>
      <c r="AA417" s="6">
        <f ca="1">('TE BE'!$AB$25+'TE BF_350'!$AB$25+'TE CVA'!$AB$25)*(1-CUSTOS!$M$38)</f>
        <v>246.77819999999997</v>
      </c>
      <c r="AB417" s="6">
        <f>$K$417*$V$417</f>
        <v>0</v>
      </c>
      <c r="AC417" s="6">
        <f>$M$417*$W$417</f>
        <v>59507.733480000003</v>
      </c>
      <c r="AD417" s="6">
        <f>$O$417*$X$417</f>
        <v>52634.559719999997</v>
      </c>
      <c r="AE417" s="6">
        <f>$K$417*$Y$417</f>
        <v>0</v>
      </c>
      <c r="AF417" s="6">
        <f ca="1">$M$417*$Z$417</f>
        <v>57511.714951199996</v>
      </c>
      <c r="AG417" s="6">
        <f ca="1">$O$417*$AA$417</f>
        <v>48628.137866399993</v>
      </c>
    </row>
    <row r="418" spans="1:33" ht="11.25" customHeight="1" x14ac:dyDescent="0.3">
      <c r="A418" s="4" t="s">
        <v>27</v>
      </c>
      <c r="B418" s="4" t="s">
        <v>41</v>
      </c>
      <c r="C418" s="4" t="s">
        <v>23</v>
      </c>
      <c r="D418" s="4" t="s">
        <v>42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44652</v>
      </c>
      <c r="J418" s="6">
        <v>0</v>
      </c>
      <c r="K418" s="6">
        <v>0</v>
      </c>
      <c r="L418" s="6">
        <v>13.965999999999999</v>
      </c>
      <c r="M418" s="6">
        <v>13.965999999999999</v>
      </c>
      <c r="N418" s="6">
        <v>13.965999999999999</v>
      </c>
      <c r="O418" s="6">
        <v>13.965999999999999</v>
      </c>
      <c r="P418" s="6">
        <v>39</v>
      </c>
      <c r="Q418" s="4" t="s">
        <v>26</v>
      </c>
      <c r="R418" s="4">
        <v>0</v>
      </c>
      <c r="S418" s="6">
        <v>0</v>
      </c>
      <c r="T418" s="6">
        <v>62</v>
      </c>
      <c r="U418" s="6">
        <v>23</v>
      </c>
      <c r="V418" s="6">
        <f>IF(ISERROR(VLOOKUP($S$418,'TAR FIN'!$A$1:$O$92,15,0)),0,VLOOKUP($S$418,'TAR FIN'!$A$1:$O$92,15,0))</f>
        <v>0</v>
      </c>
      <c r="W418" s="6">
        <f>IF(ISERROR(VLOOKUP($T$418,'TAR FIN'!$A$1:$O$92,15,0)),0,VLOOKUP($T$418,'TAR FIN'!$A$1:$O$92,15,0))</f>
        <v>301.99</v>
      </c>
      <c r="X418" s="6">
        <f>IF(ISERROR(VLOOKUP($U$418,'TAR FIN'!$A$1:$O$92,15,0)),0,VLOOKUP($U$418,'TAR FIN'!$A$1:$O$92,15,0))</f>
        <v>267.11</v>
      </c>
      <c r="Y418" s="6"/>
      <c r="Z418" s="6">
        <f ca="1">('TUSD BE'!$AM$37+'TUSD BF_350'!$AM$37+'TUSD CVA'!$AM$37)*(1-CUSTOS!$M$38)</f>
        <v>291.86059999999998</v>
      </c>
      <c r="AA418" s="6">
        <f ca="1">('TE BE'!$AB$25+'TE BF_350'!$AB$25+'TE CVA'!$AB$25)*(1-CUSTOS!$M$38)</f>
        <v>246.77819999999997</v>
      </c>
      <c r="AB418" s="6">
        <f>$K$418*$V$418</f>
        <v>0</v>
      </c>
      <c r="AC418" s="6">
        <f>$M$418*$W$418</f>
        <v>4217.5923400000001</v>
      </c>
      <c r="AD418" s="6">
        <f>$O$418*$X$418</f>
        <v>3730.4582599999999</v>
      </c>
      <c r="AE418" s="6">
        <f>$K$418*$Y$418</f>
        <v>0</v>
      </c>
      <c r="AF418" s="6">
        <f ca="1">$M$418*$Z$418</f>
        <v>4076.1251395999993</v>
      </c>
      <c r="AG418" s="6">
        <f ca="1">$O$418*$AA$418</f>
        <v>3446.5043411999995</v>
      </c>
    </row>
    <row r="419" spans="1:33" ht="11.25" customHeight="1" x14ac:dyDescent="0.3">
      <c r="A419" s="4" t="s">
        <v>21</v>
      </c>
      <c r="B419" s="4" t="s">
        <v>41</v>
      </c>
      <c r="C419" s="4" t="s">
        <v>23</v>
      </c>
      <c r="D419" s="4" t="s">
        <v>42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44682</v>
      </c>
      <c r="J419" s="6">
        <v>0</v>
      </c>
      <c r="K419" s="6">
        <v>0</v>
      </c>
      <c r="L419" s="6">
        <v>186.18</v>
      </c>
      <c r="M419" s="6">
        <v>186.18</v>
      </c>
      <c r="N419" s="6">
        <v>186.18</v>
      </c>
      <c r="O419" s="6">
        <v>186.18</v>
      </c>
      <c r="P419" s="6">
        <v>789</v>
      </c>
      <c r="Q419" s="4" t="s">
        <v>26</v>
      </c>
      <c r="R419" s="4">
        <v>0</v>
      </c>
      <c r="S419" s="6">
        <v>0</v>
      </c>
      <c r="T419" s="6">
        <v>62</v>
      </c>
      <c r="U419" s="6">
        <v>23</v>
      </c>
      <c r="V419" s="6">
        <f>IF(ISERROR(VLOOKUP($S$419,'TAR FIN'!$A$1:$O$92,15,0)),0,VLOOKUP($S$419,'TAR FIN'!$A$1:$O$92,15,0))</f>
        <v>0</v>
      </c>
      <c r="W419" s="6">
        <f>IF(ISERROR(VLOOKUP($T$419,'TAR FIN'!$A$1:$O$92,15,0)),0,VLOOKUP($T$419,'TAR FIN'!$A$1:$O$92,15,0))</f>
        <v>301.99</v>
      </c>
      <c r="X419" s="6">
        <f>IF(ISERROR(VLOOKUP($U$419,'TAR FIN'!$A$1:$O$92,15,0)),0,VLOOKUP($U$419,'TAR FIN'!$A$1:$O$92,15,0))</f>
        <v>267.11</v>
      </c>
      <c r="Y419" s="6"/>
      <c r="Z419" s="6">
        <f ca="1">('TUSD BE'!$AM$37+'TUSD BF_350'!$AM$37+'TUSD CVA'!$AM$37)*(1-CUSTOS!$M$38)</f>
        <v>291.86059999999998</v>
      </c>
      <c r="AA419" s="6">
        <f ca="1">('TE BE'!$AB$25+'TE BF_350'!$AB$25+'TE CVA'!$AB$25)*(1-CUSTOS!$M$38)</f>
        <v>246.77819999999997</v>
      </c>
      <c r="AB419" s="6">
        <f>$K$419*$V$419</f>
        <v>0</v>
      </c>
      <c r="AC419" s="6">
        <f>$M$419*$W$419</f>
        <v>56224.498200000002</v>
      </c>
      <c r="AD419" s="6">
        <f>$O$419*$X$419</f>
        <v>49730.539800000006</v>
      </c>
      <c r="AE419" s="6">
        <f>$K$419*$Y$419</f>
        <v>0</v>
      </c>
      <c r="AF419" s="6">
        <f ca="1">$M$419*$Z$419</f>
        <v>54338.606507999997</v>
      </c>
      <c r="AG419" s="6">
        <f ca="1">$O$419*$AA$419</f>
        <v>45945.165275999992</v>
      </c>
    </row>
    <row r="420" spans="1:33" ht="11.25" customHeight="1" x14ac:dyDescent="0.3">
      <c r="A420" s="4" t="s">
        <v>27</v>
      </c>
      <c r="B420" s="4" t="s">
        <v>41</v>
      </c>
      <c r="C420" s="4" t="s">
        <v>23</v>
      </c>
      <c r="D420" s="4" t="s">
        <v>42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44682</v>
      </c>
      <c r="J420" s="6">
        <v>0</v>
      </c>
      <c r="K420" s="6">
        <v>0</v>
      </c>
      <c r="L420" s="6">
        <v>8.7940000000000005</v>
      </c>
      <c r="M420" s="6">
        <v>8.7940000000000005</v>
      </c>
      <c r="N420" s="6">
        <v>8.7940000000000005</v>
      </c>
      <c r="O420" s="6">
        <v>8.7940000000000005</v>
      </c>
      <c r="P420" s="6">
        <v>40</v>
      </c>
      <c r="Q420" s="4" t="s">
        <v>26</v>
      </c>
      <c r="R420" s="4">
        <v>0</v>
      </c>
      <c r="S420" s="6">
        <v>0</v>
      </c>
      <c r="T420" s="6">
        <v>62</v>
      </c>
      <c r="U420" s="6">
        <v>23</v>
      </c>
      <c r="V420" s="6">
        <f>IF(ISERROR(VLOOKUP($S$420,'TAR FIN'!$A$1:$O$92,15,0)),0,VLOOKUP($S$420,'TAR FIN'!$A$1:$O$92,15,0))</f>
        <v>0</v>
      </c>
      <c r="W420" s="6">
        <f>IF(ISERROR(VLOOKUP($T$420,'TAR FIN'!$A$1:$O$92,15,0)),0,VLOOKUP($T$420,'TAR FIN'!$A$1:$O$92,15,0))</f>
        <v>301.99</v>
      </c>
      <c r="X420" s="6">
        <f>IF(ISERROR(VLOOKUP($U$420,'TAR FIN'!$A$1:$O$92,15,0)),0,VLOOKUP($U$420,'TAR FIN'!$A$1:$O$92,15,0))</f>
        <v>267.11</v>
      </c>
      <c r="Y420" s="6"/>
      <c r="Z420" s="6">
        <f ca="1">('TUSD BE'!$AM$37+'TUSD BF_350'!$AM$37+'TUSD CVA'!$AM$37)*(1-CUSTOS!$M$38)</f>
        <v>291.86059999999998</v>
      </c>
      <c r="AA420" s="6">
        <f ca="1">('TE BE'!$AB$25+'TE BF_350'!$AB$25+'TE CVA'!$AB$25)*(1-CUSTOS!$M$38)</f>
        <v>246.77819999999997</v>
      </c>
      <c r="AB420" s="6">
        <f>$K$420*$V$420</f>
        <v>0</v>
      </c>
      <c r="AC420" s="6">
        <f>$M$420*$W$420</f>
        <v>2655.7000600000001</v>
      </c>
      <c r="AD420" s="6">
        <f>$O$420*$X$420</f>
        <v>2348.9653400000002</v>
      </c>
      <c r="AE420" s="6">
        <f>$K$420*$Y$420</f>
        <v>0</v>
      </c>
      <c r="AF420" s="6">
        <f ca="1">$M$420*$Z$420</f>
        <v>2566.6221163999999</v>
      </c>
      <c r="AG420" s="6">
        <f ca="1">$O$420*$AA$420</f>
        <v>2170.1674908</v>
      </c>
    </row>
    <row r="421" spans="1:33" ht="11.25" customHeight="1" x14ac:dyDescent="0.3">
      <c r="A421" s="4" t="s">
        <v>21</v>
      </c>
      <c r="B421" s="4" t="s">
        <v>41</v>
      </c>
      <c r="C421" s="4" t="s">
        <v>23</v>
      </c>
      <c r="D421" s="4" t="s">
        <v>42</v>
      </c>
      <c r="E421" s="4" t="s">
        <v>25</v>
      </c>
      <c r="F421" s="4" t="s">
        <v>25</v>
      </c>
      <c r="G421" s="4" t="s">
        <v>25</v>
      </c>
      <c r="H421" s="4" t="s">
        <v>25</v>
      </c>
      <c r="I421" s="5">
        <v>44713</v>
      </c>
      <c r="J421" s="6">
        <v>0</v>
      </c>
      <c r="K421" s="6">
        <v>0</v>
      </c>
      <c r="L421" s="6">
        <v>202.459</v>
      </c>
      <c r="M421" s="6">
        <v>202.459</v>
      </c>
      <c r="N421" s="6">
        <v>202.459</v>
      </c>
      <c r="O421" s="6">
        <v>202.459</v>
      </c>
      <c r="P421" s="6">
        <v>792</v>
      </c>
      <c r="Q421" s="4" t="s">
        <v>26</v>
      </c>
      <c r="R421" s="4">
        <v>0</v>
      </c>
      <c r="S421" s="6">
        <v>0</v>
      </c>
      <c r="T421" s="6">
        <v>62</v>
      </c>
      <c r="U421" s="6">
        <v>23</v>
      </c>
      <c r="V421" s="6">
        <f>IF(ISERROR(VLOOKUP($S$421,'TAR FIN'!$A$1:$O$92,15,0)),0,VLOOKUP($S$421,'TAR FIN'!$A$1:$O$92,15,0))</f>
        <v>0</v>
      </c>
      <c r="W421" s="6">
        <f>IF(ISERROR(VLOOKUP($T$421,'TAR FIN'!$A$1:$O$92,15,0)),0,VLOOKUP($T$421,'TAR FIN'!$A$1:$O$92,15,0))</f>
        <v>301.99</v>
      </c>
      <c r="X421" s="6">
        <f>IF(ISERROR(VLOOKUP($U$421,'TAR FIN'!$A$1:$O$92,15,0)),0,VLOOKUP($U$421,'TAR FIN'!$A$1:$O$92,15,0))</f>
        <v>267.11</v>
      </c>
      <c r="Y421" s="6"/>
      <c r="Z421" s="6">
        <f ca="1">('TUSD BE'!$AM$37+'TUSD BF_350'!$AM$37+'TUSD CVA'!$AM$37)*(1-CUSTOS!$M$38)</f>
        <v>291.86059999999998</v>
      </c>
      <c r="AA421" s="6">
        <f ca="1">('TE BE'!$AB$25+'TE BF_350'!$AB$25+'TE CVA'!$AB$25)*(1-CUSTOS!$M$38)</f>
        <v>246.77819999999997</v>
      </c>
      <c r="AB421" s="6">
        <f>$K$421*$V$421</f>
        <v>0</v>
      </c>
      <c r="AC421" s="6">
        <f>$M$421*$W$421</f>
        <v>61140.593410000001</v>
      </c>
      <c r="AD421" s="6">
        <f>$O$421*$X$421</f>
        <v>54078.823490000002</v>
      </c>
      <c r="AE421" s="6">
        <f>$K$421*$Y$421</f>
        <v>0</v>
      </c>
      <c r="AF421" s="6">
        <f ca="1">$M$421*$Z$421</f>
        <v>59089.805215399996</v>
      </c>
      <c r="AG421" s="6">
        <f ca="1">$O$421*$AA$421</f>
        <v>49962.467593799993</v>
      </c>
    </row>
    <row r="422" spans="1:33" ht="11.25" customHeight="1" x14ac:dyDescent="0.3">
      <c r="A422" s="4" t="s">
        <v>27</v>
      </c>
      <c r="B422" s="4" t="s">
        <v>41</v>
      </c>
      <c r="C422" s="4" t="s">
        <v>23</v>
      </c>
      <c r="D422" s="4" t="s">
        <v>42</v>
      </c>
      <c r="E422" s="4" t="s">
        <v>25</v>
      </c>
      <c r="F422" s="4" t="s">
        <v>25</v>
      </c>
      <c r="G422" s="4" t="s">
        <v>25</v>
      </c>
      <c r="H422" s="4" t="s">
        <v>25</v>
      </c>
      <c r="I422" s="5">
        <v>44713</v>
      </c>
      <c r="J422" s="6">
        <v>0</v>
      </c>
      <c r="K422" s="6">
        <v>0</v>
      </c>
      <c r="L422" s="6">
        <v>12.084</v>
      </c>
      <c r="M422" s="6">
        <v>12.084</v>
      </c>
      <c r="N422" s="6">
        <v>12.084</v>
      </c>
      <c r="O422" s="6">
        <v>12.084</v>
      </c>
      <c r="P422" s="6">
        <v>41</v>
      </c>
      <c r="Q422" s="4" t="s">
        <v>26</v>
      </c>
      <c r="R422" s="4">
        <v>0</v>
      </c>
      <c r="S422" s="6">
        <v>0</v>
      </c>
      <c r="T422" s="6">
        <v>62</v>
      </c>
      <c r="U422" s="6">
        <v>23</v>
      </c>
      <c r="V422" s="6">
        <f>IF(ISERROR(VLOOKUP($S$422,'TAR FIN'!$A$1:$O$92,15,0)),0,VLOOKUP($S$422,'TAR FIN'!$A$1:$O$92,15,0))</f>
        <v>0</v>
      </c>
      <c r="W422" s="6">
        <f>IF(ISERROR(VLOOKUP($T$422,'TAR FIN'!$A$1:$O$92,15,0)),0,VLOOKUP($T$422,'TAR FIN'!$A$1:$O$92,15,0))</f>
        <v>301.99</v>
      </c>
      <c r="X422" s="6">
        <f>IF(ISERROR(VLOOKUP($U$422,'TAR FIN'!$A$1:$O$92,15,0)),0,VLOOKUP($U$422,'TAR FIN'!$A$1:$O$92,15,0))</f>
        <v>267.11</v>
      </c>
      <c r="Y422" s="6"/>
      <c r="Z422" s="6">
        <f ca="1">('TUSD BE'!$AM$37+'TUSD BF_350'!$AM$37+'TUSD CVA'!$AM$37)*(1-CUSTOS!$M$38)</f>
        <v>291.86059999999998</v>
      </c>
      <c r="AA422" s="6">
        <f ca="1">('TE BE'!$AB$25+'TE BF_350'!$AB$25+'TE CVA'!$AB$25)*(1-CUSTOS!$M$38)</f>
        <v>246.77819999999997</v>
      </c>
      <c r="AB422" s="6">
        <f>$K$422*$V$422</f>
        <v>0</v>
      </c>
      <c r="AC422" s="6">
        <f>$M$422*$W$422</f>
        <v>3649.2471599999999</v>
      </c>
      <c r="AD422" s="6">
        <f>$O$422*$X$422</f>
        <v>3227.7572399999999</v>
      </c>
      <c r="AE422" s="6">
        <f>$K$422*$Y$422</f>
        <v>0</v>
      </c>
      <c r="AF422" s="6">
        <f ca="1">$M$422*$Z$422</f>
        <v>3526.8434903999996</v>
      </c>
      <c r="AG422" s="6">
        <f ca="1">$O$422*$AA$422</f>
        <v>2982.0677687999996</v>
      </c>
    </row>
    <row r="423" spans="1:33" ht="11.25" customHeight="1" x14ac:dyDescent="0.3">
      <c r="A423" s="4" t="s">
        <v>21</v>
      </c>
      <c r="B423" s="4" t="s">
        <v>41</v>
      </c>
      <c r="C423" s="4" t="s">
        <v>23</v>
      </c>
      <c r="D423" s="4" t="s">
        <v>42</v>
      </c>
      <c r="E423" s="4" t="s">
        <v>25</v>
      </c>
      <c r="F423" s="4" t="s">
        <v>25</v>
      </c>
      <c r="G423" s="4" t="s">
        <v>25</v>
      </c>
      <c r="H423" s="4" t="s">
        <v>25</v>
      </c>
      <c r="I423" s="5">
        <v>44743</v>
      </c>
      <c r="J423" s="6">
        <v>0</v>
      </c>
      <c r="K423" s="6">
        <v>0</v>
      </c>
      <c r="L423" s="6">
        <v>207.00899999999999</v>
      </c>
      <c r="M423" s="6">
        <v>207.00899999999999</v>
      </c>
      <c r="N423" s="6">
        <v>207.00899999999999</v>
      </c>
      <c r="O423" s="6">
        <v>207.00899999999999</v>
      </c>
      <c r="P423" s="6">
        <v>791</v>
      </c>
      <c r="Q423" s="4" t="s">
        <v>26</v>
      </c>
      <c r="R423" s="4">
        <v>0</v>
      </c>
      <c r="S423" s="6">
        <v>0</v>
      </c>
      <c r="T423" s="6">
        <v>62</v>
      </c>
      <c r="U423" s="6">
        <v>23</v>
      </c>
      <c r="V423" s="6">
        <f>IF(ISERROR(VLOOKUP($S$423,'TAR FIN'!$A$1:$O$92,15,0)),0,VLOOKUP($S$423,'TAR FIN'!$A$1:$O$92,15,0))</f>
        <v>0</v>
      </c>
      <c r="W423" s="6">
        <f>IF(ISERROR(VLOOKUP($T$423,'TAR FIN'!$A$1:$O$92,15,0)),0,VLOOKUP($T$423,'TAR FIN'!$A$1:$O$92,15,0))</f>
        <v>301.99</v>
      </c>
      <c r="X423" s="6">
        <f>IF(ISERROR(VLOOKUP($U$423,'TAR FIN'!$A$1:$O$92,15,0)),0,VLOOKUP($U$423,'TAR FIN'!$A$1:$O$92,15,0))</f>
        <v>267.11</v>
      </c>
      <c r="Y423" s="6"/>
      <c r="Z423" s="6">
        <f ca="1">('TUSD BE'!$AM$37+'TUSD BF_350'!$AM$37+'TUSD CVA'!$AM$37)*(1-CUSTOS!$M$38)</f>
        <v>291.86059999999998</v>
      </c>
      <c r="AA423" s="6">
        <f ca="1">('TE BE'!$AB$25+'TE BF_350'!$AB$25+'TE CVA'!$AB$25)*(1-CUSTOS!$M$38)</f>
        <v>246.77819999999997</v>
      </c>
      <c r="AB423" s="6">
        <f>$K$423*$V$423</f>
        <v>0</v>
      </c>
      <c r="AC423" s="6">
        <f>$M$423*$W$423</f>
        <v>62514.64791</v>
      </c>
      <c r="AD423" s="6">
        <f>$O$423*$X$423</f>
        <v>55294.173989999996</v>
      </c>
      <c r="AE423" s="6">
        <f>$K$423*$Y$423</f>
        <v>0</v>
      </c>
      <c r="AF423" s="6">
        <f ca="1">$M$423*$Z$423</f>
        <v>60417.770945399992</v>
      </c>
      <c r="AG423" s="6">
        <f ca="1">$O$423*$AA$423</f>
        <v>51085.308403799987</v>
      </c>
    </row>
    <row r="424" spans="1:33" ht="11.25" customHeight="1" x14ac:dyDescent="0.3">
      <c r="A424" s="4" t="s">
        <v>27</v>
      </c>
      <c r="B424" s="4" t="s">
        <v>41</v>
      </c>
      <c r="C424" s="4" t="s">
        <v>23</v>
      </c>
      <c r="D424" s="4" t="s">
        <v>42</v>
      </c>
      <c r="E424" s="4" t="s">
        <v>25</v>
      </c>
      <c r="F424" s="4" t="s">
        <v>25</v>
      </c>
      <c r="G424" s="4" t="s">
        <v>25</v>
      </c>
      <c r="H424" s="4" t="s">
        <v>25</v>
      </c>
      <c r="I424" s="5">
        <v>44743</v>
      </c>
      <c r="J424" s="6">
        <v>0</v>
      </c>
      <c r="K424" s="6">
        <v>0</v>
      </c>
      <c r="L424" s="6">
        <v>12.455</v>
      </c>
      <c r="M424" s="6">
        <v>12.455</v>
      </c>
      <c r="N424" s="6">
        <v>12.455</v>
      </c>
      <c r="O424" s="6">
        <v>12.455</v>
      </c>
      <c r="P424" s="6">
        <v>41</v>
      </c>
      <c r="Q424" s="4" t="s">
        <v>26</v>
      </c>
      <c r="R424" s="4">
        <v>0</v>
      </c>
      <c r="S424" s="6">
        <v>0</v>
      </c>
      <c r="T424" s="6">
        <v>62</v>
      </c>
      <c r="U424" s="6">
        <v>23</v>
      </c>
      <c r="V424" s="6">
        <f>IF(ISERROR(VLOOKUP($S$424,'TAR FIN'!$A$1:$O$92,15,0)),0,VLOOKUP($S$424,'TAR FIN'!$A$1:$O$92,15,0))</f>
        <v>0</v>
      </c>
      <c r="W424" s="6">
        <f>IF(ISERROR(VLOOKUP($T$424,'TAR FIN'!$A$1:$O$92,15,0)),0,VLOOKUP($T$424,'TAR FIN'!$A$1:$O$92,15,0))</f>
        <v>301.99</v>
      </c>
      <c r="X424" s="6">
        <f>IF(ISERROR(VLOOKUP($U$424,'TAR FIN'!$A$1:$O$92,15,0)),0,VLOOKUP($U$424,'TAR FIN'!$A$1:$O$92,15,0))</f>
        <v>267.11</v>
      </c>
      <c r="Y424" s="6"/>
      <c r="Z424" s="6">
        <f ca="1">('TUSD BE'!$AM$37+'TUSD BF_350'!$AM$37+'TUSD CVA'!$AM$37)*(1-CUSTOS!$M$38)</f>
        <v>291.86059999999998</v>
      </c>
      <c r="AA424" s="6">
        <f ca="1">('TE BE'!$AB$25+'TE BF_350'!$AB$25+'TE CVA'!$AB$25)*(1-CUSTOS!$M$38)</f>
        <v>246.77819999999997</v>
      </c>
      <c r="AB424" s="6">
        <f>$K$424*$V$424</f>
        <v>0</v>
      </c>
      <c r="AC424" s="6">
        <f>$M$424*$W$424</f>
        <v>3761.2854500000003</v>
      </c>
      <c r="AD424" s="6">
        <f>$O$424*$X$424</f>
        <v>3326.8550500000001</v>
      </c>
      <c r="AE424" s="6">
        <f>$K$424*$Y$424</f>
        <v>0</v>
      </c>
      <c r="AF424" s="6">
        <f ca="1">$M$424*$Z$424</f>
        <v>3635.1237729999998</v>
      </c>
      <c r="AG424" s="6">
        <f ca="1">$O$424*$AA$424</f>
        <v>3073.6224809999994</v>
      </c>
    </row>
    <row r="425" spans="1:33" ht="11.25" customHeight="1" x14ac:dyDescent="0.3">
      <c r="A425" s="4" t="s">
        <v>21</v>
      </c>
      <c r="B425" s="4" t="s">
        <v>32</v>
      </c>
      <c r="C425" s="4" t="s">
        <v>38</v>
      </c>
      <c r="D425" s="4" t="s">
        <v>40</v>
      </c>
      <c r="E425" s="4" t="s">
        <v>25</v>
      </c>
      <c r="F425" s="4" t="s">
        <v>25</v>
      </c>
      <c r="G425" s="4" t="s">
        <v>25</v>
      </c>
      <c r="H425" s="4" t="s">
        <v>37</v>
      </c>
      <c r="I425" s="5">
        <v>44409</v>
      </c>
      <c r="J425" s="6">
        <v>0</v>
      </c>
      <c r="K425" s="6">
        <v>0</v>
      </c>
      <c r="L425" s="6">
        <v>4.5380000000000003</v>
      </c>
      <c r="M425" s="6">
        <v>4.5380000000000003</v>
      </c>
      <c r="N425" s="6">
        <v>4.5380000000000003</v>
      </c>
      <c r="O425" s="6">
        <v>4.5380000000000003</v>
      </c>
      <c r="P425" s="6">
        <v>0</v>
      </c>
      <c r="Q425" s="4" t="s">
        <v>26</v>
      </c>
      <c r="R425" s="4">
        <v>0</v>
      </c>
      <c r="S425" s="6">
        <v>0</v>
      </c>
      <c r="T425" s="6">
        <v>76</v>
      </c>
      <c r="U425" s="6">
        <v>51</v>
      </c>
      <c r="V425" s="6">
        <f>IF(ISERROR(VLOOKUP($S$425,'TAR FIN'!$A$1:$O$92,15,0)),0,VLOOKUP($S$425,'TAR FIN'!$A$1:$O$92,15,0))</f>
        <v>0</v>
      </c>
      <c r="W425" s="6">
        <f>IF(ISERROR(VLOOKUP($T$425,'TAR FIN'!$A$1:$O$92,15,0)),0,VLOOKUP($T$425,'TAR FIN'!$A$1:$O$92,15,0))</f>
        <v>225.41</v>
      </c>
      <c r="X425" s="6">
        <f>IF(ISERROR(VLOOKUP($U$425,'TAR FIN'!$A$1:$O$92,15,0)),0,VLOOKUP($U$425,'TAR FIN'!$A$1:$O$92,15,0))</f>
        <v>286.76</v>
      </c>
      <c r="Y425" s="6"/>
      <c r="Z425" s="6">
        <f ca="1">('TUSD BE'!$AM$51+'TUSD BF_350'!$AM$51+'TUSD CVA'!$AM$51)*1</f>
        <v>261.33999999999997</v>
      </c>
      <c r="AA425" s="6">
        <f ca="1">('TE BE'!$AB$39+'TE BF_350'!$AB$39+'TE CVA'!$AB$39)*1</f>
        <v>250.03999999999996</v>
      </c>
      <c r="AB425" s="6">
        <f>$K$425*$V$425</f>
        <v>0</v>
      </c>
      <c r="AC425" s="6">
        <f>$M$425*$W$425</f>
        <v>1022.9105800000001</v>
      </c>
      <c r="AD425" s="6">
        <f>$O$425*$X$425</f>
        <v>1301.3168800000001</v>
      </c>
      <c r="AE425" s="6">
        <f>$K$425*$Y$425</f>
        <v>0</v>
      </c>
      <c r="AF425" s="6">
        <f ca="1">$M$425*$Z$425</f>
        <v>1185.96092</v>
      </c>
      <c r="AG425" s="6">
        <f ca="1">$O$425*$AA$425</f>
        <v>1134.6815199999999</v>
      </c>
    </row>
    <row r="426" spans="1:33" ht="11.25" customHeight="1" x14ac:dyDescent="0.3">
      <c r="A426" s="4" t="s">
        <v>21</v>
      </c>
      <c r="B426" s="4" t="s">
        <v>32</v>
      </c>
      <c r="C426" s="4" t="s">
        <v>38</v>
      </c>
      <c r="D426" s="4" t="s">
        <v>40</v>
      </c>
      <c r="E426" s="4" t="s">
        <v>25</v>
      </c>
      <c r="F426" s="4" t="s">
        <v>25</v>
      </c>
      <c r="G426" s="4" t="s">
        <v>25</v>
      </c>
      <c r="H426" s="4" t="s">
        <v>37</v>
      </c>
      <c r="I426" s="5">
        <v>44440</v>
      </c>
      <c r="J426" s="6">
        <v>0</v>
      </c>
      <c r="K426" s="6">
        <v>0</v>
      </c>
      <c r="L426" s="6">
        <v>4.0140000000000002</v>
      </c>
      <c r="M426" s="6">
        <v>4.0140000000000002</v>
      </c>
      <c r="N426" s="6">
        <v>4.0140000000000002</v>
      </c>
      <c r="O426" s="6">
        <v>4.0140000000000002</v>
      </c>
      <c r="P426" s="6">
        <v>0</v>
      </c>
      <c r="Q426" s="4" t="s">
        <v>26</v>
      </c>
      <c r="R426" s="4">
        <v>0</v>
      </c>
      <c r="S426" s="6">
        <v>0</v>
      </c>
      <c r="T426" s="6">
        <v>76</v>
      </c>
      <c r="U426" s="6">
        <v>51</v>
      </c>
      <c r="V426" s="6">
        <f>IF(ISERROR(VLOOKUP($S$426,'TAR FIN'!$A$1:$O$92,15,0)),0,VLOOKUP($S$426,'TAR FIN'!$A$1:$O$92,15,0))</f>
        <v>0</v>
      </c>
      <c r="W426" s="6">
        <f>IF(ISERROR(VLOOKUP($T$426,'TAR FIN'!$A$1:$O$92,15,0)),0,VLOOKUP($T$426,'TAR FIN'!$A$1:$O$92,15,0))</f>
        <v>225.41</v>
      </c>
      <c r="X426" s="6">
        <f>IF(ISERROR(VLOOKUP($U$426,'TAR FIN'!$A$1:$O$92,15,0)),0,VLOOKUP($U$426,'TAR FIN'!$A$1:$O$92,15,0))</f>
        <v>286.76</v>
      </c>
      <c r="Y426" s="6"/>
      <c r="Z426" s="6">
        <f ca="1">('TUSD BE'!$AM$51+'TUSD BF_350'!$AM$51+'TUSD CVA'!$AM$51)*1</f>
        <v>261.33999999999997</v>
      </c>
      <c r="AA426" s="6">
        <f ca="1">('TE BE'!$AB$39+'TE BF_350'!$AB$39+'TE CVA'!$AB$39)*1</f>
        <v>250.03999999999996</v>
      </c>
      <c r="AB426" s="6">
        <f>$K$426*$V$426</f>
        <v>0</v>
      </c>
      <c r="AC426" s="6">
        <f>$M$426*$W$426</f>
        <v>904.79574000000002</v>
      </c>
      <c r="AD426" s="6">
        <f>$O$426*$X$426</f>
        <v>1151.0546400000001</v>
      </c>
      <c r="AE426" s="6">
        <f>$K$426*$Y$426</f>
        <v>0</v>
      </c>
      <c r="AF426" s="6">
        <f ca="1">$M$426*$Z$426</f>
        <v>1049.0187599999999</v>
      </c>
      <c r="AG426" s="6">
        <f ca="1">$O$426*$AA$426</f>
        <v>1003.6605599999999</v>
      </c>
    </row>
    <row r="427" spans="1:33" ht="11.25" customHeight="1" x14ac:dyDescent="0.3">
      <c r="A427" s="4" t="s">
        <v>21</v>
      </c>
      <c r="B427" s="4" t="s">
        <v>32</v>
      </c>
      <c r="C427" s="4" t="s">
        <v>38</v>
      </c>
      <c r="D427" s="4" t="s">
        <v>40</v>
      </c>
      <c r="E427" s="4" t="s">
        <v>25</v>
      </c>
      <c r="F427" s="4" t="s">
        <v>25</v>
      </c>
      <c r="G427" s="4" t="s">
        <v>25</v>
      </c>
      <c r="H427" s="4" t="s">
        <v>37</v>
      </c>
      <c r="I427" s="5">
        <v>44470</v>
      </c>
      <c r="J427" s="6">
        <v>0</v>
      </c>
      <c r="K427" s="6">
        <v>0</v>
      </c>
      <c r="L427" s="6">
        <v>4.2480000000000002</v>
      </c>
      <c r="M427" s="6">
        <v>4.2480000000000002</v>
      </c>
      <c r="N427" s="6">
        <v>4.2480000000000002</v>
      </c>
      <c r="O427" s="6">
        <v>4.2480000000000002</v>
      </c>
      <c r="P427" s="6">
        <v>0</v>
      </c>
      <c r="Q427" s="4" t="s">
        <v>26</v>
      </c>
      <c r="R427" s="4">
        <v>0</v>
      </c>
      <c r="S427" s="6">
        <v>0</v>
      </c>
      <c r="T427" s="6">
        <v>76</v>
      </c>
      <c r="U427" s="6">
        <v>51</v>
      </c>
      <c r="V427" s="6">
        <f>IF(ISERROR(VLOOKUP($S$427,'TAR FIN'!$A$1:$O$92,15,0)),0,VLOOKUP($S$427,'TAR FIN'!$A$1:$O$92,15,0))</f>
        <v>0</v>
      </c>
      <c r="W427" s="6">
        <f>IF(ISERROR(VLOOKUP($T$427,'TAR FIN'!$A$1:$O$92,15,0)),0,VLOOKUP($T$427,'TAR FIN'!$A$1:$O$92,15,0))</f>
        <v>225.41</v>
      </c>
      <c r="X427" s="6">
        <f>IF(ISERROR(VLOOKUP($U$427,'TAR FIN'!$A$1:$O$92,15,0)),0,VLOOKUP($U$427,'TAR FIN'!$A$1:$O$92,15,0))</f>
        <v>286.76</v>
      </c>
      <c r="Y427" s="6"/>
      <c r="Z427" s="6">
        <f ca="1">('TUSD BE'!$AM$51+'TUSD BF_350'!$AM$51+'TUSD CVA'!$AM$51)*1</f>
        <v>261.33999999999997</v>
      </c>
      <c r="AA427" s="6">
        <f ca="1">('TE BE'!$AB$39+'TE BF_350'!$AB$39+'TE CVA'!$AB$39)*1</f>
        <v>250.03999999999996</v>
      </c>
      <c r="AB427" s="6">
        <f>$K$427*$V$427</f>
        <v>0</v>
      </c>
      <c r="AC427" s="6">
        <f>$M$427*$W$427</f>
        <v>957.54168000000004</v>
      </c>
      <c r="AD427" s="6">
        <f>$O$427*$X$427</f>
        <v>1218.1564800000001</v>
      </c>
      <c r="AE427" s="6">
        <f>$K$427*$Y$427</f>
        <v>0</v>
      </c>
      <c r="AF427" s="6">
        <f ca="1">$M$427*$Z$427</f>
        <v>1110.1723199999999</v>
      </c>
      <c r="AG427" s="6">
        <f ca="1">$O$427*$AA$427</f>
        <v>1062.1699199999998</v>
      </c>
    </row>
    <row r="428" spans="1:33" ht="11.25" customHeight="1" x14ac:dyDescent="0.3">
      <c r="A428" s="4" t="s">
        <v>21</v>
      </c>
      <c r="B428" s="4" t="s">
        <v>32</v>
      </c>
      <c r="C428" s="4" t="s">
        <v>38</v>
      </c>
      <c r="D428" s="4" t="s">
        <v>40</v>
      </c>
      <c r="E428" s="4" t="s">
        <v>25</v>
      </c>
      <c r="F428" s="4" t="s">
        <v>25</v>
      </c>
      <c r="G428" s="4" t="s">
        <v>25</v>
      </c>
      <c r="H428" s="4" t="s">
        <v>37</v>
      </c>
      <c r="I428" s="5">
        <v>44501</v>
      </c>
      <c r="J428" s="6">
        <v>0</v>
      </c>
      <c r="K428" s="6">
        <v>0</v>
      </c>
      <c r="L428" s="6">
        <v>4.3120000000000003</v>
      </c>
      <c r="M428" s="6">
        <v>4.3120000000000003</v>
      </c>
      <c r="N428" s="6">
        <v>4.3120000000000003</v>
      </c>
      <c r="O428" s="6">
        <v>4.3120000000000003</v>
      </c>
      <c r="P428" s="6">
        <v>0</v>
      </c>
      <c r="Q428" s="4" t="s">
        <v>26</v>
      </c>
      <c r="R428" s="4">
        <v>0</v>
      </c>
      <c r="S428" s="6">
        <v>0</v>
      </c>
      <c r="T428" s="6">
        <v>76</v>
      </c>
      <c r="U428" s="6">
        <v>51</v>
      </c>
      <c r="V428" s="6">
        <f>IF(ISERROR(VLOOKUP($S$428,'TAR FIN'!$A$1:$O$92,15,0)),0,VLOOKUP($S$428,'TAR FIN'!$A$1:$O$92,15,0))</f>
        <v>0</v>
      </c>
      <c r="W428" s="6">
        <f>IF(ISERROR(VLOOKUP($T$428,'TAR FIN'!$A$1:$O$92,15,0)),0,VLOOKUP($T$428,'TAR FIN'!$A$1:$O$92,15,0))</f>
        <v>225.41</v>
      </c>
      <c r="X428" s="6">
        <f>IF(ISERROR(VLOOKUP($U$428,'TAR FIN'!$A$1:$O$92,15,0)),0,VLOOKUP($U$428,'TAR FIN'!$A$1:$O$92,15,0))</f>
        <v>286.76</v>
      </c>
      <c r="Y428" s="6"/>
      <c r="Z428" s="6">
        <f ca="1">('TUSD BE'!$AM$51+'TUSD BF_350'!$AM$51+'TUSD CVA'!$AM$51)*1</f>
        <v>261.33999999999997</v>
      </c>
      <c r="AA428" s="6">
        <f ca="1">('TE BE'!$AB$39+'TE BF_350'!$AB$39+'TE CVA'!$AB$39)*1</f>
        <v>250.03999999999996</v>
      </c>
      <c r="AB428" s="6">
        <f>$K$428*$V$428</f>
        <v>0</v>
      </c>
      <c r="AC428" s="6">
        <f>$M$428*$W$428</f>
        <v>971.96792000000005</v>
      </c>
      <c r="AD428" s="6">
        <f>$O$428*$X$428</f>
        <v>1236.5091199999999</v>
      </c>
      <c r="AE428" s="6">
        <f>$K$428*$Y$428</f>
        <v>0</v>
      </c>
      <c r="AF428" s="6">
        <f ca="1">$M$428*$Z$428</f>
        <v>1126.8980799999999</v>
      </c>
      <c r="AG428" s="6">
        <f ca="1">$O$428*$AA$428</f>
        <v>1078.17248</v>
      </c>
    </row>
    <row r="429" spans="1:33" ht="11.25" customHeight="1" x14ac:dyDescent="0.3">
      <c r="A429" s="4" t="s">
        <v>21</v>
      </c>
      <c r="B429" s="4" t="s">
        <v>32</v>
      </c>
      <c r="C429" s="4" t="s">
        <v>38</v>
      </c>
      <c r="D429" s="4" t="s">
        <v>40</v>
      </c>
      <c r="E429" s="4" t="s">
        <v>25</v>
      </c>
      <c r="F429" s="4" t="s">
        <v>25</v>
      </c>
      <c r="G429" s="4" t="s">
        <v>25</v>
      </c>
      <c r="H429" s="4" t="s">
        <v>37</v>
      </c>
      <c r="I429" s="5">
        <v>44531</v>
      </c>
      <c r="J429" s="6">
        <v>0</v>
      </c>
      <c r="K429" s="6">
        <v>0</v>
      </c>
      <c r="L429" s="6">
        <v>4.9260000000000002</v>
      </c>
      <c r="M429" s="6">
        <v>4.9260000000000002</v>
      </c>
      <c r="N429" s="6">
        <v>4.9260000000000002</v>
      </c>
      <c r="O429" s="6">
        <v>4.9260000000000002</v>
      </c>
      <c r="P429" s="6">
        <v>0</v>
      </c>
      <c r="Q429" s="4" t="s">
        <v>26</v>
      </c>
      <c r="R429" s="4">
        <v>0</v>
      </c>
      <c r="S429" s="6">
        <v>0</v>
      </c>
      <c r="T429" s="6">
        <v>76</v>
      </c>
      <c r="U429" s="6">
        <v>51</v>
      </c>
      <c r="V429" s="6">
        <f>IF(ISERROR(VLOOKUP($S$429,'TAR FIN'!$A$1:$O$92,15,0)),0,VLOOKUP($S$429,'TAR FIN'!$A$1:$O$92,15,0))</f>
        <v>0</v>
      </c>
      <c r="W429" s="6">
        <f>IF(ISERROR(VLOOKUP($T$429,'TAR FIN'!$A$1:$O$92,15,0)),0,VLOOKUP($T$429,'TAR FIN'!$A$1:$O$92,15,0))</f>
        <v>225.41</v>
      </c>
      <c r="X429" s="6">
        <f>IF(ISERROR(VLOOKUP($U$429,'TAR FIN'!$A$1:$O$92,15,0)),0,VLOOKUP($U$429,'TAR FIN'!$A$1:$O$92,15,0))</f>
        <v>286.76</v>
      </c>
      <c r="Y429" s="6"/>
      <c r="Z429" s="6">
        <f ca="1">('TUSD BE'!$AM$51+'TUSD BF_350'!$AM$51+'TUSD CVA'!$AM$51)*1</f>
        <v>261.33999999999997</v>
      </c>
      <c r="AA429" s="6">
        <f ca="1">('TE BE'!$AB$39+'TE BF_350'!$AB$39+'TE CVA'!$AB$39)*1</f>
        <v>250.03999999999996</v>
      </c>
      <c r="AB429" s="6">
        <f>$K$429*$V$429</f>
        <v>0</v>
      </c>
      <c r="AC429" s="6">
        <f>$M$429*$W$429</f>
        <v>1110.3696600000001</v>
      </c>
      <c r="AD429" s="6">
        <f>$O$429*$X$429</f>
        <v>1412.5797600000001</v>
      </c>
      <c r="AE429" s="6">
        <f>$K$429*$Y$429</f>
        <v>0</v>
      </c>
      <c r="AF429" s="6">
        <f ca="1">$M$429*$Z$429</f>
        <v>1287.3608399999998</v>
      </c>
      <c r="AG429" s="6">
        <f ca="1">$O$429*$AA$429</f>
        <v>1231.6970399999998</v>
      </c>
    </row>
    <row r="430" spans="1:33" ht="11.25" customHeight="1" x14ac:dyDescent="0.3">
      <c r="A430" s="4" t="s">
        <v>21</v>
      </c>
      <c r="B430" s="4" t="s">
        <v>32</v>
      </c>
      <c r="C430" s="4" t="s">
        <v>38</v>
      </c>
      <c r="D430" s="4" t="s">
        <v>40</v>
      </c>
      <c r="E430" s="4" t="s">
        <v>25</v>
      </c>
      <c r="F430" s="4" t="s">
        <v>25</v>
      </c>
      <c r="G430" s="4" t="s">
        <v>25</v>
      </c>
      <c r="H430" s="4" t="s">
        <v>37</v>
      </c>
      <c r="I430" s="5">
        <v>44562</v>
      </c>
      <c r="J430" s="6">
        <v>0</v>
      </c>
      <c r="K430" s="6">
        <v>0</v>
      </c>
      <c r="L430" s="6">
        <v>6.1130000000000004</v>
      </c>
      <c r="M430" s="6">
        <v>6.1130000000000004</v>
      </c>
      <c r="N430" s="6">
        <v>6.1130000000000004</v>
      </c>
      <c r="O430" s="6">
        <v>6.1130000000000004</v>
      </c>
      <c r="P430" s="6">
        <v>0</v>
      </c>
      <c r="Q430" s="4" t="s">
        <v>26</v>
      </c>
      <c r="R430" s="4">
        <v>0</v>
      </c>
      <c r="S430" s="6">
        <v>0</v>
      </c>
      <c r="T430" s="6">
        <v>76</v>
      </c>
      <c r="U430" s="6">
        <v>51</v>
      </c>
      <c r="V430" s="6">
        <f>IF(ISERROR(VLOOKUP($S$430,'TAR FIN'!$A$1:$O$92,15,0)),0,VLOOKUP($S$430,'TAR FIN'!$A$1:$O$92,15,0))</f>
        <v>0</v>
      </c>
      <c r="W430" s="6">
        <f>IF(ISERROR(VLOOKUP($T$430,'TAR FIN'!$A$1:$O$92,15,0)),0,VLOOKUP($T$430,'TAR FIN'!$A$1:$O$92,15,0))</f>
        <v>225.41</v>
      </c>
      <c r="X430" s="6">
        <f>IF(ISERROR(VLOOKUP($U$430,'TAR FIN'!$A$1:$O$92,15,0)),0,VLOOKUP($U$430,'TAR FIN'!$A$1:$O$92,15,0))</f>
        <v>286.76</v>
      </c>
      <c r="Y430" s="6"/>
      <c r="Z430" s="6">
        <f ca="1">('TUSD BE'!$AM$51+'TUSD BF_350'!$AM$51+'TUSD CVA'!$AM$51)*1</f>
        <v>261.33999999999997</v>
      </c>
      <c r="AA430" s="6">
        <f ca="1">('TE BE'!$AB$39+'TE BF_350'!$AB$39+'TE CVA'!$AB$39)*1</f>
        <v>250.03999999999996</v>
      </c>
      <c r="AB430" s="6">
        <f>$K$430*$V$430</f>
        <v>0</v>
      </c>
      <c r="AC430" s="6">
        <f>$M$430*$W$430</f>
        <v>1377.9313300000001</v>
      </c>
      <c r="AD430" s="6">
        <f>$O$430*$X$430</f>
        <v>1752.96388</v>
      </c>
      <c r="AE430" s="6">
        <f>$K$430*$Y$430</f>
        <v>0</v>
      </c>
      <c r="AF430" s="6">
        <f ca="1">$M$430*$Z$430</f>
        <v>1597.57142</v>
      </c>
      <c r="AG430" s="6">
        <f ca="1">$O$430*$AA$430</f>
        <v>1528.49452</v>
      </c>
    </row>
    <row r="431" spans="1:33" ht="11.25" customHeight="1" x14ac:dyDescent="0.3">
      <c r="A431" s="4" t="s">
        <v>21</v>
      </c>
      <c r="B431" s="4" t="s">
        <v>32</v>
      </c>
      <c r="C431" s="4" t="s">
        <v>38</v>
      </c>
      <c r="D431" s="4" t="s">
        <v>40</v>
      </c>
      <c r="E431" s="4" t="s">
        <v>25</v>
      </c>
      <c r="F431" s="4" t="s">
        <v>25</v>
      </c>
      <c r="G431" s="4" t="s">
        <v>25</v>
      </c>
      <c r="H431" s="4" t="s">
        <v>37</v>
      </c>
      <c r="I431" s="5">
        <v>44593</v>
      </c>
      <c r="J431" s="6">
        <v>0</v>
      </c>
      <c r="K431" s="6">
        <v>0</v>
      </c>
      <c r="L431" s="6">
        <v>7.43</v>
      </c>
      <c r="M431" s="6">
        <v>7.43</v>
      </c>
      <c r="N431" s="6">
        <v>7.43</v>
      </c>
      <c r="O431" s="6">
        <v>7.43</v>
      </c>
      <c r="P431" s="6">
        <v>0</v>
      </c>
      <c r="Q431" s="4" t="s">
        <v>26</v>
      </c>
      <c r="R431" s="4">
        <v>0</v>
      </c>
      <c r="S431" s="6">
        <v>0</v>
      </c>
      <c r="T431" s="6">
        <v>76</v>
      </c>
      <c r="U431" s="6">
        <v>51</v>
      </c>
      <c r="V431" s="6">
        <f>IF(ISERROR(VLOOKUP($S$431,'TAR FIN'!$A$1:$O$92,15,0)),0,VLOOKUP($S$431,'TAR FIN'!$A$1:$O$92,15,0))</f>
        <v>0</v>
      </c>
      <c r="W431" s="6">
        <f>IF(ISERROR(VLOOKUP($T$431,'TAR FIN'!$A$1:$O$92,15,0)),0,VLOOKUP($T$431,'TAR FIN'!$A$1:$O$92,15,0))</f>
        <v>225.41</v>
      </c>
      <c r="X431" s="6">
        <f>IF(ISERROR(VLOOKUP($U$431,'TAR FIN'!$A$1:$O$92,15,0)),0,VLOOKUP($U$431,'TAR FIN'!$A$1:$O$92,15,0))</f>
        <v>286.76</v>
      </c>
      <c r="Y431" s="6"/>
      <c r="Z431" s="6">
        <f ca="1">('TUSD BE'!$AM$51+'TUSD BF_350'!$AM$51+'TUSD CVA'!$AM$51)*1</f>
        <v>261.33999999999997</v>
      </c>
      <c r="AA431" s="6">
        <f ca="1">('TE BE'!$AB$39+'TE BF_350'!$AB$39+'TE CVA'!$AB$39)*1</f>
        <v>250.03999999999996</v>
      </c>
      <c r="AB431" s="6">
        <f>$K$431*$V$431</f>
        <v>0</v>
      </c>
      <c r="AC431" s="6">
        <f>$M$431*$W$431</f>
        <v>1674.7963</v>
      </c>
      <c r="AD431" s="6">
        <f>$O$431*$X$431</f>
        <v>2130.6268</v>
      </c>
      <c r="AE431" s="6">
        <f>$K$431*$Y$431</f>
        <v>0</v>
      </c>
      <c r="AF431" s="6">
        <f ca="1">$M$431*$Z$431</f>
        <v>1941.7561999999998</v>
      </c>
      <c r="AG431" s="6">
        <f ca="1">$O$431*$AA$431</f>
        <v>1857.7971999999997</v>
      </c>
    </row>
    <row r="432" spans="1:33" ht="11.25" customHeight="1" x14ac:dyDescent="0.3">
      <c r="A432" s="4" t="s">
        <v>21</v>
      </c>
      <c r="B432" s="4" t="s">
        <v>32</v>
      </c>
      <c r="C432" s="4" t="s">
        <v>38</v>
      </c>
      <c r="D432" s="4" t="s">
        <v>40</v>
      </c>
      <c r="E432" s="4" t="s">
        <v>25</v>
      </c>
      <c r="F432" s="4" t="s">
        <v>25</v>
      </c>
      <c r="G432" s="4" t="s">
        <v>25</v>
      </c>
      <c r="H432" s="4" t="s">
        <v>37</v>
      </c>
      <c r="I432" s="5">
        <v>44621</v>
      </c>
      <c r="J432" s="6">
        <v>0</v>
      </c>
      <c r="K432" s="6">
        <v>0</v>
      </c>
      <c r="L432" s="6">
        <v>6.3680000000000003</v>
      </c>
      <c r="M432" s="6">
        <v>6.3680000000000003</v>
      </c>
      <c r="N432" s="6">
        <v>6.3680000000000003</v>
      </c>
      <c r="O432" s="6">
        <v>6.3680000000000003</v>
      </c>
      <c r="P432" s="6">
        <v>0</v>
      </c>
      <c r="Q432" s="4" t="s">
        <v>26</v>
      </c>
      <c r="R432" s="4">
        <v>0</v>
      </c>
      <c r="S432" s="6">
        <v>0</v>
      </c>
      <c r="T432" s="6">
        <v>76</v>
      </c>
      <c r="U432" s="6">
        <v>51</v>
      </c>
      <c r="V432" s="6">
        <f>IF(ISERROR(VLOOKUP($S$432,'TAR FIN'!$A$1:$O$92,15,0)),0,VLOOKUP($S$432,'TAR FIN'!$A$1:$O$92,15,0))</f>
        <v>0</v>
      </c>
      <c r="W432" s="6">
        <f>IF(ISERROR(VLOOKUP($T$432,'TAR FIN'!$A$1:$O$92,15,0)),0,VLOOKUP($T$432,'TAR FIN'!$A$1:$O$92,15,0))</f>
        <v>225.41</v>
      </c>
      <c r="X432" s="6">
        <f>IF(ISERROR(VLOOKUP($U$432,'TAR FIN'!$A$1:$O$92,15,0)),0,VLOOKUP($U$432,'TAR FIN'!$A$1:$O$92,15,0))</f>
        <v>286.76</v>
      </c>
      <c r="Y432" s="6"/>
      <c r="Z432" s="6">
        <f ca="1">('TUSD BE'!$AM$51+'TUSD BF_350'!$AM$51+'TUSD CVA'!$AM$51)*1</f>
        <v>261.33999999999997</v>
      </c>
      <c r="AA432" s="6">
        <f ca="1">('TE BE'!$AB$39+'TE BF_350'!$AB$39+'TE CVA'!$AB$39)*1</f>
        <v>250.03999999999996</v>
      </c>
      <c r="AB432" s="6">
        <f>$K$432*$V$432</f>
        <v>0</v>
      </c>
      <c r="AC432" s="6">
        <f>$M$432*$W$432</f>
        <v>1435.4108800000001</v>
      </c>
      <c r="AD432" s="6">
        <f>$O$432*$X$432</f>
        <v>1826.0876800000001</v>
      </c>
      <c r="AE432" s="6">
        <f>$K$432*$Y$432</f>
        <v>0</v>
      </c>
      <c r="AF432" s="6">
        <f ca="1">$M$432*$Z$432</f>
        <v>1664.2131199999999</v>
      </c>
      <c r="AG432" s="6">
        <f ca="1">$O$432*$AA$432</f>
        <v>1592.2547199999999</v>
      </c>
    </row>
    <row r="433" spans="1:33" ht="11.25" customHeight="1" x14ac:dyDescent="0.3">
      <c r="A433" s="4" t="s">
        <v>21</v>
      </c>
      <c r="B433" s="4" t="s">
        <v>32</v>
      </c>
      <c r="C433" s="4" t="s">
        <v>38</v>
      </c>
      <c r="D433" s="4" t="s">
        <v>40</v>
      </c>
      <c r="E433" s="4" t="s">
        <v>25</v>
      </c>
      <c r="F433" s="4" t="s">
        <v>25</v>
      </c>
      <c r="G433" s="4" t="s">
        <v>25</v>
      </c>
      <c r="H433" s="4" t="s">
        <v>37</v>
      </c>
      <c r="I433" s="5">
        <v>44652</v>
      </c>
      <c r="J433" s="6">
        <v>0</v>
      </c>
      <c r="K433" s="6">
        <v>0</v>
      </c>
      <c r="L433" s="6">
        <v>5.8129999999999997</v>
      </c>
      <c r="M433" s="6">
        <v>5.8129999999999997</v>
      </c>
      <c r="N433" s="6">
        <v>5.8129999999999997</v>
      </c>
      <c r="O433" s="6">
        <v>5.8129999999999997</v>
      </c>
      <c r="P433" s="6">
        <v>0</v>
      </c>
      <c r="Q433" s="4" t="s">
        <v>26</v>
      </c>
      <c r="R433" s="4">
        <v>0</v>
      </c>
      <c r="S433" s="6">
        <v>0</v>
      </c>
      <c r="T433" s="6">
        <v>76</v>
      </c>
      <c r="U433" s="6">
        <v>51</v>
      </c>
      <c r="V433" s="6">
        <f>IF(ISERROR(VLOOKUP($S$433,'TAR FIN'!$A$1:$O$92,15,0)),0,VLOOKUP($S$433,'TAR FIN'!$A$1:$O$92,15,0))</f>
        <v>0</v>
      </c>
      <c r="W433" s="6">
        <f>IF(ISERROR(VLOOKUP($T$433,'TAR FIN'!$A$1:$O$92,15,0)),0,VLOOKUP($T$433,'TAR FIN'!$A$1:$O$92,15,0))</f>
        <v>225.41</v>
      </c>
      <c r="X433" s="6">
        <f>IF(ISERROR(VLOOKUP($U$433,'TAR FIN'!$A$1:$O$92,15,0)),0,VLOOKUP($U$433,'TAR FIN'!$A$1:$O$92,15,0))</f>
        <v>286.76</v>
      </c>
      <c r="Y433" s="6"/>
      <c r="Z433" s="6">
        <f ca="1">('TUSD BE'!$AM$51+'TUSD BF_350'!$AM$51+'TUSD CVA'!$AM$51)*1</f>
        <v>261.33999999999997</v>
      </c>
      <c r="AA433" s="6">
        <f ca="1">('TE BE'!$AB$39+'TE BF_350'!$AB$39+'TE CVA'!$AB$39)*1</f>
        <v>250.03999999999996</v>
      </c>
      <c r="AB433" s="6">
        <f>$K$433*$V$433</f>
        <v>0</v>
      </c>
      <c r="AC433" s="6">
        <f>$M$433*$W$433</f>
        <v>1310.3083299999998</v>
      </c>
      <c r="AD433" s="6">
        <f>$O$433*$X$433</f>
        <v>1666.9358799999998</v>
      </c>
      <c r="AE433" s="6">
        <f>$K$433*$Y$433</f>
        <v>0</v>
      </c>
      <c r="AF433" s="6">
        <f ca="1">$M$433*$Z$433</f>
        <v>1519.1694199999997</v>
      </c>
      <c r="AG433" s="6">
        <f ca="1">$O$433*$AA$433</f>
        <v>1453.4825199999998</v>
      </c>
    </row>
    <row r="434" spans="1:33" ht="11.25" customHeight="1" x14ac:dyDescent="0.3">
      <c r="A434" s="4" t="s">
        <v>21</v>
      </c>
      <c r="B434" s="4" t="s">
        <v>32</v>
      </c>
      <c r="C434" s="4" t="s">
        <v>38</v>
      </c>
      <c r="D434" s="4" t="s">
        <v>40</v>
      </c>
      <c r="E434" s="4" t="s">
        <v>25</v>
      </c>
      <c r="F434" s="4" t="s">
        <v>25</v>
      </c>
      <c r="G434" s="4" t="s">
        <v>25</v>
      </c>
      <c r="H434" s="4" t="s">
        <v>37</v>
      </c>
      <c r="I434" s="5">
        <v>44682</v>
      </c>
      <c r="J434" s="6">
        <v>0</v>
      </c>
      <c r="K434" s="6">
        <v>0</v>
      </c>
      <c r="L434" s="6">
        <v>4.8</v>
      </c>
      <c r="M434" s="6">
        <v>4.8</v>
      </c>
      <c r="N434" s="6">
        <v>4.8</v>
      </c>
      <c r="O434" s="6">
        <v>4.8</v>
      </c>
      <c r="P434" s="6">
        <v>0</v>
      </c>
      <c r="Q434" s="4" t="s">
        <v>26</v>
      </c>
      <c r="R434" s="4">
        <v>0</v>
      </c>
      <c r="S434" s="6">
        <v>0</v>
      </c>
      <c r="T434" s="6">
        <v>76</v>
      </c>
      <c r="U434" s="6">
        <v>51</v>
      </c>
      <c r="V434" s="6">
        <f>IF(ISERROR(VLOOKUP($S$434,'TAR FIN'!$A$1:$O$92,15,0)),0,VLOOKUP($S$434,'TAR FIN'!$A$1:$O$92,15,0))</f>
        <v>0</v>
      </c>
      <c r="W434" s="6">
        <f>IF(ISERROR(VLOOKUP($T$434,'TAR FIN'!$A$1:$O$92,15,0)),0,VLOOKUP($T$434,'TAR FIN'!$A$1:$O$92,15,0))</f>
        <v>225.41</v>
      </c>
      <c r="X434" s="6">
        <f>IF(ISERROR(VLOOKUP($U$434,'TAR FIN'!$A$1:$O$92,15,0)),0,VLOOKUP($U$434,'TAR FIN'!$A$1:$O$92,15,0))</f>
        <v>286.76</v>
      </c>
      <c r="Y434" s="6"/>
      <c r="Z434" s="6">
        <f ca="1">('TUSD BE'!$AM$51+'TUSD BF_350'!$AM$51+'TUSD CVA'!$AM$51)*1</f>
        <v>261.33999999999997</v>
      </c>
      <c r="AA434" s="6">
        <f ca="1">('TE BE'!$AB$39+'TE BF_350'!$AB$39+'TE CVA'!$AB$39)*1</f>
        <v>250.03999999999996</v>
      </c>
      <c r="AB434" s="6">
        <f>$K$434*$V$434</f>
        <v>0</v>
      </c>
      <c r="AC434" s="6">
        <f>$M$434*$W$434</f>
        <v>1081.9679999999998</v>
      </c>
      <c r="AD434" s="6">
        <f>$O$434*$X$434</f>
        <v>1376.4479999999999</v>
      </c>
      <c r="AE434" s="6">
        <f>$K$434*$Y$434</f>
        <v>0</v>
      </c>
      <c r="AF434" s="6">
        <f ca="1">$M$434*$Z$434</f>
        <v>1254.4319999999998</v>
      </c>
      <c r="AG434" s="6">
        <f ca="1">$O$434*$AA$434</f>
        <v>1200.1919999999998</v>
      </c>
    </row>
    <row r="435" spans="1:33" ht="11.25" customHeight="1" x14ac:dyDescent="0.3">
      <c r="A435" s="4" t="s">
        <v>21</v>
      </c>
      <c r="B435" s="4" t="s">
        <v>32</v>
      </c>
      <c r="C435" s="4" t="s">
        <v>38</v>
      </c>
      <c r="D435" s="4" t="s">
        <v>40</v>
      </c>
      <c r="E435" s="4" t="s">
        <v>25</v>
      </c>
      <c r="F435" s="4" t="s">
        <v>25</v>
      </c>
      <c r="G435" s="4" t="s">
        <v>25</v>
      </c>
      <c r="H435" s="4" t="s">
        <v>37</v>
      </c>
      <c r="I435" s="5">
        <v>44713</v>
      </c>
      <c r="J435" s="6">
        <v>0</v>
      </c>
      <c r="K435" s="6">
        <v>0</v>
      </c>
      <c r="L435" s="6">
        <v>5.0640000000000001</v>
      </c>
      <c r="M435" s="6">
        <v>5.0640000000000001</v>
      </c>
      <c r="N435" s="6">
        <v>5.0640000000000001</v>
      </c>
      <c r="O435" s="6">
        <v>5.0640000000000001</v>
      </c>
      <c r="P435" s="6">
        <v>0</v>
      </c>
      <c r="Q435" s="4" t="s">
        <v>26</v>
      </c>
      <c r="R435" s="4">
        <v>0</v>
      </c>
      <c r="S435" s="6">
        <v>0</v>
      </c>
      <c r="T435" s="6">
        <v>76</v>
      </c>
      <c r="U435" s="6">
        <v>51</v>
      </c>
      <c r="V435" s="6">
        <f>IF(ISERROR(VLOOKUP($S$435,'TAR FIN'!$A$1:$O$92,15,0)),0,VLOOKUP($S$435,'TAR FIN'!$A$1:$O$92,15,0))</f>
        <v>0</v>
      </c>
      <c r="W435" s="6">
        <f>IF(ISERROR(VLOOKUP($T$435,'TAR FIN'!$A$1:$O$92,15,0)),0,VLOOKUP($T$435,'TAR FIN'!$A$1:$O$92,15,0))</f>
        <v>225.41</v>
      </c>
      <c r="X435" s="6">
        <f>IF(ISERROR(VLOOKUP($U$435,'TAR FIN'!$A$1:$O$92,15,0)),0,VLOOKUP($U$435,'TAR FIN'!$A$1:$O$92,15,0))</f>
        <v>286.76</v>
      </c>
      <c r="Y435" s="6"/>
      <c r="Z435" s="6">
        <f ca="1">('TUSD BE'!$AM$51+'TUSD BF_350'!$AM$51+'TUSD CVA'!$AM$51)*1</f>
        <v>261.33999999999997</v>
      </c>
      <c r="AA435" s="6">
        <f ca="1">('TE BE'!$AB$39+'TE BF_350'!$AB$39+'TE CVA'!$AB$39)*1</f>
        <v>250.03999999999996</v>
      </c>
      <c r="AB435" s="6">
        <f>$K$435*$V$435</f>
        <v>0</v>
      </c>
      <c r="AC435" s="6">
        <f>$M$435*$W$435</f>
        <v>1141.47624</v>
      </c>
      <c r="AD435" s="6">
        <f>$O$435*$X$435</f>
        <v>1452.15264</v>
      </c>
      <c r="AE435" s="6">
        <f>$K$435*$Y$435</f>
        <v>0</v>
      </c>
      <c r="AF435" s="6">
        <f ca="1">$M$435*$Z$435</f>
        <v>1323.4257599999999</v>
      </c>
      <c r="AG435" s="6">
        <f ca="1">$O$435*$AA$435</f>
        <v>1266.2025599999997</v>
      </c>
    </row>
    <row r="436" spans="1:33" ht="11.25" customHeight="1" x14ac:dyDescent="0.3">
      <c r="A436" s="4" t="s">
        <v>21</v>
      </c>
      <c r="B436" s="4" t="s">
        <v>32</v>
      </c>
      <c r="C436" s="4" t="s">
        <v>38</v>
      </c>
      <c r="D436" s="4" t="s">
        <v>40</v>
      </c>
      <c r="E436" s="4" t="s">
        <v>25</v>
      </c>
      <c r="F436" s="4" t="s">
        <v>25</v>
      </c>
      <c r="G436" s="4" t="s">
        <v>25</v>
      </c>
      <c r="H436" s="4" t="s">
        <v>37</v>
      </c>
      <c r="I436" s="5">
        <v>44743</v>
      </c>
      <c r="J436" s="6">
        <v>0</v>
      </c>
      <c r="K436" s="6">
        <v>0</v>
      </c>
      <c r="L436" s="6">
        <v>5.016</v>
      </c>
      <c r="M436" s="6">
        <v>5.016</v>
      </c>
      <c r="N436" s="6">
        <v>5.016</v>
      </c>
      <c r="O436" s="6">
        <v>5.016</v>
      </c>
      <c r="P436" s="6">
        <v>0</v>
      </c>
      <c r="Q436" s="4" t="s">
        <v>26</v>
      </c>
      <c r="R436" s="4">
        <v>0</v>
      </c>
      <c r="S436" s="6">
        <v>0</v>
      </c>
      <c r="T436" s="6">
        <v>76</v>
      </c>
      <c r="U436" s="6">
        <v>51</v>
      </c>
      <c r="V436" s="6">
        <f>IF(ISERROR(VLOOKUP($S$436,'TAR FIN'!$A$1:$O$92,15,0)),0,VLOOKUP($S$436,'TAR FIN'!$A$1:$O$92,15,0))</f>
        <v>0</v>
      </c>
      <c r="W436" s="6">
        <f>IF(ISERROR(VLOOKUP($T$436,'TAR FIN'!$A$1:$O$92,15,0)),0,VLOOKUP($T$436,'TAR FIN'!$A$1:$O$92,15,0))</f>
        <v>225.41</v>
      </c>
      <c r="X436" s="6">
        <f>IF(ISERROR(VLOOKUP($U$436,'TAR FIN'!$A$1:$O$92,15,0)),0,VLOOKUP($U$436,'TAR FIN'!$A$1:$O$92,15,0))</f>
        <v>286.76</v>
      </c>
      <c r="Y436" s="6"/>
      <c r="Z436" s="6">
        <f ca="1">('TUSD BE'!$AM$51+'TUSD BF_350'!$AM$51+'TUSD CVA'!$AM$51)*1</f>
        <v>261.33999999999997</v>
      </c>
      <c r="AA436" s="6">
        <f ca="1">('TE BE'!$AB$39+'TE BF_350'!$AB$39+'TE CVA'!$AB$39)*1</f>
        <v>250.03999999999996</v>
      </c>
      <c r="AB436" s="6">
        <f>$K$436*$V$436</f>
        <v>0</v>
      </c>
      <c r="AC436" s="6">
        <f>$M$436*$W$436</f>
        <v>1130.6565599999999</v>
      </c>
      <c r="AD436" s="6">
        <f>$O$436*$X$436</f>
        <v>1438.38816</v>
      </c>
      <c r="AE436" s="6">
        <f>$K$436*$Y$436</f>
        <v>0</v>
      </c>
      <c r="AF436" s="6">
        <f ca="1">$M$436*$Z$436</f>
        <v>1310.8814399999999</v>
      </c>
      <c r="AG436" s="6">
        <f ca="1">$O$436*$AA$436</f>
        <v>1254.2006399999998</v>
      </c>
    </row>
    <row r="437" spans="1:33" ht="11.25" customHeight="1" x14ac:dyDescent="0.3">
      <c r="A437" s="4" t="s">
        <v>21</v>
      </c>
      <c r="B437" s="4" t="s">
        <v>32</v>
      </c>
      <c r="C437" s="4" t="s">
        <v>38</v>
      </c>
      <c r="D437" s="4" t="s">
        <v>40</v>
      </c>
      <c r="E437" s="4" t="s">
        <v>25</v>
      </c>
      <c r="F437" s="4" t="s">
        <v>25</v>
      </c>
      <c r="G437" s="4" t="s">
        <v>25</v>
      </c>
      <c r="H437" s="4" t="s">
        <v>39</v>
      </c>
      <c r="I437" s="5">
        <v>44409</v>
      </c>
      <c r="J437" s="6">
        <v>0</v>
      </c>
      <c r="K437" s="6">
        <v>0</v>
      </c>
      <c r="L437" s="6">
        <v>0.317</v>
      </c>
      <c r="M437" s="6">
        <v>0.317</v>
      </c>
      <c r="N437" s="6">
        <v>0.317</v>
      </c>
      <c r="O437" s="6">
        <v>0.317</v>
      </c>
      <c r="P437" s="6">
        <v>0</v>
      </c>
      <c r="Q437" s="4" t="s">
        <v>26</v>
      </c>
      <c r="R437" s="4">
        <v>0</v>
      </c>
      <c r="S437" s="6">
        <v>0</v>
      </c>
      <c r="T437" s="6">
        <v>75</v>
      </c>
      <c r="U437" s="6">
        <v>48</v>
      </c>
      <c r="V437" s="6">
        <f>IF(ISERROR(VLOOKUP($S$437,'TAR FIN'!$A$1:$O$92,15,0)),0,VLOOKUP($S$437,'TAR FIN'!$A$1:$O$92,15,0))</f>
        <v>0</v>
      </c>
      <c r="W437" s="6">
        <f>IF(ISERROR(VLOOKUP($T$437,'TAR FIN'!$A$1:$O$92,15,0)),0,VLOOKUP($T$437,'TAR FIN'!$A$1:$O$92,15,0))</f>
        <v>543.07000000000005</v>
      </c>
      <c r="X437" s="6">
        <f>IF(ISERROR(VLOOKUP($U$437,'TAR FIN'!$A$1:$O$92,15,0)),0,VLOOKUP($U$437,'TAR FIN'!$A$1:$O$92,15,0))</f>
        <v>286.76</v>
      </c>
      <c r="Y437" s="6"/>
      <c r="Z437" s="6">
        <f ca="1">('TUSD BE'!$AM$50+'TUSD BF_350'!$AM$50+'TUSD CVA'!$AM$50)*1</f>
        <v>470.22</v>
      </c>
      <c r="AA437" s="6">
        <f ca="1">('TE BE'!$AB$38+'TE BF_350'!$AB$38+'TE CVA'!$AB$38)*1</f>
        <v>250.03999999999996</v>
      </c>
      <c r="AB437" s="6">
        <f>$K$437*$V$437</f>
        <v>0</v>
      </c>
      <c r="AC437" s="6">
        <f>$M$437*$W$437</f>
        <v>172.15319000000002</v>
      </c>
      <c r="AD437" s="6">
        <f>$O$437*$X$437</f>
        <v>90.902919999999995</v>
      </c>
      <c r="AE437" s="6">
        <f>$K$437*$Y$437</f>
        <v>0</v>
      </c>
      <c r="AF437" s="6">
        <f ca="1">$M$437*$Z$437</f>
        <v>149.05974000000001</v>
      </c>
      <c r="AG437" s="6">
        <f ca="1">$O$437*$AA$437</f>
        <v>79.262679999999989</v>
      </c>
    </row>
    <row r="438" spans="1:33" ht="11.25" customHeight="1" x14ac:dyDescent="0.3">
      <c r="A438" s="4" t="s">
        <v>21</v>
      </c>
      <c r="B438" s="4" t="s">
        <v>32</v>
      </c>
      <c r="C438" s="4" t="s">
        <v>38</v>
      </c>
      <c r="D438" s="4" t="s">
        <v>40</v>
      </c>
      <c r="E438" s="4" t="s">
        <v>25</v>
      </c>
      <c r="F438" s="4" t="s">
        <v>25</v>
      </c>
      <c r="G438" s="4" t="s">
        <v>25</v>
      </c>
      <c r="H438" s="4" t="s">
        <v>39</v>
      </c>
      <c r="I438" s="5">
        <v>44440</v>
      </c>
      <c r="J438" s="6">
        <v>0</v>
      </c>
      <c r="K438" s="6">
        <v>0</v>
      </c>
      <c r="L438" s="6">
        <v>0.27900000000000003</v>
      </c>
      <c r="M438" s="6">
        <v>0.27900000000000003</v>
      </c>
      <c r="N438" s="6">
        <v>0.27900000000000003</v>
      </c>
      <c r="O438" s="6">
        <v>0.27900000000000003</v>
      </c>
      <c r="P438" s="6">
        <v>0</v>
      </c>
      <c r="Q438" s="4" t="s">
        <v>26</v>
      </c>
      <c r="R438" s="4">
        <v>0</v>
      </c>
      <c r="S438" s="6">
        <v>0</v>
      </c>
      <c r="T438" s="6">
        <v>75</v>
      </c>
      <c r="U438" s="6">
        <v>48</v>
      </c>
      <c r="V438" s="6">
        <f>IF(ISERROR(VLOOKUP($S$438,'TAR FIN'!$A$1:$O$92,15,0)),0,VLOOKUP($S$438,'TAR FIN'!$A$1:$O$92,15,0))</f>
        <v>0</v>
      </c>
      <c r="W438" s="6">
        <f>IF(ISERROR(VLOOKUP($T$438,'TAR FIN'!$A$1:$O$92,15,0)),0,VLOOKUP($T$438,'TAR FIN'!$A$1:$O$92,15,0))</f>
        <v>543.07000000000005</v>
      </c>
      <c r="X438" s="6">
        <f>IF(ISERROR(VLOOKUP($U$438,'TAR FIN'!$A$1:$O$92,15,0)),0,VLOOKUP($U$438,'TAR FIN'!$A$1:$O$92,15,0))</f>
        <v>286.76</v>
      </c>
      <c r="Y438" s="6"/>
      <c r="Z438" s="6">
        <f ca="1">('TUSD BE'!$AM$50+'TUSD BF_350'!$AM$50+'TUSD CVA'!$AM$50)*1</f>
        <v>470.22</v>
      </c>
      <c r="AA438" s="6">
        <f ca="1">('TE BE'!$AB$38+'TE BF_350'!$AB$38+'TE CVA'!$AB$38)*1</f>
        <v>250.03999999999996</v>
      </c>
      <c r="AB438" s="6">
        <f>$K$438*$V$438</f>
        <v>0</v>
      </c>
      <c r="AC438" s="6">
        <f>$M$438*$W$438</f>
        <v>151.51653000000002</v>
      </c>
      <c r="AD438" s="6">
        <f>$O$438*$X$438</f>
        <v>80.006039999999999</v>
      </c>
      <c r="AE438" s="6">
        <f>$K$438*$Y$438</f>
        <v>0</v>
      </c>
      <c r="AF438" s="6">
        <f ca="1">$M$438*$Z$438</f>
        <v>131.19138000000001</v>
      </c>
      <c r="AG438" s="6">
        <f ca="1">$O$438*$AA$438</f>
        <v>69.76115999999999</v>
      </c>
    </row>
    <row r="439" spans="1:33" ht="11.25" customHeight="1" x14ac:dyDescent="0.3">
      <c r="A439" s="4" t="s">
        <v>21</v>
      </c>
      <c r="B439" s="4" t="s">
        <v>32</v>
      </c>
      <c r="C439" s="4" t="s">
        <v>38</v>
      </c>
      <c r="D439" s="4" t="s">
        <v>40</v>
      </c>
      <c r="E439" s="4" t="s">
        <v>25</v>
      </c>
      <c r="F439" s="4" t="s">
        <v>25</v>
      </c>
      <c r="G439" s="4" t="s">
        <v>25</v>
      </c>
      <c r="H439" s="4" t="s">
        <v>39</v>
      </c>
      <c r="I439" s="5">
        <v>44470</v>
      </c>
      <c r="J439" s="6">
        <v>0</v>
      </c>
      <c r="K439" s="6">
        <v>0</v>
      </c>
      <c r="L439" s="6">
        <v>0.27600000000000002</v>
      </c>
      <c r="M439" s="6">
        <v>0.27600000000000002</v>
      </c>
      <c r="N439" s="6">
        <v>0.27600000000000002</v>
      </c>
      <c r="O439" s="6">
        <v>0.27600000000000002</v>
      </c>
      <c r="P439" s="6">
        <v>0</v>
      </c>
      <c r="Q439" s="4" t="s">
        <v>26</v>
      </c>
      <c r="R439" s="4">
        <v>0</v>
      </c>
      <c r="S439" s="6">
        <v>0</v>
      </c>
      <c r="T439" s="6">
        <v>75</v>
      </c>
      <c r="U439" s="6">
        <v>48</v>
      </c>
      <c r="V439" s="6">
        <f>IF(ISERROR(VLOOKUP($S$439,'TAR FIN'!$A$1:$O$92,15,0)),0,VLOOKUP($S$439,'TAR FIN'!$A$1:$O$92,15,0))</f>
        <v>0</v>
      </c>
      <c r="W439" s="6">
        <f>IF(ISERROR(VLOOKUP($T$439,'TAR FIN'!$A$1:$O$92,15,0)),0,VLOOKUP($T$439,'TAR FIN'!$A$1:$O$92,15,0))</f>
        <v>543.07000000000005</v>
      </c>
      <c r="X439" s="6">
        <f>IF(ISERROR(VLOOKUP($U$439,'TAR FIN'!$A$1:$O$92,15,0)),0,VLOOKUP($U$439,'TAR FIN'!$A$1:$O$92,15,0))</f>
        <v>286.76</v>
      </c>
      <c r="Y439" s="6"/>
      <c r="Z439" s="6">
        <f ca="1">('TUSD BE'!$AM$50+'TUSD BF_350'!$AM$50+'TUSD CVA'!$AM$50)*1</f>
        <v>470.22</v>
      </c>
      <c r="AA439" s="6">
        <f ca="1">('TE BE'!$AB$38+'TE BF_350'!$AB$38+'TE CVA'!$AB$38)*1</f>
        <v>250.03999999999996</v>
      </c>
      <c r="AB439" s="6">
        <f>$K$439*$V$439</f>
        <v>0</v>
      </c>
      <c r="AC439" s="6">
        <f>$M$439*$W$439</f>
        <v>149.88732000000002</v>
      </c>
      <c r="AD439" s="6">
        <f>$O$439*$X$439</f>
        <v>79.14576000000001</v>
      </c>
      <c r="AE439" s="6">
        <f>$K$439*$Y$439</f>
        <v>0</v>
      </c>
      <c r="AF439" s="6">
        <f ca="1">$M$439*$Z$439</f>
        <v>129.78072000000003</v>
      </c>
      <c r="AG439" s="6">
        <f ca="1">$O$439*$AA$439</f>
        <v>69.011039999999994</v>
      </c>
    </row>
    <row r="440" spans="1:33" ht="11.25" customHeight="1" x14ac:dyDescent="0.3">
      <c r="A440" s="4" t="s">
        <v>21</v>
      </c>
      <c r="B440" s="4" t="s">
        <v>32</v>
      </c>
      <c r="C440" s="4" t="s">
        <v>38</v>
      </c>
      <c r="D440" s="4" t="s">
        <v>40</v>
      </c>
      <c r="E440" s="4" t="s">
        <v>25</v>
      </c>
      <c r="F440" s="4" t="s">
        <v>25</v>
      </c>
      <c r="G440" s="4" t="s">
        <v>25</v>
      </c>
      <c r="H440" s="4" t="s">
        <v>39</v>
      </c>
      <c r="I440" s="5">
        <v>44501</v>
      </c>
      <c r="J440" s="6">
        <v>0</v>
      </c>
      <c r="K440" s="6">
        <v>0</v>
      </c>
      <c r="L440" s="6">
        <v>0.26500000000000001</v>
      </c>
      <c r="M440" s="6">
        <v>0.26500000000000001</v>
      </c>
      <c r="N440" s="6">
        <v>0.26500000000000001</v>
      </c>
      <c r="O440" s="6">
        <v>0.26500000000000001</v>
      </c>
      <c r="P440" s="6">
        <v>0</v>
      </c>
      <c r="Q440" s="4" t="s">
        <v>26</v>
      </c>
      <c r="R440" s="4">
        <v>0</v>
      </c>
      <c r="S440" s="6">
        <v>0</v>
      </c>
      <c r="T440" s="6">
        <v>75</v>
      </c>
      <c r="U440" s="6">
        <v>48</v>
      </c>
      <c r="V440" s="6">
        <f>IF(ISERROR(VLOOKUP($S$440,'TAR FIN'!$A$1:$O$92,15,0)),0,VLOOKUP($S$440,'TAR FIN'!$A$1:$O$92,15,0))</f>
        <v>0</v>
      </c>
      <c r="W440" s="6">
        <f>IF(ISERROR(VLOOKUP($T$440,'TAR FIN'!$A$1:$O$92,15,0)),0,VLOOKUP($T$440,'TAR FIN'!$A$1:$O$92,15,0))</f>
        <v>543.07000000000005</v>
      </c>
      <c r="X440" s="6">
        <f>IF(ISERROR(VLOOKUP($U$440,'TAR FIN'!$A$1:$O$92,15,0)),0,VLOOKUP($U$440,'TAR FIN'!$A$1:$O$92,15,0))</f>
        <v>286.76</v>
      </c>
      <c r="Y440" s="6"/>
      <c r="Z440" s="6">
        <f ca="1">('TUSD BE'!$AM$50+'TUSD BF_350'!$AM$50+'TUSD CVA'!$AM$50)*1</f>
        <v>470.22</v>
      </c>
      <c r="AA440" s="6">
        <f ca="1">('TE BE'!$AB$38+'TE BF_350'!$AB$38+'TE CVA'!$AB$38)*1</f>
        <v>250.03999999999996</v>
      </c>
      <c r="AB440" s="6">
        <f>$K$440*$V$440</f>
        <v>0</v>
      </c>
      <c r="AC440" s="6">
        <f>$M$440*$W$440</f>
        <v>143.91355000000001</v>
      </c>
      <c r="AD440" s="6">
        <f>$O$440*$X$440</f>
        <v>75.991399999999999</v>
      </c>
      <c r="AE440" s="6">
        <f>$K$440*$Y$440</f>
        <v>0</v>
      </c>
      <c r="AF440" s="6">
        <f ca="1">$M$440*$Z$440</f>
        <v>124.60830000000001</v>
      </c>
      <c r="AG440" s="6">
        <f ca="1">$O$440*$AA$440</f>
        <v>66.260599999999997</v>
      </c>
    </row>
    <row r="441" spans="1:33" ht="11.25" customHeight="1" x14ac:dyDescent="0.3">
      <c r="A441" s="4" t="s">
        <v>21</v>
      </c>
      <c r="B441" s="4" t="s">
        <v>32</v>
      </c>
      <c r="C441" s="4" t="s">
        <v>38</v>
      </c>
      <c r="D441" s="4" t="s">
        <v>40</v>
      </c>
      <c r="E441" s="4" t="s">
        <v>25</v>
      </c>
      <c r="F441" s="4" t="s">
        <v>25</v>
      </c>
      <c r="G441" s="4" t="s">
        <v>25</v>
      </c>
      <c r="H441" s="4" t="s">
        <v>39</v>
      </c>
      <c r="I441" s="5">
        <v>44531</v>
      </c>
      <c r="J441" s="6">
        <v>0</v>
      </c>
      <c r="K441" s="6">
        <v>0</v>
      </c>
      <c r="L441" s="6">
        <v>0.27800000000000002</v>
      </c>
      <c r="M441" s="6">
        <v>0.27800000000000002</v>
      </c>
      <c r="N441" s="6">
        <v>0.27800000000000002</v>
      </c>
      <c r="O441" s="6">
        <v>0.27800000000000002</v>
      </c>
      <c r="P441" s="6">
        <v>0</v>
      </c>
      <c r="Q441" s="4" t="s">
        <v>26</v>
      </c>
      <c r="R441" s="4">
        <v>0</v>
      </c>
      <c r="S441" s="6">
        <v>0</v>
      </c>
      <c r="T441" s="6">
        <v>75</v>
      </c>
      <c r="U441" s="6">
        <v>48</v>
      </c>
      <c r="V441" s="6">
        <f>IF(ISERROR(VLOOKUP($S$441,'TAR FIN'!$A$1:$O$92,15,0)),0,VLOOKUP($S$441,'TAR FIN'!$A$1:$O$92,15,0))</f>
        <v>0</v>
      </c>
      <c r="W441" s="6">
        <f>IF(ISERROR(VLOOKUP($T$441,'TAR FIN'!$A$1:$O$92,15,0)),0,VLOOKUP($T$441,'TAR FIN'!$A$1:$O$92,15,0))</f>
        <v>543.07000000000005</v>
      </c>
      <c r="X441" s="6">
        <f>IF(ISERROR(VLOOKUP($U$441,'TAR FIN'!$A$1:$O$92,15,0)),0,VLOOKUP($U$441,'TAR FIN'!$A$1:$O$92,15,0))</f>
        <v>286.76</v>
      </c>
      <c r="Y441" s="6"/>
      <c r="Z441" s="6">
        <f ca="1">('TUSD BE'!$AM$50+'TUSD BF_350'!$AM$50+'TUSD CVA'!$AM$50)*1</f>
        <v>470.22</v>
      </c>
      <c r="AA441" s="6">
        <f ca="1">('TE BE'!$AB$38+'TE BF_350'!$AB$38+'TE CVA'!$AB$38)*1</f>
        <v>250.03999999999996</v>
      </c>
      <c r="AB441" s="6">
        <f>$K$441*$V$441</f>
        <v>0</v>
      </c>
      <c r="AC441" s="6">
        <f>$M$441*$W$441</f>
        <v>150.97346000000002</v>
      </c>
      <c r="AD441" s="6">
        <f>$O$441*$X$441</f>
        <v>79.719279999999998</v>
      </c>
      <c r="AE441" s="6">
        <f>$K$441*$Y$441</f>
        <v>0</v>
      </c>
      <c r="AF441" s="6">
        <f ca="1">$M$441*$Z$441</f>
        <v>130.72116000000003</v>
      </c>
      <c r="AG441" s="6">
        <f ca="1">$O$441*$AA$441</f>
        <v>69.511119999999991</v>
      </c>
    </row>
    <row r="442" spans="1:33" ht="11.25" customHeight="1" x14ac:dyDescent="0.3">
      <c r="A442" s="4" t="s">
        <v>21</v>
      </c>
      <c r="B442" s="4" t="s">
        <v>32</v>
      </c>
      <c r="C442" s="4" t="s">
        <v>38</v>
      </c>
      <c r="D442" s="4" t="s">
        <v>40</v>
      </c>
      <c r="E442" s="4" t="s">
        <v>25</v>
      </c>
      <c r="F442" s="4" t="s">
        <v>25</v>
      </c>
      <c r="G442" s="4" t="s">
        <v>25</v>
      </c>
      <c r="H442" s="4" t="s">
        <v>39</v>
      </c>
      <c r="I442" s="5">
        <v>44562</v>
      </c>
      <c r="J442" s="6">
        <v>0</v>
      </c>
      <c r="K442" s="6">
        <v>0</v>
      </c>
      <c r="L442" s="6">
        <v>0.309</v>
      </c>
      <c r="M442" s="6">
        <v>0.309</v>
      </c>
      <c r="N442" s="6">
        <v>0.309</v>
      </c>
      <c r="O442" s="6">
        <v>0.309</v>
      </c>
      <c r="P442" s="6">
        <v>0</v>
      </c>
      <c r="Q442" s="4" t="s">
        <v>26</v>
      </c>
      <c r="R442" s="4">
        <v>0</v>
      </c>
      <c r="S442" s="6">
        <v>0</v>
      </c>
      <c r="T442" s="6">
        <v>75</v>
      </c>
      <c r="U442" s="6">
        <v>48</v>
      </c>
      <c r="V442" s="6">
        <f>IF(ISERROR(VLOOKUP($S$442,'TAR FIN'!$A$1:$O$92,15,0)),0,VLOOKUP($S$442,'TAR FIN'!$A$1:$O$92,15,0))</f>
        <v>0</v>
      </c>
      <c r="W442" s="6">
        <f>IF(ISERROR(VLOOKUP($T$442,'TAR FIN'!$A$1:$O$92,15,0)),0,VLOOKUP($T$442,'TAR FIN'!$A$1:$O$92,15,0))</f>
        <v>543.07000000000005</v>
      </c>
      <c r="X442" s="6">
        <f>IF(ISERROR(VLOOKUP($U$442,'TAR FIN'!$A$1:$O$92,15,0)),0,VLOOKUP($U$442,'TAR FIN'!$A$1:$O$92,15,0))</f>
        <v>286.76</v>
      </c>
      <c r="Y442" s="6"/>
      <c r="Z442" s="6">
        <f ca="1">('TUSD BE'!$AM$50+'TUSD BF_350'!$AM$50+'TUSD CVA'!$AM$50)*1</f>
        <v>470.22</v>
      </c>
      <c r="AA442" s="6">
        <f ca="1">('TE BE'!$AB$38+'TE BF_350'!$AB$38+'TE CVA'!$AB$38)*1</f>
        <v>250.03999999999996</v>
      </c>
      <c r="AB442" s="6">
        <f>$K$442*$V$442</f>
        <v>0</v>
      </c>
      <c r="AC442" s="6">
        <f>$M$442*$W$442</f>
        <v>167.80863000000002</v>
      </c>
      <c r="AD442" s="6">
        <f>$O$442*$X$442</f>
        <v>88.608840000000001</v>
      </c>
      <c r="AE442" s="6">
        <f>$K$442*$Y$442</f>
        <v>0</v>
      </c>
      <c r="AF442" s="6">
        <f ca="1">$M$442*$Z$442</f>
        <v>145.29798</v>
      </c>
      <c r="AG442" s="6">
        <f ca="1">$O$442*$AA$442</f>
        <v>77.262359999999987</v>
      </c>
    </row>
    <row r="443" spans="1:33" ht="11.25" customHeight="1" x14ac:dyDescent="0.3">
      <c r="A443" s="4" t="s">
        <v>21</v>
      </c>
      <c r="B443" s="4" t="s">
        <v>32</v>
      </c>
      <c r="C443" s="4" t="s">
        <v>38</v>
      </c>
      <c r="D443" s="4" t="s">
        <v>40</v>
      </c>
      <c r="E443" s="4" t="s">
        <v>25</v>
      </c>
      <c r="F443" s="4" t="s">
        <v>25</v>
      </c>
      <c r="G443" s="4" t="s">
        <v>25</v>
      </c>
      <c r="H443" s="4" t="s">
        <v>39</v>
      </c>
      <c r="I443" s="5">
        <v>44593</v>
      </c>
      <c r="J443" s="6">
        <v>0</v>
      </c>
      <c r="K443" s="6">
        <v>0</v>
      </c>
      <c r="L443" s="6">
        <v>0.38400000000000001</v>
      </c>
      <c r="M443" s="6">
        <v>0.38400000000000001</v>
      </c>
      <c r="N443" s="6">
        <v>0.38400000000000001</v>
      </c>
      <c r="O443" s="6">
        <v>0.38400000000000001</v>
      </c>
      <c r="P443" s="6">
        <v>0</v>
      </c>
      <c r="Q443" s="4" t="s">
        <v>26</v>
      </c>
      <c r="R443" s="4">
        <v>0</v>
      </c>
      <c r="S443" s="6">
        <v>0</v>
      </c>
      <c r="T443" s="6">
        <v>75</v>
      </c>
      <c r="U443" s="6">
        <v>48</v>
      </c>
      <c r="V443" s="6">
        <f>IF(ISERROR(VLOOKUP($S$443,'TAR FIN'!$A$1:$O$92,15,0)),0,VLOOKUP($S$443,'TAR FIN'!$A$1:$O$92,15,0))</f>
        <v>0</v>
      </c>
      <c r="W443" s="6">
        <f>IF(ISERROR(VLOOKUP($T$443,'TAR FIN'!$A$1:$O$92,15,0)),0,VLOOKUP($T$443,'TAR FIN'!$A$1:$O$92,15,0))</f>
        <v>543.07000000000005</v>
      </c>
      <c r="X443" s="6">
        <f>IF(ISERROR(VLOOKUP($U$443,'TAR FIN'!$A$1:$O$92,15,0)),0,VLOOKUP($U$443,'TAR FIN'!$A$1:$O$92,15,0))</f>
        <v>286.76</v>
      </c>
      <c r="Y443" s="6"/>
      <c r="Z443" s="6">
        <f ca="1">('TUSD BE'!$AM$50+'TUSD BF_350'!$AM$50+'TUSD CVA'!$AM$50)*1</f>
        <v>470.22</v>
      </c>
      <c r="AA443" s="6">
        <f ca="1">('TE BE'!$AB$38+'TE BF_350'!$AB$38+'TE CVA'!$AB$38)*1</f>
        <v>250.03999999999996</v>
      </c>
      <c r="AB443" s="6">
        <f>$K$443*$V$443</f>
        <v>0</v>
      </c>
      <c r="AC443" s="6">
        <f>$M$443*$W$443</f>
        <v>208.53888000000003</v>
      </c>
      <c r="AD443" s="6">
        <f>$O$443*$X$443</f>
        <v>110.11584000000001</v>
      </c>
      <c r="AE443" s="6">
        <f>$K$443*$Y$443</f>
        <v>0</v>
      </c>
      <c r="AF443" s="6">
        <f ca="1">$M$443*$Z$443</f>
        <v>180.56448</v>
      </c>
      <c r="AG443" s="6">
        <f ca="1">$O$443*$AA$443</f>
        <v>96.015359999999987</v>
      </c>
    </row>
    <row r="444" spans="1:33" ht="11.25" customHeight="1" x14ac:dyDescent="0.3">
      <c r="A444" s="4" t="s">
        <v>21</v>
      </c>
      <c r="B444" s="4" t="s">
        <v>32</v>
      </c>
      <c r="C444" s="4" t="s">
        <v>38</v>
      </c>
      <c r="D444" s="4" t="s">
        <v>40</v>
      </c>
      <c r="E444" s="4" t="s">
        <v>25</v>
      </c>
      <c r="F444" s="4" t="s">
        <v>25</v>
      </c>
      <c r="G444" s="4" t="s">
        <v>25</v>
      </c>
      <c r="H444" s="4" t="s">
        <v>39</v>
      </c>
      <c r="I444" s="5">
        <v>44621</v>
      </c>
      <c r="J444" s="6">
        <v>0</v>
      </c>
      <c r="K444" s="6">
        <v>0</v>
      </c>
      <c r="L444" s="6">
        <v>0.29599999999999999</v>
      </c>
      <c r="M444" s="6">
        <v>0.29599999999999999</v>
      </c>
      <c r="N444" s="6">
        <v>0.29599999999999999</v>
      </c>
      <c r="O444" s="6">
        <v>0.29599999999999999</v>
      </c>
      <c r="P444" s="6">
        <v>0</v>
      </c>
      <c r="Q444" s="4" t="s">
        <v>26</v>
      </c>
      <c r="R444" s="4">
        <v>0</v>
      </c>
      <c r="S444" s="6">
        <v>0</v>
      </c>
      <c r="T444" s="6">
        <v>75</v>
      </c>
      <c r="U444" s="6">
        <v>48</v>
      </c>
      <c r="V444" s="6">
        <f>IF(ISERROR(VLOOKUP($S$444,'TAR FIN'!$A$1:$O$92,15,0)),0,VLOOKUP($S$444,'TAR FIN'!$A$1:$O$92,15,0))</f>
        <v>0</v>
      </c>
      <c r="W444" s="6">
        <f>IF(ISERROR(VLOOKUP($T$444,'TAR FIN'!$A$1:$O$92,15,0)),0,VLOOKUP($T$444,'TAR FIN'!$A$1:$O$92,15,0))</f>
        <v>543.07000000000005</v>
      </c>
      <c r="X444" s="6">
        <f>IF(ISERROR(VLOOKUP($U$444,'TAR FIN'!$A$1:$O$92,15,0)),0,VLOOKUP($U$444,'TAR FIN'!$A$1:$O$92,15,0))</f>
        <v>286.76</v>
      </c>
      <c r="Y444" s="6"/>
      <c r="Z444" s="6">
        <f ca="1">('TUSD BE'!$AM$50+'TUSD BF_350'!$AM$50+'TUSD CVA'!$AM$50)*1</f>
        <v>470.22</v>
      </c>
      <c r="AA444" s="6">
        <f ca="1">('TE BE'!$AB$38+'TE BF_350'!$AB$38+'TE CVA'!$AB$38)*1</f>
        <v>250.03999999999996</v>
      </c>
      <c r="AB444" s="6">
        <f>$K$444*$V$444</f>
        <v>0</v>
      </c>
      <c r="AC444" s="6">
        <f>$M$444*$W$444</f>
        <v>160.74872000000002</v>
      </c>
      <c r="AD444" s="6">
        <f>$O$444*$X$444</f>
        <v>84.880959999999988</v>
      </c>
      <c r="AE444" s="6">
        <f>$K$444*$Y$444</f>
        <v>0</v>
      </c>
      <c r="AF444" s="6">
        <f ca="1">$M$444*$Z$444</f>
        <v>139.18512000000001</v>
      </c>
      <c r="AG444" s="6">
        <f ca="1">$O$444*$AA$444</f>
        <v>74.011839999999992</v>
      </c>
    </row>
    <row r="445" spans="1:33" ht="11.25" customHeight="1" x14ac:dyDescent="0.3">
      <c r="A445" s="4" t="s">
        <v>21</v>
      </c>
      <c r="B445" s="4" t="s">
        <v>32</v>
      </c>
      <c r="C445" s="4" t="s">
        <v>38</v>
      </c>
      <c r="D445" s="4" t="s">
        <v>40</v>
      </c>
      <c r="E445" s="4" t="s">
        <v>25</v>
      </c>
      <c r="F445" s="4" t="s">
        <v>25</v>
      </c>
      <c r="G445" s="4" t="s">
        <v>25</v>
      </c>
      <c r="H445" s="4" t="s">
        <v>39</v>
      </c>
      <c r="I445" s="5">
        <v>44652</v>
      </c>
      <c r="J445" s="6">
        <v>0</v>
      </c>
      <c r="K445" s="6">
        <v>0</v>
      </c>
      <c r="L445" s="6">
        <v>0.317</v>
      </c>
      <c r="M445" s="6">
        <v>0.317</v>
      </c>
      <c r="N445" s="6">
        <v>0.317</v>
      </c>
      <c r="O445" s="6">
        <v>0.317</v>
      </c>
      <c r="P445" s="6">
        <v>0</v>
      </c>
      <c r="Q445" s="4" t="s">
        <v>26</v>
      </c>
      <c r="R445" s="4">
        <v>0</v>
      </c>
      <c r="S445" s="6">
        <v>0</v>
      </c>
      <c r="T445" s="6">
        <v>75</v>
      </c>
      <c r="U445" s="6">
        <v>48</v>
      </c>
      <c r="V445" s="6">
        <f>IF(ISERROR(VLOOKUP($S$445,'TAR FIN'!$A$1:$O$92,15,0)),0,VLOOKUP($S$445,'TAR FIN'!$A$1:$O$92,15,0))</f>
        <v>0</v>
      </c>
      <c r="W445" s="6">
        <f>IF(ISERROR(VLOOKUP($T$445,'TAR FIN'!$A$1:$O$92,15,0)),0,VLOOKUP($T$445,'TAR FIN'!$A$1:$O$92,15,0))</f>
        <v>543.07000000000005</v>
      </c>
      <c r="X445" s="6">
        <f>IF(ISERROR(VLOOKUP($U$445,'TAR FIN'!$A$1:$O$92,15,0)),0,VLOOKUP($U$445,'TAR FIN'!$A$1:$O$92,15,0))</f>
        <v>286.76</v>
      </c>
      <c r="Y445" s="6"/>
      <c r="Z445" s="6">
        <f ca="1">('TUSD BE'!$AM$50+'TUSD BF_350'!$AM$50+'TUSD CVA'!$AM$50)*1</f>
        <v>470.22</v>
      </c>
      <c r="AA445" s="6">
        <f ca="1">('TE BE'!$AB$38+'TE BF_350'!$AB$38+'TE CVA'!$AB$38)*1</f>
        <v>250.03999999999996</v>
      </c>
      <c r="AB445" s="6">
        <f>$K$445*$V$445</f>
        <v>0</v>
      </c>
      <c r="AC445" s="6">
        <f>$M$445*$W$445</f>
        <v>172.15319000000002</v>
      </c>
      <c r="AD445" s="6">
        <f>$O$445*$X$445</f>
        <v>90.902919999999995</v>
      </c>
      <c r="AE445" s="6">
        <f>$K$445*$Y$445</f>
        <v>0</v>
      </c>
      <c r="AF445" s="6">
        <f ca="1">$M$445*$Z$445</f>
        <v>149.05974000000001</v>
      </c>
      <c r="AG445" s="6">
        <f ca="1">$O$445*$AA$445</f>
        <v>79.262679999999989</v>
      </c>
    </row>
    <row r="446" spans="1:33" ht="11.25" customHeight="1" x14ac:dyDescent="0.3">
      <c r="A446" s="4" t="s">
        <v>21</v>
      </c>
      <c r="B446" s="4" t="s">
        <v>32</v>
      </c>
      <c r="C446" s="4" t="s">
        <v>38</v>
      </c>
      <c r="D446" s="4" t="s">
        <v>40</v>
      </c>
      <c r="E446" s="4" t="s">
        <v>25</v>
      </c>
      <c r="F446" s="4" t="s">
        <v>25</v>
      </c>
      <c r="G446" s="4" t="s">
        <v>25</v>
      </c>
      <c r="H446" s="4" t="s">
        <v>39</v>
      </c>
      <c r="I446" s="5">
        <v>44682</v>
      </c>
      <c r="J446" s="6">
        <v>0</v>
      </c>
      <c r="K446" s="6">
        <v>0</v>
      </c>
      <c r="L446" s="6">
        <v>0.32100000000000001</v>
      </c>
      <c r="M446" s="6">
        <v>0.32100000000000001</v>
      </c>
      <c r="N446" s="6">
        <v>0.32100000000000001</v>
      </c>
      <c r="O446" s="6">
        <v>0.32100000000000001</v>
      </c>
      <c r="P446" s="6">
        <v>0</v>
      </c>
      <c r="Q446" s="4" t="s">
        <v>26</v>
      </c>
      <c r="R446" s="4">
        <v>0</v>
      </c>
      <c r="S446" s="6">
        <v>0</v>
      </c>
      <c r="T446" s="6">
        <v>75</v>
      </c>
      <c r="U446" s="6">
        <v>48</v>
      </c>
      <c r="V446" s="6">
        <f>IF(ISERROR(VLOOKUP($S$446,'TAR FIN'!$A$1:$O$92,15,0)),0,VLOOKUP($S$446,'TAR FIN'!$A$1:$O$92,15,0))</f>
        <v>0</v>
      </c>
      <c r="W446" s="6">
        <f>IF(ISERROR(VLOOKUP($T$446,'TAR FIN'!$A$1:$O$92,15,0)),0,VLOOKUP($T$446,'TAR FIN'!$A$1:$O$92,15,0))</f>
        <v>543.07000000000005</v>
      </c>
      <c r="X446" s="6">
        <f>IF(ISERROR(VLOOKUP($U$446,'TAR FIN'!$A$1:$O$92,15,0)),0,VLOOKUP($U$446,'TAR FIN'!$A$1:$O$92,15,0))</f>
        <v>286.76</v>
      </c>
      <c r="Y446" s="6"/>
      <c r="Z446" s="6">
        <f ca="1">('TUSD BE'!$AM$50+'TUSD BF_350'!$AM$50+'TUSD CVA'!$AM$50)*1</f>
        <v>470.22</v>
      </c>
      <c r="AA446" s="6">
        <f ca="1">('TE BE'!$AB$38+'TE BF_350'!$AB$38+'TE CVA'!$AB$38)*1</f>
        <v>250.03999999999996</v>
      </c>
      <c r="AB446" s="6">
        <f>$K$446*$V$446</f>
        <v>0</v>
      </c>
      <c r="AC446" s="6">
        <f>$M$446*$W$446</f>
        <v>174.32547000000002</v>
      </c>
      <c r="AD446" s="6">
        <f>$O$446*$X$446</f>
        <v>92.049959999999999</v>
      </c>
      <c r="AE446" s="6">
        <f>$K$446*$Y$446</f>
        <v>0</v>
      </c>
      <c r="AF446" s="6">
        <f ca="1">$M$446*$Z$446</f>
        <v>150.94062000000002</v>
      </c>
      <c r="AG446" s="6">
        <f ca="1">$O$446*$AA$446</f>
        <v>80.262839999999997</v>
      </c>
    </row>
    <row r="447" spans="1:33" ht="11.25" customHeight="1" x14ac:dyDescent="0.3">
      <c r="A447" s="4" t="s">
        <v>21</v>
      </c>
      <c r="B447" s="4" t="s">
        <v>32</v>
      </c>
      <c r="C447" s="4" t="s">
        <v>38</v>
      </c>
      <c r="D447" s="4" t="s">
        <v>40</v>
      </c>
      <c r="E447" s="4" t="s">
        <v>25</v>
      </c>
      <c r="F447" s="4" t="s">
        <v>25</v>
      </c>
      <c r="G447" s="4" t="s">
        <v>25</v>
      </c>
      <c r="H447" s="4" t="s">
        <v>39</v>
      </c>
      <c r="I447" s="5">
        <v>44713</v>
      </c>
      <c r="J447" s="6">
        <v>0</v>
      </c>
      <c r="K447" s="6">
        <v>0</v>
      </c>
      <c r="L447" s="6">
        <v>0.35</v>
      </c>
      <c r="M447" s="6">
        <v>0.35</v>
      </c>
      <c r="N447" s="6">
        <v>0.35</v>
      </c>
      <c r="O447" s="6">
        <v>0.35</v>
      </c>
      <c r="P447" s="6">
        <v>0</v>
      </c>
      <c r="Q447" s="4" t="s">
        <v>26</v>
      </c>
      <c r="R447" s="4">
        <v>0</v>
      </c>
      <c r="S447" s="6">
        <v>0</v>
      </c>
      <c r="T447" s="6">
        <v>75</v>
      </c>
      <c r="U447" s="6">
        <v>48</v>
      </c>
      <c r="V447" s="6">
        <f>IF(ISERROR(VLOOKUP($S$447,'TAR FIN'!$A$1:$O$92,15,0)),0,VLOOKUP($S$447,'TAR FIN'!$A$1:$O$92,15,0))</f>
        <v>0</v>
      </c>
      <c r="W447" s="6">
        <f>IF(ISERROR(VLOOKUP($T$447,'TAR FIN'!$A$1:$O$92,15,0)),0,VLOOKUP($T$447,'TAR FIN'!$A$1:$O$92,15,0))</f>
        <v>543.07000000000005</v>
      </c>
      <c r="X447" s="6">
        <f>IF(ISERROR(VLOOKUP($U$447,'TAR FIN'!$A$1:$O$92,15,0)),0,VLOOKUP($U$447,'TAR FIN'!$A$1:$O$92,15,0))</f>
        <v>286.76</v>
      </c>
      <c r="Y447" s="6"/>
      <c r="Z447" s="6">
        <f ca="1">('TUSD BE'!$AM$50+'TUSD BF_350'!$AM$50+'TUSD CVA'!$AM$50)*1</f>
        <v>470.22</v>
      </c>
      <c r="AA447" s="6">
        <f ca="1">('TE BE'!$AB$38+'TE BF_350'!$AB$38+'TE CVA'!$AB$38)*1</f>
        <v>250.03999999999996</v>
      </c>
      <c r="AB447" s="6">
        <f>$K$447*$V$447</f>
        <v>0</v>
      </c>
      <c r="AC447" s="6">
        <f>$M$447*$W$447</f>
        <v>190.0745</v>
      </c>
      <c r="AD447" s="6">
        <f>$O$447*$X$447</f>
        <v>100.36599999999999</v>
      </c>
      <c r="AE447" s="6">
        <f>$K$447*$Y$447</f>
        <v>0</v>
      </c>
      <c r="AF447" s="6">
        <f ca="1">$M$447*$Z$447</f>
        <v>164.577</v>
      </c>
      <c r="AG447" s="6">
        <f ca="1">$O$447*$AA$447</f>
        <v>87.513999999999982</v>
      </c>
    </row>
    <row r="448" spans="1:33" ht="11.25" customHeight="1" x14ac:dyDescent="0.3">
      <c r="A448" s="4" t="s">
        <v>21</v>
      </c>
      <c r="B448" s="4" t="s">
        <v>32</v>
      </c>
      <c r="C448" s="4" t="s">
        <v>38</v>
      </c>
      <c r="D448" s="4" t="s">
        <v>40</v>
      </c>
      <c r="E448" s="4" t="s">
        <v>25</v>
      </c>
      <c r="F448" s="4" t="s">
        <v>25</v>
      </c>
      <c r="G448" s="4" t="s">
        <v>25</v>
      </c>
      <c r="H448" s="4" t="s">
        <v>39</v>
      </c>
      <c r="I448" s="5">
        <v>44743</v>
      </c>
      <c r="J448" s="6">
        <v>0</v>
      </c>
      <c r="K448" s="6">
        <v>0</v>
      </c>
      <c r="L448" s="6">
        <v>0.36599999999999999</v>
      </c>
      <c r="M448" s="6">
        <v>0.36599999999999999</v>
      </c>
      <c r="N448" s="6">
        <v>0.36599999999999999</v>
      </c>
      <c r="O448" s="6">
        <v>0.36599999999999999</v>
      </c>
      <c r="P448" s="6">
        <v>0</v>
      </c>
      <c r="Q448" s="4" t="s">
        <v>26</v>
      </c>
      <c r="R448" s="4">
        <v>0</v>
      </c>
      <c r="S448" s="6">
        <v>0</v>
      </c>
      <c r="T448" s="6">
        <v>75</v>
      </c>
      <c r="U448" s="6">
        <v>48</v>
      </c>
      <c r="V448" s="6">
        <f>IF(ISERROR(VLOOKUP($S$448,'TAR FIN'!$A$1:$O$92,15,0)),0,VLOOKUP($S$448,'TAR FIN'!$A$1:$O$92,15,0))</f>
        <v>0</v>
      </c>
      <c r="W448" s="6">
        <f>IF(ISERROR(VLOOKUP($T$448,'TAR FIN'!$A$1:$O$92,15,0)),0,VLOOKUP($T$448,'TAR FIN'!$A$1:$O$92,15,0))</f>
        <v>543.07000000000005</v>
      </c>
      <c r="X448" s="6">
        <f>IF(ISERROR(VLOOKUP($U$448,'TAR FIN'!$A$1:$O$92,15,0)),0,VLOOKUP($U$448,'TAR FIN'!$A$1:$O$92,15,0))</f>
        <v>286.76</v>
      </c>
      <c r="Y448" s="6"/>
      <c r="Z448" s="6">
        <f ca="1">('TUSD BE'!$AM$50+'TUSD BF_350'!$AM$50+'TUSD CVA'!$AM$50)*1</f>
        <v>470.22</v>
      </c>
      <c r="AA448" s="6">
        <f ca="1">('TE BE'!$AB$38+'TE BF_350'!$AB$38+'TE CVA'!$AB$38)*1</f>
        <v>250.03999999999996</v>
      </c>
      <c r="AB448" s="6">
        <f>$K$448*$V$448</f>
        <v>0</v>
      </c>
      <c r="AC448" s="6">
        <f>$M$448*$W$448</f>
        <v>198.76362</v>
      </c>
      <c r="AD448" s="6">
        <f>$O$448*$X$448</f>
        <v>104.95415999999999</v>
      </c>
      <c r="AE448" s="6">
        <f>$K$448*$Y$448</f>
        <v>0</v>
      </c>
      <c r="AF448" s="6">
        <f ca="1">$M$448*$Z$448</f>
        <v>172.10052000000002</v>
      </c>
      <c r="AG448" s="6">
        <f ca="1">$O$448*$AA$448</f>
        <v>91.514639999999986</v>
      </c>
    </row>
    <row r="449" spans="1:33" ht="11.25" customHeight="1" x14ac:dyDescent="0.3">
      <c r="A449" s="4" t="s">
        <v>21</v>
      </c>
      <c r="B449" s="4" t="s">
        <v>32</v>
      </c>
      <c r="C449" s="4" t="s">
        <v>38</v>
      </c>
      <c r="D449" s="4" t="s">
        <v>40</v>
      </c>
      <c r="E449" s="4" t="s">
        <v>25</v>
      </c>
      <c r="F449" s="4" t="s">
        <v>25</v>
      </c>
      <c r="G449" s="4" t="s">
        <v>25</v>
      </c>
      <c r="H449" s="4" t="s">
        <v>36</v>
      </c>
      <c r="I449" s="5">
        <v>44409</v>
      </c>
      <c r="J449" s="6">
        <v>0</v>
      </c>
      <c r="K449" s="6">
        <v>0</v>
      </c>
      <c r="L449" s="6">
        <v>0.32400000000000001</v>
      </c>
      <c r="M449" s="6">
        <v>0.32400000000000001</v>
      </c>
      <c r="N449" s="6">
        <v>0.32400000000000001</v>
      </c>
      <c r="O449" s="6">
        <v>0.32400000000000001</v>
      </c>
      <c r="P449" s="6">
        <v>0</v>
      </c>
      <c r="Q449" s="4" t="s">
        <v>26</v>
      </c>
      <c r="R449" s="4">
        <v>0</v>
      </c>
      <c r="S449" s="6">
        <v>0</v>
      </c>
      <c r="T449" s="6">
        <v>74</v>
      </c>
      <c r="U449" s="6">
        <v>47</v>
      </c>
      <c r="V449" s="6">
        <f>IF(ISERROR(VLOOKUP($S$449,'TAR FIN'!$A$1:$O$92,15,0)),0,VLOOKUP($S$449,'TAR FIN'!$A$1:$O$92,15,0))</f>
        <v>0</v>
      </c>
      <c r="W449" s="6">
        <f>IF(ISERROR(VLOOKUP($T$449,'TAR FIN'!$A$1:$O$92,15,0)),0,VLOOKUP($T$449,'TAR FIN'!$A$1:$O$92,15,0))</f>
        <v>1905.55</v>
      </c>
      <c r="X449" s="6">
        <f>IF(ISERROR(VLOOKUP($U$449,'TAR FIN'!$A$1:$O$92,15,0)),0,VLOOKUP($U$449,'TAR FIN'!$A$1:$O$92,15,0))</f>
        <v>488.15</v>
      </c>
      <c r="Y449" s="6"/>
      <c r="Z449" s="6">
        <f ca="1">('TUSD BE'!$AM$49+'TUSD BF_350'!$AM$49+'TUSD CVA'!$AM$49)*1</f>
        <v>679.11000000000035</v>
      </c>
      <c r="AA449" s="6">
        <f ca="1">('TE BE'!$AB$37+'TE BF_350'!$AB$37+'TE CVA'!$AB$37)*1</f>
        <v>399.84</v>
      </c>
      <c r="AB449" s="6">
        <f>$K$449*$V$449</f>
        <v>0</v>
      </c>
      <c r="AC449" s="6">
        <f>$M$449*$W$449</f>
        <v>617.39819999999997</v>
      </c>
      <c r="AD449" s="6">
        <f>$O$449*$X$449</f>
        <v>158.16059999999999</v>
      </c>
      <c r="AE449" s="6">
        <f>$K$449*$Y$449</f>
        <v>0</v>
      </c>
      <c r="AF449" s="6">
        <f ca="1">$M$449*$Z$449</f>
        <v>220.03164000000012</v>
      </c>
      <c r="AG449" s="6">
        <f ca="1">$O$449*$AA$449</f>
        <v>129.54816</v>
      </c>
    </row>
    <row r="450" spans="1:33" ht="11.25" customHeight="1" x14ac:dyDescent="0.3">
      <c r="A450" s="4" t="s">
        <v>21</v>
      </c>
      <c r="B450" s="4" t="s">
        <v>32</v>
      </c>
      <c r="C450" s="4" t="s">
        <v>38</v>
      </c>
      <c r="D450" s="4" t="s">
        <v>40</v>
      </c>
      <c r="E450" s="4" t="s">
        <v>25</v>
      </c>
      <c r="F450" s="4" t="s">
        <v>25</v>
      </c>
      <c r="G450" s="4" t="s">
        <v>25</v>
      </c>
      <c r="H450" s="4" t="s">
        <v>36</v>
      </c>
      <c r="I450" s="5">
        <v>44440</v>
      </c>
      <c r="J450" s="6">
        <v>0</v>
      </c>
      <c r="K450" s="6">
        <v>0</v>
      </c>
      <c r="L450" s="6">
        <v>0.315</v>
      </c>
      <c r="M450" s="6">
        <v>0.315</v>
      </c>
      <c r="N450" s="6">
        <v>0.315</v>
      </c>
      <c r="O450" s="6">
        <v>0.315</v>
      </c>
      <c r="P450" s="6">
        <v>0</v>
      </c>
      <c r="Q450" s="4" t="s">
        <v>26</v>
      </c>
      <c r="R450" s="4">
        <v>0</v>
      </c>
      <c r="S450" s="6">
        <v>0</v>
      </c>
      <c r="T450" s="6">
        <v>74</v>
      </c>
      <c r="U450" s="6">
        <v>47</v>
      </c>
      <c r="V450" s="6">
        <f>IF(ISERROR(VLOOKUP($S$450,'TAR FIN'!$A$1:$O$92,15,0)),0,VLOOKUP($S$450,'TAR FIN'!$A$1:$O$92,15,0))</f>
        <v>0</v>
      </c>
      <c r="W450" s="6">
        <f>IF(ISERROR(VLOOKUP($T$450,'TAR FIN'!$A$1:$O$92,15,0)),0,VLOOKUP($T$450,'TAR FIN'!$A$1:$O$92,15,0))</f>
        <v>1905.55</v>
      </c>
      <c r="X450" s="6">
        <f>IF(ISERROR(VLOOKUP($U$450,'TAR FIN'!$A$1:$O$92,15,0)),0,VLOOKUP($U$450,'TAR FIN'!$A$1:$O$92,15,0))</f>
        <v>488.15</v>
      </c>
      <c r="Y450" s="6"/>
      <c r="Z450" s="6">
        <f ca="1">('TUSD BE'!$AM$49+'TUSD BF_350'!$AM$49+'TUSD CVA'!$AM$49)*1</f>
        <v>679.11000000000035</v>
      </c>
      <c r="AA450" s="6">
        <f ca="1">('TE BE'!$AB$37+'TE BF_350'!$AB$37+'TE CVA'!$AB$37)*1</f>
        <v>399.84</v>
      </c>
      <c r="AB450" s="6">
        <f>$K$450*$V$450</f>
        <v>0</v>
      </c>
      <c r="AC450" s="6">
        <f>$M$450*$W$450</f>
        <v>600.24824999999998</v>
      </c>
      <c r="AD450" s="6">
        <f>$O$450*$X$450</f>
        <v>153.76724999999999</v>
      </c>
      <c r="AE450" s="6">
        <f>$K$450*$Y$450</f>
        <v>0</v>
      </c>
      <c r="AF450" s="6">
        <f ca="1">$M$450*$Z$450</f>
        <v>213.9196500000001</v>
      </c>
      <c r="AG450" s="6">
        <f ca="1">$O$450*$AA$450</f>
        <v>125.94959999999999</v>
      </c>
    </row>
    <row r="451" spans="1:33" ht="11.25" customHeight="1" x14ac:dyDescent="0.3">
      <c r="A451" s="4" t="s">
        <v>21</v>
      </c>
      <c r="B451" s="4" t="s">
        <v>32</v>
      </c>
      <c r="C451" s="4" t="s">
        <v>38</v>
      </c>
      <c r="D451" s="4" t="s">
        <v>40</v>
      </c>
      <c r="E451" s="4" t="s">
        <v>25</v>
      </c>
      <c r="F451" s="4" t="s">
        <v>25</v>
      </c>
      <c r="G451" s="4" t="s">
        <v>25</v>
      </c>
      <c r="H451" s="4" t="s">
        <v>36</v>
      </c>
      <c r="I451" s="5">
        <v>44470</v>
      </c>
      <c r="J451" s="6">
        <v>0</v>
      </c>
      <c r="K451" s="6">
        <v>0</v>
      </c>
      <c r="L451" s="6">
        <v>0.311</v>
      </c>
      <c r="M451" s="6">
        <v>0.311</v>
      </c>
      <c r="N451" s="6">
        <v>0.311</v>
      </c>
      <c r="O451" s="6">
        <v>0.311</v>
      </c>
      <c r="P451" s="6">
        <v>0</v>
      </c>
      <c r="Q451" s="4" t="s">
        <v>26</v>
      </c>
      <c r="R451" s="4">
        <v>0</v>
      </c>
      <c r="S451" s="6">
        <v>0</v>
      </c>
      <c r="T451" s="6">
        <v>74</v>
      </c>
      <c r="U451" s="6">
        <v>47</v>
      </c>
      <c r="V451" s="6">
        <f>IF(ISERROR(VLOOKUP($S$451,'TAR FIN'!$A$1:$O$92,15,0)),0,VLOOKUP($S$451,'TAR FIN'!$A$1:$O$92,15,0))</f>
        <v>0</v>
      </c>
      <c r="W451" s="6">
        <f>IF(ISERROR(VLOOKUP($T$451,'TAR FIN'!$A$1:$O$92,15,0)),0,VLOOKUP($T$451,'TAR FIN'!$A$1:$O$92,15,0))</f>
        <v>1905.55</v>
      </c>
      <c r="X451" s="6">
        <f>IF(ISERROR(VLOOKUP($U$451,'TAR FIN'!$A$1:$O$92,15,0)),0,VLOOKUP($U$451,'TAR FIN'!$A$1:$O$92,15,0))</f>
        <v>488.15</v>
      </c>
      <c r="Y451" s="6"/>
      <c r="Z451" s="6">
        <f ca="1">('TUSD BE'!$AM$49+'TUSD BF_350'!$AM$49+'TUSD CVA'!$AM$49)*1</f>
        <v>679.11000000000035</v>
      </c>
      <c r="AA451" s="6">
        <f ca="1">('TE BE'!$AB$37+'TE BF_350'!$AB$37+'TE CVA'!$AB$37)*1</f>
        <v>399.84</v>
      </c>
      <c r="AB451" s="6">
        <f>$K$451*$V$451</f>
        <v>0</v>
      </c>
      <c r="AC451" s="6">
        <f>$M$451*$W$451</f>
        <v>592.62604999999996</v>
      </c>
      <c r="AD451" s="6">
        <f>$O$451*$X$451</f>
        <v>151.81465</v>
      </c>
      <c r="AE451" s="6">
        <f>$K$451*$Y$451</f>
        <v>0</v>
      </c>
      <c r="AF451" s="6">
        <f ca="1">$M$451*$Z$451</f>
        <v>211.2032100000001</v>
      </c>
      <c r="AG451" s="6">
        <f ca="1">$O$451*$AA$451</f>
        <v>124.35023999999999</v>
      </c>
    </row>
    <row r="452" spans="1:33" ht="11.25" customHeight="1" x14ac:dyDescent="0.3">
      <c r="A452" s="4" t="s">
        <v>21</v>
      </c>
      <c r="B452" s="4" t="s">
        <v>32</v>
      </c>
      <c r="C452" s="4" t="s">
        <v>38</v>
      </c>
      <c r="D452" s="4" t="s">
        <v>40</v>
      </c>
      <c r="E452" s="4" t="s">
        <v>25</v>
      </c>
      <c r="F452" s="4" t="s">
        <v>25</v>
      </c>
      <c r="G452" s="4" t="s">
        <v>25</v>
      </c>
      <c r="H452" s="4" t="s">
        <v>36</v>
      </c>
      <c r="I452" s="5">
        <v>44501</v>
      </c>
      <c r="J452" s="6">
        <v>0</v>
      </c>
      <c r="K452" s="6">
        <v>0</v>
      </c>
      <c r="L452" s="6">
        <v>0.29399999999999998</v>
      </c>
      <c r="M452" s="6">
        <v>0.29399999999999998</v>
      </c>
      <c r="N452" s="6">
        <v>0.29399999999999998</v>
      </c>
      <c r="O452" s="6">
        <v>0.29399999999999998</v>
      </c>
      <c r="P452" s="6">
        <v>0</v>
      </c>
      <c r="Q452" s="4" t="s">
        <v>26</v>
      </c>
      <c r="R452" s="4">
        <v>0</v>
      </c>
      <c r="S452" s="6">
        <v>0</v>
      </c>
      <c r="T452" s="6">
        <v>74</v>
      </c>
      <c r="U452" s="6">
        <v>47</v>
      </c>
      <c r="V452" s="6">
        <f>IF(ISERROR(VLOOKUP($S$452,'TAR FIN'!$A$1:$O$92,15,0)),0,VLOOKUP($S$452,'TAR FIN'!$A$1:$O$92,15,0))</f>
        <v>0</v>
      </c>
      <c r="W452" s="6">
        <f>IF(ISERROR(VLOOKUP($T$452,'TAR FIN'!$A$1:$O$92,15,0)),0,VLOOKUP($T$452,'TAR FIN'!$A$1:$O$92,15,0))</f>
        <v>1905.55</v>
      </c>
      <c r="X452" s="6">
        <f>IF(ISERROR(VLOOKUP($U$452,'TAR FIN'!$A$1:$O$92,15,0)),0,VLOOKUP($U$452,'TAR FIN'!$A$1:$O$92,15,0))</f>
        <v>488.15</v>
      </c>
      <c r="Y452" s="6"/>
      <c r="Z452" s="6">
        <f ca="1">('TUSD BE'!$AM$49+'TUSD BF_350'!$AM$49+'TUSD CVA'!$AM$49)*1</f>
        <v>679.11000000000035</v>
      </c>
      <c r="AA452" s="6">
        <f ca="1">('TE BE'!$AB$37+'TE BF_350'!$AB$37+'TE CVA'!$AB$37)*1</f>
        <v>399.84</v>
      </c>
      <c r="AB452" s="6">
        <f>$K$452*$V$452</f>
        <v>0</v>
      </c>
      <c r="AC452" s="6">
        <f>$M$452*$W$452</f>
        <v>560.23169999999993</v>
      </c>
      <c r="AD452" s="6">
        <f>$O$452*$X$452</f>
        <v>143.51609999999999</v>
      </c>
      <c r="AE452" s="6">
        <f>$K$452*$Y$452</f>
        <v>0</v>
      </c>
      <c r="AF452" s="6">
        <f ca="1">$M$452*$Z$452</f>
        <v>199.65834000000009</v>
      </c>
      <c r="AG452" s="6">
        <f ca="1">$O$452*$AA$452</f>
        <v>117.55295999999998</v>
      </c>
    </row>
    <row r="453" spans="1:33" ht="11.25" customHeight="1" x14ac:dyDescent="0.3">
      <c r="A453" s="4" t="s">
        <v>21</v>
      </c>
      <c r="B453" s="4" t="s">
        <v>32</v>
      </c>
      <c r="C453" s="4" t="s">
        <v>38</v>
      </c>
      <c r="D453" s="4" t="s">
        <v>40</v>
      </c>
      <c r="E453" s="4" t="s">
        <v>25</v>
      </c>
      <c r="F453" s="4" t="s">
        <v>25</v>
      </c>
      <c r="G453" s="4" t="s">
        <v>25</v>
      </c>
      <c r="H453" s="4" t="s">
        <v>36</v>
      </c>
      <c r="I453" s="5">
        <v>44531</v>
      </c>
      <c r="J453" s="6">
        <v>0</v>
      </c>
      <c r="K453" s="6">
        <v>0</v>
      </c>
      <c r="L453" s="6">
        <v>0.27800000000000002</v>
      </c>
      <c r="M453" s="6">
        <v>0.27800000000000002</v>
      </c>
      <c r="N453" s="6">
        <v>0.27800000000000002</v>
      </c>
      <c r="O453" s="6">
        <v>0.27800000000000002</v>
      </c>
      <c r="P453" s="6">
        <v>0</v>
      </c>
      <c r="Q453" s="4" t="s">
        <v>26</v>
      </c>
      <c r="R453" s="4">
        <v>0</v>
      </c>
      <c r="S453" s="6">
        <v>0</v>
      </c>
      <c r="T453" s="6">
        <v>74</v>
      </c>
      <c r="U453" s="6">
        <v>47</v>
      </c>
      <c r="V453" s="6">
        <f>IF(ISERROR(VLOOKUP($S$453,'TAR FIN'!$A$1:$O$92,15,0)),0,VLOOKUP($S$453,'TAR FIN'!$A$1:$O$92,15,0))</f>
        <v>0</v>
      </c>
      <c r="W453" s="6">
        <f>IF(ISERROR(VLOOKUP($T$453,'TAR FIN'!$A$1:$O$92,15,0)),0,VLOOKUP($T$453,'TAR FIN'!$A$1:$O$92,15,0))</f>
        <v>1905.55</v>
      </c>
      <c r="X453" s="6">
        <f>IF(ISERROR(VLOOKUP($U$453,'TAR FIN'!$A$1:$O$92,15,0)),0,VLOOKUP($U$453,'TAR FIN'!$A$1:$O$92,15,0))</f>
        <v>488.15</v>
      </c>
      <c r="Y453" s="6"/>
      <c r="Z453" s="6">
        <f ca="1">('TUSD BE'!$AM$49+'TUSD BF_350'!$AM$49+'TUSD CVA'!$AM$49)*1</f>
        <v>679.11000000000035</v>
      </c>
      <c r="AA453" s="6">
        <f ca="1">('TE BE'!$AB$37+'TE BF_350'!$AB$37+'TE CVA'!$AB$37)*1</f>
        <v>399.84</v>
      </c>
      <c r="AB453" s="6">
        <f>$K$453*$V$453</f>
        <v>0</v>
      </c>
      <c r="AC453" s="6">
        <f>$M$453*$W$453</f>
        <v>529.74290000000008</v>
      </c>
      <c r="AD453" s="6">
        <f>$O$453*$X$453</f>
        <v>135.70570000000001</v>
      </c>
      <c r="AE453" s="6">
        <f>$K$453*$Y$453</f>
        <v>0</v>
      </c>
      <c r="AF453" s="6">
        <f ca="1">$M$453*$Z$453</f>
        <v>188.79258000000013</v>
      </c>
      <c r="AG453" s="6">
        <f ca="1">$O$453*$AA$453</f>
        <v>111.15552000000001</v>
      </c>
    </row>
    <row r="454" spans="1:33" ht="11.25" customHeight="1" x14ac:dyDescent="0.3">
      <c r="A454" s="4" t="s">
        <v>21</v>
      </c>
      <c r="B454" s="4" t="s">
        <v>32</v>
      </c>
      <c r="C454" s="4" t="s">
        <v>38</v>
      </c>
      <c r="D454" s="4" t="s">
        <v>40</v>
      </c>
      <c r="E454" s="4" t="s">
        <v>25</v>
      </c>
      <c r="F454" s="4" t="s">
        <v>25</v>
      </c>
      <c r="G454" s="4" t="s">
        <v>25</v>
      </c>
      <c r="H454" s="4" t="s">
        <v>36</v>
      </c>
      <c r="I454" s="5">
        <v>44562</v>
      </c>
      <c r="J454" s="6">
        <v>0</v>
      </c>
      <c r="K454" s="6">
        <v>0</v>
      </c>
      <c r="L454" s="6">
        <v>0.40500000000000003</v>
      </c>
      <c r="M454" s="6">
        <v>0.40500000000000003</v>
      </c>
      <c r="N454" s="6">
        <v>0.40500000000000003</v>
      </c>
      <c r="O454" s="6">
        <v>0.40500000000000003</v>
      </c>
      <c r="P454" s="6">
        <v>0</v>
      </c>
      <c r="Q454" s="4" t="s">
        <v>26</v>
      </c>
      <c r="R454" s="4">
        <v>0</v>
      </c>
      <c r="S454" s="6">
        <v>0</v>
      </c>
      <c r="T454" s="6">
        <v>74</v>
      </c>
      <c r="U454" s="6">
        <v>47</v>
      </c>
      <c r="V454" s="6">
        <f>IF(ISERROR(VLOOKUP($S$454,'TAR FIN'!$A$1:$O$92,15,0)),0,VLOOKUP($S$454,'TAR FIN'!$A$1:$O$92,15,0))</f>
        <v>0</v>
      </c>
      <c r="W454" s="6">
        <f>IF(ISERROR(VLOOKUP($T$454,'TAR FIN'!$A$1:$O$92,15,0)),0,VLOOKUP($T$454,'TAR FIN'!$A$1:$O$92,15,0))</f>
        <v>1905.55</v>
      </c>
      <c r="X454" s="6">
        <f>IF(ISERROR(VLOOKUP($U$454,'TAR FIN'!$A$1:$O$92,15,0)),0,VLOOKUP($U$454,'TAR FIN'!$A$1:$O$92,15,0))</f>
        <v>488.15</v>
      </c>
      <c r="Y454" s="6"/>
      <c r="Z454" s="6">
        <f ca="1">('TUSD BE'!$AM$49+'TUSD BF_350'!$AM$49+'TUSD CVA'!$AM$49)*1</f>
        <v>679.11000000000035</v>
      </c>
      <c r="AA454" s="6">
        <f ca="1">('TE BE'!$AB$37+'TE BF_350'!$AB$37+'TE CVA'!$AB$37)*1</f>
        <v>399.84</v>
      </c>
      <c r="AB454" s="6">
        <f>$K$454*$V$454</f>
        <v>0</v>
      </c>
      <c r="AC454" s="6">
        <f>$M$454*$W$454</f>
        <v>771.74775</v>
      </c>
      <c r="AD454" s="6">
        <f>$O$454*$X$454</f>
        <v>197.70075</v>
      </c>
      <c r="AE454" s="6">
        <f>$K$454*$Y$454</f>
        <v>0</v>
      </c>
      <c r="AF454" s="6">
        <f ca="1">$M$454*$Z$454</f>
        <v>275.03955000000013</v>
      </c>
      <c r="AG454" s="6">
        <f ca="1">$O$454*$AA$454</f>
        <v>161.93520000000001</v>
      </c>
    </row>
    <row r="455" spans="1:33" ht="11.25" customHeight="1" x14ac:dyDescent="0.3">
      <c r="A455" s="4" t="s">
        <v>21</v>
      </c>
      <c r="B455" s="4" t="s">
        <v>32</v>
      </c>
      <c r="C455" s="4" t="s">
        <v>38</v>
      </c>
      <c r="D455" s="4" t="s">
        <v>40</v>
      </c>
      <c r="E455" s="4" t="s">
        <v>25</v>
      </c>
      <c r="F455" s="4" t="s">
        <v>25</v>
      </c>
      <c r="G455" s="4" t="s">
        <v>25</v>
      </c>
      <c r="H455" s="4" t="s">
        <v>36</v>
      </c>
      <c r="I455" s="5">
        <v>44593</v>
      </c>
      <c r="J455" s="6">
        <v>0</v>
      </c>
      <c r="K455" s="6">
        <v>0</v>
      </c>
      <c r="L455" s="6">
        <v>0.36899999999999999</v>
      </c>
      <c r="M455" s="6">
        <v>0.36899999999999999</v>
      </c>
      <c r="N455" s="6">
        <v>0.36899999999999999</v>
      </c>
      <c r="O455" s="6">
        <v>0.36899999999999999</v>
      </c>
      <c r="P455" s="6">
        <v>0</v>
      </c>
      <c r="Q455" s="4" t="s">
        <v>26</v>
      </c>
      <c r="R455" s="4">
        <v>0</v>
      </c>
      <c r="S455" s="6">
        <v>0</v>
      </c>
      <c r="T455" s="6">
        <v>74</v>
      </c>
      <c r="U455" s="6">
        <v>47</v>
      </c>
      <c r="V455" s="6">
        <f>IF(ISERROR(VLOOKUP($S$455,'TAR FIN'!$A$1:$O$92,15,0)),0,VLOOKUP($S$455,'TAR FIN'!$A$1:$O$92,15,0))</f>
        <v>0</v>
      </c>
      <c r="W455" s="6">
        <f>IF(ISERROR(VLOOKUP($T$455,'TAR FIN'!$A$1:$O$92,15,0)),0,VLOOKUP($T$455,'TAR FIN'!$A$1:$O$92,15,0))</f>
        <v>1905.55</v>
      </c>
      <c r="X455" s="6">
        <f>IF(ISERROR(VLOOKUP($U$455,'TAR FIN'!$A$1:$O$92,15,0)),0,VLOOKUP($U$455,'TAR FIN'!$A$1:$O$92,15,0))</f>
        <v>488.15</v>
      </c>
      <c r="Y455" s="6"/>
      <c r="Z455" s="6">
        <f ca="1">('TUSD BE'!$AM$49+'TUSD BF_350'!$AM$49+'TUSD CVA'!$AM$49)*1</f>
        <v>679.11000000000035</v>
      </c>
      <c r="AA455" s="6">
        <f ca="1">('TE BE'!$AB$37+'TE BF_350'!$AB$37+'TE CVA'!$AB$37)*1</f>
        <v>399.84</v>
      </c>
      <c r="AB455" s="6">
        <f>$K$455*$V$455</f>
        <v>0</v>
      </c>
      <c r="AC455" s="6">
        <f>$M$455*$W$455</f>
        <v>703.14794999999992</v>
      </c>
      <c r="AD455" s="6">
        <f>$O$455*$X$455</f>
        <v>180.12734999999998</v>
      </c>
      <c r="AE455" s="6">
        <f>$K$455*$Y$455</f>
        <v>0</v>
      </c>
      <c r="AF455" s="6">
        <f ca="1">$M$455*$Z$455</f>
        <v>250.59159000000014</v>
      </c>
      <c r="AG455" s="6">
        <f ca="1">$O$455*$AA$455</f>
        <v>147.54095999999998</v>
      </c>
    </row>
    <row r="456" spans="1:33" ht="11.25" customHeight="1" x14ac:dyDescent="0.3">
      <c r="A456" s="4" t="s">
        <v>21</v>
      </c>
      <c r="B456" s="4" t="s">
        <v>32</v>
      </c>
      <c r="C456" s="4" t="s">
        <v>38</v>
      </c>
      <c r="D456" s="4" t="s">
        <v>40</v>
      </c>
      <c r="E456" s="4" t="s">
        <v>25</v>
      </c>
      <c r="F456" s="4" t="s">
        <v>25</v>
      </c>
      <c r="G456" s="4" t="s">
        <v>25</v>
      </c>
      <c r="H456" s="4" t="s">
        <v>36</v>
      </c>
      <c r="I456" s="5">
        <v>44621</v>
      </c>
      <c r="J456" s="6">
        <v>0</v>
      </c>
      <c r="K456" s="6">
        <v>0</v>
      </c>
      <c r="L456" s="6">
        <v>0.29699999999999999</v>
      </c>
      <c r="M456" s="6">
        <v>0.29699999999999999</v>
      </c>
      <c r="N456" s="6">
        <v>0.29699999999999999</v>
      </c>
      <c r="O456" s="6">
        <v>0.29699999999999999</v>
      </c>
      <c r="P456" s="6">
        <v>0</v>
      </c>
      <c r="Q456" s="4" t="s">
        <v>26</v>
      </c>
      <c r="R456" s="4">
        <v>0</v>
      </c>
      <c r="S456" s="6">
        <v>0</v>
      </c>
      <c r="T456" s="6">
        <v>74</v>
      </c>
      <c r="U456" s="6">
        <v>47</v>
      </c>
      <c r="V456" s="6">
        <f>IF(ISERROR(VLOOKUP($S$456,'TAR FIN'!$A$1:$O$92,15,0)),0,VLOOKUP($S$456,'TAR FIN'!$A$1:$O$92,15,0))</f>
        <v>0</v>
      </c>
      <c r="W456" s="6">
        <f>IF(ISERROR(VLOOKUP($T$456,'TAR FIN'!$A$1:$O$92,15,0)),0,VLOOKUP($T$456,'TAR FIN'!$A$1:$O$92,15,0))</f>
        <v>1905.55</v>
      </c>
      <c r="X456" s="6">
        <f>IF(ISERROR(VLOOKUP($U$456,'TAR FIN'!$A$1:$O$92,15,0)),0,VLOOKUP($U$456,'TAR FIN'!$A$1:$O$92,15,0))</f>
        <v>488.15</v>
      </c>
      <c r="Y456" s="6"/>
      <c r="Z456" s="6">
        <f ca="1">('TUSD BE'!$AM$49+'TUSD BF_350'!$AM$49+'TUSD CVA'!$AM$49)*1</f>
        <v>679.11000000000035</v>
      </c>
      <c r="AA456" s="6">
        <f ca="1">('TE BE'!$AB$37+'TE BF_350'!$AB$37+'TE CVA'!$AB$37)*1</f>
        <v>399.84</v>
      </c>
      <c r="AB456" s="6">
        <f>$K$456*$V$456</f>
        <v>0</v>
      </c>
      <c r="AC456" s="6">
        <f>$M$456*$W$456</f>
        <v>565.94835</v>
      </c>
      <c r="AD456" s="6">
        <f>$O$456*$X$456</f>
        <v>144.98054999999999</v>
      </c>
      <c r="AE456" s="6">
        <f>$K$456*$Y$456</f>
        <v>0</v>
      </c>
      <c r="AF456" s="6">
        <f ca="1">$M$456*$Z$456</f>
        <v>201.69567000000009</v>
      </c>
      <c r="AG456" s="6">
        <f ca="1">$O$456*$AA$456</f>
        <v>118.75247999999999</v>
      </c>
    </row>
    <row r="457" spans="1:33" ht="11.25" customHeight="1" x14ac:dyDescent="0.3">
      <c r="A457" s="4" t="s">
        <v>21</v>
      </c>
      <c r="B457" s="4" t="s">
        <v>32</v>
      </c>
      <c r="C457" s="4" t="s">
        <v>38</v>
      </c>
      <c r="D457" s="4" t="s">
        <v>40</v>
      </c>
      <c r="E457" s="4" t="s">
        <v>25</v>
      </c>
      <c r="F457" s="4" t="s">
        <v>25</v>
      </c>
      <c r="G457" s="4" t="s">
        <v>25</v>
      </c>
      <c r="H457" s="4" t="s">
        <v>36</v>
      </c>
      <c r="I457" s="5">
        <v>44652</v>
      </c>
      <c r="J457" s="6">
        <v>0</v>
      </c>
      <c r="K457" s="6">
        <v>0</v>
      </c>
      <c r="L457" s="6">
        <v>0.32100000000000001</v>
      </c>
      <c r="M457" s="6">
        <v>0.32100000000000001</v>
      </c>
      <c r="N457" s="6">
        <v>0.32100000000000001</v>
      </c>
      <c r="O457" s="6">
        <v>0.32100000000000001</v>
      </c>
      <c r="P457" s="6">
        <v>0</v>
      </c>
      <c r="Q457" s="4" t="s">
        <v>26</v>
      </c>
      <c r="R457" s="4">
        <v>0</v>
      </c>
      <c r="S457" s="6">
        <v>0</v>
      </c>
      <c r="T457" s="6">
        <v>74</v>
      </c>
      <c r="U457" s="6">
        <v>47</v>
      </c>
      <c r="V457" s="6">
        <f>IF(ISERROR(VLOOKUP($S$457,'TAR FIN'!$A$1:$O$92,15,0)),0,VLOOKUP($S$457,'TAR FIN'!$A$1:$O$92,15,0))</f>
        <v>0</v>
      </c>
      <c r="W457" s="6">
        <f>IF(ISERROR(VLOOKUP($T$457,'TAR FIN'!$A$1:$O$92,15,0)),0,VLOOKUP($T$457,'TAR FIN'!$A$1:$O$92,15,0))</f>
        <v>1905.55</v>
      </c>
      <c r="X457" s="6">
        <f>IF(ISERROR(VLOOKUP($U$457,'TAR FIN'!$A$1:$O$92,15,0)),0,VLOOKUP($U$457,'TAR FIN'!$A$1:$O$92,15,0))</f>
        <v>488.15</v>
      </c>
      <c r="Y457" s="6"/>
      <c r="Z457" s="6">
        <f ca="1">('TUSD BE'!$AM$49+'TUSD BF_350'!$AM$49+'TUSD CVA'!$AM$49)*1</f>
        <v>679.11000000000035</v>
      </c>
      <c r="AA457" s="6">
        <f ca="1">('TE BE'!$AB$37+'TE BF_350'!$AB$37+'TE CVA'!$AB$37)*1</f>
        <v>399.84</v>
      </c>
      <c r="AB457" s="6">
        <f>$K$457*$V$457</f>
        <v>0</v>
      </c>
      <c r="AC457" s="6">
        <f>$M$457*$W$457</f>
        <v>611.68155000000002</v>
      </c>
      <c r="AD457" s="6">
        <f>$O$457*$X$457</f>
        <v>156.69614999999999</v>
      </c>
      <c r="AE457" s="6">
        <f>$K$457*$Y$457</f>
        <v>0</v>
      </c>
      <c r="AF457" s="6">
        <f ca="1">$M$457*$Z$457</f>
        <v>217.99431000000013</v>
      </c>
      <c r="AG457" s="6">
        <f ca="1">$O$457*$AA$457</f>
        <v>128.34863999999999</v>
      </c>
    </row>
    <row r="458" spans="1:33" ht="11.25" customHeight="1" x14ac:dyDescent="0.3">
      <c r="A458" s="4" t="s">
        <v>21</v>
      </c>
      <c r="B458" s="4" t="s">
        <v>32</v>
      </c>
      <c r="C458" s="4" t="s">
        <v>38</v>
      </c>
      <c r="D458" s="4" t="s">
        <v>40</v>
      </c>
      <c r="E458" s="4" t="s">
        <v>25</v>
      </c>
      <c r="F458" s="4" t="s">
        <v>25</v>
      </c>
      <c r="G458" s="4" t="s">
        <v>25</v>
      </c>
      <c r="H458" s="4" t="s">
        <v>36</v>
      </c>
      <c r="I458" s="5">
        <v>44682</v>
      </c>
      <c r="J458" s="6">
        <v>0</v>
      </c>
      <c r="K458" s="6">
        <v>0</v>
      </c>
      <c r="L458" s="6">
        <v>0.35299999999999998</v>
      </c>
      <c r="M458" s="6">
        <v>0.35299999999999998</v>
      </c>
      <c r="N458" s="6">
        <v>0.35299999999999998</v>
      </c>
      <c r="O458" s="6">
        <v>0.35299999999999998</v>
      </c>
      <c r="P458" s="6">
        <v>0</v>
      </c>
      <c r="Q458" s="4" t="s">
        <v>26</v>
      </c>
      <c r="R458" s="4">
        <v>0</v>
      </c>
      <c r="S458" s="6">
        <v>0</v>
      </c>
      <c r="T458" s="6">
        <v>74</v>
      </c>
      <c r="U458" s="6">
        <v>47</v>
      </c>
      <c r="V458" s="6">
        <f>IF(ISERROR(VLOOKUP($S$458,'TAR FIN'!$A$1:$O$92,15,0)),0,VLOOKUP($S$458,'TAR FIN'!$A$1:$O$92,15,0))</f>
        <v>0</v>
      </c>
      <c r="W458" s="6">
        <f>IF(ISERROR(VLOOKUP($T$458,'TAR FIN'!$A$1:$O$92,15,0)),0,VLOOKUP($T$458,'TAR FIN'!$A$1:$O$92,15,0))</f>
        <v>1905.55</v>
      </c>
      <c r="X458" s="6">
        <f>IF(ISERROR(VLOOKUP($U$458,'TAR FIN'!$A$1:$O$92,15,0)),0,VLOOKUP($U$458,'TAR FIN'!$A$1:$O$92,15,0))</f>
        <v>488.15</v>
      </c>
      <c r="Y458" s="6"/>
      <c r="Z458" s="6">
        <f ca="1">('TUSD BE'!$AM$49+'TUSD BF_350'!$AM$49+'TUSD CVA'!$AM$49)*1</f>
        <v>679.11000000000035</v>
      </c>
      <c r="AA458" s="6">
        <f ca="1">('TE BE'!$AB$37+'TE BF_350'!$AB$37+'TE CVA'!$AB$37)*1</f>
        <v>399.84</v>
      </c>
      <c r="AB458" s="6">
        <f>$K$458*$V$458</f>
        <v>0</v>
      </c>
      <c r="AC458" s="6">
        <f>$M$458*$W$458</f>
        <v>672.65914999999995</v>
      </c>
      <c r="AD458" s="6">
        <f>$O$458*$X$458</f>
        <v>172.31694999999999</v>
      </c>
      <c r="AE458" s="6">
        <f>$K$458*$Y$458</f>
        <v>0</v>
      </c>
      <c r="AF458" s="6">
        <f ca="1">$M$458*$Z$458</f>
        <v>239.72583000000012</v>
      </c>
      <c r="AG458" s="6">
        <f ca="1">$O$458*$AA$458</f>
        <v>141.14352</v>
      </c>
    </row>
    <row r="459" spans="1:33" ht="11.25" customHeight="1" x14ac:dyDescent="0.3">
      <c r="A459" s="4" t="s">
        <v>21</v>
      </c>
      <c r="B459" s="4" t="s">
        <v>32</v>
      </c>
      <c r="C459" s="4" t="s">
        <v>38</v>
      </c>
      <c r="D459" s="4" t="s">
        <v>40</v>
      </c>
      <c r="E459" s="4" t="s">
        <v>25</v>
      </c>
      <c r="F459" s="4" t="s">
        <v>25</v>
      </c>
      <c r="G459" s="4" t="s">
        <v>25</v>
      </c>
      <c r="H459" s="4" t="s">
        <v>36</v>
      </c>
      <c r="I459" s="5">
        <v>44713</v>
      </c>
      <c r="J459" s="6">
        <v>0</v>
      </c>
      <c r="K459" s="6">
        <v>0</v>
      </c>
      <c r="L459" s="6">
        <v>0.36399999999999999</v>
      </c>
      <c r="M459" s="6">
        <v>0.36399999999999999</v>
      </c>
      <c r="N459" s="6">
        <v>0.36399999999999999</v>
      </c>
      <c r="O459" s="6">
        <v>0.36399999999999999</v>
      </c>
      <c r="P459" s="6">
        <v>0</v>
      </c>
      <c r="Q459" s="4" t="s">
        <v>26</v>
      </c>
      <c r="R459" s="4">
        <v>0</v>
      </c>
      <c r="S459" s="6">
        <v>0</v>
      </c>
      <c r="T459" s="6">
        <v>74</v>
      </c>
      <c r="U459" s="6">
        <v>47</v>
      </c>
      <c r="V459" s="6">
        <f>IF(ISERROR(VLOOKUP($S$459,'TAR FIN'!$A$1:$O$92,15,0)),0,VLOOKUP($S$459,'TAR FIN'!$A$1:$O$92,15,0))</f>
        <v>0</v>
      </c>
      <c r="W459" s="6">
        <f>IF(ISERROR(VLOOKUP($T$459,'TAR FIN'!$A$1:$O$92,15,0)),0,VLOOKUP($T$459,'TAR FIN'!$A$1:$O$92,15,0))</f>
        <v>1905.55</v>
      </c>
      <c r="X459" s="6">
        <f>IF(ISERROR(VLOOKUP($U$459,'TAR FIN'!$A$1:$O$92,15,0)),0,VLOOKUP($U$459,'TAR FIN'!$A$1:$O$92,15,0))</f>
        <v>488.15</v>
      </c>
      <c r="Y459" s="6"/>
      <c r="Z459" s="6">
        <f ca="1">('TUSD BE'!$AM$49+'TUSD BF_350'!$AM$49+'TUSD CVA'!$AM$49)*1</f>
        <v>679.11000000000035</v>
      </c>
      <c r="AA459" s="6">
        <f ca="1">('TE BE'!$AB$37+'TE BF_350'!$AB$37+'TE CVA'!$AB$37)*1</f>
        <v>399.84</v>
      </c>
      <c r="AB459" s="6">
        <f>$K$459*$V$459</f>
        <v>0</v>
      </c>
      <c r="AC459" s="6">
        <f>$M$459*$W$459</f>
        <v>693.62019999999995</v>
      </c>
      <c r="AD459" s="6">
        <f>$O$459*$X$459</f>
        <v>177.6866</v>
      </c>
      <c r="AE459" s="6">
        <f>$K$459*$Y$459</f>
        <v>0</v>
      </c>
      <c r="AF459" s="6">
        <f ca="1">$M$459*$Z$459</f>
        <v>247.19604000000012</v>
      </c>
      <c r="AG459" s="6">
        <f ca="1">$O$459*$AA$459</f>
        <v>145.54175999999998</v>
      </c>
    </row>
    <row r="460" spans="1:33" ht="11.25" customHeight="1" x14ac:dyDescent="0.3">
      <c r="A460" s="4" t="s">
        <v>21</v>
      </c>
      <c r="B460" s="4" t="s">
        <v>32</v>
      </c>
      <c r="C460" s="4" t="s">
        <v>38</v>
      </c>
      <c r="D460" s="4" t="s">
        <v>40</v>
      </c>
      <c r="E460" s="4" t="s">
        <v>25</v>
      </c>
      <c r="F460" s="4" t="s">
        <v>25</v>
      </c>
      <c r="G460" s="4" t="s">
        <v>25</v>
      </c>
      <c r="H460" s="4" t="s">
        <v>36</v>
      </c>
      <c r="I460" s="5">
        <v>44743</v>
      </c>
      <c r="J460" s="6">
        <v>0</v>
      </c>
      <c r="K460" s="6">
        <v>0</v>
      </c>
      <c r="L460" s="6">
        <v>0.34799999999999998</v>
      </c>
      <c r="M460" s="6">
        <v>0.34799999999999998</v>
      </c>
      <c r="N460" s="6">
        <v>0.34799999999999998</v>
      </c>
      <c r="O460" s="6">
        <v>0.34799999999999998</v>
      </c>
      <c r="P460" s="6">
        <v>0</v>
      </c>
      <c r="Q460" s="4" t="s">
        <v>26</v>
      </c>
      <c r="R460" s="4">
        <v>0</v>
      </c>
      <c r="S460" s="6">
        <v>0</v>
      </c>
      <c r="T460" s="6">
        <v>74</v>
      </c>
      <c r="U460" s="6">
        <v>47</v>
      </c>
      <c r="V460" s="6">
        <f>IF(ISERROR(VLOOKUP($S$460,'TAR FIN'!$A$1:$O$92,15,0)),0,VLOOKUP($S$460,'TAR FIN'!$A$1:$O$92,15,0))</f>
        <v>0</v>
      </c>
      <c r="W460" s="6">
        <f>IF(ISERROR(VLOOKUP($T$460,'TAR FIN'!$A$1:$O$92,15,0)),0,VLOOKUP($T$460,'TAR FIN'!$A$1:$O$92,15,0))</f>
        <v>1905.55</v>
      </c>
      <c r="X460" s="6">
        <f>IF(ISERROR(VLOOKUP($U$460,'TAR FIN'!$A$1:$O$92,15,0)),0,VLOOKUP($U$460,'TAR FIN'!$A$1:$O$92,15,0))</f>
        <v>488.15</v>
      </c>
      <c r="Y460" s="6"/>
      <c r="Z460" s="6">
        <f ca="1">('TUSD BE'!$AM$49+'TUSD BF_350'!$AM$49+'TUSD CVA'!$AM$49)*1</f>
        <v>679.11000000000035</v>
      </c>
      <c r="AA460" s="6">
        <f ca="1">('TE BE'!$AB$37+'TE BF_350'!$AB$37+'TE CVA'!$AB$37)*1</f>
        <v>399.84</v>
      </c>
      <c r="AB460" s="6">
        <f>$K$460*$V$460</f>
        <v>0</v>
      </c>
      <c r="AC460" s="6">
        <f>$M$460*$W$460</f>
        <v>663.13139999999999</v>
      </c>
      <c r="AD460" s="6">
        <f>$O$460*$X$460</f>
        <v>169.87619999999998</v>
      </c>
      <c r="AE460" s="6">
        <f>$K$460*$Y$460</f>
        <v>0</v>
      </c>
      <c r="AF460" s="6">
        <f ca="1">$M$460*$Z$460</f>
        <v>236.3302800000001</v>
      </c>
      <c r="AG460" s="6">
        <f ca="1">$O$460*$AA$460</f>
        <v>139.14431999999999</v>
      </c>
    </row>
    <row r="461" spans="1:33" ht="11.25" customHeight="1" x14ac:dyDescent="0.3">
      <c r="A461" s="4" t="s">
        <v>21</v>
      </c>
      <c r="B461" s="4" t="s">
        <v>32</v>
      </c>
      <c r="C461" s="4" t="s">
        <v>38</v>
      </c>
      <c r="D461" s="4" t="s">
        <v>33</v>
      </c>
      <c r="E461" s="4" t="s">
        <v>25</v>
      </c>
      <c r="F461" s="4" t="s">
        <v>25</v>
      </c>
      <c r="G461" s="4" t="s">
        <v>25</v>
      </c>
      <c r="H461" s="4" t="s">
        <v>37</v>
      </c>
      <c r="I461" s="5">
        <v>44409</v>
      </c>
      <c r="J461" s="6">
        <v>0</v>
      </c>
      <c r="K461" s="6">
        <v>0</v>
      </c>
      <c r="L461" s="6">
        <v>6.9989999999999997</v>
      </c>
      <c r="M461" s="6">
        <v>6.9989999999999997</v>
      </c>
      <c r="N461" s="6">
        <v>6.9989999999999997</v>
      </c>
      <c r="O461" s="6">
        <v>6.9989999999999997</v>
      </c>
      <c r="P461" s="6">
        <v>0</v>
      </c>
      <c r="Q461" s="4" t="s">
        <v>26</v>
      </c>
      <c r="R461" s="4">
        <v>0</v>
      </c>
      <c r="S461" s="6">
        <v>0</v>
      </c>
      <c r="T461" s="6">
        <v>76</v>
      </c>
      <c r="U461" s="6">
        <v>51</v>
      </c>
      <c r="V461" s="6">
        <f>IF(ISERROR(VLOOKUP($S$461,'TAR FIN'!$A$1:$O$92,15,0)),0,VLOOKUP($S$461,'TAR FIN'!$A$1:$O$92,15,0))</f>
        <v>0</v>
      </c>
      <c r="W461" s="6">
        <f>IF(ISERROR(VLOOKUP($T$461,'TAR FIN'!$A$1:$O$92,15,0)),0,VLOOKUP($T$461,'TAR FIN'!$A$1:$O$92,15,0))</f>
        <v>225.41</v>
      </c>
      <c r="X461" s="6">
        <f>IF(ISERROR(VLOOKUP($U$461,'TAR FIN'!$A$1:$O$92,15,0)),0,VLOOKUP($U$461,'TAR FIN'!$A$1:$O$92,15,0))</f>
        <v>286.76</v>
      </c>
      <c r="Y461" s="6"/>
      <c r="Z461" s="6">
        <f ca="1">('TUSD BE'!$AM$51+'TUSD BF_350'!$AM$51+'TUSD CVA'!$AM$51)*1</f>
        <v>261.33999999999997</v>
      </c>
      <c r="AA461" s="6">
        <f ca="1">('TE BE'!$AB$39+'TE BF_350'!$AB$39+'TE CVA'!$AB$39)*1</f>
        <v>250.03999999999996</v>
      </c>
      <c r="AB461" s="6">
        <f>$K$461*$V$461</f>
        <v>0</v>
      </c>
      <c r="AC461" s="6">
        <f>$M$461*$W$461</f>
        <v>1577.6445899999999</v>
      </c>
      <c r="AD461" s="6">
        <f>$O$461*$X$461</f>
        <v>2007.0332399999998</v>
      </c>
      <c r="AE461" s="6">
        <f>$K$461*$Y$461</f>
        <v>0</v>
      </c>
      <c r="AF461" s="6">
        <f ca="1">$M$461*$Z$461</f>
        <v>1829.1186599999996</v>
      </c>
      <c r="AG461" s="6">
        <f ca="1">$O$461*$AA$461</f>
        <v>1750.0299599999996</v>
      </c>
    </row>
    <row r="462" spans="1:33" ht="11.25" customHeight="1" x14ac:dyDescent="0.3">
      <c r="A462" s="4" t="s">
        <v>21</v>
      </c>
      <c r="B462" s="4" t="s">
        <v>32</v>
      </c>
      <c r="C462" s="4" t="s">
        <v>38</v>
      </c>
      <c r="D462" s="4" t="s">
        <v>33</v>
      </c>
      <c r="E462" s="4" t="s">
        <v>25</v>
      </c>
      <c r="F462" s="4" t="s">
        <v>25</v>
      </c>
      <c r="G462" s="4" t="s">
        <v>25</v>
      </c>
      <c r="H462" s="4" t="s">
        <v>37</v>
      </c>
      <c r="I462" s="5">
        <v>44440</v>
      </c>
      <c r="J462" s="6">
        <v>0</v>
      </c>
      <c r="K462" s="6">
        <v>0</v>
      </c>
      <c r="L462" s="6">
        <v>7.8239999999999998</v>
      </c>
      <c r="M462" s="6">
        <v>7.8239999999999998</v>
      </c>
      <c r="N462" s="6">
        <v>7.8239999999999998</v>
      </c>
      <c r="O462" s="6">
        <v>7.8239999999999998</v>
      </c>
      <c r="P462" s="6">
        <v>0</v>
      </c>
      <c r="Q462" s="4" t="s">
        <v>26</v>
      </c>
      <c r="R462" s="4">
        <v>0</v>
      </c>
      <c r="S462" s="6">
        <v>0</v>
      </c>
      <c r="T462" s="6">
        <v>76</v>
      </c>
      <c r="U462" s="6">
        <v>51</v>
      </c>
      <c r="V462" s="6">
        <f>IF(ISERROR(VLOOKUP($S$462,'TAR FIN'!$A$1:$O$92,15,0)),0,VLOOKUP($S$462,'TAR FIN'!$A$1:$O$92,15,0))</f>
        <v>0</v>
      </c>
      <c r="W462" s="6">
        <f>IF(ISERROR(VLOOKUP($T$462,'TAR FIN'!$A$1:$O$92,15,0)),0,VLOOKUP($T$462,'TAR FIN'!$A$1:$O$92,15,0))</f>
        <v>225.41</v>
      </c>
      <c r="X462" s="6">
        <f>IF(ISERROR(VLOOKUP($U$462,'TAR FIN'!$A$1:$O$92,15,0)),0,VLOOKUP($U$462,'TAR FIN'!$A$1:$O$92,15,0))</f>
        <v>286.76</v>
      </c>
      <c r="Y462" s="6"/>
      <c r="Z462" s="6">
        <f ca="1">('TUSD BE'!$AM$51+'TUSD BF_350'!$AM$51+'TUSD CVA'!$AM$51)*1</f>
        <v>261.33999999999997</v>
      </c>
      <c r="AA462" s="6">
        <f ca="1">('TE BE'!$AB$39+'TE BF_350'!$AB$39+'TE CVA'!$AB$39)*1</f>
        <v>250.03999999999996</v>
      </c>
      <c r="AB462" s="6">
        <f>$K$462*$V$462</f>
        <v>0</v>
      </c>
      <c r="AC462" s="6">
        <f>$M$462*$W$462</f>
        <v>1763.6078399999999</v>
      </c>
      <c r="AD462" s="6">
        <f>$O$462*$X$462</f>
        <v>2243.61024</v>
      </c>
      <c r="AE462" s="6">
        <f>$K$462*$Y$462</f>
        <v>0</v>
      </c>
      <c r="AF462" s="6">
        <f ca="1">$M$462*$Z$462</f>
        <v>2044.7241599999998</v>
      </c>
      <c r="AG462" s="6">
        <f ca="1">$O$462*$AA$462</f>
        <v>1956.3129599999997</v>
      </c>
    </row>
    <row r="463" spans="1:33" ht="11.25" customHeight="1" x14ac:dyDescent="0.3">
      <c r="A463" s="4" t="s">
        <v>21</v>
      </c>
      <c r="B463" s="4" t="s">
        <v>32</v>
      </c>
      <c r="C463" s="4" t="s">
        <v>38</v>
      </c>
      <c r="D463" s="4" t="s">
        <v>33</v>
      </c>
      <c r="E463" s="4" t="s">
        <v>25</v>
      </c>
      <c r="F463" s="4" t="s">
        <v>25</v>
      </c>
      <c r="G463" s="4" t="s">
        <v>25</v>
      </c>
      <c r="H463" s="4" t="s">
        <v>37</v>
      </c>
      <c r="I463" s="5">
        <v>44470</v>
      </c>
      <c r="J463" s="6">
        <v>0</v>
      </c>
      <c r="K463" s="6">
        <v>0</v>
      </c>
      <c r="L463" s="6">
        <v>8.3190000000000008</v>
      </c>
      <c r="M463" s="6">
        <v>8.3190000000000008</v>
      </c>
      <c r="N463" s="6">
        <v>8.3190000000000008</v>
      </c>
      <c r="O463" s="6">
        <v>8.3190000000000008</v>
      </c>
      <c r="P463" s="6">
        <v>0</v>
      </c>
      <c r="Q463" s="4" t="s">
        <v>26</v>
      </c>
      <c r="R463" s="4">
        <v>0</v>
      </c>
      <c r="S463" s="6">
        <v>0</v>
      </c>
      <c r="T463" s="6">
        <v>76</v>
      </c>
      <c r="U463" s="6">
        <v>51</v>
      </c>
      <c r="V463" s="6">
        <f>IF(ISERROR(VLOOKUP($S$463,'TAR FIN'!$A$1:$O$92,15,0)),0,VLOOKUP($S$463,'TAR FIN'!$A$1:$O$92,15,0))</f>
        <v>0</v>
      </c>
      <c r="W463" s="6">
        <f>IF(ISERROR(VLOOKUP($T$463,'TAR FIN'!$A$1:$O$92,15,0)),0,VLOOKUP($T$463,'TAR FIN'!$A$1:$O$92,15,0))</f>
        <v>225.41</v>
      </c>
      <c r="X463" s="6">
        <f>IF(ISERROR(VLOOKUP($U$463,'TAR FIN'!$A$1:$O$92,15,0)),0,VLOOKUP($U$463,'TAR FIN'!$A$1:$O$92,15,0))</f>
        <v>286.76</v>
      </c>
      <c r="Y463" s="6"/>
      <c r="Z463" s="6">
        <f ca="1">('TUSD BE'!$AM$51+'TUSD BF_350'!$AM$51+'TUSD CVA'!$AM$51)*1</f>
        <v>261.33999999999997</v>
      </c>
      <c r="AA463" s="6">
        <f ca="1">('TE BE'!$AB$39+'TE BF_350'!$AB$39+'TE CVA'!$AB$39)*1</f>
        <v>250.03999999999996</v>
      </c>
      <c r="AB463" s="6">
        <f>$K$463*$V$463</f>
        <v>0</v>
      </c>
      <c r="AC463" s="6">
        <f>$M$463*$W$463</f>
        <v>1875.1857900000002</v>
      </c>
      <c r="AD463" s="6">
        <f>$O$463*$X$463</f>
        <v>2385.5564400000003</v>
      </c>
      <c r="AE463" s="6">
        <f>$K$463*$Y$463</f>
        <v>0</v>
      </c>
      <c r="AF463" s="6">
        <f ca="1">$M$463*$Z$463</f>
        <v>2174.0874600000002</v>
      </c>
      <c r="AG463" s="6">
        <f ca="1">$O$463*$AA$463</f>
        <v>2080.0827599999998</v>
      </c>
    </row>
    <row r="464" spans="1:33" ht="11.25" customHeight="1" x14ac:dyDescent="0.3">
      <c r="A464" s="4" t="s">
        <v>21</v>
      </c>
      <c r="B464" s="4" t="s">
        <v>32</v>
      </c>
      <c r="C464" s="4" t="s">
        <v>38</v>
      </c>
      <c r="D464" s="4" t="s">
        <v>33</v>
      </c>
      <c r="E464" s="4" t="s">
        <v>25</v>
      </c>
      <c r="F464" s="4" t="s">
        <v>25</v>
      </c>
      <c r="G464" s="4" t="s">
        <v>25</v>
      </c>
      <c r="H464" s="4" t="s">
        <v>37</v>
      </c>
      <c r="I464" s="5">
        <v>44501</v>
      </c>
      <c r="J464" s="6">
        <v>0</v>
      </c>
      <c r="K464" s="6">
        <v>0</v>
      </c>
      <c r="L464" s="6">
        <v>7.0270000000000001</v>
      </c>
      <c r="M464" s="6">
        <v>7.0270000000000001</v>
      </c>
      <c r="N464" s="6">
        <v>7.0270000000000001</v>
      </c>
      <c r="O464" s="6">
        <v>7.0270000000000001</v>
      </c>
      <c r="P464" s="6">
        <v>0</v>
      </c>
      <c r="Q464" s="4" t="s">
        <v>26</v>
      </c>
      <c r="R464" s="4">
        <v>0</v>
      </c>
      <c r="S464" s="6">
        <v>0</v>
      </c>
      <c r="T464" s="6">
        <v>76</v>
      </c>
      <c r="U464" s="6">
        <v>51</v>
      </c>
      <c r="V464" s="6">
        <f>IF(ISERROR(VLOOKUP($S$464,'TAR FIN'!$A$1:$O$92,15,0)),0,VLOOKUP($S$464,'TAR FIN'!$A$1:$O$92,15,0))</f>
        <v>0</v>
      </c>
      <c r="W464" s="6">
        <f>IF(ISERROR(VLOOKUP($T$464,'TAR FIN'!$A$1:$O$92,15,0)),0,VLOOKUP($T$464,'TAR FIN'!$A$1:$O$92,15,0))</f>
        <v>225.41</v>
      </c>
      <c r="X464" s="6">
        <f>IF(ISERROR(VLOOKUP($U$464,'TAR FIN'!$A$1:$O$92,15,0)),0,VLOOKUP($U$464,'TAR FIN'!$A$1:$O$92,15,0))</f>
        <v>286.76</v>
      </c>
      <c r="Y464" s="6"/>
      <c r="Z464" s="6">
        <f ca="1">('TUSD BE'!$AM$51+'TUSD BF_350'!$AM$51+'TUSD CVA'!$AM$51)*1</f>
        <v>261.33999999999997</v>
      </c>
      <c r="AA464" s="6">
        <f ca="1">('TE BE'!$AB$39+'TE BF_350'!$AB$39+'TE CVA'!$AB$39)*1</f>
        <v>250.03999999999996</v>
      </c>
      <c r="AB464" s="6">
        <f>$K$464*$V$464</f>
        <v>0</v>
      </c>
      <c r="AC464" s="6">
        <f>$M$464*$W$464</f>
        <v>1583.95607</v>
      </c>
      <c r="AD464" s="6">
        <f>$O$464*$X$464</f>
        <v>2015.0625199999999</v>
      </c>
      <c r="AE464" s="6">
        <f>$K$464*$Y$464</f>
        <v>0</v>
      </c>
      <c r="AF464" s="6">
        <f ca="1">$M$464*$Z$464</f>
        <v>1836.4361799999999</v>
      </c>
      <c r="AG464" s="6">
        <f ca="1">$O$464*$AA$464</f>
        <v>1757.0310799999997</v>
      </c>
    </row>
    <row r="465" spans="1:33" ht="11.25" customHeight="1" x14ac:dyDescent="0.3">
      <c r="A465" s="4" t="s">
        <v>21</v>
      </c>
      <c r="B465" s="4" t="s">
        <v>32</v>
      </c>
      <c r="C465" s="4" t="s">
        <v>38</v>
      </c>
      <c r="D465" s="4" t="s">
        <v>33</v>
      </c>
      <c r="E465" s="4" t="s">
        <v>25</v>
      </c>
      <c r="F465" s="4" t="s">
        <v>25</v>
      </c>
      <c r="G465" s="4" t="s">
        <v>25</v>
      </c>
      <c r="H465" s="4" t="s">
        <v>37</v>
      </c>
      <c r="I465" s="5">
        <v>44531</v>
      </c>
      <c r="J465" s="6">
        <v>0</v>
      </c>
      <c r="K465" s="6">
        <v>0</v>
      </c>
      <c r="L465" s="6">
        <v>6.6589999999999998</v>
      </c>
      <c r="M465" s="6">
        <v>6.6589999999999998</v>
      </c>
      <c r="N465" s="6">
        <v>6.6589999999999998</v>
      </c>
      <c r="O465" s="6">
        <v>6.6589999999999998</v>
      </c>
      <c r="P465" s="6">
        <v>0</v>
      </c>
      <c r="Q465" s="4" t="s">
        <v>26</v>
      </c>
      <c r="R465" s="4">
        <v>0</v>
      </c>
      <c r="S465" s="6">
        <v>0</v>
      </c>
      <c r="T465" s="6">
        <v>76</v>
      </c>
      <c r="U465" s="6">
        <v>51</v>
      </c>
      <c r="V465" s="6">
        <f>IF(ISERROR(VLOOKUP($S$465,'TAR FIN'!$A$1:$O$92,15,0)),0,VLOOKUP($S$465,'TAR FIN'!$A$1:$O$92,15,0))</f>
        <v>0</v>
      </c>
      <c r="W465" s="6">
        <f>IF(ISERROR(VLOOKUP($T$465,'TAR FIN'!$A$1:$O$92,15,0)),0,VLOOKUP($T$465,'TAR FIN'!$A$1:$O$92,15,0))</f>
        <v>225.41</v>
      </c>
      <c r="X465" s="6">
        <f>IF(ISERROR(VLOOKUP($U$465,'TAR FIN'!$A$1:$O$92,15,0)),0,VLOOKUP($U$465,'TAR FIN'!$A$1:$O$92,15,0))</f>
        <v>286.76</v>
      </c>
      <c r="Y465" s="6"/>
      <c r="Z465" s="6">
        <f ca="1">('TUSD BE'!$AM$51+'TUSD BF_350'!$AM$51+'TUSD CVA'!$AM$51)*1</f>
        <v>261.33999999999997</v>
      </c>
      <c r="AA465" s="6">
        <f ca="1">('TE BE'!$AB$39+'TE BF_350'!$AB$39+'TE CVA'!$AB$39)*1</f>
        <v>250.03999999999996</v>
      </c>
      <c r="AB465" s="6">
        <f>$K$465*$V$465</f>
        <v>0</v>
      </c>
      <c r="AC465" s="6">
        <f>$M$465*$W$465</f>
        <v>1501.0051899999999</v>
      </c>
      <c r="AD465" s="6">
        <f>$O$465*$X$465</f>
        <v>1909.5348399999998</v>
      </c>
      <c r="AE465" s="6">
        <f>$K$465*$Y$465</f>
        <v>0</v>
      </c>
      <c r="AF465" s="6">
        <f ca="1">$M$465*$Z$465</f>
        <v>1740.2630599999998</v>
      </c>
      <c r="AG465" s="6">
        <f ca="1">$O$465*$AA$465</f>
        <v>1665.0163599999996</v>
      </c>
    </row>
    <row r="466" spans="1:33" ht="11.25" customHeight="1" x14ac:dyDescent="0.3">
      <c r="A466" s="4" t="s">
        <v>21</v>
      </c>
      <c r="B466" s="4" t="s">
        <v>32</v>
      </c>
      <c r="C466" s="4" t="s">
        <v>38</v>
      </c>
      <c r="D466" s="4" t="s">
        <v>33</v>
      </c>
      <c r="E466" s="4" t="s">
        <v>25</v>
      </c>
      <c r="F466" s="4" t="s">
        <v>25</v>
      </c>
      <c r="G466" s="4" t="s">
        <v>25</v>
      </c>
      <c r="H466" s="4" t="s">
        <v>37</v>
      </c>
      <c r="I466" s="5">
        <v>44562</v>
      </c>
      <c r="J466" s="6">
        <v>0</v>
      </c>
      <c r="K466" s="6">
        <v>0</v>
      </c>
      <c r="L466" s="6">
        <v>7.5110000000000001</v>
      </c>
      <c r="M466" s="6">
        <v>7.5110000000000001</v>
      </c>
      <c r="N466" s="6">
        <v>7.5110000000000001</v>
      </c>
      <c r="O466" s="6">
        <v>7.5110000000000001</v>
      </c>
      <c r="P466" s="6">
        <v>0</v>
      </c>
      <c r="Q466" s="4" t="s">
        <v>26</v>
      </c>
      <c r="R466" s="4">
        <v>0</v>
      </c>
      <c r="S466" s="6">
        <v>0</v>
      </c>
      <c r="T466" s="6">
        <v>76</v>
      </c>
      <c r="U466" s="6">
        <v>51</v>
      </c>
      <c r="V466" s="6">
        <f>IF(ISERROR(VLOOKUP($S$466,'TAR FIN'!$A$1:$O$92,15,0)),0,VLOOKUP($S$466,'TAR FIN'!$A$1:$O$92,15,0))</f>
        <v>0</v>
      </c>
      <c r="W466" s="6">
        <f>IF(ISERROR(VLOOKUP($T$466,'TAR FIN'!$A$1:$O$92,15,0)),0,VLOOKUP($T$466,'TAR FIN'!$A$1:$O$92,15,0))</f>
        <v>225.41</v>
      </c>
      <c r="X466" s="6">
        <f>IF(ISERROR(VLOOKUP($U$466,'TAR FIN'!$A$1:$O$92,15,0)),0,VLOOKUP($U$466,'TAR FIN'!$A$1:$O$92,15,0))</f>
        <v>286.76</v>
      </c>
      <c r="Y466" s="6"/>
      <c r="Z466" s="6">
        <f ca="1">('TUSD BE'!$AM$51+'TUSD BF_350'!$AM$51+'TUSD CVA'!$AM$51)*1</f>
        <v>261.33999999999997</v>
      </c>
      <c r="AA466" s="6">
        <f ca="1">('TE BE'!$AB$39+'TE BF_350'!$AB$39+'TE CVA'!$AB$39)*1</f>
        <v>250.03999999999996</v>
      </c>
      <c r="AB466" s="6">
        <f>$K$466*$V$466</f>
        <v>0</v>
      </c>
      <c r="AC466" s="6">
        <f>$M$466*$W$466</f>
        <v>1693.0545099999999</v>
      </c>
      <c r="AD466" s="6">
        <f>$O$466*$X$466</f>
        <v>2153.8543599999998</v>
      </c>
      <c r="AE466" s="6">
        <f>$K$466*$Y$466</f>
        <v>0</v>
      </c>
      <c r="AF466" s="6">
        <f ca="1">$M$466*$Z$466</f>
        <v>1962.9247399999999</v>
      </c>
      <c r="AG466" s="6">
        <f ca="1">$O$466*$AA$466</f>
        <v>1878.0504399999998</v>
      </c>
    </row>
    <row r="467" spans="1:33" ht="11.25" customHeight="1" x14ac:dyDescent="0.3">
      <c r="A467" s="4" t="s">
        <v>21</v>
      </c>
      <c r="B467" s="4" t="s">
        <v>32</v>
      </c>
      <c r="C467" s="4" t="s">
        <v>38</v>
      </c>
      <c r="D467" s="4" t="s">
        <v>33</v>
      </c>
      <c r="E467" s="4" t="s">
        <v>25</v>
      </c>
      <c r="F467" s="4" t="s">
        <v>25</v>
      </c>
      <c r="G467" s="4" t="s">
        <v>25</v>
      </c>
      <c r="H467" s="4" t="s">
        <v>37</v>
      </c>
      <c r="I467" s="5">
        <v>44593</v>
      </c>
      <c r="J467" s="6">
        <v>0</v>
      </c>
      <c r="K467" s="6">
        <v>0</v>
      </c>
      <c r="L467" s="6">
        <v>8.2100000000000009</v>
      </c>
      <c r="M467" s="6">
        <v>8.2100000000000009</v>
      </c>
      <c r="N467" s="6">
        <v>8.2100000000000009</v>
      </c>
      <c r="O467" s="6">
        <v>8.2100000000000009</v>
      </c>
      <c r="P467" s="6">
        <v>0</v>
      </c>
      <c r="Q467" s="4" t="s">
        <v>26</v>
      </c>
      <c r="R467" s="4">
        <v>0</v>
      </c>
      <c r="S467" s="6">
        <v>0</v>
      </c>
      <c r="T467" s="6">
        <v>76</v>
      </c>
      <c r="U467" s="6">
        <v>51</v>
      </c>
      <c r="V467" s="6">
        <f>IF(ISERROR(VLOOKUP($S$467,'TAR FIN'!$A$1:$O$92,15,0)),0,VLOOKUP($S$467,'TAR FIN'!$A$1:$O$92,15,0))</f>
        <v>0</v>
      </c>
      <c r="W467" s="6">
        <f>IF(ISERROR(VLOOKUP($T$467,'TAR FIN'!$A$1:$O$92,15,0)),0,VLOOKUP($T$467,'TAR FIN'!$A$1:$O$92,15,0))</f>
        <v>225.41</v>
      </c>
      <c r="X467" s="6">
        <f>IF(ISERROR(VLOOKUP($U$467,'TAR FIN'!$A$1:$O$92,15,0)),0,VLOOKUP($U$467,'TAR FIN'!$A$1:$O$92,15,0))</f>
        <v>286.76</v>
      </c>
      <c r="Y467" s="6"/>
      <c r="Z467" s="6">
        <f ca="1">('TUSD BE'!$AM$51+'TUSD BF_350'!$AM$51+'TUSD CVA'!$AM$51)*1</f>
        <v>261.33999999999997</v>
      </c>
      <c r="AA467" s="6">
        <f ca="1">('TE BE'!$AB$39+'TE BF_350'!$AB$39+'TE CVA'!$AB$39)*1</f>
        <v>250.03999999999996</v>
      </c>
      <c r="AB467" s="6">
        <f>$K$467*$V$467</f>
        <v>0</v>
      </c>
      <c r="AC467" s="6">
        <f>$M$467*$W$467</f>
        <v>1850.6161000000002</v>
      </c>
      <c r="AD467" s="6">
        <f>$O$467*$X$467</f>
        <v>2354.2996000000003</v>
      </c>
      <c r="AE467" s="6">
        <f>$K$467*$Y$467</f>
        <v>0</v>
      </c>
      <c r="AF467" s="6">
        <f ca="1">$M$467*$Z$467</f>
        <v>2145.6014</v>
      </c>
      <c r="AG467" s="6">
        <f ca="1">$O$467*$AA$467</f>
        <v>2052.8283999999999</v>
      </c>
    </row>
    <row r="468" spans="1:33" ht="11.25" customHeight="1" x14ac:dyDescent="0.3">
      <c r="A468" s="4" t="s">
        <v>21</v>
      </c>
      <c r="B468" s="4" t="s">
        <v>32</v>
      </c>
      <c r="C468" s="4" t="s">
        <v>38</v>
      </c>
      <c r="D468" s="4" t="s">
        <v>33</v>
      </c>
      <c r="E468" s="4" t="s">
        <v>25</v>
      </c>
      <c r="F468" s="4" t="s">
        <v>25</v>
      </c>
      <c r="G468" s="4" t="s">
        <v>25</v>
      </c>
      <c r="H468" s="4" t="s">
        <v>37</v>
      </c>
      <c r="I468" s="5">
        <v>44621</v>
      </c>
      <c r="J468" s="6">
        <v>0</v>
      </c>
      <c r="K468" s="6">
        <v>0</v>
      </c>
      <c r="L468" s="6">
        <v>6.6219999999999999</v>
      </c>
      <c r="M468" s="6">
        <v>6.6219999999999999</v>
      </c>
      <c r="N468" s="6">
        <v>6.6219999999999999</v>
      </c>
      <c r="O468" s="6">
        <v>6.6219999999999999</v>
      </c>
      <c r="P468" s="6">
        <v>0</v>
      </c>
      <c r="Q468" s="4" t="s">
        <v>26</v>
      </c>
      <c r="R468" s="4">
        <v>0</v>
      </c>
      <c r="S468" s="6">
        <v>0</v>
      </c>
      <c r="T468" s="6">
        <v>76</v>
      </c>
      <c r="U468" s="6">
        <v>51</v>
      </c>
      <c r="V468" s="6">
        <f>IF(ISERROR(VLOOKUP($S$468,'TAR FIN'!$A$1:$O$92,15,0)),0,VLOOKUP($S$468,'TAR FIN'!$A$1:$O$92,15,0))</f>
        <v>0</v>
      </c>
      <c r="W468" s="6">
        <f>IF(ISERROR(VLOOKUP($T$468,'TAR FIN'!$A$1:$O$92,15,0)),0,VLOOKUP($T$468,'TAR FIN'!$A$1:$O$92,15,0))</f>
        <v>225.41</v>
      </c>
      <c r="X468" s="6">
        <f>IF(ISERROR(VLOOKUP($U$468,'TAR FIN'!$A$1:$O$92,15,0)),0,VLOOKUP($U$468,'TAR FIN'!$A$1:$O$92,15,0))</f>
        <v>286.76</v>
      </c>
      <c r="Y468" s="6"/>
      <c r="Z468" s="6">
        <f ca="1">('TUSD BE'!$AM$51+'TUSD BF_350'!$AM$51+'TUSD CVA'!$AM$51)*1</f>
        <v>261.33999999999997</v>
      </c>
      <c r="AA468" s="6">
        <f ca="1">('TE BE'!$AB$39+'TE BF_350'!$AB$39+'TE CVA'!$AB$39)*1</f>
        <v>250.03999999999996</v>
      </c>
      <c r="AB468" s="6">
        <f>$K$468*$V$468</f>
        <v>0</v>
      </c>
      <c r="AC468" s="6">
        <f>$M$468*$W$468</f>
        <v>1492.6650199999999</v>
      </c>
      <c r="AD468" s="6">
        <f>$O$468*$X$468</f>
        <v>1898.92472</v>
      </c>
      <c r="AE468" s="6">
        <f>$K$468*$Y$468</f>
        <v>0</v>
      </c>
      <c r="AF468" s="6">
        <f ca="1">$M$468*$Z$468</f>
        <v>1730.5934799999998</v>
      </c>
      <c r="AG468" s="6">
        <f ca="1">$O$468*$AA$468</f>
        <v>1655.7648799999997</v>
      </c>
    </row>
    <row r="469" spans="1:33" ht="11.25" customHeight="1" x14ac:dyDescent="0.3">
      <c r="A469" s="4" t="s">
        <v>21</v>
      </c>
      <c r="B469" s="4" t="s">
        <v>32</v>
      </c>
      <c r="C469" s="4" t="s">
        <v>38</v>
      </c>
      <c r="D469" s="4" t="s">
        <v>33</v>
      </c>
      <c r="E469" s="4" t="s">
        <v>25</v>
      </c>
      <c r="F469" s="4" t="s">
        <v>25</v>
      </c>
      <c r="G469" s="4" t="s">
        <v>25</v>
      </c>
      <c r="H469" s="4" t="s">
        <v>37</v>
      </c>
      <c r="I469" s="5">
        <v>44652</v>
      </c>
      <c r="J469" s="6">
        <v>0</v>
      </c>
      <c r="K469" s="6">
        <v>0</v>
      </c>
      <c r="L469" s="6">
        <v>6.51</v>
      </c>
      <c r="M469" s="6">
        <v>6.51</v>
      </c>
      <c r="N469" s="6">
        <v>6.51</v>
      </c>
      <c r="O469" s="6">
        <v>6.51</v>
      </c>
      <c r="P469" s="6">
        <v>0</v>
      </c>
      <c r="Q469" s="4" t="s">
        <v>26</v>
      </c>
      <c r="R469" s="4">
        <v>0</v>
      </c>
      <c r="S469" s="6">
        <v>0</v>
      </c>
      <c r="T469" s="6">
        <v>76</v>
      </c>
      <c r="U469" s="6">
        <v>51</v>
      </c>
      <c r="V469" s="6">
        <f>IF(ISERROR(VLOOKUP($S$469,'TAR FIN'!$A$1:$O$92,15,0)),0,VLOOKUP($S$469,'TAR FIN'!$A$1:$O$92,15,0))</f>
        <v>0</v>
      </c>
      <c r="W469" s="6">
        <f>IF(ISERROR(VLOOKUP($T$469,'TAR FIN'!$A$1:$O$92,15,0)),0,VLOOKUP($T$469,'TAR FIN'!$A$1:$O$92,15,0))</f>
        <v>225.41</v>
      </c>
      <c r="X469" s="6">
        <f>IF(ISERROR(VLOOKUP($U$469,'TAR FIN'!$A$1:$O$92,15,0)),0,VLOOKUP($U$469,'TAR FIN'!$A$1:$O$92,15,0))</f>
        <v>286.76</v>
      </c>
      <c r="Y469" s="6"/>
      <c r="Z469" s="6">
        <f ca="1">('TUSD BE'!$AM$51+'TUSD BF_350'!$AM$51+'TUSD CVA'!$AM$51)*1</f>
        <v>261.33999999999997</v>
      </c>
      <c r="AA469" s="6">
        <f ca="1">('TE BE'!$AB$39+'TE BF_350'!$AB$39+'TE CVA'!$AB$39)*1</f>
        <v>250.03999999999996</v>
      </c>
      <c r="AB469" s="6">
        <f>$K$469*$V$469</f>
        <v>0</v>
      </c>
      <c r="AC469" s="6">
        <f>$M$469*$W$469</f>
        <v>1467.4190999999998</v>
      </c>
      <c r="AD469" s="6">
        <f>$O$469*$X$469</f>
        <v>1866.8075999999999</v>
      </c>
      <c r="AE469" s="6">
        <f>$K$469*$Y$469</f>
        <v>0</v>
      </c>
      <c r="AF469" s="6">
        <f ca="1">$M$469*$Z$469</f>
        <v>1701.3233999999998</v>
      </c>
      <c r="AG469" s="6">
        <f ca="1">$O$469*$AA$469</f>
        <v>1627.7603999999997</v>
      </c>
    </row>
    <row r="470" spans="1:33" ht="11.25" customHeight="1" x14ac:dyDescent="0.3">
      <c r="A470" s="4" t="s">
        <v>21</v>
      </c>
      <c r="B470" s="4" t="s">
        <v>32</v>
      </c>
      <c r="C470" s="4" t="s">
        <v>38</v>
      </c>
      <c r="D470" s="4" t="s">
        <v>33</v>
      </c>
      <c r="E470" s="4" t="s">
        <v>25</v>
      </c>
      <c r="F470" s="4" t="s">
        <v>25</v>
      </c>
      <c r="G470" s="4" t="s">
        <v>25</v>
      </c>
      <c r="H470" s="4" t="s">
        <v>37</v>
      </c>
      <c r="I470" s="5">
        <v>44682</v>
      </c>
      <c r="J470" s="6">
        <v>0</v>
      </c>
      <c r="K470" s="6">
        <v>0</v>
      </c>
      <c r="L470" s="6">
        <v>7.702</v>
      </c>
      <c r="M470" s="6">
        <v>7.702</v>
      </c>
      <c r="N470" s="6">
        <v>7.702</v>
      </c>
      <c r="O470" s="6">
        <v>7.702</v>
      </c>
      <c r="P470" s="6">
        <v>0</v>
      </c>
      <c r="Q470" s="4" t="s">
        <v>26</v>
      </c>
      <c r="R470" s="4">
        <v>0</v>
      </c>
      <c r="S470" s="6">
        <v>0</v>
      </c>
      <c r="T470" s="6">
        <v>76</v>
      </c>
      <c r="U470" s="6">
        <v>51</v>
      </c>
      <c r="V470" s="6">
        <f>IF(ISERROR(VLOOKUP($S$470,'TAR FIN'!$A$1:$O$92,15,0)),0,VLOOKUP($S$470,'TAR FIN'!$A$1:$O$92,15,0))</f>
        <v>0</v>
      </c>
      <c r="W470" s="6">
        <f>IF(ISERROR(VLOOKUP($T$470,'TAR FIN'!$A$1:$O$92,15,0)),0,VLOOKUP($T$470,'TAR FIN'!$A$1:$O$92,15,0))</f>
        <v>225.41</v>
      </c>
      <c r="X470" s="6">
        <f>IF(ISERROR(VLOOKUP($U$470,'TAR FIN'!$A$1:$O$92,15,0)),0,VLOOKUP($U$470,'TAR FIN'!$A$1:$O$92,15,0))</f>
        <v>286.76</v>
      </c>
      <c r="Y470" s="6"/>
      <c r="Z470" s="6">
        <f ca="1">('TUSD BE'!$AM$51+'TUSD BF_350'!$AM$51+'TUSD CVA'!$AM$51)*1</f>
        <v>261.33999999999997</v>
      </c>
      <c r="AA470" s="6">
        <f ca="1">('TE BE'!$AB$39+'TE BF_350'!$AB$39+'TE CVA'!$AB$39)*1</f>
        <v>250.03999999999996</v>
      </c>
      <c r="AB470" s="6">
        <f>$K$470*$V$470</f>
        <v>0</v>
      </c>
      <c r="AC470" s="6">
        <f>$M$470*$W$470</f>
        <v>1736.1078199999999</v>
      </c>
      <c r="AD470" s="6">
        <f>$O$470*$X$470</f>
        <v>2208.6255200000001</v>
      </c>
      <c r="AE470" s="6">
        <f>$K$470*$Y$470</f>
        <v>0</v>
      </c>
      <c r="AF470" s="6">
        <f ca="1">$M$470*$Z$470</f>
        <v>2012.8406799999998</v>
      </c>
      <c r="AG470" s="6">
        <f ca="1">$O$470*$AA$470</f>
        <v>1925.8080799999998</v>
      </c>
    </row>
    <row r="471" spans="1:33" ht="11.25" customHeight="1" x14ac:dyDescent="0.3">
      <c r="A471" s="4" t="s">
        <v>21</v>
      </c>
      <c r="B471" s="4" t="s">
        <v>32</v>
      </c>
      <c r="C471" s="4" t="s">
        <v>38</v>
      </c>
      <c r="D471" s="4" t="s">
        <v>33</v>
      </c>
      <c r="E471" s="4" t="s">
        <v>25</v>
      </c>
      <c r="F471" s="4" t="s">
        <v>25</v>
      </c>
      <c r="G471" s="4" t="s">
        <v>25</v>
      </c>
      <c r="H471" s="4" t="s">
        <v>37</v>
      </c>
      <c r="I471" s="5">
        <v>44713</v>
      </c>
      <c r="J471" s="6">
        <v>0</v>
      </c>
      <c r="K471" s="6">
        <v>0</v>
      </c>
      <c r="L471" s="6">
        <v>8.7870000000000008</v>
      </c>
      <c r="M471" s="6">
        <v>8.7870000000000008</v>
      </c>
      <c r="N471" s="6">
        <v>8.7870000000000008</v>
      </c>
      <c r="O471" s="6">
        <v>8.7870000000000008</v>
      </c>
      <c r="P471" s="6">
        <v>0</v>
      </c>
      <c r="Q471" s="4" t="s">
        <v>26</v>
      </c>
      <c r="R471" s="4">
        <v>0</v>
      </c>
      <c r="S471" s="6">
        <v>0</v>
      </c>
      <c r="T471" s="6">
        <v>76</v>
      </c>
      <c r="U471" s="6">
        <v>51</v>
      </c>
      <c r="V471" s="6">
        <f>IF(ISERROR(VLOOKUP($S$471,'TAR FIN'!$A$1:$O$92,15,0)),0,VLOOKUP($S$471,'TAR FIN'!$A$1:$O$92,15,0))</f>
        <v>0</v>
      </c>
      <c r="W471" s="6">
        <f>IF(ISERROR(VLOOKUP($T$471,'TAR FIN'!$A$1:$O$92,15,0)),0,VLOOKUP($T$471,'TAR FIN'!$A$1:$O$92,15,0))</f>
        <v>225.41</v>
      </c>
      <c r="X471" s="6">
        <f>IF(ISERROR(VLOOKUP($U$471,'TAR FIN'!$A$1:$O$92,15,0)),0,VLOOKUP($U$471,'TAR FIN'!$A$1:$O$92,15,0))</f>
        <v>286.76</v>
      </c>
      <c r="Y471" s="6"/>
      <c r="Z471" s="6">
        <f ca="1">('TUSD BE'!$AM$51+'TUSD BF_350'!$AM$51+'TUSD CVA'!$AM$51)*1</f>
        <v>261.33999999999997</v>
      </c>
      <c r="AA471" s="6">
        <f ca="1">('TE BE'!$AB$39+'TE BF_350'!$AB$39+'TE CVA'!$AB$39)*1</f>
        <v>250.03999999999996</v>
      </c>
      <c r="AB471" s="6">
        <f>$K$471*$V$471</f>
        <v>0</v>
      </c>
      <c r="AC471" s="6">
        <f>$M$471*$W$471</f>
        <v>1980.6776700000003</v>
      </c>
      <c r="AD471" s="6">
        <f>$O$471*$X$471</f>
        <v>2519.7601200000004</v>
      </c>
      <c r="AE471" s="6">
        <f>$K$471*$Y$471</f>
        <v>0</v>
      </c>
      <c r="AF471" s="6">
        <f ca="1">$M$471*$Z$471</f>
        <v>2296.3945800000001</v>
      </c>
      <c r="AG471" s="6">
        <f ca="1">$O$471*$AA$471</f>
        <v>2197.1014799999998</v>
      </c>
    </row>
    <row r="472" spans="1:33" ht="11.25" customHeight="1" x14ac:dyDescent="0.3">
      <c r="A472" s="4" t="s">
        <v>21</v>
      </c>
      <c r="B472" s="4" t="s">
        <v>32</v>
      </c>
      <c r="C472" s="4" t="s">
        <v>38</v>
      </c>
      <c r="D472" s="4" t="s">
        <v>33</v>
      </c>
      <c r="E472" s="4" t="s">
        <v>25</v>
      </c>
      <c r="F472" s="4" t="s">
        <v>25</v>
      </c>
      <c r="G472" s="4" t="s">
        <v>25</v>
      </c>
      <c r="H472" s="4" t="s">
        <v>37</v>
      </c>
      <c r="I472" s="5">
        <v>44743</v>
      </c>
      <c r="J472" s="6">
        <v>0</v>
      </c>
      <c r="K472" s="6">
        <v>0</v>
      </c>
      <c r="L472" s="6">
        <v>8.8219999999999992</v>
      </c>
      <c r="M472" s="6">
        <v>8.8219999999999992</v>
      </c>
      <c r="N472" s="6">
        <v>8.8219999999999992</v>
      </c>
      <c r="O472" s="6">
        <v>8.8219999999999992</v>
      </c>
      <c r="P472" s="6">
        <v>0</v>
      </c>
      <c r="Q472" s="4" t="s">
        <v>26</v>
      </c>
      <c r="R472" s="4">
        <v>0</v>
      </c>
      <c r="S472" s="6">
        <v>0</v>
      </c>
      <c r="T472" s="6">
        <v>76</v>
      </c>
      <c r="U472" s="6">
        <v>51</v>
      </c>
      <c r="V472" s="6">
        <f>IF(ISERROR(VLOOKUP($S$472,'TAR FIN'!$A$1:$O$92,15,0)),0,VLOOKUP($S$472,'TAR FIN'!$A$1:$O$92,15,0))</f>
        <v>0</v>
      </c>
      <c r="W472" s="6">
        <f>IF(ISERROR(VLOOKUP($T$472,'TAR FIN'!$A$1:$O$92,15,0)),0,VLOOKUP($T$472,'TAR FIN'!$A$1:$O$92,15,0))</f>
        <v>225.41</v>
      </c>
      <c r="X472" s="6">
        <f>IF(ISERROR(VLOOKUP($U$472,'TAR FIN'!$A$1:$O$92,15,0)),0,VLOOKUP($U$472,'TAR FIN'!$A$1:$O$92,15,0))</f>
        <v>286.76</v>
      </c>
      <c r="Y472" s="6"/>
      <c r="Z472" s="6">
        <f ca="1">('TUSD BE'!$AM$51+'TUSD BF_350'!$AM$51+'TUSD CVA'!$AM$51)*1</f>
        <v>261.33999999999997</v>
      </c>
      <c r="AA472" s="6">
        <f ca="1">('TE BE'!$AB$39+'TE BF_350'!$AB$39+'TE CVA'!$AB$39)*1</f>
        <v>250.03999999999996</v>
      </c>
      <c r="AB472" s="6">
        <f>$K$472*$V$472</f>
        <v>0</v>
      </c>
      <c r="AC472" s="6">
        <f>$M$472*$W$472</f>
        <v>1988.5670199999997</v>
      </c>
      <c r="AD472" s="6">
        <f>$O$472*$X$472</f>
        <v>2529.7967199999998</v>
      </c>
      <c r="AE472" s="6">
        <f>$K$472*$Y$472</f>
        <v>0</v>
      </c>
      <c r="AF472" s="6">
        <f ca="1">$M$472*$Z$472</f>
        <v>2305.5414799999994</v>
      </c>
      <c r="AG472" s="6">
        <f ca="1">$O$472*$AA$472</f>
        <v>2205.8528799999995</v>
      </c>
    </row>
    <row r="473" spans="1:33" ht="11.25" customHeight="1" x14ac:dyDescent="0.3">
      <c r="A473" s="4" t="s">
        <v>21</v>
      </c>
      <c r="B473" s="4" t="s">
        <v>32</v>
      </c>
      <c r="C473" s="4" t="s">
        <v>38</v>
      </c>
      <c r="D473" s="4" t="s">
        <v>33</v>
      </c>
      <c r="E473" s="4" t="s">
        <v>25</v>
      </c>
      <c r="F473" s="4" t="s">
        <v>25</v>
      </c>
      <c r="G473" s="4" t="s">
        <v>25</v>
      </c>
      <c r="H473" s="4" t="s">
        <v>39</v>
      </c>
      <c r="I473" s="5">
        <v>44409</v>
      </c>
      <c r="J473" s="6">
        <v>0</v>
      </c>
      <c r="K473" s="6">
        <v>0</v>
      </c>
      <c r="L473" s="6">
        <v>0.121</v>
      </c>
      <c r="M473" s="6">
        <v>0.121</v>
      </c>
      <c r="N473" s="6">
        <v>0.121</v>
      </c>
      <c r="O473" s="6">
        <v>0.121</v>
      </c>
      <c r="P473" s="6">
        <v>0</v>
      </c>
      <c r="Q473" s="4" t="s">
        <v>26</v>
      </c>
      <c r="R473" s="4">
        <v>0</v>
      </c>
      <c r="S473" s="6">
        <v>0</v>
      </c>
      <c r="T473" s="6">
        <v>75</v>
      </c>
      <c r="U473" s="6">
        <v>48</v>
      </c>
      <c r="V473" s="6">
        <f>IF(ISERROR(VLOOKUP($S$473,'TAR FIN'!$A$1:$O$92,15,0)),0,VLOOKUP($S$473,'TAR FIN'!$A$1:$O$92,15,0))</f>
        <v>0</v>
      </c>
      <c r="W473" s="6">
        <f>IF(ISERROR(VLOOKUP($T$473,'TAR FIN'!$A$1:$O$92,15,0)),0,VLOOKUP($T$473,'TAR FIN'!$A$1:$O$92,15,0))</f>
        <v>543.07000000000005</v>
      </c>
      <c r="X473" s="6">
        <f>IF(ISERROR(VLOOKUP($U$473,'TAR FIN'!$A$1:$O$92,15,0)),0,VLOOKUP($U$473,'TAR FIN'!$A$1:$O$92,15,0))</f>
        <v>286.76</v>
      </c>
      <c r="Y473" s="6"/>
      <c r="Z473" s="6">
        <f ca="1">('TUSD BE'!$AM$50+'TUSD BF_350'!$AM$50+'TUSD CVA'!$AM$50)*1</f>
        <v>470.22</v>
      </c>
      <c r="AA473" s="6">
        <f ca="1">('TE BE'!$AB$38+'TE BF_350'!$AB$38+'TE CVA'!$AB$38)*1</f>
        <v>250.03999999999996</v>
      </c>
      <c r="AB473" s="6">
        <f>$K$473*$V$473</f>
        <v>0</v>
      </c>
      <c r="AC473" s="6">
        <f>$M$473*$W$473</f>
        <v>65.711470000000006</v>
      </c>
      <c r="AD473" s="6">
        <f>$O$473*$X$473</f>
        <v>34.697959999999995</v>
      </c>
      <c r="AE473" s="6">
        <f>$K$473*$Y$473</f>
        <v>0</v>
      </c>
      <c r="AF473" s="6">
        <f ca="1">$M$473*$Z$473</f>
        <v>56.896619999999999</v>
      </c>
      <c r="AG473" s="6">
        <f ca="1">$O$473*$AA$473</f>
        <v>30.254839999999994</v>
      </c>
    </row>
    <row r="474" spans="1:33" ht="11.25" customHeight="1" x14ac:dyDescent="0.3">
      <c r="A474" s="4" t="s">
        <v>21</v>
      </c>
      <c r="B474" s="4" t="s">
        <v>32</v>
      </c>
      <c r="C474" s="4" t="s">
        <v>38</v>
      </c>
      <c r="D474" s="4" t="s">
        <v>33</v>
      </c>
      <c r="E474" s="4" t="s">
        <v>25</v>
      </c>
      <c r="F474" s="4" t="s">
        <v>25</v>
      </c>
      <c r="G474" s="4" t="s">
        <v>25</v>
      </c>
      <c r="H474" s="4" t="s">
        <v>39</v>
      </c>
      <c r="I474" s="5">
        <v>44440</v>
      </c>
      <c r="J474" s="6">
        <v>0</v>
      </c>
      <c r="K474" s="6">
        <v>0</v>
      </c>
      <c r="L474" s="6">
        <v>9.9000000000000005E-2</v>
      </c>
      <c r="M474" s="6">
        <v>9.9000000000000005E-2</v>
      </c>
      <c r="N474" s="6">
        <v>9.9000000000000005E-2</v>
      </c>
      <c r="O474" s="6">
        <v>9.9000000000000005E-2</v>
      </c>
      <c r="P474" s="6">
        <v>0</v>
      </c>
      <c r="Q474" s="4" t="s">
        <v>26</v>
      </c>
      <c r="R474" s="4">
        <v>0</v>
      </c>
      <c r="S474" s="6">
        <v>0</v>
      </c>
      <c r="T474" s="6">
        <v>75</v>
      </c>
      <c r="U474" s="6">
        <v>48</v>
      </c>
      <c r="V474" s="6">
        <f>IF(ISERROR(VLOOKUP($S$474,'TAR FIN'!$A$1:$O$92,15,0)),0,VLOOKUP($S$474,'TAR FIN'!$A$1:$O$92,15,0))</f>
        <v>0</v>
      </c>
      <c r="W474" s="6">
        <f>IF(ISERROR(VLOOKUP($T$474,'TAR FIN'!$A$1:$O$92,15,0)),0,VLOOKUP($T$474,'TAR FIN'!$A$1:$O$92,15,0))</f>
        <v>543.07000000000005</v>
      </c>
      <c r="X474" s="6">
        <f>IF(ISERROR(VLOOKUP($U$474,'TAR FIN'!$A$1:$O$92,15,0)),0,VLOOKUP($U$474,'TAR FIN'!$A$1:$O$92,15,0))</f>
        <v>286.76</v>
      </c>
      <c r="Y474" s="6"/>
      <c r="Z474" s="6">
        <f ca="1">('TUSD BE'!$AM$50+'TUSD BF_350'!$AM$50+'TUSD CVA'!$AM$50)*1</f>
        <v>470.22</v>
      </c>
      <c r="AA474" s="6">
        <f ca="1">('TE BE'!$AB$38+'TE BF_350'!$AB$38+'TE CVA'!$AB$38)*1</f>
        <v>250.03999999999996</v>
      </c>
      <c r="AB474" s="6">
        <f>$K$474*$V$474</f>
        <v>0</v>
      </c>
      <c r="AC474" s="6">
        <f>$M$474*$W$474</f>
        <v>53.763930000000009</v>
      </c>
      <c r="AD474" s="6">
        <f>$O$474*$X$474</f>
        <v>28.389240000000001</v>
      </c>
      <c r="AE474" s="6">
        <f>$K$474*$Y$474</f>
        <v>0</v>
      </c>
      <c r="AF474" s="6">
        <f ca="1">$M$474*$Z$474</f>
        <v>46.551780000000008</v>
      </c>
      <c r="AG474" s="6">
        <f ca="1">$O$474*$AA$474</f>
        <v>24.753959999999999</v>
      </c>
    </row>
    <row r="475" spans="1:33" ht="11.25" customHeight="1" x14ac:dyDescent="0.3">
      <c r="A475" s="4" t="s">
        <v>21</v>
      </c>
      <c r="B475" s="4" t="s">
        <v>32</v>
      </c>
      <c r="C475" s="4" t="s">
        <v>38</v>
      </c>
      <c r="D475" s="4" t="s">
        <v>33</v>
      </c>
      <c r="E475" s="4" t="s">
        <v>25</v>
      </c>
      <c r="F475" s="4" t="s">
        <v>25</v>
      </c>
      <c r="G475" s="4" t="s">
        <v>25</v>
      </c>
      <c r="H475" s="4" t="s">
        <v>39</v>
      </c>
      <c r="I475" s="5">
        <v>44470</v>
      </c>
      <c r="J475" s="6">
        <v>0</v>
      </c>
      <c r="K475" s="6">
        <v>0</v>
      </c>
      <c r="L475" s="6">
        <v>0.112</v>
      </c>
      <c r="M475" s="6">
        <v>0.112</v>
      </c>
      <c r="N475" s="6">
        <v>0.112</v>
      </c>
      <c r="O475" s="6">
        <v>0.112</v>
      </c>
      <c r="P475" s="6">
        <v>0</v>
      </c>
      <c r="Q475" s="4" t="s">
        <v>26</v>
      </c>
      <c r="R475" s="4">
        <v>0</v>
      </c>
      <c r="S475" s="6">
        <v>0</v>
      </c>
      <c r="T475" s="6">
        <v>75</v>
      </c>
      <c r="U475" s="6">
        <v>48</v>
      </c>
      <c r="V475" s="6">
        <f>IF(ISERROR(VLOOKUP($S$475,'TAR FIN'!$A$1:$O$92,15,0)),0,VLOOKUP($S$475,'TAR FIN'!$A$1:$O$92,15,0))</f>
        <v>0</v>
      </c>
      <c r="W475" s="6">
        <f>IF(ISERROR(VLOOKUP($T$475,'TAR FIN'!$A$1:$O$92,15,0)),0,VLOOKUP($T$475,'TAR FIN'!$A$1:$O$92,15,0))</f>
        <v>543.07000000000005</v>
      </c>
      <c r="X475" s="6">
        <f>IF(ISERROR(VLOOKUP($U$475,'TAR FIN'!$A$1:$O$92,15,0)),0,VLOOKUP($U$475,'TAR FIN'!$A$1:$O$92,15,0))</f>
        <v>286.76</v>
      </c>
      <c r="Y475" s="6"/>
      <c r="Z475" s="6">
        <f ca="1">('TUSD BE'!$AM$50+'TUSD BF_350'!$AM$50+'TUSD CVA'!$AM$50)*1</f>
        <v>470.22</v>
      </c>
      <c r="AA475" s="6">
        <f ca="1">('TE BE'!$AB$38+'TE BF_350'!$AB$38+'TE CVA'!$AB$38)*1</f>
        <v>250.03999999999996</v>
      </c>
      <c r="AB475" s="6">
        <f>$K$475*$V$475</f>
        <v>0</v>
      </c>
      <c r="AC475" s="6">
        <f>$M$475*$W$475</f>
        <v>60.823840000000004</v>
      </c>
      <c r="AD475" s="6">
        <f>$O$475*$X$475</f>
        <v>32.11712</v>
      </c>
      <c r="AE475" s="6">
        <f>$K$475*$Y$475</f>
        <v>0</v>
      </c>
      <c r="AF475" s="6">
        <f ca="1">$M$475*$Z$475</f>
        <v>52.664640000000006</v>
      </c>
      <c r="AG475" s="6">
        <f ca="1">$O$475*$AA$475</f>
        <v>28.004479999999997</v>
      </c>
    </row>
    <row r="476" spans="1:33" ht="11.25" customHeight="1" x14ac:dyDescent="0.3">
      <c r="A476" s="4" t="s">
        <v>21</v>
      </c>
      <c r="B476" s="4" t="s">
        <v>32</v>
      </c>
      <c r="C476" s="4" t="s">
        <v>38</v>
      </c>
      <c r="D476" s="4" t="s">
        <v>33</v>
      </c>
      <c r="E476" s="4" t="s">
        <v>25</v>
      </c>
      <c r="F476" s="4" t="s">
        <v>25</v>
      </c>
      <c r="G476" s="4" t="s">
        <v>25</v>
      </c>
      <c r="H476" s="4" t="s">
        <v>39</v>
      </c>
      <c r="I476" s="5">
        <v>44501</v>
      </c>
      <c r="J476" s="6">
        <v>0</v>
      </c>
      <c r="K476" s="6">
        <v>0</v>
      </c>
      <c r="L476" s="6">
        <v>7.5999999999999998E-2</v>
      </c>
      <c r="M476" s="6">
        <v>7.5999999999999998E-2</v>
      </c>
      <c r="N476" s="6">
        <v>7.5999999999999998E-2</v>
      </c>
      <c r="O476" s="6">
        <v>7.5999999999999998E-2</v>
      </c>
      <c r="P476" s="6">
        <v>0</v>
      </c>
      <c r="Q476" s="4" t="s">
        <v>26</v>
      </c>
      <c r="R476" s="4">
        <v>0</v>
      </c>
      <c r="S476" s="6">
        <v>0</v>
      </c>
      <c r="T476" s="6">
        <v>75</v>
      </c>
      <c r="U476" s="6">
        <v>48</v>
      </c>
      <c r="V476" s="6">
        <f>IF(ISERROR(VLOOKUP($S$476,'TAR FIN'!$A$1:$O$92,15,0)),0,VLOOKUP($S$476,'TAR FIN'!$A$1:$O$92,15,0))</f>
        <v>0</v>
      </c>
      <c r="W476" s="6">
        <f>IF(ISERROR(VLOOKUP($T$476,'TAR FIN'!$A$1:$O$92,15,0)),0,VLOOKUP($T$476,'TAR FIN'!$A$1:$O$92,15,0))</f>
        <v>543.07000000000005</v>
      </c>
      <c r="X476" s="6">
        <f>IF(ISERROR(VLOOKUP($U$476,'TAR FIN'!$A$1:$O$92,15,0)),0,VLOOKUP($U$476,'TAR FIN'!$A$1:$O$92,15,0))</f>
        <v>286.76</v>
      </c>
      <c r="Y476" s="6"/>
      <c r="Z476" s="6">
        <f ca="1">('TUSD BE'!$AM$50+'TUSD BF_350'!$AM$50+'TUSD CVA'!$AM$50)*1</f>
        <v>470.22</v>
      </c>
      <c r="AA476" s="6">
        <f ca="1">('TE BE'!$AB$38+'TE BF_350'!$AB$38+'TE CVA'!$AB$38)*1</f>
        <v>250.03999999999996</v>
      </c>
      <c r="AB476" s="6">
        <f>$K$476*$V$476</f>
        <v>0</v>
      </c>
      <c r="AC476" s="6">
        <f>$M$476*$W$476</f>
        <v>41.273320000000005</v>
      </c>
      <c r="AD476" s="6">
        <f>$O$476*$X$476</f>
        <v>21.793759999999999</v>
      </c>
      <c r="AE476" s="6">
        <f>$K$476*$Y$476</f>
        <v>0</v>
      </c>
      <c r="AF476" s="6">
        <f ca="1">$M$476*$Z$476</f>
        <v>35.736719999999998</v>
      </c>
      <c r="AG476" s="6">
        <f ca="1">$O$476*$AA$476</f>
        <v>19.003039999999995</v>
      </c>
    </row>
    <row r="477" spans="1:33" ht="11.25" customHeight="1" x14ac:dyDescent="0.3">
      <c r="A477" s="4" t="s">
        <v>21</v>
      </c>
      <c r="B477" s="4" t="s">
        <v>32</v>
      </c>
      <c r="C477" s="4" t="s">
        <v>38</v>
      </c>
      <c r="D477" s="4" t="s">
        <v>33</v>
      </c>
      <c r="E477" s="4" t="s">
        <v>25</v>
      </c>
      <c r="F477" s="4" t="s">
        <v>25</v>
      </c>
      <c r="G477" s="4" t="s">
        <v>25</v>
      </c>
      <c r="H477" s="4" t="s">
        <v>39</v>
      </c>
      <c r="I477" s="5">
        <v>44531</v>
      </c>
      <c r="J477" s="6">
        <v>0</v>
      </c>
      <c r="K477" s="6">
        <v>0</v>
      </c>
      <c r="L477" s="6">
        <v>8.5000000000000006E-2</v>
      </c>
      <c r="M477" s="6">
        <v>8.5000000000000006E-2</v>
      </c>
      <c r="N477" s="6">
        <v>8.5000000000000006E-2</v>
      </c>
      <c r="O477" s="6">
        <v>8.5000000000000006E-2</v>
      </c>
      <c r="P477" s="6">
        <v>0</v>
      </c>
      <c r="Q477" s="4" t="s">
        <v>26</v>
      </c>
      <c r="R477" s="4">
        <v>0</v>
      </c>
      <c r="S477" s="6">
        <v>0</v>
      </c>
      <c r="T477" s="6">
        <v>75</v>
      </c>
      <c r="U477" s="6">
        <v>48</v>
      </c>
      <c r="V477" s="6">
        <f>IF(ISERROR(VLOOKUP($S$477,'TAR FIN'!$A$1:$O$92,15,0)),0,VLOOKUP($S$477,'TAR FIN'!$A$1:$O$92,15,0))</f>
        <v>0</v>
      </c>
      <c r="W477" s="6">
        <f>IF(ISERROR(VLOOKUP($T$477,'TAR FIN'!$A$1:$O$92,15,0)),0,VLOOKUP($T$477,'TAR FIN'!$A$1:$O$92,15,0))</f>
        <v>543.07000000000005</v>
      </c>
      <c r="X477" s="6">
        <f>IF(ISERROR(VLOOKUP($U$477,'TAR FIN'!$A$1:$O$92,15,0)),0,VLOOKUP($U$477,'TAR FIN'!$A$1:$O$92,15,0))</f>
        <v>286.76</v>
      </c>
      <c r="Y477" s="6"/>
      <c r="Z477" s="6">
        <f ca="1">('TUSD BE'!$AM$50+'TUSD BF_350'!$AM$50+'TUSD CVA'!$AM$50)*1</f>
        <v>470.22</v>
      </c>
      <c r="AA477" s="6">
        <f ca="1">('TE BE'!$AB$38+'TE BF_350'!$AB$38+'TE CVA'!$AB$38)*1</f>
        <v>250.03999999999996</v>
      </c>
      <c r="AB477" s="6">
        <f>$K$477*$V$477</f>
        <v>0</v>
      </c>
      <c r="AC477" s="6">
        <f>$M$477*$W$477</f>
        <v>46.160950000000007</v>
      </c>
      <c r="AD477" s="6">
        <f>$O$477*$X$477</f>
        <v>24.374600000000001</v>
      </c>
      <c r="AE477" s="6">
        <f>$K$477*$Y$477</f>
        <v>0</v>
      </c>
      <c r="AF477" s="6">
        <f ca="1">$M$477*$Z$477</f>
        <v>39.968700000000005</v>
      </c>
      <c r="AG477" s="6">
        <f ca="1">$O$477*$AA$477</f>
        <v>21.253399999999999</v>
      </c>
    </row>
    <row r="478" spans="1:33" ht="11.25" customHeight="1" x14ac:dyDescent="0.3">
      <c r="A478" s="4" t="s">
        <v>21</v>
      </c>
      <c r="B478" s="4" t="s">
        <v>32</v>
      </c>
      <c r="C478" s="4" t="s">
        <v>38</v>
      </c>
      <c r="D478" s="4" t="s">
        <v>33</v>
      </c>
      <c r="E478" s="4" t="s">
        <v>25</v>
      </c>
      <c r="F478" s="4" t="s">
        <v>25</v>
      </c>
      <c r="G478" s="4" t="s">
        <v>25</v>
      </c>
      <c r="H478" s="4" t="s">
        <v>39</v>
      </c>
      <c r="I478" s="5">
        <v>44562</v>
      </c>
      <c r="J478" s="6">
        <v>0</v>
      </c>
      <c r="K478" s="6">
        <v>0</v>
      </c>
      <c r="L478" s="6">
        <v>7.9000000000000001E-2</v>
      </c>
      <c r="M478" s="6">
        <v>7.9000000000000001E-2</v>
      </c>
      <c r="N478" s="6">
        <v>7.9000000000000001E-2</v>
      </c>
      <c r="O478" s="6">
        <v>7.9000000000000001E-2</v>
      </c>
      <c r="P478" s="6">
        <v>0</v>
      </c>
      <c r="Q478" s="4" t="s">
        <v>26</v>
      </c>
      <c r="R478" s="4">
        <v>0</v>
      </c>
      <c r="S478" s="6">
        <v>0</v>
      </c>
      <c r="T478" s="6">
        <v>75</v>
      </c>
      <c r="U478" s="6">
        <v>48</v>
      </c>
      <c r="V478" s="6">
        <f>IF(ISERROR(VLOOKUP($S$478,'TAR FIN'!$A$1:$O$92,15,0)),0,VLOOKUP($S$478,'TAR FIN'!$A$1:$O$92,15,0))</f>
        <v>0</v>
      </c>
      <c r="W478" s="6">
        <f>IF(ISERROR(VLOOKUP($T$478,'TAR FIN'!$A$1:$O$92,15,0)),0,VLOOKUP($T$478,'TAR FIN'!$A$1:$O$92,15,0))</f>
        <v>543.07000000000005</v>
      </c>
      <c r="X478" s="6">
        <f>IF(ISERROR(VLOOKUP($U$478,'TAR FIN'!$A$1:$O$92,15,0)),0,VLOOKUP($U$478,'TAR FIN'!$A$1:$O$92,15,0))</f>
        <v>286.76</v>
      </c>
      <c r="Y478" s="6"/>
      <c r="Z478" s="6">
        <f ca="1">('TUSD BE'!$AM$50+'TUSD BF_350'!$AM$50+'TUSD CVA'!$AM$50)*1</f>
        <v>470.22</v>
      </c>
      <c r="AA478" s="6">
        <f ca="1">('TE BE'!$AB$38+'TE BF_350'!$AB$38+'TE CVA'!$AB$38)*1</f>
        <v>250.03999999999996</v>
      </c>
      <c r="AB478" s="6">
        <f>$K$478*$V$478</f>
        <v>0</v>
      </c>
      <c r="AC478" s="6">
        <f>$M$478*$W$478</f>
        <v>42.902530000000006</v>
      </c>
      <c r="AD478" s="6">
        <f>$O$478*$X$478</f>
        <v>22.654039999999998</v>
      </c>
      <c r="AE478" s="6">
        <f>$K$478*$Y$478</f>
        <v>0</v>
      </c>
      <c r="AF478" s="6">
        <f ca="1">$M$478*$Z$478</f>
        <v>37.147380000000005</v>
      </c>
      <c r="AG478" s="6">
        <f ca="1">$O$478*$AA$478</f>
        <v>19.753159999999998</v>
      </c>
    </row>
    <row r="479" spans="1:33" ht="11.25" customHeight="1" x14ac:dyDescent="0.3">
      <c r="A479" s="4" t="s">
        <v>21</v>
      </c>
      <c r="B479" s="4" t="s">
        <v>32</v>
      </c>
      <c r="C479" s="4" t="s">
        <v>38</v>
      </c>
      <c r="D479" s="4" t="s">
        <v>33</v>
      </c>
      <c r="E479" s="4" t="s">
        <v>25</v>
      </c>
      <c r="F479" s="4" t="s">
        <v>25</v>
      </c>
      <c r="G479" s="4" t="s">
        <v>25</v>
      </c>
      <c r="H479" s="4" t="s">
        <v>39</v>
      </c>
      <c r="I479" s="5">
        <v>44593</v>
      </c>
      <c r="J479" s="6">
        <v>0</v>
      </c>
      <c r="K479" s="6">
        <v>0</v>
      </c>
      <c r="L479" s="6">
        <v>9.0999999999999998E-2</v>
      </c>
      <c r="M479" s="6">
        <v>9.0999999999999998E-2</v>
      </c>
      <c r="N479" s="6">
        <v>9.0999999999999998E-2</v>
      </c>
      <c r="O479" s="6">
        <v>9.0999999999999998E-2</v>
      </c>
      <c r="P479" s="6">
        <v>0</v>
      </c>
      <c r="Q479" s="4" t="s">
        <v>26</v>
      </c>
      <c r="R479" s="4">
        <v>0</v>
      </c>
      <c r="S479" s="6">
        <v>0</v>
      </c>
      <c r="T479" s="6">
        <v>75</v>
      </c>
      <c r="U479" s="6">
        <v>48</v>
      </c>
      <c r="V479" s="6">
        <f>IF(ISERROR(VLOOKUP($S$479,'TAR FIN'!$A$1:$O$92,15,0)),0,VLOOKUP($S$479,'TAR FIN'!$A$1:$O$92,15,0))</f>
        <v>0</v>
      </c>
      <c r="W479" s="6">
        <f>IF(ISERROR(VLOOKUP($T$479,'TAR FIN'!$A$1:$O$92,15,0)),0,VLOOKUP($T$479,'TAR FIN'!$A$1:$O$92,15,0))</f>
        <v>543.07000000000005</v>
      </c>
      <c r="X479" s="6">
        <f>IF(ISERROR(VLOOKUP($U$479,'TAR FIN'!$A$1:$O$92,15,0)),0,VLOOKUP($U$479,'TAR FIN'!$A$1:$O$92,15,0))</f>
        <v>286.76</v>
      </c>
      <c r="Y479" s="6"/>
      <c r="Z479" s="6">
        <f ca="1">('TUSD BE'!$AM$50+'TUSD BF_350'!$AM$50+'TUSD CVA'!$AM$50)*1</f>
        <v>470.22</v>
      </c>
      <c r="AA479" s="6">
        <f ca="1">('TE BE'!$AB$38+'TE BF_350'!$AB$38+'TE CVA'!$AB$38)*1</f>
        <v>250.03999999999996</v>
      </c>
      <c r="AB479" s="6">
        <f>$K$479*$V$479</f>
        <v>0</v>
      </c>
      <c r="AC479" s="6">
        <f>$M$479*$W$479</f>
        <v>49.419370000000001</v>
      </c>
      <c r="AD479" s="6">
        <f>$O$479*$X$479</f>
        <v>26.09516</v>
      </c>
      <c r="AE479" s="6">
        <f>$K$479*$Y$479</f>
        <v>0</v>
      </c>
      <c r="AF479" s="6">
        <f ca="1">$M$479*$Z$479</f>
        <v>42.790019999999998</v>
      </c>
      <c r="AG479" s="6">
        <f ca="1">$O$479*$AA$479</f>
        <v>22.753639999999997</v>
      </c>
    </row>
    <row r="480" spans="1:33" ht="11.25" customHeight="1" x14ac:dyDescent="0.3">
      <c r="A480" s="4" t="s">
        <v>21</v>
      </c>
      <c r="B480" s="4" t="s">
        <v>32</v>
      </c>
      <c r="C480" s="4" t="s">
        <v>38</v>
      </c>
      <c r="D480" s="4" t="s">
        <v>33</v>
      </c>
      <c r="E480" s="4" t="s">
        <v>25</v>
      </c>
      <c r="F480" s="4" t="s">
        <v>25</v>
      </c>
      <c r="G480" s="4" t="s">
        <v>25</v>
      </c>
      <c r="H480" s="4" t="s">
        <v>39</v>
      </c>
      <c r="I480" s="5">
        <v>44621</v>
      </c>
      <c r="J480" s="6">
        <v>0</v>
      </c>
      <c r="K480" s="6">
        <v>0</v>
      </c>
      <c r="L480" s="6">
        <v>5.6000000000000001E-2</v>
      </c>
      <c r="M480" s="6">
        <v>5.6000000000000001E-2</v>
      </c>
      <c r="N480" s="6">
        <v>5.6000000000000001E-2</v>
      </c>
      <c r="O480" s="6">
        <v>5.6000000000000001E-2</v>
      </c>
      <c r="P480" s="6">
        <v>0</v>
      </c>
      <c r="Q480" s="4" t="s">
        <v>26</v>
      </c>
      <c r="R480" s="4">
        <v>0</v>
      </c>
      <c r="S480" s="6">
        <v>0</v>
      </c>
      <c r="T480" s="6">
        <v>75</v>
      </c>
      <c r="U480" s="6">
        <v>48</v>
      </c>
      <c r="V480" s="6">
        <f>IF(ISERROR(VLOOKUP($S$480,'TAR FIN'!$A$1:$O$92,15,0)),0,VLOOKUP($S$480,'TAR FIN'!$A$1:$O$92,15,0))</f>
        <v>0</v>
      </c>
      <c r="W480" s="6">
        <f>IF(ISERROR(VLOOKUP($T$480,'TAR FIN'!$A$1:$O$92,15,0)),0,VLOOKUP($T$480,'TAR FIN'!$A$1:$O$92,15,0))</f>
        <v>543.07000000000005</v>
      </c>
      <c r="X480" s="6">
        <f>IF(ISERROR(VLOOKUP($U$480,'TAR FIN'!$A$1:$O$92,15,0)),0,VLOOKUP($U$480,'TAR FIN'!$A$1:$O$92,15,0))</f>
        <v>286.76</v>
      </c>
      <c r="Y480" s="6"/>
      <c r="Z480" s="6">
        <f ca="1">('TUSD BE'!$AM$50+'TUSD BF_350'!$AM$50+'TUSD CVA'!$AM$50)*1</f>
        <v>470.22</v>
      </c>
      <c r="AA480" s="6">
        <f ca="1">('TE BE'!$AB$38+'TE BF_350'!$AB$38+'TE CVA'!$AB$38)*1</f>
        <v>250.03999999999996</v>
      </c>
      <c r="AB480" s="6">
        <f>$K$480*$V$480</f>
        <v>0</v>
      </c>
      <c r="AC480" s="6">
        <f>$M$480*$W$480</f>
        <v>30.411920000000002</v>
      </c>
      <c r="AD480" s="6">
        <f>$O$480*$X$480</f>
        <v>16.05856</v>
      </c>
      <c r="AE480" s="6">
        <f>$K$480*$Y$480</f>
        <v>0</v>
      </c>
      <c r="AF480" s="6">
        <f ca="1">$M$480*$Z$480</f>
        <v>26.332320000000003</v>
      </c>
      <c r="AG480" s="6">
        <f ca="1">$O$480*$AA$480</f>
        <v>14.002239999999999</v>
      </c>
    </row>
    <row r="481" spans="1:33" ht="11.25" customHeight="1" x14ac:dyDescent="0.3">
      <c r="A481" s="4" t="s">
        <v>21</v>
      </c>
      <c r="B481" s="4" t="s">
        <v>32</v>
      </c>
      <c r="C481" s="4" t="s">
        <v>38</v>
      </c>
      <c r="D481" s="4" t="s">
        <v>33</v>
      </c>
      <c r="E481" s="4" t="s">
        <v>25</v>
      </c>
      <c r="F481" s="4" t="s">
        <v>25</v>
      </c>
      <c r="G481" s="4" t="s">
        <v>25</v>
      </c>
      <c r="H481" s="4" t="s">
        <v>39</v>
      </c>
      <c r="I481" s="5">
        <v>44652</v>
      </c>
      <c r="J481" s="6">
        <v>0</v>
      </c>
      <c r="K481" s="6">
        <v>0</v>
      </c>
      <c r="L481" s="6">
        <v>9.0999999999999998E-2</v>
      </c>
      <c r="M481" s="6">
        <v>9.0999999999999998E-2</v>
      </c>
      <c r="N481" s="6">
        <v>9.0999999999999998E-2</v>
      </c>
      <c r="O481" s="6">
        <v>9.0999999999999998E-2</v>
      </c>
      <c r="P481" s="6">
        <v>0</v>
      </c>
      <c r="Q481" s="4" t="s">
        <v>26</v>
      </c>
      <c r="R481" s="4">
        <v>0</v>
      </c>
      <c r="S481" s="6">
        <v>0</v>
      </c>
      <c r="T481" s="6">
        <v>75</v>
      </c>
      <c r="U481" s="6">
        <v>48</v>
      </c>
      <c r="V481" s="6">
        <f>IF(ISERROR(VLOOKUP($S$481,'TAR FIN'!$A$1:$O$92,15,0)),0,VLOOKUP($S$481,'TAR FIN'!$A$1:$O$92,15,0))</f>
        <v>0</v>
      </c>
      <c r="W481" s="6">
        <f>IF(ISERROR(VLOOKUP($T$481,'TAR FIN'!$A$1:$O$92,15,0)),0,VLOOKUP($T$481,'TAR FIN'!$A$1:$O$92,15,0))</f>
        <v>543.07000000000005</v>
      </c>
      <c r="X481" s="6">
        <f>IF(ISERROR(VLOOKUP($U$481,'TAR FIN'!$A$1:$O$92,15,0)),0,VLOOKUP($U$481,'TAR FIN'!$A$1:$O$92,15,0))</f>
        <v>286.76</v>
      </c>
      <c r="Y481" s="6"/>
      <c r="Z481" s="6">
        <f ca="1">('TUSD BE'!$AM$50+'TUSD BF_350'!$AM$50+'TUSD CVA'!$AM$50)*1</f>
        <v>470.22</v>
      </c>
      <c r="AA481" s="6">
        <f ca="1">('TE BE'!$AB$38+'TE BF_350'!$AB$38+'TE CVA'!$AB$38)*1</f>
        <v>250.03999999999996</v>
      </c>
      <c r="AB481" s="6">
        <f>$K$481*$V$481</f>
        <v>0</v>
      </c>
      <c r="AC481" s="6">
        <f>$M$481*$W$481</f>
        <v>49.419370000000001</v>
      </c>
      <c r="AD481" s="6">
        <f>$O$481*$X$481</f>
        <v>26.09516</v>
      </c>
      <c r="AE481" s="6">
        <f>$K$481*$Y$481</f>
        <v>0</v>
      </c>
      <c r="AF481" s="6">
        <f ca="1">$M$481*$Z$481</f>
        <v>42.790019999999998</v>
      </c>
      <c r="AG481" s="6">
        <f ca="1">$O$481*$AA$481</f>
        <v>22.753639999999997</v>
      </c>
    </row>
    <row r="482" spans="1:33" ht="11.25" customHeight="1" x14ac:dyDescent="0.3">
      <c r="A482" s="4" t="s">
        <v>21</v>
      </c>
      <c r="B482" s="4" t="s">
        <v>32</v>
      </c>
      <c r="C482" s="4" t="s">
        <v>38</v>
      </c>
      <c r="D482" s="4" t="s">
        <v>33</v>
      </c>
      <c r="E482" s="4" t="s">
        <v>25</v>
      </c>
      <c r="F482" s="4" t="s">
        <v>25</v>
      </c>
      <c r="G482" s="4" t="s">
        <v>25</v>
      </c>
      <c r="H482" s="4" t="s">
        <v>39</v>
      </c>
      <c r="I482" s="5">
        <v>44682</v>
      </c>
      <c r="J482" s="6">
        <v>0</v>
      </c>
      <c r="K482" s="6">
        <v>0</v>
      </c>
      <c r="L482" s="6">
        <v>5.3999999999999999E-2</v>
      </c>
      <c r="M482" s="6">
        <v>5.3999999999999999E-2</v>
      </c>
      <c r="N482" s="6">
        <v>5.3999999999999999E-2</v>
      </c>
      <c r="O482" s="6">
        <v>5.3999999999999999E-2</v>
      </c>
      <c r="P482" s="6">
        <v>0</v>
      </c>
      <c r="Q482" s="4" t="s">
        <v>26</v>
      </c>
      <c r="R482" s="4">
        <v>0</v>
      </c>
      <c r="S482" s="6">
        <v>0</v>
      </c>
      <c r="T482" s="6">
        <v>75</v>
      </c>
      <c r="U482" s="6">
        <v>48</v>
      </c>
      <c r="V482" s="6">
        <f>IF(ISERROR(VLOOKUP($S$482,'TAR FIN'!$A$1:$O$92,15,0)),0,VLOOKUP($S$482,'TAR FIN'!$A$1:$O$92,15,0))</f>
        <v>0</v>
      </c>
      <c r="W482" s="6">
        <f>IF(ISERROR(VLOOKUP($T$482,'TAR FIN'!$A$1:$O$92,15,0)),0,VLOOKUP($T$482,'TAR FIN'!$A$1:$O$92,15,0))</f>
        <v>543.07000000000005</v>
      </c>
      <c r="X482" s="6">
        <f>IF(ISERROR(VLOOKUP($U$482,'TAR FIN'!$A$1:$O$92,15,0)),0,VLOOKUP($U$482,'TAR FIN'!$A$1:$O$92,15,0))</f>
        <v>286.76</v>
      </c>
      <c r="Y482" s="6"/>
      <c r="Z482" s="6">
        <f ca="1">('TUSD BE'!$AM$50+'TUSD BF_350'!$AM$50+'TUSD CVA'!$AM$50)*1</f>
        <v>470.22</v>
      </c>
      <c r="AA482" s="6">
        <f ca="1">('TE BE'!$AB$38+'TE BF_350'!$AB$38+'TE CVA'!$AB$38)*1</f>
        <v>250.03999999999996</v>
      </c>
      <c r="AB482" s="6">
        <f>$K$482*$V$482</f>
        <v>0</v>
      </c>
      <c r="AC482" s="6">
        <f>$M$482*$W$482</f>
        <v>29.325780000000002</v>
      </c>
      <c r="AD482" s="6">
        <f>$O$482*$X$482</f>
        <v>15.48504</v>
      </c>
      <c r="AE482" s="6">
        <f>$K$482*$Y$482</f>
        <v>0</v>
      </c>
      <c r="AF482" s="6">
        <f ca="1">$M$482*$Z$482</f>
        <v>25.39188</v>
      </c>
      <c r="AG482" s="6">
        <f ca="1">$O$482*$AA$482</f>
        <v>13.502159999999998</v>
      </c>
    </row>
    <row r="483" spans="1:33" ht="11.25" customHeight="1" x14ac:dyDescent="0.3">
      <c r="A483" s="4" t="s">
        <v>21</v>
      </c>
      <c r="B483" s="4" t="s">
        <v>32</v>
      </c>
      <c r="C483" s="4" t="s">
        <v>38</v>
      </c>
      <c r="D483" s="4" t="s">
        <v>33</v>
      </c>
      <c r="E483" s="4" t="s">
        <v>25</v>
      </c>
      <c r="F483" s="4" t="s">
        <v>25</v>
      </c>
      <c r="G483" s="4" t="s">
        <v>25</v>
      </c>
      <c r="H483" s="4" t="s">
        <v>39</v>
      </c>
      <c r="I483" s="5">
        <v>44713</v>
      </c>
      <c r="J483" s="6">
        <v>0</v>
      </c>
      <c r="K483" s="6">
        <v>0</v>
      </c>
      <c r="L483" s="6">
        <v>8.7999999999999995E-2</v>
      </c>
      <c r="M483" s="6">
        <v>8.7999999999999995E-2</v>
      </c>
      <c r="N483" s="6">
        <v>8.7999999999999995E-2</v>
      </c>
      <c r="O483" s="6">
        <v>8.7999999999999995E-2</v>
      </c>
      <c r="P483" s="6">
        <v>0</v>
      </c>
      <c r="Q483" s="4" t="s">
        <v>26</v>
      </c>
      <c r="R483" s="4">
        <v>0</v>
      </c>
      <c r="S483" s="6">
        <v>0</v>
      </c>
      <c r="T483" s="6">
        <v>75</v>
      </c>
      <c r="U483" s="6">
        <v>48</v>
      </c>
      <c r="V483" s="6">
        <f>IF(ISERROR(VLOOKUP($S$483,'TAR FIN'!$A$1:$O$92,15,0)),0,VLOOKUP($S$483,'TAR FIN'!$A$1:$O$92,15,0))</f>
        <v>0</v>
      </c>
      <c r="W483" s="6">
        <f>IF(ISERROR(VLOOKUP($T$483,'TAR FIN'!$A$1:$O$92,15,0)),0,VLOOKUP($T$483,'TAR FIN'!$A$1:$O$92,15,0))</f>
        <v>543.07000000000005</v>
      </c>
      <c r="X483" s="6">
        <f>IF(ISERROR(VLOOKUP($U$483,'TAR FIN'!$A$1:$O$92,15,0)),0,VLOOKUP($U$483,'TAR FIN'!$A$1:$O$92,15,0))</f>
        <v>286.76</v>
      </c>
      <c r="Y483" s="6"/>
      <c r="Z483" s="6">
        <f ca="1">('TUSD BE'!$AM$50+'TUSD BF_350'!$AM$50+'TUSD CVA'!$AM$50)*1</f>
        <v>470.22</v>
      </c>
      <c r="AA483" s="6">
        <f ca="1">('TE BE'!$AB$38+'TE BF_350'!$AB$38+'TE CVA'!$AB$38)*1</f>
        <v>250.03999999999996</v>
      </c>
      <c r="AB483" s="6">
        <f>$K$483*$V$483</f>
        <v>0</v>
      </c>
      <c r="AC483" s="6">
        <f>$M$483*$W$483</f>
        <v>47.79016</v>
      </c>
      <c r="AD483" s="6">
        <f>$O$483*$X$483</f>
        <v>25.234879999999997</v>
      </c>
      <c r="AE483" s="6">
        <f>$K$483*$Y$483</f>
        <v>0</v>
      </c>
      <c r="AF483" s="6">
        <f ca="1">$M$483*$Z$483</f>
        <v>41.379359999999998</v>
      </c>
      <c r="AG483" s="6">
        <f ca="1">$O$483*$AA$483</f>
        <v>22.003519999999995</v>
      </c>
    </row>
    <row r="484" spans="1:33" ht="11.25" customHeight="1" x14ac:dyDescent="0.3">
      <c r="A484" s="4" t="s">
        <v>21</v>
      </c>
      <c r="B484" s="4" t="s">
        <v>32</v>
      </c>
      <c r="C484" s="4" t="s">
        <v>38</v>
      </c>
      <c r="D484" s="4" t="s">
        <v>33</v>
      </c>
      <c r="E484" s="4" t="s">
        <v>25</v>
      </c>
      <c r="F484" s="4" t="s">
        <v>25</v>
      </c>
      <c r="G484" s="4" t="s">
        <v>25</v>
      </c>
      <c r="H484" s="4" t="s">
        <v>39</v>
      </c>
      <c r="I484" s="5">
        <v>44743</v>
      </c>
      <c r="J484" s="6">
        <v>0</v>
      </c>
      <c r="K484" s="6">
        <v>0</v>
      </c>
      <c r="L484" s="6">
        <v>7.5999999999999998E-2</v>
      </c>
      <c r="M484" s="6">
        <v>7.5999999999999998E-2</v>
      </c>
      <c r="N484" s="6">
        <v>7.5999999999999998E-2</v>
      </c>
      <c r="O484" s="6">
        <v>7.5999999999999998E-2</v>
      </c>
      <c r="P484" s="6">
        <v>0</v>
      </c>
      <c r="Q484" s="4" t="s">
        <v>26</v>
      </c>
      <c r="R484" s="4">
        <v>0</v>
      </c>
      <c r="S484" s="6">
        <v>0</v>
      </c>
      <c r="T484" s="6">
        <v>75</v>
      </c>
      <c r="U484" s="6">
        <v>48</v>
      </c>
      <c r="V484" s="6">
        <f>IF(ISERROR(VLOOKUP($S$484,'TAR FIN'!$A$1:$O$92,15,0)),0,VLOOKUP($S$484,'TAR FIN'!$A$1:$O$92,15,0))</f>
        <v>0</v>
      </c>
      <c r="W484" s="6">
        <f>IF(ISERROR(VLOOKUP($T$484,'TAR FIN'!$A$1:$O$92,15,0)),0,VLOOKUP($T$484,'TAR FIN'!$A$1:$O$92,15,0))</f>
        <v>543.07000000000005</v>
      </c>
      <c r="X484" s="6">
        <f>IF(ISERROR(VLOOKUP($U$484,'TAR FIN'!$A$1:$O$92,15,0)),0,VLOOKUP($U$484,'TAR FIN'!$A$1:$O$92,15,0))</f>
        <v>286.76</v>
      </c>
      <c r="Y484" s="6"/>
      <c r="Z484" s="6">
        <f ca="1">('TUSD BE'!$AM$50+'TUSD BF_350'!$AM$50+'TUSD CVA'!$AM$50)*1</f>
        <v>470.22</v>
      </c>
      <c r="AA484" s="6">
        <f ca="1">('TE BE'!$AB$38+'TE BF_350'!$AB$38+'TE CVA'!$AB$38)*1</f>
        <v>250.03999999999996</v>
      </c>
      <c r="AB484" s="6">
        <f>$K$484*$V$484</f>
        <v>0</v>
      </c>
      <c r="AC484" s="6">
        <f>$M$484*$W$484</f>
        <v>41.273320000000005</v>
      </c>
      <c r="AD484" s="6">
        <f>$O$484*$X$484</f>
        <v>21.793759999999999</v>
      </c>
      <c r="AE484" s="6">
        <f>$K$484*$Y$484</f>
        <v>0</v>
      </c>
      <c r="AF484" s="6">
        <f ca="1">$M$484*$Z$484</f>
        <v>35.736719999999998</v>
      </c>
      <c r="AG484" s="6">
        <f ca="1">$O$484*$AA$484</f>
        <v>19.003039999999995</v>
      </c>
    </row>
    <row r="485" spans="1:33" ht="11.25" customHeight="1" x14ac:dyDescent="0.3">
      <c r="A485" s="4" t="s">
        <v>21</v>
      </c>
      <c r="B485" s="4" t="s">
        <v>32</v>
      </c>
      <c r="C485" s="4" t="s">
        <v>38</v>
      </c>
      <c r="D485" s="4" t="s">
        <v>33</v>
      </c>
      <c r="E485" s="4" t="s">
        <v>25</v>
      </c>
      <c r="F485" s="4" t="s">
        <v>25</v>
      </c>
      <c r="G485" s="4" t="s">
        <v>25</v>
      </c>
      <c r="H485" s="4" t="s">
        <v>36</v>
      </c>
      <c r="I485" s="5">
        <v>44409</v>
      </c>
      <c r="J485" s="6">
        <v>0</v>
      </c>
      <c r="K485" s="6">
        <v>0</v>
      </c>
      <c r="L485" s="6">
        <v>1.6E-2</v>
      </c>
      <c r="M485" s="6">
        <v>1.6E-2</v>
      </c>
      <c r="N485" s="6">
        <v>1.6E-2</v>
      </c>
      <c r="O485" s="6">
        <v>1.6E-2</v>
      </c>
      <c r="P485" s="6">
        <v>0</v>
      </c>
      <c r="Q485" s="4" t="s">
        <v>26</v>
      </c>
      <c r="R485" s="4">
        <v>0</v>
      </c>
      <c r="S485" s="6">
        <v>0</v>
      </c>
      <c r="T485" s="6">
        <v>74</v>
      </c>
      <c r="U485" s="6">
        <v>47</v>
      </c>
      <c r="V485" s="6">
        <f>IF(ISERROR(VLOOKUP($S$485,'TAR FIN'!$A$1:$O$92,15,0)),0,VLOOKUP($S$485,'TAR FIN'!$A$1:$O$92,15,0))</f>
        <v>0</v>
      </c>
      <c r="W485" s="6">
        <f>IF(ISERROR(VLOOKUP($T$485,'TAR FIN'!$A$1:$O$92,15,0)),0,VLOOKUP($T$485,'TAR FIN'!$A$1:$O$92,15,0))</f>
        <v>1905.55</v>
      </c>
      <c r="X485" s="6">
        <f>IF(ISERROR(VLOOKUP($U$485,'TAR FIN'!$A$1:$O$92,15,0)),0,VLOOKUP($U$485,'TAR FIN'!$A$1:$O$92,15,0))</f>
        <v>488.15</v>
      </c>
      <c r="Y485" s="6"/>
      <c r="Z485" s="6">
        <f ca="1">('TUSD BE'!$AM$49+'TUSD BF_350'!$AM$49+'TUSD CVA'!$AM$49)*1</f>
        <v>679.11000000000035</v>
      </c>
      <c r="AA485" s="6">
        <f ca="1">('TE BE'!$AB$37+'TE BF_350'!$AB$37+'TE CVA'!$AB$37)*1</f>
        <v>399.84</v>
      </c>
      <c r="AB485" s="6">
        <f>$K$485*$V$485</f>
        <v>0</v>
      </c>
      <c r="AC485" s="6">
        <f>$M$485*$W$485</f>
        <v>30.488800000000001</v>
      </c>
      <c r="AD485" s="6">
        <f>$O$485*$X$485</f>
        <v>7.8103999999999996</v>
      </c>
      <c r="AE485" s="6">
        <f>$K$485*$Y$485</f>
        <v>0</v>
      </c>
      <c r="AF485" s="6">
        <f ca="1">$M$485*$Z$485</f>
        <v>10.865760000000005</v>
      </c>
      <c r="AG485" s="6">
        <f ca="1">$O$485*$AA$485</f>
        <v>6.3974399999999996</v>
      </c>
    </row>
    <row r="486" spans="1:33" ht="11.25" customHeight="1" x14ac:dyDescent="0.3">
      <c r="A486" s="4" t="s">
        <v>21</v>
      </c>
      <c r="B486" s="4" t="s">
        <v>32</v>
      </c>
      <c r="C486" s="4" t="s">
        <v>38</v>
      </c>
      <c r="D486" s="4" t="s">
        <v>33</v>
      </c>
      <c r="E486" s="4" t="s">
        <v>25</v>
      </c>
      <c r="F486" s="4" t="s">
        <v>25</v>
      </c>
      <c r="G486" s="4" t="s">
        <v>25</v>
      </c>
      <c r="H486" s="4" t="s">
        <v>36</v>
      </c>
      <c r="I486" s="5">
        <v>44440</v>
      </c>
      <c r="J486" s="6">
        <v>0</v>
      </c>
      <c r="K486" s="6">
        <v>0</v>
      </c>
      <c r="L486" s="6">
        <v>2.1000000000000001E-2</v>
      </c>
      <c r="M486" s="6">
        <v>2.1000000000000001E-2</v>
      </c>
      <c r="N486" s="6">
        <v>2.1000000000000001E-2</v>
      </c>
      <c r="O486" s="6">
        <v>2.1000000000000001E-2</v>
      </c>
      <c r="P486" s="6">
        <v>0</v>
      </c>
      <c r="Q486" s="4" t="s">
        <v>26</v>
      </c>
      <c r="R486" s="4">
        <v>0</v>
      </c>
      <c r="S486" s="6">
        <v>0</v>
      </c>
      <c r="T486" s="6">
        <v>74</v>
      </c>
      <c r="U486" s="6">
        <v>47</v>
      </c>
      <c r="V486" s="6">
        <f>IF(ISERROR(VLOOKUP($S$486,'TAR FIN'!$A$1:$O$92,15,0)),0,VLOOKUP($S$486,'TAR FIN'!$A$1:$O$92,15,0))</f>
        <v>0</v>
      </c>
      <c r="W486" s="6">
        <f>IF(ISERROR(VLOOKUP($T$486,'TAR FIN'!$A$1:$O$92,15,0)),0,VLOOKUP($T$486,'TAR FIN'!$A$1:$O$92,15,0))</f>
        <v>1905.55</v>
      </c>
      <c r="X486" s="6">
        <f>IF(ISERROR(VLOOKUP($U$486,'TAR FIN'!$A$1:$O$92,15,0)),0,VLOOKUP($U$486,'TAR FIN'!$A$1:$O$92,15,0))</f>
        <v>488.15</v>
      </c>
      <c r="Y486" s="6"/>
      <c r="Z486" s="6">
        <f ca="1">('TUSD BE'!$AM$49+'TUSD BF_350'!$AM$49+'TUSD CVA'!$AM$49)*1</f>
        <v>679.11000000000035</v>
      </c>
      <c r="AA486" s="6">
        <f ca="1">('TE BE'!$AB$37+'TE BF_350'!$AB$37+'TE CVA'!$AB$37)*1</f>
        <v>399.84</v>
      </c>
      <c r="AB486" s="6">
        <f>$K$486*$V$486</f>
        <v>0</v>
      </c>
      <c r="AC486" s="6">
        <f>$M$486*$W$486</f>
        <v>40.016550000000002</v>
      </c>
      <c r="AD486" s="6">
        <f>$O$486*$X$486</f>
        <v>10.251150000000001</v>
      </c>
      <c r="AE486" s="6">
        <f>$K$486*$Y$486</f>
        <v>0</v>
      </c>
      <c r="AF486" s="6">
        <f ca="1">$M$486*$Z$486</f>
        <v>14.261310000000009</v>
      </c>
      <c r="AG486" s="6">
        <f ca="1">$O$486*$AA$486</f>
        <v>8.3966399999999997</v>
      </c>
    </row>
    <row r="487" spans="1:33" ht="11.25" customHeight="1" x14ac:dyDescent="0.3">
      <c r="A487" s="4" t="s">
        <v>21</v>
      </c>
      <c r="B487" s="4" t="s">
        <v>32</v>
      </c>
      <c r="C487" s="4" t="s">
        <v>38</v>
      </c>
      <c r="D487" s="4" t="s">
        <v>33</v>
      </c>
      <c r="E487" s="4" t="s">
        <v>25</v>
      </c>
      <c r="F487" s="4" t="s">
        <v>25</v>
      </c>
      <c r="G487" s="4" t="s">
        <v>25</v>
      </c>
      <c r="H487" s="4" t="s">
        <v>36</v>
      </c>
      <c r="I487" s="5">
        <v>44470</v>
      </c>
      <c r="J487" s="6">
        <v>0</v>
      </c>
      <c r="K487" s="6">
        <v>0</v>
      </c>
      <c r="L487" s="6">
        <v>0.03</v>
      </c>
      <c r="M487" s="6">
        <v>0.03</v>
      </c>
      <c r="N487" s="6">
        <v>0.03</v>
      </c>
      <c r="O487" s="6">
        <v>0.03</v>
      </c>
      <c r="P487" s="6">
        <v>0</v>
      </c>
      <c r="Q487" s="4" t="s">
        <v>26</v>
      </c>
      <c r="R487" s="4">
        <v>0</v>
      </c>
      <c r="S487" s="6">
        <v>0</v>
      </c>
      <c r="T487" s="6">
        <v>74</v>
      </c>
      <c r="U487" s="6">
        <v>47</v>
      </c>
      <c r="V487" s="6">
        <f>IF(ISERROR(VLOOKUP($S$487,'TAR FIN'!$A$1:$O$92,15,0)),0,VLOOKUP($S$487,'TAR FIN'!$A$1:$O$92,15,0))</f>
        <v>0</v>
      </c>
      <c r="W487" s="6">
        <f>IF(ISERROR(VLOOKUP($T$487,'TAR FIN'!$A$1:$O$92,15,0)),0,VLOOKUP($T$487,'TAR FIN'!$A$1:$O$92,15,0))</f>
        <v>1905.55</v>
      </c>
      <c r="X487" s="6">
        <f>IF(ISERROR(VLOOKUP($U$487,'TAR FIN'!$A$1:$O$92,15,0)),0,VLOOKUP($U$487,'TAR FIN'!$A$1:$O$92,15,0))</f>
        <v>488.15</v>
      </c>
      <c r="Y487" s="6"/>
      <c r="Z487" s="6">
        <f ca="1">('TUSD BE'!$AM$49+'TUSD BF_350'!$AM$49+'TUSD CVA'!$AM$49)*1</f>
        <v>679.11000000000035</v>
      </c>
      <c r="AA487" s="6">
        <f ca="1">('TE BE'!$AB$37+'TE BF_350'!$AB$37+'TE CVA'!$AB$37)*1</f>
        <v>399.84</v>
      </c>
      <c r="AB487" s="6">
        <f>$K$487*$V$487</f>
        <v>0</v>
      </c>
      <c r="AC487" s="6">
        <f>$M$487*$W$487</f>
        <v>57.166499999999999</v>
      </c>
      <c r="AD487" s="6">
        <f>$O$487*$X$487</f>
        <v>14.644499999999999</v>
      </c>
      <c r="AE487" s="6">
        <f>$K$487*$Y$487</f>
        <v>0</v>
      </c>
      <c r="AF487" s="6">
        <f ca="1">$M$487*$Z$487</f>
        <v>20.373300000000011</v>
      </c>
      <c r="AG487" s="6">
        <f ca="1">$O$487*$AA$487</f>
        <v>11.995199999999999</v>
      </c>
    </row>
    <row r="488" spans="1:33" ht="11.25" customHeight="1" x14ac:dyDescent="0.3">
      <c r="A488" s="4" t="s">
        <v>21</v>
      </c>
      <c r="B488" s="4" t="s">
        <v>32</v>
      </c>
      <c r="C488" s="4" t="s">
        <v>38</v>
      </c>
      <c r="D488" s="4" t="s">
        <v>33</v>
      </c>
      <c r="E488" s="4" t="s">
        <v>25</v>
      </c>
      <c r="F488" s="4" t="s">
        <v>25</v>
      </c>
      <c r="G488" s="4" t="s">
        <v>25</v>
      </c>
      <c r="H488" s="4" t="s">
        <v>36</v>
      </c>
      <c r="I488" s="5">
        <v>44501</v>
      </c>
      <c r="J488" s="6">
        <v>0</v>
      </c>
      <c r="K488" s="6">
        <v>0</v>
      </c>
      <c r="L488" s="6">
        <v>2.9000000000000001E-2</v>
      </c>
      <c r="M488" s="6">
        <v>2.9000000000000001E-2</v>
      </c>
      <c r="N488" s="6">
        <v>2.9000000000000001E-2</v>
      </c>
      <c r="O488" s="6">
        <v>2.9000000000000001E-2</v>
      </c>
      <c r="P488" s="6">
        <v>0</v>
      </c>
      <c r="Q488" s="4" t="s">
        <v>26</v>
      </c>
      <c r="R488" s="4">
        <v>0</v>
      </c>
      <c r="S488" s="6">
        <v>0</v>
      </c>
      <c r="T488" s="6">
        <v>74</v>
      </c>
      <c r="U488" s="6">
        <v>47</v>
      </c>
      <c r="V488" s="6">
        <f>IF(ISERROR(VLOOKUP($S$488,'TAR FIN'!$A$1:$O$92,15,0)),0,VLOOKUP($S$488,'TAR FIN'!$A$1:$O$92,15,0))</f>
        <v>0</v>
      </c>
      <c r="W488" s="6">
        <f>IF(ISERROR(VLOOKUP($T$488,'TAR FIN'!$A$1:$O$92,15,0)),0,VLOOKUP($T$488,'TAR FIN'!$A$1:$O$92,15,0))</f>
        <v>1905.55</v>
      </c>
      <c r="X488" s="6">
        <f>IF(ISERROR(VLOOKUP($U$488,'TAR FIN'!$A$1:$O$92,15,0)),0,VLOOKUP($U$488,'TAR FIN'!$A$1:$O$92,15,0))</f>
        <v>488.15</v>
      </c>
      <c r="Y488" s="6"/>
      <c r="Z488" s="6">
        <f ca="1">('TUSD BE'!$AM$49+'TUSD BF_350'!$AM$49+'TUSD CVA'!$AM$49)*1</f>
        <v>679.11000000000035</v>
      </c>
      <c r="AA488" s="6">
        <f ca="1">('TE BE'!$AB$37+'TE BF_350'!$AB$37+'TE CVA'!$AB$37)*1</f>
        <v>399.84</v>
      </c>
      <c r="AB488" s="6">
        <f>$K$488*$V$488</f>
        <v>0</v>
      </c>
      <c r="AC488" s="6">
        <f>$M$488*$W$488</f>
        <v>55.260950000000001</v>
      </c>
      <c r="AD488" s="6">
        <f>$O$488*$X$488</f>
        <v>14.15635</v>
      </c>
      <c r="AE488" s="6">
        <f>$K$488*$Y$488</f>
        <v>0</v>
      </c>
      <c r="AF488" s="6">
        <f ca="1">$M$488*$Z$488</f>
        <v>19.69419000000001</v>
      </c>
      <c r="AG488" s="6">
        <f ca="1">$O$488*$AA$488</f>
        <v>11.595359999999999</v>
      </c>
    </row>
    <row r="489" spans="1:33" ht="11.25" customHeight="1" x14ac:dyDescent="0.3">
      <c r="A489" s="4" t="s">
        <v>21</v>
      </c>
      <c r="B489" s="4" t="s">
        <v>32</v>
      </c>
      <c r="C489" s="4" t="s">
        <v>38</v>
      </c>
      <c r="D489" s="4" t="s">
        <v>33</v>
      </c>
      <c r="E489" s="4" t="s">
        <v>25</v>
      </c>
      <c r="F489" s="4" t="s">
        <v>25</v>
      </c>
      <c r="G489" s="4" t="s">
        <v>25</v>
      </c>
      <c r="H489" s="4" t="s">
        <v>36</v>
      </c>
      <c r="I489" s="5">
        <v>44531</v>
      </c>
      <c r="J489" s="6">
        <v>0</v>
      </c>
      <c r="K489" s="6">
        <v>0</v>
      </c>
      <c r="L489" s="6">
        <v>3.1E-2</v>
      </c>
      <c r="M489" s="6">
        <v>3.1E-2</v>
      </c>
      <c r="N489" s="6">
        <v>3.1E-2</v>
      </c>
      <c r="O489" s="6">
        <v>3.1E-2</v>
      </c>
      <c r="P489" s="6">
        <v>0</v>
      </c>
      <c r="Q489" s="4" t="s">
        <v>26</v>
      </c>
      <c r="R489" s="4">
        <v>0</v>
      </c>
      <c r="S489" s="6">
        <v>0</v>
      </c>
      <c r="T489" s="6">
        <v>74</v>
      </c>
      <c r="U489" s="6">
        <v>47</v>
      </c>
      <c r="V489" s="6">
        <f>IF(ISERROR(VLOOKUP($S$489,'TAR FIN'!$A$1:$O$92,15,0)),0,VLOOKUP($S$489,'TAR FIN'!$A$1:$O$92,15,0))</f>
        <v>0</v>
      </c>
      <c r="W489" s="6">
        <f>IF(ISERROR(VLOOKUP($T$489,'TAR FIN'!$A$1:$O$92,15,0)),0,VLOOKUP($T$489,'TAR FIN'!$A$1:$O$92,15,0))</f>
        <v>1905.55</v>
      </c>
      <c r="X489" s="6">
        <f>IF(ISERROR(VLOOKUP($U$489,'TAR FIN'!$A$1:$O$92,15,0)),0,VLOOKUP($U$489,'TAR FIN'!$A$1:$O$92,15,0))</f>
        <v>488.15</v>
      </c>
      <c r="Y489" s="6"/>
      <c r="Z489" s="6">
        <f ca="1">('TUSD BE'!$AM$49+'TUSD BF_350'!$AM$49+'TUSD CVA'!$AM$49)*1</f>
        <v>679.11000000000035</v>
      </c>
      <c r="AA489" s="6">
        <f ca="1">('TE BE'!$AB$37+'TE BF_350'!$AB$37+'TE CVA'!$AB$37)*1</f>
        <v>399.84</v>
      </c>
      <c r="AB489" s="6">
        <f>$K$489*$V$489</f>
        <v>0</v>
      </c>
      <c r="AC489" s="6">
        <f>$M$489*$W$489</f>
        <v>59.072049999999997</v>
      </c>
      <c r="AD489" s="6">
        <f>$O$489*$X$489</f>
        <v>15.13265</v>
      </c>
      <c r="AE489" s="6">
        <f>$K$489*$Y$489</f>
        <v>0</v>
      </c>
      <c r="AF489" s="6">
        <f ca="1">$M$489*$Z$489</f>
        <v>21.052410000000013</v>
      </c>
      <c r="AG489" s="6">
        <f ca="1">$O$489*$AA$489</f>
        <v>12.39504</v>
      </c>
    </row>
    <row r="490" spans="1:33" ht="11.25" customHeight="1" x14ac:dyDescent="0.3">
      <c r="A490" s="4" t="s">
        <v>21</v>
      </c>
      <c r="B490" s="4" t="s">
        <v>32</v>
      </c>
      <c r="C490" s="4" t="s">
        <v>38</v>
      </c>
      <c r="D490" s="4" t="s">
        <v>33</v>
      </c>
      <c r="E490" s="4" t="s">
        <v>25</v>
      </c>
      <c r="F490" s="4" t="s">
        <v>25</v>
      </c>
      <c r="G490" s="4" t="s">
        <v>25</v>
      </c>
      <c r="H490" s="4" t="s">
        <v>36</v>
      </c>
      <c r="I490" s="5">
        <v>44562</v>
      </c>
      <c r="J490" s="6">
        <v>0</v>
      </c>
      <c r="K490" s="6">
        <v>0</v>
      </c>
      <c r="L490" s="6">
        <v>4.2000000000000003E-2</v>
      </c>
      <c r="M490" s="6">
        <v>4.2000000000000003E-2</v>
      </c>
      <c r="N490" s="6">
        <v>4.2000000000000003E-2</v>
      </c>
      <c r="O490" s="6">
        <v>4.2000000000000003E-2</v>
      </c>
      <c r="P490" s="6">
        <v>0</v>
      </c>
      <c r="Q490" s="4" t="s">
        <v>26</v>
      </c>
      <c r="R490" s="4">
        <v>0</v>
      </c>
      <c r="S490" s="6">
        <v>0</v>
      </c>
      <c r="T490" s="6">
        <v>74</v>
      </c>
      <c r="U490" s="6">
        <v>47</v>
      </c>
      <c r="V490" s="6">
        <f>IF(ISERROR(VLOOKUP($S$490,'TAR FIN'!$A$1:$O$92,15,0)),0,VLOOKUP($S$490,'TAR FIN'!$A$1:$O$92,15,0))</f>
        <v>0</v>
      </c>
      <c r="W490" s="6">
        <f>IF(ISERROR(VLOOKUP($T$490,'TAR FIN'!$A$1:$O$92,15,0)),0,VLOOKUP($T$490,'TAR FIN'!$A$1:$O$92,15,0))</f>
        <v>1905.55</v>
      </c>
      <c r="X490" s="6">
        <f>IF(ISERROR(VLOOKUP($U$490,'TAR FIN'!$A$1:$O$92,15,0)),0,VLOOKUP($U$490,'TAR FIN'!$A$1:$O$92,15,0))</f>
        <v>488.15</v>
      </c>
      <c r="Y490" s="6"/>
      <c r="Z490" s="6">
        <f ca="1">('TUSD BE'!$AM$49+'TUSD BF_350'!$AM$49+'TUSD CVA'!$AM$49)*1</f>
        <v>679.11000000000035</v>
      </c>
      <c r="AA490" s="6">
        <f ca="1">('TE BE'!$AB$37+'TE BF_350'!$AB$37+'TE CVA'!$AB$37)*1</f>
        <v>399.84</v>
      </c>
      <c r="AB490" s="6">
        <f>$K$490*$V$490</f>
        <v>0</v>
      </c>
      <c r="AC490" s="6">
        <f>$M$490*$W$490</f>
        <v>80.033100000000005</v>
      </c>
      <c r="AD490" s="6">
        <f>$O$490*$X$490</f>
        <v>20.502300000000002</v>
      </c>
      <c r="AE490" s="6">
        <f>$K$490*$Y$490</f>
        <v>0</v>
      </c>
      <c r="AF490" s="6">
        <f ca="1">$M$490*$Z$490</f>
        <v>28.522620000000018</v>
      </c>
      <c r="AG490" s="6">
        <f ca="1">$O$490*$AA$490</f>
        <v>16.793279999999999</v>
      </c>
    </row>
    <row r="491" spans="1:33" ht="11.25" customHeight="1" x14ac:dyDescent="0.3">
      <c r="A491" s="4" t="s">
        <v>21</v>
      </c>
      <c r="B491" s="4" t="s">
        <v>32</v>
      </c>
      <c r="C491" s="4" t="s">
        <v>38</v>
      </c>
      <c r="D491" s="4" t="s">
        <v>33</v>
      </c>
      <c r="E491" s="4" t="s">
        <v>25</v>
      </c>
      <c r="F491" s="4" t="s">
        <v>25</v>
      </c>
      <c r="G491" s="4" t="s">
        <v>25</v>
      </c>
      <c r="H491" s="4" t="s">
        <v>36</v>
      </c>
      <c r="I491" s="5">
        <v>44593</v>
      </c>
      <c r="J491" s="6">
        <v>0</v>
      </c>
      <c r="K491" s="6">
        <v>0</v>
      </c>
      <c r="L491" s="6">
        <v>3.5999999999999997E-2</v>
      </c>
      <c r="M491" s="6">
        <v>3.5999999999999997E-2</v>
      </c>
      <c r="N491" s="6">
        <v>3.5999999999999997E-2</v>
      </c>
      <c r="O491" s="6">
        <v>3.5999999999999997E-2</v>
      </c>
      <c r="P491" s="6">
        <v>0</v>
      </c>
      <c r="Q491" s="4" t="s">
        <v>26</v>
      </c>
      <c r="R491" s="4">
        <v>0</v>
      </c>
      <c r="S491" s="6">
        <v>0</v>
      </c>
      <c r="T491" s="6">
        <v>74</v>
      </c>
      <c r="U491" s="6">
        <v>47</v>
      </c>
      <c r="V491" s="6">
        <f>IF(ISERROR(VLOOKUP($S$491,'TAR FIN'!$A$1:$O$92,15,0)),0,VLOOKUP($S$491,'TAR FIN'!$A$1:$O$92,15,0))</f>
        <v>0</v>
      </c>
      <c r="W491" s="6">
        <f>IF(ISERROR(VLOOKUP($T$491,'TAR FIN'!$A$1:$O$92,15,0)),0,VLOOKUP($T$491,'TAR FIN'!$A$1:$O$92,15,0))</f>
        <v>1905.55</v>
      </c>
      <c r="X491" s="6">
        <f>IF(ISERROR(VLOOKUP($U$491,'TAR FIN'!$A$1:$O$92,15,0)),0,VLOOKUP($U$491,'TAR FIN'!$A$1:$O$92,15,0))</f>
        <v>488.15</v>
      </c>
      <c r="Y491" s="6"/>
      <c r="Z491" s="6">
        <f ca="1">('TUSD BE'!$AM$49+'TUSD BF_350'!$AM$49+'TUSD CVA'!$AM$49)*1</f>
        <v>679.11000000000035</v>
      </c>
      <c r="AA491" s="6">
        <f ca="1">('TE BE'!$AB$37+'TE BF_350'!$AB$37+'TE CVA'!$AB$37)*1</f>
        <v>399.84</v>
      </c>
      <c r="AB491" s="6">
        <f>$K$491*$V$491</f>
        <v>0</v>
      </c>
      <c r="AC491" s="6">
        <f>$M$491*$W$491</f>
        <v>68.599799999999988</v>
      </c>
      <c r="AD491" s="6">
        <f>$O$491*$X$491</f>
        <v>17.573399999999999</v>
      </c>
      <c r="AE491" s="6">
        <f>$K$491*$Y$491</f>
        <v>0</v>
      </c>
      <c r="AF491" s="6">
        <f ca="1">$M$491*$Z$491</f>
        <v>24.447960000000013</v>
      </c>
      <c r="AG491" s="6">
        <f ca="1">$O$491*$AA$491</f>
        <v>14.394239999999998</v>
      </c>
    </row>
    <row r="492" spans="1:33" ht="11.25" customHeight="1" x14ac:dyDescent="0.3">
      <c r="A492" s="4" t="s">
        <v>21</v>
      </c>
      <c r="B492" s="4" t="s">
        <v>32</v>
      </c>
      <c r="C492" s="4" t="s">
        <v>38</v>
      </c>
      <c r="D492" s="4" t="s">
        <v>33</v>
      </c>
      <c r="E492" s="4" t="s">
        <v>25</v>
      </c>
      <c r="F492" s="4" t="s">
        <v>25</v>
      </c>
      <c r="G492" s="4" t="s">
        <v>25</v>
      </c>
      <c r="H492" s="4" t="s">
        <v>36</v>
      </c>
      <c r="I492" s="5">
        <v>44621</v>
      </c>
      <c r="J492" s="6">
        <v>0</v>
      </c>
      <c r="K492" s="6">
        <v>0</v>
      </c>
      <c r="L492" s="6">
        <v>4.3999999999999997E-2</v>
      </c>
      <c r="M492" s="6">
        <v>4.3999999999999997E-2</v>
      </c>
      <c r="N492" s="6">
        <v>4.3999999999999997E-2</v>
      </c>
      <c r="O492" s="6">
        <v>4.3999999999999997E-2</v>
      </c>
      <c r="P492" s="6">
        <v>0</v>
      </c>
      <c r="Q492" s="4" t="s">
        <v>26</v>
      </c>
      <c r="R492" s="4">
        <v>0</v>
      </c>
      <c r="S492" s="6">
        <v>0</v>
      </c>
      <c r="T492" s="6">
        <v>74</v>
      </c>
      <c r="U492" s="6">
        <v>47</v>
      </c>
      <c r="V492" s="6">
        <f>IF(ISERROR(VLOOKUP($S$492,'TAR FIN'!$A$1:$O$92,15,0)),0,VLOOKUP($S$492,'TAR FIN'!$A$1:$O$92,15,0))</f>
        <v>0</v>
      </c>
      <c r="W492" s="6">
        <f>IF(ISERROR(VLOOKUP($T$492,'TAR FIN'!$A$1:$O$92,15,0)),0,VLOOKUP($T$492,'TAR FIN'!$A$1:$O$92,15,0))</f>
        <v>1905.55</v>
      </c>
      <c r="X492" s="6">
        <f>IF(ISERROR(VLOOKUP($U$492,'TAR FIN'!$A$1:$O$92,15,0)),0,VLOOKUP($U$492,'TAR FIN'!$A$1:$O$92,15,0))</f>
        <v>488.15</v>
      </c>
      <c r="Y492" s="6"/>
      <c r="Z492" s="6">
        <f ca="1">('TUSD BE'!$AM$49+'TUSD BF_350'!$AM$49+'TUSD CVA'!$AM$49)*1</f>
        <v>679.11000000000035</v>
      </c>
      <c r="AA492" s="6">
        <f ca="1">('TE BE'!$AB$37+'TE BF_350'!$AB$37+'TE CVA'!$AB$37)*1</f>
        <v>399.84</v>
      </c>
      <c r="AB492" s="6">
        <f>$K$492*$V$492</f>
        <v>0</v>
      </c>
      <c r="AC492" s="6">
        <f>$M$492*$W$492</f>
        <v>83.844199999999987</v>
      </c>
      <c r="AD492" s="6">
        <f>$O$492*$X$492</f>
        <v>21.478599999999997</v>
      </c>
      <c r="AE492" s="6">
        <f>$K$492*$Y$492</f>
        <v>0</v>
      </c>
      <c r="AF492" s="6">
        <f ca="1">$M$492*$Z$492</f>
        <v>29.880840000000013</v>
      </c>
      <c r="AG492" s="6">
        <f ca="1">$O$492*$AA$492</f>
        <v>17.592959999999998</v>
      </c>
    </row>
    <row r="493" spans="1:33" ht="11.25" customHeight="1" x14ac:dyDescent="0.3">
      <c r="A493" s="4" t="s">
        <v>21</v>
      </c>
      <c r="B493" s="4" t="s">
        <v>32</v>
      </c>
      <c r="C493" s="4" t="s">
        <v>38</v>
      </c>
      <c r="D493" s="4" t="s">
        <v>33</v>
      </c>
      <c r="E493" s="4" t="s">
        <v>25</v>
      </c>
      <c r="F493" s="4" t="s">
        <v>25</v>
      </c>
      <c r="G493" s="4" t="s">
        <v>25</v>
      </c>
      <c r="H493" s="4" t="s">
        <v>36</v>
      </c>
      <c r="I493" s="5">
        <v>44652</v>
      </c>
      <c r="J493" s="6">
        <v>0</v>
      </c>
      <c r="K493" s="6">
        <v>0</v>
      </c>
      <c r="L493" s="6">
        <v>5.2999999999999999E-2</v>
      </c>
      <c r="M493" s="6">
        <v>5.2999999999999999E-2</v>
      </c>
      <c r="N493" s="6">
        <v>5.2999999999999999E-2</v>
      </c>
      <c r="O493" s="6">
        <v>5.2999999999999999E-2</v>
      </c>
      <c r="P493" s="6">
        <v>0</v>
      </c>
      <c r="Q493" s="4" t="s">
        <v>26</v>
      </c>
      <c r="R493" s="4">
        <v>0</v>
      </c>
      <c r="S493" s="6">
        <v>0</v>
      </c>
      <c r="T493" s="6">
        <v>74</v>
      </c>
      <c r="U493" s="6">
        <v>47</v>
      </c>
      <c r="V493" s="6">
        <f>IF(ISERROR(VLOOKUP($S$493,'TAR FIN'!$A$1:$O$92,15,0)),0,VLOOKUP($S$493,'TAR FIN'!$A$1:$O$92,15,0))</f>
        <v>0</v>
      </c>
      <c r="W493" s="6">
        <f>IF(ISERROR(VLOOKUP($T$493,'TAR FIN'!$A$1:$O$92,15,0)),0,VLOOKUP($T$493,'TAR FIN'!$A$1:$O$92,15,0))</f>
        <v>1905.55</v>
      </c>
      <c r="X493" s="6">
        <f>IF(ISERROR(VLOOKUP($U$493,'TAR FIN'!$A$1:$O$92,15,0)),0,VLOOKUP($U$493,'TAR FIN'!$A$1:$O$92,15,0))</f>
        <v>488.15</v>
      </c>
      <c r="Y493" s="6"/>
      <c r="Z493" s="6">
        <f ca="1">('TUSD BE'!$AM$49+'TUSD BF_350'!$AM$49+'TUSD CVA'!$AM$49)*1</f>
        <v>679.11000000000035</v>
      </c>
      <c r="AA493" s="6">
        <f ca="1">('TE BE'!$AB$37+'TE BF_350'!$AB$37+'TE CVA'!$AB$37)*1</f>
        <v>399.84</v>
      </c>
      <c r="AB493" s="6">
        <f>$K$493*$V$493</f>
        <v>0</v>
      </c>
      <c r="AC493" s="6">
        <f>$M$493*$W$493</f>
        <v>100.99414999999999</v>
      </c>
      <c r="AD493" s="6">
        <f>$O$493*$X$493</f>
        <v>25.871949999999998</v>
      </c>
      <c r="AE493" s="6">
        <f>$K$493*$Y$493</f>
        <v>0</v>
      </c>
      <c r="AF493" s="6">
        <f ca="1">$M$493*$Z$493</f>
        <v>35.992830000000019</v>
      </c>
      <c r="AG493" s="6">
        <f ca="1">$O$493*$AA$493</f>
        <v>21.191519999999997</v>
      </c>
    </row>
    <row r="494" spans="1:33" ht="11.25" customHeight="1" x14ac:dyDescent="0.3">
      <c r="A494" s="4" t="s">
        <v>21</v>
      </c>
      <c r="B494" s="4" t="s">
        <v>32</v>
      </c>
      <c r="C494" s="4" t="s">
        <v>38</v>
      </c>
      <c r="D494" s="4" t="s">
        <v>33</v>
      </c>
      <c r="E494" s="4" t="s">
        <v>25</v>
      </c>
      <c r="F494" s="4" t="s">
        <v>25</v>
      </c>
      <c r="G494" s="4" t="s">
        <v>25</v>
      </c>
      <c r="H494" s="4" t="s">
        <v>36</v>
      </c>
      <c r="I494" s="5">
        <v>44682</v>
      </c>
      <c r="J494" s="6">
        <v>0</v>
      </c>
      <c r="K494" s="6">
        <v>0</v>
      </c>
      <c r="L494" s="6">
        <v>0.04</v>
      </c>
      <c r="M494" s="6">
        <v>0.04</v>
      </c>
      <c r="N494" s="6">
        <v>0.04</v>
      </c>
      <c r="O494" s="6">
        <v>0.04</v>
      </c>
      <c r="P494" s="6">
        <v>0</v>
      </c>
      <c r="Q494" s="4" t="s">
        <v>26</v>
      </c>
      <c r="R494" s="4">
        <v>0</v>
      </c>
      <c r="S494" s="6">
        <v>0</v>
      </c>
      <c r="T494" s="6">
        <v>74</v>
      </c>
      <c r="U494" s="6">
        <v>47</v>
      </c>
      <c r="V494" s="6">
        <f>IF(ISERROR(VLOOKUP($S$494,'TAR FIN'!$A$1:$O$92,15,0)),0,VLOOKUP($S$494,'TAR FIN'!$A$1:$O$92,15,0))</f>
        <v>0</v>
      </c>
      <c r="W494" s="6">
        <f>IF(ISERROR(VLOOKUP($T$494,'TAR FIN'!$A$1:$O$92,15,0)),0,VLOOKUP($T$494,'TAR FIN'!$A$1:$O$92,15,0))</f>
        <v>1905.55</v>
      </c>
      <c r="X494" s="6">
        <f>IF(ISERROR(VLOOKUP($U$494,'TAR FIN'!$A$1:$O$92,15,0)),0,VLOOKUP($U$494,'TAR FIN'!$A$1:$O$92,15,0))</f>
        <v>488.15</v>
      </c>
      <c r="Y494" s="6"/>
      <c r="Z494" s="6">
        <f ca="1">('TUSD BE'!$AM$49+'TUSD BF_350'!$AM$49+'TUSD CVA'!$AM$49)*1</f>
        <v>679.11000000000035</v>
      </c>
      <c r="AA494" s="6">
        <f ca="1">('TE BE'!$AB$37+'TE BF_350'!$AB$37+'TE CVA'!$AB$37)*1</f>
        <v>399.84</v>
      </c>
      <c r="AB494" s="6">
        <f>$K$494*$V$494</f>
        <v>0</v>
      </c>
      <c r="AC494" s="6">
        <f>$M$494*$W$494</f>
        <v>76.221999999999994</v>
      </c>
      <c r="AD494" s="6">
        <f>$O$494*$X$494</f>
        <v>19.526</v>
      </c>
      <c r="AE494" s="6">
        <f>$K$494*$Y$494</f>
        <v>0</v>
      </c>
      <c r="AF494" s="6">
        <f ca="1">$M$494*$Z$494</f>
        <v>27.164400000000015</v>
      </c>
      <c r="AG494" s="6">
        <f ca="1">$O$494*$AA$494</f>
        <v>15.993599999999999</v>
      </c>
    </row>
    <row r="495" spans="1:33" ht="11.25" customHeight="1" x14ac:dyDescent="0.3">
      <c r="A495" s="4" t="s">
        <v>21</v>
      </c>
      <c r="B495" s="4" t="s">
        <v>32</v>
      </c>
      <c r="C495" s="4" t="s">
        <v>38</v>
      </c>
      <c r="D495" s="4" t="s">
        <v>33</v>
      </c>
      <c r="E495" s="4" t="s">
        <v>25</v>
      </c>
      <c r="F495" s="4" t="s">
        <v>25</v>
      </c>
      <c r="G495" s="4" t="s">
        <v>25</v>
      </c>
      <c r="H495" s="4" t="s">
        <v>36</v>
      </c>
      <c r="I495" s="5">
        <v>44713</v>
      </c>
      <c r="J495" s="6">
        <v>0</v>
      </c>
      <c r="K495" s="6">
        <v>0</v>
      </c>
      <c r="L495" s="6">
        <v>9.1999999999999998E-2</v>
      </c>
      <c r="M495" s="6">
        <v>9.1999999999999998E-2</v>
      </c>
      <c r="N495" s="6">
        <v>9.1999999999999998E-2</v>
      </c>
      <c r="O495" s="6">
        <v>9.1999999999999998E-2</v>
      </c>
      <c r="P495" s="6">
        <v>0</v>
      </c>
      <c r="Q495" s="4" t="s">
        <v>26</v>
      </c>
      <c r="R495" s="4">
        <v>0</v>
      </c>
      <c r="S495" s="6">
        <v>0</v>
      </c>
      <c r="T495" s="6">
        <v>74</v>
      </c>
      <c r="U495" s="6">
        <v>47</v>
      </c>
      <c r="V495" s="6">
        <f>IF(ISERROR(VLOOKUP($S$495,'TAR FIN'!$A$1:$O$92,15,0)),0,VLOOKUP($S$495,'TAR FIN'!$A$1:$O$92,15,0))</f>
        <v>0</v>
      </c>
      <c r="W495" s="6">
        <f>IF(ISERROR(VLOOKUP($T$495,'TAR FIN'!$A$1:$O$92,15,0)),0,VLOOKUP($T$495,'TAR FIN'!$A$1:$O$92,15,0))</f>
        <v>1905.55</v>
      </c>
      <c r="X495" s="6">
        <f>IF(ISERROR(VLOOKUP($U$495,'TAR FIN'!$A$1:$O$92,15,0)),0,VLOOKUP($U$495,'TAR FIN'!$A$1:$O$92,15,0))</f>
        <v>488.15</v>
      </c>
      <c r="Y495" s="6"/>
      <c r="Z495" s="6">
        <f ca="1">('TUSD BE'!$AM$49+'TUSD BF_350'!$AM$49+'TUSD CVA'!$AM$49)*1</f>
        <v>679.11000000000035</v>
      </c>
      <c r="AA495" s="6">
        <f ca="1">('TE BE'!$AB$37+'TE BF_350'!$AB$37+'TE CVA'!$AB$37)*1</f>
        <v>399.84</v>
      </c>
      <c r="AB495" s="6">
        <f>$K$495*$V$495</f>
        <v>0</v>
      </c>
      <c r="AC495" s="6">
        <f>$M$495*$W$495</f>
        <v>175.31059999999999</v>
      </c>
      <c r="AD495" s="6">
        <f>$O$495*$X$495</f>
        <v>44.909799999999997</v>
      </c>
      <c r="AE495" s="6">
        <f>$K$495*$Y$495</f>
        <v>0</v>
      </c>
      <c r="AF495" s="6">
        <f ca="1">$M$495*$Z$495</f>
        <v>62.478120000000033</v>
      </c>
      <c r="AG495" s="6">
        <f ca="1">$O$495*$AA$495</f>
        <v>36.78528</v>
      </c>
    </row>
    <row r="496" spans="1:33" ht="11.25" customHeight="1" x14ac:dyDescent="0.3">
      <c r="A496" s="4" t="s">
        <v>21</v>
      </c>
      <c r="B496" s="4" t="s">
        <v>32</v>
      </c>
      <c r="C496" s="4" t="s">
        <v>38</v>
      </c>
      <c r="D496" s="4" t="s">
        <v>33</v>
      </c>
      <c r="E496" s="4" t="s">
        <v>25</v>
      </c>
      <c r="F496" s="4" t="s">
        <v>25</v>
      </c>
      <c r="G496" s="4" t="s">
        <v>25</v>
      </c>
      <c r="H496" s="4" t="s">
        <v>36</v>
      </c>
      <c r="I496" s="5">
        <v>44743</v>
      </c>
      <c r="J496" s="6">
        <v>0</v>
      </c>
      <c r="K496" s="6">
        <v>0</v>
      </c>
      <c r="L496" s="6">
        <v>5.5E-2</v>
      </c>
      <c r="M496" s="6">
        <v>5.5E-2</v>
      </c>
      <c r="N496" s="6">
        <v>5.5E-2</v>
      </c>
      <c r="O496" s="6">
        <v>5.5E-2</v>
      </c>
      <c r="P496" s="6">
        <v>0</v>
      </c>
      <c r="Q496" s="4" t="s">
        <v>26</v>
      </c>
      <c r="R496" s="4">
        <v>0</v>
      </c>
      <c r="S496" s="6">
        <v>0</v>
      </c>
      <c r="T496" s="6">
        <v>74</v>
      </c>
      <c r="U496" s="6">
        <v>47</v>
      </c>
      <c r="V496" s="6">
        <f>IF(ISERROR(VLOOKUP($S$496,'TAR FIN'!$A$1:$O$92,15,0)),0,VLOOKUP($S$496,'TAR FIN'!$A$1:$O$92,15,0))</f>
        <v>0</v>
      </c>
      <c r="W496" s="6">
        <f>IF(ISERROR(VLOOKUP($T$496,'TAR FIN'!$A$1:$O$92,15,0)),0,VLOOKUP($T$496,'TAR FIN'!$A$1:$O$92,15,0))</f>
        <v>1905.55</v>
      </c>
      <c r="X496" s="6">
        <f>IF(ISERROR(VLOOKUP($U$496,'TAR FIN'!$A$1:$O$92,15,0)),0,VLOOKUP($U$496,'TAR FIN'!$A$1:$O$92,15,0))</f>
        <v>488.15</v>
      </c>
      <c r="Y496" s="6"/>
      <c r="Z496" s="6">
        <f ca="1">('TUSD BE'!$AM$49+'TUSD BF_350'!$AM$49+'TUSD CVA'!$AM$49)*1</f>
        <v>679.11000000000035</v>
      </c>
      <c r="AA496" s="6">
        <f ca="1">('TE BE'!$AB$37+'TE BF_350'!$AB$37+'TE CVA'!$AB$37)*1</f>
        <v>399.84</v>
      </c>
      <c r="AB496" s="6">
        <f>$K$496*$V$496</f>
        <v>0</v>
      </c>
      <c r="AC496" s="6">
        <f>$M$496*$W$496</f>
        <v>104.80525</v>
      </c>
      <c r="AD496" s="6">
        <f>$O$496*$X$496</f>
        <v>26.84825</v>
      </c>
      <c r="AE496" s="6">
        <f>$K$496*$Y$496</f>
        <v>0</v>
      </c>
      <c r="AF496" s="6">
        <f ca="1">$M$496*$Z$496</f>
        <v>37.351050000000022</v>
      </c>
      <c r="AG496" s="6">
        <f ca="1">$O$496*$AA$496</f>
        <v>21.991199999999999</v>
      </c>
    </row>
    <row r="497" spans="1:33" ht="11.25" customHeight="1" x14ac:dyDescent="0.3">
      <c r="A497" s="4" t="s">
        <v>21</v>
      </c>
      <c r="B497" s="4" t="s">
        <v>32</v>
      </c>
      <c r="C497" s="4" t="s">
        <v>23</v>
      </c>
      <c r="D497" s="4" t="s">
        <v>40</v>
      </c>
      <c r="E497" s="4" t="s">
        <v>25</v>
      </c>
      <c r="F497" s="4" t="s">
        <v>25</v>
      </c>
      <c r="G497" s="4" t="s">
        <v>25</v>
      </c>
      <c r="H497" s="4" t="s">
        <v>25</v>
      </c>
      <c r="I497" s="5">
        <v>44409</v>
      </c>
      <c r="J497" s="6">
        <v>0</v>
      </c>
      <c r="K497" s="6">
        <v>0</v>
      </c>
      <c r="L497" s="6">
        <v>253.59399999999999</v>
      </c>
      <c r="M497" s="6">
        <v>253.59399999999999</v>
      </c>
      <c r="N497" s="6">
        <v>253.59399999999999</v>
      </c>
      <c r="O497" s="6">
        <v>253.59399999999999</v>
      </c>
      <c r="P497" s="6">
        <v>714</v>
      </c>
      <c r="Q497" s="4" t="s">
        <v>26</v>
      </c>
      <c r="R497" s="4">
        <v>0</v>
      </c>
      <c r="S497" s="6">
        <v>0</v>
      </c>
      <c r="T497" s="6">
        <v>77</v>
      </c>
      <c r="U497" s="6">
        <v>52</v>
      </c>
      <c r="V497" s="6">
        <f>IF(ISERROR(VLOOKUP($S$497,'TAR FIN'!$A$1:$O$92,15,0)),0,VLOOKUP($S$497,'TAR FIN'!$A$1:$O$92,15,0))</f>
        <v>0</v>
      </c>
      <c r="W497" s="6">
        <f>IF(ISERROR(VLOOKUP($T$497,'TAR FIN'!$A$1:$O$92,15,0)),0,VLOOKUP($T$497,'TAR FIN'!$A$1:$O$92,15,0))</f>
        <v>343.17</v>
      </c>
      <c r="X497" s="6">
        <f>IF(ISERROR(VLOOKUP($U$497,'TAR FIN'!$A$1:$O$92,15,0)),0,VLOOKUP($U$497,'TAR FIN'!$A$1:$O$92,15,0))</f>
        <v>303.54000000000002</v>
      </c>
      <c r="Y497" s="6"/>
      <c r="Z497" s="6">
        <f ca="1">('TUSD BE'!$AM$52+'TUSD BF_350'!$AM$52+'TUSD CVA'!$AM$52)*1</f>
        <v>310.49</v>
      </c>
      <c r="AA497" s="6">
        <f ca="1">('TE BE'!$AB$40+'TE BF_350'!$AB$40+'TE CVA'!$AB$40)*1</f>
        <v>262.52999999999997</v>
      </c>
      <c r="AB497" s="6">
        <f>$K$497*$V$497</f>
        <v>0</v>
      </c>
      <c r="AC497" s="6">
        <f>$M$497*$W$497</f>
        <v>87025.852979999996</v>
      </c>
      <c r="AD497" s="6">
        <f>$O$497*$X$497</f>
        <v>76975.922760000001</v>
      </c>
      <c r="AE497" s="6">
        <f>$K$497*$Y$497</f>
        <v>0</v>
      </c>
      <c r="AF497" s="6">
        <f ca="1">$M$497*$Z$497</f>
        <v>78738.401060000004</v>
      </c>
      <c r="AG497" s="6">
        <f ca="1">$O$497*$AA$497</f>
        <v>66576.032819999993</v>
      </c>
    </row>
    <row r="498" spans="1:33" ht="11.25" customHeight="1" x14ac:dyDescent="0.3">
      <c r="A498" s="4" t="s">
        <v>27</v>
      </c>
      <c r="B498" s="4" t="s">
        <v>32</v>
      </c>
      <c r="C498" s="4" t="s">
        <v>23</v>
      </c>
      <c r="D498" s="4" t="s">
        <v>40</v>
      </c>
      <c r="E498" s="4" t="s">
        <v>25</v>
      </c>
      <c r="F498" s="4" t="s">
        <v>25</v>
      </c>
      <c r="G498" s="4" t="s">
        <v>25</v>
      </c>
      <c r="H498" s="4" t="s">
        <v>25</v>
      </c>
      <c r="I498" s="5">
        <v>44409</v>
      </c>
      <c r="J498" s="6">
        <v>0</v>
      </c>
      <c r="K498" s="6">
        <v>0</v>
      </c>
      <c r="L498" s="6">
        <v>7.8559999999999999</v>
      </c>
      <c r="M498" s="6">
        <v>7.8559999999999999</v>
      </c>
      <c r="N498" s="6">
        <v>7.8559999999999999</v>
      </c>
      <c r="O498" s="6">
        <v>7.8559999999999999</v>
      </c>
      <c r="P498" s="6">
        <v>23</v>
      </c>
      <c r="Q498" s="4" t="s">
        <v>26</v>
      </c>
      <c r="R498" s="4">
        <v>0</v>
      </c>
      <c r="S498" s="6">
        <v>0</v>
      </c>
      <c r="T498" s="6">
        <v>77</v>
      </c>
      <c r="U498" s="6">
        <v>52</v>
      </c>
      <c r="V498" s="6">
        <f>IF(ISERROR(VLOOKUP($S$498,'TAR FIN'!$A$1:$O$92,15,0)),0,VLOOKUP($S$498,'TAR FIN'!$A$1:$O$92,15,0))</f>
        <v>0</v>
      </c>
      <c r="W498" s="6">
        <f>IF(ISERROR(VLOOKUP($T$498,'TAR FIN'!$A$1:$O$92,15,0)),0,VLOOKUP($T$498,'TAR FIN'!$A$1:$O$92,15,0))</f>
        <v>343.17</v>
      </c>
      <c r="X498" s="6">
        <f>IF(ISERROR(VLOOKUP($U$498,'TAR FIN'!$A$1:$O$92,15,0)),0,VLOOKUP($U$498,'TAR FIN'!$A$1:$O$92,15,0))</f>
        <v>303.54000000000002</v>
      </c>
      <c r="Y498" s="6"/>
      <c r="Z498" s="6">
        <f ca="1">('TUSD BE'!$AM$52+'TUSD BF_350'!$AM$52+'TUSD CVA'!$AM$52)*1</f>
        <v>310.49</v>
      </c>
      <c r="AA498" s="6">
        <f ca="1">('TE BE'!$AB$40+'TE BF_350'!$AB$40+'TE CVA'!$AB$40)*1</f>
        <v>262.52999999999997</v>
      </c>
      <c r="AB498" s="6">
        <f>$K$498*$V$498</f>
        <v>0</v>
      </c>
      <c r="AC498" s="6">
        <f>$M$498*$W$498</f>
        <v>2695.9435200000003</v>
      </c>
      <c r="AD498" s="6">
        <f>$O$498*$X$498</f>
        <v>2384.61024</v>
      </c>
      <c r="AE498" s="6">
        <f>$K$498*$Y$498</f>
        <v>0</v>
      </c>
      <c r="AF498" s="6">
        <f ca="1">$M$498*$Z$498</f>
        <v>2439.2094400000001</v>
      </c>
      <c r="AG498" s="6">
        <f ca="1">$O$498*$AA$498</f>
        <v>2062.4356799999996</v>
      </c>
    </row>
    <row r="499" spans="1:33" ht="11.25" customHeight="1" x14ac:dyDescent="0.3">
      <c r="A499" s="4" t="s">
        <v>21</v>
      </c>
      <c r="B499" s="4" t="s">
        <v>32</v>
      </c>
      <c r="C499" s="4" t="s">
        <v>23</v>
      </c>
      <c r="D499" s="4" t="s">
        <v>40</v>
      </c>
      <c r="E499" s="4" t="s">
        <v>25</v>
      </c>
      <c r="F499" s="4" t="s">
        <v>25</v>
      </c>
      <c r="G499" s="4" t="s">
        <v>25</v>
      </c>
      <c r="H499" s="4" t="s">
        <v>25</v>
      </c>
      <c r="I499" s="5">
        <v>44440</v>
      </c>
      <c r="J499" s="6">
        <v>0</v>
      </c>
      <c r="K499" s="6">
        <v>0</v>
      </c>
      <c r="L499" s="6">
        <v>273.43200000000002</v>
      </c>
      <c r="M499" s="6">
        <v>273.43200000000002</v>
      </c>
      <c r="N499" s="6">
        <v>273.43200000000002</v>
      </c>
      <c r="O499" s="6">
        <v>273.43200000000002</v>
      </c>
      <c r="P499" s="6">
        <v>723</v>
      </c>
      <c r="Q499" s="4" t="s">
        <v>26</v>
      </c>
      <c r="R499" s="4">
        <v>0</v>
      </c>
      <c r="S499" s="6">
        <v>0</v>
      </c>
      <c r="T499" s="6">
        <v>77</v>
      </c>
      <c r="U499" s="6">
        <v>52</v>
      </c>
      <c r="V499" s="6">
        <f>IF(ISERROR(VLOOKUP($S$499,'TAR FIN'!$A$1:$O$92,15,0)),0,VLOOKUP($S$499,'TAR FIN'!$A$1:$O$92,15,0))</f>
        <v>0</v>
      </c>
      <c r="W499" s="6">
        <f>IF(ISERROR(VLOOKUP($T$499,'TAR FIN'!$A$1:$O$92,15,0)),0,VLOOKUP($T$499,'TAR FIN'!$A$1:$O$92,15,0))</f>
        <v>343.17</v>
      </c>
      <c r="X499" s="6">
        <f>IF(ISERROR(VLOOKUP($U$499,'TAR FIN'!$A$1:$O$92,15,0)),0,VLOOKUP($U$499,'TAR FIN'!$A$1:$O$92,15,0))</f>
        <v>303.54000000000002</v>
      </c>
      <c r="Y499" s="6"/>
      <c r="Z499" s="6">
        <f ca="1">('TUSD BE'!$AM$52+'TUSD BF_350'!$AM$52+'TUSD CVA'!$AM$52)*1</f>
        <v>310.49</v>
      </c>
      <c r="AA499" s="6">
        <f ca="1">('TE BE'!$AB$40+'TE BF_350'!$AB$40+'TE CVA'!$AB$40)*1</f>
        <v>262.52999999999997</v>
      </c>
      <c r="AB499" s="6">
        <f>$K$499*$V$499</f>
        <v>0</v>
      </c>
      <c r="AC499" s="6">
        <f>$M$499*$W$499</f>
        <v>93833.659440000003</v>
      </c>
      <c r="AD499" s="6">
        <f>$O$499*$X$499</f>
        <v>82997.549280000007</v>
      </c>
      <c r="AE499" s="6">
        <f>$K$499*$Y$499</f>
        <v>0</v>
      </c>
      <c r="AF499" s="6">
        <f ca="1">$M$499*$Z$499</f>
        <v>84897.90168000001</v>
      </c>
      <c r="AG499" s="6">
        <f ca="1">$O$499*$AA$499</f>
        <v>71784.102960000004</v>
      </c>
    </row>
    <row r="500" spans="1:33" ht="11.25" customHeight="1" x14ac:dyDescent="0.3">
      <c r="A500" s="4" t="s">
        <v>27</v>
      </c>
      <c r="B500" s="4" t="s">
        <v>32</v>
      </c>
      <c r="C500" s="4" t="s">
        <v>23</v>
      </c>
      <c r="D500" s="4" t="s">
        <v>40</v>
      </c>
      <c r="E500" s="4" t="s">
        <v>25</v>
      </c>
      <c r="F500" s="4" t="s">
        <v>25</v>
      </c>
      <c r="G500" s="4" t="s">
        <v>25</v>
      </c>
      <c r="H500" s="4" t="s">
        <v>25</v>
      </c>
      <c r="I500" s="5">
        <v>44440</v>
      </c>
      <c r="J500" s="6">
        <v>0</v>
      </c>
      <c r="K500" s="6">
        <v>0</v>
      </c>
      <c r="L500" s="6">
        <v>10.975</v>
      </c>
      <c r="M500" s="6">
        <v>10.975</v>
      </c>
      <c r="N500" s="6">
        <v>10.975</v>
      </c>
      <c r="O500" s="6">
        <v>10.975</v>
      </c>
      <c r="P500" s="6">
        <v>24</v>
      </c>
      <c r="Q500" s="4" t="s">
        <v>26</v>
      </c>
      <c r="R500" s="4">
        <v>0</v>
      </c>
      <c r="S500" s="6">
        <v>0</v>
      </c>
      <c r="T500" s="6">
        <v>77</v>
      </c>
      <c r="U500" s="6">
        <v>52</v>
      </c>
      <c r="V500" s="6">
        <f>IF(ISERROR(VLOOKUP($S$500,'TAR FIN'!$A$1:$O$92,15,0)),0,VLOOKUP($S$500,'TAR FIN'!$A$1:$O$92,15,0))</f>
        <v>0</v>
      </c>
      <c r="W500" s="6">
        <f>IF(ISERROR(VLOOKUP($T$500,'TAR FIN'!$A$1:$O$92,15,0)),0,VLOOKUP($T$500,'TAR FIN'!$A$1:$O$92,15,0))</f>
        <v>343.17</v>
      </c>
      <c r="X500" s="6">
        <f>IF(ISERROR(VLOOKUP($U$500,'TAR FIN'!$A$1:$O$92,15,0)),0,VLOOKUP($U$500,'TAR FIN'!$A$1:$O$92,15,0))</f>
        <v>303.54000000000002</v>
      </c>
      <c r="Y500" s="6"/>
      <c r="Z500" s="6">
        <f ca="1">('TUSD BE'!$AM$52+'TUSD BF_350'!$AM$52+'TUSD CVA'!$AM$52)*1</f>
        <v>310.49</v>
      </c>
      <c r="AA500" s="6">
        <f ca="1">('TE BE'!$AB$40+'TE BF_350'!$AB$40+'TE CVA'!$AB$40)*1</f>
        <v>262.52999999999997</v>
      </c>
      <c r="AB500" s="6">
        <f>$K$500*$V$500</f>
        <v>0</v>
      </c>
      <c r="AC500" s="6">
        <f>$M$500*$W$500</f>
        <v>3766.2907500000001</v>
      </c>
      <c r="AD500" s="6">
        <f>$O$500*$X$500</f>
        <v>3331.3515000000002</v>
      </c>
      <c r="AE500" s="6">
        <f>$K$500*$Y$500</f>
        <v>0</v>
      </c>
      <c r="AF500" s="6">
        <f ca="1">$M$500*$Z$500</f>
        <v>3407.6277500000001</v>
      </c>
      <c r="AG500" s="6">
        <f ca="1">$O$500*$AA$500</f>
        <v>2881.2667499999998</v>
      </c>
    </row>
    <row r="501" spans="1:33" ht="11.25" customHeight="1" x14ac:dyDescent="0.3">
      <c r="A501" s="4" t="s">
        <v>21</v>
      </c>
      <c r="B501" s="4" t="s">
        <v>32</v>
      </c>
      <c r="C501" s="4" t="s">
        <v>23</v>
      </c>
      <c r="D501" s="4" t="s">
        <v>40</v>
      </c>
      <c r="E501" s="4" t="s">
        <v>25</v>
      </c>
      <c r="F501" s="4" t="s">
        <v>25</v>
      </c>
      <c r="G501" s="4" t="s">
        <v>25</v>
      </c>
      <c r="H501" s="4" t="s">
        <v>25</v>
      </c>
      <c r="I501" s="5">
        <v>44470</v>
      </c>
      <c r="J501" s="6">
        <v>0</v>
      </c>
      <c r="K501" s="6">
        <v>0</v>
      </c>
      <c r="L501" s="6">
        <v>256.66800000000001</v>
      </c>
      <c r="M501" s="6">
        <v>256.66800000000001</v>
      </c>
      <c r="N501" s="6">
        <v>256.66800000000001</v>
      </c>
      <c r="O501" s="6">
        <v>256.66800000000001</v>
      </c>
      <c r="P501" s="6">
        <v>725</v>
      </c>
      <c r="Q501" s="4" t="s">
        <v>26</v>
      </c>
      <c r="R501" s="4">
        <v>0</v>
      </c>
      <c r="S501" s="6">
        <v>0</v>
      </c>
      <c r="T501" s="6">
        <v>77</v>
      </c>
      <c r="U501" s="6">
        <v>52</v>
      </c>
      <c r="V501" s="6">
        <f>IF(ISERROR(VLOOKUP($S$501,'TAR FIN'!$A$1:$O$92,15,0)),0,VLOOKUP($S$501,'TAR FIN'!$A$1:$O$92,15,0))</f>
        <v>0</v>
      </c>
      <c r="W501" s="6">
        <f>IF(ISERROR(VLOOKUP($T$501,'TAR FIN'!$A$1:$O$92,15,0)),0,VLOOKUP($T$501,'TAR FIN'!$A$1:$O$92,15,0))</f>
        <v>343.17</v>
      </c>
      <c r="X501" s="6">
        <f>IF(ISERROR(VLOOKUP($U$501,'TAR FIN'!$A$1:$O$92,15,0)),0,VLOOKUP($U$501,'TAR FIN'!$A$1:$O$92,15,0))</f>
        <v>303.54000000000002</v>
      </c>
      <c r="Y501" s="6"/>
      <c r="Z501" s="6">
        <f ca="1">('TUSD BE'!$AM$52+'TUSD BF_350'!$AM$52+'TUSD CVA'!$AM$52)*1</f>
        <v>310.49</v>
      </c>
      <c r="AA501" s="6">
        <f ca="1">('TE BE'!$AB$40+'TE BF_350'!$AB$40+'TE CVA'!$AB$40)*1</f>
        <v>262.52999999999997</v>
      </c>
      <c r="AB501" s="6">
        <f>$K$501*$V$501</f>
        <v>0</v>
      </c>
      <c r="AC501" s="6">
        <f>$M$501*$W$501</f>
        <v>88080.757560000013</v>
      </c>
      <c r="AD501" s="6">
        <f>$O$501*$X$501</f>
        <v>77909.004720000012</v>
      </c>
      <c r="AE501" s="6">
        <f>$K$501*$Y$501</f>
        <v>0</v>
      </c>
      <c r="AF501" s="6">
        <f ca="1">$M$501*$Z$501</f>
        <v>79692.847320000001</v>
      </c>
      <c r="AG501" s="6">
        <f ca="1">$O$501*$AA$501</f>
        <v>67383.050040000002</v>
      </c>
    </row>
    <row r="502" spans="1:33" ht="11.25" customHeight="1" x14ac:dyDescent="0.3">
      <c r="A502" s="4" t="s">
        <v>27</v>
      </c>
      <c r="B502" s="4" t="s">
        <v>32</v>
      </c>
      <c r="C502" s="4" t="s">
        <v>23</v>
      </c>
      <c r="D502" s="4" t="s">
        <v>40</v>
      </c>
      <c r="E502" s="4" t="s">
        <v>25</v>
      </c>
      <c r="F502" s="4" t="s">
        <v>25</v>
      </c>
      <c r="G502" s="4" t="s">
        <v>25</v>
      </c>
      <c r="H502" s="4" t="s">
        <v>25</v>
      </c>
      <c r="I502" s="5">
        <v>44470</v>
      </c>
      <c r="J502" s="6">
        <v>0</v>
      </c>
      <c r="K502" s="6">
        <v>0</v>
      </c>
      <c r="L502" s="6">
        <v>12.308</v>
      </c>
      <c r="M502" s="6">
        <v>12.308</v>
      </c>
      <c r="N502" s="6">
        <v>12.308</v>
      </c>
      <c r="O502" s="6">
        <v>12.308</v>
      </c>
      <c r="P502" s="6">
        <v>25</v>
      </c>
      <c r="Q502" s="4" t="s">
        <v>26</v>
      </c>
      <c r="R502" s="4">
        <v>0</v>
      </c>
      <c r="S502" s="6">
        <v>0</v>
      </c>
      <c r="T502" s="6">
        <v>77</v>
      </c>
      <c r="U502" s="6">
        <v>52</v>
      </c>
      <c r="V502" s="6">
        <f>IF(ISERROR(VLOOKUP($S$502,'TAR FIN'!$A$1:$O$92,15,0)),0,VLOOKUP($S$502,'TAR FIN'!$A$1:$O$92,15,0))</f>
        <v>0</v>
      </c>
      <c r="W502" s="6">
        <f>IF(ISERROR(VLOOKUP($T$502,'TAR FIN'!$A$1:$O$92,15,0)),0,VLOOKUP($T$502,'TAR FIN'!$A$1:$O$92,15,0))</f>
        <v>343.17</v>
      </c>
      <c r="X502" s="6">
        <f>IF(ISERROR(VLOOKUP($U$502,'TAR FIN'!$A$1:$O$92,15,0)),0,VLOOKUP($U$502,'TAR FIN'!$A$1:$O$92,15,0))</f>
        <v>303.54000000000002</v>
      </c>
      <c r="Y502" s="6"/>
      <c r="Z502" s="6">
        <f ca="1">('TUSD BE'!$AM$52+'TUSD BF_350'!$AM$52+'TUSD CVA'!$AM$52)*1</f>
        <v>310.49</v>
      </c>
      <c r="AA502" s="6">
        <f ca="1">('TE BE'!$AB$40+'TE BF_350'!$AB$40+'TE CVA'!$AB$40)*1</f>
        <v>262.52999999999997</v>
      </c>
      <c r="AB502" s="6">
        <f>$K$502*$V$502</f>
        <v>0</v>
      </c>
      <c r="AC502" s="6">
        <f>$M$502*$W$502</f>
        <v>4223.7363599999999</v>
      </c>
      <c r="AD502" s="6">
        <f>$O$502*$X$502</f>
        <v>3735.9703200000004</v>
      </c>
      <c r="AE502" s="6">
        <f>$K$502*$Y$502</f>
        <v>0</v>
      </c>
      <c r="AF502" s="6">
        <f ca="1">$M$502*$Z$502</f>
        <v>3821.5109200000002</v>
      </c>
      <c r="AG502" s="6">
        <f ca="1">$O$502*$AA$502</f>
        <v>3231.2192399999994</v>
      </c>
    </row>
    <row r="503" spans="1:33" ht="11.25" customHeight="1" x14ac:dyDescent="0.3">
      <c r="A503" s="4" t="s">
        <v>21</v>
      </c>
      <c r="B503" s="4" t="s">
        <v>32</v>
      </c>
      <c r="C503" s="4" t="s">
        <v>23</v>
      </c>
      <c r="D503" s="4" t="s">
        <v>40</v>
      </c>
      <c r="E503" s="4" t="s">
        <v>25</v>
      </c>
      <c r="F503" s="4" t="s">
        <v>25</v>
      </c>
      <c r="G503" s="4" t="s">
        <v>25</v>
      </c>
      <c r="H503" s="4" t="s">
        <v>25</v>
      </c>
      <c r="I503" s="5">
        <v>44501</v>
      </c>
      <c r="J503" s="6">
        <v>0</v>
      </c>
      <c r="K503" s="6">
        <v>0</v>
      </c>
      <c r="L503" s="6">
        <v>260.02</v>
      </c>
      <c r="M503" s="6">
        <v>260.02</v>
      </c>
      <c r="N503" s="6">
        <v>260.02</v>
      </c>
      <c r="O503" s="6">
        <v>260.02</v>
      </c>
      <c r="P503" s="6">
        <v>721</v>
      </c>
      <c r="Q503" s="4" t="s">
        <v>26</v>
      </c>
      <c r="R503" s="4">
        <v>0</v>
      </c>
      <c r="S503" s="6">
        <v>0</v>
      </c>
      <c r="T503" s="6">
        <v>77</v>
      </c>
      <c r="U503" s="6">
        <v>52</v>
      </c>
      <c r="V503" s="6">
        <f>IF(ISERROR(VLOOKUP($S$503,'TAR FIN'!$A$1:$O$92,15,0)),0,VLOOKUP($S$503,'TAR FIN'!$A$1:$O$92,15,0))</f>
        <v>0</v>
      </c>
      <c r="W503" s="6">
        <f>IF(ISERROR(VLOOKUP($T$503,'TAR FIN'!$A$1:$O$92,15,0)),0,VLOOKUP($T$503,'TAR FIN'!$A$1:$O$92,15,0))</f>
        <v>343.17</v>
      </c>
      <c r="X503" s="6">
        <f>IF(ISERROR(VLOOKUP($U$503,'TAR FIN'!$A$1:$O$92,15,0)),0,VLOOKUP($U$503,'TAR FIN'!$A$1:$O$92,15,0))</f>
        <v>303.54000000000002</v>
      </c>
      <c r="Y503" s="6"/>
      <c r="Z503" s="6">
        <f ca="1">('TUSD BE'!$AM$52+'TUSD BF_350'!$AM$52+'TUSD CVA'!$AM$52)*1</f>
        <v>310.49</v>
      </c>
      <c r="AA503" s="6">
        <f ca="1">('TE BE'!$AB$40+'TE BF_350'!$AB$40+'TE CVA'!$AB$40)*1</f>
        <v>262.52999999999997</v>
      </c>
      <c r="AB503" s="6">
        <f>$K$503*$V$503</f>
        <v>0</v>
      </c>
      <c r="AC503" s="6">
        <f>$M$503*$W$503</f>
        <v>89231.063399999999</v>
      </c>
      <c r="AD503" s="6">
        <f>$O$503*$X$503</f>
        <v>78926.470799999996</v>
      </c>
      <c r="AE503" s="6">
        <f>$K$503*$Y$503</f>
        <v>0</v>
      </c>
      <c r="AF503" s="6">
        <f ca="1">$M$503*$Z$503</f>
        <v>80733.609799999991</v>
      </c>
      <c r="AG503" s="6">
        <f ca="1">$O$503*$AA$503</f>
        <v>68263.050599999988</v>
      </c>
    </row>
    <row r="504" spans="1:33" ht="11.25" customHeight="1" x14ac:dyDescent="0.3">
      <c r="A504" s="4" t="s">
        <v>27</v>
      </c>
      <c r="B504" s="4" t="s">
        <v>32</v>
      </c>
      <c r="C504" s="4" t="s">
        <v>23</v>
      </c>
      <c r="D504" s="4" t="s">
        <v>40</v>
      </c>
      <c r="E504" s="4" t="s">
        <v>25</v>
      </c>
      <c r="F504" s="4" t="s">
        <v>25</v>
      </c>
      <c r="G504" s="4" t="s">
        <v>25</v>
      </c>
      <c r="H504" s="4" t="s">
        <v>25</v>
      </c>
      <c r="I504" s="5">
        <v>44501</v>
      </c>
      <c r="J504" s="6">
        <v>0</v>
      </c>
      <c r="K504" s="6">
        <v>0</v>
      </c>
      <c r="L504" s="6">
        <v>10.545999999999999</v>
      </c>
      <c r="M504" s="6">
        <v>10.545999999999999</v>
      </c>
      <c r="N504" s="6">
        <v>10.545999999999999</v>
      </c>
      <c r="O504" s="6">
        <v>10.545999999999999</v>
      </c>
      <c r="P504" s="6">
        <v>25</v>
      </c>
      <c r="Q504" s="4" t="s">
        <v>26</v>
      </c>
      <c r="R504" s="4">
        <v>0</v>
      </c>
      <c r="S504" s="6">
        <v>0</v>
      </c>
      <c r="T504" s="6">
        <v>77</v>
      </c>
      <c r="U504" s="6">
        <v>52</v>
      </c>
      <c r="V504" s="6">
        <f>IF(ISERROR(VLOOKUP($S$504,'TAR FIN'!$A$1:$O$92,15,0)),0,VLOOKUP($S$504,'TAR FIN'!$A$1:$O$92,15,0))</f>
        <v>0</v>
      </c>
      <c r="W504" s="6">
        <f>IF(ISERROR(VLOOKUP($T$504,'TAR FIN'!$A$1:$O$92,15,0)),0,VLOOKUP($T$504,'TAR FIN'!$A$1:$O$92,15,0))</f>
        <v>343.17</v>
      </c>
      <c r="X504" s="6">
        <f>IF(ISERROR(VLOOKUP($U$504,'TAR FIN'!$A$1:$O$92,15,0)),0,VLOOKUP($U$504,'TAR FIN'!$A$1:$O$92,15,0))</f>
        <v>303.54000000000002</v>
      </c>
      <c r="Y504" s="6"/>
      <c r="Z504" s="6">
        <f ca="1">('TUSD BE'!$AM$52+'TUSD BF_350'!$AM$52+'TUSD CVA'!$AM$52)*1</f>
        <v>310.49</v>
      </c>
      <c r="AA504" s="6">
        <f ca="1">('TE BE'!$AB$40+'TE BF_350'!$AB$40+'TE CVA'!$AB$40)*1</f>
        <v>262.52999999999997</v>
      </c>
      <c r="AB504" s="6">
        <f>$K$504*$V$504</f>
        <v>0</v>
      </c>
      <c r="AC504" s="6">
        <f>$M$504*$W$504</f>
        <v>3619.0708199999999</v>
      </c>
      <c r="AD504" s="6">
        <f>$O$504*$X$504</f>
        <v>3201.1328400000002</v>
      </c>
      <c r="AE504" s="6">
        <f>$K$504*$Y$504</f>
        <v>0</v>
      </c>
      <c r="AF504" s="6">
        <f ca="1">$M$504*$Z$504</f>
        <v>3274.4275399999997</v>
      </c>
      <c r="AG504" s="6">
        <f ca="1">$O$504*$AA$504</f>
        <v>2768.6413799999996</v>
      </c>
    </row>
    <row r="505" spans="1:33" ht="11.25" customHeight="1" x14ac:dyDescent="0.3">
      <c r="A505" s="4" t="s">
        <v>21</v>
      </c>
      <c r="B505" s="4" t="s">
        <v>32</v>
      </c>
      <c r="C505" s="4" t="s">
        <v>23</v>
      </c>
      <c r="D505" s="4" t="s">
        <v>40</v>
      </c>
      <c r="E505" s="4" t="s">
        <v>25</v>
      </c>
      <c r="F505" s="4" t="s">
        <v>25</v>
      </c>
      <c r="G505" s="4" t="s">
        <v>25</v>
      </c>
      <c r="H505" s="4" t="s">
        <v>25</v>
      </c>
      <c r="I505" s="5">
        <v>44531</v>
      </c>
      <c r="J505" s="6">
        <v>0</v>
      </c>
      <c r="K505" s="6">
        <v>0</v>
      </c>
      <c r="L505" s="6">
        <v>310.25799999999998</v>
      </c>
      <c r="M505" s="6">
        <v>310.25799999999998</v>
      </c>
      <c r="N505" s="6">
        <v>310.25799999999998</v>
      </c>
      <c r="O505" s="6">
        <v>310.25799999999998</v>
      </c>
      <c r="P505" s="6">
        <v>721</v>
      </c>
      <c r="Q505" s="4" t="s">
        <v>26</v>
      </c>
      <c r="R505" s="4">
        <v>0</v>
      </c>
      <c r="S505" s="6">
        <v>0</v>
      </c>
      <c r="T505" s="6">
        <v>77</v>
      </c>
      <c r="U505" s="6">
        <v>52</v>
      </c>
      <c r="V505" s="6">
        <f>IF(ISERROR(VLOOKUP($S$505,'TAR FIN'!$A$1:$O$92,15,0)),0,VLOOKUP($S$505,'TAR FIN'!$A$1:$O$92,15,0))</f>
        <v>0</v>
      </c>
      <c r="W505" s="6">
        <f>IF(ISERROR(VLOOKUP($T$505,'TAR FIN'!$A$1:$O$92,15,0)),0,VLOOKUP($T$505,'TAR FIN'!$A$1:$O$92,15,0))</f>
        <v>343.17</v>
      </c>
      <c r="X505" s="6">
        <f>IF(ISERROR(VLOOKUP($U$505,'TAR FIN'!$A$1:$O$92,15,0)),0,VLOOKUP($U$505,'TAR FIN'!$A$1:$O$92,15,0))</f>
        <v>303.54000000000002</v>
      </c>
      <c r="Y505" s="6"/>
      <c r="Z505" s="6">
        <f ca="1">('TUSD BE'!$AM$52+'TUSD BF_350'!$AM$52+'TUSD CVA'!$AM$52)*1</f>
        <v>310.49</v>
      </c>
      <c r="AA505" s="6">
        <f ca="1">('TE BE'!$AB$40+'TE BF_350'!$AB$40+'TE CVA'!$AB$40)*1</f>
        <v>262.52999999999997</v>
      </c>
      <c r="AB505" s="6">
        <f>$K$505*$V$505</f>
        <v>0</v>
      </c>
      <c r="AC505" s="6">
        <f>$M$505*$W$505</f>
        <v>106471.23785999999</v>
      </c>
      <c r="AD505" s="6">
        <f>$O$505*$X$505</f>
        <v>94175.713319999995</v>
      </c>
      <c r="AE505" s="6">
        <f>$K$505*$Y$505</f>
        <v>0</v>
      </c>
      <c r="AF505" s="6">
        <f ca="1">$M$505*$Z$505</f>
        <v>96332.006419999991</v>
      </c>
      <c r="AG505" s="6">
        <f ca="1">$O$505*$AA$505</f>
        <v>81452.032739999981</v>
      </c>
    </row>
    <row r="506" spans="1:33" ht="11.25" customHeight="1" x14ac:dyDescent="0.3">
      <c r="A506" s="4" t="s">
        <v>27</v>
      </c>
      <c r="B506" s="4" t="s">
        <v>32</v>
      </c>
      <c r="C506" s="4" t="s">
        <v>23</v>
      </c>
      <c r="D506" s="4" t="s">
        <v>40</v>
      </c>
      <c r="E506" s="4" t="s">
        <v>25</v>
      </c>
      <c r="F506" s="4" t="s">
        <v>25</v>
      </c>
      <c r="G506" s="4" t="s">
        <v>25</v>
      </c>
      <c r="H506" s="4" t="s">
        <v>25</v>
      </c>
      <c r="I506" s="5">
        <v>44531</v>
      </c>
      <c r="J506" s="6">
        <v>0</v>
      </c>
      <c r="K506" s="6">
        <v>0</v>
      </c>
      <c r="L506" s="6">
        <v>11.718999999999999</v>
      </c>
      <c r="M506" s="6">
        <v>11.718999999999999</v>
      </c>
      <c r="N506" s="6">
        <v>11.718999999999999</v>
      </c>
      <c r="O506" s="6">
        <v>11.718999999999999</v>
      </c>
      <c r="P506" s="6">
        <v>25</v>
      </c>
      <c r="Q506" s="4" t="s">
        <v>26</v>
      </c>
      <c r="R506" s="4">
        <v>0</v>
      </c>
      <c r="S506" s="6">
        <v>0</v>
      </c>
      <c r="T506" s="6">
        <v>77</v>
      </c>
      <c r="U506" s="6">
        <v>52</v>
      </c>
      <c r="V506" s="6">
        <f>IF(ISERROR(VLOOKUP($S$506,'TAR FIN'!$A$1:$O$92,15,0)),0,VLOOKUP($S$506,'TAR FIN'!$A$1:$O$92,15,0))</f>
        <v>0</v>
      </c>
      <c r="W506" s="6">
        <f>IF(ISERROR(VLOOKUP($T$506,'TAR FIN'!$A$1:$O$92,15,0)),0,VLOOKUP($T$506,'TAR FIN'!$A$1:$O$92,15,0))</f>
        <v>343.17</v>
      </c>
      <c r="X506" s="6">
        <f>IF(ISERROR(VLOOKUP($U$506,'TAR FIN'!$A$1:$O$92,15,0)),0,VLOOKUP($U$506,'TAR FIN'!$A$1:$O$92,15,0))</f>
        <v>303.54000000000002</v>
      </c>
      <c r="Y506" s="6"/>
      <c r="Z506" s="6">
        <f ca="1">('TUSD BE'!$AM$52+'TUSD BF_350'!$AM$52+'TUSD CVA'!$AM$52)*1</f>
        <v>310.49</v>
      </c>
      <c r="AA506" s="6">
        <f ca="1">('TE BE'!$AB$40+'TE BF_350'!$AB$40+'TE CVA'!$AB$40)*1</f>
        <v>262.52999999999997</v>
      </c>
      <c r="AB506" s="6">
        <f>$K$506*$V$506</f>
        <v>0</v>
      </c>
      <c r="AC506" s="6">
        <f>$M$506*$W$506</f>
        <v>4021.60923</v>
      </c>
      <c r="AD506" s="6">
        <f>$O$506*$X$506</f>
        <v>3557.1852600000002</v>
      </c>
      <c r="AE506" s="6">
        <f>$K$506*$Y$506</f>
        <v>0</v>
      </c>
      <c r="AF506" s="6">
        <f ca="1">$M$506*$Z$506</f>
        <v>3638.63231</v>
      </c>
      <c r="AG506" s="6">
        <f ca="1">$O$506*$AA$506</f>
        <v>3076.5890699999995</v>
      </c>
    </row>
    <row r="507" spans="1:33" ht="11.25" customHeight="1" x14ac:dyDescent="0.3">
      <c r="A507" s="4" t="s">
        <v>21</v>
      </c>
      <c r="B507" s="4" t="s">
        <v>32</v>
      </c>
      <c r="C507" s="4" t="s">
        <v>23</v>
      </c>
      <c r="D507" s="4" t="s">
        <v>40</v>
      </c>
      <c r="E507" s="4" t="s">
        <v>25</v>
      </c>
      <c r="F507" s="4" t="s">
        <v>25</v>
      </c>
      <c r="G507" s="4" t="s">
        <v>25</v>
      </c>
      <c r="H507" s="4" t="s">
        <v>25</v>
      </c>
      <c r="I507" s="5">
        <v>44562</v>
      </c>
      <c r="J507" s="6">
        <v>0</v>
      </c>
      <c r="K507" s="6">
        <v>0</v>
      </c>
      <c r="L507" s="6">
        <v>333.21699999999998</v>
      </c>
      <c r="M507" s="6">
        <v>333.21699999999998</v>
      </c>
      <c r="N507" s="6">
        <v>333.21699999999998</v>
      </c>
      <c r="O507" s="6">
        <v>333.21699999999998</v>
      </c>
      <c r="P507" s="6">
        <v>723</v>
      </c>
      <c r="Q507" s="4" t="s">
        <v>26</v>
      </c>
      <c r="R507" s="4">
        <v>0</v>
      </c>
      <c r="S507" s="6">
        <v>0</v>
      </c>
      <c r="T507" s="6">
        <v>77</v>
      </c>
      <c r="U507" s="6">
        <v>52</v>
      </c>
      <c r="V507" s="6">
        <f>IF(ISERROR(VLOOKUP($S$507,'TAR FIN'!$A$1:$O$92,15,0)),0,VLOOKUP($S$507,'TAR FIN'!$A$1:$O$92,15,0))</f>
        <v>0</v>
      </c>
      <c r="W507" s="6">
        <f>IF(ISERROR(VLOOKUP($T$507,'TAR FIN'!$A$1:$O$92,15,0)),0,VLOOKUP($T$507,'TAR FIN'!$A$1:$O$92,15,0))</f>
        <v>343.17</v>
      </c>
      <c r="X507" s="6">
        <f>IF(ISERROR(VLOOKUP($U$507,'TAR FIN'!$A$1:$O$92,15,0)),0,VLOOKUP($U$507,'TAR FIN'!$A$1:$O$92,15,0))</f>
        <v>303.54000000000002</v>
      </c>
      <c r="Y507" s="6"/>
      <c r="Z507" s="6">
        <f ca="1">('TUSD BE'!$AM$52+'TUSD BF_350'!$AM$52+'TUSD CVA'!$AM$52)*1</f>
        <v>310.49</v>
      </c>
      <c r="AA507" s="6">
        <f ca="1">('TE BE'!$AB$40+'TE BF_350'!$AB$40+'TE CVA'!$AB$40)*1</f>
        <v>262.52999999999997</v>
      </c>
      <c r="AB507" s="6">
        <f>$K$507*$V$507</f>
        <v>0</v>
      </c>
      <c r="AC507" s="6">
        <f>$M$507*$W$507</f>
        <v>114350.07789</v>
      </c>
      <c r="AD507" s="6">
        <f>$O$507*$X$507</f>
        <v>101144.68818</v>
      </c>
      <c r="AE507" s="6">
        <f>$K$507*$Y$507</f>
        <v>0</v>
      </c>
      <c r="AF507" s="6">
        <f ca="1">$M$507*$Z$507</f>
        <v>103460.54633</v>
      </c>
      <c r="AG507" s="6">
        <f ca="1">$O$507*$AA$507</f>
        <v>87479.459009999991</v>
      </c>
    </row>
    <row r="508" spans="1:33" ht="11.25" customHeight="1" x14ac:dyDescent="0.3">
      <c r="A508" s="4" t="s">
        <v>27</v>
      </c>
      <c r="B508" s="4" t="s">
        <v>32</v>
      </c>
      <c r="C508" s="4" t="s">
        <v>23</v>
      </c>
      <c r="D508" s="4" t="s">
        <v>40</v>
      </c>
      <c r="E508" s="4" t="s">
        <v>25</v>
      </c>
      <c r="F508" s="4" t="s">
        <v>25</v>
      </c>
      <c r="G508" s="4" t="s">
        <v>25</v>
      </c>
      <c r="H508" s="4" t="s">
        <v>25</v>
      </c>
      <c r="I508" s="5">
        <v>44562</v>
      </c>
      <c r="J508" s="6">
        <v>0</v>
      </c>
      <c r="K508" s="6">
        <v>0</v>
      </c>
      <c r="L508" s="6">
        <v>13.016</v>
      </c>
      <c r="M508" s="6">
        <v>13.016</v>
      </c>
      <c r="N508" s="6">
        <v>13.016</v>
      </c>
      <c r="O508" s="6">
        <v>13.016</v>
      </c>
      <c r="P508" s="6">
        <v>25</v>
      </c>
      <c r="Q508" s="4" t="s">
        <v>26</v>
      </c>
      <c r="R508" s="4">
        <v>0</v>
      </c>
      <c r="S508" s="6">
        <v>0</v>
      </c>
      <c r="T508" s="6">
        <v>77</v>
      </c>
      <c r="U508" s="6">
        <v>52</v>
      </c>
      <c r="V508" s="6">
        <f>IF(ISERROR(VLOOKUP($S$508,'TAR FIN'!$A$1:$O$92,15,0)),0,VLOOKUP($S$508,'TAR FIN'!$A$1:$O$92,15,0))</f>
        <v>0</v>
      </c>
      <c r="W508" s="6">
        <f>IF(ISERROR(VLOOKUP($T$508,'TAR FIN'!$A$1:$O$92,15,0)),0,VLOOKUP($T$508,'TAR FIN'!$A$1:$O$92,15,0))</f>
        <v>343.17</v>
      </c>
      <c r="X508" s="6">
        <f>IF(ISERROR(VLOOKUP($U$508,'TAR FIN'!$A$1:$O$92,15,0)),0,VLOOKUP($U$508,'TAR FIN'!$A$1:$O$92,15,0))</f>
        <v>303.54000000000002</v>
      </c>
      <c r="Y508" s="6"/>
      <c r="Z508" s="6">
        <f ca="1">('TUSD BE'!$AM$52+'TUSD BF_350'!$AM$52+'TUSD CVA'!$AM$52)*1</f>
        <v>310.49</v>
      </c>
      <c r="AA508" s="6">
        <f ca="1">('TE BE'!$AB$40+'TE BF_350'!$AB$40+'TE CVA'!$AB$40)*1</f>
        <v>262.52999999999997</v>
      </c>
      <c r="AB508" s="6">
        <f>$K$508*$V$508</f>
        <v>0</v>
      </c>
      <c r="AC508" s="6">
        <f>$M$508*$W$508</f>
        <v>4466.7007199999998</v>
      </c>
      <c r="AD508" s="6">
        <f>$O$508*$X$508</f>
        <v>3950.8766400000004</v>
      </c>
      <c r="AE508" s="6">
        <f>$K$508*$Y$508</f>
        <v>0</v>
      </c>
      <c r="AF508" s="6">
        <f ca="1">$M$508*$Z$508</f>
        <v>4041.3378400000001</v>
      </c>
      <c r="AG508" s="6">
        <f ca="1">$O$508*$AA$508</f>
        <v>3417.0904799999998</v>
      </c>
    </row>
    <row r="509" spans="1:33" ht="11.25" customHeight="1" x14ac:dyDescent="0.3">
      <c r="A509" s="4" t="s">
        <v>21</v>
      </c>
      <c r="B509" s="4" t="s">
        <v>32</v>
      </c>
      <c r="C509" s="4" t="s">
        <v>23</v>
      </c>
      <c r="D509" s="4" t="s">
        <v>40</v>
      </c>
      <c r="E509" s="4" t="s">
        <v>25</v>
      </c>
      <c r="F509" s="4" t="s">
        <v>25</v>
      </c>
      <c r="G509" s="4" t="s">
        <v>25</v>
      </c>
      <c r="H509" s="4" t="s">
        <v>25</v>
      </c>
      <c r="I509" s="5">
        <v>44593</v>
      </c>
      <c r="J509" s="6">
        <v>0</v>
      </c>
      <c r="K509" s="6">
        <v>0</v>
      </c>
      <c r="L509" s="6">
        <v>391.59899999999999</v>
      </c>
      <c r="M509" s="6">
        <v>391.59899999999999</v>
      </c>
      <c r="N509" s="6">
        <v>391.59899999999999</v>
      </c>
      <c r="O509" s="6">
        <v>391.59899999999999</v>
      </c>
      <c r="P509" s="6">
        <v>720</v>
      </c>
      <c r="Q509" s="4" t="s">
        <v>26</v>
      </c>
      <c r="R509" s="4">
        <v>0</v>
      </c>
      <c r="S509" s="6">
        <v>0</v>
      </c>
      <c r="T509" s="6">
        <v>77</v>
      </c>
      <c r="U509" s="6">
        <v>52</v>
      </c>
      <c r="V509" s="6">
        <f>IF(ISERROR(VLOOKUP($S$509,'TAR FIN'!$A$1:$O$92,15,0)),0,VLOOKUP($S$509,'TAR FIN'!$A$1:$O$92,15,0))</f>
        <v>0</v>
      </c>
      <c r="W509" s="6">
        <f>IF(ISERROR(VLOOKUP($T$509,'TAR FIN'!$A$1:$O$92,15,0)),0,VLOOKUP($T$509,'TAR FIN'!$A$1:$O$92,15,0))</f>
        <v>343.17</v>
      </c>
      <c r="X509" s="6">
        <f>IF(ISERROR(VLOOKUP($U$509,'TAR FIN'!$A$1:$O$92,15,0)),0,VLOOKUP($U$509,'TAR FIN'!$A$1:$O$92,15,0))</f>
        <v>303.54000000000002</v>
      </c>
      <c r="Y509" s="6"/>
      <c r="Z509" s="6">
        <f ca="1">('TUSD BE'!$AM$52+'TUSD BF_350'!$AM$52+'TUSD CVA'!$AM$52)*1</f>
        <v>310.49</v>
      </c>
      <c r="AA509" s="6">
        <f ca="1">('TE BE'!$AB$40+'TE BF_350'!$AB$40+'TE CVA'!$AB$40)*1</f>
        <v>262.52999999999997</v>
      </c>
      <c r="AB509" s="6">
        <f>$K$509*$V$509</f>
        <v>0</v>
      </c>
      <c r="AC509" s="6">
        <f>$M$509*$W$509</f>
        <v>134385.02883</v>
      </c>
      <c r="AD509" s="6">
        <f>$O$509*$X$509</f>
        <v>118865.96046</v>
      </c>
      <c r="AE509" s="6">
        <f>$K$509*$Y$509</f>
        <v>0</v>
      </c>
      <c r="AF509" s="6">
        <f ca="1">$M$509*$Z$509</f>
        <v>121587.57351</v>
      </c>
      <c r="AG509" s="6">
        <f ca="1">$O$509*$AA$509</f>
        <v>102806.48546999999</v>
      </c>
    </row>
    <row r="510" spans="1:33" ht="11.25" customHeight="1" x14ac:dyDescent="0.3">
      <c r="A510" s="4" t="s">
        <v>27</v>
      </c>
      <c r="B510" s="4" t="s">
        <v>32</v>
      </c>
      <c r="C510" s="4" t="s">
        <v>23</v>
      </c>
      <c r="D510" s="4" t="s">
        <v>40</v>
      </c>
      <c r="E510" s="4" t="s">
        <v>25</v>
      </c>
      <c r="F510" s="4" t="s">
        <v>25</v>
      </c>
      <c r="G510" s="4" t="s">
        <v>25</v>
      </c>
      <c r="H510" s="4" t="s">
        <v>25</v>
      </c>
      <c r="I510" s="5">
        <v>44593</v>
      </c>
      <c r="J510" s="6">
        <v>0</v>
      </c>
      <c r="K510" s="6">
        <v>0</v>
      </c>
      <c r="L510" s="6">
        <v>12.395</v>
      </c>
      <c r="M510" s="6">
        <v>12.395</v>
      </c>
      <c r="N510" s="6">
        <v>12.395</v>
      </c>
      <c r="O510" s="6">
        <v>12.395</v>
      </c>
      <c r="P510" s="6">
        <v>25</v>
      </c>
      <c r="Q510" s="4" t="s">
        <v>26</v>
      </c>
      <c r="R510" s="4">
        <v>0</v>
      </c>
      <c r="S510" s="6">
        <v>0</v>
      </c>
      <c r="T510" s="6">
        <v>77</v>
      </c>
      <c r="U510" s="6">
        <v>52</v>
      </c>
      <c r="V510" s="6">
        <f>IF(ISERROR(VLOOKUP($S$510,'TAR FIN'!$A$1:$O$92,15,0)),0,VLOOKUP($S$510,'TAR FIN'!$A$1:$O$92,15,0))</f>
        <v>0</v>
      </c>
      <c r="W510" s="6">
        <f>IF(ISERROR(VLOOKUP($T$510,'TAR FIN'!$A$1:$O$92,15,0)),0,VLOOKUP($T$510,'TAR FIN'!$A$1:$O$92,15,0))</f>
        <v>343.17</v>
      </c>
      <c r="X510" s="6">
        <f>IF(ISERROR(VLOOKUP($U$510,'TAR FIN'!$A$1:$O$92,15,0)),0,VLOOKUP($U$510,'TAR FIN'!$A$1:$O$92,15,0))</f>
        <v>303.54000000000002</v>
      </c>
      <c r="Y510" s="6"/>
      <c r="Z510" s="6">
        <f ca="1">('TUSD BE'!$AM$52+'TUSD BF_350'!$AM$52+'TUSD CVA'!$AM$52)*1</f>
        <v>310.49</v>
      </c>
      <c r="AA510" s="6">
        <f ca="1">('TE BE'!$AB$40+'TE BF_350'!$AB$40+'TE CVA'!$AB$40)*1</f>
        <v>262.52999999999997</v>
      </c>
      <c r="AB510" s="6">
        <f>$K$510*$V$510</f>
        <v>0</v>
      </c>
      <c r="AC510" s="6">
        <f>$M$510*$W$510</f>
        <v>4253.5921500000004</v>
      </c>
      <c r="AD510" s="6">
        <f>$O$510*$X$510</f>
        <v>3762.3783000000003</v>
      </c>
      <c r="AE510" s="6">
        <f>$K$510*$Y$510</f>
        <v>0</v>
      </c>
      <c r="AF510" s="6">
        <f ca="1">$M$510*$Z$510</f>
        <v>3848.5235499999999</v>
      </c>
      <c r="AG510" s="6">
        <f ca="1">$O$510*$AA$510</f>
        <v>3254.0593499999995</v>
      </c>
    </row>
    <row r="511" spans="1:33" ht="11.25" customHeight="1" x14ac:dyDescent="0.3">
      <c r="A511" s="4" t="s">
        <v>21</v>
      </c>
      <c r="B511" s="4" t="s">
        <v>32</v>
      </c>
      <c r="C511" s="4" t="s">
        <v>23</v>
      </c>
      <c r="D511" s="4" t="s">
        <v>40</v>
      </c>
      <c r="E511" s="4" t="s">
        <v>25</v>
      </c>
      <c r="F511" s="4" t="s">
        <v>25</v>
      </c>
      <c r="G511" s="4" t="s">
        <v>25</v>
      </c>
      <c r="H511" s="4" t="s">
        <v>25</v>
      </c>
      <c r="I511" s="5">
        <v>44621</v>
      </c>
      <c r="J511" s="6">
        <v>0</v>
      </c>
      <c r="K511" s="6">
        <v>0</v>
      </c>
      <c r="L511" s="6">
        <v>368.37599999999998</v>
      </c>
      <c r="M511" s="6">
        <v>368.37599999999998</v>
      </c>
      <c r="N511" s="6">
        <v>368.37599999999998</v>
      </c>
      <c r="O511" s="6">
        <v>368.37599999999998</v>
      </c>
      <c r="P511" s="6">
        <v>723</v>
      </c>
      <c r="Q511" s="4" t="s">
        <v>26</v>
      </c>
      <c r="R511" s="4">
        <v>0</v>
      </c>
      <c r="S511" s="6">
        <v>0</v>
      </c>
      <c r="T511" s="6">
        <v>77</v>
      </c>
      <c r="U511" s="6">
        <v>52</v>
      </c>
      <c r="V511" s="6">
        <f>IF(ISERROR(VLOOKUP($S$511,'TAR FIN'!$A$1:$O$92,15,0)),0,VLOOKUP($S$511,'TAR FIN'!$A$1:$O$92,15,0))</f>
        <v>0</v>
      </c>
      <c r="W511" s="6">
        <f>IF(ISERROR(VLOOKUP($T$511,'TAR FIN'!$A$1:$O$92,15,0)),0,VLOOKUP($T$511,'TAR FIN'!$A$1:$O$92,15,0))</f>
        <v>343.17</v>
      </c>
      <c r="X511" s="6">
        <f>IF(ISERROR(VLOOKUP($U$511,'TAR FIN'!$A$1:$O$92,15,0)),0,VLOOKUP($U$511,'TAR FIN'!$A$1:$O$92,15,0))</f>
        <v>303.54000000000002</v>
      </c>
      <c r="Y511" s="6"/>
      <c r="Z511" s="6">
        <f ca="1">('TUSD BE'!$AM$52+'TUSD BF_350'!$AM$52+'TUSD CVA'!$AM$52)*1</f>
        <v>310.49</v>
      </c>
      <c r="AA511" s="6">
        <f ca="1">('TE BE'!$AB$40+'TE BF_350'!$AB$40+'TE CVA'!$AB$40)*1</f>
        <v>262.52999999999997</v>
      </c>
      <c r="AB511" s="6">
        <f>$K$511*$V$511</f>
        <v>0</v>
      </c>
      <c r="AC511" s="6">
        <f>$M$511*$W$511</f>
        <v>126415.59191999999</v>
      </c>
      <c r="AD511" s="6">
        <f>$O$511*$X$511</f>
        <v>111816.85103999999</v>
      </c>
      <c r="AE511" s="6">
        <f>$K$511*$Y$511</f>
        <v>0</v>
      </c>
      <c r="AF511" s="6">
        <f ca="1">$M$511*$Z$511</f>
        <v>114377.06423999999</v>
      </c>
      <c r="AG511" s="6">
        <f ca="1">$O$511*$AA$511</f>
        <v>96709.751279999982</v>
      </c>
    </row>
    <row r="512" spans="1:33" ht="11.25" customHeight="1" x14ac:dyDescent="0.3">
      <c r="A512" s="4" t="s">
        <v>27</v>
      </c>
      <c r="B512" s="4" t="s">
        <v>32</v>
      </c>
      <c r="C512" s="4" t="s">
        <v>23</v>
      </c>
      <c r="D512" s="4" t="s">
        <v>40</v>
      </c>
      <c r="E512" s="4" t="s">
        <v>25</v>
      </c>
      <c r="F512" s="4" t="s">
        <v>25</v>
      </c>
      <c r="G512" s="4" t="s">
        <v>25</v>
      </c>
      <c r="H512" s="4" t="s">
        <v>25</v>
      </c>
      <c r="I512" s="5">
        <v>44621</v>
      </c>
      <c r="J512" s="6">
        <v>0</v>
      </c>
      <c r="K512" s="6">
        <v>0</v>
      </c>
      <c r="L512" s="6">
        <v>11.8</v>
      </c>
      <c r="M512" s="6">
        <v>11.8</v>
      </c>
      <c r="N512" s="6">
        <v>11.8</v>
      </c>
      <c r="O512" s="6">
        <v>11.8</v>
      </c>
      <c r="P512" s="6">
        <v>25</v>
      </c>
      <c r="Q512" s="4" t="s">
        <v>26</v>
      </c>
      <c r="R512" s="4">
        <v>0</v>
      </c>
      <c r="S512" s="6">
        <v>0</v>
      </c>
      <c r="T512" s="6">
        <v>77</v>
      </c>
      <c r="U512" s="6">
        <v>52</v>
      </c>
      <c r="V512" s="6">
        <f>IF(ISERROR(VLOOKUP($S$512,'TAR FIN'!$A$1:$O$92,15,0)),0,VLOOKUP($S$512,'TAR FIN'!$A$1:$O$92,15,0))</f>
        <v>0</v>
      </c>
      <c r="W512" s="6">
        <f>IF(ISERROR(VLOOKUP($T$512,'TAR FIN'!$A$1:$O$92,15,0)),0,VLOOKUP($T$512,'TAR FIN'!$A$1:$O$92,15,0))</f>
        <v>343.17</v>
      </c>
      <c r="X512" s="6">
        <f>IF(ISERROR(VLOOKUP($U$512,'TAR FIN'!$A$1:$O$92,15,0)),0,VLOOKUP($U$512,'TAR FIN'!$A$1:$O$92,15,0))</f>
        <v>303.54000000000002</v>
      </c>
      <c r="Y512" s="6"/>
      <c r="Z512" s="6">
        <f ca="1">('TUSD BE'!$AM$52+'TUSD BF_350'!$AM$52+'TUSD CVA'!$AM$52)*1</f>
        <v>310.49</v>
      </c>
      <c r="AA512" s="6">
        <f ca="1">('TE BE'!$AB$40+'TE BF_350'!$AB$40+'TE CVA'!$AB$40)*1</f>
        <v>262.52999999999997</v>
      </c>
      <c r="AB512" s="6">
        <f>$K$512*$V$512</f>
        <v>0</v>
      </c>
      <c r="AC512" s="6">
        <f>$M$512*$W$512</f>
        <v>4049.4060000000004</v>
      </c>
      <c r="AD512" s="6">
        <f>$O$512*$X$512</f>
        <v>3581.7720000000004</v>
      </c>
      <c r="AE512" s="6">
        <f>$K$512*$Y$512</f>
        <v>0</v>
      </c>
      <c r="AF512" s="6">
        <f ca="1">$M$512*$Z$512</f>
        <v>3663.7820000000002</v>
      </c>
      <c r="AG512" s="6">
        <f ca="1">$O$512*$AA$512</f>
        <v>3097.8539999999998</v>
      </c>
    </row>
    <row r="513" spans="1:33" ht="11.25" customHeight="1" x14ac:dyDescent="0.3">
      <c r="A513" s="4" t="s">
        <v>21</v>
      </c>
      <c r="B513" s="4" t="s">
        <v>32</v>
      </c>
      <c r="C513" s="4" t="s">
        <v>23</v>
      </c>
      <c r="D513" s="4" t="s">
        <v>40</v>
      </c>
      <c r="E513" s="4" t="s">
        <v>25</v>
      </c>
      <c r="F513" s="4" t="s">
        <v>25</v>
      </c>
      <c r="G513" s="4" t="s">
        <v>25</v>
      </c>
      <c r="H513" s="4" t="s">
        <v>25</v>
      </c>
      <c r="I513" s="5">
        <v>44652</v>
      </c>
      <c r="J513" s="6">
        <v>0</v>
      </c>
      <c r="K513" s="6">
        <v>0</v>
      </c>
      <c r="L513" s="6">
        <v>326.64400000000001</v>
      </c>
      <c r="M513" s="6">
        <v>326.64400000000001</v>
      </c>
      <c r="N513" s="6">
        <v>326.64400000000001</v>
      </c>
      <c r="O513" s="6">
        <v>326.64400000000001</v>
      </c>
      <c r="P513" s="6">
        <v>719</v>
      </c>
      <c r="Q513" s="4" t="s">
        <v>26</v>
      </c>
      <c r="R513" s="4">
        <v>0</v>
      </c>
      <c r="S513" s="6">
        <v>0</v>
      </c>
      <c r="T513" s="6">
        <v>77</v>
      </c>
      <c r="U513" s="6">
        <v>52</v>
      </c>
      <c r="V513" s="6">
        <f>IF(ISERROR(VLOOKUP($S$513,'TAR FIN'!$A$1:$O$92,15,0)),0,VLOOKUP($S$513,'TAR FIN'!$A$1:$O$92,15,0))</f>
        <v>0</v>
      </c>
      <c r="W513" s="6">
        <f>IF(ISERROR(VLOOKUP($T$513,'TAR FIN'!$A$1:$O$92,15,0)),0,VLOOKUP($T$513,'TAR FIN'!$A$1:$O$92,15,0))</f>
        <v>343.17</v>
      </c>
      <c r="X513" s="6">
        <f>IF(ISERROR(VLOOKUP($U$513,'TAR FIN'!$A$1:$O$92,15,0)),0,VLOOKUP($U$513,'TAR FIN'!$A$1:$O$92,15,0))</f>
        <v>303.54000000000002</v>
      </c>
      <c r="Y513" s="6"/>
      <c r="Z513" s="6">
        <f ca="1">('TUSD BE'!$AM$52+'TUSD BF_350'!$AM$52+'TUSD CVA'!$AM$52)*1</f>
        <v>310.49</v>
      </c>
      <c r="AA513" s="6">
        <f ca="1">('TE BE'!$AB$40+'TE BF_350'!$AB$40+'TE CVA'!$AB$40)*1</f>
        <v>262.52999999999997</v>
      </c>
      <c r="AB513" s="6">
        <f>$K$513*$V$513</f>
        <v>0</v>
      </c>
      <c r="AC513" s="6">
        <f>$M$513*$W$513</f>
        <v>112094.42148</v>
      </c>
      <c r="AD513" s="6">
        <f>$O$513*$X$513</f>
        <v>99149.51976000001</v>
      </c>
      <c r="AE513" s="6">
        <f>$K$513*$Y$513</f>
        <v>0</v>
      </c>
      <c r="AF513" s="6">
        <f ca="1">$M$513*$Z$513</f>
        <v>101419.69556000001</v>
      </c>
      <c r="AG513" s="6">
        <f ca="1">$O$513*$AA$513</f>
        <v>85753.849319999994</v>
      </c>
    </row>
    <row r="514" spans="1:33" ht="11.25" customHeight="1" x14ac:dyDescent="0.3">
      <c r="A514" s="4" t="s">
        <v>27</v>
      </c>
      <c r="B514" s="4" t="s">
        <v>32</v>
      </c>
      <c r="C514" s="4" t="s">
        <v>23</v>
      </c>
      <c r="D514" s="4" t="s">
        <v>40</v>
      </c>
      <c r="E514" s="4" t="s">
        <v>25</v>
      </c>
      <c r="F514" s="4" t="s">
        <v>25</v>
      </c>
      <c r="G514" s="4" t="s">
        <v>25</v>
      </c>
      <c r="H514" s="4" t="s">
        <v>25</v>
      </c>
      <c r="I514" s="5">
        <v>44652</v>
      </c>
      <c r="J514" s="6">
        <v>0</v>
      </c>
      <c r="K514" s="6">
        <v>0</v>
      </c>
      <c r="L514" s="6">
        <v>17.266999999999999</v>
      </c>
      <c r="M514" s="6">
        <v>17.266999999999999</v>
      </c>
      <c r="N514" s="6">
        <v>17.266999999999999</v>
      </c>
      <c r="O514" s="6">
        <v>17.266999999999999</v>
      </c>
      <c r="P514" s="6">
        <v>27</v>
      </c>
      <c r="Q514" s="4" t="s">
        <v>26</v>
      </c>
      <c r="R514" s="4">
        <v>0</v>
      </c>
      <c r="S514" s="6">
        <v>0</v>
      </c>
      <c r="T514" s="6">
        <v>77</v>
      </c>
      <c r="U514" s="6">
        <v>52</v>
      </c>
      <c r="V514" s="6">
        <f>IF(ISERROR(VLOOKUP($S$514,'TAR FIN'!$A$1:$O$92,15,0)),0,VLOOKUP($S$514,'TAR FIN'!$A$1:$O$92,15,0))</f>
        <v>0</v>
      </c>
      <c r="W514" s="6">
        <f>IF(ISERROR(VLOOKUP($T$514,'TAR FIN'!$A$1:$O$92,15,0)),0,VLOOKUP($T$514,'TAR FIN'!$A$1:$O$92,15,0))</f>
        <v>343.17</v>
      </c>
      <c r="X514" s="6">
        <f>IF(ISERROR(VLOOKUP($U$514,'TAR FIN'!$A$1:$O$92,15,0)),0,VLOOKUP($U$514,'TAR FIN'!$A$1:$O$92,15,0))</f>
        <v>303.54000000000002</v>
      </c>
      <c r="Y514" s="6"/>
      <c r="Z514" s="6">
        <f ca="1">('TUSD BE'!$AM$52+'TUSD BF_350'!$AM$52+'TUSD CVA'!$AM$52)*1</f>
        <v>310.49</v>
      </c>
      <c r="AA514" s="6">
        <f ca="1">('TE BE'!$AB$40+'TE BF_350'!$AB$40+'TE CVA'!$AB$40)*1</f>
        <v>262.52999999999997</v>
      </c>
      <c r="AB514" s="6">
        <f>$K$514*$V$514</f>
        <v>0</v>
      </c>
      <c r="AC514" s="6">
        <f>$M$514*$W$514</f>
        <v>5925.5163899999998</v>
      </c>
      <c r="AD514" s="6">
        <f>$O$514*$X$514</f>
        <v>5241.2251800000004</v>
      </c>
      <c r="AE514" s="6">
        <f>$K$514*$Y$514</f>
        <v>0</v>
      </c>
      <c r="AF514" s="6">
        <f ca="1">$M$514*$Z$514</f>
        <v>5361.2308300000004</v>
      </c>
      <c r="AG514" s="6">
        <f ca="1">$O$514*$AA$514</f>
        <v>4533.1055099999994</v>
      </c>
    </row>
    <row r="515" spans="1:33" ht="11.25" customHeight="1" x14ac:dyDescent="0.3">
      <c r="A515" s="4" t="s">
        <v>21</v>
      </c>
      <c r="B515" s="4" t="s">
        <v>32</v>
      </c>
      <c r="C515" s="4" t="s">
        <v>23</v>
      </c>
      <c r="D515" s="4" t="s">
        <v>40</v>
      </c>
      <c r="E515" s="4" t="s">
        <v>25</v>
      </c>
      <c r="F515" s="4" t="s">
        <v>25</v>
      </c>
      <c r="G515" s="4" t="s">
        <v>25</v>
      </c>
      <c r="H515" s="4" t="s">
        <v>25</v>
      </c>
      <c r="I515" s="5">
        <v>44682</v>
      </c>
      <c r="J515" s="6">
        <v>0</v>
      </c>
      <c r="K515" s="6">
        <v>0</v>
      </c>
      <c r="L515" s="6">
        <v>256.05</v>
      </c>
      <c r="M515" s="6">
        <v>256.05</v>
      </c>
      <c r="N515" s="6">
        <v>256.05</v>
      </c>
      <c r="O515" s="6">
        <v>256.05</v>
      </c>
      <c r="P515" s="6">
        <v>725</v>
      </c>
      <c r="Q515" s="4" t="s">
        <v>26</v>
      </c>
      <c r="R515" s="4">
        <v>0</v>
      </c>
      <c r="S515" s="6">
        <v>0</v>
      </c>
      <c r="T515" s="6">
        <v>77</v>
      </c>
      <c r="U515" s="6">
        <v>52</v>
      </c>
      <c r="V515" s="6">
        <f>IF(ISERROR(VLOOKUP($S$515,'TAR FIN'!$A$1:$O$92,15,0)),0,VLOOKUP($S$515,'TAR FIN'!$A$1:$O$92,15,0))</f>
        <v>0</v>
      </c>
      <c r="W515" s="6">
        <f>IF(ISERROR(VLOOKUP($T$515,'TAR FIN'!$A$1:$O$92,15,0)),0,VLOOKUP($T$515,'TAR FIN'!$A$1:$O$92,15,0))</f>
        <v>343.17</v>
      </c>
      <c r="X515" s="6">
        <f>IF(ISERROR(VLOOKUP($U$515,'TAR FIN'!$A$1:$O$92,15,0)),0,VLOOKUP($U$515,'TAR FIN'!$A$1:$O$92,15,0))</f>
        <v>303.54000000000002</v>
      </c>
      <c r="Y515" s="6"/>
      <c r="Z515" s="6">
        <f ca="1">('TUSD BE'!$AM$52+'TUSD BF_350'!$AM$52+'TUSD CVA'!$AM$52)*1</f>
        <v>310.49</v>
      </c>
      <c r="AA515" s="6">
        <f ca="1">('TE BE'!$AB$40+'TE BF_350'!$AB$40+'TE CVA'!$AB$40)*1</f>
        <v>262.52999999999997</v>
      </c>
      <c r="AB515" s="6">
        <f>$K$515*$V$515</f>
        <v>0</v>
      </c>
      <c r="AC515" s="6">
        <f>$M$515*$W$515</f>
        <v>87868.678500000009</v>
      </c>
      <c r="AD515" s="6">
        <f>$O$515*$X$515</f>
        <v>77721.417000000016</v>
      </c>
      <c r="AE515" s="6">
        <f>$K$515*$Y$515</f>
        <v>0</v>
      </c>
      <c r="AF515" s="6">
        <f ca="1">$M$515*$Z$515</f>
        <v>79500.964500000002</v>
      </c>
      <c r="AG515" s="6">
        <f ca="1">$O$515*$AA$515</f>
        <v>67220.806499999992</v>
      </c>
    </row>
    <row r="516" spans="1:33" ht="11.25" customHeight="1" x14ac:dyDescent="0.3">
      <c r="A516" s="4" t="s">
        <v>27</v>
      </c>
      <c r="B516" s="4" t="s">
        <v>32</v>
      </c>
      <c r="C516" s="4" t="s">
        <v>23</v>
      </c>
      <c r="D516" s="4" t="s">
        <v>40</v>
      </c>
      <c r="E516" s="4" t="s">
        <v>25</v>
      </c>
      <c r="F516" s="4" t="s">
        <v>25</v>
      </c>
      <c r="G516" s="4" t="s">
        <v>25</v>
      </c>
      <c r="H516" s="4" t="s">
        <v>25</v>
      </c>
      <c r="I516" s="5">
        <v>44682</v>
      </c>
      <c r="J516" s="6">
        <v>0</v>
      </c>
      <c r="K516" s="6">
        <v>0</v>
      </c>
      <c r="L516" s="6">
        <v>11.25</v>
      </c>
      <c r="M516" s="6">
        <v>11.25</v>
      </c>
      <c r="N516" s="6">
        <v>11.25</v>
      </c>
      <c r="O516" s="6">
        <v>11.25</v>
      </c>
      <c r="P516" s="6">
        <v>27</v>
      </c>
      <c r="Q516" s="4" t="s">
        <v>26</v>
      </c>
      <c r="R516" s="4">
        <v>0</v>
      </c>
      <c r="S516" s="6">
        <v>0</v>
      </c>
      <c r="T516" s="6">
        <v>77</v>
      </c>
      <c r="U516" s="6">
        <v>52</v>
      </c>
      <c r="V516" s="6">
        <f>IF(ISERROR(VLOOKUP($S$516,'TAR FIN'!$A$1:$O$92,15,0)),0,VLOOKUP($S$516,'TAR FIN'!$A$1:$O$92,15,0))</f>
        <v>0</v>
      </c>
      <c r="W516" s="6">
        <f>IF(ISERROR(VLOOKUP($T$516,'TAR FIN'!$A$1:$O$92,15,0)),0,VLOOKUP($T$516,'TAR FIN'!$A$1:$O$92,15,0))</f>
        <v>343.17</v>
      </c>
      <c r="X516" s="6">
        <f>IF(ISERROR(VLOOKUP($U$516,'TAR FIN'!$A$1:$O$92,15,0)),0,VLOOKUP($U$516,'TAR FIN'!$A$1:$O$92,15,0))</f>
        <v>303.54000000000002</v>
      </c>
      <c r="Y516" s="6"/>
      <c r="Z516" s="6">
        <f ca="1">('TUSD BE'!$AM$52+'TUSD BF_350'!$AM$52+'TUSD CVA'!$AM$52)*1</f>
        <v>310.49</v>
      </c>
      <c r="AA516" s="6">
        <f ca="1">('TE BE'!$AB$40+'TE BF_350'!$AB$40+'TE CVA'!$AB$40)*1</f>
        <v>262.52999999999997</v>
      </c>
      <c r="AB516" s="6">
        <f>$K$516*$V$516</f>
        <v>0</v>
      </c>
      <c r="AC516" s="6">
        <f>$M$516*$W$516</f>
        <v>3860.6625000000004</v>
      </c>
      <c r="AD516" s="6">
        <f>$O$516*$X$516</f>
        <v>3414.8250000000003</v>
      </c>
      <c r="AE516" s="6">
        <f>$K$516*$Y$516</f>
        <v>0</v>
      </c>
      <c r="AF516" s="6">
        <f ca="1">$M$516*$Z$516</f>
        <v>3493.0125000000003</v>
      </c>
      <c r="AG516" s="6">
        <f ca="1">$O$516*$AA$516</f>
        <v>2953.4624999999996</v>
      </c>
    </row>
    <row r="517" spans="1:33" ht="11.25" customHeight="1" x14ac:dyDescent="0.3">
      <c r="A517" s="4" t="s">
        <v>21</v>
      </c>
      <c r="B517" s="4" t="s">
        <v>32</v>
      </c>
      <c r="C517" s="4" t="s">
        <v>23</v>
      </c>
      <c r="D517" s="4" t="s">
        <v>40</v>
      </c>
      <c r="E517" s="4" t="s">
        <v>25</v>
      </c>
      <c r="F517" s="4" t="s">
        <v>25</v>
      </c>
      <c r="G517" s="4" t="s">
        <v>25</v>
      </c>
      <c r="H517" s="4" t="s">
        <v>25</v>
      </c>
      <c r="I517" s="5">
        <v>44713</v>
      </c>
      <c r="J517" s="6">
        <v>0</v>
      </c>
      <c r="K517" s="6">
        <v>0</v>
      </c>
      <c r="L517" s="6">
        <v>258.20400000000001</v>
      </c>
      <c r="M517" s="6">
        <v>258.20400000000001</v>
      </c>
      <c r="N517" s="6">
        <v>258.20400000000001</v>
      </c>
      <c r="O517" s="6">
        <v>258.20400000000001</v>
      </c>
      <c r="P517" s="6">
        <v>720</v>
      </c>
      <c r="Q517" s="4" t="s">
        <v>26</v>
      </c>
      <c r="R517" s="4">
        <v>0</v>
      </c>
      <c r="S517" s="6">
        <v>0</v>
      </c>
      <c r="T517" s="6">
        <v>77</v>
      </c>
      <c r="U517" s="6">
        <v>52</v>
      </c>
      <c r="V517" s="6">
        <f>IF(ISERROR(VLOOKUP($S$517,'TAR FIN'!$A$1:$O$92,15,0)),0,VLOOKUP($S$517,'TAR FIN'!$A$1:$O$92,15,0))</f>
        <v>0</v>
      </c>
      <c r="W517" s="6">
        <f>IF(ISERROR(VLOOKUP($T$517,'TAR FIN'!$A$1:$O$92,15,0)),0,VLOOKUP($T$517,'TAR FIN'!$A$1:$O$92,15,0))</f>
        <v>343.17</v>
      </c>
      <c r="X517" s="6">
        <f>IF(ISERROR(VLOOKUP($U$517,'TAR FIN'!$A$1:$O$92,15,0)),0,VLOOKUP($U$517,'TAR FIN'!$A$1:$O$92,15,0))</f>
        <v>303.54000000000002</v>
      </c>
      <c r="Y517" s="6"/>
      <c r="Z517" s="6">
        <f ca="1">('TUSD BE'!$AM$52+'TUSD BF_350'!$AM$52+'TUSD CVA'!$AM$52)*1</f>
        <v>310.49</v>
      </c>
      <c r="AA517" s="6">
        <f ca="1">('TE BE'!$AB$40+'TE BF_350'!$AB$40+'TE CVA'!$AB$40)*1</f>
        <v>262.52999999999997</v>
      </c>
      <c r="AB517" s="6">
        <f>$K$517*$V$517</f>
        <v>0</v>
      </c>
      <c r="AC517" s="6">
        <f>$M$517*$W$517</f>
        <v>88607.866680000006</v>
      </c>
      <c r="AD517" s="6">
        <f>$O$517*$X$517</f>
        <v>78375.242160000009</v>
      </c>
      <c r="AE517" s="6">
        <f>$K$517*$Y$517</f>
        <v>0</v>
      </c>
      <c r="AF517" s="6">
        <f ca="1">$M$517*$Z$517</f>
        <v>80169.75996000001</v>
      </c>
      <c r="AG517" s="6">
        <f ca="1">$O$517*$AA$517</f>
        <v>67786.296119999999</v>
      </c>
    </row>
    <row r="518" spans="1:33" ht="11.25" customHeight="1" x14ac:dyDescent="0.3">
      <c r="A518" s="4" t="s">
        <v>27</v>
      </c>
      <c r="B518" s="4" t="s">
        <v>32</v>
      </c>
      <c r="C518" s="4" t="s">
        <v>23</v>
      </c>
      <c r="D518" s="4" t="s">
        <v>40</v>
      </c>
      <c r="E518" s="4" t="s">
        <v>25</v>
      </c>
      <c r="F518" s="4" t="s">
        <v>25</v>
      </c>
      <c r="G518" s="4" t="s">
        <v>25</v>
      </c>
      <c r="H518" s="4" t="s">
        <v>25</v>
      </c>
      <c r="I518" s="5">
        <v>44713</v>
      </c>
      <c r="J518" s="6">
        <v>0</v>
      </c>
      <c r="K518" s="6">
        <v>0</v>
      </c>
      <c r="L518" s="6">
        <v>16.280999999999999</v>
      </c>
      <c r="M518" s="6">
        <v>16.280999999999999</v>
      </c>
      <c r="N518" s="6">
        <v>16.280999999999999</v>
      </c>
      <c r="O518" s="6">
        <v>16.280999999999999</v>
      </c>
      <c r="P518" s="6">
        <v>27</v>
      </c>
      <c r="Q518" s="4" t="s">
        <v>26</v>
      </c>
      <c r="R518" s="4">
        <v>0</v>
      </c>
      <c r="S518" s="6">
        <v>0</v>
      </c>
      <c r="T518" s="6">
        <v>77</v>
      </c>
      <c r="U518" s="6">
        <v>52</v>
      </c>
      <c r="V518" s="6">
        <f>IF(ISERROR(VLOOKUP($S$518,'TAR FIN'!$A$1:$O$92,15,0)),0,VLOOKUP($S$518,'TAR FIN'!$A$1:$O$92,15,0))</f>
        <v>0</v>
      </c>
      <c r="W518" s="6">
        <f>IF(ISERROR(VLOOKUP($T$518,'TAR FIN'!$A$1:$O$92,15,0)),0,VLOOKUP($T$518,'TAR FIN'!$A$1:$O$92,15,0))</f>
        <v>343.17</v>
      </c>
      <c r="X518" s="6">
        <f>IF(ISERROR(VLOOKUP($U$518,'TAR FIN'!$A$1:$O$92,15,0)),0,VLOOKUP($U$518,'TAR FIN'!$A$1:$O$92,15,0))</f>
        <v>303.54000000000002</v>
      </c>
      <c r="Y518" s="6"/>
      <c r="Z518" s="6">
        <f ca="1">('TUSD BE'!$AM$52+'TUSD BF_350'!$AM$52+'TUSD CVA'!$AM$52)*1</f>
        <v>310.49</v>
      </c>
      <c r="AA518" s="6">
        <f ca="1">('TE BE'!$AB$40+'TE BF_350'!$AB$40+'TE CVA'!$AB$40)*1</f>
        <v>262.52999999999997</v>
      </c>
      <c r="AB518" s="6">
        <f>$K$518*$V$518</f>
        <v>0</v>
      </c>
      <c r="AC518" s="6">
        <f>$M$518*$W$518</f>
        <v>5587.1507700000002</v>
      </c>
      <c r="AD518" s="6">
        <f>$O$518*$X$518</f>
        <v>4941.9347399999997</v>
      </c>
      <c r="AE518" s="6">
        <f>$K$518*$Y$518</f>
        <v>0</v>
      </c>
      <c r="AF518" s="6">
        <f ca="1">$M$518*$Z$518</f>
        <v>5055.0876899999994</v>
      </c>
      <c r="AG518" s="6">
        <f ca="1">$O$518*$AA$518</f>
        <v>4274.2509299999992</v>
      </c>
    </row>
    <row r="519" spans="1:33" ht="11.25" customHeight="1" x14ac:dyDescent="0.3">
      <c r="A519" s="4" t="s">
        <v>21</v>
      </c>
      <c r="B519" s="4" t="s">
        <v>32</v>
      </c>
      <c r="C519" s="4" t="s">
        <v>23</v>
      </c>
      <c r="D519" s="4" t="s">
        <v>40</v>
      </c>
      <c r="E519" s="4" t="s">
        <v>25</v>
      </c>
      <c r="F519" s="4" t="s">
        <v>25</v>
      </c>
      <c r="G519" s="4" t="s">
        <v>25</v>
      </c>
      <c r="H519" s="4" t="s">
        <v>25</v>
      </c>
      <c r="I519" s="5">
        <v>44743</v>
      </c>
      <c r="J519" s="6">
        <v>0</v>
      </c>
      <c r="K519" s="6">
        <v>0</v>
      </c>
      <c r="L519" s="6">
        <v>244.58199999999999</v>
      </c>
      <c r="M519" s="6">
        <v>244.58199999999999</v>
      </c>
      <c r="N519" s="6">
        <v>244.58199999999999</v>
      </c>
      <c r="O519" s="6">
        <v>244.58199999999999</v>
      </c>
      <c r="P519" s="6">
        <v>727</v>
      </c>
      <c r="Q519" s="4" t="s">
        <v>26</v>
      </c>
      <c r="R519" s="4">
        <v>0</v>
      </c>
      <c r="S519" s="6">
        <v>0</v>
      </c>
      <c r="T519" s="6">
        <v>77</v>
      </c>
      <c r="U519" s="6">
        <v>52</v>
      </c>
      <c r="V519" s="6">
        <f>IF(ISERROR(VLOOKUP($S$519,'TAR FIN'!$A$1:$O$92,15,0)),0,VLOOKUP($S$519,'TAR FIN'!$A$1:$O$92,15,0))</f>
        <v>0</v>
      </c>
      <c r="W519" s="6">
        <f>IF(ISERROR(VLOOKUP($T$519,'TAR FIN'!$A$1:$O$92,15,0)),0,VLOOKUP($T$519,'TAR FIN'!$A$1:$O$92,15,0))</f>
        <v>343.17</v>
      </c>
      <c r="X519" s="6">
        <f>IF(ISERROR(VLOOKUP($U$519,'TAR FIN'!$A$1:$O$92,15,0)),0,VLOOKUP($U$519,'TAR FIN'!$A$1:$O$92,15,0))</f>
        <v>303.54000000000002</v>
      </c>
      <c r="Y519" s="6"/>
      <c r="Z519" s="6">
        <f ca="1">('TUSD BE'!$AM$52+'TUSD BF_350'!$AM$52+'TUSD CVA'!$AM$52)*1</f>
        <v>310.49</v>
      </c>
      <c r="AA519" s="6">
        <f ca="1">('TE BE'!$AB$40+'TE BF_350'!$AB$40+'TE CVA'!$AB$40)*1</f>
        <v>262.52999999999997</v>
      </c>
      <c r="AB519" s="6">
        <f>$K$519*$V$519</f>
        <v>0</v>
      </c>
      <c r="AC519" s="6">
        <f>$M$519*$W$519</f>
        <v>83933.204939999996</v>
      </c>
      <c r="AD519" s="6">
        <f>$O$519*$X$519</f>
        <v>74240.420280000006</v>
      </c>
      <c r="AE519" s="6">
        <f>$K$519*$Y$519</f>
        <v>0</v>
      </c>
      <c r="AF519" s="6">
        <f ca="1">$M$519*$Z$519</f>
        <v>75940.265180000002</v>
      </c>
      <c r="AG519" s="6">
        <f ca="1">$O$519*$AA$519</f>
        <v>64210.112459999989</v>
      </c>
    </row>
    <row r="520" spans="1:33" ht="11.25" customHeight="1" x14ac:dyDescent="0.3">
      <c r="A520" s="4" t="s">
        <v>27</v>
      </c>
      <c r="B520" s="4" t="s">
        <v>32</v>
      </c>
      <c r="C520" s="4" t="s">
        <v>23</v>
      </c>
      <c r="D520" s="4" t="s">
        <v>40</v>
      </c>
      <c r="E520" s="4" t="s">
        <v>25</v>
      </c>
      <c r="F520" s="4" t="s">
        <v>25</v>
      </c>
      <c r="G520" s="4" t="s">
        <v>25</v>
      </c>
      <c r="H520" s="4" t="s">
        <v>25</v>
      </c>
      <c r="I520" s="5">
        <v>44743</v>
      </c>
      <c r="J520" s="6">
        <v>0</v>
      </c>
      <c r="K520" s="6">
        <v>0</v>
      </c>
      <c r="L520" s="6">
        <v>16.545000000000002</v>
      </c>
      <c r="M520" s="6">
        <v>16.545000000000002</v>
      </c>
      <c r="N520" s="6">
        <v>16.545000000000002</v>
      </c>
      <c r="O520" s="6">
        <v>16.545000000000002</v>
      </c>
      <c r="P520" s="6">
        <v>27</v>
      </c>
      <c r="Q520" s="4" t="s">
        <v>26</v>
      </c>
      <c r="R520" s="4">
        <v>0</v>
      </c>
      <c r="S520" s="6">
        <v>0</v>
      </c>
      <c r="T520" s="6">
        <v>77</v>
      </c>
      <c r="U520" s="6">
        <v>52</v>
      </c>
      <c r="V520" s="6">
        <f>IF(ISERROR(VLOOKUP($S$520,'TAR FIN'!$A$1:$O$92,15,0)),0,VLOOKUP($S$520,'TAR FIN'!$A$1:$O$92,15,0))</f>
        <v>0</v>
      </c>
      <c r="W520" s="6">
        <f>IF(ISERROR(VLOOKUP($T$520,'TAR FIN'!$A$1:$O$92,15,0)),0,VLOOKUP($T$520,'TAR FIN'!$A$1:$O$92,15,0))</f>
        <v>343.17</v>
      </c>
      <c r="X520" s="6">
        <f>IF(ISERROR(VLOOKUP($U$520,'TAR FIN'!$A$1:$O$92,15,0)),0,VLOOKUP($U$520,'TAR FIN'!$A$1:$O$92,15,0))</f>
        <v>303.54000000000002</v>
      </c>
      <c r="Y520" s="6"/>
      <c r="Z520" s="6">
        <f ca="1">('TUSD BE'!$AM$52+'TUSD BF_350'!$AM$52+'TUSD CVA'!$AM$52)*1</f>
        <v>310.49</v>
      </c>
      <c r="AA520" s="6">
        <f ca="1">('TE BE'!$AB$40+'TE BF_350'!$AB$40+'TE CVA'!$AB$40)*1</f>
        <v>262.52999999999997</v>
      </c>
      <c r="AB520" s="6">
        <f>$K$520*$V$520</f>
        <v>0</v>
      </c>
      <c r="AC520" s="6">
        <f>$M$520*$W$520</f>
        <v>5677.7476500000012</v>
      </c>
      <c r="AD520" s="6">
        <f>$O$520*$X$520</f>
        <v>5022.069300000001</v>
      </c>
      <c r="AE520" s="6">
        <f>$K$520*$Y$520</f>
        <v>0</v>
      </c>
      <c r="AF520" s="6">
        <f ca="1">$M$520*$Z$520</f>
        <v>5137.0570500000003</v>
      </c>
      <c r="AG520" s="6">
        <f ca="1">$O$520*$AA$520</f>
        <v>4343.5588500000003</v>
      </c>
    </row>
    <row r="521" spans="1:33" ht="11.25" customHeight="1" x14ac:dyDescent="0.3">
      <c r="A521" s="4" t="s">
        <v>21</v>
      </c>
      <c r="B521" s="4" t="s">
        <v>32</v>
      </c>
      <c r="C521" s="4" t="s">
        <v>23</v>
      </c>
      <c r="D521" s="4" t="s">
        <v>49</v>
      </c>
      <c r="E521" s="4" t="s">
        <v>25</v>
      </c>
      <c r="F521" s="4" t="s">
        <v>25</v>
      </c>
      <c r="G521" s="4" t="s">
        <v>25</v>
      </c>
      <c r="H521" s="4" t="s">
        <v>25</v>
      </c>
      <c r="I521" s="5">
        <v>44409</v>
      </c>
      <c r="J521" s="6">
        <v>0</v>
      </c>
      <c r="K521" s="6">
        <v>0</v>
      </c>
      <c r="L521" s="6">
        <v>2.41</v>
      </c>
      <c r="M521" s="6">
        <v>2.41</v>
      </c>
      <c r="N521" s="6">
        <v>2.41</v>
      </c>
      <c r="O521" s="6">
        <v>2.41</v>
      </c>
      <c r="P521" s="6">
        <v>2</v>
      </c>
      <c r="Q521" s="4" t="s">
        <v>26</v>
      </c>
      <c r="R521" s="4">
        <v>0</v>
      </c>
      <c r="S521" s="6">
        <v>0</v>
      </c>
      <c r="T521" s="6">
        <v>77</v>
      </c>
      <c r="U521" s="6">
        <v>52</v>
      </c>
      <c r="V521" s="6">
        <f>IF(ISERROR(VLOOKUP($S$521,'TAR FIN'!$A$1:$O$92,15,0)),0,VLOOKUP($S$521,'TAR FIN'!$A$1:$O$92,15,0))</f>
        <v>0</v>
      </c>
      <c r="W521" s="6">
        <f>IF(ISERROR(VLOOKUP($T$521,'TAR FIN'!$A$1:$O$92,15,0)),0,VLOOKUP($T$521,'TAR FIN'!$A$1:$O$92,15,0))</f>
        <v>343.17</v>
      </c>
      <c r="X521" s="6">
        <f>IF(ISERROR(VLOOKUP($U$521,'TAR FIN'!$A$1:$O$92,15,0)),0,VLOOKUP($U$521,'TAR FIN'!$A$1:$O$92,15,0))</f>
        <v>303.54000000000002</v>
      </c>
      <c r="Y521" s="6"/>
      <c r="Z521" s="6">
        <f ca="1">('TUSD BE'!$AM$52+'TUSD BF_350'!$AM$52+'TUSD CVA'!$AM$52)*1</f>
        <v>310.49</v>
      </c>
      <c r="AA521" s="6">
        <f ca="1">('TE BE'!$AB$40+'TE BF_350'!$AB$40+'TE CVA'!$AB$40)*1</f>
        <v>262.52999999999997</v>
      </c>
      <c r="AB521" s="6">
        <f>$K$521*$V$521</f>
        <v>0</v>
      </c>
      <c r="AC521" s="6">
        <f>$M$521*$W$521</f>
        <v>827.03970000000004</v>
      </c>
      <c r="AD521" s="6">
        <f>$O$521*$X$521</f>
        <v>731.53140000000008</v>
      </c>
      <c r="AE521" s="6">
        <f>$K$521*$Y$521</f>
        <v>0</v>
      </c>
      <c r="AF521" s="6">
        <f ca="1">$M$521*$Z$521</f>
        <v>748.28090000000009</v>
      </c>
      <c r="AG521" s="6">
        <f ca="1">$O$521*$AA$521</f>
        <v>632.69729999999993</v>
      </c>
    </row>
    <row r="522" spans="1:33" ht="11.25" customHeight="1" x14ac:dyDescent="0.3">
      <c r="A522" s="4" t="s">
        <v>21</v>
      </c>
      <c r="B522" s="4" t="s">
        <v>32</v>
      </c>
      <c r="C522" s="4" t="s">
        <v>23</v>
      </c>
      <c r="D522" s="4" t="s">
        <v>49</v>
      </c>
      <c r="E522" s="4" t="s">
        <v>25</v>
      </c>
      <c r="F522" s="4" t="s">
        <v>25</v>
      </c>
      <c r="G522" s="4" t="s">
        <v>25</v>
      </c>
      <c r="H522" s="4" t="s">
        <v>25</v>
      </c>
      <c r="I522" s="5">
        <v>44440</v>
      </c>
      <c r="J522" s="6">
        <v>0</v>
      </c>
      <c r="K522" s="6">
        <v>0</v>
      </c>
      <c r="L522" s="6">
        <v>2.89</v>
      </c>
      <c r="M522" s="6">
        <v>2.89</v>
      </c>
      <c r="N522" s="6">
        <v>2.89</v>
      </c>
      <c r="O522" s="6">
        <v>2.89</v>
      </c>
      <c r="P522" s="6">
        <v>2</v>
      </c>
      <c r="Q522" s="4" t="s">
        <v>26</v>
      </c>
      <c r="R522" s="4">
        <v>0</v>
      </c>
      <c r="S522" s="6">
        <v>0</v>
      </c>
      <c r="T522" s="6">
        <v>77</v>
      </c>
      <c r="U522" s="6">
        <v>52</v>
      </c>
      <c r="V522" s="6">
        <f>IF(ISERROR(VLOOKUP($S$522,'TAR FIN'!$A$1:$O$92,15,0)),0,VLOOKUP($S$522,'TAR FIN'!$A$1:$O$92,15,0))</f>
        <v>0</v>
      </c>
      <c r="W522" s="6">
        <f>IF(ISERROR(VLOOKUP($T$522,'TAR FIN'!$A$1:$O$92,15,0)),0,VLOOKUP($T$522,'TAR FIN'!$A$1:$O$92,15,0))</f>
        <v>343.17</v>
      </c>
      <c r="X522" s="6">
        <f>IF(ISERROR(VLOOKUP($U$522,'TAR FIN'!$A$1:$O$92,15,0)),0,VLOOKUP($U$522,'TAR FIN'!$A$1:$O$92,15,0))</f>
        <v>303.54000000000002</v>
      </c>
      <c r="Y522" s="6"/>
      <c r="Z522" s="6">
        <f ca="1">('TUSD BE'!$AM$52+'TUSD BF_350'!$AM$52+'TUSD CVA'!$AM$52)*1</f>
        <v>310.49</v>
      </c>
      <c r="AA522" s="6">
        <f ca="1">('TE BE'!$AB$40+'TE BF_350'!$AB$40+'TE CVA'!$AB$40)*1</f>
        <v>262.52999999999997</v>
      </c>
      <c r="AB522" s="6">
        <f>$K$522*$V$522</f>
        <v>0</v>
      </c>
      <c r="AC522" s="6">
        <f>$M$522*$W$522</f>
        <v>991.76130000000012</v>
      </c>
      <c r="AD522" s="6">
        <f>$O$522*$X$522</f>
        <v>877.23060000000009</v>
      </c>
      <c r="AE522" s="6">
        <f>$K$522*$Y$522</f>
        <v>0</v>
      </c>
      <c r="AF522" s="6">
        <f ca="1">$M$522*$Z$522</f>
        <v>897.31610000000012</v>
      </c>
      <c r="AG522" s="6">
        <f ca="1">$O$522*$AA$522</f>
        <v>758.71169999999995</v>
      </c>
    </row>
    <row r="523" spans="1:33" ht="11.25" customHeight="1" x14ac:dyDescent="0.3">
      <c r="A523" s="4" t="s">
        <v>21</v>
      </c>
      <c r="B523" s="4" t="s">
        <v>32</v>
      </c>
      <c r="C523" s="4" t="s">
        <v>23</v>
      </c>
      <c r="D523" s="4" t="s">
        <v>49</v>
      </c>
      <c r="E523" s="4" t="s">
        <v>25</v>
      </c>
      <c r="F523" s="4" t="s">
        <v>25</v>
      </c>
      <c r="G523" s="4" t="s">
        <v>25</v>
      </c>
      <c r="H523" s="4" t="s">
        <v>25</v>
      </c>
      <c r="I523" s="5">
        <v>44470</v>
      </c>
      <c r="J523" s="6">
        <v>0</v>
      </c>
      <c r="K523" s="6">
        <v>0</v>
      </c>
      <c r="L523" s="6">
        <v>2.83</v>
      </c>
      <c r="M523" s="6">
        <v>2.83</v>
      </c>
      <c r="N523" s="6">
        <v>2.83</v>
      </c>
      <c r="O523" s="6">
        <v>2.83</v>
      </c>
      <c r="P523" s="6">
        <v>2</v>
      </c>
      <c r="Q523" s="4" t="s">
        <v>26</v>
      </c>
      <c r="R523" s="4">
        <v>0</v>
      </c>
      <c r="S523" s="6">
        <v>0</v>
      </c>
      <c r="T523" s="6">
        <v>77</v>
      </c>
      <c r="U523" s="6">
        <v>52</v>
      </c>
      <c r="V523" s="6">
        <f>IF(ISERROR(VLOOKUP($S$523,'TAR FIN'!$A$1:$O$92,15,0)),0,VLOOKUP($S$523,'TAR FIN'!$A$1:$O$92,15,0))</f>
        <v>0</v>
      </c>
      <c r="W523" s="6">
        <f>IF(ISERROR(VLOOKUP($T$523,'TAR FIN'!$A$1:$O$92,15,0)),0,VLOOKUP($T$523,'TAR FIN'!$A$1:$O$92,15,0))</f>
        <v>343.17</v>
      </c>
      <c r="X523" s="6">
        <f>IF(ISERROR(VLOOKUP($U$523,'TAR FIN'!$A$1:$O$92,15,0)),0,VLOOKUP($U$523,'TAR FIN'!$A$1:$O$92,15,0))</f>
        <v>303.54000000000002</v>
      </c>
      <c r="Y523" s="6"/>
      <c r="Z523" s="6">
        <f ca="1">('TUSD BE'!$AM$52+'TUSD BF_350'!$AM$52+'TUSD CVA'!$AM$52)*1</f>
        <v>310.49</v>
      </c>
      <c r="AA523" s="6">
        <f ca="1">('TE BE'!$AB$40+'TE BF_350'!$AB$40+'TE CVA'!$AB$40)*1</f>
        <v>262.52999999999997</v>
      </c>
      <c r="AB523" s="6">
        <f>$K$523*$V$523</f>
        <v>0</v>
      </c>
      <c r="AC523" s="6">
        <f>$M$523*$W$523</f>
        <v>971.17110000000002</v>
      </c>
      <c r="AD523" s="6">
        <f>$O$523*$X$523</f>
        <v>859.01820000000009</v>
      </c>
      <c r="AE523" s="6">
        <f>$K$523*$Y$523</f>
        <v>0</v>
      </c>
      <c r="AF523" s="6">
        <f ca="1">$M$523*$Z$523</f>
        <v>878.68670000000009</v>
      </c>
      <c r="AG523" s="6">
        <f ca="1">$O$523*$AA$523</f>
        <v>742.95989999999995</v>
      </c>
    </row>
    <row r="524" spans="1:33" ht="11.25" customHeight="1" x14ac:dyDescent="0.3">
      <c r="A524" s="4" t="s">
        <v>21</v>
      </c>
      <c r="B524" s="4" t="s">
        <v>32</v>
      </c>
      <c r="C524" s="4" t="s">
        <v>23</v>
      </c>
      <c r="D524" s="4" t="s">
        <v>49</v>
      </c>
      <c r="E524" s="4" t="s">
        <v>25</v>
      </c>
      <c r="F524" s="4" t="s">
        <v>25</v>
      </c>
      <c r="G524" s="4" t="s">
        <v>25</v>
      </c>
      <c r="H524" s="4" t="s">
        <v>25</v>
      </c>
      <c r="I524" s="5">
        <v>44501</v>
      </c>
      <c r="J524" s="6">
        <v>0</v>
      </c>
      <c r="K524" s="6">
        <v>0</v>
      </c>
      <c r="L524" s="6">
        <v>3.46</v>
      </c>
      <c r="M524" s="6">
        <v>3.46</v>
      </c>
      <c r="N524" s="6">
        <v>3.46</v>
      </c>
      <c r="O524" s="6">
        <v>3.46</v>
      </c>
      <c r="P524" s="6">
        <v>2</v>
      </c>
      <c r="Q524" s="4" t="s">
        <v>26</v>
      </c>
      <c r="R524" s="4">
        <v>0</v>
      </c>
      <c r="S524" s="6">
        <v>0</v>
      </c>
      <c r="T524" s="6">
        <v>77</v>
      </c>
      <c r="U524" s="6">
        <v>52</v>
      </c>
      <c r="V524" s="6">
        <f>IF(ISERROR(VLOOKUP($S$524,'TAR FIN'!$A$1:$O$92,15,0)),0,VLOOKUP($S$524,'TAR FIN'!$A$1:$O$92,15,0))</f>
        <v>0</v>
      </c>
      <c r="W524" s="6">
        <f>IF(ISERROR(VLOOKUP($T$524,'TAR FIN'!$A$1:$O$92,15,0)),0,VLOOKUP($T$524,'TAR FIN'!$A$1:$O$92,15,0))</f>
        <v>343.17</v>
      </c>
      <c r="X524" s="6">
        <f>IF(ISERROR(VLOOKUP($U$524,'TAR FIN'!$A$1:$O$92,15,0)),0,VLOOKUP($U$524,'TAR FIN'!$A$1:$O$92,15,0))</f>
        <v>303.54000000000002</v>
      </c>
      <c r="Y524" s="6"/>
      <c r="Z524" s="6">
        <f ca="1">('TUSD BE'!$AM$52+'TUSD BF_350'!$AM$52+'TUSD CVA'!$AM$52)*1</f>
        <v>310.49</v>
      </c>
      <c r="AA524" s="6">
        <f ca="1">('TE BE'!$AB$40+'TE BF_350'!$AB$40+'TE CVA'!$AB$40)*1</f>
        <v>262.52999999999997</v>
      </c>
      <c r="AB524" s="6">
        <f>$K$524*$V$524</f>
        <v>0</v>
      </c>
      <c r="AC524" s="6">
        <f>$M$524*$W$524</f>
        <v>1187.3682000000001</v>
      </c>
      <c r="AD524" s="6">
        <f>$O$524*$X$524</f>
        <v>1050.2483999999999</v>
      </c>
      <c r="AE524" s="6">
        <f>$K$524*$Y$524</f>
        <v>0</v>
      </c>
      <c r="AF524" s="6">
        <f ca="1">$M$524*$Z$524</f>
        <v>1074.2954</v>
      </c>
      <c r="AG524" s="6">
        <f ca="1">$O$524*$AA$524</f>
        <v>908.35379999999986</v>
      </c>
    </row>
    <row r="525" spans="1:33" ht="11.25" customHeight="1" x14ac:dyDescent="0.3">
      <c r="A525" s="4" t="s">
        <v>21</v>
      </c>
      <c r="B525" s="4" t="s">
        <v>32</v>
      </c>
      <c r="C525" s="4" t="s">
        <v>23</v>
      </c>
      <c r="D525" s="4" t="s">
        <v>49</v>
      </c>
      <c r="E525" s="4" t="s">
        <v>25</v>
      </c>
      <c r="F525" s="4" t="s">
        <v>25</v>
      </c>
      <c r="G525" s="4" t="s">
        <v>25</v>
      </c>
      <c r="H525" s="4" t="s">
        <v>25</v>
      </c>
      <c r="I525" s="5">
        <v>44531</v>
      </c>
      <c r="J525" s="6">
        <v>0</v>
      </c>
      <c r="K525" s="6">
        <v>0</v>
      </c>
      <c r="L525" s="6">
        <v>4.12</v>
      </c>
      <c r="M525" s="6">
        <v>4.12</v>
      </c>
      <c r="N525" s="6">
        <v>4.12</v>
      </c>
      <c r="O525" s="6">
        <v>4.12</v>
      </c>
      <c r="P525" s="6">
        <v>2</v>
      </c>
      <c r="Q525" s="4" t="s">
        <v>26</v>
      </c>
      <c r="R525" s="4">
        <v>0</v>
      </c>
      <c r="S525" s="6">
        <v>0</v>
      </c>
      <c r="T525" s="6">
        <v>77</v>
      </c>
      <c r="U525" s="6">
        <v>52</v>
      </c>
      <c r="V525" s="6">
        <f>IF(ISERROR(VLOOKUP($S$525,'TAR FIN'!$A$1:$O$92,15,0)),0,VLOOKUP($S$525,'TAR FIN'!$A$1:$O$92,15,0))</f>
        <v>0</v>
      </c>
      <c r="W525" s="6">
        <f>IF(ISERROR(VLOOKUP($T$525,'TAR FIN'!$A$1:$O$92,15,0)),0,VLOOKUP($T$525,'TAR FIN'!$A$1:$O$92,15,0))</f>
        <v>343.17</v>
      </c>
      <c r="X525" s="6">
        <f>IF(ISERROR(VLOOKUP($U$525,'TAR FIN'!$A$1:$O$92,15,0)),0,VLOOKUP($U$525,'TAR FIN'!$A$1:$O$92,15,0))</f>
        <v>303.54000000000002</v>
      </c>
      <c r="Y525" s="6"/>
      <c r="Z525" s="6">
        <f ca="1">('TUSD BE'!$AM$52+'TUSD BF_350'!$AM$52+'TUSD CVA'!$AM$52)*1</f>
        <v>310.49</v>
      </c>
      <c r="AA525" s="6">
        <f ca="1">('TE BE'!$AB$40+'TE BF_350'!$AB$40+'TE CVA'!$AB$40)*1</f>
        <v>262.52999999999997</v>
      </c>
      <c r="AB525" s="6">
        <f>$K$525*$V$525</f>
        <v>0</v>
      </c>
      <c r="AC525" s="6">
        <f>$M$525*$W$525</f>
        <v>1413.8604</v>
      </c>
      <c r="AD525" s="6">
        <f>$O$525*$X$525</f>
        <v>1250.5848000000001</v>
      </c>
      <c r="AE525" s="6">
        <f>$K$525*$Y$525</f>
        <v>0</v>
      </c>
      <c r="AF525" s="6">
        <f ca="1">$M$525*$Z$525</f>
        <v>1279.2188000000001</v>
      </c>
      <c r="AG525" s="6">
        <f ca="1">$O$525*$AA$525</f>
        <v>1081.6235999999999</v>
      </c>
    </row>
    <row r="526" spans="1:33" ht="11.25" customHeight="1" x14ac:dyDescent="0.3">
      <c r="A526" s="4" t="s">
        <v>21</v>
      </c>
      <c r="B526" s="4" t="s">
        <v>32</v>
      </c>
      <c r="C526" s="4" t="s">
        <v>23</v>
      </c>
      <c r="D526" s="4" t="s">
        <v>49</v>
      </c>
      <c r="E526" s="4" t="s">
        <v>25</v>
      </c>
      <c r="F526" s="4" t="s">
        <v>25</v>
      </c>
      <c r="G526" s="4" t="s">
        <v>25</v>
      </c>
      <c r="H526" s="4" t="s">
        <v>25</v>
      </c>
      <c r="I526" s="5">
        <v>44562</v>
      </c>
      <c r="J526" s="6">
        <v>0</v>
      </c>
      <c r="K526" s="6">
        <v>0</v>
      </c>
      <c r="L526" s="6">
        <v>4.63</v>
      </c>
      <c r="M526" s="6">
        <v>4.63</v>
      </c>
      <c r="N526" s="6">
        <v>4.63</v>
      </c>
      <c r="O526" s="6">
        <v>4.63</v>
      </c>
      <c r="P526" s="6">
        <v>2</v>
      </c>
      <c r="Q526" s="4" t="s">
        <v>26</v>
      </c>
      <c r="R526" s="4">
        <v>0</v>
      </c>
      <c r="S526" s="6">
        <v>0</v>
      </c>
      <c r="T526" s="6">
        <v>77</v>
      </c>
      <c r="U526" s="6">
        <v>52</v>
      </c>
      <c r="V526" s="6">
        <f>IF(ISERROR(VLOOKUP($S$526,'TAR FIN'!$A$1:$O$92,15,0)),0,VLOOKUP($S$526,'TAR FIN'!$A$1:$O$92,15,0))</f>
        <v>0</v>
      </c>
      <c r="W526" s="6">
        <f>IF(ISERROR(VLOOKUP($T$526,'TAR FIN'!$A$1:$O$92,15,0)),0,VLOOKUP($T$526,'TAR FIN'!$A$1:$O$92,15,0))</f>
        <v>343.17</v>
      </c>
      <c r="X526" s="6">
        <f>IF(ISERROR(VLOOKUP($U$526,'TAR FIN'!$A$1:$O$92,15,0)),0,VLOOKUP($U$526,'TAR FIN'!$A$1:$O$92,15,0))</f>
        <v>303.54000000000002</v>
      </c>
      <c r="Y526" s="6"/>
      <c r="Z526" s="6">
        <f ca="1">('TUSD BE'!$AM$52+'TUSD BF_350'!$AM$52+'TUSD CVA'!$AM$52)*1</f>
        <v>310.49</v>
      </c>
      <c r="AA526" s="6">
        <f ca="1">('TE BE'!$AB$40+'TE BF_350'!$AB$40+'TE CVA'!$AB$40)*1</f>
        <v>262.52999999999997</v>
      </c>
      <c r="AB526" s="6">
        <f>$K$526*$V$526</f>
        <v>0</v>
      </c>
      <c r="AC526" s="6">
        <f>$M$526*$W$526</f>
        <v>1588.8770999999999</v>
      </c>
      <c r="AD526" s="6">
        <f>$O$526*$X$526</f>
        <v>1405.3902</v>
      </c>
      <c r="AE526" s="6">
        <f>$K$526*$Y$526</f>
        <v>0</v>
      </c>
      <c r="AF526" s="6">
        <f ca="1">$M$526*$Z$526</f>
        <v>1437.5687</v>
      </c>
      <c r="AG526" s="6">
        <f ca="1">$O$526*$AA$526</f>
        <v>1215.5138999999999</v>
      </c>
    </row>
    <row r="527" spans="1:33" ht="11.25" customHeight="1" x14ac:dyDescent="0.3">
      <c r="A527" s="4" t="s">
        <v>21</v>
      </c>
      <c r="B527" s="4" t="s">
        <v>32</v>
      </c>
      <c r="C527" s="4" t="s">
        <v>23</v>
      </c>
      <c r="D527" s="4" t="s">
        <v>49</v>
      </c>
      <c r="E527" s="4" t="s">
        <v>25</v>
      </c>
      <c r="F527" s="4" t="s">
        <v>25</v>
      </c>
      <c r="G527" s="4" t="s">
        <v>25</v>
      </c>
      <c r="H527" s="4" t="s">
        <v>25</v>
      </c>
      <c r="I527" s="5">
        <v>44593</v>
      </c>
      <c r="J527" s="6">
        <v>0</v>
      </c>
      <c r="K527" s="6">
        <v>0</v>
      </c>
      <c r="L527" s="6">
        <v>6.49</v>
      </c>
      <c r="M527" s="6">
        <v>6.49</v>
      </c>
      <c r="N527" s="6">
        <v>6.49</v>
      </c>
      <c r="O527" s="6">
        <v>6.49</v>
      </c>
      <c r="P527" s="6">
        <v>2</v>
      </c>
      <c r="Q527" s="4" t="s">
        <v>26</v>
      </c>
      <c r="R527" s="4">
        <v>0</v>
      </c>
      <c r="S527" s="6">
        <v>0</v>
      </c>
      <c r="T527" s="6">
        <v>77</v>
      </c>
      <c r="U527" s="6">
        <v>52</v>
      </c>
      <c r="V527" s="6">
        <f>IF(ISERROR(VLOOKUP($S$527,'TAR FIN'!$A$1:$O$92,15,0)),0,VLOOKUP($S$527,'TAR FIN'!$A$1:$O$92,15,0))</f>
        <v>0</v>
      </c>
      <c r="W527" s="6">
        <f>IF(ISERROR(VLOOKUP($T$527,'TAR FIN'!$A$1:$O$92,15,0)),0,VLOOKUP($T$527,'TAR FIN'!$A$1:$O$92,15,0))</f>
        <v>343.17</v>
      </c>
      <c r="X527" s="6">
        <f>IF(ISERROR(VLOOKUP($U$527,'TAR FIN'!$A$1:$O$92,15,0)),0,VLOOKUP($U$527,'TAR FIN'!$A$1:$O$92,15,0))</f>
        <v>303.54000000000002</v>
      </c>
      <c r="Y527" s="6"/>
      <c r="Z527" s="6">
        <f ca="1">('TUSD BE'!$AM$52+'TUSD BF_350'!$AM$52+'TUSD CVA'!$AM$52)*1</f>
        <v>310.49</v>
      </c>
      <c r="AA527" s="6">
        <f ca="1">('TE BE'!$AB$40+'TE BF_350'!$AB$40+'TE CVA'!$AB$40)*1</f>
        <v>262.52999999999997</v>
      </c>
      <c r="AB527" s="6">
        <f>$K$527*$V$527</f>
        <v>0</v>
      </c>
      <c r="AC527" s="6">
        <f>$M$527*$W$527</f>
        <v>2227.1733000000004</v>
      </c>
      <c r="AD527" s="6">
        <f>$O$527*$X$527</f>
        <v>1969.9746000000002</v>
      </c>
      <c r="AE527" s="6">
        <f>$K$527*$Y$527</f>
        <v>0</v>
      </c>
      <c r="AF527" s="6">
        <f ca="1">$M$527*$Z$527</f>
        <v>2015.0801000000001</v>
      </c>
      <c r="AG527" s="6">
        <f ca="1">$O$527*$AA$527</f>
        <v>1703.8196999999998</v>
      </c>
    </row>
    <row r="528" spans="1:33" ht="11.25" customHeight="1" x14ac:dyDescent="0.3">
      <c r="A528" s="4" t="s">
        <v>21</v>
      </c>
      <c r="B528" s="4" t="s">
        <v>32</v>
      </c>
      <c r="C528" s="4" t="s">
        <v>23</v>
      </c>
      <c r="D528" s="4" t="s">
        <v>49</v>
      </c>
      <c r="E528" s="4" t="s">
        <v>25</v>
      </c>
      <c r="F528" s="4" t="s">
        <v>25</v>
      </c>
      <c r="G528" s="4" t="s">
        <v>25</v>
      </c>
      <c r="H528" s="4" t="s">
        <v>25</v>
      </c>
      <c r="I528" s="5">
        <v>44621</v>
      </c>
      <c r="J528" s="6">
        <v>0</v>
      </c>
      <c r="K528" s="6">
        <v>0</v>
      </c>
      <c r="L528" s="6">
        <v>5.14</v>
      </c>
      <c r="M528" s="6">
        <v>5.14</v>
      </c>
      <c r="N528" s="6">
        <v>5.14</v>
      </c>
      <c r="O528" s="6">
        <v>5.14</v>
      </c>
      <c r="P528" s="6">
        <v>2</v>
      </c>
      <c r="Q528" s="4" t="s">
        <v>26</v>
      </c>
      <c r="R528" s="4">
        <v>0</v>
      </c>
      <c r="S528" s="6">
        <v>0</v>
      </c>
      <c r="T528" s="6">
        <v>77</v>
      </c>
      <c r="U528" s="6">
        <v>52</v>
      </c>
      <c r="V528" s="6">
        <f>IF(ISERROR(VLOOKUP($S$528,'TAR FIN'!$A$1:$O$92,15,0)),0,VLOOKUP($S$528,'TAR FIN'!$A$1:$O$92,15,0))</f>
        <v>0</v>
      </c>
      <c r="W528" s="6">
        <f>IF(ISERROR(VLOOKUP($T$528,'TAR FIN'!$A$1:$O$92,15,0)),0,VLOOKUP($T$528,'TAR FIN'!$A$1:$O$92,15,0))</f>
        <v>343.17</v>
      </c>
      <c r="X528" s="6">
        <f>IF(ISERROR(VLOOKUP($U$528,'TAR FIN'!$A$1:$O$92,15,0)),0,VLOOKUP($U$528,'TAR FIN'!$A$1:$O$92,15,0))</f>
        <v>303.54000000000002</v>
      </c>
      <c r="Y528" s="6"/>
      <c r="Z528" s="6">
        <f ca="1">('TUSD BE'!$AM$52+'TUSD BF_350'!$AM$52+'TUSD CVA'!$AM$52)*1</f>
        <v>310.49</v>
      </c>
      <c r="AA528" s="6">
        <f ca="1">('TE BE'!$AB$40+'TE BF_350'!$AB$40+'TE CVA'!$AB$40)*1</f>
        <v>262.52999999999997</v>
      </c>
      <c r="AB528" s="6">
        <f>$K$528*$V$528</f>
        <v>0</v>
      </c>
      <c r="AC528" s="6">
        <f>$M$528*$W$528</f>
        <v>1763.8938000000001</v>
      </c>
      <c r="AD528" s="6">
        <f>$O$528*$X$528</f>
        <v>1560.1956</v>
      </c>
      <c r="AE528" s="6">
        <f>$K$528*$Y$528</f>
        <v>0</v>
      </c>
      <c r="AF528" s="6">
        <f ca="1">$M$528*$Z$528</f>
        <v>1595.9186</v>
      </c>
      <c r="AG528" s="6">
        <f ca="1">$O$528*$AA$528</f>
        <v>1349.4041999999997</v>
      </c>
    </row>
    <row r="529" spans="1:33" ht="11.25" customHeight="1" x14ac:dyDescent="0.3">
      <c r="A529" s="4" t="s">
        <v>21</v>
      </c>
      <c r="B529" s="4" t="s">
        <v>32</v>
      </c>
      <c r="C529" s="4" t="s">
        <v>23</v>
      </c>
      <c r="D529" s="4" t="s">
        <v>49</v>
      </c>
      <c r="E529" s="4" t="s">
        <v>25</v>
      </c>
      <c r="F529" s="4" t="s">
        <v>25</v>
      </c>
      <c r="G529" s="4" t="s">
        <v>25</v>
      </c>
      <c r="H529" s="4" t="s">
        <v>25</v>
      </c>
      <c r="I529" s="5">
        <v>44652</v>
      </c>
      <c r="J529" s="6">
        <v>0</v>
      </c>
      <c r="K529" s="6">
        <v>0</v>
      </c>
      <c r="L529" s="6">
        <v>4.57</v>
      </c>
      <c r="M529" s="6">
        <v>4.57</v>
      </c>
      <c r="N529" s="6">
        <v>4.57</v>
      </c>
      <c r="O529" s="6">
        <v>4.57</v>
      </c>
      <c r="P529" s="6">
        <v>2</v>
      </c>
      <c r="Q529" s="4" t="s">
        <v>26</v>
      </c>
      <c r="R529" s="4">
        <v>0</v>
      </c>
      <c r="S529" s="6">
        <v>0</v>
      </c>
      <c r="T529" s="6">
        <v>77</v>
      </c>
      <c r="U529" s="6">
        <v>52</v>
      </c>
      <c r="V529" s="6">
        <f>IF(ISERROR(VLOOKUP($S$529,'TAR FIN'!$A$1:$O$92,15,0)),0,VLOOKUP($S$529,'TAR FIN'!$A$1:$O$92,15,0))</f>
        <v>0</v>
      </c>
      <c r="W529" s="6">
        <f>IF(ISERROR(VLOOKUP($T$529,'TAR FIN'!$A$1:$O$92,15,0)),0,VLOOKUP($T$529,'TAR FIN'!$A$1:$O$92,15,0))</f>
        <v>343.17</v>
      </c>
      <c r="X529" s="6">
        <f>IF(ISERROR(VLOOKUP($U$529,'TAR FIN'!$A$1:$O$92,15,0)),0,VLOOKUP($U$529,'TAR FIN'!$A$1:$O$92,15,0))</f>
        <v>303.54000000000002</v>
      </c>
      <c r="Y529" s="6"/>
      <c r="Z529" s="6">
        <f ca="1">('TUSD BE'!$AM$52+'TUSD BF_350'!$AM$52+'TUSD CVA'!$AM$52)*1</f>
        <v>310.49</v>
      </c>
      <c r="AA529" s="6">
        <f ca="1">('TE BE'!$AB$40+'TE BF_350'!$AB$40+'TE CVA'!$AB$40)*1</f>
        <v>262.52999999999997</v>
      </c>
      <c r="AB529" s="6">
        <f>$K$529*$V$529</f>
        <v>0</v>
      </c>
      <c r="AC529" s="6">
        <f>$M$529*$W$529</f>
        <v>1568.2869000000001</v>
      </c>
      <c r="AD529" s="6">
        <f>$O$529*$X$529</f>
        <v>1387.1778000000002</v>
      </c>
      <c r="AE529" s="6">
        <f>$K$529*$Y$529</f>
        <v>0</v>
      </c>
      <c r="AF529" s="6">
        <f ca="1">$M$529*$Z$529</f>
        <v>1418.9393000000002</v>
      </c>
      <c r="AG529" s="6">
        <f ca="1">$O$529*$AA$529</f>
        <v>1199.7620999999999</v>
      </c>
    </row>
    <row r="530" spans="1:33" ht="11.25" customHeight="1" x14ac:dyDescent="0.3">
      <c r="A530" s="4" t="s">
        <v>21</v>
      </c>
      <c r="B530" s="4" t="s">
        <v>32</v>
      </c>
      <c r="C530" s="4" t="s">
        <v>23</v>
      </c>
      <c r="D530" s="4" t="s">
        <v>49</v>
      </c>
      <c r="E530" s="4" t="s">
        <v>25</v>
      </c>
      <c r="F530" s="4" t="s">
        <v>25</v>
      </c>
      <c r="G530" s="4" t="s">
        <v>25</v>
      </c>
      <c r="H530" s="4" t="s">
        <v>25</v>
      </c>
      <c r="I530" s="5">
        <v>44682</v>
      </c>
      <c r="J530" s="6">
        <v>0</v>
      </c>
      <c r="K530" s="6">
        <v>0</v>
      </c>
      <c r="L530" s="6">
        <v>2.68</v>
      </c>
      <c r="M530" s="6">
        <v>2.68</v>
      </c>
      <c r="N530" s="6">
        <v>2.68</v>
      </c>
      <c r="O530" s="6">
        <v>2.68</v>
      </c>
      <c r="P530" s="6">
        <v>2</v>
      </c>
      <c r="Q530" s="4" t="s">
        <v>26</v>
      </c>
      <c r="R530" s="4">
        <v>0</v>
      </c>
      <c r="S530" s="6">
        <v>0</v>
      </c>
      <c r="T530" s="6">
        <v>77</v>
      </c>
      <c r="U530" s="6">
        <v>52</v>
      </c>
      <c r="V530" s="6">
        <f>IF(ISERROR(VLOOKUP($S$530,'TAR FIN'!$A$1:$O$92,15,0)),0,VLOOKUP($S$530,'TAR FIN'!$A$1:$O$92,15,0))</f>
        <v>0</v>
      </c>
      <c r="W530" s="6">
        <f>IF(ISERROR(VLOOKUP($T$530,'TAR FIN'!$A$1:$O$92,15,0)),0,VLOOKUP($T$530,'TAR FIN'!$A$1:$O$92,15,0))</f>
        <v>343.17</v>
      </c>
      <c r="X530" s="6">
        <f>IF(ISERROR(VLOOKUP($U$530,'TAR FIN'!$A$1:$O$92,15,0)),0,VLOOKUP($U$530,'TAR FIN'!$A$1:$O$92,15,0))</f>
        <v>303.54000000000002</v>
      </c>
      <c r="Y530" s="6"/>
      <c r="Z530" s="6">
        <f ca="1">('TUSD BE'!$AM$52+'TUSD BF_350'!$AM$52+'TUSD CVA'!$AM$52)*1</f>
        <v>310.49</v>
      </c>
      <c r="AA530" s="6">
        <f ca="1">('TE BE'!$AB$40+'TE BF_350'!$AB$40+'TE CVA'!$AB$40)*1</f>
        <v>262.52999999999997</v>
      </c>
      <c r="AB530" s="6">
        <f>$K$530*$V$530</f>
        <v>0</v>
      </c>
      <c r="AC530" s="6">
        <f>$M$530*$W$530</f>
        <v>919.69560000000013</v>
      </c>
      <c r="AD530" s="6">
        <f>$O$530*$X$530</f>
        <v>813.48720000000014</v>
      </c>
      <c r="AE530" s="6">
        <f>$K$530*$Y$530</f>
        <v>0</v>
      </c>
      <c r="AF530" s="6">
        <f ca="1">$M$530*$Z$530</f>
        <v>832.11320000000012</v>
      </c>
      <c r="AG530" s="6">
        <f ca="1">$O$530*$AA$530</f>
        <v>703.58039999999994</v>
      </c>
    </row>
    <row r="531" spans="1:33" ht="11.25" customHeight="1" x14ac:dyDescent="0.3">
      <c r="A531" s="4" t="s">
        <v>21</v>
      </c>
      <c r="B531" s="4" t="s">
        <v>32</v>
      </c>
      <c r="C531" s="4" t="s">
        <v>23</v>
      </c>
      <c r="D531" s="4" t="s">
        <v>49</v>
      </c>
      <c r="E531" s="4" t="s">
        <v>25</v>
      </c>
      <c r="F531" s="4" t="s">
        <v>25</v>
      </c>
      <c r="G531" s="4" t="s">
        <v>25</v>
      </c>
      <c r="H531" s="4" t="s">
        <v>25</v>
      </c>
      <c r="I531" s="5">
        <v>44713</v>
      </c>
      <c r="J531" s="6">
        <v>0</v>
      </c>
      <c r="K531" s="6">
        <v>0</v>
      </c>
      <c r="L531" s="6">
        <v>2.68</v>
      </c>
      <c r="M531" s="6">
        <v>2.68</v>
      </c>
      <c r="N531" s="6">
        <v>2.68</v>
      </c>
      <c r="O531" s="6">
        <v>2.68</v>
      </c>
      <c r="P531" s="6">
        <v>2</v>
      </c>
      <c r="Q531" s="4" t="s">
        <v>26</v>
      </c>
      <c r="R531" s="4">
        <v>0</v>
      </c>
      <c r="S531" s="6">
        <v>0</v>
      </c>
      <c r="T531" s="6">
        <v>77</v>
      </c>
      <c r="U531" s="6">
        <v>52</v>
      </c>
      <c r="V531" s="6">
        <f>IF(ISERROR(VLOOKUP($S$531,'TAR FIN'!$A$1:$O$92,15,0)),0,VLOOKUP($S$531,'TAR FIN'!$A$1:$O$92,15,0))</f>
        <v>0</v>
      </c>
      <c r="W531" s="6">
        <f>IF(ISERROR(VLOOKUP($T$531,'TAR FIN'!$A$1:$O$92,15,0)),0,VLOOKUP($T$531,'TAR FIN'!$A$1:$O$92,15,0))</f>
        <v>343.17</v>
      </c>
      <c r="X531" s="6">
        <f>IF(ISERROR(VLOOKUP($U$531,'TAR FIN'!$A$1:$O$92,15,0)),0,VLOOKUP($U$531,'TAR FIN'!$A$1:$O$92,15,0))</f>
        <v>303.54000000000002</v>
      </c>
      <c r="Y531" s="6"/>
      <c r="Z531" s="6">
        <f ca="1">('TUSD BE'!$AM$52+'TUSD BF_350'!$AM$52+'TUSD CVA'!$AM$52)*1</f>
        <v>310.49</v>
      </c>
      <c r="AA531" s="6">
        <f ca="1">('TE BE'!$AB$40+'TE BF_350'!$AB$40+'TE CVA'!$AB$40)*1</f>
        <v>262.52999999999997</v>
      </c>
      <c r="AB531" s="6">
        <f>$K$531*$V$531</f>
        <v>0</v>
      </c>
      <c r="AC531" s="6">
        <f>$M$531*$W$531</f>
        <v>919.69560000000013</v>
      </c>
      <c r="AD531" s="6">
        <f>$O$531*$X$531</f>
        <v>813.48720000000014</v>
      </c>
      <c r="AE531" s="6">
        <f>$K$531*$Y$531</f>
        <v>0</v>
      </c>
      <c r="AF531" s="6">
        <f ca="1">$M$531*$Z$531</f>
        <v>832.11320000000012</v>
      </c>
      <c r="AG531" s="6">
        <f ca="1">$O$531*$AA$531</f>
        <v>703.58039999999994</v>
      </c>
    </row>
    <row r="532" spans="1:33" ht="11.25" customHeight="1" x14ac:dyDescent="0.3">
      <c r="A532" s="4" t="s">
        <v>21</v>
      </c>
      <c r="B532" s="4" t="s">
        <v>32</v>
      </c>
      <c r="C532" s="4" t="s">
        <v>23</v>
      </c>
      <c r="D532" s="4" t="s">
        <v>49</v>
      </c>
      <c r="E532" s="4" t="s">
        <v>25</v>
      </c>
      <c r="F532" s="4" t="s">
        <v>25</v>
      </c>
      <c r="G532" s="4" t="s">
        <v>25</v>
      </c>
      <c r="H532" s="4" t="s">
        <v>25</v>
      </c>
      <c r="I532" s="5">
        <v>44743</v>
      </c>
      <c r="J532" s="6">
        <v>0</v>
      </c>
      <c r="K532" s="6">
        <v>0</v>
      </c>
      <c r="L532" s="6">
        <v>2.38</v>
      </c>
      <c r="M532" s="6">
        <v>2.38</v>
      </c>
      <c r="N532" s="6">
        <v>2.38</v>
      </c>
      <c r="O532" s="6">
        <v>2.38</v>
      </c>
      <c r="P532" s="6">
        <v>2</v>
      </c>
      <c r="Q532" s="4" t="s">
        <v>26</v>
      </c>
      <c r="R532" s="4">
        <v>0</v>
      </c>
      <c r="S532" s="6">
        <v>0</v>
      </c>
      <c r="T532" s="6">
        <v>77</v>
      </c>
      <c r="U532" s="6">
        <v>52</v>
      </c>
      <c r="V532" s="6">
        <f>IF(ISERROR(VLOOKUP($S$532,'TAR FIN'!$A$1:$O$92,15,0)),0,VLOOKUP($S$532,'TAR FIN'!$A$1:$O$92,15,0))</f>
        <v>0</v>
      </c>
      <c r="W532" s="6">
        <f>IF(ISERROR(VLOOKUP($T$532,'TAR FIN'!$A$1:$O$92,15,0)),0,VLOOKUP($T$532,'TAR FIN'!$A$1:$O$92,15,0))</f>
        <v>343.17</v>
      </c>
      <c r="X532" s="6">
        <f>IF(ISERROR(VLOOKUP($U$532,'TAR FIN'!$A$1:$O$92,15,0)),0,VLOOKUP($U$532,'TAR FIN'!$A$1:$O$92,15,0))</f>
        <v>303.54000000000002</v>
      </c>
      <c r="Y532" s="6"/>
      <c r="Z532" s="6">
        <f ca="1">('TUSD BE'!$AM$52+'TUSD BF_350'!$AM$52+'TUSD CVA'!$AM$52)*1</f>
        <v>310.49</v>
      </c>
      <c r="AA532" s="6">
        <f ca="1">('TE BE'!$AB$40+'TE BF_350'!$AB$40+'TE CVA'!$AB$40)*1</f>
        <v>262.52999999999997</v>
      </c>
      <c r="AB532" s="6">
        <f>$K$532*$V$532</f>
        <v>0</v>
      </c>
      <c r="AC532" s="6">
        <f>$M$532*$W$532</f>
        <v>816.74459999999999</v>
      </c>
      <c r="AD532" s="6">
        <f>$O$532*$X$532</f>
        <v>722.42520000000002</v>
      </c>
      <c r="AE532" s="6">
        <f>$K$532*$Y$532</f>
        <v>0</v>
      </c>
      <c r="AF532" s="6">
        <f ca="1">$M$532*$Z$532</f>
        <v>738.96619999999996</v>
      </c>
      <c r="AG532" s="6">
        <f ca="1">$O$532*$AA$532</f>
        <v>624.82139999999993</v>
      </c>
    </row>
    <row r="533" spans="1:33" ht="11.25" customHeight="1" x14ac:dyDescent="0.3">
      <c r="A533" s="4" t="s">
        <v>21</v>
      </c>
      <c r="B533" s="4" t="s">
        <v>32</v>
      </c>
      <c r="C533" s="4" t="s">
        <v>23</v>
      </c>
      <c r="D533" s="4" t="s">
        <v>33</v>
      </c>
      <c r="E533" s="4" t="s">
        <v>25</v>
      </c>
      <c r="F533" s="4" t="s">
        <v>25</v>
      </c>
      <c r="G533" s="4" t="s">
        <v>25</v>
      </c>
      <c r="H533" s="4" t="s">
        <v>25</v>
      </c>
      <c r="I533" s="5">
        <v>44409</v>
      </c>
      <c r="J533" s="6">
        <v>0</v>
      </c>
      <c r="K533" s="6">
        <v>0</v>
      </c>
      <c r="L533" s="6">
        <v>98.552999999999997</v>
      </c>
      <c r="M533" s="6">
        <v>98.552999999999997</v>
      </c>
      <c r="N533" s="6">
        <v>98.552999999999997</v>
      </c>
      <c r="O533" s="6">
        <v>98.552999999999997</v>
      </c>
      <c r="P533" s="6">
        <v>89</v>
      </c>
      <c r="Q533" s="4" t="s">
        <v>26</v>
      </c>
      <c r="R533" s="4">
        <v>0</v>
      </c>
      <c r="S533" s="6">
        <v>0</v>
      </c>
      <c r="T533" s="6">
        <v>77</v>
      </c>
      <c r="U533" s="6">
        <v>52</v>
      </c>
      <c r="V533" s="6">
        <f>IF(ISERROR(VLOOKUP($S$533,'TAR FIN'!$A$1:$O$92,15,0)),0,VLOOKUP($S$533,'TAR FIN'!$A$1:$O$92,15,0))</f>
        <v>0</v>
      </c>
      <c r="W533" s="6">
        <f>IF(ISERROR(VLOOKUP($T$533,'TAR FIN'!$A$1:$O$92,15,0)),0,VLOOKUP($T$533,'TAR FIN'!$A$1:$O$92,15,0))</f>
        <v>343.17</v>
      </c>
      <c r="X533" s="6">
        <f>IF(ISERROR(VLOOKUP($U$533,'TAR FIN'!$A$1:$O$92,15,0)),0,VLOOKUP($U$533,'TAR FIN'!$A$1:$O$92,15,0))</f>
        <v>303.54000000000002</v>
      </c>
      <c r="Y533" s="6"/>
      <c r="Z533" s="6">
        <f ca="1">('TUSD BE'!$AM$52+'TUSD BF_350'!$AM$52+'TUSD CVA'!$AM$52)*1</f>
        <v>310.49</v>
      </c>
      <c r="AA533" s="6">
        <f ca="1">('TE BE'!$AB$40+'TE BF_350'!$AB$40+'TE CVA'!$AB$40)*1</f>
        <v>262.52999999999997</v>
      </c>
      <c r="AB533" s="6">
        <f>$K$533*$V$533</f>
        <v>0</v>
      </c>
      <c r="AC533" s="6">
        <f>$M$533*$W$533</f>
        <v>33820.433010000001</v>
      </c>
      <c r="AD533" s="6">
        <f>$O$533*$X$533</f>
        <v>29914.777620000001</v>
      </c>
      <c r="AE533" s="6">
        <f>$K$533*$Y$533</f>
        <v>0</v>
      </c>
      <c r="AF533" s="6">
        <f ca="1">$M$533*$Z$533</f>
        <v>30599.720969999998</v>
      </c>
      <c r="AG533" s="6">
        <f ca="1">$O$533*$AA$533</f>
        <v>25873.119089999997</v>
      </c>
    </row>
    <row r="534" spans="1:33" ht="11.25" customHeight="1" x14ac:dyDescent="0.3">
      <c r="A534" s="4" t="s">
        <v>27</v>
      </c>
      <c r="B534" s="4" t="s">
        <v>32</v>
      </c>
      <c r="C534" s="4" t="s">
        <v>23</v>
      </c>
      <c r="D534" s="4" t="s">
        <v>33</v>
      </c>
      <c r="E534" s="4" t="s">
        <v>25</v>
      </c>
      <c r="F534" s="4" t="s">
        <v>25</v>
      </c>
      <c r="G534" s="4" t="s">
        <v>25</v>
      </c>
      <c r="H534" s="4" t="s">
        <v>25</v>
      </c>
      <c r="I534" s="5">
        <v>44409</v>
      </c>
      <c r="J534" s="6">
        <v>0</v>
      </c>
      <c r="K534" s="6">
        <v>0</v>
      </c>
      <c r="L534" s="6">
        <v>0.45500000000000002</v>
      </c>
      <c r="M534" s="6">
        <v>0.45500000000000002</v>
      </c>
      <c r="N534" s="6">
        <v>0.45500000000000002</v>
      </c>
      <c r="O534" s="6">
        <v>0.45500000000000002</v>
      </c>
      <c r="P534" s="6">
        <v>3</v>
      </c>
      <c r="Q534" s="4" t="s">
        <v>26</v>
      </c>
      <c r="R534" s="4">
        <v>0</v>
      </c>
      <c r="S534" s="6">
        <v>0</v>
      </c>
      <c r="T534" s="6">
        <v>77</v>
      </c>
      <c r="U534" s="6">
        <v>52</v>
      </c>
      <c r="V534" s="6">
        <f>IF(ISERROR(VLOOKUP($S$534,'TAR FIN'!$A$1:$O$92,15,0)),0,VLOOKUP($S$534,'TAR FIN'!$A$1:$O$92,15,0))</f>
        <v>0</v>
      </c>
      <c r="W534" s="6">
        <f>IF(ISERROR(VLOOKUP($T$534,'TAR FIN'!$A$1:$O$92,15,0)),0,VLOOKUP($T$534,'TAR FIN'!$A$1:$O$92,15,0))</f>
        <v>343.17</v>
      </c>
      <c r="X534" s="6">
        <f>IF(ISERROR(VLOOKUP($U$534,'TAR FIN'!$A$1:$O$92,15,0)),0,VLOOKUP($U$534,'TAR FIN'!$A$1:$O$92,15,0))</f>
        <v>303.54000000000002</v>
      </c>
      <c r="Y534" s="6"/>
      <c r="Z534" s="6">
        <f ca="1">('TUSD BE'!$AM$52+'TUSD BF_350'!$AM$52+'TUSD CVA'!$AM$52)*1</f>
        <v>310.49</v>
      </c>
      <c r="AA534" s="6">
        <f ca="1">('TE BE'!$AB$40+'TE BF_350'!$AB$40+'TE CVA'!$AB$40)*1</f>
        <v>262.52999999999997</v>
      </c>
      <c r="AB534" s="6">
        <f>$K$534*$V$534</f>
        <v>0</v>
      </c>
      <c r="AC534" s="6">
        <f>$M$534*$W$534</f>
        <v>156.14235000000002</v>
      </c>
      <c r="AD534" s="6">
        <f>$O$534*$X$534</f>
        <v>138.11070000000001</v>
      </c>
      <c r="AE534" s="6">
        <f>$K$534*$Y$534</f>
        <v>0</v>
      </c>
      <c r="AF534" s="6">
        <f ca="1">$M$534*$Z$534</f>
        <v>141.27295000000001</v>
      </c>
      <c r="AG534" s="6">
        <f ca="1">$O$534*$AA$534</f>
        <v>119.45115</v>
      </c>
    </row>
    <row r="535" spans="1:33" ht="11.25" customHeight="1" x14ac:dyDescent="0.3">
      <c r="A535" s="4" t="s">
        <v>21</v>
      </c>
      <c r="B535" s="4" t="s">
        <v>32</v>
      </c>
      <c r="C535" s="4" t="s">
        <v>23</v>
      </c>
      <c r="D535" s="4" t="s">
        <v>33</v>
      </c>
      <c r="E535" s="4" t="s">
        <v>25</v>
      </c>
      <c r="F535" s="4" t="s">
        <v>25</v>
      </c>
      <c r="G535" s="4" t="s">
        <v>25</v>
      </c>
      <c r="H535" s="4" t="s">
        <v>25</v>
      </c>
      <c r="I535" s="5">
        <v>44440</v>
      </c>
      <c r="J535" s="6">
        <v>0</v>
      </c>
      <c r="K535" s="6">
        <v>0</v>
      </c>
      <c r="L535" s="6">
        <v>105.804</v>
      </c>
      <c r="M535" s="6">
        <v>105.804</v>
      </c>
      <c r="N535" s="6">
        <v>105.804</v>
      </c>
      <c r="O535" s="6">
        <v>105.804</v>
      </c>
      <c r="P535" s="6">
        <v>88</v>
      </c>
      <c r="Q535" s="4" t="s">
        <v>26</v>
      </c>
      <c r="R535" s="4">
        <v>0</v>
      </c>
      <c r="S535" s="6">
        <v>0</v>
      </c>
      <c r="T535" s="6">
        <v>77</v>
      </c>
      <c r="U535" s="6">
        <v>52</v>
      </c>
      <c r="V535" s="6">
        <f>IF(ISERROR(VLOOKUP($S$535,'TAR FIN'!$A$1:$O$92,15,0)),0,VLOOKUP($S$535,'TAR FIN'!$A$1:$O$92,15,0))</f>
        <v>0</v>
      </c>
      <c r="W535" s="6">
        <f>IF(ISERROR(VLOOKUP($T$535,'TAR FIN'!$A$1:$O$92,15,0)),0,VLOOKUP($T$535,'TAR FIN'!$A$1:$O$92,15,0))</f>
        <v>343.17</v>
      </c>
      <c r="X535" s="6">
        <f>IF(ISERROR(VLOOKUP($U$535,'TAR FIN'!$A$1:$O$92,15,0)),0,VLOOKUP($U$535,'TAR FIN'!$A$1:$O$92,15,0))</f>
        <v>303.54000000000002</v>
      </c>
      <c r="Y535" s="6"/>
      <c r="Z535" s="6">
        <f ca="1">('TUSD BE'!$AM$52+'TUSD BF_350'!$AM$52+'TUSD CVA'!$AM$52)*1</f>
        <v>310.49</v>
      </c>
      <c r="AA535" s="6">
        <f ca="1">('TE BE'!$AB$40+'TE BF_350'!$AB$40+'TE CVA'!$AB$40)*1</f>
        <v>262.52999999999997</v>
      </c>
      <c r="AB535" s="6">
        <f>$K$535*$V$535</f>
        <v>0</v>
      </c>
      <c r="AC535" s="6">
        <f>$M$535*$W$535</f>
        <v>36308.758679999999</v>
      </c>
      <c r="AD535" s="6">
        <f>$O$535*$X$535</f>
        <v>32115.746160000002</v>
      </c>
      <c r="AE535" s="6">
        <f>$K$535*$Y$535</f>
        <v>0</v>
      </c>
      <c r="AF535" s="6">
        <f ca="1">$M$535*$Z$535</f>
        <v>32851.083960000004</v>
      </c>
      <c r="AG535" s="6">
        <f ca="1">$O$535*$AA$535</f>
        <v>27776.724119999999</v>
      </c>
    </row>
    <row r="536" spans="1:33" ht="11.25" customHeight="1" x14ac:dyDescent="0.3">
      <c r="A536" s="4" t="s">
        <v>27</v>
      </c>
      <c r="B536" s="4" t="s">
        <v>32</v>
      </c>
      <c r="C536" s="4" t="s">
        <v>23</v>
      </c>
      <c r="D536" s="4" t="s">
        <v>33</v>
      </c>
      <c r="E536" s="4" t="s">
        <v>25</v>
      </c>
      <c r="F536" s="4" t="s">
        <v>25</v>
      </c>
      <c r="G536" s="4" t="s">
        <v>25</v>
      </c>
      <c r="H536" s="4" t="s">
        <v>25</v>
      </c>
      <c r="I536" s="5">
        <v>44440</v>
      </c>
      <c r="J536" s="6">
        <v>0</v>
      </c>
      <c r="K536" s="6">
        <v>0</v>
      </c>
      <c r="L536" s="6">
        <v>0.97899999999999998</v>
      </c>
      <c r="M536" s="6">
        <v>0.97899999999999998</v>
      </c>
      <c r="N536" s="6">
        <v>0.97899999999999998</v>
      </c>
      <c r="O536" s="6">
        <v>0.97899999999999998</v>
      </c>
      <c r="P536" s="6">
        <v>3</v>
      </c>
      <c r="Q536" s="4" t="s">
        <v>26</v>
      </c>
      <c r="R536" s="4">
        <v>0</v>
      </c>
      <c r="S536" s="6">
        <v>0</v>
      </c>
      <c r="T536" s="6">
        <v>77</v>
      </c>
      <c r="U536" s="6">
        <v>52</v>
      </c>
      <c r="V536" s="6">
        <f>IF(ISERROR(VLOOKUP($S$536,'TAR FIN'!$A$1:$O$92,15,0)),0,VLOOKUP($S$536,'TAR FIN'!$A$1:$O$92,15,0))</f>
        <v>0</v>
      </c>
      <c r="W536" s="6">
        <f>IF(ISERROR(VLOOKUP($T$536,'TAR FIN'!$A$1:$O$92,15,0)),0,VLOOKUP($T$536,'TAR FIN'!$A$1:$O$92,15,0))</f>
        <v>343.17</v>
      </c>
      <c r="X536" s="6">
        <f>IF(ISERROR(VLOOKUP($U$536,'TAR FIN'!$A$1:$O$92,15,0)),0,VLOOKUP($U$536,'TAR FIN'!$A$1:$O$92,15,0))</f>
        <v>303.54000000000002</v>
      </c>
      <c r="Y536" s="6"/>
      <c r="Z536" s="6">
        <f ca="1">('TUSD BE'!$AM$52+'TUSD BF_350'!$AM$52+'TUSD CVA'!$AM$52)*1</f>
        <v>310.49</v>
      </c>
      <c r="AA536" s="6">
        <f ca="1">('TE BE'!$AB$40+'TE BF_350'!$AB$40+'TE CVA'!$AB$40)*1</f>
        <v>262.52999999999997</v>
      </c>
      <c r="AB536" s="6">
        <f>$K$536*$V$536</f>
        <v>0</v>
      </c>
      <c r="AC536" s="6">
        <f>$M$536*$W$536</f>
        <v>335.96343000000002</v>
      </c>
      <c r="AD536" s="6">
        <f>$O$536*$X$536</f>
        <v>297.16566</v>
      </c>
      <c r="AE536" s="6">
        <f>$K$536*$Y$536</f>
        <v>0</v>
      </c>
      <c r="AF536" s="6">
        <f ca="1">$M$536*$Z$536</f>
        <v>303.96971000000002</v>
      </c>
      <c r="AG536" s="6">
        <f ca="1">$O$536*$AA$536</f>
        <v>257.01686999999998</v>
      </c>
    </row>
    <row r="537" spans="1:33" ht="11.25" customHeight="1" x14ac:dyDescent="0.3">
      <c r="A537" s="4" t="s">
        <v>21</v>
      </c>
      <c r="B537" s="4" t="s">
        <v>32</v>
      </c>
      <c r="C537" s="4" t="s">
        <v>23</v>
      </c>
      <c r="D537" s="4" t="s">
        <v>33</v>
      </c>
      <c r="E537" s="4" t="s">
        <v>25</v>
      </c>
      <c r="F537" s="4" t="s">
        <v>25</v>
      </c>
      <c r="G537" s="4" t="s">
        <v>25</v>
      </c>
      <c r="H537" s="4" t="s">
        <v>25</v>
      </c>
      <c r="I537" s="5">
        <v>44470</v>
      </c>
      <c r="J537" s="6">
        <v>0</v>
      </c>
      <c r="K537" s="6">
        <v>0</v>
      </c>
      <c r="L537" s="6">
        <v>97.123999999999995</v>
      </c>
      <c r="M537" s="6">
        <v>97.123999999999995</v>
      </c>
      <c r="N537" s="6">
        <v>97.123999999999995</v>
      </c>
      <c r="O537" s="6">
        <v>97.123999999999995</v>
      </c>
      <c r="P537" s="6">
        <v>87</v>
      </c>
      <c r="Q537" s="4" t="s">
        <v>26</v>
      </c>
      <c r="R537" s="4">
        <v>0</v>
      </c>
      <c r="S537" s="6">
        <v>0</v>
      </c>
      <c r="T537" s="6">
        <v>77</v>
      </c>
      <c r="U537" s="6">
        <v>52</v>
      </c>
      <c r="V537" s="6">
        <f>IF(ISERROR(VLOOKUP($S$537,'TAR FIN'!$A$1:$O$92,15,0)),0,VLOOKUP($S$537,'TAR FIN'!$A$1:$O$92,15,0))</f>
        <v>0</v>
      </c>
      <c r="W537" s="6">
        <f>IF(ISERROR(VLOOKUP($T$537,'TAR FIN'!$A$1:$O$92,15,0)),0,VLOOKUP($T$537,'TAR FIN'!$A$1:$O$92,15,0))</f>
        <v>343.17</v>
      </c>
      <c r="X537" s="6">
        <f>IF(ISERROR(VLOOKUP($U$537,'TAR FIN'!$A$1:$O$92,15,0)),0,VLOOKUP($U$537,'TAR FIN'!$A$1:$O$92,15,0))</f>
        <v>303.54000000000002</v>
      </c>
      <c r="Y537" s="6"/>
      <c r="Z537" s="6">
        <f ca="1">('TUSD BE'!$AM$52+'TUSD BF_350'!$AM$52+'TUSD CVA'!$AM$52)*1</f>
        <v>310.49</v>
      </c>
      <c r="AA537" s="6">
        <f ca="1">('TE BE'!$AB$40+'TE BF_350'!$AB$40+'TE CVA'!$AB$40)*1</f>
        <v>262.52999999999997</v>
      </c>
      <c r="AB537" s="6">
        <f>$K$537*$V$537</f>
        <v>0</v>
      </c>
      <c r="AC537" s="6">
        <f>$M$537*$W$537</f>
        <v>33330.043080000003</v>
      </c>
      <c r="AD537" s="6">
        <f>$O$537*$X$537</f>
        <v>29481.018960000001</v>
      </c>
      <c r="AE537" s="6">
        <f>$K$537*$Y$537</f>
        <v>0</v>
      </c>
      <c r="AF537" s="6">
        <f ca="1">$M$537*$Z$537</f>
        <v>30156.030759999998</v>
      </c>
      <c r="AG537" s="6">
        <f ca="1">$O$537*$AA$537</f>
        <v>25497.963719999996</v>
      </c>
    </row>
    <row r="538" spans="1:33" ht="11.25" customHeight="1" x14ac:dyDescent="0.3">
      <c r="A538" s="4" t="s">
        <v>27</v>
      </c>
      <c r="B538" s="4" t="s">
        <v>32</v>
      </c>
      <c r="C538" s="4" t="s">
        <v>23</v>
      </c>
      <c r="D538" s="4" t="s">
        <v>33</v>
      </c>
      <c r="E538" s="4" t="s">
        <v>25</v>
      </c>
      <c r="F538" s="4" t="s">
        <v>25</v>
      </c>
      <c r="G538" s="4" t="s">
        <v>25</v>
      </c>
      <c r="H538" s="4" t="s">
        <v>25</v>
      </c>
      <c r="I538" s="5">
        <v>44470</v>
      </c>
      <c r="J538" s="6">
        <v>0</v>
      </c>
      <c r="K538" s="6">
        <v>0</v>
      </c>
      <c r="L538" s="6">
        <v>2.5230000000000001</v>
      </c>
      <c r="M538" s="6">
        <v>2.5230000000000001</v>
      </c>
      <c r="N538" s="6">
        <v>2.5230000000000001</v>
      </c>
      <c r="O538" s="6">
        <v>2.5230000000000001</v>
      </c>
      <c r="P538" s="6">
        <v>4</v>
      </c>
      <c r="Q538" s="4" t="s">
        <v>26</v>
      </c>
      <c r="R538" s="4">
        <v>0</v>
      </c>
      <c r="S538" s="6">
        <v>0</v>
      </c>
      <c r="T538" s="6">
        <v>77</v>
      </c>
      <c r="U538" s="6">
        <v>52</v>
      </c>
      <c r="V538" s="6">
        <f>IF(ISERROR(VLOOKUP($S$538,'TAR FIN'!$A$1:$O$92,15,0)),0,VLOOKUP($S$538,'TAR FIN'!$A$1:$O$92,15,0))</f>
        <v>0</v>
      </c>
      <c r="W538" s="6">
        <f>IF(ISERROR(VLOOKUP($T$538,'TAR FIN'!$A$1:$O$92,15,0)),0,VLOOKUP($T$538,'TAR FIN'!$A$1:$O$92,15,0))</f>
        <v>343.17</v>
      </c>
      <c r="X538" s="6">
        <f>IF(ISERROR(VLOOKUP($U$538,'TAR FIN'!$A$1:$O$92,15,0)),0,VLOOKUP($U$538,'TAR FIN'!$A$1:$O$92,15,0))</f>
        <v>303.54000000000002</v>
      </c>
      <c r="Y538" s="6"/>
      <c r="Z538" s="6">
        <f ca="1">('TUSD BE'!$AM$52+'TUSD BF_350'!$AM$52+'TUSD CVA'!$AM$52)*1</f>
        <v>310.49</v>
      </c>
      <c r="AA538" s="6">
        <f ca="1">('TE BE'!$AB$40+'TE BF_350'!$AB$40+'TE CVA'!$AB$40)*1</f>
        <v>262.52999999999997</v>
      </c>
      <c r="AB538" s="6">
        <f>$K$538*$V$538</f>
        <v>0</v>
      </c>
      <c r="AC538" s="6">
        <f>$M$538*$W$538</f>
        <v>865.8179100000001</v>
      </c>
      <c r="AD538" s="6">
        <f>$O$538*$X$538</f>
        <v>765.83142000000009</v>
      </c>
      <c r="AE538" s="6">
        <f>$K$538*$Y$538</f>
        <v>0</v>
      </c>
      <c r="AF538" s="6">
        <f ca="1">$M$538*$Z$538</f>
        <v>783.3662700000001</v>
      </c>
      <c r="AG538" s="6">
        <f ca="1">$O$538*$AA$538</f>
        <v>662.36318999999992</v>
      </c>
    </row>
    <row r="539" spans="1:33" ht="11.25" customHeight="1" x14ac:dyDescent="0.3">
      <c r="A539" s="4" t="s">
        <v>21</v>
      </c>
      <c r="B539" s="4" t="s">
        <v>32</v>
      </c>
      <c r="C539" s="4" t="s">
        <v>23</v>
      </c>
      <c r="D539" s="4" t="s">
        <v>33</v>
      </c>
      <c r="E539" s="4" t="s">
        <v>25</v>
      </c>
      <c r="F539" s="4" t="s">
        <v>25</v>
      </c>
      <c r="G539" s="4" t="s">
        <v>25</v>
      </c>
      <c r="H539" s="4" t="s">
        <v>25</v>
      </c>
      <c r="I539" s="5">
        <v>44501</v>
      </c>
      <c r="J539" s="6">
        <v>0</v>
      </c>
      <c r="K539" s="6">
        <v>0</v>
      </c>
      <c r="L539" s="6">
        <v>97.576999999999998</v>
      </c>
      <c r="M539" s="6">
        <v>97.576999999999998</v>
      </c>
      <c r="N539" s="6">
        <v>97.576999999999998</v>
      </c>
      <c r="O539" s="6">
        <v>97.576999999999998</v>
      </c>
      <c r="P539" s="6">
        <v>88</v>
      </c>
      <c r="Q539" s="4" t="s">
        <v>26</v>
      </c>
      <c r="R539" s="4">
        <v>0</v>
      </c>
      <c r="S539" s="6">
        <v>0</v>
      </c>
      <c r="T539" s="6">
        <v>77</v>
      </c>
      <c r="U539" s="6">
        <v>52</v>
      </c>
      <c r="V539" s="6">
        <f>IF(ISERROR(VLOOKUP($S$539,'TAR FIN'!$A$1:$O$92,15,0)),0,VLOOKUP($S$539,'TAR FIN'!$A$1:$O$92,15,0))</f>
        <v>0</v>
      </c>
      <c r="W539" s="6">
        <f>IF(ISERROR(VLOOKUP($T$539,'TAR FIN'!$A$1:$O$92,15,0)),0,VLOOKUP($T$539,'TAR FIN'!$A$1:$O$92,15,0))</f>
        <v>343.17</v>
      </c>
      <c r="X539" s="6">
        <f>IF(ISERROR(VLOOKUP($U$539,'TAR FIN'!$A$1:$O$92,15,0)),0,VLOOKUP($U$539,'TAR FIN'!$A$1:$O$92,15,0))</f>
        <v>303.54000000000002</v>
      </c>
      <c r="Y539" s="6"/>
      <c r="Z539" s="6">
        <f ca="1">('TUSD BE'!$AM$52+'TUSD BF_350'!$AM$52+'TUSD CVA'!$AM$52)*1</f>
        <v>310.49</v>
      </c>
      <c r="AA539" s="6">
        <f ca="1">('TE BE'!$AB$40+'TE BF_350'!$AB$40+'TE CVA'!$AB$40)*1</f>
        <v>262.52999999999997</v>
      </c>
      <c r="AB539" s="6">
        <f>$K$539*$V$539</f>
        <v>0</v>
      </c>
      <c r="AC539" s="6">
        <f>$M$539*$W$539</f>
        <v>33485.499089999998</v>
      </c>
      <c r="AD539" s="6">
        <f>$O$539*$X$539</f>
        <v>29618.522580000001</v>
      </c>
      <c r="AE539" s="6">
        <f>$K$539*$Y$539</f>
        <v>0</v>
      </c>
      <c r="AF539" s="6">
        <f ca="1">$M$539*$Z$539</f>
        <v>30296.68273</v>
      </c>
      <c r="AG539" s="6">
        <f ca="1">$O$539*$AA$539</f>
        <v>25616.889809999997</v>
      </c>
    </row>
    <row r="540" spans="1:33" ht="11.25" customHeight="1" x14ac:dyDescent="0.3">
      <c r="A540" s="4" t="s">
        <v>27</v>
      </c>
      <c r="B540" s="4" t="s">
        <v>32</v>
      </c>
      <c r="C540" s="4" t="s">
        <v>23</v>
      </c>
      <c r="D540" s="4" t="s">
        <v>33</v>
      </c>
      <c r="E540" s="4" t="s">
        <v>25</v>
      </c>
      <c r="F540" s="4" t="s">
        <v>25</v>
      </c>
      <c r="G540" s="4" t="s">
        <v>25</v>
      </c>
      <c r="H540" s="4" t="s">
        <v>25</v>
      </c>
      <c r="I540" s="5">
        <v>44501</v>
      </c>
      <c r="J540" s="6">
        <v>0</v>
      </c>
      <c r="K540" s="6">
        <v>0</v>
      </c>
      <c r="L540" s="6">
        <v>0.55400000000000005</v>
      </c>
      <c r="M540" s="6">
        <v>0.55400000000000005</v>
      </c>
      <c r="N540" s="6">
        <v>0.55400000000000005</v>
      </c>
      <c r="O540" s="6">
        <v>0.55400000000000005</v>
      </c>
      <c r="P540" s="6">
        <v>4</v>
      </c>
      <c r="Q540" s="4" t="s">
        <v>26</v>
      </c>
      <c r="R540" s="4">
        <v>0</v>
      </c>
      <c r="S540" s="6">
        <v>0</v>
      </c>
      <c r="T540" s="6">
        <v>77</v>
      </c>
      <c r="U540" s="6">
        <v>52</v>
      </c>
      <c r="V540" s="6">
        <f>IF(ISERROR(VLOOKUP($S$540,'TAR FIN'!$A$1:$O$92,15,0)),0,VLOOKUP($S$540,'TAR FIN'!$A$1:$O$92,15,0))</f>
        <v>0</v>
      </c>
      <c r="W540" s="6">
        <f>IF(ISERROR(VLOOKUP($T$540,'TAR FIN'!$A$1:$O$92,15,0)),0,VLOOKUP($T$540,'TAR FIN'!$A$1:$O$92,15,0))</f>
        <v>343.17</v>
      </c>
      <c r="X540" s="6">
        <f>IF(ISERROR(VLOOKUP($U$540,'TAR FIN'!$A$1:$O$92,15,0)),0,VLOOKUP($U$540,'TAR FIN'!$A$1:$O$92,15,0))</f>
        <v>303.54000000000002</v>
      </c>
      <c r="Y540" s="6"/>
      <c r="Z540" s="6">
        <f ca="1">('TUSD BE'!$AM$52+'TUSD BF_350'!$AM$52+'TUSD CVA'!$AM$52)*1</f>
        <v>310.49</v>
      </c>
      <c r="AA540" s="6">
        <f ca="1">('TE BE'!$AB$40+'TE BF_350'!$AB$40+'TE CVA'!$AB$40)*1</f>
        <v>262.52999999999997</v>
      </c>
      <c r="AB540" s="6">
        <f>$K$540*$V$540</f>
        <v>0</v>
      </c>
      <c r="AC540" s="6">
        <f>$M$540*$W$540</f>
        <v>190.11618000000001</v>
      </c>
      <c r="AD540" s="6">
        <f>$O$540*$X$540</f>
        <v>168.16116000000002</v>
      </c>
      <c r="AE540" s="6">
        <f>$K$540*$Y$540</f>
        <v>0</v>
      </c>
      <c r="AF540" s="6">
        <f ca="1">$M$540*$Z$540</f>
        <v>172.01146000000003</v>
      </c>
      <c r="AG540" s="6">
        <f ca="1">$O$540*$AA$540</f>
        <v>145.44162</v>
      </c>
    </row>
    <row r="541" spans="1:33" ht="11.25" customHeight="1" x14ac:dyDescent="0.3">
      <c r="A541" s="4" t="s">
        <v>21</v>
      </c>
      <c r="B541" s="4" t="s">
        <v>32</v>
      </c>
      <c r="C541" s="4" t="s">
        <v>23</v>
      </c>
      <c r="D541" s="4" t="s">
        <v>33</v>
      </c>
      <c r="E541" s="4" t="s">
        <v>25</v>
      </c>
      <c r="F541" s="4" t="s">
        <v>25</v>
      </c>
      <c r="G541" s="4" t="s">
        <v>25</v>
      </c>
      <c r="H541" s="4" t="s">
        <v>25</v>
      </c>
      <c r="I541" s="5">
        <v>44531</v>
      </c>
      <c r="J541" s="6">
        <v>0</v>
      </c>
      <c r="K541" s="6">
        <v>0</v>
      </c>
      <c r="L541" s="6">
        <v>108.20099999999999</v>
      </c>
      <c r="M541" s="6">
        <v>108.20099999999999</v>
      </c>
      <c r="N541" s="6">
        <v>108.20099999999999</v>
      </c>
      <c r="O541" s="6">
        <v>108.20099999999999</v>
      </c>
      <c r="P541" s="6">
        <v>88</v>
      </c>
      <c r="Q541" s="4" t="s">
        <v>26</v>
      </c>
      <c r="R541" s="4">
        <v>0</v>
      </c>
      <c r="S541" s="6">
        <v>0</v>
      </c>
      <c r="T541" s="6">
        <v>77</v>
      </c>
      <c r="U541" s="6">
        <v>52</v>
      </c>
      <c r="V541" s="6">
        <f>IF(ISERROR(VLOOKUP($S$541,'TAR FIN'!$A$1:$O$92,15,0)),0,VLOOKUP($S$541,'TAR FIN'!$A$1:$O$92,15,0))</f>
        <v>0</v>
      </c>
      <c r="W541" s="6">
        <f>IF(ISERROR(VLOOKUP($T$541,'TAR FIN'!$A$1:$O$92,15,0)),0,VLOOKUP($T$541,'TAR FIN'!$A$1:$O$92,15,0))</f>
        <v>343.17</v>
      </c>
      <c r="X541" s="6">
        <f>IF(ISERROR(VLOOKUP($U$541,'TAR FIN'!$A$1:$O$92,15,0)),0,VLOOKUP($U$541,'TAR FIN'!$A$1:$O$92,15,0))</f>
        <v>303.54000000000002</v>
      </c>
      <c r="Y541" s="6"/>
      <c r="Z541" s="6">
        <f ca="1">('TUSD BE'!$AM$52+'TUSD BF_350'!$AM$52+'TUSD CVA'!$AM$52)*1</f>
        <v>310.49</v>
      </c>
      <c r="AA541" s="6">
        <f ca="1">('TE BE'!$AB$40+'TE BF_350'!$AB$40+'TE CVA'!$AB$40)*1</f>
        <v>262.52999999999997</v>
      </c>
      <c r="AB541" s="6">
        <f>$K$541*$V$541</f>
        <v>0</v>
      </c>
      <c r="AC541" s="6">
        <f>$M$541*$W$541</f>
        <v>37131.337169999999</v>
      </c>
      <c r="AD541" s="6">
        <f>$O$541*$X$541</f>
        <v>32843.331539999999</v>
      </c>
      <c r="AE541" s="6">
        <f>$K$541*$Y$541</f>
        <v>0</v>
      </c>
      <c r="AF541" s="6">
        <f ca="1">$M$541*$Z$541</f>
        <v>33595.32849</v>
      </c>
      <c r="AG541" s="6">
        <f ca="1">$O$541*$AA$541</f>
        <v>28406.008529999996</v>
      </c>
    </row>
    <row r="542" spans="1:33" ht="11.25" customHeight="1" x14ac:dyDescent="0.3">
      <c r="A542" s="4" t="s">
        <v>27</v>
      </c>
      <c r="B542" s="4" t="s">
        <v>32</v>
      </c>
      <c r="C542" s="4" t="s">
        <v>23</v>
      </c>
      <c r="D542" s="4" t="s">
        <v>33</v>
      </c>
      <c r="E542" s="4" t="s">
        <v>25</v>
      </c>
      <c r="F542" s="4" t="s">
        <v>25</v>
      </c>
      <c r="G542" s="4" t="s">
        <v>25</v>
      </c>
      <c r="H542" s="4" t="s">
        <v>25</v>
      </c>
      <c r="I542" s="5">
        <v>44531</v>
      </c>
      <c r="J542" s="6">
        <v>0</v>
      </c>
      <c r="K542" s="6">
        <v>0</v>
      </c>
      <c r="L542" s="6">
        <v>0.66600000000000004</v>
      </c>
      <c r="M542" s="6">
        <v>0.66600000000000004</v>
      </c>
      <c r="N542" s="6">
        <v>0.66600000000000004</v>
      </c>
      <c r="O542" s="6">
        <v>0.66600000000000004</v>
      </c>
      <c r="P542" s="6">
        <v>4</v>
      </c>
      <c r="Q542" s="4" t="s">
        <v>26</v>
      </c>
      <c r="R542" s="4">
        <v>0</v>
      </c>
      <c r="S542" s="6">
        <v>0</v>
      </c>
      <c r="T542" s="6">
        <v>77</v>
      </c>
      <c r="U542" s="6">
        <v>52</v>
      </c>
      <c r="V542" s="6">
        <f>IF(ISERROR(VLOOKUP($S$542,'TAR FIN'!$A$1:$O$92,15,0)),0,VLOOKUP($S$542,'TAR FIN'!$A$1:$O$92,15,0))</f>
        <v>0</v>
      </c>
      <c r="W542" s="6">
        <f>IF(ISERROR(VLOOKUP($T$542,'TAR FIN'!$A$1:$O$92,15,0)),0,VLOOKUP($T$542,'TAR FIN'!$A$1:$O$92,15,0))</f>
        <v>343.17</v>
      </c>
      <c r="X542" s="6">
        <f>IF(ISERROR(VLOOKUP($U$542,'TAR FIN'!$A$1:$O$92,15,0)),0,VLOOKUP($U$542,'TAR FIN'!$A$1:$O$92,15,0))</f>
        <v>303.54000000000002</v>
      </c>
      <c r="Y542" s="6"/>
      <c r="Z542" s="6">
        <f ca="1">('TUSD BE'!$AM$52+'TUSD BF_350'!$AM$52+'TUSD CVA'!$AM$52)*1</f>
        <v>310.49</v>
      </c>
      <c r="AA542" s="6">
        <f ca="1">('TE BE'!$AB$40+'TE BF_350'!$AB$40+'TE CVA'!$AB$40)*1</f>
        <v>262.52999999999997</v>
      </c>
      <c r="AB542" s="6">
        <f>$K$542*$V$542</f>
        <v>0</v>
      </c>
      <c r="AC542" s="6">
        <f>$M$542*$W$542</f>
        <v>228.55122000000003</v>
      </c>
      <c r="AD542" s="6">
        <f>$O$542*$X$542</f>
        <v>202.15764000000001</v>
      </c>
      <c r="AE542" s="6">
        <f>$K$542*$Y$542</f>
        <v>0</v>
      </c>
      <c r="AF542" s="6">
        <f ca="1">$M$542*$Z$542</f>
        <v>206.78634000000002</v>
      </c>
      <c r="AG542" s="6">
        <f ca="1">$O$542*$AA$542</f>
        <v>174.84497999999999</v>
      </c>
    </row>
    <row r="543" spans="1:33" ht="11.25" customHeight="1" x14ac:dyDescent="0.3">
      <c r="A543" s="4" t="s">
        <v>21</v>
      </c>
      <c r="B543" s="4" t="s">
        <v>32</v>
      </c>
      <c r="C543" s="4" t="s">
        <v>23</v>
      </c>
      <c r="D543" s="4" t="s">
        <v>33</v>
      </c>
      <c r="E543" s="4" t="s">
        <v>25</v>
      </c>
      <c r="F543" s="4" t="s">
        <v>25</v>
      </c>
      <c r="G543" s="4" t="s">
        <v>25</v>
      </c>
      <c r="H543" s="4" t="s">
        <v>25</v>
      </c>
      <c r="I543" s="5">
        <v>44562</v>
      </c>
      <c r="J543" s="6">
        <v>0</v>
      </c>
      <c r="K543" s="6">
        <v>0</v>
      </c>
      <c r="L543" s="6">
        <v>94.998000000000005</v>
      </c>
      <c r="M543" s="6">
        <v>94.998000000000005</v>
      </c>
      <c r="N543" s="6">
        <v>94.998000000000005</v>
      </c>
      <c r="O543" s="6">
        <v>94.998000000000005</v>
      </c>
      <c r="P543" s="6">
        <v>87</v>
      </c>
      <c r="Q543" s="4" t="s">
        <v>26</v>
      </c>
      <c r="R543" s="4">
        <v>0</v>
      </c>
      <c r="S543" s="6">
        <v>0</v>
      </c>
      <c r="T543" s="6">
        <v>77</v>
      </c>
      <c r="U543" s="6">
        <v>52</v>
      </c>
      <c r="V543" s="6">
        <f>IF(ISERROR(VLOOKUP($S$543,'TAR FIN'!$A$1:$O$92,15,0)),0,VLOOKUP($S$543,'TAR FIN'!$A$1:$O$92,15,0))</f>
        <v>0</v>
      </c>
      <c r="W543" s="6">
        <f>IF(ISERROR(VLOOKUP($T$543,'TAR FIN'!$A$1:$O$92,15,0)),0,VLOOKUP($T$543,'TAR FIN'!$A$1:$O$92,15,0))</f>
        <v>343.17</v>
      </c>
      <c r="X543" s="6">
        <f>IF(ISERROR(VLOOKUP($U$543,'TAR FIN'!$A$1:$O$92,15,0)),0,VLOOKUP($U$543,'TAR FIN'!$A$1:$O$92,15,0))</f>
        <v>303.54000000000002</v>
      </c>
      <c r="Y543" s="6"/>
      <c r="Z543" s="6">
        <f ca="1">('TUSD BE'!$AM$52+'TUSD BF_350'!$AM$52+'TUSD CVA'!$AM$52)*1</f>
        <v>310.49</v>
      </c>
      <c r="AA543" s="6">
        <f ca="1">('TE BE'!$AB$40+'TE BF_350'!$AB$40+'TE CVA'!$AB$40)*1</f>
        <v>262.52999999999997</v>
      </c>
      <c r="AB543" s="6">
        <f>$K$543*$V$543</f>
        <v>0</v>
      </c>
      <c r="AC543" s="6">
        <f>$M$543*$W$543</f>
        <v>32600.463660000005</v>
      </c>
      <c r="AD543" s="6">
        <f>$O$543*$X$543</f>
        <v>28835.692920000005</v>
      </c>
      <c r="AE543" s="6">
        <f>$K$543*$Y$543</f>
        <v>0</v>
      </c>
      <c r="AF543" s="6">
        <f ca="1">$M$543*$Z$543</f>
        <v>29495.929020000003</v>
      </c>
      <c r="AG543" s="6">
        <f ca="1">$O$543*$AA$543</f>
        <v>24939.824939999999</v>
      </c>
    </row>
    <row r="544" spans="1:33" ht="11.25" customHeight="1" x14ac:dyDescent="0.3">
      <c r="A544" s="4" t="s">
        <v>27</v>
      </c>
      <c r="B544" s="4" t="s">
        <v>32</v>
      </c>
      <c r="C544" s="4" t="s">
        <v>23</v>
      </c>
      <c r="D544" s="4" t="s">
        <v>33</v>
      </c>
      <c r="E544" s="4" t="s">
        <v>25</v>
      </c>
      <c r="F544" s="4" t="s">
        <v>25</v>
      </c>
      <c r="G544" s="4" t="s">
        <v>25</v>
      </c>
      <c r="H544" s="4" t="s">
        <v>25</v>
      </c>
      <c r="I544" s="5">
        <v>44562</v>
      </c>
      <c r="J544" s="6">
        <v>0</v>
      </c>
      <c r="K544" s="6">
        <v>0</v>
      </c>
      <c r="L544" s="6">
        <v>0.4</v>
      </c>
      <c r="M544" s="6">
        <v>0.4</v>
      </c>
      <c r="N544" s="6">
        <v>0.4</v>
      </c>
      <c r="O544" s="6">
        <v>0.4</v>
      </c>
      <c r="P544" s="6">
        <v>4</v>
      </c>
      <c r="Q544" s="4" t="s">
        <v>26</v>
      </c>
      <c r="R544" s="4">
        <v>0</v>
      </c>
      <c r="S544" s="6">
        <v>0</v>
      </c>
      <c r="T544" s="6">
        <v>77</v>
      </c>
      <c r="U544" s="6">
        <v>52</v>
      </c>
      <c r="V544" s="6">
        <f>IF(ISERROR(VLOOKUP($S$544,'TAR FIN'!$A$1:$O$92,15,0)),0,VLOOKUP($S$544,'TAR FIN'!$A$1:$O$92,15,0))</f>
        <v>0</v>
      </c>
      <c r="W544" s="6">
        <f>IF(ISERROR(VLOOKUP($T$544,'TAR FIN'!$A$1:$O$92,15,0)),0,VLOOKUP($T$544,'TAR FIN'!$A$1:$O$92,15,0))</f>
        <v>343.17</v>
      </c>
      <c r="X544" s="6">
        <f>IF(ISERROR(VLOOKUP($U$544,'TAR FIN'!$A$1:$O$92,15,0)),0,VLOOKUP($U$544,'TAR FIN'!$A$1:$O$92,15,0))</f>
        <v>303.54000000000002</v>
      </c>
      <c r="Y544" s="6"/>
      <c r="Z544" s="6">
        <f ca="1">('TUSD BE'!$AM$52+'TUSD BF_350'!$AM$52+'TUSD CVA'!$AM$52)*1</f>
        <v>310.49</v>
      </c>
      <c r="AA544" s="6">
        <f ca="1">('TE BE'!$AB$40+'TE BF_350'!$AB$40+'TE CVA'!$AB$40)*1</f>
        <v>262.52999999999997</v>
      </c>
      <c r="AB544" s="6">
        <f>$K$544*$V$544</f>
        <v>0</v>
      </c>
      <c r="AC544" s="6">
        <f>$M$544*$W$544</f>
        <v>137.268</v>
      </c>
      <c r="AD544" s="6">
        <f>$O$544*$X$544</f>
        <v>121.41600000000001</v>
      </c>
      <c r="AE544" s="6">
        <f>$K$544*$Y$544</f>
        <v>0</v>
      </c>
      <c r="AF544" s="6">
        <f ca="1">$M$544*$Z$544</f>
        <v>124.19600000000001</v>
      </c>
      <c r="AG544" s="6">
        <f ca="1">$O$544*$AA$544</f>
        <v>105.012</v>
      </c>
    </row>
    <row r="545" spans="1:33" ht="11.25" customHeight="1" x14ac:dyDescent="0.3">
      <c r="A545" s="4" t="s">
        <v>21</v>
      </c>
      <c r="B545" s="4" t="s">
        <v>32</v>
      </c>
      <c r="C545" s="4" t="s">
        <v>23</v>
      </c>
      <c r="D545" s="4" t="s">
        <v>33</v>
      </c>
      <c r="E545" s="4" t="s">
        <v>25</v>
      </c>
      <c r="F545" s="4" t="s">
        <v>25</v>
      </c>
      <c r="G545" s="4" t="s">
        <v>25</v>
      </c>
      <c r="H545" s="4" t="s">
        <v>25</v>
      </c>
      <c r="I545" s="5">
        <v>44593</v>
      </c>
      <c r="J545" s="6">
        <v>0</v>
      </c>
      <c r="K545" s="6">
        <v>0</v>
      </c>
      <c r="L545" s="6">
        <v>110.358</v>
      </c>
      <c r="M545" s="6">
        <v>110.358</v>
      </c>
      <c r="N545" s="6">
        <v>110.358</v>
      </c>
      <c r="O545" s="6">
        <v>110.358</v>
      </c>
      <c r="P545" s="6">
        <v>87</v>
      </c>
      <c r="Q545" s="4" t="s">
        <v>26</v>
      </c>
      <c r="R545" s="4">
        <v>0</v>
      </c>
      <c r="S545" s="6">
        <v>0</v>
      </c>
      <c r="T545" s="6">
        <v>77</v>
      </c>
      <c r="U545" s="6">
        <v>52</v>
      </c>
      <c r="V545" s="6">
        <f>IF(ISERROR(VLOOKUP($S$545,'TAR FIN'!$A$1:$O$92,15,0)),0,VLOOKUP($S$545,'TAR FIN'!$A$1:$O$92,15,0))</f>
        <v>0</v>
      </c>
      <c r="W545" s="6">
        <f>IF(ISERROR(VLOOKUP($T$545,'TAR FIN'!$A$1:$O$92,15,0)),0,VLOOKUP($T$545,'TAR FIN'!$A$1:$O$92,15,0))</f>
        <v>343.17</v>
      </c>
      <c r="X545" s="6">
        <f>IF(ISERROR(VLOOKUP($U$545,'TAR FIN'!$A$1:$O$92,15,0)),0,VLOOKUP($U$545,'TAR FIN'!$A$1:$O$92,15,0))</f>
        <v>303.54000000000002</v>
      </c>
      <c r="Y545" s="6"/>
      <c r="Z545" s="6">
        <f ca="1">('TUSD BE'!$AM$52+'TUSD BF_350'!$AM$52+'TUSD CVA'!$AM$52)*1</f>
        <v>310.49</v>
      </c>
      <c r="AA545" s="6">
        <f ca="1">('TE BE'!$AB$40+'TE BF_350'!$AB$40+'TE CVA'!$AB$40)*1</f>
        <v>262.52999999999997</v>
      </c>
      <c r="AB545" s="6">
        <f>$K$545*$V$545</f>
        <v>0</v>
      </c>
      <c r="AC545" s="6">
        <f>$M$545*$W$545</f>
        <v>37871.554860000004</v>
      </c>
      <c r="AD545" s="6">
        <f>$O$545*$X$545</f>
        <v>33498.067320000002</v>
      </c>
      <c r="AE545" s="6">
        <f>$K$545*$Y$545</f>
        <v>0</v>
      </c>
      <c r="AF545" s="6">
        <f ca="1">$M$545*$Z$545</f>
        <v>34265.055420000004</v>
      </c>
      <c r="AG545" s="6">
        <f ca="1">$O$545*$AA$545</f>
        <v>28972.285739999999</v>
      </c>
    </row>
    <row r="546" spans="1:33" ht="11.25" customHeight="1" x14ac:dyDescent="0.3">
      <c r="A546" s="4" t="s">
        <v>27</v>
      </c>
      <c r="B546" s="4" t="s">
        <v>32</v>
      </c>
      <c r="C546" s="4" t="s">
        <v>23</v>
      </c>
      <c r="D546" s="4" t="s">
        <v>33</v>
      </c>
      <c r="E546" s="4" t="s">
        <v>25</v>
      </c>
      <c r="F546" s="4" t="s">
        <v>25</v>
      </c>
      <c r="G546" s="4" t="s">
        <v>25</v>
      </c>
      <c r="H546" s="4" t="s">
        <v>25</v>
      </c>
      <c r="I546" s="5">
        <v>44593</v>
      </c>
      <c r="J546" s="6">
        <v>0</v>
      </c>
      <c r="K546" s="6">
        <v>0</v>
      </c>
      <c r="L546" s="6">
        <v>0.4</v>
      </c>
      <c r="M546" s="6">
        <v>0.4</v>
      </c>
      <c r="N546" s="6">
        <v>0.4</v>
      </c>
      <c r="O546" s="6">
        <v>0.4</v>
      </c>
      <c r="P546" s="6">
        <v>4</v>
      </c>
      <c r="Q546" s="4" t="s">
        <v>26</v>
      </c>
      <c r="R546" s="4">
        <v>0</v>
      </c>
      <c r="S546" s="6">
        <v>0</v>
      </c>
      <c r="T546" s="6">
        <v>77</v>
      </c>
      <c r="U546" s="6">
        <v>52</v>
      </c>
      <c r="V546" s="6">
        <f>IF(ISERROR(VLOOKUP($S$546,'TAR FIN'!$A$1:$O$92,15,0)),0,VLOOKUP($S$546,'TAR FIN'!$A$1:$O$92,15,0))</f>
        <v>0</v>
      </c>
      <c r="W546" s="6">
        <f>IF(ISERROR(VLOOKUP($T$546,'TAR FIN'!$A$1:$O$92,15,0)),0,VLOOKUP($T$546,'TAR FIN'!$A$1:$O$92,15,0))</f>
        <v>343.17</v>
      </c>
      <c r="X546" s="6">
        <f>IF(ISERROR(VLOOKUP($U$546,'TAR FIN'!$A$1:$O$92,15,0)),0,VLOOKUP($U$546,'TAR FIN'!$A$1:$O$92,15,0))</f>
        <v>303.54000000000002</v>
      </c>
      <c r="Y546" s="6"/>
      <c r="Z546" s="6">
        <f ca="1">('TUSD BE'!$AM$52+'TUSD BF_350'!$AM$52+'TUSD CVA'!$AM$52)*1</f>
        <v>310.49</v>
      </c>
      <c r="AA546" s="6">
        <f ca="1">('TE BE'!$AB$40+'TE BF_350'!$AB$40+'TE CVA'!$AB$40)*1</f>
        <v>262.52999999999997</v>
      </c>
      <c r="AB546" s="6">
        <f>$K$546*$V$546</f>
        <v>0</v>
      </c>
      <c r="AC546" s="6">
        <f>$M$546*$W$546</f>
        <v>137.268</v>
      </c>
      <c r="AD546" s="6">
        <f>$O$546*$X$546</f>
        <v>121.41600000000001</v>
      </c>
      <c r="AE546" s="6">
        <f>$K$546*$Y$546</f>
        <v>0</v>
      </c>
      <c r="AF546" s="6">
        <f ca="1">$M$546*$Z$546</f>
        <v>124.19600000000001</v>
      </c>
      <c r="AG546" s="6">
        <f ca="1">$O$546*$AA$546</f>
        <v>105.012</v>
      </c>
    </row>
    <row r="547" spans="1:33" ht="11.25" customHeight="1" x14ac:dyDescent="0.3">
      <c r="A547" s="4" t="s">
        <v>21</v>
      </c>
      <c r="B547" s="4" t="s">
        <v>32</v>
      </c>
      <c r="C547" s="4" t="s">
        <v>23</v>
      </c>
      <c r="D547" s="4" t="s">
        <v>33</v>
      </c>
      <c r="E547" s="4" t="s">
        <v>25</v>
      </c>
      <c r="F547" s="4" t="s">
        <v>25</v>
      </c>
      <c r="G547" s="4" t="s">
        <v>25</v>
      </c>
      <c r="H547" s="4" t="s">
        <v>25</v>
      </c>
      <c r="I547" s="5">
        <v>44621</v>
      </c>
      <c r="J547" s="6">
        <v>0</v>
      </c>
      <c r="K547" s="6">
        <v>0</v>
      </c>
      <c r="L547" s="6">
        <v>111.623</v>
      </c>
      <c r="M547" s="6">
        <v>111.623</v>
      </c>
      <c r="N547" s="6">
        <v>111.623</v>
      </c>
      <c r="O547" s="6">
        <v>111.623</v>
      </c>
      <c r="P547" s="6">
        <v>86</v>
      </c>
      <c r="Q547" s="4" t="s">
        <v>26</v>
      </c>
      <c r="R547" s="4">
        <v>0</v>
      </c>
      <c r="S547" s="6">
        <v>0</v>
      </c>
      <c r="T547" s="6">
        <v>77</v>
      </c>
      <c r="U547" s="6">
        <v>52</v>
      </c>
      <c r="V547" s="6">
        <f>IF(ISERROR(VLOOKUP($S$547,'TAR FIN'!$A$1:$O$92,15,0)),0,VLOOKUP($S$547,'TAR FIN'!$A$1:$O$92,15,0))</f>
        <v>0</v>
      </c>
      <c r="W547" s="6">
        <f>IF(ISERROR(VLOOKUP($T$547,'TAR FIN'!$A$1:$O$92,15,0)),0,VLOOKUP($T$547,'TAR FIN'!$A$1:$O$92,15,0))</f>
        <v>343.17</v>
      </c>
      <c r="X547" s="6">
        <f>IF(ISERROR(VLOOKUP($U$547,'TAR FIN'!$A$1:$O$92,15,0)),0,VLOOKUP($U$547,'TAR FIN'!$A$1:$O$92,15,0))</f>
        <v>303.54000000000002</v>
      </c>
      <c r="Y547" s="6"/>
      <c r="Z547" s="6">
        <f ca="1">('TUSD BE'!$AM$52+'TUSD BF_350'!$AM$52+'TUSD CVA'!$AM$52)*1</f>
        <v>310.49</v>
      </c>
      <c r="AA547" s="6">
        <f ca="1">('TE BE'!$AB$40+'TE BF_350'!$AB$40+'TE CVA'!$AB$40)*1</f>
        <v>262.52999999999997</v>
      </c>
      <c r="AB547" s="6">
        <f>$K$547*$V$547</f>
        <v>0</v>
      </c>
      <c r="AC547" s="6">
        <f>$M$547*$W$547</f>
        <v>38305.664910000007</v>
      </c>
      <c r="AD547" s="6">
        <f>$O$547*$X$547</f>
        <v>33882.045420000002</v>
      </c>
      <c r="AE547" s="6">
        <f>$K$547*$Y$547</f>
        <v>0</v>
      </c>
      <c r="AF547" s="6">
        <f ca="1">$M$547*$Z$547</f>
        <v>34657.825270000001</v>
      </c>
      <c r="AG547" s="6">
        <f ca="1">$O$547*$AA$547</f>
        <v>29304.386189999997</v>
      </c>
    </row>
    <row r="548" spans="1:33" ht="11.25" customHeight="1" x14ac:dyDescent="0.3">
      <c r="A548" s="4" t="s">
        <v>27</v>
      </c>
      <c r="B548" s="4" t="s">
        <v>32</v>
      </c>
      <c r="C548" s="4" t="s">
        <v>23</v>
      </c>
      <c r="D548" s="4" t="s">
        <v>33</v>
      </c>
      <c r="E548" s="4" t="s">
        <v>25</v>
      </c>
      <c r="F548" s="4" t="s">
        <v>25</v>
      </c>
      <c r="G548" s="4" t="s">
        <v>25</v>
      </c>
      <c r="H548" s="4" t="s">
        <v>25</v>
      </c>
      <c r="I548" s="5">
        <v>44621</v>
      </c>
      <c r="J548" s="6">
        <v>0</v>
      </c>
      <c r="K548" s="6">
        <v>0</v>
      </c>
      <c r="L548" s="6">
        <v>0.4</v>
      </c>
      <c r="M548" s="6">
        <v>0.4</v>
      </c>
      <c r="N548" s="6">
        <v>0.4</v>
      </c>
      <c r="O548" s="6">
        <v>0.4</v>
      </c>
      <c r="P548" s="6">
        <v>4</v>
      </c>
      <c r="Q548" s="4" t="s">
        <v>26</v>
      </c>
      <c r="R548" s="4">
        <v>0</v>
      </c>
      <c r="S548" s="6">
        <v>0</v>
      </c>
      <c r="T548" s="6">
        <v>77</v>
      </c>
      <c r="U548" s="6">
        <v>52</v>
      </c>
      <c r="V548" s="6">
        <f>IF(ISERROR(VLOOKUP($S$548,'TAR FIN'!$A$1:$O$92,15,0)),0,VLOOKUP($S$548,'TAR FIN'!$A$1:$O$92,15,0))</f>
        <v>0</v>
      </c>
      <c r="W548" s="6">
        <f>IF(ISERROR(VLOOKUP($T$548,'TAR FIN'!$A$1:$O$92,15,0)),0,VLOOKUP($T$548,'TAR FIN'!$A$1:$O$92,15,0))</f>
        <v>343.17</v>
      </c>
      <c r="X548" s="6">
        <f>IF(ISERROR(VLOOKUP($U$548,'TAR FIN'!$A$1:$O$92,15,0)),0,VLOOKUP($U$548,'TAR FIN'!$A$1:$O$92,15,0))</f>
        <v>303.54000000000002</v>
      </c>
      <c r="Y548" s="6"/>
      <c r="Z548" s="6">
        <f ca="1">('TUSD BE'!$AM$52+'TUSD BF_350'!$AM$52+'TUSD CVA'!$AM$52)*1</f>
        <v>310.49</v>
      </c>
      <c r="AA548" s="6">
        <f ca="1">('TE BE'!$AB$40+'TE BF_350'!$AB$40+'TE CVA'!$AB$40)*1</f>
        <v>262.52999999999997</v>
      </c>
      <c r="AB548" s="6">
        <f>$K$548*$V$548</f>
        <v>0</v>
      </c>
      <c r="AC548" s="6">
        <f>$M$548*$W$548</f>
        <v>137.268</v>
      </c>
      <c r="AD548" s="6">
        <f>$O$548*$X$548</f>
        <v>121.41600000000001</v>
      </c>
      <c r="AE548" s="6">
        <f>$K$548*$Y$548</f>
        <v>0</v>
      </c>
      <c r="AF548" s="6">
        <f ca="1">$M$548*$Z$548</f>
        <v>124.19600000000001</v>
      </c>
      <c r="AG548" s="6">
        <f ca="1">$O$548*$AA$548</f>
        <v>105.012</v>
      </c>
    </row>
    <row r="549" spans="1:33" ht="11.25" customHeight="1" x14ac:dyDescent="0.3">
      <c r="A549" s="4" t="s">
        <v>21</v>
      </c>
      <c r="B549" s="4" t="s">
        <v>32</v>
      </c>
      <c r="C549" s="4" t="s">
        <v>23</v>
      </c>
      <c r="D549" s="4" t="s">
        <v>33</v>
      </c>
      <c r="E549" s="4" t="s">
        <v>25</v>
      </c>
      <c r="F549" s="4" t="s">
        <v>25</v>
      </c>
      <c r="G549" s="4" t="s">
        <v>25</v>
      </c>
      <c r="H549" s="4" t="s">
        <v>25</v>
      </c>
      <c r="I549" s="5">
        <v>44652</v>
      </c>
      <c r="J549" s="6">
        <v>0</v>
      </c>
      <c r="K549" s="6">
        <v>0</v>
      </c>
      <c r="L549" s="6">
        <v>100.437</v>
      </c>
      <c r="M549" s="6">
        <v>100.437</v>
      </c>
      <c r="N549" s="6">
        <v>100.437</v>
      </c>
      <c r="O549" s="6">
        <v>100.437</v>
      </c>
      <c r="P549" s="6">
        <v>88</v>
      </c>
      <c r="Q549" s="4" t="s">
        <v>26</v>
      </c>
      <c r="R549" s="4">
        <v>0</v>
      </c>
      <c r="S549" s="6">
        <v>0</v>
      </c>
      <c r="T549" s="6">
        <v>77</v>
      </c>
      <c r="U549" s="6">
        <v>52</v>
      </c>
      <c r="V549" s="6">
        <f>IF(ISERROR(VLOOKUP($S$549,'TAR FIN'!$A$1:$O$92,15,0)),0,VLOOKUP($S$549,'TAR FIN'!$A$1:$O$92,15,0))</f>
        <v>0</v>
      </c>
      <c r="W549" s="6">
        <f>IF(ISERROR(VLOOKUP($T$549,'TAR FIN'!$A$1:$O$92,15,0)),0,VLOOKUP($T$549,'TAR FIN'!$A$1:$O$92,15,0))</f>
        <v>343.17</v>
      </c>
      <c r="X549" s="6">
        <f>IF(ISERROR(VLOOKUP($U$549,'TAR FIN'!$A$1:$O$92,15,0)),0,VLOOKUP($U$549,'TAR FIN'!$A$1:$O$92,15,0))</f>
        <v>303.54000000000002</v>
      </c>
      <c r="Y549" s="6"/>
      <c r="Z549" s="6">
        <f ca="1">('TUSD BE'!$AM$52+'TUSD BF_350'!$AM$52+'TUSD CVA'!$AM$52)*1</f>
        <v>310.49</v>
      </c>
      <c r="AA549" s="6">
        <f ca="1">('TE BE'!$AB$40+'TE BF_350'!$AB$40+'TE CVA'!$AB$40)*1</f>
        <v>262.52999999999997</v>
      </c>
      <c r="AB549" s="6">
        <f>$K$549*$V$549</f>
        <v>0</v>
      </c>
      <c r="AC549" s="6">
        <f>$M$549*$W$549</f>
        <v>34466.96529</v>
      </c>
      <c r="AD549" s="6">
        <f>$O$549*$X$549</f>
        <v>30486.646980000001</v>
      </c>
      <c r="AE549" s="6">
        <f>$K$549*$Y$549</f>
        <v>0</v>
      </c>
      <c r="AF549" s="6">
        <f ca="1">$M$549*$Z$549</f>
        <v>31184.684130000001</v>
      </c>
      <c r="AG549" s="6">
        <f ca="1">$O$549*$AA$549</f>
        <v>26367.725609999998</v>
      </c>
    </row>
    <row r="550" spans="1:33" ht="11.25" customHeight="1" x14ac:dyDescent="0.3">
      <c r="A550" s="4" t="s">
        <v>27</v>
      </c>
      <c r="B550" s="4" t="s">
        <v>32</v>
      </c>
      <c r="C550" s="4" t="s">
        <v>23</v>
      </c>
      <c r="D550" s="4" t="s">
        <v>33</v>
      </c>
      <c r="E550" s="4" t="s">
        <v>25</v>
      </c>
      <c r="F550" s="4" t="s">
        <v>25</v>
      </c>
      <c r="G550" s="4" t="s">
        <v>25</v>
      </c>
      <c r="H550" s="4" t="s">
        <v>25</v>
      </c>
      <c r="I550" s="5">
        <v>44652</v>
      </c>
      <c r="J550" s="6">
        <v>0</v>
      </c>
      <c r="K550" s="6">
        <v>0</v>
      </c>
      <c r="L550" s="6">
        <v>0.4</v>
      </c>
      <c r="M550" s="6">
        <v>0.4</v>
      </c>
      <c r="N550" s="6">
        <v>0.4</v>
      </c>
      <c r="O550" s="6">
        <v>0.4</v>
      </c>
      <c r="P550" s="6">
        <v>4</v>
      </c>
      <c r="Q550" s="4" t="s">
        <v>26</v>
      </c>
      <c r="R550" s="4">
        <v>0</v>
      </c>
      <c r="S550" s="6">
        <v>0</v>
      </c>
      <c r="T550" s="6">
        <v>77</v>
      </c>
      <c r="U550" s="6">
        <v>52</v>
      </c>
      <c r="V550" s="6">
        <f>IF(ISERROR(VLOOKUP($S$550,'TAR FIN'!$A$1:$O$92,15,0)),0,VLOOKUP($S$550,'TAR FIN'!$A$1:$O$92,15,0))</f>
        <v>0</v>
      </c>
      <c r="W550" s="6">
        <f>IF(ISERROR(VLOOKUP($T$550,'TAR FIN'!$A$1:$O$92,15,0)),0,VLOOKUP($T$550,'TAR FIN'!$A$1:$O$92,15,0))</f>
        <v>343.17</v>
      </c>
      <c r="X550" s="6">
        <f>IF(ISERROR(VLOOKUP($U$550,'TAR FIN'!$A$1:$O$92,15,0)),0,VLOOKUP($U$550,'TAR FIN'!$A$1:$O$92,15,0))</f>
        <v>303.54000000000002</v>
      </c>
      <c r="Y550" s="6"/>
      <c r="Z550" s="6">
        <f ca="1">('TUSD BE'!$AM$52+'TUSD BF_350'!$AM$52+'TUSD CVA'!$AM$52)*1</f>
        <v>310.49</v>
      </c>
      <c r="AA550" s="6">
        <f ca="1">('TE BE'!$AB$40+'TE BF_350'!$AB$40+'TE CVA'!$AB$40)*1</f>
        <v>262.52999999999997</v>
      </c>
      <c r="AB550" s="6">
        <f>$K$550*$V$550</f>
        <v>0</v>
      </c>
      <c r="AC550" s="6">
        <f>$M$550*$W$550</f>
        <v>137.268</v>
      </c>
      <c r="AD550" s="6">
        <f>$O$550*$X$550</f>
        <v>121.41600000000001</v>
      </c>
      <c r="AE550" s="6">
        <f>$K$550*$Y$550</f>
        <v>0</v>
      </c>
      <c r="AF550" s="6">
        <f ca="1">$M$550*$Z$550</f>
        <v>124.19600000000001</v>
      </c>
      <c r="AG550" s="6">
        <f ca="1">$O$550*$AA$550</f>
        <v>105.012</v>
      </c>
    </row>
    <row r="551" spans="1:33" ht="11.25" customHeight="1" x14ac:dyDescent="0.3">
      <c r="A551" s="4" t="s">
        <v>21</v>
      </c>
      <c r="B551" s="4" t="s">
        <v>32</v>
      </c>
      <c r="C551" s="4" t="s">
        <v>23</v>
      </c>
      <c r="D551" s="4" t="s">
        <v>33</v>
      </c>
      <c r="E551" s="4" t="s">
        <v>25</v>
      </c>
      <c r="F551" s="4" t="s">
        <v>25</v>
      </c>
      <c r="G551" s="4" t="s">
        <v>25</v>
      </c>
      <c r="H551" s="4" t="s">
        <v>25</v>
      </c>
      <c r="I551" s="5">
        <v>44682</v>
      </c>
      <c r="J551" s="6">
        <v>0</v>
      </c>
      <c r="K551" s="6">
        <v>0</v>
      </c>
      <c r="L551" s="6">
        <v>90.561999999999998</v>
      </c>
      <c r="M551" s="6">
        <v>90.561999999999998</v>
      </c>
      <c r="N551" s="6">
        <v>90.561999999999998</v>
      </c>
      <c r="O551" s="6">
        <v>90.561999999999998</v>
      </c>
      <c r="P551" s="6">
        <v>87</v>
      </c>
      <c r="Q551" s="4" t="s">
        <v>26</v>
      </c>
      <c r="R551" s="4">
        <v>0</v>
      </c>
      <c r="S551" s="6">
        <v>0</v>
      </c>
      <c r="T551" s="6">
        <v>77</v>
      </c>
      <c r="U551" s="6">
        <v>52</v>
      </c>
      <c r="V551" s="6">
        <f>IF(ISERROR(VLOOKUP($S$551,'TAR FIN'!$A$1:$O$92,15,0)),0,VLOOKUP($S$551,'TAR FIN'!$A$1:$O$92,15,0))</f>
        <v>0</v>
      </c>
      <c r="W551" s="6">
        <f>IF(ISERROR(VLOOKUP($T$551,'TAR FIN'!$A$1:$O$92,15,0)),0,VLOOKUP($T$551,'TAR FIN'!$A$1:$O$92,15,0))</f>
        <v>343.17</v>
      </c>
      <c r="X551" s="6">
        <f>IF(ISERROR(VLOOKUP($U$551,'TAR FIN'!$A$1:$O$92,15,0)),0,VLOOKUP($U$551,'TAR FIN'!$A$1:$O$92,15,0))</f>
        <v>303.54000000000002</v>
      </c>
      <c r="Y551" s="6"/>
      <c r="Z551" s="6">
        <f ca="1">('TUSD BE'!$AM$52+'TUSD BF_350'!$AM$52+'TUSD CVA'!$AM$52)*1</f>
        <v>310.49</v>
      </c>
      <c r="AA551" s="6">
        <f ca="1">('TE BE'!$AB$40+'TE BF_350'!$AB$40+'TE CVA'!$AB$40)*1</f>
        <v>262.52999999999997</v>
      </c>
      <c r="AB551" s="6">
        <f>$K$551*$V$551</f>
        <v>0</v>
      </c>
      <c r="AC551" s="6">
        <f>$M$551*$W$551</f>
        <v>31078.161540000001</v>
      </c>
      <c r="AD551" s="6">
        <f>$O$551*$X$551</f>
        <v>27489.189480000001</v>
      </c>
      <c r="AE551" s="6">
        <f>$K$551*$Y$551</f>
        <v>0</v>
      </c>
      <c r="AF551" s="6">
        <f ca="1">$M$551*$Z$551</f>
        <v>28118.595379999999</v>
      </c>
      <c r="AG551" s="6">
        <f ca="1">$O$551*$AA$551</f>
        <v>23775.241859999998</v>
      </c>
    </row>
    <row r="552" spans="1:33" ht="11.25" customHeight="1" x14ac:dyDescent="0.3">
      <c r="A552" s="4" t="s">
        <v>27</v>
      </c>
      <c r="B552" s="4" t="s">
        <v>32</v>
      </c>
      <c r="C552" s="4" t="s">
        <v>23</v>
      </c>
      <c r="D552" s="4" t="s">
        <v>33</v>
      </c>
      <c r="E552" s="4" t="s">
        <v>25</v>
      </c>
      <c r="F552" s="4" t="s">
        <v>25</v>
      </c>
      <c r="G552" s="4" t="s">
        <v>25</v>
      </c>
      <c r="H552" s="4" t="s">
        <v>25</v>
      </c>
      <c r="I552" s="5">
        <v>44682</v>
      </c>
      <c r="J552" s="6">
        <v>0</v>
      </c>
      <c r="K552" s="6">
        <v>0</v>
      </c>
      <c r="L552" s="6">
        <v>0.4</v>
      </c>
      <c r="M552" s="6">
        <v>0.4</v>
      </c>
      <c r="N552" s="6">
        <v>0.4</v>
      </c>
      <c r="O552" s="6">
        <v>0.4</v>
      </c>
      <c r="P552" s="6">
        <v>4</v>
      </c>
      <c r="Q552" s="4" t="s">
        <v>26</v>
      </c>
      <c r="R552" s="4">
        <v>0</v>
      </c>
      <c r="S552" s="6">
        <v>0</v>
      </c>
      <c r="T552" s="6">
        <v>77</v>
      </c>
      <c r="U552" s="6">
        <v>52</v>
      </c>
      <c r="V552" s="6">
        <f>IF(ISERROR(VLOOKUP($S$552,'TAR FIN'!$A$1:$O$92,15,0)),0,VLOOKUP($S$552,'TAR FIN'!$A$1:$O$92,15,0))</f>
        <v>0</v>
      </c>
      <c r="W552" s="6">
        <f>IF(ISERROR(VLOOKUP($T$552,'TAR FIN'!$A$1:$O$92,15,0)),0,VLOOKUP($T$552,'TAR FIN'!$A$1:$O$92,15,0))</f>
        <v>343.17</v>
      </c>
      <c r="X552" s="6">
        <f>IF(ISERROR(VLOOKUP($U$552,'TAR FIN'!$A$1:$O$92,15,0)),0,VLOOKUP($U$552,'TAR FIN'!$A$1:$O$92,15,0))</f>
        <v>303.54000000000002</v>
      </c>
      <c r="Y552" s="6"/>
      <c r="Z552" s="6">
        <f ca="1">('TUSD BE'!$AM$52+'TUSD BF_350'!$AM$52+'TUSD CVA'!$AM$52)*1</f>
        <v>310.49</v>
      </c>
      <c r="AA552" s="6">
        <f ca="1">('TE BE'!$AB$40+'TE BF_350'!$AB$40+'TE CVA'!$AB$40)*1</f>
        <v>262.52999999999997</v>
      </c>
      <c r="AB552" s="6">
        <f>$K$552*$V$552</f>
        <v>0</v>
      </c>
      <c r="AC552" s="6">
        <f>$M$552*$W$552</f>
        <v>137.268</v>
      </c>
      <c r="AD552" s="6">
        <f>$O$552*$X$552</f>
        <v>121.41600000000001</v>
      </c>
      <c r="AE552" s="6">
        <f>$K$552*$Y$552</f>
        <v>0</v>
      </c>
      <c r="AF552" s="6">
        <f ca="1">$M$552*$Z$552</f>
        <v>124.19600000000001</v>
      </c>
      <c r="AG552" s="6">
        <f ca="1">$O$552*$AA$552</f>
        <v>105.012</v>
      </c>
    </row>
    <row r="553" spans="1:33" ht="11.25" customHeight="1" x14ac:dyDescent="0.3">
      <c r="A553" s="4" t="s">
        <v>21</v>
      </c>
      <c r="B553" s="4" t="s">
        <v>32</v>
      </c>
      <c r="C553" s="4" t="s">
        <v>23</v>
      </c>
      <c r="D553" s="4" t="s">
        <v>33</v>
      </c>
      <c r="E553" s="4" t="s">
        <v>25</v>
      </c>
      <c r="F553" s="4" t="s">
        <v>25</v>
      </c>
      <c r="G553" s="4" t="s">
        <v>25</v>
      </c>
      <c r="H553" s="4" t="s">
        <v>25</v>
      </c>
      <c r="I553" s="5">
        <v>44713</v>
      </c>
      <c r="J553" s="6">
        <v>0</v>
      </c>
      <c r="K553" s="6">
        <v>0</v>
      </c>
      <c r="L553" s="6">
        <v>99.206000000000003</v>
      </c>
      <c r="M553" s="6">
        <v>99.206000000000003</v>
      </c>
      <c r="N553" s="6">
        <v>99.206000000000003</v>
      </c>
      <c r="O553" s="6">
        <v>99.206000000000003</v>
      </c>
      <c r="P553" s="6">
        <v>86</v>
      </c>
      <c r="Q553" s="4" t="s">
        <v>26</v>
      </c>
      <c r="R553" s="4">
        <v>0</v>
      </c>
      <c r="S553" s="6">
        <v>0</v>
      </c>
      <c r="T553" s="6">
        <v>77</v>
      </c>
      <c r="U553" s="6">
        <v>52</v>
      </c>
      <c r="V553" s="6">
        <f>IF(ISERROR(VLOOKUP($S$553,'TAR FIN'!$A$1:$O$92,15,0)),0,VLOOKUP($S$553,'TAR FIN'!$A$1:$O$92,15,0))</f>
        <v>0</v>
      </c>
      <c r="W553" s="6">
        <f>IF(ISERROR(VLOOKUP($T$553,'TAR FIN'!$A$1:$O$92,15,0)),0,VLOOKUP($T$553,'TAR FIN'!$A$1:$O$92,15,0))</f>
        <v>343.17</v>
      </c>
      <c r="X553" s="6">
        <f>IF(ISERROR(VLOOKUP($U$553,'TAR FIN'!$A$1:$O$92,15,0)),0,VLOOKUP($U$553,'TAR FIN'!$A$1:$O$92,15,0))</f>
        <v>303.54000000000002</v>
      </c>
      <c r="Y553" s="6"/>
      <c r="Z553" s="6">
        <f ca="1">('TUSD BE'!$AM$52+'TUSD BF_350'!$AM$52+'TUSD CVA'!$AM$52)*1</f>
        <v>310.49</v>
      </c>
      <c r="AA553" s="6">
        <f ca="1">('TE BE'!$AB$40+'TE BF_350'!$AB$40+'TE CVA'!$AB$40)*1</f>
        <v>262.52999999999997</v>
      </c>
      <c r="AB553" s="6">
        <f>$K$553*$V$553</f>
        <v>0</v>
      </c>
      <c r="AC553" s="6">
        <f>$M$553*$W$553</f>
        <v>34044.523020000001</v>
      </c>
      <c r="AD553" s="6">
        <f>$O$553*$X$553</f>
        <v>30112.989240000003</v>
      </c>
      <c r="AE553" s="6">
        <f>$K$553*$Y$553</f>
        <v>0</v>
      </c>
      <c r="AF553" s="6">
        <f ca="1">$M$553*$Z$553</f>
        <v>30802.470940000003</v>
      </c>
      <c r="AG553" s="6">
        <f ca="1">$O$553*$AA$553</f>
        <v>26044.551179999999</v>
      </c>
    </row>
    <row r="554" spans="1:33" ht="11.25" customHeight="1" x14ac:dyDescent="0.3">
      <c r="A554" s="4" t="s">
        <v>27</v>
      </c>
      <c r="B554" s="4" t="s">
        <v>32</v>
      </c>
      <c r="C554" s="4" t="s">
        <v>23</v>
      </c>
      <c r="D554" s="4" t="s">
        <v>33</v>
      </c>
      <c r="E554" s="4" t="s">
        <v>25</v>
      </c>
      <c r="F554" s="4" t="s">
        <v>25</v>
      </c>
      <c r="G554" s="4" t="s">
        <v>25</v>
      </c>
      <c r="H554" s="4" t="s">
        <v>25</v>
      </c>
      <c r="I554" s="5">
        <v>44713</v>
      </c>
      <c r="J554" s="6">
        <v>0</v>
      </c>
      <c r="K554" s="6">
        <v>0</v>
      </c>
      <c r="L554" s="6">
        <v>2.3279999999999998</v>
      </c>
      <c r="M554" s="6">
        <v>2.3279999999999998</v>
      </c>
      <c r="N554" s="6">
        <v>2.3279999999999998</v>
      </c>
      <c r="O554" s="6">
        <v>2.3279999999999998</v>
      </c>
      <c r="P554" s="6">
        <v>5</v>
      </c>
      <c r="Q554" s="4" t="s">
        <v>26</v>
      </c>
      <c r="R554" s="4">
        <v>0</v>
      </c>
      <c r="S554" s="6">
        <v>0</v>
      </c>
      <c r="T554" s="6">
        <v>77</v>
      </c>
      <c r="U554" s="6">
        <v>52</v>
      </c>
      <c r="V554" s="6">
        <f>IF(ISERROR(VLOOKUP($S$554,'TAR FIN'!$A$1:$O$92,15,0)),0,VLOOKUP($S$554,'TAR FIN'!$A$1:$O$92,15,0))</f>
        <v>0</v>
      </c>
      <c r="W554" s="6">
        <f>IF(ISERROR(VLOOKUP($T$554,'TAR FIN'!$A$1:$O$92,15,0)),0,VLOOKUP($T$554,'TAR FIN'!$A$1:$O$92,15,0))</f>
        <v>343.17</v>
      </c>
      <c r="X554" s="6">
        <f>IF(ISERROR(VLOOKUP($U$554,'TAR FIN'!$A$1:$O$92,15,0)),0,VLOOKUP($U$554,'TAR FIN'!$A$1:$O$92,15,0))</f>
        <v>303.54000000000002</v>
      </c>
      <c r="Y554" s="6"/>
      <c r="Z554" s="6">
        <f ca="1">('TUSD BE'!$AM$52+'TUSD BF_350'!$AM$52+'TUSD CVA'!$AM$52)*1</f>
        <v>310.49</v>
      </c>
      <c r="AA554" s="6">
        <f ca="1">('TE BE'!$AB$40+'TE BF_350'!$AB$40+'TE CVA'!$AB$40)*1</f>
        <v>262.52999999999997</v>
      </c>
      <c r="AB554" s="6">
        <f>$K$554*$V$554</f>
        <v>0</v>
      </c>
      <c r="AC554" s="6">
        <f>$M$554*$W$554</f>
        <v>798.89976000000001</v>
      </c>
      <c r="AD554" s="6">
        <f>$O$554*$X$554</f>
        <v>706.64112</v>
      </c>
      <c r="AE554" s="6">
        <f>$K$554*$Y$554</f>
        <v>0</v>
      </c>
      <c r="AF554" s="6">
        <f ca="1">$M$554*$Z$554</f>
        <v>722.82071999999994</v>
      </c>
      <c r="AG554" s="6">
        <f ca="1">$O$554*$AA$554</f>
        <v>611.16983999999991</v>
      </c>
    </row>
    <row r="555" spans="1:33" ht="11.25" customHeight="1" x14ac:dyDescent="0.3">
      <c r="A555" s="4" t="s">
        <v>21</v>
      </c>
      <c r="B555" s="4" t="s">
        <v>32</v>
      </c>
      <c r="C555" s="4" t="s">
        <v>23</v>
      </c>
      <c r="D555" s="4" t="s">
        <v>33</v>
      </c>
      <c r="E555" s="4" t="s">
        <v>25</v>
      </c>
      <c r="F555" s="4" t="s">
        <v>25</v>
      </c>
      <c r="G555" s="4" t="s">
        <v>25</v>
      </c>
      <c r="H555" s="4" t="s">
        <v>25</v>
      </c>
      <c r="I555" s="5">
        <v>44743</v>
      </c>
      <c r="J555" s="6">
        <v>0</v>
      </c>
      <c r="K555" s="6">
        <v>0</v>
      </c>
      <c r="L555" s="6">
        <v>106.953</v>
      </c>
      <c r="M555" s="6">
        <v>106.953</v>
      </c>
      <c r="N555" s="6">
        <v>106.953</v>
      </c>
      <c r="O555" s="6">
        <v>106.953</v>
      </c>
      <c r="P555" s="6">
        <v>83</v>
      </c>
      <c r="Q555" s="4" t="s">
        <v>26</v>
      </c>
      <c r="R555" s="4">
        <v>0</v>
      </c>
      <c r="S555" s="6">
        <v>0</v>
      </c>
      <c r="T555" s="6">
        <v>77</v>
      </c>
      <c r="U555" s="6">
        <v>52</v>
      </c>
      <c r="V555" s="6">
        <f>IF(ISERROR(VLOOKUP($S$555,'TAR FIN'!$A$1:$O$92,15,0)),0,VLOOKUP($S$555,'TAR FIN'!$A$1:$O$92,15,0))</f>
        <v>0</v>
      </c>
      <c r="W555" s="6">
        <f>IF(ISERROR(VLOOKUP($T$555,'TAR FIN'!$A$1:$O$92,15,0)),0,VLOOKUP($T$555,'TAR FIN'!$A$1:$O$92,15,0))</f>
        <v>343.17</v>
      </c>
      <c r="X555" s="6">
        <f>IF(ISERROR(VLOOKUP($U$555,'TAR FIN'!$A$1:$O$92,15,0)),0,VLOOKUP($U$555,'TAR FIN'!$A$1:$O$92,15,0))</f>
        <v>303.54000000000002</v>
      </c>
      <c r="Y555" s="6"/>
      <c r="Z555" s="6">
        <f ca="1">('TUSD BE'!$AM$52+'TUSD BF_350'!$AM$52+'TUSD CVA'!$AM$52)*1</f>
        <v>310.49</v>
      </c>
      <c r="AA555" s="6">
        <f ca="1">('TE BE'!$AB$40+'TE BF_350'!$AB$40+'TE CVA'!$AB$40)*1</f>
        <v>262.52999999999997</v>
      </c>
      <c r="AB555" s="6">
        <f>$K$555*$V$555</f>
        <v>0</v>
      </c>
      <c r="AC555" s="6">
        <f>$M$555*$W$555</f>
        <v>36703.061010000005</v>
      </c>
      <c r="AD555" s="6">
        <f>$O$555*$X$555</f>
        <v>32464.513620000002</v>
      </c>
      <c r="AE555" s="6">
        <f>$K$555*$Y$555</f>
        <v>0</v>
      </c>
      <c r="AF555" s="6">
        <f ca="1">$M$555*$Z$555</f>
        <v>33207.836970000004</v>
      </c>
      <c r="AG555" s="6">
        <f ca="1">$O$555*$AA$555</f>
        <v>28078.371089999997</v>
      </c>
    </row>
    <row r="556" spans="1:33" ht="11.25" customHeight="1" x14ac:dyDescent="0.3">
      <c r="A556" s="4" t="s">
        <v>27</v>
      </c>
      <c r="B556" s="4" t="s">
        <v>32</v>
      </c>
      <c r="C556" s="4" t="s">
        <v>23</v>
      </c>
      <c r="D556" s="4" t="s">
        <v>33</v>
      </c>
      <c r="E556" s="4" t="s">
        <v>25</v>
      </c>
      <c r="F556" s="4" t="s">
        <v>25</v>
      </c>
      <c r="G556" s="4" t="s">
        <v>25</v>
      </c>
      <c r="H556" s="4" t="s">
        <v>25</v>
      </c>
      <c r="I556" s="5">
        <v>44743</v>
      </c>
      <c r="J556" s="6">
        <v>0</v>
      </c>
      <c r="K556" s="6">
        <v>0</v>
      </c>
      <c r="L556" s="6">
        <v>6.556</v>
      </c>
      <c r="M556" s="6">
        <v>6.556</v>
      </c>
      <c r="N556" s="6">
        <v>6.556</v>
      </c>
      <c r="O556" s="6">
        <v>6.556</v>
      </c>
      <c r="P556" s="6">
        <v>6</v>
      </c>
      <c r="Q556" s="4" t="s">
        <v>26</v>
      </c>
      <c r="R556" s="4">
        <v>0</v>
      </c>
      <c r="S556" s="6">
        <v>0</v>
      </c>
      <c r="T556" s="6">
        <v>77</v>
      </c>
      <c r="U556" s="6">
        <v>52</v>
      </c>
      <c r="V556" s="6">
        <f>IF(ISERROR(VLOOKUP($S$556,'TAR FIN'!$A$1:$O$92,15,0)),0,VLOOKUP($S$556,'TAR FIN'!$A$1:$O$92,15,0))</f>
        <v>0</v>
      </c>
      <c r="W556" s="6">
        <f>IF(ISERROR(VLOOKUP($T$556,'TAR FIN'!$A$1:$O$92,15,0)),0,VLOOKUP($T$556,'TAR FIN'!$A$1:$O$92,15,0))</f>
        <v>343.17</v>
      </c>
      <c r="X556" s="6">
        <f>IF(ISERROR(VLOOKUP($U$556,'TAR FIN'!$A$1:$O$92,15,0)),0,VLOOKUP($U$556,'TAR FIN'!$A$1:$O$92,15,0))</f>
        <v>303.54000000000002</v>
      </c>
      <c r="Y556" s="6"/>
      <c r="Z556" s="6">
        <f ca="1">('TUSD BE'!$AM$52+'TUSD BF_350'!$AM$52+'TUSD CVA'!$AM$52)*1</f>
        <v>310.49</v>
      </c>
      <c r="AA556" s="6">
        <f ca="1">('TE BE'!$AB$40+'TE BF_350'!$AB$40+'TE CVA'!$AB$40)*1</f>
        <v>262.52999999999997</v>
      </c>
      <c r="AB556" s="6">
        <f>$K$556*$V$556</f>
        <v>0</v>
      </c>
      <c r="AC556" s="6">
        <f>$M$556*$W$556</f>
        <v>2249.8225200000002</v>
      </c>
      <c r="AD556" s="6">
        <f>$O$556*$X$556</f>
        <v>1990.0082400000001</v>
      </c>
      <c r="AE556" s="6">
        <f>$K$556*$Y$556</f>
        <v>0</v>
      </c>
      <c r="AF556" s="6">
        <f ca="1">$M$556*$Z$556</f>
        <v>2035.5724400000001</v>
      </c>
      <c r="AG556" s="6">
        <f ca="1">$O$556*$AA$556</f>
        <v>1721.1466799999998</v>
      </c>
    </row>
    <row r="557" spans="1:33" ht="11.25" customHeight="1" x14ac:dyDescent="0.3">
      <c r="A557" s="4" t="s">
        <v>21</v>
      </c>
      <c r="B557" s="4" t="s">
        <v>32</v>
      </c>
      <c r="C557" s="4" t="s">
        <v>23</v>
      </c>
      <c r="D557" s="4" t="s">
        <v>43</v>
      </c>
      <c r="E557" s="4" t="s">
        <v>25</v>
      </c>
      <c r="F557" s="4" t="s">
        <v>25</v>
      </c>
      <c r="G557" s="4" t="s">
        <v>25</v>
      </c>
      <c r="H557" s="4" t="s">
        <v>25</v>
      </c>
      <c r="I557" s="5">
        <v>44409</v>
      </c>
      <c r="J557" s="6">
        <v>0</v>
      </c>
      <c r="K557" s="6">
        <v>0</v>
      </c>
      <c r="L557" s="6">
        <v>67.95</v>
      </c>
      <c r="M557" s="6">
        <v>67.95</v>
      </c>
      <c r="N557" s="6">
        <v>67.95</v>
      </c>
      <c r="O557" s="6">
        <v>67.95</v>
      </c>
      <c r="P557" s="6">
        <v>75</v>
      </c>
      <c r="Q557" s="4" t="s">
        <v>26</v>
      </c>
      <c r="R557" s="4">
        <v>0</v>
      </c>
      <c r="S557" s="6">
        <v>0</v>
      </c>
      <c r="T557" s="6">
        <v>77</v>
      </c>
      <c r="U557" s="6">
        <v>52</v>
      </c>
      <c r="V557" s="6">
        <f>IF(ISERROR(VLOOKUP($S$557,'TAR FIN'!$A$1:$O$92,15,0)),0,VLOOKUP($S$557,'TAR FIN'!$A$1:$O$92,15,0))</f>
        <v>0</v>
      </c>
      <c r="W557" s="6">
        <f>IF(ISERROR(VLOOKUP($T$557,'TAR FIN'!$A$1:$O$92,15,0)),0,VLOOKUP($T$557,'TAR FIN'!$A$1:$O$92,15,0))</f>
        <v>343.17</v>
      </c>
      <c r="X557" s="6">
        <f>IF(ISERROR(VLOOKUP($U$557,'TAR FIN'!$A$1:$O$92,15,0)),0,VLOOKUP($U$557,'TAR FIN'!$A$1:$O$92,15,0))</f>
        <v>303.54000000000002</v>
      </c>
      <c r="Y557" s="6"/>
      <c r="Z557" s="6">
        <f ca="1">('TUSD BE'!$AM$52+'TUSD BF_350'!$AM$52+'TUSD CVA'!$AM$52)*1</f>
        <v>310.49</v>
      </c>
      <c r="AA557" s="6">
        <f ca="1">('TE BE'!$AB$40+'TE BF_350'!$AB$40+'TE CVA'!$AB$40)*1</f>
        <v>262.52999999999997</v>
      </c>
      <c r="AB557" s="6">
        <f>$K$557*$V$557</f>
        <v>0</v>
      </c>
      <c r="AC557" s="6">
        <f>$M$557*$W$557</f>
        <v>23318.401500000004</v>
      </c>
      <c r="AD557" s="6">
        <f>$O$557*$X$557</f>
        <v>20625.543000000001</v>
      </c>
      <c r="AE557" s="6">
        <f>$K$557*$Y$557</f>
        <v>0</v>
      </c>
      <c r="AF557" s="6">
        <f ca="1">$M$557*$Z$557</f>
        <v>21097.7955</v>
      </c>
      <c r="AG557" s="6">
        <f ca="1">$O$557*$AA$557</f>
        <v>17838.913499999999</v>
      </c>
    </row>
    <row r="558" spans="1:33" ht="11.25" customHeight="1" x14ac:dyDescent="0.3">
      <c r="A558" s="4" t="s">
        <v>27</v>
      </c>
      <c r="B558" s="4" t="s">
        <v>32</v>
      </c>
      <c r="C558" s="4" t="s">
        <v>23</v>
      </c>
      <c r="D558" s="4" t="s">
        <v>43</v>
      </c>
      <c r="E558" s="4" t="s">
        <v>25</v>
      </c>
      <c r="F558" s="4" t="s">
        <v>25</v>
      </c>
      <c r="G558" s="4" t="s">
        <v>25</v>
      </c>
      <c r="H558" s="4" t="s">
        <v>25</v>
      </c>
      <c r="I558" s="5">
        <v>44409</v>
      </c>
      <c r="J558" s="6">
        <v>0</v>
      </c>
      <c r="K558" s="6">
        <v>0</v>
      </c>
      <c r="L558" s="6">
        <v>0.52400000000000002</v>
      </c>
      <c r="M558" s="6">
        <v>0.52400000000000002</v>
      </c>
      <c r="N558" s="6">
        <v>0.52400000000000002</v>
      </c>
      <c r="O558" s="6">
        <v>0.52400000000000002</v>
      </c>
      <c r="P558" s="6">
        <v>2</v>
      </c>
      <c r="Q558" s="4" t="s">
        <v>26</v>
      </c>
      <c r="R558" s="4">
        <v>0</v>
      </c>
      <c r="S558" s="6">
        <v>0</v>
      </c>
      <c r="T558" s="6">
        <v>77</v>
      </c>
      <c r="U558" s="6">
        <v>52</v>
      </c>
      <c r="V558" s="6">
        <f>IF(ISERROR(VLOOKUP($S$558,'TAR FIN'!$A$1:$O$92,15,0)),0,VLOOKUP($S$558,'TAR FIN'!$A$1:$O$92,15,0))</f>
        <v>0</v>
      </c>
      <c r="W558" s="6">
        <f>IF(ISERROR(VLOOKUP($T$558,'TAR FIN'!$A$1:$O$92,15,0)),0,VLOOKUP($T$558,'TAR FIN'!$A$1:$O$92,15,0))</f>
        <v>343.17</v>
      </c>
      <c r="X558" s="6">
        <f>IF(ISERROR(VLOOKUP($U$558,'TAR FIN'!$A$1:$O$92,15,0)),0,VLOOKUP($U$558,'TAR FIN'!$A$1:$O$92,15,0))</f>
        <v>303.54000000000002</v>
      </c>
      <c r="Y558" s="6"/>
      <c r="Z558" s="6">
        <f ca="1">('TUSD BE'!$AM$52+'TUSD BF_350'!$AM$52+'TUSD CVA'!$AM$52)*1</f>
        <v>310.49</v>
      </c>
      <c r="AA558" s="6">
        <f ca="1">('TE BE'!$AB$40+'TE BF_350'!$AB$40+'TE CVA'!$AB$40)*1</f>
        <v>262.52999999999997</v>
      </c>
      <c r="AB558" s="6">
        <f>$K$558*$V$558</f>
        <v>0</v>
      </c>
      <c r="AC558" s="6">
        <f>$M$558*$W$558</f>
        <v>179.82108000000002</v>
      </c>
      <c r="AD558" s="6">
        <f>$O$558*$X$558</f>
        <v>159.05496000000002</v>
      </c>
      <c r="AE558" s="6">
        <f>$K$558*$Y$558</f>
        <v>0</v>
      </c>
      <c r="AF558" s="6">
        <f ca="1">$M$558*$Z$558</f>
        <v>162.69676000000001</v>
      </c>
      <c r="AG558" s="6">
        <f ca="1">$O$558*$AA$558</f>
        <v>137.56572</v>
      </c>
    </row>
    <row r="559" spans="1:33" ht="11.25" customHeight="1" x14ac:dyDescent="0.3">
      <c r="A559" s="4" t="s">
        <v>21</v>
      </c>
      <c r="B559" s="4" t="s">
        <v>32</v>
      </c>
      <c r="C559" s="4" t="s">
        <v>23</v>
      </c>
      <c r="D559" s="4" t="s">
        <v>43</v>
      </c>
      <c r="E559" s="4" t="s">
        <v>25</v>
      </c>
      <c r="F559" s="4" t="s">
        <v>25</v>
      </c>
      <c r="G559" s="4" t="s">
        <v>25</v>
      </c>
      <c r="H559" s="4" t="s">
        <v>25</v>
      </c>
      <c r="I559" s="5">
        <v>44440</v>
      </c>
      <c r="J559" s="6">
        <v>0</v>
      </c>
      <c r="K559" s="6">
        <v>0</v>
      </c>
      <c r="L559" s="6">
        <v>71.960999999999999</v>
      </c>
      <c r="M559" s="6">
        <v>71.960999999999999</v>
      </c>
      <c r="N559" s="6">
        <v>71.960999999999999</v>
      </c>
      <c r="O559" s="6">
        <v>71.960999999999999</v>
      </c>
      <c r="P559" s="6">
        <v>75</v>
      </c>
      <c r="Q559" s="4" t="s">
        <v>26</v>
      </c>
      <c r="R559" s="4">
        <v>0</v>
      </c>
      <c r="S559" s="6">
        <v>0</v>
      </c>
      <c r="T559" s="6">
        <v>77</v>
      </c>
      <c r="U559" s="6">
        <v>52</v>
      </c>
      <c r="V559" s="6">
        <f>IF(ISERROR(VLOOKUP($S$559,'TAR FIN'!$A$1:$O$92,15,0)),0,VLOOKUP($S$559,'TAR FIN'!$A$1:$O$92,15,0))</f>
        <v>0</v>
      </c>
      <c r="W559" s="6">
        <f>IF(ISERROR(VLOOKUP($T$559,'TAR FIN'!$A$1:$O$92,15,0)),0,VLOOKUP($T$559,'TAR FIN'!$A$1:$O$92,15,0))</f>
        <v>343.17</v>
      </c>
      <c r="X559" s="6">
        <f>IF(ISERROR(VLOOKUP($U$559,'TAR FIN'!$A$1:$O$92,15,0)),0,VLOOKUP($U$559,'TAR FIN'!$A$1:$O$92,15,0))</f>
        <v>303.54000000000002</v>
      </c>
      <c r="Y559" s="6"/>
      <c r="Z559" s="6">
        <f ca="1">('TUSD BE'!$AM$52+'TUSD BF_350'!$AM$52+'TUSD CVA'!$AM$52)*1</f>
        <v>310.49</v>
      </c>
      <c r="AA559" s="6">
        <f ca="1">('TE BE'!$AB$40+'TE BF_350'!$AB$40+'TE CVA'!$AB$40)*1</f>
        <v>262.52999999999997</v>
      </c>
      <c r="AB559" s="6">
        <f>$K$559*$V$559</f>
        <v>0</v>
      </c>
      <c r="AC559" s="6">
        <f>$M$559*$W$559</f>
        <v>24694.856370000001</v>
      </c>
      <c r="AD559" s="6">
        <f>$O$559*$X$559</f>
        <v>21843.041940000003</v>
      </c>
      <c r="AE559" s="6">
        <f>$K$559*$Y$559</f>
        <v>0</v>
      </c>
      <c r="AF559" s="6">
        <f ca="1">$M$559*$Z$559</f>
        <v>22343.170890000001</v>
      </c>
      <c r="AG559" s="6">
        <f ca="1">$O$559*$AA$559</f>
        <v>18891.921329999997</v>
      </c>
    </row>
    <row r="560" spans="1:33" ht="11.25" customHeight="1" x14ac:dyDescent="0.3">
      <c r="A560" s="4" t="s">
        <v>27</v>
      </c>
      <c r="B560" s="4" t="s">
        <v>32</v>
      </c>
      <c r="C560" s="4" t="s">
        <v>23</v>
      </c>
      <c r="D560" s="4" t="s">
        <v>43</v>
      </c>
      <c r="E560" s="4" t="s">
        <v>25</v>
      </c>
      <c r="F560" s="4" t="s">
        <v>25</v>
      </c>
      <c r="G560" s="4" t="s">
        <v>25</v>
      </c>
      <c r="H560" s="4" t="s">
        <v>25</v>
      </c>
      <c r="I560" s="5">
        <v>44440</v>
      </c>
      <c r="J560" s="6">
        <v>0</v>
      </c>
      <c r="K560" s="6">
        <v>0</v>
      </c>
      <c r="L560" s="6">
        <v>0.65500000000000003</v>
      </c>
      <c r="M560" s="6">
        <v>0.65500000000000003</v>
      </c>
      <c r="N560" s="6">
        <v>0.65500000000000003</v>
      </c>
      <c r="O560" s="6">
        <v>0.65500000000000003</v>
      </c>
      <c r="P560" s="6">
        <v>2</v>
      </c>
      <c r="Q560" s="4" t="s">
        <v>26</v>
      </c>
      <c r="R560" s="4">
        <v>0</v>
      </c>
      <c r="S560" s="6">
        <v>0</v>
      </c>
      <c r="T560" s="6">
        <v>77</v>
      </c>
      <c r="U560" s="6">
        <v>52</v>
      </c>
      <c r="V560" s="6">
        <f>IF(ISERROR(VLOOKUP($S$560,'TAR FIN'!$A$1:$O$92,15,0)),0,VLOOKUP($S$560,'TAR FIN'!$A$1:$O$92,15,0))</f>
        <v>0</v>
      </c>
      <c r="W560" s="6">
        <f>IF(ISERROR(VLOOKUP($T$560,'TAR FIN'!$A$1:$O$92,15,0)),0,VLOOKUP($T$560,'TAR FIN'!$A$1:$O$92,15,0))</f>
        <v>343.17</v>
      </c>
      <c r="X560" s="6">
        <f>IF(ISERROR(VLOOKUP($U$560,'TAR FIN'!$A$1:$O$92,15,0)),0,VLOOKUP($U$560,'TAR FIN'!$A$1:$O$92,15,0))</f>
        <v>303.54000000000002</v>
      </c>
      <c r="Y560" s="6"/>
      <c r="Z560" s="6">
        <f ca="1">('TUSD BE'!$AM$52+'TUSD BF_350'!$AM$52+'TUSD CVA'!$AM$52)*1</f>
        <v>310.49</v>
      </c>
      <c r="AA560" s="6">
        <f ca="1">('TE BE'!$AB$40+'TE BF_350'!$AB$40+'TE CVA'!$AB$40)*1</f>
        <v>262.52999999999997</v>
      </c>
      <c r="AB560" s="6">
        <f>$K$560*$V$560</f>
        <v>0</v>
      </c>
      <c r="AC560" s="6">
        <f>$M$560*$W$560</f>
        <v>224.77635000000001</v>
      </c>
      <c r="AD560" s="6">
        <f>$O$560*$X$560</f>
        <v>198.81870000000004</v>
      </c>
      <c r="AE560" s="6">
        <f>$K$560*$Y$560</f>
        <v>0</v>
      </c>
      <c r="AF560" s="6">
        <f ca="1">$M$560*$Z$560</f>
        <v>203.37095000000002</v>
      </c>
      <c r="AG560" s="6">
        <f ca="1">$O$560*$AA$560</f>
        <v>171.95714999999998</v>
      </c>
    </row>
    <row r="561" spans="1:33" ht="11.25" customHeight="1" x14ac:dyDescent="0.3">
      <c r="A561" s="4" t="s">
        <v>21</v>
      </c>
      <c r="B561" s="4" t="s">
        <v>32</v>
      </c>
      <c r="C561" s="4" t="s">
        <v>23</v>
      </c>
      <c r="D561" s="4" t="s">
        <v>43</v>
      </c>
      <c r="E561" s="4" t="s">
        <v>25</v>
      </c>
      <c r="F561" s="4" t="s">
        <v>25</v>
      </c>
      <c r="G561" s="4" t="s">
        <v>25</v>
      </c>
      <c r="H561" s="4" t="s">
        <v>25</v>
      </c>
      <c r="I561" s="5">
        <v>44470</v>
      </c>
      <c r="J561" s="6">
        <v>0</v>
      </c>
      <c r="K561" s="6">
        <v>0</v>
      </c>
      <c r="L561" s="6">
        <v>69.941000000000003</v>
      </c>
      <c r="M561" s="6">
        <v>69.941000000000003</v>
      </c>
      <c r="N561" s="6">
        <v>69.941000000000003</v>
      </c>
      <c r="O561" s="6">
        <v>69.941000000000003</v>
      </c>
      <c r="P561" s="6">
        <v>75</v>
      </c>
      <c r="Q561" s="4" t="s">
        <v>26</v>
      </c>
      <c r="R561" s="4">
        <v>0</v>
      </c>
      <c r="S561" s="6">
        <v>0</v>
      </c>
      <c r="T561" s="6">
        <v>77</v>
      </c>
      <c r="U561" s="6">
        <v>52</v>
      </c>
      <c r="V561" s="6">
        <f>IF(ISERROR(VLOOKUP($S$561,'TAR FIN'!$A$1:$O$92,15,0)),0,VLOOKUP($S$561,'TAR FIN'!$A$1:$O$92,15,0))</f>
        <v>0</v>
      </c>
      <c r="W561" s="6">
        <f>IF(ISERROR(VLOOKUP($T$561,'TAR FIN'!$A$1:$O$92,15,0)),0,VLOOKUP($T$561,'TAR FIN'!$A$1:$O$92,15,0))</f>
        <v>343.17</v>
      </c>
      <c r="X561" s="6">
        <f>IF(ISERROR(VLOOKUP($U$561,'TAR FIN'!$A$1:$O$92,15,0)),0,VLOOKUP($U$561,'TAR FIN'!$A$1:$O$92,15,0))</f>
        <v>303.54000000000002</v>
      </c>
      <c r="Y561" s="6"/>
      <c r="Z561" s="6">
        <f ca="1">('TUSD BE'!$AM$52+'TUSD BF_350'!$AM$52+'TUSD CVA'!$AM$52)*1</f>
        <v>310.49</v>
      </c>
      <c r="AA561" s="6">
        <f ca="1">('TE BE'!$AB$40+'TE BF_350'!$AB$40+'TE CVA'!$AB$40)*1</f>
        <v>262.52999999999997</v>
      </c>
      <c r="AB561" s="6">
        <f>$K$561*$V$561</f>
        <v>0</v>
      </c>
      <c r="AC561" s="6">
        <f>$M$561*$W$561</f>
        <v>24001.652970000003</v>
      </c>
      <c r="AD561" s="6">
        <f>$O$561*$X$561</f>
        <v>21229.891140000003</v>
      </c>
      <c r="AE561" s="6">
        <f>$K$561*$Y$561</f>
        <v>0</v>
      </c>
      <c r="AF561" s="6">
        <f ca="1">$M$561*$Z$561</f>
        <v>21715.981090000001</v>
      </c>
      <c r="AG561" s="6">
        <f ca="1">$O$561*$AA$561</f>
        <v>18361.61073</v>
      </c>
    </row>
    <row r="562" spans="1:33" ht="11.25" customHeight="1" x14ac:dyDescent="0.3">
      <c r="A562" s="4" t="s">
        <v>27</v>
      </c>
      <c r="B562" s="4" t="s">
        <v>32</v>
      </c>
      <c r="C562" s="4" t="s">
        <v>23</v>
      </c>
      <c r="D562" s="4" t="s">
        <v>43</v>
      </c>
      <c r="E562" s="4" t="s">
        <v>25</v>
      </c>
      <c r="F562" s="4" t="s">
        <v>25</v>
      </c>
      <c r="G562" s="4" t="s">
        <v>25</v>
      </c>
      <c r="H562" s="4" t="s">
        <v>25</v>
      </c>
      <c r="I562" s="5">
        <v>44470</v>
      </c>
      <c r="J562" s="6">
        <v>0</v>
      </c>
      <c r="K562" s="6">
        <v>0</v>
      </c>
      <c r="L562" s="6">
        <v>0.67200000000000004</v>
      </c>
      <c r="M562" s="6">
        <v>0.67200000000000004</v>
      </c>
      <c r="N562" s="6">
        <v>0.67200000000000004</v>
      </c>
      <c r="O562" s="6">
        <v>0.67200000000000004</v>
      </c>
      <c r="P562" s="6">
        <v>2</v>
      </c>
      <c r="Q562" s="4" t="s">
        <v>26</v>
      </c>
      <c r="R562" s="4">
        <v>0</v>
      </c>
      <c r="S562" s="6">
        <v>0</v>
      </c>
      <c r="T562" s="6">
        <v>77</v>
      </c>
      <c r="U562" s="6">
        <v>52</v>
      </c>
      <c r="V562" s="6">
        <f>IF(ISERROR(VLOOKUP($S$562,'TAR FIN'!$A$1:$O$92,15,0)),0,VLOOKUP($S$562,'TAR FIN'!$A$1:$O$92,15,0))</f>
        <v>0</v>
      </c>
      <c r="W562" s="6">
        <f>IF(ISERROR(VLOOKUP($T$562,'TAR FIN'!$A$1:$O$92,15,0)),0,VLOOKUP($T$562,'TAR FIN'!$A$1:$O$92,15,0))</f>
        <v>343.17</v>
      </c>
      <c r="X562" s="6">
        <f>IF(ISERROR(VLOOKUP($U$562,'TAR FIN'!$A$1:$O$92,15,0)),0,VLOOKUP($U$562,'TAR FIN'!$A$1:$O$92,15,0))</f>
        <v>303.54000000000002</v>
      </c>
      <c r="Y562" s="6"/>
      <c r="Z562" s="6">
        <f ca="1">('TUSD BE'!$AM$52+'TUSD BF_350'!$AM$52+'TUSD CVA'!$AM$52)*1</f>
        <v>310.49</v>
      </c>
      <c r="AA562" s="6">
        <f ca="1">('TE BE'!$AB$40+'TE BF_350'!$AB$40+'TE CVA'!$AB$40)*1</f>
        <v>262.52999999999997</v>
      </c>
      <c r="AB562" s="6">
        <f>$K$562*$V$562</f>
        <v>0</v>
      </c>
      <c r="AC562" s="6">
        <f>$M$562*$W$562</f>
        <v>230.61024000000003</v>
      </c>
      <c r="AD562" s="6">
        <f>$O$562*$X$562</f>
        <v>203.97888000000003</v>
      </c>
      <c r="AE562" s="6">
        <f>$K$562*$Y$562</f>
        <v>0</v>
      </c>
      <c r="AF562" s="6">
        <f ca="1">$M$562*$Z$562</f>
        <v>208.64928000000003</v>
      </c>
      <c r="AG562" s="6">
        <f ca="1">$O$562*$AA$562</f>
        <v>176.42015999999998</v>
      </c>
    </row>
    <row r="563" spans="1:33" ht="11.25" customHeight="1" x14ac:dyDescent="0.3">
      <c r="A563" s="4" t="s">
        <v>21</v>
      </c>
      <c r="B563" s="4" t="s">
        <v>32</v>
      </c>
      <c r="C563" s="4" t="s">
        <v>23</v>
      </c>
      <c r="D563" s="4" t="s">
        <v>43</v>
      </c>
      <c r="E563" s="4" t="s">
        <v>25</v>
      </c>
      <c r="F563" s="4" t="s">
        <v>25</v>
      </c>
      <c r="G563" s="4" t="s">
        <v>25</v>
      </c>
      <c r="H563" s="4" t="s">
        <v>25</v>
      </c>
      <c r="I563" s="5">
        <v>44501</v>
      </c>
      <c r="J563" s="6">
        <v>0</v>
      </c>
      <c r="K563" s="6">
        <v>0</v>
      </c>
      <c r="L563" s="6">
        <v>69.537999999999997</v>
      </c>
      <c r="M563" s="6">
        <v>69.537999999999997</v>
      </c>
      <c r="N563" s="6">
        <v>69.537999999999997</v>
      </c>
      <c r="O563" s="6">
        <v>69.537999999999997</v>
      </c>
      <c r="P563" s="6">
        <v>75</v>
      </c>
      <c r="Q563" s="4" t="s">
        <v>26</v>
      </c>
      <c r="R563" s="4">
        <v>0</v>
      </c>
      <c r="S563" s="6">
        <v>0</v>
      </c>
      <c r="T563" s="6">
        <v>77</v>
      </c>
      <c r="U563" s="6">
        <v>52</v>
      </c>
      <c r="V563" s="6">
        <f>IF(ISERROR(VLOOKUP($S$563,'TAR FIN'!$A$1:$O$92,15,0)),0,VLOOKUP($S$563,'TAR FIN'!$A$1:$O$92,15,0))</f>
        <v>0</v>
      </c>
      <c r="W563" s="6">
        <f>IF(ISERROR(VLOOKUP($T$563,'TAR FIN'!$A$1:$O$92,15,0)),0,VLOOKUP($T$563,'TAR FIN'!$A$1:$O$92,15,0))</f>
        <v>343.17</v>
      </c>
      <c r="X563" s="6">
        <f>IF(ISERROR(VLOOKUP($U$563,'TAR FIN'!$A$1:$O$92,15,0)),0,VLOOKUP($U$563,'TAR FIN'!$A$1:$O$92,15,0))</f>
        <v>303.54000000000002</v>
      </c>
      <c r="Y563" s="6"/>
      <c r="Z563" s="6">
        <f ca="1">('TUSD BE'!$AM$52+'TUSD BF_350'!$AM$52+'TUSD CVA'!$AM$52)*1</f>
        <v>310.49</v>
      </c>
      <c r="AA563" s="6">
        <f ca="1">('TE BE'!$AB$40+'TE BF_350'!$AB$40+'TE CVA'!$AB$40)*1</f>
        <v>262.52999999999997</v>
      </c>
      <c r="AB563" s="6">
        <f>$K$563*$V$563</f>
        <v>0</v>
      </c>
      <c r="AC563" s="6">
        <f>$M$563*$W$563</f>
        <v>23863.355459999999</v>
      </c>
      <c r="AD563" s="6">
        <f>$O$563*$X$563</f>
        <v>21107.56452</v>
      </c>
      <c r="AE563" s="6">
        <f>$K$563*$Y$563</f>
        <v>0</v>
      </c>
      <c r="AF563" s="6">
        <f ca="1">$M$563*$Z$563</f>
        <v>21590.853619999998</v>
      </c>
      <c r="AG563" s="6">
        <f ca="1">$O$563*$AA$563</f>
        <v>18255.811139999998</v>
      </c>
    </row>
    <row r="564" spans="1:33" ht="11.25" customHeight="1" x14ac:dyDescent="0.3">
      <c r="A564" s="4" t="s">
        <v>27</v>
      </c>
      <c r="B564" s="4" t="s">
        <v>32</v>
      </c>
      <c r="C564" s="4" t="s">
        <v>23</v>
      </c>
      <c r="D564" s="4" t="s">
        <v>43</v>
      </c>
      <c r="E564" s="4" t="s">
        <v>25</v>
      </c>
      <c r="F564" s="4" t="s">
        <v>25</v>
      </c>
      <c r="G564" s="4" t="s">
        <v>25</v>
      </c>
      <c r="H564" s="4" t="s">
        <v>25</v>
      </c>
      <c r="I564" s="5">
        <v>44501</v>
      </c>
      <c r="J564" s="6">
        <v>0</v>
      </c>
      <c r="K564" s="6">
        <v>0</v>
      </c>
      <c r="L564" s="6">
        <v>0.82699999999999996</v>
      </c>
      <c r="M564" s="6">
        <v>0.82699999999999996</v>
      </c>
      <c r="N564" s="6">
        <v>0.82699999999999996</v>
      </c>
      <c r="O564" s="6">
        <v>0.82699999999999996</v>
      </c>
      <c r="P564" s="6">
        <v>2</v>
      </c>
      <c r="Q564" s="4" t="s">
        <v>26</v>
      </c>
      <c r="R564" s="4">
        <v>0</v>
      </c>
      <c r="S564" s="6">
        <v>0</v>
      </c>
      <c r="T564" s="6">
        <v>77</v>
      </c>
      <c r="U564" s="6">
        <v>52</v>
      </c>
      <c r="V564" s="6">
        <f>IF(ISERROR(VLOOKUP($S$564,'TAR FIN'!$A$1:$O$92,15,0)),0,VLOOKUP($S$564,'TAR FIN'!$A$1:$O$92,15,0))</f>
        <v>0</v>
      </c>
      <c r="W564" s="6">
        <f>IF(ISERROR(VLOOKUP($T$564,'TAR FIN'!$A$1:$O$92,15,0)),0,VLOOKUP($T$564,'TAR FIN'!$A$1:$O$92,15,0))</f>
        <v>343.17</v>
      </c>
      <c r="X564" s="6">
        <f>IF(ISERROR(VLOOKUP($U$564,'TAR FIN'!$A$1:$O$92,15,0)),0,VLOOKUP($U$564,'TAR FIN'!$A$1:$O$92,15,0))</f>
        <v>303.54000000000002</v>
      </c>
      <c r="Y564" s="6"/>
      <c r="Z564" s="6">
        <f ca="1">('TUSD BE'!$AM$52+'TUSD BF_350'!$AM$52+'TUSD CVA'!$AM$52)*1</f>
        <v>310.49</v>
      </c>
      <c r="AA564" s="6">
        <f ca="1">('TE BE'!$AB$40+'TE BF_350'!$AB$40+'TE CVA'!$AB$40)*1</f>
        <v>262.52999999999997</v>
      </c>
      <c r="AB564" s="6">
        <f>$K$564*$V$564</f>
        <v>0</v>
      </c>
      <c r="AC564" s="6">
        <f>$M$564*$W$564</f>
        <v>283.80158999999998</v>
      </c>
      <c r="AD564" s="6">
        <f>$O$564*$X$564</f>
        <v>251.02758</v>
      </c>
      <c r="AE564" s="6">
        <f>$K$564*$Y$564</f>
        <v>0</v>
      </c>
      <c r="AF564" s="6">
        <f ca="1">$M$564*$Z$564</f>
        <v>256.77523000000002</v>
      </c>
      <c r="AG564" s="6">
        <f ca="1">$O$564*$AA$564</f>
        <v>217.11230999999998</v>
      </c>
    </row>
    <row r="565" spans="1:33" ht="11.25" customHeight="1" x14ac:dyDescent="0.3">
      <c r="A565" s="4" t="s">
        <v>21</v>
      </c>
      <c r="B565" s="4" t="s">
        <v>32</v>
      </c>
      <c r="C565" s="4" t="s">
        <v>23</v>
      </c>
      <c r="D565" s="4" t="s">
        <v>43</v>
      </c>
      <c r="E565" s="4" t="s">
        <v>25</v>
      </c>
      <c r="F565" s="4" t="s">
        <v>25</v>
      </c>
      <c r="G565" s="4" t="s">
        <v>25</v>
      </c>
      <c r="H565" s="4" t="s">
        <v>25</v>
      </c>
      <c r="I565" s="5">
        <v>44531</v>
      </c>
      <c r="J565" s="6">
        <v>0</v>
      </c>
      <c r="K565" s="6">
        <v>0</v>
      </c>
      <c r="L565" s="6">
        <v>87.212999999999994</v>
      </c>
      <c r="M565" s="6">
        <v>87.212999999999994</v>
      </c>
      <c r="N565" s="6">
        <v>87.212999999999994</v>
      </c>
      <c r="O565" s="6">
        <v>87.212999999999994</v>
      </c>
      <c r="P565" s="6">
        <v>73</v>
      </c>
      <c r="Q565" s="4" t="s">
        <v>26</v>
      </c>
      <c r="R565" s="4">
        <v>0</v>
      </c>
      <c r="S565" s="6">
        <v>0</v>
      </c>
      <c r="T565" s="6">
        <v>77</v>
      </c>
      <c r="U565" s="6">
        <v>52</v>
      </c>
      <c r="V565" s="6">
        <f>IF(ISERROR(VLOOKUP($S$565,'TAR FIN'!$A$1:$O$92,15,0)),0,VLOOKUP($S$565,'TAR FIN'!$A$1:$O$92,15,0))</f>
        <v>0</v>
      </c>
      <c r="W565" s="6">
        <f>IF(ISERROR(VLOOKUP($T$565,'TAR FIN'!$A$1:$O$92,15,0)),0,VLOOKUP($T$565,'TAR FIN'!$A$1:$O$92,15,0))</f>
        <v>343.17</v>
      </c>
      <c r="X565" s="6">
        <f>IF(ISERROR(VLOOKUP($U$565,'TAR FIN'!$A$1:$O$92,15,0)),0,VLOOKUP($U$565,'TAR FIN'!$A$1:$O$92,15,0))</f>
        <v>303.54000000000002</v>
      </c>
      <c r="Y565" s="6"/>
      <c r="Z565" s="6">
        <f ca="1">('TUSD BE'!$AM$52+'TUSD BF_350'!$AM$52+'TUSD CVA'!$AM$52)*1</f>
        <v>310.49</v>
      </c>
      <c r="AA565" s="6">
        <f ca="1">('TE BE'!$AB$40+'TE BF_350'!$AB$40+'TE CVA'!$AB$40)*1</f>
        <v>262.52999999999997</v>
      </c>
      <c r="AB565" s="6">
        <f>$K$565*$V$565</f>
        <v>0</v>
      </c>
      <c r="AC565" s="6">
        <f>$M$565*$W$565</f>
        <v>29928.88521</v>
      </c>
      <c r="AD565" s="6">
        <f>$O$565*$X$565</f>
        <v>26472.634020000001</v>
      </c>
      <c r="AE565" s="6">
        <f>$K$565*$Y$565</f>
        <v>0</v>
      </c>
      <c r="AF565" s="6">
        <f ca="1">$M$565*$Z$565</f>
        <v>27078.764369999997</v>
      </c>
      <c r="AG565" s="6">
        <f ca="1">$O$565*$AA$565</f>
        <v>22896.028889999998</v>
      </c>
    </row>
    <row r="566" spans="1:33" ht="11.25" customHeight="1" x14ac:dyDescent="0.3">
      <c r="A566" s="4" t="s">
        <v>27</v>
      </c>
      <c r="B566" s="4" t="s">
        <v>32</v>
      </c>
      <c r="C566" s="4" t="s">
        <v>23</v>
      </c>
      <c r="D566" s="4" t="s">
        <v>43</v>
      </c>
      <c r="E566" s="4" t="s">
        <v>25</v>
      </c>
      <c r="F566" s="4" t="s">
        <v>25</v>
      </c>
      <c r="G566" s="4" t="s">
        <v>25</v>
      </c>
      <c r="H566" s="4" t="s">
        <v>25</v>
      </c>
      <c r="I566" s="5">
        <v>44531</v>
      </c>
      <c r="J566" s="6">
        <v>0</v>
      </c>
      <c r="K566" s="6">
        <v>0</v>
      </c>
      <c r="L566" s="6">
        <v>1.367</v>
      </c>
      <c r="M566" s="6">
        <v>1.367</v>
      </c>
      <c r="N566" s="6">
        <v>1.367</v>
      </c>
      <c r="O566" s="6">
        <v>1.367</v>
      </c>
      <c r="P566" s="6">
        <v>2</v>
      </c>
      <c r="Q566" s="4" t="s">
        <v>26</v>
      </c>
      <c r="R566" s="4">
        <v>0</v>
      </c>
      <c r="S566" s="6">
        <v>0</v>
      </c>
      <c r="T566" s="6">
        <v>77</v>
      </c>
      <c r="U566" s="6">
        <v>52</v>
      </c>
      <c r="V566" s="6">
        <f>IF(ISERROR(VLOOKUP($S$566,'TAR FIN'!$A$1:$O$92,15,0)),0,VLOOKUP($S$566,'TAR FIN'!$A$1:$O$92,15,0))</f>
        <v>0</v>
      </c>
      <c r="W566" s="6">
        <f>IF(ISERROR(VLOOKUP($T$566,'TAR FIN'!$A$1:$O$92,15,0)),0,VLOOKUP($T$566,'TAR FIN'!$A$1:$O$92,15,0))</f>
        <v>343.17</v>
      </c>
      <c r="X566" s="6">
        <f>IF(ISERROR(VLOOKUP($U$566,'TAR FIN'!$A$1:$O$92,15,0)),0,VLOOKUP($U$566,'TAR FIN'!$A$1:$O$92,15,0))</f>
        <v>303.54000000000002</v>
      </c>
      <c r="Y566" s="6"/>
      <c r="Z566" s="6">
        <f ca="1">('TUSD BE'!$AM$52+'TUSD BF_350'!$AM$52+'TUSD CVA'!$AM$52)*1</f>
        <v>310.49</v>
      </c>
      <c r="AA566" s="6">
        <f ca="1">('TE BE'!$AB$40+'TE BF_350'!$AB$40+'TE CVA'!$AB$40)*1</f>
        <v>262.52999999999997</v>
      </c>
      <c r="AB566" s="6">
        <f>$K$566*$V$566</f>
        <v>0</v>
      </c>
      <c r="AC566" s="6">
        <f>$M$566*$W$566</f>
        <v>469.11339000000004</v>
      </c>
      <c r="AD566" s="6">
        <f>$O$566*$X$566</f>
        <v>414.93918000000002</v>
      </c>
      <c r="AE566" s="6">
        <f>$K$566*$Y$566</f>
        <v>0</v>
      </c>
      <c r="AF566" s="6">
        <f ca="1">$M$566*$Z$566</f>
        <v>424.43983000000003</v>
      </c>
      <c r="AG566" s="6">
        <f ca="1">$O$566*$AA$566</f>
        <v>358.87850999999995</v>
      </c>
    </row>
    <row r="567" spans="1:33" ht="11.25" customHeight="1" x14ac:dyDescent="0.3">
      <c r="A567" s="4" t="s">
        <v>21</v>
      </c>
      <c r="B567" s="4" t="s">
        <v>32</v>
      </c>
      <c r="C567" s="4" t="s">
        <v>23</v>
      </c>
      <c r="D567" s="4" t="s">
        <v>43</v>
      </c>
      <c r="E567" s="4" t="s">
        <v>25</v>
      </c>
      <c r="F567" s="4" t="s">
        <v>25</v>
      </c>
      <c r="G567" s="4" t="s">
        <v>25</v>
      </c>
      <c r="H567" s="4" t="s">
        <v>25</v>
      </c>
      <c r="I567" s="5">
        <v>44562</v>
      </c>
      <c r="J567" s="6">
        <v>0</v>
      </c>
      <c r="K567" s="6">
        <v>0</v>
      </c>
      <c r="L567" s="6">
        <v>77.984999999999999</v>
      </c>
      <c r="M567" s="6">
        <v>77.984999999999999</v>
      </c>
      <c r="N567" s="6">
        <v>77.984999999999999</v>
      </c>
      <c r="O567" s="6">
        <v>77.984999999999999</v>
      </c>
      <c r="P567" s="6">
        <v>73</v>
      </c>
      <c r="Q567" s="4" t="s">
        <v>26</v>
      </c>
      <c r="R567" s="4">
        <v>0</v>
      </c>
      <c r="S567" s="6">
        <v>0</v>
      </c>
      <c r="T567" s="6">
        <v>77</v>
      </c>
      <c r="U567" s="6">
        <v>52</v>
      </c>
      <c r="V567" s="6">
        <f>IF(ISERROR(VLOOKUP($S$567,'TAR FIN'!$A$1:$O$92,15,0)),0,VLOOKUP($S$567,'TAR FIN'!$A$1:$O$92,15,0))</f>
        <v>0</v>
      </c>
      <c r="W567" s="6">
        <f>IF(ISERROR(VLOOKUP($T$567,'TAR FIN'!$A$1:$O$92,15,0)),0,VLOOKUP($T$567,'TAR FIN'!$A$1:$O$92,15,0))</f>
        <v>343.17</v>
      </c>
      <c r="X567" s="6">
        <f>IF(ISERROR(VLOOKUP($U$567,'TAR FIN'!$A$1:$O$92,15,0)),0,VLOOKUP($U$567,'TAR FIN'!$A$1:$O$92,15,0))</f>
        <v>303.54000000000002</v>
      </c>
      <c r="Y567" s="6"/>
      <c r="Z567" s="6">
        <f ca="1">('TUSD BE'!$AM$52+'TUSD BF_350'!$AM$52+'TUSD CVA'!$AM$52)*1</f>
        <v>310.49</v>
      </c>
      <c r="AA567" s="6">
        <f ca="1">('TE BE'!$AB$40+'TE BF_350'!$AB$40+'TE CVA'!$AB$40)*1</f>
        <v>262.52999999999997</v>
      </c>
      <c r="AB567" s="6">
        <f>$K$567*$V$567</f>
        <v>0</v>
      </c>
      <c r="AC567" s="6">
        <f>$M$567*$W$567</f>
        <v>26762.112450000001</v>
      </c>
      <c r="AD567" s="6">
        <f>$O$567*$X$567</f>
        <v>23671.566900000002</v>
      </c>
      <c r="AE567" s="6">
        <f>$K$567*$Y$567</f>
        <v>0</v>
      </c>
      <c r="AF567" s="6">
        <f ca="1">$M$567*$Z$567</f>
        <v>24213.56265</v>
      </c>
      <c r="AG567" s="6">
        <f ca="1">$O$567*$AA$567</f>
        <v>20473.402049999997</v>
      </c>
    </row>
    <row r="568" spans="1:33" ht="11.25" customHeight="1" x14ac:dyDescent="0.3">
      <c r="A568" s="4" t="s">
        <v>27</v>
      </c>
      <c r="B568" s="4" t="s">
        <v>32</v>
      </c>
      <c r="C568" s="4" t="s">
        <v>23</v>
      </c>
      <c r="D568" s="4" t="s">
        <v>43</v>
      </c>
      <c r="E568" s="4" t="s">
        <v>25</v>
      </c>
      <c r="F568" s="4" t="s">
        <v>25</v>
      </c>
      <c r="G568" s="4" t="s">
        <v>25</v>
      </c>
      <c r="H568" s="4" t="s">
        <v>25</v>
      </c>
      <c r="I568" s="5">
        <v>44562</v>
      </c>
      <c r="J568" s="6">
        <v>0</v>
      </c>
      <c r="K568" s="6">
        <v>0</v>
      </c>
      <c r="L568" s="6">
        <v>0.65600000000000003</v>
      </c>
      <c r="M568" s="6">
        <v>0.65600000000000003</v>
      </c>
      <c r="N568" s="6">
        <v>0.65600000000000003</v>
      </c>
      <c r="O568" s="6">
        <v>0.65600000000000003</v>
      </c>
      <c r="P568" s="6">
        <v>2</v>
      </c>
      <c r="Q568" s="4" t="s">
        <v>26</v>
      </c>
      <c r="R568" s="4">
        <v>0</v>
      </c>
      <c r="S568" s="6">
        <v>0</v>
      </c>
      <c r="T568" s="6">
        <v>77</v>
      </c>
      <c r="U568" s="6">
        <v>52</v>
      </c>
      <c r="V568" s="6">
        <f>IF(ISERROR(VLOOKUP($S$568,'TAR FIN'!$A$1:$O$92,15,0)),0,VLOOKUP($S$568,'TAR FIN'!$A$1:$O$92,15,0))</f>
        <v>0</v>
      </c>
      <c r="W568" s="6">
        <f>IF(ISERROR(VLOOKUP($T$568,'TAR FIN'!$A$1:$O$92,15,0)),0,VLOOKUP($T$568,'TAR FIN'!$A$1:$O$92,15,0))</f>
        <v>343.17</v>
      </c>
      <c r="X568" s="6">
        <f>IF(ISERROR(VLOOKUP($U$568,'TAR FIN'!$A$1:$O$92,15,0)),0,VLOOKUP($U$568,'TAR FIN'!$A$1:$O$92,15,0))</f>
        <v>303.54000000000002</v>
      </c>
      <c r="Y568" s="6"/>
      <c r="Z568" s="6">
        <f ca="1">('TUSD BE'!$AM$52+'TUSD BF_350'!$AM$52+'TUSD CVA'!$AM$52)*1</f>
        <v>310.49</v>
      </c>
      <c r="AA568" s="6">
        <f ca="1">('TE BE'!$AB$40+'TE BF_350'!$AB$40+'TE CVA'!$AB$40)*1</f>
        <v>262.52999999999997</v>
      </c>
      <c r="AB568" s="6">
        <f>$K$568*$V$568</f>
        <v>0</v>
      </c>
      <c r="AC568" s="6">
        <f>$M$568*$W$568</f>
        <v>225.11952000000002</v>
      </c>
      <c r="AD568" s="6">
        <f>$O$568*$X$568</f>
        <v>199.12224000000003</v>
      </c>
      <c r="AE568" s="6">
        <f>$K$568*$Y$568</f>
        <v>0</v>
      </c>
      <c r="AF568" s="6">
        <f ca="1">$M$568*$Z$568</f>
        <v>203.68144000000001</v>
      </c>
      <c r="AG568" s="6">
        <f ca="1">$O$568*$AA$568</f>
        <v>172.21967999999998</v>
      </c>
    </row>
    <row r="569" spans="1:33" ht="11.25" customHeight="1" x14ac:dyDescent="0.3">
      <c r="A569" s="4" t="s">
        <v>21</v>
      </c>
      <c r="B569" s="4" t="s">
        <v>32</v>
      </c>
      <c r="C569" s="4" t="s">
        <v>23</v>
      </c>
      <c r="D569" s="4" t="s">
        <v>43</v>
      </c>
      <c r="E569" s="4" t="s">
        <v>25</v>
      </c>
      <c r="F569" s="4" t="s">
        <v>25</v>
      </c>
      <c r="G569" s="4" t="s">
        <v>25</v>
      </c>
      <c r="H569" s="4" t="s">
        <v>25</v>
      </c>
      <c r="I569" s="5">
        <v>44593</v>
      </c>
      <c r="J569" s="6">
        <v>0</v>
      </c>
      <c r="K569" s="6">
        <v>0</v>
      </c>
      <c r="L569" s="6">
        <v>88.49</v>
      </c>
      <c r="M569" s="6">
        <v>88.49</v>
      </c>
      <c r="N569" s="6">
        <v>88.49</v>
      </c>
      <c r="O569" s="6">
        <v>88.49</v>
      </c>
      <c r="P569" s="6">
        <v>73</v>
      </c>
      <c r="Q569" s="4" t="s">
        <v>26</v>
      </c>
      <c r="R569" s="4">
        <v>0</v>
      </c>
      <c r="S569" s="6">
        <v>0</v>
      </c>
      <c r="T569" s="6">
        <v>77</v>
      </c>
      <c r="U569" s="6">
        <v>52</v>
      </c>
      <c r="V569" s="6">
        <f>IF(ISERROR(VLOOKUP($S$569,'TAR FIN'!$A$1:$O$92,15,0)),0,VLOOKUP($S$569,'TAR FIN'!$A$1:$O$92,15,0))</f>
        <v>0</v>
      </c>
      <c r="W569" s="6">
        <f>IF(ISERROR(VLOOKUP($T$569,'TAR FIN'!$A$1:$O$92,15,0)),0,VLOOKUP($T$569,'TAR FIN'!$A$1:$O$92,15,0))</f>
        <v>343.17</v>
      </c>
      <c r="X569" s="6">
        <f>IF(ISERROR(VLOOKUP($U$569,'TAR FIN'!$A$1:$O$92,15,0)),0,VLOOKUP($U$569,'TAR FIN'!$A$1:$O$92,15,0))</f>
        <v>303.54000000000002</v>
      </c>
      <c r="Y569" s="6"/>
      <c r="Z569" s="6">
        <f ca="1">('TUSD BE'!$AM$52+'TUSD BF_350'!$AM$52+'TUSD CVA'!$AM$52)*1</f>
        <v>310.49</v>
      </c>
      <c r="AA569" s="6">
        <f ca="1">('TE BE'!$AB$40+'TE BF_350'!$AB$40+'TE CVA'!$AB$40)*1</f>
        <v>262.52999999999997</v>
      </c>
      <c r="AB569" s="6">
        <f>$K$569*$V$569</f>
        <v>0</v>
      </c>
      <c r="AC569" s="6">
        <f>$M$569*$W$569</f>
        <v>30367.113300000001</v>
      </c>
      <c r="AD569" s="6">
        <f>$O$569*$X$569</f>
        <v>26860.2546</v>
      </c>
      <c r="AE569" s="6">
        <f>$K$569*$Y$569</f>
        <v>0</v>
      </c>
      <c r="AF569" s="6">
        <f ca="1">$M$569*$Z$569</f>
        <v>27475.2601</v>
      </c>
      <c r="AG569" s="6">
        <f ca="1">$O$569*$AA$569</f>
        <v>23231.279699999996</v>
      </c>
    </row>
    <row r="570" spans="1:33" ht="11.25" customHeight="1" x14ac:dyDescent="0.3">
      <c r="A570" s="4" t="s">
        <v>27</v>
      </c>
      <c r="B570" s="4" t="s">
        <v>32</v>
      </c>
      <c r="C570" s="4" t="s">
        <v>23</v>
      </c>
      <c r="D570" s="4" t="s">
        <v>43</v>
      </c>
      <c r="E570" s="4" t="s">
        <v>25</v>
      </c>
      <c r="F570" s="4" t="s">
        <v>25</v>
      </c>
      <c r="G570" s="4" t="s">
        <v>25</v>
      </c>
      <c r="H570" s="4" t="s">
        <v>25</v>
      </c>
      <c r="I570" s="5">
        <v>44593</v>
      </c>
      <c r="J570" s="6">
        <v>0</v>
      </c>
      <c r="K570" s="6">
        <v>0</v>
      </c>
      <c r="L570" s="6">
        <v>0.2</v>
      </c>
      <c r="M570" s="6">
        <v>0.2</v>
      </c>
      <c r="N570" s="6">
        <v>0.2</v>
      </c>
      <c r="O570" s="6">
        <v>0.2</v>
      </c>
      <c r="P570" s="6">
        <v>2</v>
      </c>
      <c r="Q570" s="4" t="s">
        <v>26</v>
      </c>
      <c r="R570" s="4">
        <v>0</v>
      </c>
      <c r="S570" s="6">
        <v>0</v>
      </c>
      <c r="T570" s="6">
        <v>77</v>
      </c>
      <c r="U570" s="6">
        <v>52</v>
      </c>
      <c r="V570" s="6">
        <f>IF(ISERROR(VLOOKUP($S$570,'TAR FIN'!$A$1:$O$92,15,0)),0,VLOOKUP($S$570,'TAR FIN'!$A$1:$O$92,15,0))</f>
        <v>0</v>
      </c>
      <c r="W570" s="6">
        <f>IF(ISERROR(VLOOKUP($T$570,'TAR FIN'!$A$1:$O$92,15,0)),0,VLOOKUP($T$570,'TAR FIN'!$A$1:$O$92,15,0))</f>
        <v>343.17</v>
      </c>
      <c r="X570" s="6">
        <f>IF(ISERROR(VLOOKUP($U$570,'TAR FIN'!$A$1:$O$92,15,0)),0,VLOOKUP($U$570,'TAR FIN'!$A$1:$O$92,15,0))</f>
        <v>303.54000000000002</v>
      </c>
      <c r="Y570" s="6"/>
      <c r="Z570" s="6">
        <f ca="1">('TUSD BE'!$AM$52+'TUSD BF_350'!$AM$52+'TUSD CVA'!$AM$52)*1</f>
        <v>310.49</v>
      </c>
      <c r="AA570" s="6">
        <f ca="1">('TE BE'!$AB$40+'TE BF_350'!$AB$40+'TE CVA'!$AB$40)*1</f>
        <v>262.52999999999997</v>
      </c>
      <c r="AB570" s="6">
        <f>$K$570*$V$570</f>
        <v>0</v>
      </c>
      <c r="AC570" s="6">
        <f>$M$570*$W$570</f>
        <v>68.634</v>
      </c>
      <c r="AD570" s="6">
        <f>$O$570*$X$570</f>
        <v>60.708000000000006</v>
      </c>
      <c r="AE570" s="6">
        <f>$K$570*$Y$570</f>
        <v>0</v>
      </c>
      <c r="AF570" s="6">
        <f ca="1">$M$570*$Z$570</f>
        <v>62.098000000000006</v>
      </c>
      <c r="AG570" s="6">
        <f ca="1">$O$570*$AA$570</f>
        <v>52.506</v>
      </c>
    </row>
    <row r="571" spans="1:33" ht="11.25" customHeight="1" x14ac:dyDescent="0.3">
      <c r="A571" s="4" t="s">
        <v>21</v>
      </c>
      <c r="B571" s="4" t="s">
        <v>32</v>
      </c>
      <c r="C571" s="4" t="s">
        <v>23</v>
      </c>
      <c r="D571" s="4" t="s">
        <v>43</v>
      </c>
      <c r="E571" s="4" t="s">
        <v>25</v>
      </c>
      <c r="F571" s="4" t="s">
        <v>25</v>
      </c>
      <c r="G571" s="4" t="s">
        <v>25</v>
      </c>
      <c r="H571" s="4" t="s">
        <v>25</v>
      </c>
      <c r="I571" s="5">
        <v>44621</v>
      </c>
      <c r="J571" s="6">
        <v>0</v>
      </c>
      <c r="K571" s="6">
        <v>0</v>
      </c>
      <c r="L571" s="6">
        <v>109.11199999999999</v>
      </c>
      <c r="M571" s="6">
        <v>109.11199999999999</v>
      </c>
      <c r="N571" s="6">
        <v>109.11199999999999</v>
      </c>
      <c r="O571" s="6">
        <v>109.11199999999999</v>
      </c>
      <c r="P571" s="6">
        <v>73</v>
      </c>
      <c r="Q571" s="4" t="s">
        <v>26</v>
      </c>
      <c r="R571" s="4">
        <v>0</v>
      </c>
      <c r="S571" s="6">
        <v>0</v>
      </c>
      <c r="T571" s="6">
        <v>77</v>
      </c>
      <c r="U571" s="6">
        <v>52</v>
      </c>
      <c r="V571" s="6">
        <f>IF(ISERROR(VLOOKUP($S$571,'TAR FIN'!$A$1:$O$92,15,0)),0,VLOOKUP($S$571,'TAR FIN'!$A$1:$O$92,15,0))</f>
        <v>0</v>
      </c>
      <c r="W571" s="6">
        <f>IF(ISERROR(VLOOKUP($T$571,'TAR FIN'!$A$1:$O$92,15,0)),0,VLOOKUP($T$571,'TAR FIN'!$A$1:$O$92,15,0))</f>
        <v>343.17</v>
      </c>
      <c r="X571" s="6">
        <f>IF(ISERROR(VLOOKUP($U$571,'TAR FIN'!$A$1:$O$92,15,0)),0,VLOOKUP($U$571,'TAR FIN'!$A$1:$O$92,15,0))</f>
        <v>303.54000000000002</v>
      </c>
      <c r="Y571" s="6"/>
      <c r="Z571" s="6">
        <f ca="1">('TUSD BE'!$AM$52+'TUSD BF_350'!$AM$52+'TUSD CVA'!$AM$52)*1</f>
        <v>310.49</v>
      </c>
      <c r="AA571" s="6">
        <f ca="1">('TE BE'!$AB$40+'TE BF_350'!$AB$40+'TE CVA'!$AB$40)*1</f>
        <v>262.52999999999997</v>
      </c>
      <c r="AB571" s="6">
        <f>$K$571*$V$571</f>
        <v>0</v>
      </c>
      <c r="AC571" s="6">
        <f>$M$571*$W$571</f>
        <v>37443.965040000003</v>
      </c>
      <c r="AD571" s="6">
        <f>$O$571*$X$571</f>
        <v>33119.856480000002</v>
      </c>
      <c r="AE571" s="6">
        <f>$K$571*$Y$571</f>
        <v>0</v>
      </c>
      <c r="AF571" s="6">
        <f ca="1">$M$571*$Z$571</f>
        <v>33878.184880000001</v>
      </c>
      <c r="AG571" s="6">
        <f ca="1">$O$571*$AA$571</f>
        <v>28645.173359999997</v>
      </c>
    </row>
    <row r="572" spans="1:33" ht="11.25" customHeight="1" x14ac:dyDescent="0.3">
      <c r="A572" s="4" t="s">
        <v>27</v>
      </c>
      <c r="B572" s="4" t="s">
        <v>32</v>
      </c>
      <c r="C572" s="4" t="s">
        <v>23</v>
      </c>
      <c r="D572" s="4" t="s">
        <v>43</v>
      </c>
      <c r="E572" s="4" t="s">
        <v>25</v>
      </c>
      <c r="F572" s="4" t="s">
        <v>25</v>
      </c>
      <c r="G572" s="4" t="s">
        <v>25</v>
      </c>
      <c r="H572" s="4" t="s">
        <v>25</v>
      </c>
      <c r="I572" s="5">
        <v>44621</v>
      </c>
      <c r="J572" s="6">
        <v>0</v>
      </c>
      <c r="K572" s="6">
        <v>0</v>
      </c>
      <c r="L572" s="6">
        <v>1.6080000000000001</v>
      </c>
      <c r="M572" s="6">
        <v>1.6080000000000001</v>
      </c>
      <c r="N572" s="6">
        <v>1.6080000000000001</v>
      </c>
      <c r="O572" s="6">
        <v>1.6080000000000001</v>
      </c>
      <c r="P572" s="6">
        <v>2</v>
      </c>
      <c r="Q572" s="4" t="s">
        <v>26</v>
      </c>
      <c r="R572" s="4">
        <v>0</v>
      </c>
      <c r="S572" s="6">
        <v>0</v>
      </c>
      <c r="T572" s="6">
        <v>77</v>
      </c>
      <c r="U572" s="6">
        <v>52</v>
      </c>
      <c r="V572" s="6">
        <f>IF(ISERROR(VLOOKUP($S$572,'TAR FIN'!$A$1:$O$92,15,0)),0,VLOOKUP($S$572,'TAR FIN'!$A$1:$O$92,15,0))</f>
        <v>0</v>
      </c>
      <c r="W572" s="6">
        <f>IF(ISERROR(VLOOKUP($T$572,'TAR FIN'!$A$1:$O$92,15,0)),0,VLOOKUP($T$572,'TAR FIN'!$A$1:$O$92,15,0))</f>
        <v>343.17</v>
      </c>
      <c r="X572" s="6">
        <f>IF(ISERROR(VLOOKUP($U$572,'TAR FIN'!$A$1:$O$92,15,0)),0,VLOOKUP($U$572,'TAR FIN'!$A$1:$O$92,15,0))</f>
        <v>303.54000000000002</v>
      </c>
      <c r="Y572" s="6"/>
      <c r="Z572" s="6">
        <f ca="1">('TUSD BE'!$AM$52+'TUSD BF_350'!$AM$52+'TUSD CVA'!$AM$52)*1</f>
        <v>310.49</v>
      </c>
      <c r="AA572" s="6">
        <f ca="1">('TE BE'!$AB$40+'TE BF_350'!$AB$40+'TE CVA'!$AB$40)*1</f>
        <v>262.52999999999997</v>
      </c>
      <c r="AB572" s="6">
        <f>$K$572*$V$572</f>
        <v>0</v>
      </c>
      <c r="AC572" s="6">
        <f>$M$572*$W$572</f>
        <v>551.81736000000001</v>
      </c>
      <c r="AD572" s="6">
        <f>$O$572*$X$572</f>
        <v>488.09232000000009</v>
      </c>
      <c r="AE572" s="6">
        <f>$K$572*$Y$572</f>
        <v>0</v>
      </c>
      <c r="AF572" s="6">
        <f ca="1">$M$572*$Z$572</f>
        <v>499.26792000000006</v>
      </c>
      <c r="AG572" s="6">
        <f ca="1">$O$572*$AA$572</f>
        <v>422.14823999999999</v>
      </c>
    </row>
    <row r="573" spans="1:33" ht="11.25" customHeight="1" x14ac:dyDescent="0.3">
      <c r="A573" s="4" t="s">
        <v>21</v>
      </c>
      <c r="B573" s="4" t="s">
        <v>32</v>
      </c>
      <c r="C573" s="4" t="s">
        <v>23</v>
      </c>
      <c r="D573" s="4" t="s">
        <v>43</v>
      </c>
      <c r="E573" s="4" t="s">
        <v>25</v>
      </c>
      <c r="F573" s="4" t="s">
        <v>25</v>
      </c>
      <c r="G573" s="4" t="s">
        <v>25</v>
      </c>
      <c r="H573" s="4" t="s">
        <v>25</v>
      </c>
      <c r="I573" s="5">
        <v>44652</v>
      </c>
      <c r="J573" s="6">
        <v>0</v>
      </c>
      <c r="K573" s="6">
        <v>0</v>
      </c>
      <c r="L573" s="6">
        <v>107.56399999999999</v>
      </c>
      <c r="M573" s="6">
        <v>107.56399999999999</v>
      </c>
      <c r="N573" s="6">
        <v>107.56399999999999</v>
      </c>
      <c r="O573" s="6">
        <v>107.56399999999999</v>
      </c>
      <c r="P573" s="6">
        <v>73</v>
      </c>
      <c r="Q573" s="4" t="s">
        <v>26</v>
      </c>
      <c r="R573" s="4">
        <v>0</v>
      </c>
      <c r="S573" s="6">
        <v>0</v>
      </c>
      <c r="T573" s="6">
        <v>77</v>
      </c>
      <c r="U573" s="6">
        <v>52</v>
      </c>
      <c r="V573" s="6">
        <f>IF(ISERROR(VLOOKUP($S$573,'TAR FIN'!$A$1:$O$92,15,0)),0,VLOOKUP($S$573,'TAR FIN'!$A$1:$O$92,15,0))</f>
        <v>0</v>
      </c>
      <c r="W573" s="6">
        <f>IF(ISERROR(VLOOKUP($T$573,'TAR FIN'!$A$1:$O$92,15,0)),0,VLOOKUP($T$573,'TAR FIN'!$A$1:$O$92,15,0))</f>
        <v>343.17</v>
      </c>
      <c r="X573" s="6">
        <f>IF(ISERROR(VLOOKUP($U$573,'TAR FIN'!$A$1:$O$92,15,0)),0,VLOOKUP($U$573,'TAR FIN'!$A$1:$O$92,15,0))</f>
        <v>303.54000000000002</v>
      </c>
      <c r="Y573" s="6"/>
      <c r="Z573" s="6">
        <f ca="1">('TUSD BE'!$AM$52+'TUSD BF_350'!$AM$52+'TUSD CVA'!$AM$52)*1</f>
        <v>310.49</v>
      </c>
      <c r="AA573" s="6">
        <f ca="1">('TE BE'!$AB$40+'TE BF_350'!$AB$40+'TE CVA'!$AB$40)*1</f>
        <v>262.52999999999997</v>
      </c>
      <c r="AB573" s="6">
        <f>$K$573*$V$573</f>
        <v>0</v>
      </c>
      <c r="AC573" s="6">
        <f>$M$573*$W$573</f>
        <v>36912.737880000001</v>
      </c>
      <c r="AD573" s="6">
        <f>$O$573*$X$573</f>
        <v>32649.976559999999</v>
      </c>
      <c r="AE573" s="6">
        <f>$K$573*$Y$573</f>
        <v>0</v>
      </c>
      <c r="AF573" s="6">
        <f ca="1">$M$573*$Z$573</f>
        <v>33397.54636</v>
      </c>
      <c r="AG573" s="6">
        <f ca="1">$O$573*$AA$573</f>
        <v>28238.776919999997</v>
      </c>
    </row>
    <row r="574" spans="1:33" ht="11.25" customHeight="1" x14ac:dyDescent="0.3">
      <c r="A574" s="4" t="s">
        <v>27</v>
      </c>
      <c r="B574" s="4" t="s">
        <v>32</v>
      </c>
      <c r="C574" s="4" t="s">
        <v>23</v>
      </c>
      <c r="D574" s="4" t="s">
        <v>43</v>
      </c>
      <c r="E574" s="4" t="s">
        <v>25</v>
      </c>
      <c r="F574" s="4" t="s">
        <v>25</v>
      </c>
      <c r="G574" s="4" t="s">
        <v>25</v>
      </c>
      <c r="H574" s="4" t="s">
        <v>25</v>
      </c>
      <c r="I574" s="5">
        <v>44652</v>
      </c>
      <c r="J574" s="6">
        <v>0</v>
      </c>
      <c r="K574" s="6">
        <v>0</v>
      </c>
      <c r="L574" s="6">
        <v>1.5760000000000001</v>
      </c>
      <c r="M574" s="6">
        <v>1.5760000000000001</v>
      </c>
      <c r="N574" s="6">
        <v>1.5760000000000001</v>
      </c>
      <c r="O574" s="6">
        <v>1.5760000000000001</v>
      </c>
      <c r="P574" s="6">
        <v>2</v>
      </c>
      <c r="Q574" s="4" t="s">
        <v>26</v>
      </c>
      <c r="R574" s="4">
        <v>0</v>
      </c>
      <c r="S574" s="6">
        <v>0</v>
      </c>
      <c r="T574" s="6">
        <v>77</v>
      </c>
      <c r="U574" s="6">
        <v>52</v>
      </c>
      <c r="V574" s="6">
        <f>IF(ISERROR(VLOOKUP($S$574,'TAR FIN'!$A$1:$O$92,15,0)),0,VLOOKUP($S$574,'TAR FIN'!$A$1:$O$92,15,0))</f>
        <v>0</v>
      </c>
      <c r="W574" s="6">
        <f>IF(ISERROR(VLOOKUP($T$574,'TAR FIN'!$A$1:$O$92,15,0)),0,VLOOKUP($T$574,'TAR FIN'!$A$1:$O$92,15,0))</f>
        <v>343.17</v>
      </c>
      <c r="X574" s="6">
        <f>IF(ISERROR(VLOOKUP($U$574,'TAR FIN'!$A$1:$O$92,15,0)),0,VLOOKUP($U$574,'TAR FIN'!$A$1:$O$92,15,0))</f>
        <v>303.54000000000002</v>
      </c>
      <c r="Y574" s="6"/>
      <c r="Z574" s="6">
        <f ca="1">('TUSD BE'!$AM$52+'TUSD BF_350'!$AM$52+'TUSD CVA'!$AM$52)*1</f>
        <v>310.49</v>
      </c>
      <c r="AA574" s="6">
        <f ca="1">('TE BE'!$AB$40+'TE BF_350'!$AB$40+'TE CVA'!$AB$40)*1</f>
        <v>262.52999999999997</v>
      </c>
      <c r="AB574" s="6">
        <f>$K$574*$V$574</f>
        <v>0</v>
      </c>
      <c r="AC574" s="6">
        <f>$M$574*$W$574</f>
        <v>540.8359200000001</v>
      </c>
      <c r="AD574" s="6">
        <f>$O$574*$X$574</f>
        <v>478.37904000000003</v>
      </c>
      <c r="AE574" s="6">
        <f>$K$574*$Y$574</f>
        <v>0</v>
      </c>
      <c r="AF574" s="6">
        <f ca="1">$M$574*$Z$574</f>
        <v>489.33224000000001</v>
      </c>
      <c r="AG574" s="6">
        <f ca="1">$O$574*$AA$574</f>
        <v>413.74727999999999</v>
      </c>
    </row>
    <row r="575" spans="1:33" ht="11.25" customHeight="1" x14ac:dyDescent="0.3">
      <c r="A575" s="4" t="s">
        <v>21</v>
      </c>
      <c r="B575" s="4" t="s">
        <v>32</v>
      </c>
      <c r="C575" s="4" t="s">
        <v>23</v>
      </c>
      <c r="D575" s="4" t="s">
        <v>43</v>
      </c>
      <c r="E575" s="4" t="s">
        <v>25</v>
      </c>
      <c r="F575" s="4" t="s">
        <v>25</v>
      </c>
      <c r="G575" s="4" t="s">
        <v>25</v>
      </c>
      <c r="H575" s="4" t="s">
        <v>25</v>
      </c>
      <c r="I575" s="5">
        <v>44682</v>
      </c>
      <c r="J575" s="6">
        <v>0</v>
      </c>
      <c r="K575" s="6">
        <v>0</v>
      </c>
      <c r="L575" s="6">
        <v>70.241</v>
      </c>
      <c r="M575" s="6">
        <v>70.241</v>
      </c>
      <c r="N575" s="6">
        <v>70.241</v>
      </c>
      <c r="O575" s="6">
        <v>70.241</v>
      </c>
      <c r="P575" s="6">
        <v>73</v>
      </c>
      <c r="Q575" s="4" t="s">
        <v>26</v>
      </c>
      <c r="R575" s="4">
        <v>0</v>
      </c>
      <c r="S575" s="6">
        <v>0</v>
      </c>
      <c r="T575" s="6">
        <v>77</v>
      </c>
      <c r="U575" s="6">
        <v>52</v>
      </c>
      <c r="V575" s="6">
        <f>IF(ISERROR(VLOOKUP($S$575,'TAR FIN'!$A$1:$O$92,15,0)),0,VLOOKUP($S$575,'TAR FIN'!$A$1:$O$92,15,0))</f>
        <v>0</v>
      </c>
      <c r="W575" s="6">
        <f>IF(ISERROR(VLOOKUP($T$575,'TAR FIN'!$A$1:$O$92,15,0)),0,VLOOKUP($T$575,'TAR FIN'!$A$1:$O$92,15,0))</f>
        <v>343.17</v>
      </c>
      <c r="X575" s="6">
        <f>IF(ISERROR(VLOOKUP($U$575,'TAR FIN'!$A$1:$O$92,15,0)),0,VLOOKUP($U$575,'TAR FIN'!$A$1:$O$92,15,0))</f>
        <v>303.54000000000002</v>
      </c>
      <c r="Y575" s="6"/>
      <c r="Z575" s="6">
        <f ca="1">('TUSD BE'!$AM$52+'TUSD BF_350'!$AM$52+'TUSD CVA'!$AM$52)*1</f>
        <v>310.49</v>
      </c>
      <c r="AA575" s="6">
        <f ca="1">('TE BE'!$AB$40+'TE BF_350'!$AB$40+'TE CVA'!$AB$40)*1</f>
        <v>262.52999999999997</v>
      </c>
      <c r="AB575" s="6">
        <f>$K$575*$V$575</f>
        <v>0</v>
      </c>
      <c r="AC575" s="6">
        <f>$M$575*$W$575</f>
        <v>24104.60397</v>
      </c>
      <c r="AD575" s="6">
        <f>$O$575*$X$575</f>
        <v>21320.953140000001</v>
      </c>
      <c r="AE575" s="6">
        <f>$K$575*$Y$575</f>
        <v>0</v>
      </c>
      <c r="AF575" s="6">
        <f ca="1">$M$575*$Z$575</f>
        <v>21809.128090000002</v>
      </c>
      <c r="AG575" s="6">
        <f ca="1">$O$575*$AA$575</f>
        <v>18440.369729999999</v>
      </c>
    </row>
    <row r="576" spans="1:33" ht="11.25" customHeight="1" x14ac:dyDescent="0.3">
      <c r="A576" s="4" t="s">
        <v>27</v>
      </c>
      <c r="B576" s="4" t="s">
        <v>32</v>
      </c>
      <c r="C576" s="4" t="s">
        <v>23</v>
      </c>
      <c r="D576" s="4" t="s">
        <v>43</v>
      </c>
      <c r="E576" s="4" t="s">
        <v>25</v>
      </c>
      <c r="F576" s="4" t="s">
        <v>25</v>
      </c>
      <c r="G576" s="4" t="s">
        <v>25</v>
      </c>
      <c r="H576" s="4" t="s">
        <v>25</v>
      </c>
      <c r="I576" s="5">
        <v>44682</v>
      </c>
      <c r="J576" s="6">
        <v>0</v>
      </c>
      <c r="K576" s="6">
        <v>0</v>
      </c>
      <c r="L576" s="6">
        <v>0.2</v>
      </c>
      <c r="M576" s="6">
        <v>0.2</v>
      </c>
      <c r="N576" s="6">
        <v>0.2</v>
      </c>
      <c r="O576" s="6">
        <v>0.2</v>
      </c>
      <c r="P576" s="6">
        <v>2</v>
      </c>
      <c r="Q576" s="4" t="s">
        <v>26</v>
      </c>
      <c r="R576" s="4">
        <v>0</v>
      </c>
      <c r="S576" s="6">
        <v>0</v>
      </c>
      <c r="T576" s="6">
        <v>77</v>
      </c>
      <c r="U576" s="6">
        <v>52</v>
      </c>
      <c r="V576" s="6">
        <f>IF(ISERROR(VLOOKUP($S$576,'TAR FIN'!$A$1:$O$92,15,0)),0,VLOOKUP($S$576,'TAR FIN'!$A$1:$O$92,15,0))</f>
        <v>0</v>
      </c>
      <c r="W576" s="6">
        <f>IF(ISERROR(VLOOKUP($T$576,'TAR FIN'!$A$1:$O$92,15,0)),0,VLOOKUP($T$576,'TAR FIN'!$A$1:$O$92,15,0))</f>
        <v>343.17</v>
      </c>
      <c r="X576" s="6">
        <f>IF(ISERROR(VLOOKUP($U$576,'TAR FIN'!$A$1:$O$92,15,0)),0,VLOOKUP($U$576,'TAR FIN'!$A$1:$O$92,15,0))</f>
        <v>303.54000000000002</v>
      </c>
      <c r="Y576" s="6"/>
      <c r="Z576" s="6">
        <f ca="1">('TUSD BE'!$AM$52+'TUSD BF_350'!$AM$52+'TUSD CVA'!$AM$52)*1</f>
        <v>310.49</v>
      </c>
      <c r="AA576" s="6">
        <f ca="1">('TE BE'!$AB$40+'TE BF_350'!$AB$40+'TE CVA'!$AB$40)*1</f>
        <v>262.52999999999997</v>
      </c>
      <c r="AB576" s="6">
        <f>$K$576*$V$576</f>
        <v>0</v>
      </c>
      <c r="AC576" s="6">
        <f>$M$576*$W$576</f>
        <v>68.634</v>
      </c>
      <c r="AD576" s="6">
        <f>$O$576*$X$576</f>
        <v>60.708000000000006</v>
      </c>
      <c r="AE576" s="6">
        <f>$K$576*$Y$576</f>
        <v>0</v>
      </c>
      <c r="AF576" s="6">
        <f ca="1">$M$576*$Z$576</f>
        <v>62.098000000000006</v>
      </c>
      <c r="AG576" s="6">
        <f ca="1">$O$576*$AA$576</f>
        <v>52.506</v>
      </c>
    </row>
    <row r="577" spans="1:33" ht="11.25" customHeight="1" x14ac:dyDescent="0.3">
      <c r="A577" s="4" t="s">
        <v>21</v>
      </c>
      <c r="B577" s="4" t="s">
        <v>32</v>
      </c>
      <c r="C577" s="4" t="s">
        <v>23</v>
      </c>
      <c r="D577" s="4" t="s">
        <v>43</v>
      </c>
      <c r="E577" s="4" t="s">
        <v>25</v>
      </c>
      <c r="F577" s="4" t="s">
        <v>25</v>
      </c>
      <c r="G577" s="4" t="s">
        <v>25</v>
      </c>
      <c r="H577" s="4" t="s">
        <v>25</v>
      </c>
      <c r="I577" s="5">
        <v>44713</v>
      </c>
      <c r="J577" s="6">
        <v>0</v>
      </c>
      <c r="K577" s="6">
        <v>0</v>
      </c>
      <c r="L577" s="6">
        <v>68.995000000000005</v>
      </c>
      <c r="M577" s="6">
        <v>68.995000000000005</v>
      </c>
      <c r="N577" s="6">
        <v>68.995000000000005</v>
      </c>
      <c r="O577" s="6">
        <v>68.995000000000005</v>
      </c>
      <c r="P577" s="6">
        <v>73</v>
      </c>
      <c r="Q577" s="4" t="s">
        <v>26</v>
      </c>
      <c r="R577" s="4">
        <v>0</v>
      </c>
      <c r="S577" s="6">
        <v>0</v>
      </c>
      <c r="T577" s="6">
        <v>77</v>
      </c>
      <c r="U577" s="6">
        <v>52</v>
      </c>
      <c r="V577" s="6">
        <f>IF(ISERROR(VLOOKUP($S$577,'TAR FIN'!$A$1:$O$92,15,0)),0,VLOOKUP($S$577,'TAR FIN'!$A$1:$O$92,15,0))</f>
        <v>0</v>
      </c>
      <c r="W577" s="6">
        <f>IF(ISERROR(VLOOKUP($T$577,'TAR FIN'!$A$1:$O$92,15,0)),0,VLOOKUP($T$577,'TAR FIN'!$A$1:$O$92,15,0))</f>
        <v>343.17</v>
      </c>
      <c r="X577" s="6">
        <f>IF(ISERROR(VLOOKUP($U$577,'TAR FIN'!$A$1:$O$92,15,0)),0,VLOOKUP($U$577,'TAR FIN'!$A$1:$O$92,15,0))</f>
        <v>303.54000000000002</v>
      </c>
      <c r="Y577" s="6"/>
      <c r="Z577" s="6">
        <f ca="1">('TUSD BE'!$AM$52+'TUSD BF_350'!$AM$52+'TUSD CVA'!$AM$52)*1</f>
        <v>310.49</v>
      </c>
      <c r="AA577" s="6">
        <f ca="1">('TE BE'!$AB$40+'TE BF_350'!$AB$40+'TE CVA'!$AB$40)*1</f>
        <v>262.52999999999997</v>
      </c>
      <c r="AB577" s="6">
        <f>$K$577*$V$577</f>
        <v>0</v>
      </c>
      <c r="AC577" s="6">
        <f>$M$577*$W$577</f>
        <v>23677.014150000003</v>
      </c>
      <c r="AD577" s="6">
        <f>$O$577*$X$577</f>
        <v>20942.742300000002</v>
      </c>
      <c r="AE577" s="6">
        <f>$K$577*$Y$577</f>
        <v>0</v>
      </c>
      <c r="AF577" s="6">
        <f ca="1">$M$577*$Z$577</f>
        <v>21422.257550000002</v>
      </c>
      <c r="AG577" s="6">
        <f ca="1">$O$577*$AA$577</f>
        <v>18113.25735</v>
      </c>
    </row>
    <row r="578" spans="1:33" ht="11.25" customHeight="1" x14ac:dyDescent="0.3">
      <c r="A578" s="4" t="s">
        <v>27</v>
      </c>
      <c r="B578" s="4" t="s">
        <v>32</v>
      </c>
      <c r="C578" s="4" t="s">
        <v>23</v>
      </c>
      <c r="D578" s="4" t="s">
        <v>43</v>
      </c>
      <c r="E578" s="4" t="s">
        <v>25</v>
      </c>
      <c r="F578" s="4" t="s">
        <v>25</v>
      </c>
      <c r="G578" s="4" t="s">
        <v>25</v>
      </c>
      <c r="H578" s="4" t="s">
        <v>25</v>
      </c>
      <c r="I578" s="5">
        <v>44713</v>
      </c>
      <c r="J578" s="6">
        <v>0</v>
      </c>
      <c r="K578" s="6">
        <v>0</v>
      </c>
      <c r="L578" s="6">
        <v>0.63</v>
      </c>
      <c r="M578" s="6">
        <v>0.63</v>
      </c>
      <c r="N578" s="6">
        <v>0.63</v>
      </c>
      <c r="O578" s="6">
        <v>0.63</v>
      </c>
      <c r="P578" s="6">
        <v>2</v>
      </c>
      <c r="Q578" s="4" t="s">
        <v>26</v>
      </c>
      <c r="R578" s="4">
        <v>0</v>
      </c>
      <c r="S578" s="6">
        <v>0</v>
      </c>
      <c r="T578" s="6">
        <v>77</v>
      </c>
      <c r="U578" s="6">
        <v>52</v>
      </c>
      <c r="V578" s="6">
        <f>IF(ISERROR(VLOOKUP($S$578,'TAR FIN'!$A$1:$O$92,15,0)),0,VLOOKUP($S$578,'TAR FIN'!$A$1:$O$92,15,0))</f>
        <v>0</v>
      </c>
      <c r="W578" s="6">
        <f>IF(ISERROR(VLOOKUP($T$578,'TAR FIN'!$A$1:$O$92,15,0)),0,VLOOKUP($T$578,'TAR FIN'!$A$1:$O$92,15,0))</f>
        <v>343.17</v>
      </c>
      <c r="X578" s="6">
        <f>IF(ISERROR(VLOOKUP($U$578,'TAR FIN'!$A$1:$O$92,15,0)),0,VLOOKUP($U$578,'TAR FIN'!$A$1:$O$92,15,0))</f>
        <v>303.54000000000002</v>
      </c>
      <c r="Y578" s="6"/>
      <c r="Z578" s="6">
        <f ca="1">('TUSD BE'!$AM$52+'TUSD BF_350'!$AM$52+'TUSD CVA'!$AM$52)*1</f>
        <v>310.49</v>
      </c>
      <c r="AA578" s="6">
        <f ca="1">('TE BE'!$AB$40+'TE BF_350'!$AB$40+'TE CVA'!$AB$40)*1</f>
        <v>262.52999999999997</v>
      </c>
      <c r="AB578" s="6">
        <f>$K$578*$V$578</f>
        <v>0</v>
      </c>
      <c r="AC578" s="6">
        <f>$M$578*$W$578</f>
        <v>216.19710000000001</v>
      </c>
      <c r="AD578" s="6">
        <f>$O$578*$X$578</f>
        <v>191.23020000000002</v>
      </c>
      <c r="AE578" s="6">
        <f>$K$578*$Y$578</f>
        <v>0</v>
      </c>
      <c r="AF578" s="6">
        <f ca="1">$M$578*$Z$578</f>
        <v>195.6087</v>
      </c>
      <c r="AG578" s="6">
        <f ca="1">$O$578*$AA$578</f>
        <v>165.39389999999997</v>
      </c>
    </row>
    <row r="579" spans="1:33" ht="11.25" customHeight="1" x14ac:dyDescent="0.3">
      <c r="A579" s="4" t="s">
        <v>21</v>
      </c>
      <c r="B579" s="4" t="s">
        <v>32</v>
      </c>
      <c r="C579" s="4" t="s">
        <v>23</v>
      </c>
      <c r="D579" s="4" t="s">
        <v>43</v>
      </c>
      <c r="E579" s="4" t="s">
        <v>25</v>
      </c>
      <c r="F579" s="4" t="s">
        <v>25</v>
      </c>
      <c r="G579" s="4" t="s">
        <v>25</v>
      </c>
      <c r="H579" s="4" t="s">
        <v>25</v>
      </c>
      <c r="I579" s="5">
        <v>44743</v>
      </c>
      <c r="J579" s="6">
        <v>0</v>
      </c>
      <c r="K579" s="6">
        <v>0</v>
      </c>
      <c r="L579" s="6">
        <v>70.135999999999996</v>
      </c>
      <c r="M579" s="6">
        <v>70.135999999999996</v>
      </c>
      <c r="N579" s="6">
        <v>70.135999999999996</v>
      </c>
      <c r="O579" s="6">
        <v>70.135999999999996</v>
      </c>
      <c r="P579" s="6">
        <v>73</v>
      </c>
      <c r="Q579" s="4" t="s">
        <v>26</v>
      </c>
      <c r="R579" s="4">
        <v>0</v>
      </c>
      <c r="S579" s="6">
        <v>0</v>
      </c>
      <c r="T579" s="6">
        <v>77</v>
      </c>
      <c r="U579" s="6">
        <v>52</v>
      </c>
      <c r="V579" s="6">
        <f>IF(ISERROR(VLOOKUP($S$579,'TAR FIN'!$A$1:$O$92,15,0)),0,VLOOKUP($S$579,'TAR FIN'!$A$1:$O$92,15,0))</f>
        <v>0</v>
      </c>
      <c r="W579" s="6">
        <f>IF(ISERROR(VLOOKUP($T$579,'TAR FIN'!$A$1:$O$92,15,0)),0,VLOOKUP($T$579,'TAR FIN'!$A$1:$O$92,15,0))</f>
        <v>343.17</v>
      </c>
      <c r="X579" s="6">
        <f>IF(ISERROR(VLOOKUP($U$579,'TAR FIN'!$A$1:$O$92,15,0)),0,VLOOKUP($U$579,'TAR FIN'!$A$1:$O$92,15,0))</f>
        <v>303.54000000000002</v>
      </c>
      <c r="Y579" s="6"/>
      <c r="Z579" s="6">
        <f ca="1">('TUSD BE'!$AM$52+'TUSD BF_350'!$AM$52+'TUSD CVA'!$AM$52)*1</f>
        <v>310.49</v>
      </c>
      <c r="AA579" s="6">
        <f ca="1">('TE BE'!$AB$40+'TE BF_350'!$AB$40+'TE CVA'!$AB$40)*1</f>
        <v>262.52999999999997</v>
      </c>
      <c r="AB579" s="6">
        <f>$K$579*$V$579</f>
        <v>0</v>
      </c>
      <c r="AC579" s="6">
        <f>$M$579*$W$579</f>
        <v>24068.571120000001</v>
      </c>
      <c r="AD579" s="6">
        <f>$O$579*$X$579</f>
        <v>21289.081440000002</v>
      </c>
      <c r="AE579" s="6">
        <f>$K$579*$Y$579</f>
        <v>0</v>
      </c>
      <c r="AF579" s="6">
        <f ca="1">$M$579*$Z$579</f>
        <v>21776.52664</v>
      </c>
      <c r="AG579" s="6">
        <f ca="1">$O$579*$AA$579</f>
        <v>18412.804079999998</v>
      </c>
    </row>
    <row r="580" spans="1:33" ht="11.25" customHeight="1" x14ac:dyDescent="0.3">
      <c r="A580" s="4" t="s">
        <v>27</v>
      </c>
      <c r="B580" s="4" t="s">
        <v>32</v>
      </c>
      <c r="C580" s="4" t="s">
        <v>23</v>
      </c>
      <c r="D580" s="4" t="s">
        <v>43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44743</v>
      </c>
      <c r="J580" s="6">
        <v>0</v>
      </c>
      <c r="K580" s="6">
        <v>0</v>
      </c>
      <c r="L580" s="6">
        <v>0.68200000000000005</v>
      </c>
      <c r="M580" s="6">
        <v>0.68200000000000005</v>
      </c>
      <c r="N580" s="6">
        <v>0.68200000000000005</v>
      </c>
      <c r="O580" s="6">
        <v>0.68200000000000005</v>
      </c>
      <c r="P580" s="6">
        <v>2</v>
      </c>
      <c r="Q580" s="4" t="s">
        <v>26</v>
      </c>
      <c r="R580" s="4">
        <v>0</v>
      </c>
      <c r="S580" s="6">
        <v>0</v>
      </c>
      <c r="T580" s="6">
        <v>77</v>
      </c>
      <c r="U580" s="6">
        <v>52</v>
      </c>
      <c r="V580" s="6">
        <f>IF(ISERROR(VLOOKUP($S$580,'TAR FIN'!$A$1:$O$92,15,0)),0,VLOOKUP($S$580,'TAR FIN'!$A$1:$O$92,15,0))</f>
        <v>0</v>
      </c>
      <c r="W580" s="6">
        <f>IF(ISERROR(VLOOKUP($T$580,'TAR FIN'!$A$1:$O$92,15,0)),0,VLOOKUP($T$580,'TAR FIN'!$A$1:$O$92,15,0))</f>
        <v>343.17</v>
      </c>
      <c r="X580" s="6">
        <f>IF(ISERROR(VLOOKUP($U$580,'TAR FIN'!$A$1:$O$92,15,0)),0,VLOOKUP($U$580,'TAR FIN'!$A$1:$O$92,15,0))</f>
        <v>303.54000000000002</v>
      </c>
      <c r="Y580" s="6"/>
      <c r="Z580" s="6">
        <f ca="1">('TUSD BE'!$AM$52+'TUSD BF_350'!$AM$52+'TUSD CVA'!$AM$52)*1</f>
        <v>310.49</v>
      </c>
      <c r="AA580" s="6">
        <f ca="1">('TE BE'!$AB$40+'TE BF_350'!$AB$40+'TE CVA'!$AB$40)*1</f>
        <v>262.52999999999997</v>
      </c>
      <c r="AB580" s="6">
        <f>$K$580*$V$580</f>
        <v>0</v>
      </c>
      <c r="AC580" s="6">
        <f>$M$580*$W$580</f>
        <v>234.04194000000004</v>
      </c>
      <c r="AD580" s="6">
        <f>$O$580*$X$580</f>
        <v>207.01428000000004</v>
      </c>
      <c r="AE580" s="6">
        <f>$K$580*$Y$580</f>
        <v>0</v>
      </c>
      <c r="AF580" s="6">
        <f ca="1">$M$580*$Z$580</f>
        <v>211.75418000000002</v>
      </c>
      <c r="AG580" s="6">
        <f ca="1">$O$580*$AA$580</f>
        <v>179.04545999999999</v>
      </c>
    </row>
    <row r="581" spans="1:33" ht="11.25" customHeight="1" x14ac:dyDescent="0.3">
      <c r="A581" s="4" t="s">
        <v>21</v>
      </c>
      <c r="B581" s="4" t="s">
        <v>32</v>
      </c>
      <c r="C581" s="4" t="s">
        <v>23</v>
      </c>
      <c r="D581" s="4" t="s">
        <v>47</v>
      </c>
      <c r="E581" s="4" t="s">
        <v>48</v>
      </c>
      <c r="F581" s="4" t="s">
        <v>25</v>
      </c>
      <c r="G581" s="4" t="s">
        <v>25</v>
      </c>
      <c r="H581" s="4" t="s">
        <v>25</v>
      </c>
      <c r="I581" s="5">
        <v>44409</v>
      </c>
      <c r="J581" s="6">
        <v>0</v>
      </c>
      <c r="K581" s="58">
        <v>0</v>
      </c>
      <c r="L581" s="6">
        <v>35.756999999999998</v>
      </c>
      <c r="M581" s="58">
        <v>35.756999999999998</v>
      </c>
      <c r="N581" s="6">
        <v>35.756999999999998</v>
      </c>
      <c r="O581" s="58">
        <v>35.756999999999998</v>
      </c>
      <c r="P581" s="6">
        <v>32</v>
      </c>
      <c r="Q581" s="4" t="s">
        <v>26</v>
      </c>
      <c r="R581" s="4">
        <v>0</v>
      </c>
      <c r="S581" s="6">
        <v>0</v>
      </c>
      <c r="T581" s="6">
        <v>77</v>
      </c>
      <c r="U581" s="6">
        <v>52</v>
      </c>
      <c r="V581" s="58">
        <f>IF(ISERROR(VLOOKUP($S$581,'TAR FIN'!$A$1:$O$92,15,0)),0,VLOOKUP($S$581,'TAR FIN'!$A$1:$O$92,15,0))</f>
        <v>0</v>
      </c>
      <c r="W581" s="58">
        <f>IF(ISERROR(VLOOKUP($T$581,'TAR FIN'!$A$1:$O$92,15,0)),0,VLOOKUP($T$581,'TAR FIN'!$A$1:$O$92,15,0))*(1-0.06)</f>
        <v>322.57979999999998</v>
      </c>
      <c r="X581" s="58">
        <f>IF(ISERROR(VLOOKUP($U$581,'TAR FIN'!$A$1:$O$92,15,0)),0,VLOOKUP($U$581,'TAR FIN'!$A$1:$O$92,15,0))*(1-0.06)</f>
        <v>285.32760000000002</v>
      </c>
      <c r="Y581" s="58"/>
      <c r="Z581" s="58">
        <f ca="1">('TUSD BE'!$AM$52+'TUSD BF_350'!$AM$52+'TUSD CVA'!$AM$52)*1*(1-0.03)</f>
        <v>301.17529999999999</v>
      </c>
      <c r="AA581" s="58">
        <f ca="1">('TE BE'!$AB$40+'TE BF_350'!$AB$40+'TE CVA'!$AB$40)*1*(1-0.03)</f>
        <v>254.65409999999997</v>
      </c>
      <c r="AB581" s="6">
        <f>$K$581*$V$581</f>
        <v>0</v>
      </c>
      <c r="AC581" s="6">
        <f>$M$581*$W$581</f>
        <v>11534.485908599998</v>
      </c>
      <c r="AD581" s="6">
        <f>$O$581*$X$581</f>
        <v>10202.4589932</v>
      </c>
      <c r="AE581" s="6">
        <f>$K$581*$Y$581</f>
        <v>0</v>
      </c>
      <c r="AF581" s="6">
        <f ca="1">$M$581*$Z$581</f>
        <v>10769.125202099998</v>
      </c>
      <c r="AG581" s="6">
        <f ca="1">$O$581*$AA$581</f>
        <v>9105.6666536999983</v>
      </c>
    </row>
    <row r="582" spans="1:33" ht="11.25" customHeight="1" x14ac:dyDescent="0.3">
      <c r="A582" s="4" t="s">
        <v>21</v>
      </c>
      <c r="B582" s="4" t="s">
        <v>32</v>
      </c>
      <c r="C582" s="4" t="s">
        <v>23</v>
      </c>
      <c r="D582" s="4" t="s">
        <v>47</v>
      </c>
      <c r="E582" s="4" t="s">
        <v>48</v>
      </c>
      <c r="F582" s="4" t="s">
        <v>25</v>
      </c>
      <c r="G582" s="4" t="s">
        <v>25</v>
      </c>
      <c r="H582" s="4" t="s">
        <v>25</v>
      </c>
      <c r="I582" s="5">
        <v>44440</v>
      </c>
      <c r="J582" s="6">
        <v>0</v>
      </c>
      <c r="K582" s="58">
        <v>0</v>
      </c>
      <c r="L582" s="6">
        <v>42.151000000000003</v>
      </c>
      <c r="M582" s="58">
        <v>42.151000000000003</v>
      </c>
      <c r="N582" s="6">
        <v>42.151000000000003</v>
      </c>
      <c r="O582" s="58">
        <v>42.151000000000003</v>
      </c>
      <c r="P582" s="6">
        <v>32</v>
      </c>
      <c r="Q582" s="4" t="s">
        <v>26</v>
      </c>
      <c r="R582" s="4">
        <v>0</v>
      </c>
      <c r="S582" s="6">
        <v>0</v>
      </c>
      <c r="T582" s="6">
        <v>77</v>
      </c>
      <c r="U582" s="6">
        <v>52</v>
      </c>
      <c r="V582" s="58">
        <f>IF(ISERROR(VLOOKUP($S$582,'TAR FIN'!$A$1:$O$92,15,0)),0,VLOOKUP($S$582,'TAR FIN'!$A$1:$O$92,15,0))</f>
        <v>0</v>
      </c>
      <c r="W582" s="58">
        <f>IF(ISERROR(VLOOKUP($T$582,'TAR FIN'!$A$1:$O$92,15,0)),0,VLOOKUP($T$582,'TAR FIN'!$A$1:$O$92,15,0))*(1-0.06)</f>
        <v>322.57979999999998</v>
      </c>
      <c r="X582" s="58">
        <f>IF(ISERROR(VLOOKUP($U$582,'TAR FIN'!$A$1:$O$92,15,0)),0,VLOOKUP($U$582,'TAR FIN'!$A$1:$O$92,15,0))*(1-0.06)</f>
        <v>285.32760000000002</v>
      </c>
      <c r="Y582" s="58"/>
      <c r="Z582" s="58">
        <f ca="1">('TUSD BE'!$AM$52+'TUSD BF_350'!$AM$52+'TUSD CVA'!$AM$52)*1*(1-0.03)</f>
        <v>301.17529999999999</v>
      </c>
      <c r="AA582" s="58">
        <f ca="1">('TE BE'!$AB$40+'TE BF_350'!$AB$40+'TE CVA'!$AB$40)*1*(1-0.03)</f>
        <v>254.65409999999997</v>
      </c>
      <c r="AB582" s="6">
        <f>$K$582*$V$582</f>
        <v>0</v>
      </c>
      <c r="AC582" s="6">
        <f>$M$582*$W$582</f>
        <v>13597.0611498</v>
      </c>
      <c r="AD582" s="6">
        <f>$O$582*$X$582</f>
        <v>12026.843667600002</v>
      </c>
      <c r="AE582" s="6">
        <f>$K$582*$Y$582</f>
        <v>0</v>
      </c>
      <c r="AF582" s="6">
        <f ca="1">$M$582*$Z$582</f>
        <v>12694.840070300001</v>
      </c>
      <c r="AG582" s="6">
        <f ca="1">$O$582*$AA$582</f>
        <v>10733.9249691</v>
      </c>
    </row>
    <row r="583" spans="1:33" ht="11.25" customHeight="1" x14ac:dyDescent="0.3">
      <c r="A583" s="4" t="s">
        <v>21</v>
      </c>
      <c r="B583" s="4" t="s">
        <v>32</v>
      </c>
      <c r="C583" s="4" t="s">
        <v>23</v>
      </c>
      <c r="D583" s="4" t="s">
        <v>47</v>
      </c>
      <c r="E583" s="4" t="s">
        <v>48</v>
      </c>
      <c r="F583" s="4" t="s">
        <v>25</v>
      </c>
      <c r="G583" s="4" t="s">
        <v>25</v>
      </c>
      <c r="H583" s="4" t="s">
        <v>25</v>
      </c>
      <c r="I583" s="5">
        <v>44470</v>
      </c>
      <c r="J583" s="6">
        <v>0</v>
      </c>
      <c r="K583" s="58">
        <v>0</v>
      </c>
      <c r="L583" s="6">
        <v>39.543999999999997</v>
      </c>
      <c r="M583" s="58">
        <v>39.543999999999997</v>
      </c>
      <c r="N583" s="6">
        <v>39.543999999999997</v>
      </c>
      <c r="O583" s="58">
        <v>39.543999999999997</v>
      </c>
      <c r="P583" s="6">
        <v>32</v>
      </c>
      <c r="Q583" s="4" t="s">
        <v>26</v>
      </c>
      <c r="R583" s="4">
        <v>0</v>
      </c>
      <c r="S583" s="6">
        <v>0</v>
      </c>
      <c r="T583" s="6">
        <v>77</v>
      </c>
      <c r="U583" s="6">
        <v>52</v>
      </c>
      <c r="V583" s="58">
        <f>IF(ISERROR(VLOOKUP($S$583,'TAR FIN'!$A$1:$O$92,15,0)),0,VLOOKUP($S$583,'TAR FIN'!$A$1:$O$92,15,0))</f>
        <v>0</v>
      </c>
      <c r="W583" s="58">
        <f>IF(ISERROR(VLOOKUP($T$583,'TAR FIN'!$A$1:$O$92,15,0)),0,VLOOKUP($T$583,'TAR FIN'!$A$1:$O$92,15,0))*(1-0.06)</f>
        <v>322.57979999999998</v>
      </c>
      <c r="X583" s="58">
        <f>IF(ISERROR(VLOOKUP($U$583,'TAR FIN'!$A$1:$O$92,15,0)),0,VLOOKUP($U$583,'TAR FIN'!$A$1:$O$92,15,0))*(1-0.06)</f>
        <v>285.32760000000002</v>
      </c>
      <c r="Y583" s="58"/>
      <c r="Z583" s="58">
        <f ca="1">('TUSD BE'!$AM$52+'TUSD BF_350'!$AM$52+'TUSD CVA'!$AM$52)*1*(1-0.03)</f>
        <v>301.17529999999999</v>
      </c>
      <c r="AA583" s="58">
        <f ca="1">('TE BE'!$AB$40+'TE BF_350'!$AB$40+'TE CVA'!$AB$40)*1*(1-0.03)</f>
        <v>254.65409999999997</v>
      </c>
      <c r="AB583" s="6">
        <f>$K$583*$V$583</f>
        <v>0</v>
      </c>
      <c r="AC583" s="6">
        <f>$M$583*$W$583</f>
        <v>12756.095611199999</v>
      </c>
      <c r="AD583" s="6">
        <f>$O$583*$X$583</f>
        <v>11282.994614400001</v>
      </c>
      <c r="AE583" s="6">
        <f>$K$583*$Y$583</f>
        <v>0</v>
      </c>
      <c r="AF583" s="6">
        <f ca="1">$M$583*$Z$583</f>
        <v>11909.676063199999</v>
      </c>
      <c r="AG583" s="6">
        <f ca="1">$O$583*$AA$583</f>
        <v>10070.041730399998</v>
      </c>
    </row>
    <row r="584" spans="1:33" ht="11.25" customHeight="1" x14ac:dyDescent="0.3">
      <c r="A584" s="4" t="s">
        <v>21</v>
      </c>
      <c r="B584" s="4" t="s">
        <v>32</v>
      </c>
      <c r="C584" s="4" t="s">
        <v>23</v>
      </c>
      <c r="D584" s="4" t="s">
        <v>47</v>
      </c>
      <c r="E584" s="4" t="s">
        <v>48</v>
      </c>
      <c r="F584" s="4" t="s">
        <v>25</v>
      </c>
      <c r="G584" s="4" t="s">
        <v>25</v>
      </c>
      <c r="H584" s="4" t="s">
        <v>25</v>
      </c>
      <c r="I584" s="5">
        <v>44501</v>
      </c>
      <c r="J584" s="6">
        <v>0</v>
      </c>
      <c r="K584" s="58">
        <v>0</v>
      </c>
      <c r="L584" s="6">
        <v>37.927</v>
      </c>
      <c r="M584" s="58">
        <v>37.927</v>
      </c>
      <c r="N584" s="6">
        <v>37.927</v>
      </c>
      <c r="O584" s="58">
        <v>37.927</v>
      </c>
      <c r="P584" s="6">
        <v>32</v>
      </c>
      <c r="Q584" s="4" t="s">
        <v>26</v>
      </c>
      <c r="R584" s="4">
        <v>0</v>
      </c>
      <c r="S584" s="6">
        <v>0</v>
      </c>
      <c r="T584" s="6">
        <v>77</v>
      </c>
      <c r="U584" s="6">
        <v>52</v>
      </c>
      <c r="V584" s="58">
        <f>IF(ISERROR(VLOOKUP($S$584,'TAR FIN'!$A$1:$O$92,15,0)),0,VLOOKUP($S$584,'TAR FIN'!$A$1:$O$92,15,0))</f>
        <v>0</v>
      </c>
      <c r="W584" s="58">
        <f>IF(ISERROR(VLOOKUP($T$584,'TAR FIN'!$A$1:$O$92,15,0)),0,VLOOKUP($T$584,'TAR FIN'!$A$1:$O$92,15,0))*(1-0.06)</f>
        <v>322.57979999999998</v>
      </c>
      <c r="X584" s="58">
        <f>IF(ISERROR(VLOOKUP($U$584,'TAR FIN'!$A$1:$O$92,15,0)),0,VLOOKUP($U$584,'TAR FIN'!$A$1:$O$92,15,0))*(1-0.06)</f>
        <v>285.32760000000002</v>
      </c>
      <c r="Y584" s="58"/>
      <c r="Z584" s="58">
        <f ca="1">('TUSD BE'!$AM$52+'TUSD BF_350'!$AM$52+'TUSD CVA'!$AM$52)*1*(1-0.03)</f>
        <v>301.17529999999999</v>
      </c>
      <c r="AA584" s="58">
        <f ca="1">('TE BE'!$AB$40+'TE BF_350'!$AB$40+'TE CVA'!$AB$40)*1*(1-0.03)</f>
        <v>254.65409999999997</v>
      </c>
      <c r="AB584" s="6">
        <f>$K$584*$V$584</f>
        <v>0</v>
      </c>
      <c r="AC584" s="6">
        <f>$M$584*$W$584</f>
        <v>12234.484074599999</v>
      </c>
      <c r="AD584" s="6">
        <f>$O$584*$X$584</f>
        <v>10821.6198852</v>
      </c>
      <c r="AE584" s="6">
        <f>$K$584*$Y$584</f>
        <v>0</v>
      </c>
      <c r="AF584" s="6">
        <f ca="1">$M$584*$Z$584</f>
        <v>11422.6756031</v>
      </c>
      <c r="AG584" s="6">
        <f ca="1">$O$584*$AA$584</f>
        <v>9658.2660506999982</v>
      </c>
    </row>
    <row r="585" spans="1:33" ht="11.25" customHeight="1" x14ac:dyDescent="0.3">
      <c r="A585" s="4" t="s">
        <v>21</v>
      </c>
      <c r="B585" s="4" t="s">
        <v>32</v>
      </c>
      <c r="C585" s="4" t="s">
        <v>23</v>
      </c>
      <c r="D585" s="4" t="s">
        <v>47</v>
      </c>
      <c r="E585" s="4" t="s">
        <v>48</v>
      </c>
      <c r="F585" s="4" t="s">
        <v>25</v>
      </c>
      <c r="G585" s="4" t="s">
        <v>25</v>
      </c>
      <c r="H585" s="4" t="s">
        <v>25</v>
      </c>
      <c r="I585" s="5">
        <v>44531</v>
      </c>
      <c r="J585" s="6">
        <v>0</v>
      </c>
      <c r="K585" s="58">
        <v>0</v>
      </c>
      <c r="L585" s="6">
        <v>42.985999999999997</v>
      </c>
      <c r="M585" s="58">
        <v>42.985999999999997</v>
      </c>
      <c r="N585" s="6">
        <v>42.985999999999997</v>
      </c>
      <c r="O585" s="58">
        <v>42.985999999999997</v>
      </c>
      <c r="P585" s="6">
        <v>32</v>
      </c>
      <c r="Q585" s="4" t="s">
        <v>26</v>
      </c>
      <c r="R585" s="4">
        <v>0</v>
      </c>
      <c r="S585" s="6">
        <v>0</v>
      </c>
      <c r="T585" s="6">
        <v>77</v>
      </c>
      <c r="U585" s="6">
        <v>52</v>
      </c>
      <c r="V585" s="58">
        <f>IF(ISERROR(VLOOKUP($S$585,'TAR FIN'!$A$1:$O$92,15,0)),0,VLOOKUP($S$585,'TAR FIN'!$A$1:$O$92,15,0))</f>
        <v>0</v>
      </c>
      <c r="W585" s="58">
        <f>IF(ISERROR(VLOOKUP($T$585,'TAR FIN'!$A$1:$O$92,15,0)),0,VLOOKUP($T$585,'TAR FIN'!$A$1:$O$92,15,0))*(1-0.06)</f>
        <v>322.57979999999998</v>
      </c>
      <c r="X585" s="58">
        <f>IF(ISERROR(VLOOKUP($U$585,'TAR FIN'!$A$1:$O$92,15,0)),0,VLOOKUP($U$585,'TAR FIN'!$A$1:$O$92,15,0))*(1-0.06)</f>
        <v>285.32760000000002</v>
      </c>
      <c r="Y585" s="58"/>
      <c r="Z585" s="58">
        <f ca="1">('TUSD BE'!$AM$52+'TUSD BF_350'!$AM$52+'TUSD CVA'!$AM$52)*1*(1-0.03)</f>
        <v>301.17529999999999</v>
      </c>
      <c r="AA585" s="58">
        <f ca="1">('TE BE'!$AB$40+'TE BF_350'!$AB$40+'TE CVA'!$AB$40)*1*(1-0.03)</f>
        <v>254.65409999999997</v>
      </c>
      <c r="AB585" s="6">
        <f>$K$585*$V$585</f>
        <v>0</v>
      </c>
      <c r="AC585" s="6">
        <f>$M$585*$W$585</f>
        <v>13866.415282799999</v>
      </c>
      <c r="AD585" s="6">
        <f>$O$585*$X$585</f>
        <v>12265.092213600001</v>
      </c>
      <c r="AE585" s="6">
        <f>$K$585*$Y$585</f>
        <v>0</v>
      </c>
      <c r="AF585" s="6">
        <f ca="1">$M$585*$Z$585</f>
        <v>12946.321445799998</v>
      </c>
      <c r="AG585" s="6">
        <f ca="1">$O$585*$AA$585</f>
        <v>10946.561142599998</v>
      </c>
    </row>
    <row r="586" spans="1:33" ht="11.25" customHeight="1" x14ac:dyDescent="0.3">
      <c r="A586" s="4" t="s">
        <v>21</v>
      </c>
      <c r="B586" s="4" t="s">
        <v>32</v>
      </c>
      <c r="C586" s="4" t="s">
        <v>23</v>
      </c>
      <c r="D586" s="4" t="s">
        <v>47</v>
      </c>
      <c r="E586" s="4" t="s">
        <v>48</v>
      </c>
      <c r="F586" s="4" t="s">
        <v>25</v>
      </c>
      <c r="G586" s="4" t="s">
        <v>25</v>
      </c>
      <c r="H586" s="4" t="s">
        <v>25</v>
      </c>
      <c r="I586" s="5">
        <v>44562</v>
      </c>
      <c r="J586" s="6">
        <v>0</v>
      </c>
      <c r="K586" s="58">
        <v>0</v>
      </c>
      <c r="L586" s="6">
        <v>47.173999999999999</v>
      </c>
      <c r="M586" s="58">
        <v>47.173999999999999</v>
      </c>
      <c r="N586" s="6">
        <v>47.173999999999999</v>
      </c>
      <c r="O586" s="58">
        <v>47.173999999999999</v>
      </c>
      <c r="P586" s="6">
        <v>32</v>
      </c>
      <c r="Q586" s="4" t="s">
        <v>26</v>
      </c>
      <c r="R586" s="4">
        <v>0</v>
      </c>
      <c r="S586" s="6">
        <v>0</v>
      </c>
      <c r="T586" s="6">
        <v>77</v>
      </c>
      <c r="U586" s="6">
        <v>52</v>
      </c>
      <c r="V586" s="58">
        <f>IF(ISERROR(VLOOKUP($S$586,'TAR FIN'!$A$1:$O$92,15,0)),0,VLOOKUP($S$586,'TAR FIN'!$A$1:$O$92,15,0))</f>
        <v>0</v>
      </c>
      <c r="W586" s="58">
        <f>IF(ISERROR(VLOOKUP($T$586,'TAR FIN'!$A$1:$O$92,15,0)),0,VLOOKUP($T$586,'TAR FIN'!$A$1:$O$92,15,0))*(1-0.06)</f>
        <v>322.57979999999998</v>
      </c>
      <c r="X586" s="58">
        <f>IF(ISERROR(VLOOKUP($U$586,'TAR FIN'!$A$1:$O$92,15,0)),0,VLOOKUP($U$586,'TAR FIN'!$A$1:$O$92,15,0))*(1-0.06)</f>
        <v>285.32760000000002</v>
      </c>
      <c r="Y586" s="58"/>
      <c r="Z586" s="58">
        <f ca="1">('TUSD BE'!$AM$52+'TUSD BF_350'!$AM$52+'TUSD CVA'!$AM$52)*1*(1-0.03)</f>
        <v>301.17529999999999</v>
      </c>
      <c r="AA586" s="58">
        <f ca="1">('TE BE'!$AB$40+'TE BF_350'!$AB$40+'TE CVA'!$AB$40)*1*(1-0.03)</f>
        <v>254.65409999999997</v>
      </c>
      <c r="AB586" s="6">
        <f>$K$586*$V$586</f>
        <v>0</v>
      </c>
      <c r="AC586" s="6">
        <f>$M$586*$W$586</f>
        <v>15217.379485199999</v>
      </c>
      <c r="AD586" s="6">
        <f>$O$586*$X$586</f>
        <v>13460.0442024</v>
      </c>
      <c r="AE586" s="6">
        <f>$K$586*$Y$586</f>
        <v>0</v>
      </c>
      <c r="AF586" s="6">
        <f ca="1">$M$586*$Z$586</f>
        <v>14207.6436022</v>
      </c>
      <c r="AG586" s="6">
        <f ca="1">$O$586*$AA$586</f>
        <v>12013.052513399998</v>
      </c>
    </row>
    <row r="587" spans="1:33" ht="11.25" customHeight="1" x14ac:dyDescent="0.3">
      <c r="A587" s="4" t="s">
        <v>21</v>
      </c>
      <c r="B587" s="4" t="s">
        <v>32</v>
      </c>
      <c r="C587" s="4" t="s">
        <v>23</v>
      </c>
      <c r="D587" s="4" t="s">
        <v>47</v>
      </c>
      <c r="E587" s="4" t="s">
        <v>48</v>
      </c>
      <c r="F587" s="4" t="s">
        <v>25</v>
      </c>
      <c r="G587" s="4" t="s">
        <v>25</v>
      </c>
      <c r="H587" s="4" t="s">
        <v>25</v>
      </c>
      <c r="I587" s="5">
        <v>44593</v>
      </c>
      <c r="J587" s="6">
        <v>0</v>
      </c>
      <c r="K587" s="58">
        <v>0</v>
      </c>
      <c r="L587" s="6">
        <v>51.765999999999998</v>
      </c>
      <c r="M587" s="58">
        <v>51.765999999999998</v>
      </c>
      <c r="N587" s="6">
        <v>51.765999999999998</v>
      </c>
      <c r="O587" s="58">
        <v>51.765999999999998</v>
      </c>
      <c r="P587" s="6">
        <v>32</v>
      </c>
      <c r="Q587" s="4" t="s">
        <v>26</v>
      </c>
      <c r="R587" s="4">
        <v>0</v>
      </c>
      <c r="S587" s="6">
        <v>0</v>
      </c>
      <c r="T587" s="6">
        <v>77</v>
      </c>
      <c r="U587" s="6">
        <v>52</v>
      </c>
      <c r="V587" s="58">
        <f>IF(ISERROR(VLOOKUP($S$587,'TAR FIN'!$A$1:$O$92,15,0)),0,VLOOKUP($S$587,'TAR FIN'!$A$1:$O$92,15,0))</f>
        <v>0</v>
      </c>
      <c r="W587" s="58">
        <f>IF(ISERROR(VLOOKUP($T$587,'TAR FIN'!$A$1:$O$92,15,0)),0,VLOOKUP($T$587,'TAR FIN'!$A$1:$O$92,15,0))*(1-0.06)</f>
        <v>322.57979999999998</v>
      </c>
      <c r="X587" s="58">
        <f>IF(ISERROR(VLOOKUP($U$587,'TAR FIN'!$A$1:$O$92,15,0)),0,VLOOKUP($U$587,'TAR FIN'!$A$1:$O$92,15,0))*(1-0.06)</f>
        <v>285.32760000000002</v>
      </c>
      <c r="Y587" s="58"/>
      <c r="Z587" s="58">
        <f ca="1">('TUSD BE'!$AM$52+'TUSD BF_350'!$AM$52+'TUSD CVA'!$AM$52)*1*(1-0.03)</f>
        <v>301.17529999999999</v>
      </c>
      <c r="AA587" s="58">
        <f ca="1">('TE BE'!$AB$40+'TE BF_350'!$AB$40+'TE CVA'!$AB$40)*1*(1-0.03)</f>
        <v>254.65409999999997</v>
      </c>
      <c r="AB587" s="6">
        <f>$K$587*$V$587</f>
        <v>0</v>
      </c>
      <c r="AC587" s="6">
        <f>$M$587*$W$587</f>
        <v>16698.665926799997</v>
      </c>
      <c r="AD587" s="6">
        <f>$O$587*$X$587</f>
        <v>14770.2685416</v>
      </c>
      <c r="AE587" s="6">
        <f>$K$587*$Y$587</f>
        <v>0</v>
      </c>
      <c r="AF587" s="6">
        <f ca="1">$M$587*$Z$587</f>
        <v>15590.6405798</v>
      </c>
      <c r="AG587" s="6">
        <f ca="1">$O$587*$AA$587</f>
        <v>13182.424140599998</v>
      </c>
    </row>
    <row r="588" spans="1:33" ht="11.25" customHeight="1" x14ac:dyDescent="0.3">
      <c r="A588" s="4" t="s">
        <v>21</v>
      </c>
      <c r="B588" s="4" t="s">
        <v>32</v>
      </c>
      <c r="C588" s="4" t="s">
        <v>23</v>
      </c>
      <c r="D588" s="4" t="s">
        <v>47</v>
      </c>
      <c r="E588" s="4" t="s">
        <v>48</v>
      </c>
      <c r="F588" s="4" t="s">
        <v>25</v>
      </c>
      <c r="G588" s="4" t="s">
        <v>25</v>
      </c>
      <c r="H588" s="4" t="s">
        <v>25</v>
      </c>
      <c r="I588" s="5">
        <v>44621</v>
      </c>
      <c r="J588" s="6">
        <v>0</v>
      </c>
      <c r="K588" s="58">
        <v>0</v>
      </c>
      <c r="L588" s="6">
        <v>43.442</v>
      </c>
      <c r="M588" s="58">
        <v>43.442</v>
      </c>
      <c r="N588" s="6">
        <v>43.442</v>
      </c>
      <c r="O588" s="58">
        <v>43.442</v>
      </c>
      <c r="P588" s="6">
        <v>32</v>
      </c>
      <c r="Q588" s="4" t="s">
        <v>26</v>
      </c>
      <c r="R588" s="4">
        <v>0</v>
      </c>
      <c r="S588" s="6">
        <v>0</v>
      </c>
      <c r="T588" s="6">
        <v>77</v>
      </c>
      <c r="U588" s="6">
        <v>52</v>
      </c>
      <c r="V588" s="58">
        <f>IF(ISERROR(VLOOKUP($S$588,'TAR FIN'!$A$1:$O$92,15,0)),0,VLOOKUP($S$588,'TAR FIN'!$A$1:$O$92,15,0))</f>
        <v>0</v>
      </c>
      <c r="W588" s="58">
        <f>IF(ISERROR(VLOOKUP($T$588,'TAR FIN'!$A$1:$O$92,15,0)),0,VLOOKUP($T$588,'TAR FIN'!$A$1:$O$92,15,0))*(1-0.06)</f>
        <v>322.57979999999998</v>
      </c>
      <c r="X588" s="58">
        <f>IF(ISERROR(VLOOKUP($U$588,'TAR FIN'!$A$1:$O$92,15,0)),0,VLOOKUP($U$588,'TAR FIN'!$A$1:$O$92,15,0))*(1-0.06)</f>
        <v>285.32760000000002</v>
      </c>
      <c r="Y588" s="58"/>
      <c r="Z588" s="58">
        <f ca="1">('TUSD BE'!$AM$52+'TUSD BF_350'!$AM$52+'TUSD CVA'!$AM$52)*1*(1-0.03)</f>
        <v>301.17529999999999</v>
      </c>
      <c r="AA588" s="58">
        <f ca="1">('TE BE'!$AB$40+'TE BF_350'!$AB$40+'TE CVA'!$AB$40)*1*(1-0.03)</f>
        <v>254.65409999999997</v>
      </c>
      <c r="AB588" s="6">
        <f>$K$588*$V$588</f>
        <v>0</v>
      </c>
      <c r="AC588" s="6">
        <f>$M$588*$W$588</f>
        <v>14013.511671599999</v>
      </c>
      <c r="AD588" s="6">
        <f>$O$588*$X$588</f>
        <v>12395.201599200002</v>
      </c>
      <c r="AE588" s="6">
        <f>$K$588*$Y$588</f>
        <v>0</v>
      </c>
      <c r="AF588" s="6">
        <f ca="1">$M$588*$Z$588</f>
        <v>13083.6573826</v>
      </c>
      <c r="AG588" s="6">
        <f ca="1">$O$588*$AA$588</f>
        <v>11062.683412199998</v>
      </c>
    </row>
    <row r="589" spans="1:33" ht="11.25" customHeight="1" x14ac:dyDescent="0.3">
      <c r="A589" s="4" t="s">
        <v>21</v>
      </c>
      <c r="B589" s="4" t="s">
        <v>32</v>
      </c>
      <c r="C589" s="4" t="s">
        <v>23</v>
      </c>
      <c r="D589" s="4" t="s">
        <v>47</v>
      </c>
      <c r="E589" s="4" t="s">
        <v>48</v>
      </c>
      <c r="F589" s="4" t="s">
        <v>25</v>
      </c>
      <c r="G589" s="4" t="s">
        <v>25</v>
      </c>
      <c r="H589" s="4" t="s">
        <v>25</v>
      </c>
      <c r="I589" s="5">
        <v>44652</v>
      </c>
      <c r="J589" s="6">
        <v>0</v>
      </c>
      <c r="K589" s="58">
        <v>0</v>
      </c>
      <c r="L589" s="6">
        <v>43.895000000000003</v>
      </c>
      <c r="M589" s="58">
        <v>43.895000000000003</v>
      </c>
      <c r="N589" s="6">
        <v>43.895000000000003</v>
      </c>
      <c r="O589" s="58">
        <v>43.895000000000003</v>
      </c>
      <c r="P589" s="6">
        <v>32</v>
      </c>
      <c r="Q589" s="4" t="s">
        <v>26</v>
      </c>
      <c r="R589" s="4">
        <v>0</v>
      </c>
      <c r="S589" s="6">
        <v>0</v>
      </c>
      <c r="T589" s="6">
        <v>77</v>
      </c>
      <c r="U589" s="6">
        <v>52</v>
      </c>
      <c r="V589" s="58">
        <f>IF(ISERROR(VLOOKUP($S$589,'TAR FIN'!$A$1:$O$92,15,0)),0,VLOOKUP($S$589,'TAR FIN'!$A$1:$O$92,15,0))</f>
        <v>0</v>
      </c>
      <c r="W589" s="58">
        <f>IF(ISERROR(VLOOKUP($T$589,'TAR FIN'!$A$1:$O$92,15,0)),0,VLOOKUP($T$589,'TAR FIN'!$A$1:$O$92,15,0))*(1-0.06)</f>
        <v>322.57979999999998</v>
      </c>
      <c r="X589" s="58">
        <f>IF(ISERROR(VLOOKUP($U$589,'TAR FIN'!$A$1:$O$92,15,0)),0,VLOOKUP($U$589,'TAR FIN'!$A$1:$O$92,15,0))*(1-0.06)</f>
        <v>285.32760000000002</v>
      </c>
      <c r="Y589" s="58"/>
      <c r="Z589" s="58">
        <f ca="1">('TUSD BE'!$AM$52+'TUSD BF_350'!$AM$52+'TUSD CVA'!$AM$52)*1*(1-0.03)</f>
        <v>301.17529999999999</v>
      </c>
      <c r="AA589" s="58">
        <f ca="1">('TE BE'!$AB$40+'TE BF_350'!$AB$40+'TE CVA'!$AB$40)*1*(1-0.03)</f>
        <v>254.65409999999997</v>
      </c>
      <c r="AB589" s="6">
        <f>$K$589*$V$589</f>
        <v>0</v>
      </c>
      <c r="AC589" s="6">
        <f>$M$589*$W$589</f>
        <v>14159.640321000001</v>
      </c>
      <c r="AD589" s="6">
        <f>$O$589*$X$589</f>
        <v>12524.455002000002</v>
      </c>
      <c r="AE589" s="6">
        <f>$K$589*$Y$589</f>
        <v>0</v>
      </c>
      <c r="AF589" s="6">
        <f ca="1">$M$589*$Z$589</f>
        <v>13220.089793500001</v>
      </c>
      <c r="AG589" s="6">
        <f ca="1">$O$589*$AA$589</f>
        <v>11178.041719499999</v>
      </c>
    </row>
    <row r="590" spans="1:33" ht="11.25" customHeight="1" x14ac:dyDescent="0.3">
      <c r="A590" s="4" t="s">
        <v>21</v>
      </c>
      <c r="B590" s="4" t="s">
        <v>32</v>
      </c>
      <c r="C590" s="4" t="s">
        <v>23</v>
      </c>
      <c r="D590" s="4" t="s">
        <v>47</v>
      </c>
      <c r="E590" s="4" t="s">
        <v>48</v>
      </c>
      <c r="F590" s="4" t="s">
        <v>25</v>
      </c>
      <c r="G590" s="4" t="s">
        <v>25</v>
      </c>
      <c r="H590" s="4" t="s">
        <v>25</v>
      </c>
      <c r="I590" s="5">
        <v>44682</v>
      </c>
      <c r="J590" s="6">
        <v>0</v>
      </c>
      <c r="K590" s="58">
        <v>0</v>
      </c>
      <c r="L590" s="6">
        <v>40.804000000000002</v>
      </c>
      <c r="M590" s="58">
        <v>40.804000000000002</v>
      </c>
      <c r="N590" s="6">
        <v>40.804000000000002</v>
      </c>
      <c r="O590" s="58">
        <v>40.804000000000002</v>
      </c>
      <c r="P590" s="6">
        <v>32</v>
      </c>
      <c r="Q590" s="4" t="s">
        <v>26</v>
      </c>
      <c r="R590" s="4">
        <v>0</v>
      </c>
      <c r="S590" s="6">
        <v>0</v>
      </c>
      <c r="T590" s="6">
        <v>77</v>
      </c>
      <c r="U590" s="6">
        <v>52</v>
      </c>
      <c r="V590" s="58">
        <f>IF(ISERROR(VLOOKUP($S$590,'TAR FIN'!$A$1:$O$92,15,0)),0,VLOOKUP($S$590,'TAR FIN'!$A$1:$O$92,15,0))</f>
        <v>0</v>
      </c>
      <c r="W590" s="58">
        <f>IF(ISERROR(VLOOKUP($T$590,'TAR FIN'!$A$1:$O$92,15,0)),0,VLOOKUP($T$590,'TAR FIN'!$A$1:$O$92,15,0))*(1-0.06)</f>
        <v>322.57979999999998</v>
      </c>
      <c r="X590" s="58">
        <f>IF(ISERROR(VLOOKUP($U$590,'TAR FIN'!$A$1:$O$92,15,0)),0,VLOOKUP($U$590,'TAR FIN'!$A$1:$O$92,15,0))*(1-0.06)</f>
        <v>285.32760000000002</v>
      </c>
      <c r="Y590" s="58"/>
      <c r="Z590" s="58">
        <f ca="1">('TUSD BE'!$AM$52+'TUSD BF_350'!$AM$52+'TUSD CVA'!$AM$52)*1*(1-0.03)</f>
        <v>301.17529999999999</v>
      </c>
      <c r="AA590" s="58">
        <f ca="1">('TE BE'!$AB$40+'TE BF_350'!$AB$40+'TE CVA'!$AB$40)*1*(1-0.03)</f>
        <v>254.65409999999997</v>
      </c>
      <c r="AB590" s="6">
        <f>$K$590*$V$590</f>
        <v>0</v>
      </c>
      <c r="AC590" s="6">
        <f>$M$590*$W$590</f>
        <v>13162.546159199999</v>
      </c>
      <c r="AD590" s="6">
        <f>$O$590*$X$590</f>
        <v>11642.507390400002</v>
      </c>
      <c r="AE590" s="6">
        <f>$K$590*$Y$590</f>
        <v>0</v>
      </c>
      <c r="AF590" s="6">
        <f ca="1">$M$590*$Z$590</f>
        <v>12289.156941200001</v>
      </c>
      <c r="AG590" s="6">
        <f ca="1">$O$590*$AA$590</f>
        <v>10390.9058964</v>
      </c>
    </row>
    <row r="591" spans="1:33" ht="11.25" customHeight="1" x14ac:dyDescent="0.3">
      <c r="A591" s="4" t="s">
        <v>21</v>
      </c>
      <c r="B591" s="4" t="s">
        <v>32</v>
      </c>
      <c r="C591" s="4" t="s">
        <v>23</v>
      </c>
      <c r="D591" s="4" t="s">
        <v>47</v>
      </c>
      <c r="E591" s="4" t="s">
        <v>48</v>
      </c>
      <c r="F591" s="4" t="s">
        <v>25</v>
      </c>
      <c r="G591" s="4" t="s">
        <v>25</v>
      </c>
      <c r="H591" s="4" t="s">
        <v>25</v>
      </c>
      <c r="I591" s="5">
        <v>44713</v>
      </c>
      <c r="J591" s="6">
        <v>0</v>
      </c>
      <c r="K591" s="58">
        <v>0</v>
      </c>
      <c r="L591" s="6">
        <v>38.534999999999997</v>
      </c>
      <c r="M591" s="58">
        <v>38.534999999999997</v>
      </c>
      <c r="N591" s="6">
        <v>38.534999999999997</v>
      </c>
      <c r="O591" s="58">
        <v>38.534999999999997</v>
      </c>
      <c r="P591" s="6">
        <v>32</v>
      </c>
      <c r="Q591" s="4" t="s">
        <v>26</v>
      </c>
      <c r="R591" s="4">
        <v>0</v>
      </c>
      <c r="S591" s="6">
        <v>0</v>
      </c>
      <c r="T591" s="6">
        <v>77</v>
      </c>
      <c r="U591" s="6">
        <v>52</v>
      </c>
      <c r="V591" s="58">
        <f>IF(ISERROR(VLOOKUP($S$591,'TAR FIN'!$A$1:$O$92,15,0)),0,VLOOKUP($S$591,'TAR FIN'!$A$1:$O$92,15,0))</f>
        <v>0</v>
      </c>
      <c r="W591" s="58">
        <f>IF(ISERROR(VLOOKUP($T$591,'TAR FIN'!$A$1:$O$92,15,0)),0,VLOOKUP($T$591,'TAR FIN'!$A$1:$O$92,15,0))*(1-0.06)</f>
        <v>322.57979999999998</v>
      </c>
      <c r="X591" s="58">
        <f>IF(ISERROR(VLOOKUP($U$591,'TAR FIN'!$A$1:$O$92,15,0)),0,VLOOKUP($U$591,'TAR FIN'!$A$1:$O$92,15,0))*(1-0.06)</f>
        <v>285.32760000000002</v>
      </c>
      <c r="Y591" s="58"/>
      <c r="Z591" s="58">
        <f ca="1">('TUSD BE'!$AM$52+'TUSD BF_350'!$AM$52+'TUSD CVA'!$AM$52)*1*(1-0.03)</f>
        <v>301.17529999999999</v>
      </c>
      <c r="AA591" s="58">
        <f ca="1">('TE BE'!$AB$40+'TE BF_350'!$AB$40+'TE CVA'!$AB$40)*1*(1-0.03)</f>
        <v>254.65409999999997</v>
      </c>
      <c r="AB591" s="6">
        <f>$K$591*$V$591</f>
        <v>0</v>
      </c>
      <c r="AC591" s="6">
        <f>$M$591*$W$591</f>
        <v>12430.612592999998</v>
      </c>
      <c r="AD591" s="6">
        <f>$O$591*$X$591</f>
        <v>10995.099065999999</v>
      </c>
      <c r="AE591" s="6">
        <f>$K$591*$Y$591</f>
        <v>0</v>
      </c>
      <c r="AF591" s="6">
        <f ca="1">$M$591*$Z$591</f>
        <v>11605.790185499998</v>
      </c>
      <c r="AG591" s="6">
        <f ca="1">$O$591*$AA$591</f>
        <v>9813.0957434999982</v>
      </c>
    </row>
    <row r="592" spans="1:33" ht="11.25" customHeight="1" x14ac:dyDescent="0.3">
      <c r="A592" s="4" t="s">
        <v>21</v>
      </c>
      <c r="B592" s="4" t="s">
        <v>32</v>
      </c>
      <c r="C592" s="4" t="s">
        <v>23</v>
      </c>
      <c r="D592" s="4" t="s">
        <v>47</v>
      </c>
      <c r="E592" s="4" t="s">
        <v>48</v>
      </c>
      <c r="F592" s="4" t="s">
        <v>25</v>
      </c>
      <c r="G592" s="4" t="s">
        <v>25</v>
      </c>
      <c r="H592" s="4" t="s">
        <v>25</v>
      </c>
      <c r="I592" s="5">
        <v>44743</v>
      </c>
      <c r="J592" s="6">
        <v>0</v>
      </c>
      <c r="K592" s="58">
        <v>0</v>
      </c>
      <c r="L592" s="6">
        <v>35.773000000000003</v>
      </c>
      <c r="M592" s="58">
        <v>35.773000000000003</v>
      </c>
      <c r="N592" s="6">
        <v>35.773000000000003</v>
      </c>
      <c r="O592" s="58">
        <v>35.773000000000003</v>
      </c>
      <c r="P592" s="6">
        <v>32</v>
      </c>
      <c r="Q592" s="4" t="s">
        <v>26</v>
      </c>
      <c r="R592" s="4">
        <v>0</v>
      </c>
      <c r="S592" s="6">
        <v>0</v>
      </c>
      <c r="T592" s="6">
        <v>77</v>
      </c>
      <c r="U592" s="6">
        <v>52</v>
      </c>
      <c r="V592" s="58">
        <f>IF(ISERROR(VLOOKUP($S$592,'TAR FIN'!$A$1:$O$92,15,0)),0,VLOOKUP($S$592,'TAR FIN'!$A$1:$O$92,15,0))</f>
        <v>0</v>
      </c>
      <c r="W592" s="58">
        <f>IF(ISERROR(VLOOKUP($T$592,'TAR FIN'!$A$1:$O$92,15,0)),0,VLOOKUP($T$592,'TAR FIN'!$A$1:$O$92,15,0))*(1-0.06)</f>
        <v>322.57979999999998</v>
      </c>
      <c r="X592" s="58">
        <f>IF(ISERROR(VLOOKUP($U$592,'TAR FIN'!$A$1:$O$92,15,0)),0,VLOOKUP($U$592,'TAR FIN'!$A$1:$O$92,15,0))*(1-0.06)</f>
        <v>285.32760000000002</v>
      </c>
      <c r="Y592" s="58"/>
      <c r="Z592" s="58">
        <f ca="1">('TUSD BE'!$AM$52+'TUSD BF_350'!$AM$52+'TUSD CVA'!$AM$52)*1*(1-0.03)</f>
        <v>301.17529999999999</v>
      </c>
      <c r="AA592" s="58">
        <f ca="1">('TE BE'!$AB$40+'TE BF_350'!$AB$40+'TE CVA'!$AB$40)*1*(1-0.03)</f>
        <v>254.65409999999997</v>
      </c>
      <c r="AB592" s="6">
        <f>$K$592*$V$592</f>
        <v>0</v>
      </c>
      <c r="AC592" s="6">
        <f>$M$592*$W$592</f>
        <v>11539.647185400001</v>
      </c>
      <c r="AD592" s="6">
        <f>$O$592*$X$592</f>
        <v>10207.024234800001</v>
      </c>
      <c r="AE592" s="6">
        <f>$K$592*$Y$592</f>
        <v>0</v>
      </c>
      <c r="AF592" s="6">
        <f ca="1">$M$592*$Z$592</f>
        <v>10773.944006900001</v>
      </c>
      <c r="AG592" s="6">
        <f ca="1">$O$592*$AA$592</f>
        <v>9109.7411192999989</v>
      </c>
    </row>
    <row r="593" spans="1:33" ht="11.25" customHeight="1" x14ac:dyDescent="0.3">
      <c r="A593" s="4" t="s">
        <v>21</v>
      </c>
      <c r="B593" s="4" t="s">
        <v>44</v>
      </c>
      <c r="C593" s="4" t="s">
        <v>23</v>
      </c>
      <c r="D593" s="4" t="s">
        <v>45</v>
      </c>
      <c r="E593" s="4" t="s">
        <v>46</v>
      </c>
      <c r="F593" s="4" t="s">
        <v>25</v>
      </c>
      <c r="G593" s="4" t="s">
        <v>25</v>
      </c>
      <c r="H593" s="4" t="s">
        <v>25</v>
      </c>
      <c r="I593" s="5">
        <v>44409</v>
      </c>
      <c r="J593" s="6">
        <v>0</v>
      </c>
      <c r="K593" s="6">
        <v>0</v>
      </c>
      <c r="L593" s="6">
        <v>214.02199999999999</v>
      </c>
      <c r="M593" s="6">
        <v>214.02199999999999</v>
      </c>
      <c r="N593" s="6">
        <v>214.02199999999999</v>
      </c>
      <c r="O593" s="6">
        <v>214.02199999999999</v>
      </c>
      <c r="P593" s="6">
        <v>2</v>
      </c>
      <c r="Q593" s="4" t="s">
        <v>26</v>
      </c>
      <c r="R593" s="4">
        <v>0</v>
      </c>
      <c r="S593" s="6">
        <v>0</v>
      </c>
      <c r="T593" s="6">
        <v>79</v>
      </c>
      <c r="U593" s="6">
        <v>56</v>
      </c>
      <c r="V593" s="6">
        <f>IF(ISERROR(VLOOKUP($S$593,'TAR FIN'!$A$1:$O$92,15,0)),0,VLOOKUP($S$593,'TAR FIN'!$A$1:$O$92,15,0))</f>
        <v>0</v>
      </c>
      <c r="W593" s="6">
        <f>IF(ISERROR(VLOOKUP($T$593,'TAR FIN'!$A$1:$O$92,15,0)),0,VLOOKUP($T$593,'TAR FIN'!$A$1:$O$92,15,0))</f>
        <v>188.74</v>
      </c>
      <c r="X593" s="6">
        <f>IF(ISERROR(VLOOKUP($U$593,'TAR FIN'!$A$1:$O$92,15,0)),0,VLOOKUP($U$593,'TAR FIN'!$A$1:$O$92,15,0))</f>
        <v>166.95</v>
      </c>
      <c r="Y593" s="6"/>
      <c r="Z593" s="6">
        <f ca="1">('TUSD BE'!$AM$54+'TUSD BF_350'!$AM$54+'TUSD CVA'!$AM$54)*1</f>
        <v>170.77</v>
      </c>
      <c r="AA593" s="6">
        <f ca="1">('TE BE'!$AB$42+'TE BF_350'!$AB$42+'TE CVA'!$AB$42)*1</f>
        <v>144.38999999999999</v>
      </c>
      <c r="AB593" s="6">
        <f>$K$593*$V$593</f>
        <v>0</v>
      </c>
      <c r="AC593" s="6">
        <f>$M$593*$W$593</f>
        <v>40394.512280000003</v>
      </c>
      <c r="AD593" s="6">
        <f>$O$593*$X$593</f>
        <v>35730.972899999993</v>
      </c>
      <c r="AE593" s="6">
        <f>$K$593*$Y$593</f>
        <v>0</v>
      </c>
      <c r="AF593" s="6">
        <f ca="1">$M$593*$Z$593</f>
        <v>36548.536939999998</v>
      </c>
      <c r="AG593" s="6">
        <f ca="1">$O$593*$AA$593</f>
        <v>30902.636579999995</v>
      </c>
    </row>
    <row r="594" spans="1:33" ht="11.25" customHeight="1" x14ac:dyDescent="0.3">
      <c r="A594" s="4" t="s">
        <v>21</v>
      </c>
      <c r="B594" s="4" t="s">
        <v>44</v>
      </c>
      <c r="C594" s="4" t="s">
        <v>23</v>
      </c>
      <c r="D594" s="4" t="s">
        <v>45</v>
      </c>
      <c r="E594" s="4" t="s">
        <v>46</v>
      </c>
      <c r="F594" s="4" t="s">
        <v>25</v>
      </c>
      <c r="G594" s="4" t="s">
        <v>25</v>
      </c>
      <c r="H594" s="4" t="s">
        <v>25</v>
      </c>
      <c r="I594" s="5">
        <v>44440</v>
      </c>
      <c r="J594" s="6">
        <v>0</v>
      </c>
      <c r="K594" s="6">
        <v>0</v>
      </c>
      <c r="L594" s="6">
        <v>192.84399999999999</v>
      </c>
      <c r="M594" s="6">
        <v>192.84399999999999</v>
      </c>
      <c r="N594" s="6">
        <v>192.84399999999999</v>
      </c>
      <c r="O594" s="6">
        <v>192.84399999999999</v>
      </c>
      <c r="P594" s="6">
        <v>2</v>
      </c>
      <c r="Q594" s="4" t="s">
        <v>26</v>
      </c>
      <c r="R594" s="4">
        <v>0</v>
      </c>
      <c r="S594" s="6">
        <v>0</v>
      </c>
      <c r="T594" s="6">
        <v>79</v>
      </c>
      <c r="U594" s="6">
        <v>56</v>
      </c>
      <c r="V594" s="6">
        <f>IF(ISERROR(VLOOKUP($S$594,'TAR FIN'!$A$1:$O$92,15,0)),0,VLOOKUP($S$594,'TAR FIN'!$A$1:$O$92,15,0))</f>
        <v>0</v>
      </c>
      <c r="W594" s="6">
        <f>IF(ISERROR(VLOOKUP($T$594,'TAR FIN'!$A$1:$O$92,15,0)),0,VLOOKUP($T$594,'TAR FIN'!$A$1:$O$92,15,0))</f>
        <v>188.74</v>
      </c>
      <c r="X594" s="6">
        <f>IF(ISERROR(VLOOKUP($U$594,'TAR FIN'!$A$1:$O$92,15,0)),0,VLOOKUP($U$594,'TAR FIN'!$A$1:$O$92,15,0))</f>
        <v>166.95</v>
      </c>
      <c r="Y594" s="6"/>
      <c r="Z594" s="6">
        <f ca="1">('TUSD BE'!$AM$54+'TUSD BF_350'!$AM$54+'TUSD CVA'!$AM$54)*1</f>
        <v>170.77</v>
      </c>
      <c r="AA594" s="6">
        <f ca="1">('TE BE'!$AB$42+'TE BF_350'!$AB$42+'TE CVA'!$AB$42)*1</f>
        <v>144.38999999999999</v>
      </c>
      <c r="AB594" s="6">
        <f>$K$594*$V$594</f>
        <v>0</v>
      </c>
      <c r="AC594" s="6">
        <f>$M$594*$W$594</f>
        <v>36397.376560000004</v>
      </c>
      <c r="AD594" s="6">
        <f>$O$594*$X$594</f>
        <v>32195.305799999998</v>
      </c>
      <c r="AE594" s="6">
        <f>$K$594*$Y$594</f>
        <v>0</v>
      </c>
      <c r="AF594" s="6">
        <f ca="1">$M$594*$Z$594</f>
        <v>32931.969880000004</v>
      </c>
      <c r="AG594" s="6">
        <f ca="1">$O$594*$AA$594</f>
        <v>27844.745159999995</v>
      </c>
    </row>
    <row r="595" spans="1:33" ht="11.25" customHeight="1" x14ac:dyDescent="0.3">
      <c r="A595" s="4" t="s">
        <v>21</v>
      </c>
      <c r="B595" s="4" t="s">
        <v>44</v>
      </c>
      <c r="C595" s="4" t="s">
        <v>23</v>
      </c>
      <c r="D595" s="4" t="s">
        <v>45</v>
      </c>
      <c r="E595" s="4" t="s">
        <v>46</v>
      </c>
      <c r="F595" s="4" t="s">
        <v>25</v>
      </c>
      <c r="G595" s="4" t="s">
        <v>25</v>
      </c>
      <c r="H595" s="4" t="s">
        <v>25</v>
      </c>
      <c r="I595" s="5">
        <v>44470</v>
      </c>
      <c r="J595" s="6">
        <v>0</v>
      </c>
      <c r="K595" s="6">
        <v>0</v>
      </c>
      <c r="L595" s="6">
        <v>191.751</v>
      </c>
      <c r="M595" s="6">
        <v>191.751</v>
      </c>
      <c r="N595" s="6">
        <v>191.751</v>
      </c>
      <c r="O595" s="6">
        <v>191.751</v>
      </c>
      <c r="P595" s="6">
        <v>2</v>
      </c>
      <c r="Q595" s="4" t="s">
        <v>26</v>
      </c>
      <c r="R595" s="4">
        <v>0</v>
      </c>
      <c r="S595" s="6">
        <v>0</v>
      </c>
      <c r="T595" s="6">
        <v>79</v>
      </c>
      <c r="U595" s="6">
        <v>56</v>
      </c>
      <c r="V595" s="6">
        <f>IF(ISERROR(VLOOKUP($S$595,'TAR FIN'!$A$1:$O$92,15,0)),0,VLOOKUP($S$595,'TAR FIN'!$A$1:$O$92,15,0))</f>
        <v>0</v>
      </c>
      <c r="W595" s="6">
        <f>IF(ISERROR(VLOOKUP($T$595,'TAR FIN'!$A$1:$O$92,15,0)),0,VLOOKUP($T$595,'TAR FIN'!$A$1:$O$92,15,0))</f>
        <v>188.74</v>
      </c>
      <c r="X595" s="6">
        <f>IF(ISERROR(VLOOKUP($U$595,'TAR FIN'!$A$1:$O$92,15,0)),0,VLOOKUP($U$595,'TAR FIN'!$A$1:$O$92,15,0))</f>
        <v>166.95</v>
      </c>
      <c r="Y595" s="6"/>
      <c r="Z595" s="6">
        <f ca="1">('TUSD BE'!$AM$54+'TUSD BF_350'!$AM$54+'TUSD CVA'!$AM$54)*1</f>
        <v>170.77</v>
      </c>
      <c r="AA595" s="6">
        <f ca="1">('TE BE'!$AB$42+'TE BF_350'!$AB$42+'TE CVA'!$AB$42)*1</f>
        <v>144.38999999999999</v>
      </c>
      <c r="AB595" s="6">
        <f>$K$595*$V$595</f>
        <v>0</v>
      </c>
      <c r="AC595" s="6">
        <f>$M$595*$W$595</f>
        <v>36191.083740000002</v>
      </c>
      <c r="AD595" s="6">
        <f>$O$595*$X$595</f>
        <v>32012.829449999997</v>
      </c>
      <c r="AE595" s="6">
        <f>$K$595*$Y$595</f>
        <v>0</v>
      </c>
      <c r="AF595" s="6">
        <f ca="1">$M$595*$Z$595</f>
        <v>32745.318270000003</v>
      </c>
      <c r="AG595" s="6">
        <f ca="1">$O$595*$AA$595</f>
        <v>27686.926889999999</v>
      </c>
    </row>
    <row r="596" spans="1:33" ht="11.25" customHeight="1" x14ac:dyDescent="0.3">
      <c r="A596" s="4" t="s">
        <v>21</v>
      </c>
      <c r="B596" s="4" t="s">
        <v>44</v>
      </c>
      <c r="C596" s="4" t="s">
        <v>23</v>
      </c>
      <c r="D596" s="4" t="s">
        <v>45</v>
      </c>
      <c r="E596" s="4" t="s">
        <v>46</v>
      </c>
      <c r="F596" s="4" t="s">
        <v>25</v>
      </c>
      <c r="G596" s="4" t="s">
        <v>25</v>
      </c>
      <c r="H596" s="4" t="s">
        <v>25</v>
      </c>
      <c r="I596" s="5">
        <v>44501</v>
      </c>
      <c r="J596" s="6">
        <v>0</v>
      </c>
      <c r="K596" s="6">
        <v>0</v>
      </c>
      <c r="L596" s="6">
        <v>170.47399999999999</v>
      </c>
      <c r="M596" s="6">
        <v>170.47399999999999</v>
      </c>
      <c r="N596" s="6">
        <v>170.47399999999999</v>
      </c>
      <c r="O596" s="6">
        <v>170.47399999999999</v>
      </c>
      <c r="P596" s="6">
        <v>2</v>
      </c>
      <c r="Q596" s="4" t="s">
        <v>26</v>
      </c>
      <c r="R596" s="4">
        <v>0</v>
      </c>
      <c r="S596" s="6">
        <v>0</v>
      </c>
      <c r="T596" s="6">
        <v>79</v>
      </c>
      <c r="U596" s="6">
        <v>56</v>
      </c>
      <c r="V596" s="6">
        <f>IF(ISERROR(VLOOKUP($S$596,'TAR FIN'!$A$1:$O$92,15,0)),0,VLOOKUP($S$596,'TAR FIN'!$A$1:$O$92,15,0))</f>
        <v>0</v>
      </c>
      <c r="W596" s="6">
        <f>IF(ISERROR(VLOOKUP($T$596,'TAR FIN'!$A$1:$O$92,15,0)),0,VLOOKUP($T$596,'TAR FIN'!$A$1:$O$92,15,0))</f>
        <v>188.74</v>
      </c>
      <c r="X596" s="6">
        <f>IF(ISERROR(VLOOKUP($U$596,'TAR FIN'!$A$1:$O$92,15,0)),0,VLOOKUP($U$596,'TAR FIN'!$A$1:$O$92,15,0))</f>
        <v>166.95</v>
      </c>
      <c r="Y596" s="6"/>
      <c r="Z596" s="6">
        <f ca="1">('TUSD BE'!$AM$54+'TUSD BF_350'!$AM$54+'TUSD CVA'!$AM$54)*1</f>
        <v>170.77</v>
      </c>
      <c r="AA596" s="6">
        <f ca="1">('TE BE'!$AB$42+'TE BF_350'!$AB$42+'TE CVA'!$AB$42)*1</f>
        <v>144.38999999999999</v>
      </c>
      <c r="AB596" s="6">
        <f>$K$596*$V$596</f>
        <v>0</v>
      </c>
      <c r="AC596" s="6">
        <f>$M$596*$W$596</f>
        <v>32175.262759999998</v>
      </c>
      <c r="AD596" s="6">
        <f>$O$596*$X$596</f>
        <v>28460.634299999998</v>
      </c>
      <c r="AE596" s="6">
        <f>$K$596*$Y$596</f>
        <v>0</v>
      </c>
      <c r="AF596" s="6">
        <f ca="1">$M$596*$Z$596</f>
        <v>29111.844980000002</v>
      </c>
      <c r="AG596" s="6">
        <f ca="1">$O$596*$AA$596</f>
        <v>24614.740859999994</v>
      </c>
    </row>
    <row r="597" spans="1:33" ht="11.25" customHeight="1" x14ac:dyDescent="0.3">
      <c r="A597" s="4" t="s">
        <v>21</v>
      </c>
      <c r="B597" s="4" t="s">
        <v>44</v>
      </c>
      <c r="C597" s="4" t="s">
        <v>23</v>
      </c>
      <c r="D597" s="4" t="s">
        <v>45</v>
      </c>
      <c r="E597" s="4" t="s">
        <v>46</v>
      </c>
      <c r="F597" s="4" t="s">
        <v>25</v>
      </c>
      <c r="G597" s="4" t="s">
        <v>25</v>
      </c>
      <c r="H597" s="4" t="s">
        <v>25</v>
      </c>
      <c r="I597" s="5">
        <v>44531</v>
      </c>
      <c r="J597" s="6">
        <v>0</v>
      </c>
      <c r="K597" s="6">
        <v>0</v>
      </c>
      <c r="L597" s="6">
        <v>175.501</v>
      </c>
      <c r="M597" s="6">
        <v>175.501</v>
      </c>
      <c r="N597" s="6">
        <v>175.501</v>
      </c>
      <c r="O597" s="6">
        <v>175.501</v>
      </c>
      <c r="P597" s="6">
        <v>2</v>
      </c>
      <c r="Q597" s="4" t="s">
        <v>26</v>
      </c>
      <c r="R597" s="4">
        <v>0</v>
      </c>
      <c r="S597" s="6">
        <v>0</v>
      </c>
      <c r="T597" s="6">
        <v>79</v>
      </c>
      <c r="U597" s="6">
        <v>56</v>
      </c>
      <c r="V597" s="6">
        <f>IF(ISERROR(VLOOKUP($S$597,'TAR FIN'!$A$1:$O$92,15,0)),0,VLOOKUP($S$597,'TAR FIN'!$A$1:$O$92,15,0))</f>
        <v>0</v>
      </c>
      <c r="W597" s="6">
        <f>IF(ISERROR(VLOOKUP($T$597,'TAR FIN'!$A$1:$O$92,15,0)),0,VLOOKUP($T$597,'TAR FIN'!$A$1:$O$92,15,0))</f>
        <v>188.74</v>
      </c>
      <c r="X597" s="6">
        <f>IF(ISERROR(VLOOKUP($U$597,'TAR FIN'!$A$1:$O$92,15,0)),0,VLOOKUP($U$597,'TAR FIN'!$A$1:$O$92,15,0))</f>
        <v>166.95</v>
      </c>
      <c r="Y597" s="6"/>
      <c r="Z597" s="6">
        <f ca="1">('TUSD BE'!$AM$54+'TUSD BF_350'!$AM$54+'TUSD CVA'!$AM$54)*1</f>
        <v>170.77</v>
      </c>
      <c r="AA597" s="6">
        <f ca="1">('TE BE'!$AB$42+'TE BF_350'!$AB$42+'TE CVA'!$AB$42)*1</f>
        <v>144.38999999999999</v>
      </c>
      <c r="AB597" s="6">
        <f>$K$597*$V$597</f>
        <v>0</v>
      </c>
      <c r="AC597" s="6">
        <f>$M$597*$W$597</f>
        <v>33124.05874</v>
      </c>
      <c r="AD597" s="6">
        <f>$O$597*$X$597</f>
        <v>29299.891949999997</v>
      </c>
      <c r="AE597" s="6">
        <f>$K$597*$Y$597</f>
        <v>0</v>
      </c>
      <c r="AF597" s="6">
        <f ca="1">$M$597*$Z$597</f>
        <v>29970.305770000003</v>
      </c>
      <c r="AG597" s="6">
        <f ca="1">$O$597*$AA$597</f>
        <v>25340.589389999997</v>
      </c>
    </row>
    <row r="598" spans="1:33" ht="11.25" customHeight="1" x14ac:dyDescent="0.3">
      <c r="A598" s="4" t="s">
        <v>21</v>
      </c>
      <c r="B598" s="4" t="s">
        <v>44</v>
      </c>
      <c r="C598" s="4" t="s">
        <v>23</v>
      </c>
      <c r="D598" s="4" t="s">
        <v>45</v>
      </c>
      <c r="E598" s="4" t="s">
        <v>46</v>
      </c>
      <c r="F598" s="4" t="s">
        <v>25</v>
      </c>
      <c r="G598" s="4" t="s">
        <v>25</v>
      </c>
      <c r="H598" s="4" t="s">
        <v>25</v>
      </c>
      <c r="I598" s="5">
        <v>44562</v>
      </c>
      <c r="J598" s="6">
        <v>0</v>
      </c>
      <c r="K598" s="6">
        <v>0</v>
      </c>
      <c r="L598" s="6">
        <v>177.334</v>
      </c>
      <c r="M598" s="6">
        <v>177.334</v>
      </c>
      <c r="N598" s="6">
        <v>177.334</v>
      </c>
      <c r="O598" s="6">
        <v>177.334</v>
      </c>
      <c r="P598" s="6">
        <v>2</v>
      </c>
      <c r="Q598" s="4" t="s">
        <v>26</v>
      </c>
      <c r="R598" s="4">
        <v>0</v>
      </c>
      <c r="S598" s="6">
        <v>0</v>
      </c>
      <c r="T598" s="6">
        <v>79</v>
      </c>
      <c r="U598" s="6">
        <v>56</v>
      </c>
      <c r="V598" s="6">
        <f>IF(ISERROR(VLOOKUP($S$598,'TAR FIN'!$A$1:$O$92,15,0)),0,VLOOKUP($S$598,'TAR FIN'!$A$1:$O$92,15,0))</f>
        <v>0</v>
      </c>
      <c r="W598" s="6">
        <f>IF(ISERROR(VLOOKUP($T$598,'TAR FIN'!$A$1:$O$92,15,0)),0,VLOOKUP($T$598,'TAR FIN'!$A$1:$O$92,15,0))</f>
        <v>188.74</v>
      </c>
      <c r="X598" s="6">
        <f>IF(ISERROR(VLOOKUP($U$598,'TAR FIN'!$A$1:$O$92,15,0)),0,VLOOKUP($U$598,'TAR FIN'!$A$1:$O$92,15,0))</f>
        <v>166.95</v>
      </c>
      <c r="Y598" s="6"/>
      <c r="Z598" s="6">
        <f ca="1">('TUSD BE'!$AM$54+'TUSD BF_350'!$AM$54+'TUSD CVA'!$AM$54)*1</f>
        <v>170.77</v>
      </c>
      <c r="AA598" s="6">
        <f ca="1">('TE BE'!$AB$42+'TE BF_350'!$AB$42+'TE CVA'!$AB$42)*1</f>
        <v>144.38999999999999</v>
      </c>
      <c r="AB598" s="6">
        <f>$K$598*$V$598</f>
        <v>0</v>
      </c>
      <c r="AC598" s="6">
        <f>$M$598*$W$598</f>
        <v>33470.019160000003</v>
      </c>
      <c r="AD598" s="6">
        <f>$O$598*$X$598</f>
        <v>29605.9113</v>
      </c>
      <c r="AE598" s="6">
        <f>$K$598*$Y$598</f>
        <v>0</v>
      </c>
      <c r="AF598" s="6">
        <f ca="1">$M$598*$Z$598</f>
        <v>30283.327180000004</v>
      </c>
      <c r="AG598" s="6">
        <f ca="1">$O$598*$AA$598</f>
        <v>25605.256259999998</v>
      </c>
    </row>
    <row r="599" spans="1:33" ht="11.25" customHeight="1" x14ac:dyDescent="0.3">
      <c r="A599" s="4" t="s">
        <v>21</v>
      </c>
      <c r="B599" s="4" t="s">
        <v>44</v>
      </c>
      <c r="C599" s="4" t="s">
        <v>23</v>
      </c>
      <c r="D599" s="4" t="s">
        <v>45</v>
      </c>
      <c r="E599" s="4" t="s">
        <v>46</v>
      </c>
      <c r="F599" s="4" t="s">
        <v>25</v>
      </c>
      <c r="G599" s="4" t="s">
        <v>25</v>
      </c>
      <c r="H599" s="4" t="s">
        <v>25</v>
      </c>
      <c r="I599" s="5">
        <v>44593</v>
      </c>
      <c r="J599" s="6">
        <v>0</v>
      </c>
      <c r="K599" s="6">
        <v>0</v>
      </c>
      <c r="L599" s="6">
        <v>171.881</v>
      </c>
      <c r="M599" s="6">
        <v>171.881</v>
      </c>
      <c r="N599" s="6">
        <v>171.881</v>
      </c>
      <c r="O599" s="6">
        <v>171.881</v>
      </c>
      <c r="P599" s="6">
        <v>2</v>
      </c>
      <c r="Q599" s="4" t="s">
        <v>26</v>
      </c>
      <c r="R599" s="4">
        <v>0</v>
      </c>
      <c r="S599" s="6">
        <v>0</v>
      </c>
      <c r="T599" s="6">
        <v>79</v>
      </c>
      <c r="U599" s="6">
        <v>56</v>
      </c>
      <c r="V599" s="6">
        <f>IF(ISERROR(VLOOKUP($S$599,'TAR FIN'!$A$1:$O$92,15,0)),0,VLOOKUP($S$599,'TAR FIN'!$A$1:$O$92,15,0))</f>
        <v>0</v>
      </c>
      <c r="W599" s="6">
        <f>IF(ISERROR(VLOOKUP($T$599,'TAR FIN'!$A$1:$O$92,15,0)),0,VLOOKUP($T$599,'TAR FIN'!$A$1:$O$92,15,0))</f>
        <v>188.74</v>
      </c>
      <c r="X599" s="6">
        <f>IF(ISERROR(VLOOKUP($U$599,'TAR FIN'!$A$1:$O$92,15,0)),0,VLOOKUP($U$599,'TAR FIN'!$A$1:$O$92,15,0))</f>
        <v>166.95</v>
      </c>
      <c r="Y599" s="6"/>
      <c r="Z599" s="6">
        <f ca="1">('TUSD BE'!$AM$54+'TUSD BF_350'!$AM$54+'TUSD CVA'!$AM$54)*1</f>
        <v>170.77</v>
      </c>
      <c r="AA599" s="6">
        <f ca="1">('TE BE'!$AB$42+'TE BF_350'!$AB$42+'TE CVA'!$AB$42)*1</f>
        <v>144.38999999999999</v>
      </c>
      <c r="AB599" s="6">
        <f>$K$599*$V$599</f>
        <v>0</v>
      </c>
      <c r="AC599" s="6">
        <f>$M$599*$W$599</f>
        <v>32440.819940000001</v>
      </c>
      <c r="AD599" s="6">
        <f>$O$599*$X$599</f>
        <v>28695.532949999997</v>
      </c>
      <c r="AE599" s="6">
        <f>$K$599*$Y$599</f>
        <v>0</v>
      </c>
      <c r="AF599" s="6">
        <f ca="1">$M$599*$Z$599</f>
        <v>29352.11837</v>
      </c>
      <c r="AG599" s="6">
        <f ca="1">$O$599*$AA$599</f>
        <v>24817.897589999997</v>
      </c>
    </row>
    <row r="600" spans="1:33" ht="11.25" customHeight="1" x14ac:dyDescent="0.3">
      <c r="A600" s="4" t="s">
        <v>21</v>
      </c>
      <c r="B600" s="4" t="s">
        <v>44</v>
      </c>
      <c r="C600" s="4" t="s">
        <v>23</v>
      </c>
      <c r="D600" s="4" t="s">
        <v>45</v>
      </c>
      <c r="E600" s="4" t="s">
        <v>46</v>
      </c>
      <c r="F600" s="4" t="s">
        <v>25</v>
      </c>
      <c r="G600" s="4" t="s">
        <v>25</v>
      </c>
      <c r="H600" s="4" t="s">
        <v>25</v>
      </c>
      <c r="I600" s="5">
        <v>44621</v>
      </c>
      <c r="J600" s="6">
        <v>0</v>
      </c>
      <c r="K600" s="6">
        <v>0</v>
      </c>
      <c r="L600" s="6">
        <v>205.21799999999999</v>
      </c>
      <c r="M600" s="6">
        <v>205.21799999999999</v>
      </c>
      <c r="N600" s="6">
        <v>205.21799999999999</v>
      </c>
      <c r="O600" s="6">
        <v>205.21799999999999</v>
      </c>
      <c r="P600" s="6">
        <v>2</v>
      </c>
      <c r="Q600" s="4" t="s">
        <v>26</v>
      </c>
      <c r="R600" s="4">
        <v>0</v>
      </c>
      <c r="S600" s="6">
        <v>0</v>
      </c>
      <c r="T600" s="6">
        <v>79</v>
      </c>
      <c r="U600" s="6">
        <v>56</v>
      </c>
      <c r="V600" s="6">
        <f>IF(ISERROR(VLOOKUP($S$600,'TAR FIN'!$A$1:$O$92,15,0)),0,VLOOKUP($S$600,'TAR FIN'!$A$1:$O$92,15,0))</f>
        <v>0</v>
      </c>
      <c r="W600" s="6">
        <f>IF(ISERROR(VLOOKUP($T$600,'TAR FIN'!$A$1:$O$92,15,0)),0,VLOOKUP($T$600,'TAR FIN'!$A$1:$O$92,15,0))</f>
        <v>188.74</v>
      </c>
      <c r="X600" s="6">
        <f>IF(ISERROR(VLOOKUP($U$600,'TAR FIN'!$A$1:$O$92,15,0)),0,VLOOKUP($U$600,'TAR FIN'!$A$1:$O$92,15,0))</f>
        <v>166.95</v>
      </c>
      <c r="Y600" s="6"/>
      <c r="Z600" s="6">
        <f ca="1">('TUSD BE'!$AM$54+'TUSD BF_350'!$AM$54+'TUSD CVA'!$AM$54)*1</f>
        <v>170.77</v>
      </c>
      <c r="AA600" s="6">
        <f ca="1">('TE BE'!$AB$42+'TE BF_350'!$AB$42+'TE CVA'!$AB$42)*1</f>
        <v>144.38999999999999</v>
      </c>
      <c r="AB600" s="6">
        <f>$K$600*$V$600</f>
        <v>0</v>
      </c>
      <c r="AC600" s="6">
        <f>$M$600*$W$600</f>
        <v>38732.84532</v>
      </c>
      <c r="AD600" s="6">
        <f>$O$600*$X$600</f>
        <v>34261.145099999994</v>
      </c>
      <c r="AE600" s="6">
        <f>$K$600*$Y$600</f>
        <v>0</v>
      </c>
      <c r="AF600" s="6">
        <f ca="1">$M$600*$Z$600</f>
        <v>35045.077859999998</v>
      </c>
      <c r="AG600" s="6">
        <f ca="1">$O$600*$AA$600</f>
        <v>29631.427019999996</v>
      </c>
    </row>
    <row r="601" spans="1:33" ht="11.25" customHeight="1" x14ac:dyDescent="0.3">
      <c r="A601" s="4" t="s">
        <v>21</v>
      </c>
      <c r="B601" s="4" t="s">
        <v>44</v>
      </c>
      <c r="C601" s="4" t="s">
        <v>23</v>
      </c>
      <c r="D601" s="4" t="s">
        <v>45</v>
      </c>
      <c r="E601" s="4" t="s">
        <v>46</v>
      </c>
      <c r="F601" s="4" t="s">
        <v>25</v>
      </c>
      <c r="G601" s="4" t="s">
        <v>25</v>
      </c>
      <c r="H601" s="4" t="s">
        <v>25</v>
      </c>
      <c r="I601" s="5">
        <v>44652</v>
      </c>
      <c r="J601" s="6">
        <v>0</v>
      </c>
      <c r="K601" s="6">
        <v>0</v>
      </c>
      <c r="L601" s="6">
        <v>215.04300000000001</v>
      </c>
      <c r="M601" s="6">
        <v>215.04300000000001</v>
      </c>
      <c r="N601" s="6">
        <v>215.04300000000001</v>
      </c>
      <c r="O601" s="6">
        <v>215.04300000000001</v>
      </c>
      <c r="P601" s="6">
        <v>2</v>
      </c>
      <c r="Q601" s="4" t="s">
        <v>26</v>
      </c>
      <c r="R601" s="4">
        <v>0</v>
      </c>
      <c r="S601" s="6">
        <v>0</v>
      </c>
      <c r="T601" s="6">
        <v>79</v>
      </c>
      <c r="U601" s="6">
        <v>56</v>
      </c>
      <c r="V601" s="6">
        <f>IF(ISERROR(VLOOKUP($S$601,'TAR FIN'!$A$1:$O$92,15,0)),0,VLOOKUP($S$601,'TAR FIN'!$A$1:$O$92,15,0))</f>
        <v>0</v>
      </c>
      <c r="W601" s="6">
        <f>IF(ISERROR(VLOOKUP($T$601,'TAR FIN'!$A$1:$O$92,15,0)),0,VLOOKUP($T$601,'TAR FIN'!$A$1:$O$92,15,0))</f>
        <v>188.74</v>
      </c>
      <c r="X601" s="6">
        <f>IF(ISERROR(VLOOKUP($U$601,'TAR FIN'!$A$1:$O$92,15,0)),0,VLOOKUP($U$601,'TAR FIN'!$A$1:$O$92,15,0))</f>
        <v>166.95</v>
      </c>
      <c r="Y601" s="6"/>
      <c r="Z601" s="6">
        <f ca="1">('TUSD BE'!$AM$54+'TUSD BF_350'!$AM$54+'TUSD CVA'!$AM$54)*1</f>
        <v>170.77</v>
      </c>
      <c r="AA601" s="6">
        <f ca="1">('TE BE'!$AB$42+'TE BF_350'!$AB$42+'TE CVA'!$AB$42)*1</f>
        <v>144.38999999999999</v>
      </c>
      <c r="AB601" s="6">
        <f>$K$601*$V$601</f>
        <v>0</v>
      </c>
      <c r="AC601" s="6">
        <f>$M$601*$W$601</f>
        <v>40587.215820000005</v>
      </c>
      <c r="AD601" s="6">
        <f>$O$601*$X$601</f>
        <v>35901.428849999997</v>
      </c>
      <c r="AE601" s="6">
        <f>$K$601*$Y$601</f>
        <v>0</v>
      </c>
      <c r="AF601" s="6">
        <f ca="1">$M$601*$Z$601</f>
        <v>36722.893110000005</v>
      </c>
      <c r="AG601" s="6">
        <f ca="1">$O$601*$AA$601</f>
        <v>31050.05877</v>
      </c>
    </row>
    <row r="602" spans="1:33" ht="11.25" customHeight="1" x14ac:dyDescent="0.3">
      <c r="A602" s="4" t="s">
        <v>21</v>
      </c>
      <c r="B602" s="4" t="s">
        <v>44</v>
      </c>
      <c r="C602" s="4" t="s">
        <v>23</v>
      </c>
      <c r="D602" s="4" t="s">
        <v>45</v>
      </c>
      <c r="E602" s="4" t="s">
        <v>46</v>
      </c>
      <c r="F602" s="4" t="s">
        <v>25</v>
      </c>
      <c r="G602" s="4" t="s">
        <v>25</v>
      </c>
      <c r="H602" s="4" t="s">
        <v>25</v>
      </c>
      <c r="I602" s="5">
        <v>44682</v>
      </c>
      <c r="J602" s="6">
        <v>0</v>
      </c>
      <c r="K602" s="6">
        <v>0</v>
      </c>
      <c r="L602" s="6">
        <v>229.447</v>
      </c>
      <c r="M602" s="6">
        <v>229.447</v>
      </c>
      <c r="N602" s="6">
        <v>229.447</v>
      </c>
      <c r="O602" s="6">
        <v>229.447</v>
      </c>
      <c r="P602" s="6">
        <v>2</v>
      </c>
      <c r="Q602" s="4" t="s">
        <v>26</v>
      </c>
      <c r="R602" s="4">
        <v>0</v>
      </c>
      <c r="S602" s="6">
        <v>0</v>
      </c>
      <c r="T602" s="6">
        <v>79</v>
      </c>
      <c r="U602" s="6">
        <v>56</v>
      </c>
      <c r="V602" s="6">
        <f>IF(ISERROR(VLOOKUP($S$602,'TAR FIN'!$A$1:$O$92,15,0)),0,VLOOKUP($S$602,'TAR FIN'!$A$1:$O$92,15,0))</f>
        <v>0</v>
      </c>
      <c r="W602" s="6">
        <f>IF(ISERROR(VLOOKUP($T$602,'TAR FIN'!$A$1:$O$92,15,0)),0,VLOOKUP($T$602,'TAR FIN'!$A$1:$O$92,15,0))</f>
        <v>188.74</v>
      </c>
      <c r="X602" s="6">
        <f>IF(ISERROR(VLOOKUP($U$602,'TAR FIN'!$A$1:$O$92,15,0)),0,VLOOKUP($U$602,'TAR FIN'!$A$1:$O$92,15,0))</f>
        <v>166.95</v>
      </c>
      <c r="Y602" s="6"/>
      <c r="Z602" s="6">
        <f ca="1">('TUSD BE'!$AM$54+'TUSD BF_350'!$AM$54+'TUSD CVA'!$AM$54)*1</f>
        <v>170.77</v>
      </c>
      <c r="AA602" s="6">
        <f ca="1">('TE BE'!$AB$42+'TE BF_350'!$AB$42+'TE CVA'!$AB$42)*1</f>
        <v>144.38999999999999</v>
      </c>
      <c r="AB602" s="6">
        <f>$K$602*$V$602</f>
        <v>0</v>
      </c>
      <c r="AC602" s="6">
        <f>$M$602*$W$602</f>
        <v>43305.826780000003</v>
      </c>
      <c r="AD602" s="6">
        <f>$O$602*$X$602</f>
        <v>38306.176650000001</v>
      </c>
      <c r="AE602" s="6">
        <f>$K$602*$Y$602</f>
        <v>0</v>
      </c>
      <c r="AF602" s="6">
        <f ca="1">$M$602*$Z$602</f>
        <v>39182.664190000003</v>
      </c>
      <c r="AG602" s="6">
        <f ca="1">$O$602*$AA$602</f>
        <v>33129.852329999994</v>
      </c>
    </row>
    <row r="603" spans="1:33" ht="11.25" customHeight="1" x14ac:dyDescent="0.3">
      <c r="A603" s="4" t="s">
        <v>21</v>
      </c>
      <c r="B603" s="4" t="s">
        <v>44</v>
      </c>
      <c r="C603" s="4" t="s">
        <v>23</v>
      </c>
      <c r="D603" s="4" t="s">
        <v>45</v>
      </c>
      <c r="E603" s="4" t="s">
        <v>46</v>
      </c>
      <c r="F603" s="4" t="s">
        <v>25</v>
      </c>
      <c r="G603" s="4" t="s">
        <v>25</v>
      </c>
      <c r="H603" s="4" t="s">
        <v>25</v>
      </c>
      <c r="I603" s="5">
        <v>44713</v>
      </c>
      <c r="J603" s="6">
        <v>0</v>
      </c>
      <c r="K603" s="6">
        <v>0</v>
      </c>
      <c r="L603" s="6">
        <v>240.41900000000001</v>
      </c>
      <c r="M603" s="6">
        <v>240.41900000000001</v>
      </c>
      <c r="N603" s="6">
        <v>240.41900000000001</v>
      </c>
      <c r="O603" s="6">
        <v>240.41900000000001</v>
      </c>
      <c r="P603" s="6">
        <v>2</v>
      </c>
      <c r="Q603" s="4" t="s">
        <v>26</v>
      </c>
      <c r="R603" s="4">
        <v>0</v>
      </c>
      <c r="S603" s="6">
        <v>0</v>
      </c>
      <c r="T603" s="6">
        <v>79</v>
      </c>
      <c r="U603" s="6">
        <v>56</v>
      </c>
      <c r="V603" s="6">
        <f>IF(ISERROR(VLOOKUP($S$603,'TAR FIN'!$A$1:$O$92,15,0)),0,VLOOKUP($S$603,'TAR FIN'!$A$1:$O$92,15,0))</f>
        <v>0</v>
      </c>
      <c r="W603" s="6">
        <f>IF(ISERROR(VLOOKUP($T$603,'TAR FIN'!$A$1:$O$92,15,0)),0,VLOOKUP($T$603,'TAR FIN'!$A$1:$O$92,15,0))</f>
        <v>188.74</v>
      </c>
      <c r="X603" s="6">
        <f>IF(ISERROR(VLOOKUP($U$603,'TAR FIN'!$A$1:$O$92,15,0)),0,VLOOKUP($U$603,'TAR FIN'!$A$1:$O$92,15,0))</f>
        <v>166.95</v>
      </c>
      <c r="Y603" s="6"/>
      <c r="Z603" s="6">
        <f ca="1">('TUSD BE'!$AM$54+'TUSD BF_350'!$AM$54+'TUSD CVA'!$AM$54)*1</f>
        <v>170.77</v>
      </c>
      <c r="AA603" s="6">
        <f ca="1">('TE BE'!$AB$42+'TE BF_350'!$AB$42+'TE CVA'!$AB$42)*1</f>
        <v>144.38999999999999</v>
      </c>
      <c r="AB603" s="6">
        <f>$K$603*$V$603</f>
        <v>0</v>
      </c>
      <c r="AC603" s="6">
        <f>$M$603*$W$603</f>
        <v>45376.682060000006</v>
      </c>
      <c r="AD603" s="6">
        <f>$O$603*$X$603</f>
        <v>40137.95205</v>
      </c>
      <c r="AE603" s="6">
        <f>$K$603*$Y$603</f>
        <v>0</v>
      </c>
      <c r="AF603" s="6">
        <f ca="1">$M$603*$Z$603</f>
        <v>41056.352630000001</v>
      </c>
      <c r="AG603" s="6">
        <f ca="1">$O$603*$AA$603</f>
        <v>34714.099409999995</v>
      </c>
    </row>
    <row r="604" spans="1:33" ht="11.25" customHeight="1" x14ac:dyDescent="0.3">
      <c r="A604" s="4" t="s">
        <v>21</v>
      </c>
      <c r="B604" s="4" t="s">
        <v>44</v>
      </c>
      <c r="C604" s="4" t="s">
        <v>23</v>
      </c>
      <c r="D604" s="4" t="s">
        <v>45</v>
      </c>
      <c r="E604" s="4" t="s">
        <v>46</v>
      </c>
      <c r="F604" s="4" t="s">
        <v>25</v>
      </c>
      <c r="G604" s="4" t="s">
        <v>25</v>
      </c>
      <c r="H604" s="4" t="s">
        <v>25</v>
      </c>
      <c r="I604" s="5">
        <v>44743</v>
      </c>
      <c r="J604" s="6">
        <v>0</v>
      </c>
      <c r="K604" s="6">
        <v>0</v>
      </c>
      <c r="L604" s="6">
        <v>231.773</v>
      </c>
      <c r="M604" s="6">
        <v>231.773</v>
      </c>
      <c r="N604" s="6">
        <v>231.773</v>
      </c>
      <c r="O604" s="6">
        <v>231.773</v>
      </c>
      <c r="P604" s="6">
        <v>2</v>
      </c>
      <c r="Q604" s="4" t="s">
        <v>26</v>
      </c>
      <c r="R604" s="4">
        <v>0</v>
      </c>
      <c r="S604" s="6">
        <v>0</v>
      </c>
      <c r="T604" s="6">
        <v>79</v>
      </c>
      <c r="U604" s="6">
        <v>56</v>
      </c>
      <c r="V604" s="6">
        <f>IF(ISERROR(VLOOKUP($S$604,'TAR FIN'!$A$1:$O$92,15,0)),0,VLOOKUP($S$604,'TAR FIN'!$A$1:$O$92,15,0))</f>
        <v>0</v>
      </c>
      <c r="W604" s="6">
        <f>IF(ISERROR(VLOOKUP($T$604,'TAR FIN'!$A$1:$O$92,15,0)),0,VLOOKUP($T$604,'TAR FIN'!$A$1:$O$92,15,0))</f>
        <v>188.74</v>
      </c>
      <c r="X604" s="6">
        <f>IF(ISERROR(VLOOKUP($U$604,'TAR FIN'!$A$1:$O$92,15,0)),0,VLOOKUP($U$604,'TAR FIN'!$A$1:$O$92,15,0))</f>
        <v>166.95</v>
      </c>
      <c r="Y604" s="6"/>
      <c r="Z604" s="6">
        <f ca="1">('TUSD BE'!$AM$54+'TUSD BF_350'!$AM$54+'TUSD CVA'!$AM$54)*1</f>
        <v>170.77</v>
      </c>
      <c r="AA604" s="6">
        <f ca="1">('TE BE'!$AB$42+'TE BF_350'!$AB$42+'TE CVA'!$AB$42)*1</f>
        <v>144.38999999999999</v>
      </c>
      <c r="AB604" s="6">
        <f>$K$604*$V$604</f>
        <v>0</v>
      </c>
      <c r="AC604" s="6">
        <f>$M$604*$W$604</f>
        <v>43744.836020000002</v>
      </c>
      <c r="AD604" s="6">
        <f>$O$604*$X$604</f>
        <v>38694.502349999995</v>
      </c>
      <c r="AE604" s="6">
        <f>$K$604*$Y$604</f>
        <v>0</v>
      </c>
      <c r="AF604" s="6">
        <f ca="1">$M$604*$Z$604</f>
        <v>39579.875209999998</v>
      </c>
      <c r="AG604" s="6">
        <f ca="1">$O$604*$AA$604</f>
        <v>33465.703469999993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EEA7C-8475-44A6-853F-F6456A57AD3F}">
  <sheetPr>
    <tabColor indexed="12" tint="-0.249977111117893"/>
  </sheetPr>
  <dimension ref="A1:AZ604"/>
  <sheetViews>
    <sheetView showGridLines="0" topLeftCell="AH1" workbookViewId="0">
      <selection activeCell="AY2" sqref="AY2:AZ10"/>
    </sheetView>
  </sheetViews>
  <sheetFormatPr defaultRowHeight="11.25" customHeight="1" x14ac:dyDescent="0.3"/>
  <cols>
    <col min="1" max="1" width="18" style="4" bestFit="1" customWidth="1"/>
    <col min="2" max="2" width="12.109375" style="4" bestFit="1" customWidth="1"/>
    <col min="3" max="3" width="13.5546875" style="4" bestFit="1" customWidth="1"/>
    <col min="4" max="4" width="12.6640625" style="4" bestFit="1" customWidth="1"/>
    <col min="5" max="5" width="23.109375" style="4" bestFit="1" customWidth="1"/>
    <col min="6" max="6" width="12.88671875" style="4" bestFit="1" customWidth="1"/>
    <col min="7" max="7" width="13.21875" style="4" bestFit="1" customWidth="1"/>
    <col min="8" max="8" width="9.5546875" style="4" bestFit="1" customWidth="1"/>
    <col min="9" max="9" width="10.77734375" style="5" bestFit="1" customWidth="1"/>
    <col min="10" max="10" width="7.109375" style="6" bestFit="1" customWidth="1"/>
    <col min="11" max="11" width="7.5546875" style="6" bestFit="1" customWidth="1"/>
    <col min="12" max="12" width="10.77734375" style="6" bestFit="1" customWidth="1"/>
    <col min="13" max="13" width="12.109375" style="6" bestFit="1" customWidth="1"/>
    <col min="14" max="14" width="8.6640625" style="6" bestFit="1" customWidth="1"/>
    <col min="15" max="15" width="10" style="6" bestFit="1" customWidth="1"/>
    <col min="16" max="16" width="7.21875" style="6" bestFit="1" customWidth="1"/>
    <col min="17" max="17" width="10.44140625" style="4" bestFit="1" customWidth="1"/>
    <col min="18" max="18" width="12.44140625" style="4" bestFit="1" customWidth="1"/>
    <col min="19" max="19" width="21.88671875" style="4" bestFit="1" customWidth="1"/>
    <col min="20" max="20" width="23.21875" style="4" bestFit="1" customWidth="1"/>
    <col min="21" max="21" width="21" style="4" bestFit="1" customWidth="1"/>
    <col min="22" max="22" width="14.88671875" style="4" bestFit="1" customWidth="1"/>
    <col min="23" max="23" width="16.21875" style="4" bestFit="1" customWidth="1"/>
    <col min="24" max="24" width="14.109375" style="4" bestFit="1" customWidth="1"/>
    <col min="25" max="25" width="19.5546875" style="4" bestFit="1" customWidth="1"/>
    <col min="26" max="26" width="20.88671875" style="4" bestFit="1" customWidth="1"/>
    <col min="27" max="27" width="18.77734375" style="4" bestFit="1" customWidth="1"/>
    <col min="28" max="28" width="21.6640625" style="4" bestFit="1" customWidth="1"/>
    <col min="29" max="29" width="23" style="4" bestFit="1" customWidth="1"/>
    <col min="30" max="30" width="20.77734375" style="4" bestFit="1" customWidth="1"/>
    <col min="31" max="31" width="22.6640625" style="4" bestFit="1" customWidth="1"/>
    <col min="32" max="32" width="24" style="4" bestFit="1" customWidth="1"/>
    <col min="33" max="33" width="21.88671875" style="4" bestFit="1" customWidth="1"/>
    <col min="34" max="34" width="8.88671875" style="4"/>
    <col min="35" max="35" width="9" style="4" bestFit="1" customWidth="1"/>
    <col min="36" max="36" width="13.5546875" style="4" bestFit="1" customWidth="1"/>
    <col min="37" max="37" width="14.5546875" style="4" bestFit="1" customWidth="1"/>
    <col min="38" max="38" width="8.33203125" style="4" bestFit="1" customWidth="1"/>
    <col min="39" max="39" width="8.88671875" style="4"/>
    <col min="40" max="40" width="9" style="4" bestFit="1" customWidth="1"/>
    <col min="41" max="41" width="11.33203125" style="4" bestFit="1" customWidth="1"/>
    <col min="42" max="42" width="12.33203125" style="4" bestFit="1" customWidth="1"/>
    <col min="43" max="43" width="8.33203125" style="4" bestFit="1" customWidth="1"/>
    <col min="44" max="44" width="8.88671875" style="4"/>
    <col min="45" max="45" width="9" style="4" bestFit="1" customWidth="1"/>
    <col min="46" max="47" width="9.88671875" style="4" bestFit="1" customWidth="1"/>
    <col min="48" max="48" width="8.33203125" style="4" bestFit="1" customWidth="1"/>
    <col min="49" max="16384" width="8.88671875" style="4"/>
  </cols>
  <sheetData>
    <row r="1" spans="1:52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635</v>
      </c>
      <c r="W1" s="1" t="s">
        <v>636</v>
      </c>
      <c r="X1" s="1" t="s">
        <v>637</v>
      </c>
      <c r="Y1" s="1" t="s">
        <v>638</v>
      </c>
      <c r="Z1" s="1" t="s">
        <v>639</v>
      </c>
      <c r="AA1" s="1" t="s">
        <v>640</v>
      </c>
      <c r="AB1" s="1" t="s">
        <v>656</v>
      </c>
      <c r="AC1" s="1" t="s">
        <v>657</v>
      </c>
      <c r="AD1" s="1" t="s">
        <v>658</v>
      </c>
      <c r="AE1" s="1" t="s">
        <v>659</v>
      </c>
      <c r="AF1" s="1" t="s">
        <v>660</v>
      </c>
      <c r="AG1" s="1" t="s">
        <v>661</v>
      </c>
      <c r="AI1" s="40" t="s">
        <v>68</v>
      </c>
      <c r="AJ1" s="40" t="s">
        <v>662</v>
      </c>
      <c r="AK1" s="40" t="s">
        <v>663</v>
      </c>
      <c r="AL1" s="40" t="s">
        <v>664</v>
      </c>
      <c r="AN1" s="40" t="s">
        <v>68</v>
      </c>
      <c r="AO1" s="40" t="s">
        <v>665</v>
      </c>
      <c r="AP1" s="40" t="s">
        <v>666</v>
      </c>
      <c r="AQ1" s="40" t="s">
        <v>664</v>
      </c>
      <c r="AS1" s="40" t="s">
        <v>68</v>
      </c>
      <c r="AT1" s="40" t="s">
        <v>667</v>
      </c>
      <c r="AU1" s="40" t="s">
        <v>668</v>
      </c>
      <c r="AV1" s="40" t="s">
        <v>664</v>
      </c>
    </row>
    <row r="2" spans="1:52" ht="11.25" customHeight="1" x14ac:dyDescent="0.3">
      <c r="A2" s="4" t="s">
        <v>21</v>
      </c>
      <c r="B2" s="4" t="s">
        <v>61</v>
      </c>
      <c r="C2" s="4" t="s">
        <v>54</v>
      </c>
      <c r="D2" s="4" t="s">
        <v>33</v>
      </c>
      <c r="E2" s="4" t="s">
        <v>25</v>
      </c>
      <c r="F2" s="4" t="s">
        <v>55</v>
      </c>
      <c r="G2" s="4" t="s">
        <v>25</v>
      </c>
      <c r="H2" s="4" t="s">
        <v>37</v>
      </c>
      <c r="I2" s="5">
        <v>44652</v>
      </c>
      <c r="J2" s="6">
        <v>3469.2</v>
      </c>
      <c r="K2" s="6">
        <v>1735.4571699359999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56</v>
      </c>
      <c r="R2" s="4">
        <v>0</v>
      </c>
      <c r="S2" s="6">
        <v>3</v>
      </c>
      <c r="T2" s="6">
        <v>0</v>
      </c>
      <c r="U2" s="6">
        <v>0</v>
      </c>
      <c r="V2" s="6">
        <f>IF(ISERROR(VLOOKUP($S$2,'TAR FIN'!$A$1:$O$92,15,0)),0,VLOOKUP($S$2,'TAR FIN'!$A$1:$O$92,15,0))</f>
        <v>13.87</v>
      </c>
      <c r="W2" s="6">
        <f>IF(ISERROR(VLOOKUP($T$2,'TAR FIN'!$A$1:$O$92,15,0)),0,VLOOKUP($T$2,'TAR FIN'!$A$1:$O$92,15,0))</f>
        <v>0</v>
      </c>
      <c r="X2" s="6">
        <f>IF(ISERROR(VLOOKUP($U$2,'TAR FIN'!$A$1:$O$92,15,0)),0,VLOOKUP($U$2,'TAR FIN'!$A$1:$O$92,15,0))</f>
        <v>0</v>
      </c>
      <c r="Y2" s="6">
        <f ca="1">('TUSD BE'!$AM$6+'TUSD BF_350'!$AM$6+'TUSD CVA'!$AM$6)*1</f>
        <v>12.29</v>
      </c>
      <c r="Z2" s="6">
        <f ca="1">('TUSD BE'!$AM$7+'TUSD BF_350'!$AM$7+'TUSD CVA'!$AM$7)*1</f>
        <v>94.14</v>
      </c>
      <c r="AA2" s="6"/>
      <c r="AB2" s="6">
        <f>$K$2*$V$2</f>
        <v>24070.790947012316</v>
      </c>
      <c r="AC2" s="6">
        <f>$M$2*$W$2</f>
        <v>0</v>
      </c>
      <c r="AD2" s="6">
        <f>$O$2*$X$2</f>
        <v>0</v>
      </c>
      <c r="AE2" s="6">
        <f ca="1">$K$2*$Y$2</f>
        <v>21328.768618513437</v>
      </c>
      <c r="AF2" s="6">
        <f ca="1">$M$2*$Z$2</f>
        <v>0</v>
      </c>
      <c r="AG2" s="6">
        <f>$O$2*$AA$2</f>
        <v>0</v>
      </c>
      <c r="AI2" s="41" t="s">
        <v>61</v>
      </c>
      <c r="AJ2" s="42">
        <f t="shared" ref="AJ2:AJ7" si="0">SUMIF($B$2:$B$604,AI2,$AB$2:$AB$604)+SUMIF($B$2:$B$604,AI2,$AC$2:$AC$604)</f>
        <v>712692.40921196807</v>
      </c>
      <c r="AK2" s="42">
        <f t="shared" ref="AK2:AK7" ca="1" si="1">SUMIF($B$2:$B$604,AI2,$AE$2:$AE$604)+SUMIF($B$2:$B$604,AI2,$AF$2:$AF$604)</f>
        <v>980041.14406274515</v>
      </c>
      <c r="AL2" s="43">
        <f t="shared" ref="AL2:AL10" ca="1" si="2">IF(AJ2&lt;&gt;0,AK2/AJ2-1,0)</f>
        <v>0.37512499276705857</v>
      </c>
      <c r="AN2" s="41" t="s">
        <v>61</v>
      </c>
      <c r="AO2" s="42">
        <f t="shared" ref="AO2:AO7" si="3">SUMIF($B$2:$B$604,AN2,$AD$2:$AD$604)</f>
        <v>0</v>
      </c>
      <c r="AP2" s="42">
        <f t="shared" ref="AP2:AP7" si="4">SUMIF($B$2:$B$604,AN2,$AG$2:$AG$604)</f>
        <v>0</v>
      </c>
      <c r="AQ2" s="43">
        <f t="shared" ref="AQ2:AQ10" si="5">IF(AO2&lt;&gt;0,AP2/AO2-1,0)</f>
        <v>0</v>
      </c>
      <c r="AS2" s="41" t="s">
        <v>61</v>
      </c>
      <c r="AT2" s="42">
        <f t="shared" ref="AT2:AT7" si="6">SUMIF($B$2:$B$604,AS2,$AB$2:$AB$604)+SUMIF($B$2:$B$604,AS2,$AC$2:$AC$604)+SUMIF($B$2:$B$604,AS2,$AD$2:$AD$604)</f>
        <v>712692.40921196807</v>
      </c>
      <c r="AU2" s="42">
        <f t="shared" ref="AU2:AU7" ca="1" si="7">SUMIF($B$2:$B$604,AS2,$AE$2:$AE$604)+SUMIF($B$2:$B$604,AS2,$AF$2:$AF$604)+SUMIF($B$2:$B$604,AS2,$AG$2:$AG$604)</f>
        <v>980041.14406274515</v>
      </c>
      <c r="AV2" s="43">
        <f t="shared" ref="AV2:AV10" ca="1" si="8">IF(AT2&lt;&gt;0,AU2/AT2-1,0)</f>
        <v>0.37512499276705857</v>
      </c>
      <c r="AW2" s="4">
        <v>980041.14406274515</v>
      </c>
      <c r="AX2" s="4">
        <v>0.37512499276705857</v>
      </c>
      <c r="AY2" s="100">
        <f ca="1">AU2-AW2</f>
        <v>0</v>
      </c>
      <c r="AZ2" s="100">
        <f ca="1">AV2-AX2</f>
        <v>0</v>
      </c>
    </row>
    <row r="3" spans="1:52" ht="11.25" customHeight="1" x14ac:dyDescent="0.3">
      <c r="A3" s="4" t="s">
        <v>21</v>
      </c>
      <c r="B3" s="4" t="s">
        <v>61</v>
      </c>
      <c r="C3" s="4" t="s">
        <v>54</v>
      </c>
      <c r="D3" s="4" t="s">
        <v>33</v>
      </c>
      <c r="E3" s="4" t="s">
        <v>25</v>
      </c>
      <c r="F3" s="4" t="s">
        <v>55</v>
      </c>
      <c r="G3" s="4" t="s">
        <v>25</v>
      </c>
      <c r="H3" s="4" t="s">
        <v>37</v>
      </c>
      <c r="I3" s="5">
        <v>44682</v>
      </c>
      <c r="J3" s="6">
        <v>3738</v>
      </c>
      <c r="K3" s="6">
        <v>1869.74565624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56</v>
      </c>
      <c r="R3" s="4">
        <v>0</v>
      </c>
      <c r="S3" s="6">
        <v>3</v>
      </c>
      <c r="T3" s="6">
        <v>0</v>
      </c>
      <c r="U3" s="6">
        <v>0</v>
      </c>
      <c r="V3" s="6">
        <f>IF(ISERROR(VLOOKUP($S$3,'TAR FIN'!$A$1:$O$92,15,0)),0,VLOOKUP($S$3,'TAR FIN'!$A$1:$O$92,15,0))</f>
        <v>13.87</v>
      </c>
      <c r="W3" s="6">
        <f>IF(ISERROR(VLOOKUP($T$3,'TAR FIN'!$A$1:$O$92,15,0)),0,VLOOKUP($T$3,'TAR FIN'!$A$1:$O$92,15,0))</f>
        <v>0</v>
      </c>
      <c r="X3" s="6">
        <f>IF(ISERROR(VLOOKUP($U$3,'TAR FIN'!$A$1:$O$92,15,0)),0,VLOOKUP($U$3,'TAR FIN'!$A$1:$O$92,15,0))</f>
        <v>0</v>
      </c>
      <c r="Y3" s="6">
        <f ca="1">('TUSD BE'!$AM$6+'TUSD BF_350'!$AM$6+'TUSD CVA'!$AM$6)*1</f>
        <v>12.29</v>
      </c>
      <c r="Z3" s="6">
        <f ca="1">('TUSD BE'!$AM$7+'TUSD BF_350'!$AM$7+'TUSD CVA'!$AM$7)*1</f>
        <v>94.14</v>
      </c>
      <c r="AA3" s="6"/>
      <c r="AB3" s="6">
        <f>$K$3*$V$3</f>
        <v>25933.372252048797</v>
      </c>
      <c r="AC3" s="6">
        <f>$M$3*$W$3</f>
        <v>0</v>
      </c>
      <c r="AD3" s="6">
        <f>$O$3*$X$3</f>
        <v>0</v>
      </c>
      <c r="AE3" s="6">
        <f ca="1">$K$3*$Y$3</f>
        <v>22979.174115189599</v>
      </c>
      <c r="AF3" s="6">
        <f ca="1">$M$3*$Z$3</f>
        <v>0</v>
      </c>
      <c r="AG3" s="6">
        <f>$O$3*$AA$3</f>
        <v>0</v>
      </c>
      <c r="AI3" s="41" t="s">
        <v>34</v>
      </c>
      <c r="AJ3" s="42">
        <f t="shared" si="0"/>
        <v>10343723.720059069</v>
      </c>
      <c r="AK3" s="42">
        <f t="shared" ca="1" si="1"/>
        <v>14065112.430685544</v>
      </c>
      <c r="AL3" s="43">
        <f t="shared" ca="1" si="2"/>
        <v>0.35977263230743217</v>
      </c>
      <c r="AN3" s="41" t="s">
        <v>34</v>
      </c>
      <c r="AO3" s="42">
        <f t="shared" si="3"/>
        <v>1007933.9611119998</v>
      </c>
      <c r="AP3" s="42">
        <f t="shared" ca="1" si="4"/>
        <v>872243.45932360005</v>
      </c>
      <c r="AQ3" s="43">
        <f t="shared" ca="1" si="5"/>
        <v>-0.13462241280043752</v>
      </c>
      <c r="AS3" s="41" t="s">
        <v>34</v>
      </c>
      <c r="AT3" s="42">
        <f t="shared" si="6"/>
        <v>11351657.681171069</v>
      </c>
      <c r="AU3" s="42">
        <f t="shared" ca="1" si="7"/>
        <v>14937355.890009144</v>
      </c>
      <c r="AV3" s="43">
        <f t="shared" ca="1" si="8"/>
        <v>0.31587441319567389</v>
      </c>
      <c r="AW3" s="4">
        <v>14937355.890009144</v>
      </c>
      <c r="AX3" s="4">
        <v>0.31587441319567389</v>
      </c>
      <c r="AY3" s="100">
        <f t="shared" ref="AY3:AZ10" ca="1" si="9">AU3-AW3</f>
        <v>0</v>
      </c>
      <c r="AZ3" s="100">
        <f t="shared" ca="1" si="9"/>
        <v>0</v>
      </c>
    </row>
    <row r="4" spans="1:52" ht="11.25" customHeight="1" x14ac:dyDescent="0.3">
      <c r="A4" s="4" t="s">
        <v>21</v>
      </c>
      <c r="B4" s="4" t="s">
        <v>61</v>
      </c>
      <c r="C4" s="4" t="s">
        <v>54</v>
      </c>
      <c r="D4" s="4" t="s">
        <v>33</v>
      </c>
      <c r="E4" s="4" t="s">
        <v>25</v>
      </c>
      <c r="F4" s="4" t="s">
        <v>55</v>
      </c>
      <c r="G4" s="4" t="s">
        <v>25</v>
      </c>
      <c r="H4" s="4" t="s">
        <v>37</v>
      </c>
      <c r="I4" s="5">
        <v>44713</v>
      </c>
      <c r="J4" s="6">
        <v>3763.2</v>
      </c>
      <c r="K4" s="6">
        <v>1900.6458562559999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56</v>
      </c>
      <c r="R4" s="4">
        <v>0</v>
      </c>
      <c r="S4" s="6">
        <v>3</v>
      </c>
      <c r="T4" s="6">
        <v>0</v>
      </c>
      <c r="U4" s="6">
        <v>0</v>
      </c>
      <c r="V4" s="6">
        <f>IF(ISERROR(VLOOKUP($S$4,'TAR FIN'!$A$1:$O$92,15,0)),0,VLOOKUP($S$4,'TAR FIN'!$A$1:$O$92,15,0))</f>
        <v>13.87</v>
      </c>
      <c r="W4" s="6">
        <f>IF(ISERROR(VLOOKUP($T$4,'TAR FIN'!$A$1:$O$92,15,0)),0,VLOOKUP($T$4,'TAR FIN'!$A$1:$O$92,15,0))</f>
        <v>0</v>
      </c>
      <c r="X4" s="6">
        <f>IF(ISERROR(VLOOKUP($U$4,'TAR FIN'!$A$1:$O$92,15,0)),0,VLOOKUP($U$4,'TAR FIN'!$A$1:$O$92,15,0))</f>
        <v>0</v>
      </c>
      <c r="Y4" s="6">
        <f ca="1">('TUSD BE'!$AM$6+'TUSD BF_350'!$AM$6+'TUSD CVA'!$AM$6)*1</f>
        <v>12.29</v>
      </c>
      <c r="Z4" s="6">
        <f ca="1">('TUSD BE'!$AM$7+'TUSD BF_350'!$AM$7+'TUSD CVA'!$AM$7)*1</f>
        <v>94.14</v>
      </c>
      <c r="AA4" s="6"/>
      <c r="AB4" s="6">
        <f>$K$4*$V$4</f>
        <v>26361.958026270717</v>
      </c>
      <c r="AC4" s="6">
        <f>$M$4*$W$4</f>
        <v>0</v>
      </c>
      <c r="AD4" s="6">
        <f>$O$4*$X$4</f>
        <v>0</v>
      </c>
      <c r="AE4" s="6">
        <f ca="1">$K$4*$Y$4</f>
        <v>23358.937573386236</v>
      </c>
      <c r="AF4" s="6">
        <f ca="1">$M$4*$Z$4</f>
        <v>0</v>
      </c>
      <c r="AG4" s="6">
        <f>$O$4*$AA$4</f>
        <v>0</v>
      </c>
      <c r="AI4" s="41" t="s">
        <v>22</v>
      </c>
      <c r="AJ4" s="42">
        <f t="shared" si="0"/>
        <v>2915851.3536199993</v>
      </c>
      <c r="AK4" s="42">
        <f t="shared" ca="1" si="1"/>
        <v>3675987.0878419997</v>
      </c>
      <c r="AL4" s="43">
        <f t="shared" ca="1" si="2"/>
        <v>0.26069083846757124</v>
      </c>
      <c r="AN4" s="41" t="s">
        <v>22</v>
      </c>
      <c r="AO4" s="42">
        <f t="shared" si="3"/>
        <v>3396223.2599900006</v>
      </c>
      <c r="AP4" s="42">
        <f t="shared" ca="1" si="4"/>
        <v>3161161.2455370002</v>
      </c>
      <c r="AQ4" s="43">
        <f t="shared" ca="1" si="5"/>
        <v>-6.9212768554471449E-2</v>
      </c>
      <c r="AS4" s="41" t="s">
        <v>22</v>
      </c>
      <c r="AT4" s="42">
        <f t="shared" si="6"/>
        <v>6312074.6136099994</v>
      </c>
      <c r="AU4" s="42">
        <f t="shared" ca="1" si="7"/>
        <v>6837148.3333790004</v>
      </c>
      <c r="AV4" s="43">
        <f t="shared" ca="1" si="8"/>
        <v>8.3185600917461411E-2</v>
      </c>
      <c r="AW4" s="4">
        <v>6837148.3333790004</v>
      </c>
      <c r="AX4" s="4">
        <v>8.3185600917461411E-2</v>
      </c>
      <c r="AY4" s="100">
        <f t="shared" ca="1" si="9"/>
        <v>0</v>
      </c>
      <c r="AZ4" s="100">
        <f t="shared" ca="1" si="9"/>
        <v>0</v>
      </c>
    </row>
    <row r="5" spans="1:52" ht="11.25" customHeight="1" x14ac:dyDescent="0.3">
      <c r="A5" s="4" t="s">
        <v>21</v>
      </c>
      <c r="B5" s="4" t="s">
        <v>61</v>
      </c>
      <c r="C5" s="4" t="s">
        <v>54</v>
      </c>
      <c r="D5" s="4" t="s">
        <v>33</v>
      </c>
      <c r="E5" s="4" t="s">
        <v>25</v>
      </c>
      <c r="F5" s="4" t="s">
        <v>55</v>
      </c>
      <c r="G5" s="4" t="s">
        <v>25</v>
      </c>
      <c r="H5" s="4" t="s">
        <v>37</v>
      </c>
      <c r="I5" s="5">
        <v>44743</v>
      </c>
      <c r="J5" s="6">
        <v>4100</v>
      </c>
      <c r="K5" s="6">
        <v>2087.3986829999999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56</v>
      </c>
      <c r="R5" s="4">
        <v>0</v>
      </c>
      <c r="S5" s="6">
        <v>3</v>
      </c>
      <c r="T5" s="6">
        <v>0</v>
      </c>
      <c r="U5" s="6">
        <v>0</v>
      </c>
      <c r="V5" s="6">
        <f>IF(ISERROR(VLOOKUP($S$5,'TAR FIN'!$A$1:$O$92,15,0)),0,VLOOKUP($S$5,'TAR FIN'!$A$1:$O$92,15,0))</f>
        <v>13.87</v>
      </c>
      <c r="W5" s="6">
        <f>IF(ISERROR(VLOOKUP($T$5,'TAR FIN'!$A$1:$O$92,15,0)),0,VLOOKUP($T$5,'TAR FIN'!$A$1:$O$92,15,0))</f>
        <v>0</v>
      </c>
      <c r="X5" s="6">
        <f>IF(ISERROR(VLOOKUP($U$5,'TAR FIN'!$A$1:$O$92,15,0)),0,VLOOKUP($U$5,'TAR FIN'!$A$1:$O$92,15,0))</f>
        <v>0</v>
      </c>
      <c r="Y5" s="6">
        <f ca="1">('TUSD BE'!$AM$6+'TUSD BF_350'!$AM$6+'TUSD CVA'!$AM$6)*1</f>
        <v>12.29</v>
      </c>
      <c r="Z5" s="6">
        <f ca="1">('TUSD BE'!$AM$7+'TUSD BF_350'!$AM$7+'TUSD CVA'!$AM$7)*1</f>
        <v>94.14</v>
      </c>
      <c r="AA5" s="6"/>
      <c r="AB5" s="6">
        <f>$K$5*$V$5</f>
        <v>28952.219733209997</v>
      </c>
      <c r="AC5" s="6">
        <f>$M$5*$W$5</f>
        <v>0</v>
      </c>
      <c r="AD5" s="6">
        <f>$O$5*$X$5</f>
        <v>0</v>
      </c>
      <c r="AE5" s="6">
        <f ca="1">$K$5*$Y$5</f>
        <v>25654.129814069998</v>
      </c>
      <c r="AF5" s="6">
        <f ca="1">$M$5*$Z$5</f>
        <v>0</v>
      </c>
      <c r="AG5" s="6">
        <f>$O$5*$AA$5</f>
        <v>0</v>
      </c>
      <c r="AI5" s="41" t="s">
        <v>41</v>
      </c>
      <c r="AJ5" s="42">
        <f t="shared" si="0"/>
        <v>668475.93794800015</v>
      </c>
      <c r="AK5" s="42">
        <f t="shared" ca="1" si="1"/>
        <v>905470.77706903988</v>
      </c>
      <c r="AL5" s="43">
        <f t="shared" ca="1" si="2"/>
        <v>0.35453009699726135</v>
      </c>
      <c r="AN5" s="41" t="s">
        <v>41</v>
      </c>
      <c r="AO5" s="42">
        <f t="shared" si="3"/>
        <v>784599.08435999998</v>
      </c>
      <c r="AP5" s="42">
        <f t="shared" ca="1" si="4"/>
        <v>765606.76061688003</v>
      </c>
      <c r="AQ5" s="43">
        <f t="shared" ca="1" si="5"/>
        <v>-2.4206405693950162E-2</v>
      </c>
      <c r="AS5" s="41" t="s">
        <v>41</v>
      </c>
      <c r="AT5" s="42">
        <f t="shared" si="6"/>
        <v>1453075.0223080001</v>
      </c>
      <c r="AU5" s="42">
        <f t="shared" ca="1" si="7"/>
        <v>1671077.53768592</v>
      </c>
      <c r="AV5" s="43">
        <f t="shared" ca="1" si="8"/>
        <v>0.15002839635331022</v>
      </c>
      <c r="AW5" s="4">
        <v>1671077.53768592</v>
      </c>
      <c r="AX5" s="4">
        <v>0.15002839635331022</v>
      </c>
      <c r="AY5" s="100">
        <f t="shared" ca="1" si="9"/>
        <v>0</v>
      </c>
      <c r="AZ5" s="100">
        <f t="shared" ca="1" si="9"/>
        <v>0</v>
      </c>
    </row>
    <row r="6" spans="1:52" ht="11.25" customHeight="1" x14ac:dyDescent="0.3">
      <c r="A6" s="4" t="s">
        <v>21</v>
      </c>
      <c r="B6" s="4" t="s">
        <v>61</v>
      </c>
      <c r="C6" s="4" t="s">
        <v>54</v>
      </c>
      <c r="D6" s="4" t="s">
        <v>33</v>
      </c>
      <c r="E6" s="4" t="s">
        <v>25</v>
      </c>
      <c r="F6" s="4" t="s">
        <v>55</v>
      </c>
      <c r="G6" s="4" t="s">
        <v>25</v>
      </c>
      <c r="H6" s="4" t="s">
        <v>25</v>
      </c>
      <c r="I6" s="5">
        <v>44652</v>
      </c>
      <c r="J6" s="6">
        <v>0</v>
      </c>
      <c r="K6" s="6">
        <v>0</v>
      </c>
      <c r="L6" s="6">
        <v>1349.6216999999999</v>
      </c>
      <c r="M6" s="6">
        <v>1349.6216999999999</v>
      </c>
      <c r="N6" s="6">
        <v>0</v>
      </c>
      <c r="O6" s="6">
        <v>0</v>
      </c>
      <c r="P6" s="6">
        <v>1</v>
      </c>
      <c r="Q6" s="4" t="s">
        <v>56</v>
      </c>
      <c r="R6" s="4">
        <v>0</v>
      </c>
      <c r="S6" s="6">
        <v>0</v>
      </c>
      <c r="T6" s="6">
        <v>5</v>
      </c>
      <c r="U6" s="6">
        <v>0</v>
      </c>
      <c r="V6" s="6">
        <f>IF(ISERROR(VLOOKUP($S$6,'TAR FIN'!$A$1:$O$92,15,0)),0,VLOOKUP($S$6,'TAR FIN'!$A$1:$O$92,15,0))</f>
        <v>0</v>
      </c>
      <c r="W6" s="6">
        <f>IF(ISERROR(VLOOKUP($T$6,'TAR FIN'!$A$1:$O$92,15,0)),0,VLOOKUP($T$6,'TAR FIN'!$A$1:$O$92,15,0))</f>
        <v>57.86</v>
      </c>
      <c r="X6" s="6">
        <f>IF(ISERROR(VLOOKUP($U$6,'TAR FIN'!$A$1:$O$92,15,0)),0,VLOOKUP($U$6,'TAR FIN'!$A$1:$O$92,15,0))</f>
        <v>0</v>
      </c>
      <c r="Y6" s="6"/>
      <c r="Z6" s="6">
        <f ca="1">('TUSD BE'!$AM$7+'TUSD BF_350'!$AM$7+'TUSD CVA'!$AM$7)*1</f>
        <v>94.14</v>
      </c>
      <c r="AA6" s="6"/>
      <c r="AB6" s="6">
        <f>$K$6*$V$6</f>
        <v>0</v>
      </c>
      <c r="AC6" s="6">
        <f>$M$6*$W$6</f>
        <v>78089.111561999991</v>
      </c>
      <c r="AD6" s="6">
        <f>$O$6*$X$6</f>
        <v>0</v>
      </c>
      <c r="AE6" s="6">
        <f>$K$6*$Y$6</f>
        <v>0</v>
      </c>
      <c r="AF6" s="6">
        <f ca="1">$M$6*$Z$6</f>
        <v>127053.38683799999</v>
      </c>
      <c r="AG6" s="6">
        <f>$O$6*$AA$6</f>
        <v>0</v>
      </c>
      <c r="AI6" s="41" t="s">
        <v>32</v>
      </c>
      <c r="AJ6" s="42">
        <f t="shared" si="0"/>
        <v>1603611.8843259988</v>
      </c>
      <c r="AK6" s="42">
        <f t="shared" ca="1" si="1"/>
        <v>2038726.4072161992</v>
      </c>
      <c r="AL6" s="43">
        <f t="shared" ca="1" si="2"/>
        <v>0.27133405978285063</v>
      </c>
      <c r="AN6" s="41" t="s">
        <v>32</v>
      </c>
      <c r="AO6" s="42">
        <f t="shared" si="3"/>
        <v>1885867.4489163987</v>
      </c>
      <c r="AP6" s="42">
        <f t="shared" ca="1" si="4"/>
        <v>1726794.0538714004</v>
      </c>
      <c r="AQ6" s="43">
        <f t="shared" ca="1" si="5"/>
        <v>-8.4350252259988046E-2</v>
      </c>
      <c r="AS6" s="41" t="s">
        <v>32</v>
      </c>
      <c r="AT6" s="42">
        <f t="shared" si="6"/>
        <v>3489479.3332423978</v>
      </c>
      <c r="AU6" s="42">
        <f t="shared" ca="1" si="7"/>
        <v>3765520.4610875994</v>
      </c>
      <c r="AV6" s="43">
        <f t="shared" ca="1" si="8"/>
        <v>7.9106680820690389E-2</v>
      </c>
      <c r="AW6" s="4">
        <v>3765520.4610875994</v>
      </c>
      <c r="AX6" s="4">
        <v>7.9106680820690389E-2</v>
      </c>
      <c r="AY6" s="100">
        <f t="shared" ca="1" si="9"/>
        <v>0</v>
      </c>
      <c r="AZ6" s="100">
        <f t="shared" ca="1" si="9"/>
        <v>0</v>
      </c>
    </row>
    <row r="7" spans="1:52" ht="11.25" customHeight="1" x14ac:dyDescent="0.3">
      <c r="A7" s="4" t="s">
        <v>21</v>
      </c>
      <c r="B7" s="4" t="s">
        <v>61</v>
      </c>
      <c r="C7" s="4" t="s">
        <v>54</v>
      </c>
      <c r="D7" s="4" t="s">
        <v>33</v>
      </c>
      <c r="E7" s="4" t="s">
        <v>25</v>
      </c>
      <c r="F7" s="4" t="s">
        <v>55</v>
      </c>
      <c r="G7" s="4" t="s">
        <v>25</v>
      </c>
      <c r="H7" s="4" t="s">
        <v>25</v>
      </c>
      <c r="I7" s="5">
        <v>44682</v>
      </c>
      <c r="J7" s="6">
        <v>0</v>
      </c>
      <c r="K7" s="6">
        <v>0</v>
      </c>
      <c r="L7" s="6">
        <v>2026.143</v>
      </c>
      <c r="M7" s="6">
        <v>2026.143</v>
      </c>
      <c r="N7" s="6">
        <v>0</v>
      </c>
      <c r="O7" s="6">
        <v>0</v>
      </c>
      <c r="P7" s="6">
        <v>1</v>
      </c>
      <c r="Q7" s="4" t="s">
        <v>56</v>
      </c>
      <c r="R7" s="4">
        <v>0</v>
      </c>
      <c r="S7" s="6">
        <v>0</v>
      </c>
      <c r="T7" s="6">
        <v>5</v>
      </c>
      <c r="U7" s="6">
        <v>0</v>
      </c>
      <c r="V7" s="6">
        <f>IF(ISERROR(VLOOKUP($S$7,'TAR FIN'!$A$1:$O$92,15,0)),0,VLOOKUP($S$7,'TAR FIN'!$A$1:$O$92,15,0))</f>
        <v>0</v>
      </c>
      <c r="W7" s="6">
        <f>IF(ISERROR(VLOOKUP($T$7,'TAR FIN'!$A$1:$O$92,15,0)),0,VLOOKUP($T$7,'TAR FIN'!$A$1:$O$92,15,0))</f>
        <v>57.86</v>
      </c>
      <c r="X7" s="6">
        <f>IF(ISERROR(VLOOKUP($U$7,'TAR FIN'!$A$1:$O$92,15,0)),0,VLOOKUP($U$7,'TAR FIN'!$A$1:$O$92,15,0))</f>
        <v>0</v>
      </c>
      <c r="Y7" s="6"/>
      <c r="Z7" s="6">
        <f ca="1">('TUSD BE'!$AM$7+'TUSD BF_350'!$AM$7+'TUSD CVA'!$AM$7)*1</f>
        <v>94.14</v>
      </c>
      <c r="AA7" s="6"/>
      <c r="AB7" s="6">
        <f>$K$7*$V$7</f>
        <v>0</v>
      </c>
      <c r="AC7" s="6">
        <f>$M$7*$W$7</f>
        <v>117232.63398</v>
      </c>
      <c r="AD7" s="6">
        <f>$O$7*$X$7</f>
        <v>0</v>
      </c>
      <c r="AE7" s="6">
        <f>$K$7*$Y$7</f>
        <v>0</v>
      </c>
      <c r="AF7" s="6">
        <f ca="1">$M$7*$Z$7</f>
        <v>190741.10201999999</v>
      </c>
      <c r="AG7" s="6">
        <f>$O$7*$AA$7</f>
        <v>0</v>
      </c>
      <c r="AI7" s="41" t="s">
        <v>44</v>
      </c>
      <c r="AJ7" s="42">
        <f t="shared" si="0"/>
        <v>325323.26168999996</v>
      </c>
      <c r="AK7" s="42">
        <f t="shared" ca="1" si="1"/>
        <v>412530.28439000004</v>
      </c>
      <c r="AL7" s="43">
        <f t="shared" ca="1" si="2"/>
        <v>0.26806267171604703</v>
      </c>
      <c r="AN7" s="41" t="s">
        <v>44</v>
      </c>
      <c r="AO7" s="42">
        <f t="shared" si="3"/>
        <v>418424.60947000008</v>
      </c>
      <c r="AP7" s="42">
        <f t="shared" ca="1" si="4"/>
        <v>348803.93372999999</v>
      </c>
      <c r="AQ7" s="43">
        <f t="shared" ca="1" si="5"/>
        <v>-0.1663876219617807</v>
      </c>
      <c r="AS7" s="41" t="s">
        <v>44</v>
      </c>
      <c r="AT7" s="42">
        <f t="shared" si="6"/>
        <v>743747.8711600001</v>
      </c>
      <c r="AU7" s="42">
        <f t="shared" ca="1" si="7"/>
        <v>761334.21812000009</v>
      </c>
      <c r="AV7" s="43">
        <f t="shared" ca="1" si="8"/>
        <v>2.3645576198518814E-2</v>
      </c>
      <c r="AW7" s="4">
        <v>761334.21812000009</v>
      </c>
      <c r="AX7" s="4">
        <v>2.3645576198518814E-2</v>
      </c>
      <c r="AY7" s="100">
        <f t="shared" ca="1" si="9"/>
        <v>0</v>
      </c>
      <c r="AZ7" s="100">
        <f t="shared" ca="1" si="9"/>
        <v>0</v>
      </c>
    </row>
    <row r="8" spans="1:52" ht="11.25" customHeight="1" x14ac:dyDescent="0.3">
      <c r="A8" s="4" t="s">
        <v>21</v>
      </c>
      <c r="B8" s="4" t="s">
        <v>61</v>
      </c>
      <c r="C8" s="4" t="s">
        <v>54</v>
      </c>
      <c r="D8" s="4" t="s">
        <v>33</v>
      </c>
      <c r="E8" s="4" t="s">
        <v>25</v>
      </c>
      <c r="F8" s="4" t="s">
        <v>55</v>
      </c>
      <c r="G8" s="4" t="s">
        <v>25</v>
      </c>
      <c r="H8" s="4" t="s">
        <v>25</v>
      </c>
      <c r="I8" s="5">
        <v>44713</v>
      </c>
      <c r="J8" s="6">
        <v>0</v>
      </c>
      <c r="K8" s="6">
        <v>0</v>
      </c>
      <c r="L8" s="6">
        <v>2090.6046000000001</v>
      </c>
      <c r="M8" s="6">
        <v>2090.6046000000001</v>
      </c>
      <c r="N8" s="6">
        <v>0</v>
      </c>
      <c r="O8" s="6">
        <v>0</v>
      </c>
      <c r="P8" s="6">
        <v>1</v>
      </c>
      <c r="Q8" s="4" t="s">
        <v>56</v>
      </c>
      <c r="R8" s="4">
        <v>0</v>
      </c>
      <c r="S8" s="6">
        <v>0</v>
      </c>
      <c r="T8" s="6">
        <v>5</v>
      </c>
      <c r="U8" s="6">
        <v>0</v>
      </c>
      <c r="V8" s="6">
        <f>IF(ISERROR(VLOOKUP($S$8,'TAR FIN'!$A$1:$O$92,15,0)),0,VLOOKUP($S$8,'TAR FIN'!$A$1:$O$92,15,0))</f>
        <v>0</v>
      </c>
      <c r="W8" s="6">
        <f>IF(ISERROR(VLOOKUP($T$8,'TAR FIN'!$A$1:$O$92,15,0)),0,VLOOKUP($T$8,'TAR FIN'!$A$1:$O$92,15,0))</f>
        <v>57.86</v>
      </c>
      <c r="X8" s="6">
        <f>IF(ISERROR(VLOOKUP($U$8,'TAR FIN'!$A$1:$O$92,15,0)),0,VLOOKUP($U$8,'TAR FIN'!$A$1:$O$92,15,0))</f>
        <v>0</v>
      </c>
      <c r="Y8" s="6"/>
      <c r="Z8" s="6">
        <f ca="1">('TUSD BE'!$AM$7+'TUSD BF_350'!$AM$7+'TUSD CVA'!$AM$7)*1</f>
        <v>94.14</v>
      </c>
      <c r="AA8" s="6"/>
      <c r="AB8" s="6">
        <f>$K$8*$V$8</f>
        <v>0</v>
      </c>
      <c r="AC8" s="6">
        <f>$M$8*$W$8</f>
        <v>120962.38215600001</v>
      </c>
      <c r="AD8" s="6">
        <f>$O$8*$X$8</f>
        <v>0</v>
      </c>
      <c r="AE8" s="6">
        <f>$K$8*$Y$8</f>
        <v>0</v>
      </c>
      <c r="AF8" s="6">
        <f ca="1">$M$8*$Z$8</f>
        <v>196809.51704400001</v>
      </c>
      <c r="AG8" s="6">
        <f>$O$8*$AA$8</f>
        <v>0</v>
      </c>
      <c r="AI8" s="41" t="s">
        <v>669</v>
      </c>
      <c r="AJ8" s="42">
        <f>+$AJ$2+$AJ$3</f>
        <v>11056416.129271038</v>
      </c>
      <c r="AK8" s="42">
        <f ca="1">+$AK$2+$AK$3</f>
        <v>15045153.574748289</v>
      </c>
      <c r="AL8" s="43">
        <f t="shared" ca="1" si="2"/>
        <v>0.36076223966619403</v>
      </c>
      <c r="AN8" s="41" t="s">
        <v>669</v>
      </c>
      <c r="AO8" s="42">
        <f>+$AO$2+$AO$3</f>
        <v>1007933.9611119998</v>
      </c>
      <c r="AP8" s="42">
        <f ca="1">+$AP$2+$AP$3</f>
        <v>872243.45932360005</v>
      </c>
      <c r="AQ8" s="43">
        <f t="shared" ca="1" si="5"/>
        <v>-0.13462241280043752</v>
      </c>
      <c r="AS8" s="41" t="s">
        <v>669</v>
      </c>
      <c r="AT8" s="42">
        <f>+$AT$2+$AT$3</f>
        <v>12064350.090383038</v>
      </c>
      <c r="AU8" s="42">
        <f ca="1">+$AU$2+$AU$3</f>
        <v>15917397.034071889</v>
      </c>
      <c r="AV8" s="43">
        <f t="shared" ca="1" si="8"/>
        <v>0.31937459662748546</v>
      </c>
      <c r="AW8" s="4">
        <v>15917397.034071889</v>
      </c>
      <c r="AX8" s="4">
        <v>0.31937459662748546</v>
      </c>
      <c r="AY8" s="100">
        <f t="shared" ca="1" si="9"/>
        <v>0</v>
      </c>
      <c r="AZ8" s="100">
        <f t="shared" ca="1" si="9"/>
        <v>0</v>
      </c>
    </row>
    <row r="9" spans="1:52" ht="11.25" customHeight="1" x14ac:dyDescent="0.3">
      <c r="A9" s="4" t="s">
        <v>21</v>
      </c>
      <c r="B9" s="4" t="s">
        <v>61</v>
      </c>
      <c r="C9" s="4" t="s">
        <v>54</v>
      </c>
      <c r="D9" s="4" t="s">
        <v>33</v>
      </c>
      <c r="E9" s="4" t="s">
        <v>25</v>
      </c>
      <c r="F9" s="4" t="s">
        <v>55</v>
      </c>
      <c r="G9" s="4" t="s">
        <v>25</v>
      </c>
      <c r="H9" s="4" t="s">
        <v>25</v>
      </c>
      <c r="I9" s="5">
        <v>44743</v>
      </c>
      <c r="J9" s="6">
        <v>0</v>
      </c>
      <c r="K9" s="6">
        <v>0</v>
      </c>
      <c r="L9" s="6">
        <v>2175.5034000000001</v>
      </c>
      <c r="M9" s="6">
        <v>2175.5034000000001</v>
      </c>
      <c r="N9" s="6">
        <v>0</v>
      </c>
      <c r="O9" s="6">
        <v>0</v>
      </c>
      <c r="P9" s="6">
        <v>1</v>
      </c>
      <c r="Q9" s="4" t="s">
        <v>56</v>
      </c>
      <c r="R9" s="4">
        <v>0</v>
      </c>
      <c r="S9" s="6">
        <v>0</v>
      </c>
      <c r="T9" s="6">
        <v>5</v>
      </c>
      <c r="U9" s="6">
        <v>0</v>
      </c>
      <c r="V9" s="6">
        <f>IF(ISERROR(VLOOKUP($S$9,'TAR FIN'!$A$1:$O$92,15,0)),0,VLOOKUP($S$9,'TAR FIN'!$A$1:$O$92,15,0))</f>
        <v>0</v>
      </c>
      <c r="W9" s="6">
        <f>IF(ISERROR(VLOOKUP($T$9,'TAR FIN'!$A$1:$O$92,15,0)),0,VLOOKUP($T$9,'TAR FIN'!$A$1:$O$92,15,0))</f>
        <v>57.86</v>
      </c>
      <c r="X9" s="6">
        <f>IF(ISERROR(VLOOKUP($U$9,'TAR FIN'!$A$1:$O$92,15,0)),0,VLOOKUP($U$9,'TAR FIN'!$A$1:$O$92,15,0))</f>
        <v>0</v>
      </c>
      <c r="Y9" s="6"/>
      <c r="Z9" s="6">
        <f ca="1">('TUSD BE'!$AM$7+'TUSD BF_350'!$AM$7+'TUSD CVA'!$AM$7)*1</f>
        <v>94.14</v>
      </c>
      <c r="AA9" s="6"/>
      <c r="AB9" s="6">
        <f>$K$9*$V$9</f>
        <v>0</v>
      </c>
      <c r="AC9" s="6">
        <f>$M$9*$W$9</f>
        <v>125874.626724</v>
      </c>
      <c r="AD9" s="6">
        <f>$O$9*$X$9</f>
        <v>0</v>
      </c>
      <c r="AE9" s="6">
        <f>$K$9*$Y$9</f>
        <v>0</v>
      </c>
      <c r="AF9" s="6">
        <f ca="1">$M$9*$Z$9</f>
        <v>204801.89007600001</v>
      </c>
      <c r="AG9" s="6">
        <f>$O$9*$AA$9</f>
        <v>0</v>
      </c>
      <c r="AI9" s="41" t="s">
        <v>86</v>
      </c>
      <c r="AJ9" s="42">
        <f>+$AJ$4+$AJ$5+$AJ$6+$AJ$7</f>
        <v>5513262.4375839978</v>
      </c>
      <c r="AK9" s="42">
        <f ca="1">+$AK$4+$AK$5+$AK$6+$AK$7</f>
        <v>7032714.5565172387</v>
      </c>
      <c r="AL9" s="43">
        <f t="shared" ca="1" si="2"/>
        <v>0.27559945424964938</v>
      </c>
      <c r="AN9" s="41" t="s">
        <v>86</v>
      </c>
      <c r="AO9" s="42">
        <f>+$AO$4+$AO$5+$AO$6+$AO$7</f>
        <v>6485114.4027364003</v>
      </c>
      <c r="AP9" s="42">
        <f ca="1">+$AP$4+$AP$5+$AP$6+$AP$7</f>
        <v>6002365.99375528</v>
      </c>
      <c r="AQ9" s="43">
        <f t="shared" ca="1" si="5"/>
        <v>-7.4439459198657132E-2</v>
      </c>
      <c r="AS9" s="41" t="s">
        <v>86</v>
      </c>
      <c r="AT9" s="42">
        <f>+$AT$4+$AT$5+$AT$6+$AT$7</f>
        <v>11998376.840320397</v>
      </c>
      <c r="AU9" s="42">
        <f ca="1">+$AU$4+$AU$5+$AU$6+$AU$7</f>
        <v>13035080.550272519</v>
      </c>
      <c r="AV9" s="43">
        <f t="shared" ca="1" si="8"/>
        <v>8.640366307451619E-2</v>
      </c>
      <c r="AW9" s="4">
        <v>13035080.550272519</v>
      </c>
      <c r="AX9" s="4">
        <v>8.640366307451619E-2</v>
      </c>
      <c r="AY9" s="100">
        <f t="shared" ca="1" si="9"/>
        <v>0</v>
      </c>
      <c r="AZ9" s="100">
        <f t="shared" ca="1" si="9"/>
        <v>0</v>
      </c>
    </row>
    <row r="10" spans="1:52" ht="11.25" customHeight="1" x14ac:dyDescent="0.3">
      <c r="A10" s="4" t="s">
        <v>21</v>
      </c>
      <c r="B10" s="4" t="s">
        <v>61</v>
      </c>
      <c r="C10" s="4" t="s">
        <v>54</v>
      </c>
      <c r="D10" s="4" t="s">
        <v>33</v>
      </c>
      <c r="E10" s="4" t="s">
        <v>25</v>
      </c>
      <c r="F10" s="4" t="s">
        <v>55</v>
      </c>
      <c r="G10" s="4" t="s">
        <v>25</v>
      </c>
      <c r="H10" s="4" t="s">
        <v>36</v>
      </c>
      <c r="I10" s="5">
        <v>44652</v>
      </c>
      <c r="J10" s="6">
        <v>3427.2</v>
      </c>
      <c r="K10" s="6">
        <v>1714.446792576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56</v>
      </c>
      <c r="R10" s="4">
        <v>0</v>
      </c>
      <c r="S10" s="6">
        <v>1</v>
      </c>
      <c r="T10" s="6">
        <v>0</v>
      </c>
      <c r="U10" s="6">
        <v>0</v>
      </c>
      <c r="V10" s="6">
        <f>IF(ISERROR(VLOOKUP($S$10,'TAR FIN'!$A$1:$O$92,15,0)),0,VLOOKUP($S$10,'TAR FIN'!$A$1:$O$92,15,0))</f>
        <v>22.04</v>
      </c>
      <c r="W10" s="6">
        <f>IF(ISERROR(VLOOKUP($T$10,'TAR FIN'!$A$1:$O$92,15,0)),0,VLOOKUP($T$10,'TAR FIN'!$A$1:$O$92,15,0))</f>
        <v>0</v>
      </c>
      <c r="X10" s="6">
        <f>IF(ISERROR(VLOOKUP($U$10,'TAR FIN'!$A$1:$O$92,15,0)),0,VLOOKUP($U$10,'TAR FIN'!$A$1:$O$92,15,0))</f>
        <v>0</v>
      </c>
      <c r="Y10" s="6">
        <f ca="1">('TUSD BE'!$AM$5+'TUSD BF_350'!$AM$5+'TUSD CVA'!$AM$5)*1</f>
        <v>22.32</v>
      </c>
      <c r="Z10" s="6">
        <f ca="1">('TUSD BE'!$AM$7+'TUSD BF_350'!$AM$7+'TUSD CVA'!$AM$7)*1</f>
        <v>94.14</v>
      </c>
      <c r="AA10" s="6"/>
      <c r="AB10" s="6">
        <f>$K$10*$V$10</f>
        <v>37786.407308375041</v>
      </c>
      <c r="AC10" s="6">
        <f>$M$10*$W$10</f>
        <v>0</v>
      </c>
      <c r="AD10" s="6">
        <f>$O$10*$X$10</f>
        <v>0</v>
      </c>
      <c r="AE10" s="6">
        <f ca="1">$K$10*$Y$10</f>
        <v>38266.452410296319</v>
      </c>
      <c r="AF10" s="6">
        <f ca="1">$M$10*$Z$10</f>
        <v>0</v>
      </c>
      <c r="AG10" s="6">
        <f>$O$10*$AA$10</f>
        <v>0</v>
      </c>
      <c r="AI10" s="41" t="s">
        <v>670</v>
      </c>
      <c r="AJ10" s="42">
        <f>AJ9+AJ8</f>
        <v>16569678.566855036</v>
      </c>
      <c r="AK10" s="42">
        <f ca="1">AK9+AK8</f>
        <v>22077868.131265529</v>
      </c>
      <c r="AL10" s="43">
        <f t="shared" ca="1" si="2"/>
        <v>0.33242585498482358</v>
      </c>
      <c r="AN10" s="41" t="s">
        <v>670</v>
      </c>
      <c r="AO10" s="42">
        <f>AO9+AO8</f>
        <v>7493048.3638484003</v>
      </c>
      <c r="AP10" s="42">
        <f ca="1">AP9+AP8</f>
        <v>6874609.45307888</v>
      </c>
      <c r="AQ10" s="43">
        <f t="shared" ca="1" si="5"/>
        <v>-8.2535021894866389E-2</v>
      </c>
      <c r="AS10" s="41" t="s">
        <v>670</v>
      </c>
      <c r="AT10" s="42">
        <f>AT9+AT8</f>
        <v>24062726.930703435</v>
      </c>
      <c r="AU10" s="42">
        <f ca="1">AU9+AU8</f>
        <v>28952477.584344409</v>
      </c>
      <c r="AV10" s="43">
        <f t="shared" ca="1" si="8"/>
        <v>0.20320850033841231</v>
      </c>
      <c r="AW10" s="4">
        <v>28952477.584344409</v>
      </c>
      <c r="AX10" s="4">
        <v>0.20320850033841231</v>
      </c>
      <c r="AY10" s="100">
        <f t="shared" ca="1" si="9"/>
        <v>0</v>
      </c>
      <c r="AZ10" s="100">
        <f t="shared" ca="1" si="9"/>
        <v>0</v>
      </c>
    </row>
    <row r="11" spans="1:52" ht="11.25" customHeight="1" x14ac:dyDescent="0.3">
      <c r="A11" s="4" t="s">
        <v>21</v>
      </c>
      <c r="B11" s="4" t="s">
        <v>61</v>
      </c>
      <c r="C11" s="4" t="s">
        <v>54</v>
      </c>
      <c r="D11" s="4" t="s">
        <v>33</v>
      </c>
      <c r="E11" s="4" t="s">
        <v>25</v>
      </c>
      <c r="F11" s="4" t="s">
        <v>55</v>
      </c>
      <c r="G11" s="4" t="s">
        <v>25</v>
      </c>
      <c r="H11" s="4" t="s">
        <v>36</v>
      </c>
      <c r="I11" s="5">
        <v>44682</v>
      </c>
      <c r="J11" s="6">
        <v>3679.2</v>
      </c>
      <c r="K11" s="6">
        <v>1840.333926816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56</v>
      </c>
      <c r="R11" s="4">
        <v>0</v>
      </c>
      <c r="S11" s="6">
        <v>1</v>
      </c>
      <c r="T11" s="6">
        <v>0</v>
      </c>
      <c r="U11" s="6">
        <v>0</v>
      </c>
      <c r="V11" s="6">
        <f>IF(ISERROR(VLOOKUP($S$11,'TAR FIN'!$A$1:$O$92,15,0)),0,VLOOKUP($S$11,'TAR FIN'!$A$1:$O$92,15,0))</f>
        <v>22.04</v>
      </c>
      <c r="W11" s="6">
        <f>IF(ISERROR(VLOOKUP($T$11,'TAR FIN'!$A$1:$O$92,15,0)),0,VLOOKUP($T$11,'TAR FIN'!$A$1:$O$92,15,0))</f>
        <v>0</v>
      </c>
      <c r="X11" s="6">
        <f>IF(ISERROR(VLOOKUP($U$11,'TAR FIN'!$A$1:$O$92,15,0)),0,VLOOKUP($U$11,'TAR FIN'!$A$1:$O$92,15,0))</f>
        <v>0</v>
      </c>
      <c r="Y11" s="6">
        <f ca="1">('TUSD BE'!$AM$5+'TUSD BF_350'!$AM$5+'TUSD CVA'!$AM$5)*1</f>
        <v>22.32</v>
      </c>
      <c r="Z11" s="6">
        <f ca="1">('TUSD BE'!$AM$7+'TUSD BF_350'!$AM$7+'TUSD CVA'!$AM$7)*1</f>
        <v>94.14</v>
      </c>
      <c r="AA11" s="6"/>
      <c r="AB11" s="6">
        <f>$K$11*$V$11</f>
        <v>40560.959747024637</v>
      </c>
      <c r="AC11" s="6">
        <f>$M$11*$W$11</f>
        <v>0</v>
      </c>
      <c r="AD11" s="6">
        <f>$O$11*$X$11</f>
        <v>0</v>
      </c>
      <c r="AE11" s="6">
        <f ca="1">$K$11*$Y$11</f>
        <v>41076.253246533124</v>
      </c>
      <c r="AF11" s="6">
        <f ca="1">$M$11*$Z$11</f>
        <v>0</v>
      </c>
      <c r="AG11" s="6">
        <f>$O$11*$AA$11</f>
        <v>0</v>
      </c>
    </row>
    <row r="12" spans="1:52" ht="11.25" customHeight="1" x14ac:dyDescent="0.3">
      <c r="A12" s="4" t="s">
        <v>21</v>
      </c>
      <c r="B12" s="4" t="s">
        <v>61</v>
      </c>
      <c r="C12" s="4" t="s">
        <v>54</v>
      </c>
      <c r="D12" s="4" t="s">
        <v>33</v>
      </c>
      <c r="E12" s="4" t="s">
        <v>25</v>
      </c>
      <c r="F12" s="4" t="s">
        <v>55</v>
      </c>
      <c r="G12" s="4" t="s">
        <v>25</v>
      </c>
      <c r="H12" s="4" t="s">
        <v>36</v>
      </c>
      <c r="I12" s="5">
        <v>44713</v>
      </c>
      <c r="J12" s="6">
        <v>3670.8</v>
      </c>
      <c r="K12" s="6">
        <v>1853.9782124640001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56</v>
      </c>
      <c r="R12" s="4">
        <v>0</v>
      </c>
      <c r="S12" s="6">
        <v>1</v>
      </c>
      <c r="T12" s="6">
        <v>0</v>
      </c>
      <c r="U12" s="6">
        <v>0</v>
      </c>
      <c r="V12" s="6">
        <f>IF(ISERROR(VLOOKUP($S$12,'TAR FIN'!$A$1:$O$92,15,0)),0,VLOOKUP($S$12,'TAR FIN'!$A$1:$O$92,15,0))</f>
        <v>22.04</v>
      </c>
      <c r="W12" s="6">
        <f>IF(ISERROR(VLOOKUP($T$12,'TAR FIN'!$A$1:$O$92,15,0)),0,VLOOKUP($T$12,'TAR FIN'!$A$1:$O$92,15,0))</f>
        <v>0</v>
      </c>
      <c r="X12" s="6">
        <f>IF(ISERROR(VLOOKUP($U$12,'TAR FIN'!$A$1:$O$92,15,0)),0,VLOOKUP($U$12,'TAR FIN'!$A$1:$O$92,15,0))</f>
        <v>0</v>
      </c>
      <c r="Y12" s="6">
        <f ca="1">('TUSD BE'!$AM$5+'TUSD BF_350'!$AM$5+'TUSD CVA'!$AM$5)*1</f>
        <v>22.32</v>
      </c>
      <c r="Z12" s="6">
        <f ca="1">('TUSD BE'!$AM$7+'TUSD BF_350'!$AM$7+'TUSD CVA'!$AM$7)*1</f>
        <v>94.14</v>
      </c>
      <c r="AA12" s="6"/>
      <c r="AB12" s="6">
        <f>$K$12*$V$12</f>
        <v>40861.67980270656</v>
      </c>
      <c r="AC12" s="6">
        <f>$M$12*$W$12</f>
        <v>0</v>
      </c>
      <c r="AD12" s="6">
        <f>$O$12*$X$12</f>
        <v>0</v>
      </c>
      <c r="AE12" s="6">
        <f ca="1">$K$12*$Y$12</f>
        <v>41380.793702196483</v>
      </c>
      <c r="AF12" s="6">
        <f ca="1">$M$12*$Z$12</f>
        <v>0</v>
      </c>
      <c r="AG12" s="6">
        <f>$O$12*$AA$12</f>
        <v>0</v>
      </c>
    </row>
    <row r="13" spans="1:52" ht="11.25" customHeight="1" x14ac:dyDescent="0.3">
      <c r="A13" s="4" t="s">
        <v>21</v>
      </c>
      <c r="B13" s="4" t="s">
        <v>61</v>
      </c>
      <c r="C13" s="4" t="s">
        <v>54</v>
      </c>
      <c r="D13" s="4" t="s">
        <v>33</v>
      </c>
      <c r="E13" s="4" t="s">
        <v>25</v>
      </c>
      <c r="F13" s="4" t="s">
        <v>55</v>
      </c>
      <c r="G13" s="4" t="s">
        <v>25</v>
      </c>
      <c r="H13" s="4" t="s">
        <v>36</v>
      </c>
      <c r="I13" s="5">
        <v>44743</v>
      </c>
      <c r="J13" s="6">
        <v>4100</v>
      </c>
      <c r="K13" s="6">
        <v>2087.3986829999999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56</v>
      </c>
      <c r="R13" s="4">
        <v>0</v>
      </c>
      <c r="S13" s="6">
        <v>1</v>
      </c>
      <c r="T13" s="6">
        <v>0</v>
      </c>
      <c r="U13" s="6">
        <v>0</v>
      </c>
      <c r="V13" s="6">
        <f>IF(ISERROR(VLOOKUP($S$13,'TAR FIN'!$A$1:$O$92,15,0)),0,VLOOKUP($S$13,'TAR FIN'!$A$1:$O$92,15,0))</f>
        <v>22.04</v>
      </c>
      <c r="W13" s="6">
        <f>IF(ISERROR(VLOOKUP($T$13,'TAR FIN'!$A$1:$O$92,15,0)),0,VLOOKUP($T$13,'TAR FIN'!$A$1:$O$92,15,0))</f>
        <v>0</v>
      </c>
      <c r="X13" s="6">
        <f>IF(ISERROR(VLOOKUP($U$13,'TAR FIN'!$A$1:$O$92,15,0)),0,VLOOKUP($U$13,'TAR FIN'!$A$1:$O$92,15,0))</f>
        <v>0</v>
      </c>
      <c r="Y13" s="6">
        <f ca="1">('TUSD BE'!$AM$5+'TUSD BF_350'!$AM$5+'TUSD CVA'!$AM$5)*1</f>
        <v>22.32</v>
      </c>
      <c r="Z13" s="6">
        <f ca="1">('TUSD BE'!$AM$7+'TUSD BF_350'!$AM$7+'TUSD CVA'!$AM$7)*1</f>
        <v>94.14</v>
      </c>
      <c r="AA13" s="6"/>
      <c r="AB13" s="6">
        <f>$K$13*$V$13</f>
        <v>46006.266973319995</v>
      </c>
      <c r="AC13" s="6">
        <f>$M$13*$W$13</f>
        <v>0</v>
      </c>
      <c r="AD13" s="6">
        <f>$O$13*$X$13</f>
        <v>0</v>
      </c>
      <c r="AE13" s="6">
        <f ca="1">$K$13*$Y$13</f>
        <v>46590.73860456</v>
      </c>
      <c r="AF13" s="6">
        <f ca="1">$M$13*$Z$13</f>
        <v>0</v>
      </c>
      <c r="AG13" s="6">
        <f>$O$13*$AA$13</f>
        <v>0</v>
      </c>
    </row>
    <row r="14" spans="1:52" ht="11.25" customHeight="1" x14ac:dyDescent="0.3">
      <c r="A14" s="4" t="s">
        <v>21</v>
      </c>
      <c r="B14" s="4" t="s">
        <v>34</v>
      </c>
      <c r="C14" s="4" t="s">
        <v>54</v>
      </c>
      <c r="D14" s="4" t="s">
        <v>33</v>
      </c>
      <c r="E14" s="4" t="s">
        <v>25</v>
      </c>
      <c r="F14" s="4" t="s">
        <v>55</v>
      </c>
      <c r="G14" s="4" t="s">
        <v>25</v>
      </c>
      <c r="H14" s="4" t="s">
        <v>37</v>
      </c>
      <c r="I14" s="5">
        <v>44409</v>
      </c>
      <c r="J14" s="6">
        <v>7449</v>
      </c>
      <c r="K14" s="6">
        <v>3724.7023148399999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4" t="s">
        <v>56</v>
      </c>
      <c r="R14" s="4">
        <v>0</v>
      </c>
      <c r="S14" s="6">
        <v>10</v>
      </c>
      <c r="T14" s="6">
        <v>0</v>
      </c>
      <c r="U14" s="6">
        <v>0</v>
      </c>
      <c r="V14" s="6">
        <f>IF(ISERROR(VLOOKUP($S$14,'TAR FIN'!$A$1:$O$92,15,0)),0,VLOOKUP($S$14,'TAR FIN'!$A$1:$O$92,15,0))</f>
        <v>18.489999999999998</v>
      </c>
      <c r="W14" s="6">
        <f>IF(ISERROR(VLOOKUP($T$14,'TAR FIN'!$A$1:$O$92,15,0)),0,VLOOKUP($T$14,'TAR FIN'!$A$1:$O$92,15,0))</f>
        <v>0</v>
      </c>
      <c r="X14" s="6">
        <f>IF(ISERROR(VLOOKUP($U$14,'TAR FIN'!$A$1:$O$92,15,0)),0,VLOOKUP($U$14,'TAR FIN'!$A$1:$O$92,15,0))</f>
        <v>0</v>
      </c>
      <c r="Y14" s="6">
        <f ca="1">('TUSD BE'!$AM$10+'TUSD BF_350'!$AM$10+'TUSD CVA'!$AM$10)*1</f>
        <v>15.64</v>
      </c>
      <c r="Z14" s="6">
        <f ca="1">('TUSD BE'!$AM$11+'TUSD BF_350'!$AM$11+'TUSD CVA'!$AM$11)*1</f>
        <v>126.25</v>
      </c>
      <c r="AA14" s="6"/>
      <c r="AB14" s="6">
        <f>$K$14*$V$14</f>
        <v>68869.745801391589</v>
      </c>
      <c r="AC14" s="6">
        <f>$M$14*$W$14</f>
        <v>0</v>
      </c>
      <c r="AD14" s="6">
        <f>$O$14*$X$14</f>
        <v>0</v>
      </c>
      <c r="AE14" s="6">
        <f ca="1">$K$14*$Y$14</f>
        <v>58254.344204097601</v>
      </c>
      <c r="AF14" s="6">
        <f ca="1">$M$14*$Z$14</f>
        <v>0</v>
      </c>
      <c r="AG14" s="6">
        <f>$O$14*$AA$14</f>
        <v>0</v>
      </c>
    </row>
    <row r="15" spans="1:52" ht="11.25" customHeight="1" x14ac:dyDescent="0.3">
      <c r="A15" s="4" t="s">
        <v>21</v>
      </c>
      <c r="B15" s="4" t="s">
        <v>34</v>
      </c>
      <c r="C15" s="4" t="s">
        <v>54</v>
      </c>
      <c r="D15" s="4" t="s">
        <v>33</v>
      </c>
      <c r="E15" s="4" t="s">
        <v>25</v>
      </c>
      <c r="F15" s="4" t="s">
        <v>55</v>
      </c>
      <c r="G15" s="4" t="s">
        <v>25</v>
      </c>
      <c r="H15" s="4" t="s">
        <v>37</v>
      </c>
      <c r="I15" s="5">
        <v>44440</v>
      </c>
      <c r="J15" s="6">
        <v>7484</v>
      </c>
      <c r="K15" s="6">
        <v>3746.0831207199999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4" t="s">
        <v>56</v>
      </c>
      <c r="R15" s="4">
        <v>0</v>
      </c>
      <c r="S15" s="6">
        <v>10</v>
      </c>
      <c r="T15" s="6">
        <v>0</v>
      </c>
      <c r="U15" s="6">
        <v>0</v>
      </c>
      <c r="V15" s="6">
        <f>IF(ISERROR(VLOOKUP($S$15,'TAR FIN'!$A$1:$O$92,15,0)),0,VLOOKUP($S$15,'TAR FIN'!$A$1:$O$92,15,0))</f>
        <v>18.489999999999998</v>
      </c>
      <c r="W15" s="6">
        <f>IF(ISERROR(VLOOKUP($T$15,'TAR FIN'!$A$1:$O$92,15,0)),0,VLOOKUP($T$15,'TAR FIN'!$A$1:$O$92,15,0))</f>
        <v>0</v>
      </c>
      <c r="X15" s="6">
        <f>IF(ISERROR(VLOOKUP($U$15,'TAR FIN'!$A$1:$O$92,15,0)),0,VLOOKUP($U$15,'TAR FIN'!$A$1:$O$92,15,0))</f>
        <v>0</v>
      </c>
      <c r="Y15" s="6">
        <f ca="1">('TUSD BE'!$AM$10+'TUSD BF_350'!$AM$10+'TUSD CVA'!$AM$10)*1</f>
        <v>15.64</v>
      </c>
      <c r="Z15" s="6">
        <f ca="1">('TUSD BE'!$AM$11+'TUSD BF_350'!$AM$11+'TUSD CVA'!$AM$11)*1</f>
        <v>126.25</v>
      </c>
      <c r="AA15" s="6"/>
      <c r="AB15" s="6">
        <f>$K$15*$V$15</f>
        <v>69265.076902112793</v>
      </c>
      <c r="AC15" s="6">
        <f>$M$15*$W$15</f>
        <v>0</v>
      </c>
      <c r="AD15" s="6">
        <f>$O$15*$X$15</f>
        <v>0</v>
      </c>
      <c r="AE15" s="6">
        <f ca="1">$K$15*$Y$15</f>
        <v>58588.740008060799</v>
      </c>
      <c r="AF15" s="6">
        <f ca="1">$M$15*$Z$15</f>
        <v>0</v>
      </c>
      <c r="AG15" s="6">
        <f>$O$15*$AA$15</f>
        <v>0</v>
      </c>
    </row>
    <row r="16" spans="1:52" ht="11.25" customHeight="1" x14ac:dyDescent="0.3">
      <c r="A16" s="4" t="s">
        <v>21</v>
      </c>
      <c r="B16" s="4" t="s">
        <v>34</v>
      </c>
      <c r="C16" s="4" t="s">
        <v>54</v>
      </c>
      <c r="D16" s="4" t="s">
        <v>33</v>
      </c>
      <c r="E16" s="4" t="s">
        <v>25</v>
      </c>
      <c r="F16" s="4" t="s">
        <v>55</v>
      </c>
      <c r="G16" s="4" t="s">
        <v>25</v>
      </c>
      <c r="H16" s="4" t="s">
        <v>37</v>
      </c>
      <c r="I16" s="5">
        <v>44470</v>
      </c>
      <c r="J16" s="6">
        <v>7491</v>
      </c>
      <c r="K16" s="6">
        <v>3748.5737071200001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4" t="s">
        <v>56</v>
      </c>
      <c r="R16" s="4">
        <v>0</v>
      </c>
      <c r="S16" s="6">
        <v>10</v>
      </c>
      <c r="T16" s="6">
        <v>0</v>
      </c>
      <c r="U16" s="6">
        <v>0</v>
      </c>
      <c r="V16" s="6">
        <f>IF(ISERROR(VLOOKUP($S$16,'TAR FIN'!$A$1:$O$92,15,0)),0,VLOOKUP($S$16,'TAR FIN'!$A$1:$O$92,15,0))</f>
        <v>18.489999999999998</v>
      </c>
      <c r="W16" s="6">
        <f>IF(ISERROR(VLOOKUP($T$16,'TAR FIN'!$A$1:$O$92,15,0)),0,VLOOKUP($T$16,'TAR FIN'!$A$1:$O$92,15,0))</f>
        <v>0</v>
      </c>
      <c r="X16" s="6">
        <f>IF(ISERROR(VLOOKUP($U$16,'TAR FIN'!$A$1:$O$92,15,0)),0,VLOOKUP($U$16,'TAR FIN'!$A$1:$O$92,15,0))</f>
        <v>0</v>
      </c>
      <c r="Y16" s="6">
        <f ca="1">('TUSD BE'!$AM$10+'TUSD BF_350'!$AM$10+'TUSD CVA'!$AM$10)*1</f>
        <v>15.64</v>
      </c>
      <c r="Z16" s="6">
        <f ca="1">('TUSD BE'!$AM$11+'TUSD BF_350'!$AM$11+'TUSD CVA'!$AM$11)*1</f>
        <v>126.25</v>
      </c>
      <c r="AA16" s="6"/>
      <c r="AB16" s="6">
        <f>$K$16*$V$16</f>
        <v>69311.1278446488</v>
      </c>
      <c r="AC16" s="6">
        <f>$M$16*$W$16</f>
        <v>0</v>
      </c>
      <c r="AD16" s="6">
        <f>$O$16*$X$16</f>
        <v>0</v>
      </c>
      <c r="AE16" s="6">
        <f ca="1">$K$16*$Y$16</f>
        <v>58627.692779356803</v>
      </c>
      <c r="AF16" s="6">
        <f ca="1">$M$16*$Z$16</f>
        <v>0</v>
      </c>
      <c r="AG16" s="6">
        <f>$O$16*$AA$16</f>
        <v>0</v>
      </c>
    </row>
    <row r="17" spans="1:33" ht="11.25" customHeight="1" x14ac:dyDescent="0.3">
      <c r="A17" s="4" t="s">
        <v>21</v>
      </c>
      <c r="B17" s="4" t="s">
        <v>34</v>
      </c>
      <c r="C17" s="4" t="s">
        <v>54</v>
      </c>
      <c r="D17" s="4" t="s">
        <v>33</v>
      </c>
      <c r="E17" s="4" t="s">
        <v>25</v>
      </c>
      <c r="F17" s="4" t="s">
        <v>55</v>
      </c>
      <c r="G17" s="4" t="s">
        <v>25</v>
      </c>
      <c r="H17" s="4" t="s">
        <v>37</v>
      </c>
      <c r="I17" s="5">
        <v>44501</v>
      </c>
      <c r="J17" s="6">
        <v>7478</v>
      </c>
      <c r="K17" s="6">
        <v>3742.4309811799999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4" t="s">
        <v>56</v>
      </c>
      <c r="R17" s="4">
        <v>0</v>
      </c>
      <c r="S17" s="6">
        <v>10</v>
      </c>
      <c r="T17" s="6">
        <v>0</v>
      </c>
      <c r="U17" s="6">
        <v>0</v>
      </c>
      <c r="V17" s="6">
        <f>IF(ISERROR(VLOOKUP($S$17,'TAR FIN'!$A$1:$O$92,15,0)),0,VLOOKUP($S$17,'TAR FIN'!$A$1:$O$92,15,0))</f>
        <v>18.489999999999998</v>
      </c>
      <c r="W17" s="6">
        <f>IF(ISERROR(VLOOKUP($T$17,'TAR FIN'!$A$1:$O$92,15,0)),0,VLOOKUP($T$17,'TAR FIN'!$A$1:$O$92,15,0))</f>
        <v>0</v>
      </c>
      <c r="X17" s="6">
        <f>IF(ISERROR(VLOOKUP($U$17,'TAR FIN'!$A$1:$O$92,15,0)),0,VLOOKUP($U$17,'TAR FIN'!$A$1:$O$92,15,0))</f>
        <v>0</v>
      </c>
      <c r="Y17" s="6">
        <f ca="1">('TUSD BE'!$AM$10+'TUSD BF_350'!$AM$10+'TUSD CVA'!$AM$10)*1</f>
        <v>15.64</v>
      </c>
      <c r="Z17" s="6">
        <f ca="1">('TUSD BE'!$AM$11+'TUSD BF_350'!$AM$11+'TUSD CVA'!$AM$11)*1</f>
        <v>126.25</v>
      </c>
      <c r="AA17" s="6"/>
      <c r="AB17" s="6">
        <f>$K$17*$V$17</f>
        <v>69197.548842018194</v>
      </c>
      <c r="AC17" s="6">
        <f>$M$17*$W$17</f>
        <v>0</v>
      </c>
      <c r="AD17" s="6">
        <f>$O$17*$X$17</f>
        <v>0</v>
      </c>
      <c r="AE17" s="6">
        <f ca="1">$K$17*$Y$17</f>
        <v>58531.620545655198</v>
      </c>
      <c r="AF17" s="6">
        <f ca="1">$M$17*$Z$17</f>
        <v>0</v>
      </c>
      <c r="AG17" s="6">
        <f>$O$17*$AA$17</f>
        <v>0</v>
      </c>
    </row>
    <row r="18" spans="1:33" ht="11.25" customHeight="1" x14ac:dyDescent="0.3">
      <c r="A18" s="4" t="s">
        <v>21</v>
      </c>
      <c r="B18" s="4" t="s">
        <v>34</v>
      </c>
      <c r="C18" s="4" t="s">
        <v>54</v>
      </c>
      <c r="D18" s="4" t="s">
        <v>33</v>
      </c>
      <c r="E18" s="4" t="s">
        <v>25</v>
      </c>
      <c r="F18" s="4" t="s">
        <v>55</v>
      </c>
      <c r="G18" s="4" t="s">
        <v>25</v>
      </c>
      <c r="H18" s="4" t="s">
        <v>37</v>
      </c>
      <c r="I18" s="5">
        <v>44531</v>
      </c>
      <c r="J18" s="6">
        <v>7501</v>
      </c>
      <c r="K18" s="6">
        <v>3759.8354445599998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4" t="s">
        <v>56</v>
      </c>
      <c r="R18" s="4">
        <v>0</v>
      </c>
      <c r="S18" s="6">
        <v>10</v>
      </c>
      <c r="T18" s="6">
        <v>0</v>
      </c>
      <c r="U18" s="6">
        <v>0</v>
      </c>
      <c r="V18" s="6">
        <f>IF(ISERROR(VLOOKUP($S$18,'TAR FIN'!$A$1:$O$92,15,0)),0,VLOOKUP($S$18,'TAR FIN'!$A$1:$O$92,15,0))</f>
        <v>18.489999999999998</v>
      </c>
      <c r="W18" s="6">
        <f>IF(ISERROR(VLOOKUP($T$18,'TAR FIN'!$A$1:$O$92,15,0)),0,VLOOKUP($T$18,'TAR FIN'!$A$1:$O$92,15,0))</f>
        <v>0</v>
      </c>
      <c r="X18" s="6">
        <f>IF(ISERROR(VLOOKUP($U$18,'TAR FIN'!$A$1:$O$92,15,0)),0,VLOOKUP($U$18,'TAR FIN'!$A$1:$O$92,15,0))</f>
        <v>0</v>
      </c>
      <c r="Y18" s="6">
        <f ca="1">('TUSD BE'!$AM$10+'TUSD BF_350'!$AM$10+'TUSD CVA'!$AM$10)*1</f>
        <v>15.64</v>
      </c>
      <c r="Z18" s="6">
        <f ca="1">('TUSD BE'!$AM$11+'TUSD BF_350'!$AM$11+'TUSD CVA'!$AM$11)*1</f>
        <v>126.25</v>
      </c>
      <c r="AA18" s="6"/>
      <c r="AB18" s="6">
        <f>$K$18*$V$18</f>
        <v>69519.357369914389</v>
      </c>
      <c r="AC18" s="6">
        <f>$M$18*$W$18</f>
        <v>0</v>
      </c>
      <c r="AD18" s="6">
        <f>$O$18*$X$18</f>
        <v>0</v>
      </c>
      <c r="AE18" s="6">
        <f ca="1">$K$18*$Y$18</f>
        <v>58803.826352918397</v>
      </c>
      <c r="AF18" s="6">
        <f ca="1">$M$18*$Z$18</f>
        <v>0</v>
      </c>
      <c r="AG18" s="6">
        <f>$O$18*$AA$18</f>
        <v>0</v>
      </c>
    </row>
    <row r="19" spans="1:33" ht="11.25" customHeight="1" x14ac:dyDescent="0.3">
      <c r="A19" s="4" t="s">
        <v>21</v>
      </c>
      <c r="B19" s="4" t="s">
        <v>34</v>
      </c>
      <c r="C19" s="4" t="s">
        <v>54</v>
      </c>
      <c r="D19" s="4" t="s">
        <v>33</v>
      </c>
      <c r="E19" s="4" t="s">
        <v>25</v>
      </c>
      <c r="F19" s="4" t="s">
        <v>55</v>
      </c>
      <c r="G19" s="4" t="s">
        <v>25</v>
      </c>
      <c r="H19" s="4" t="s">
        <v>37</v>
      </c>
      <c r="I19" s="5">
        <v>44562</v>
      </c>
      <c r="J19" s="6">
        <v>7458</v>
      </c>
      <c r="K19" s="6">
        <v>3750.2420247599998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4" t="s">
        <v>56</v>
      </c>
      <c r="R19" s="4">
        <v>0</v>
      </c>
      <c r="S19" s="6">
        <v>10</v>
      </c>
      <c r="T19" s="6">
        <v>0</v>
      </c>
      <c r="U19" s="6">
        <v>0</v>
      </c>
      <c r="V19" s="6">
        <f>IF(ISERROR(VLOOKUP($S$19,'TAR FIN'!$A$1:$O$92,15,0)),0,VLOOKUP($S$19,'TAR FIN'!$A$1:$O$92,15,0))</f>
        <v>18.489999999999998</v>
      </c>
      <c r="W19" s="6">
        <f>IF(ISERROR(VLOOKUP($T$19,'TAR FIN'!$A$1:$O$92,15,0)),0,VLOOKUP($T$19,'TAR FIN'!$A$1:$O$92,15,0))</f>
        <v>0</v>
      </c>
      <c r="X19" s="6">
        <f>IF(ISERROR(VLOOKUP($U$19,'TAR FIN'!$A$1:$O$92,15,0)),0,VLOOKUP($U$19,'TAR FIN'!$A$1:$O$92,15,0))</f>
        <v>0</v>
      </c>
      <c r="Y19" s="6">
        <f ca="1">('TUSD BE'!$AM$10+'TUSD BF_350'!$AM$10+'TUSD CVA'!$AM$10)*1</f>
        <v>15.64</v>
      </c>
      <c r="Z19" s="6">
        <f ca="1">('TUSD BE'!$AM$11+'TUSD BF_350'!$AM$11+'TUSD CVA'!$AM$11)*1</f>
        <v>126.25</v>
      </c>
      <c r="AA19" s="6"/>
      <c r="AB19" s="6">
        <f>$K$19*$V$19</f>
        <v>69341.975037812386</v>
      </c>
      <c r="AC19" s="6">
        <f>$M$19*$W$19</f>
        <v>0</v>
      </c>
      <c r="AD19" s="6">
        <f>$O$19*$X$19</f>
        <v>0</v>
      </c>
      <c r="AE19" s="6">
        <f ca="1">$K$19*$Y$19</f>
        <v>58653.7852672464</v>
      </c>
      <c r="AF19" s="6">
        <f ca="1">$M$19*$Z$19</f>
        <v>0</v>
      </c>
      <c r="AG19" s="6">
        <f>$O$19*$AA$19</f>
        <v>0</v>
      </c>
    </row>
    <row r="20" spans="1:33" ht="11.25" customHeight="1" x14ac:dyDescent="0.3">
      <c r="A20" s="4" t="s">
        <v>21</v>
      </c>
      <c r="B20" s="4" t="s">
        <v>34</v>
      </c>
      <c r="C20" s="4" t="s">
        <v>54</v>
      </c>
      <c r="D20" s="4" t="s">
        <v>33</v>
      </c>
      <c r="E20" s="4" t="s">
        <v>25</v>
      </c>
      <c r="F20" s="4" t="s">
        <v>55</v>
      </c>
      <c r="G20" s="4" t="s">
        <v>25</v>
      </c>
      <c r="H20" s="4" t="s">
        <v>37</v>
      </c>
      <c r="I20" s="5">
        <v>44593</v>
      </c>
      <c r="J20" s="6">
        <v>7471</v>
      </c>
      <c r="K20" s="6">
        <v>3737.6955774799999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4" t="s">
        <v>56</v>
      </c>
      <c r="R20" s="4">
        <v>0</v>
      </c>
      <c r="S20" s="6">
        <v>10</v>
      </c>
      <c r="T20" s="6">
        <v>0</v>
      </c>
      <c r="U20" s="6">
        <v>0</v>
      </c>
      <c r="V20" s="6">
        <f>IF(ISERROR(VLOOKUP($S$20,'TAR FIN'!$A$1:$O$92,15,0)),0,VLOOKUP($S$20,'TAR FIN'!$A$1:$O$92,15,0))</f>
        <v>18.489999999999998</v>
      </c>
      <c r="W20" s="6">
        <f>IF(ISERROR(VLOOKUP($T$20,'TAR FIN'!$A$1:$O$92,15,0)),0,VLOOKUP($T$20,'TAR FIN'!$A$1:$O$92,15,0))</f>
        <v>0</v>
      </c>
      <c r="X20" s="6">
        <f>IF(ISERROR(VLOOKUP($U$20,'TAR FIN'!$A$1:$O$92,15,0)),0,VLOOKUP($U$20,'TAR FIN'!$A$1:$O$92,15,0))</f>
        <v>0</v>
      </c>
      <c r="Y20" s="6">
        <f ca="1">('TUSD BE'!$AM$10+'TUSD BF_350'!$AM$10+'TUSD CVA'!$AM$10)*1</f>
        <v>15.64</v>
      </c>
      <c r="Z20" s="6">
        <f ca="1">('TUSD BE'!$AM$11+'TUSD BF_350'!$AM$11+'TUSD CVA'!$AM$11)*1</f>
        <v>126.25</v>
      </c>
      <c r="AA20" s="6"/>
      <c r="AB20" s="6">
        <f>$K$20*$V$20</f>
        <v>69109.991227605191</v>
      </c>
      <c r="AC20" s="6">
        <f>$M$20*$W$20</f>
        <v>0</v>
      </c>
      <c r="AD20" s="6">
        <f>$O$20*$X$20</f>
        <v>0</v>
      </c>
      <c r="AE20" s="6">
        <f ca="1">$K$20*$Y$20</f>
        <v>58457.558831787203</v>
      </c>
      <c r="AF20" s="6">
        <f ca="1">$M$20*$Z$20</f>
        <v>0</v>
      </c>
      <c r="AG20" s="6">
        <f>$O$20*$AA$20</f>
        <v>0</v>
      </c>
    </row>
    <row r="21" spans="1:33" ht="11.25" customHeight="1" x14ac:dyDescent="0.3">
      <c r="A21" s="4" t="s">
        <v>21</v>
      </c>
      <c r="B21" s="4" t="s">
        <v>34</v>
      </c>
      <c r="C21" s="4" t="s">
        <v>54</v>
      </c>
      <c r="D21" s="4" t="s">
        <v>33</v>
      </c>
      <c r="E21" s="4" t="s">
        <v>25</v>
      </c>
      <c r="F21" s="4" t="s">
        <v>55</v>
      </c>
      <c r="G21" s="4" t="s">
        <v>25</v>
      </c>
      <c r="H21" s="4" t="s">
        <v>37</v>
      </c>
      <c r="I21" s="5">
        <v>44621</v>
      </c>
      <c r="J21" s="6">
        <v>7050</v>
      </c>
      <c r="K21" s="6">
        <v>3526.0792139999999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4" t="s">
        <v>56</v>
      </c>
      <c r="R21" s="4">
        <v>0</v>
      </c>
      <c r="S21" s="6">
        <v>10</v>
      </c>
      <c r="T21" s="6">
        <v>0</v>
      </c>
      <c r="U21" s="6">
        <v>0</v>
      </c>
      <c r="V21" s="6">
        <f>IF(ISERROR(VLOOKUP($S$21,'TAR FIN'!$A$1:$O$92,15,0)),0,VLOOKUP($S$21,'TAR FIN'!$A$1:$O$92,15,0))</f>
        <v>18.489999999999998</v>
      </c>
      <c r="W21" s="6">
        <f>IF(ISERROR(VLOOKUP($T$21,'TAR FIN'!$A$1:$O$92,15,0)),0,VLOOKUP($T$21,'TAR FIN'!$A$1:$O$92,15,0))</f>
        <v>0</v>
      </c>
      <c r="X21" s="6">
        <f>IF(ISERROR(VLOOKUP($U$21,'TAR FIN'!$A$1:$O$92,15,0)),0,VLOOKUP($U$21,'TAR FIN'!$A$1:$O$92,15,0))</f>
        <v>0</v>
      </c>
      <c r="Y21" s="6">
        <f ca="1">('TUSD BE'!$AM$10+'TUSD BF_350'!$AM$10+'TUSD CVA'!$AM$10)*1</f>
        <v>15.64</v>
      </c>
      <c r="Z21" s="6">
        <f ca="1">('TUSD BE'!$AM$11+'TUSD BF_350'!$AM$11+'TUSD CVA'!$AM$11)*1</f>
        <v>126.25</v>
      </c>
      <c r="AA21" s="6"/>
      <c r="AB21" s="6">
        <f>$K$21*$V$21</f>
        <v>65197.204666859994</v>
      </c>
      <c r="AC21" s="6">
        <f>$M$21*$W$21</f>
        <v>0</v>
      </c>
      <c r="AD21" s="6">
        <f>$O$21*$X$21</f>
        <v>0</v>
      </c>
      <c r="AE21" s="6">
        <f ca="1">$K$21*$Y$21</f>
        <v>55147.878906960002</v>
      </c>
      <c r="AF21" s="6">
        <f ca="1">$M$21*$Z$21</f>
        <v>0</v>
      </c>
      <c r="AG21" s="6">
        <f>$O$21*$AA$21</f>
        <v>0</v>
      </c>
    </row>
    <row r="22" spans="1:33" ht="11.25" customHeight="1" x14ac:dyDescent="0.3">
      <c r="A22" s="4" t="s">
        <v>21</v>
      </c>
      <c r="B22" s="4" t="s">
        <v>34</v>
      </c>
      <c r="C22" s="4" t="s">
        <v>54</v>
      </c>
      <c r="D22" s="4" t="s">
        <v>33</v>
      </c>
      <c r="E22" s="4" t="s">
        <v>25</v>
      </c>
      <c r="F22" s="4" t="s">
        <v>55</v>
      </c>
      <c r="G22" s="4" t="s">
        <v>25</v>
      </c>
      <c r="H22" s="4" t="s">
        <v>37</v>
      </c>
      <c r="I22" s="5">
        <v>44652</v>
      </c>
      <c r="J22" s="6">
        <v>7050</v>
      </c>
      <c r="K22" s="6">
        <v>3527.2197630000001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4" t="s">
        <v>56</v>
      </c>
      <c r="R22" s="4">
        <v>0</v>
      </c>
      <c r="S22" s="6">
        <v>10</v>
      </c>
      <c r="T22" s="6">
        <v>0</v>
      </c>
      <c r="U22" s="6">
        <v>0</v>
      </c>
      <c r="V22" s="6">
        <f>IF(ISERROR(VLOOKUP($S$22,'TAR FIN'!$A$1:$O$92,15,0)),0,VLOOKUP($S$22,'TAR FIN'!$A$1:$O$92,15,0))</f>
        <v>18.489999999999998</v>
      </c>
      <c r="W22" s="6">
        <f>IF(ISERROR(VLOOKUP($T$22,'TAR FIN'!$A$1:$O$92,15,0)),0,VLOOKUP($T$22,'TAR FIN'!$A$1:$O$92,15,0))</f>
        <v>0</v>
      </c>
      <c r="X22" s="6">
        <f>IF(ISERROR(VLOOKUP($U$22,'TAR FIN'!$A$1:$O$92,15,0)),0,VLOOKUP($U$22,'TAR FIN'!$A$1:$O$92,15,0))</f>
        <v>0</v>
      </c>
      <c r="Y22" s="6">
        <f ca="1">('TUSD BE'!$AM$10+'TUSD BF_350'!$AM$10+'TUSD CVA'!$AM$10)*1</f>
        <v>15.64</v>
      </c>
      <c r="Z22" s="6">
        <f ca="1">('TUSD BE'!$AM$11+'TUSD BF_350'!$AM$11+'TUSD CVA'!$AM$11)*1</f>
        <v>126.25</v>
      </c>
      <c r="AA22" s="6"/>
      <c r="AB22" s="6">
        <f>$K$22*$V$22</f>
        <v>65218.293417869994</v>
      </c>
      <c r="AC22" s="6">
        <f>$M$22*$W$22</f>
        <v>0</v>
      </c>
      <c r="AD22" s="6">
        <f>$O$22*$X$22</f>
        <v>0</v>
      </c>
      <c r="AE22" s="6">
        <f ca="1">$K$22*$Y$22</f>
        <v>55165.717093320003</v>
      </c>
      <c r="AF22" s="6">
        <f ca="1">$M$22*$Z$22</f>
        <v>0</v>
      </c>
      <c r="AG22" s="6">
        <f>$O$22*$AA$22</f>
        <v>0</v>
      </c>
    </row>
    <row r="23" spans="1:33" ht="11.25" customHeight="1" x14ac:dyDescent="0.3">
      <c r="A23" s="4" t="s">
        <v>21</v>
      </c>
      <c r="B23" s="4" t="s">
        <v>34</v>
      </c>
      <c r="C23" s="4" t="s">
        <v>54</v>
      </c>
      <c r="D23" s="4" t="s">
        <v>33</v>
      </c>
      <c r="E23" s="4" t="s">
        <v>25</v>
      </c>
      <c r="F23" s="4" t="s">
        <v>55</v>
      </c>
      <c r="G23" s="4" t="s">
        <v>25</v>
      </c>
      <c r="H23" s="4" t="s">
        <v>37</v>
      </c>
      <c r="I23" s="5">
        <v>44682</v>
      </c>
      <c r="J23" s="6">
        <v>4250</v>
      </c>
      <c r="K23" s="6">
        <v>2125.60707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4" t="s">
        <v>56</v>
      </c>
      <c r="R23" s="4">
        <v>0</v>
      </c>
      <c r="S23" s="6">
        <v>10</v>
      </c>
      <c r="T23" s="6">
        <v>0</v>
      </c>
      <c r="U23" s="6">
        <v>0</v>
      </c>
      <c r="V23" s="6">
        <f>IF(ISERROR(VLOOKUP($S$23,'TAR FIN'!$A$1:$O$92,15,0)),0,VLOOKUP($S$23,'TAR FIN'!$A$1:$O$92,15,0))</f>
        <v>18.489999999999998</v>
      </c>
      <c r="W23" s="6">
        <f>IF(ISERROR(VLOOKUP($T$23,'TAR FIN'!$A$1:$O$92,15,0)),0,VLOOKUP($T$23,'TAR FIN'!$A$1:$O$92,15,0))</f>
        <v>0</v>
      </c>
      <c r="X23" s="6">
        <f>IF(ISERROR(VLOOKUP($U$23,'TAR FIN'!$A$1:$O$92,15,0)),0,VLOOKUP($U$23,'TAR FIN'!$A$1:$O$92,15,0))</f>
        <v>0</v>
      </c>
      <c r="Y23" s="6">
        <f ca="1">('TUSD BE'!$AM$10+'TUSD BF_350'!$AM$10+'TUSD CVA'!$AM$10)*1</f>
        <v>15.64</v>
      </c>
      <c r="Z23" s="6">
        <f ca="1">('TUSD BE'!$AM$11+'TUSD BF_350'!$AM$11+'TUSD CVA'!$AM$11)*1</f>
        <v>126.25</v>
      </c>
      <c r="AA23" s="6"/>
      <c r="AB23" s="6">
        <f>$K$23*$V$23</f>
        <v>39302.474724299995</v>
      </c>
      <c r="AC23" s="6">
        <f>$M$23*$W$23</f>
        <v>0</v>
      </c>
      <c r="AD23" s="6">
        <f>$O$23*$X$23</f>
        <v>0</v>
      </c>
      <c r="AE23" s="6">
        <f ca="1">$K$23*$Y$23</f>
        <v>33244.494574800003</v>
      </c>
      <c r="AF23" s="6">
        <f ca="1">$M$23*$Z$23</f>
        <v>0</v>
      </c>
      <c r="AG23" s="6">
        <f>$O$23*$AA$23</f>
        <v>0</v>
      </c>
    </row>
    <row r="24" spans="1:33" ht="11.25" customHeight="1" x14ac:dyDescent="0.3">
      <c r="A24" s="4" t="s">
        <v>21</v>
      </c>
      <c r="B24" s="4" t="s">
        <v>34</v>
      </c>
      <c r="C24" s="4" t="s">
        <v>54</v>
      </c>
      <c r="D24" s="4" t="s">
        <v>33</v>
      </c>
      <c r="E24" s="4" t="s">
        <v>25</v>
      </c>
      <c r="F24" s="4" t="s">
        <v>55</v>
      </c>
      <c r="G24" s="4" t="s">
        <v>25</v>
      </c>
      <c r="H24" s="4" t="s">
        <v>37</v>
      </c>
      <c r="I24" s="5">
        <v>44713</v>
      </c>
      <c r="J24" s="6">
        <v>4250</v>
      </c>
      <c r="K24" s="6">
        <v>2139.1935125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4" t="s">
        <v>56</v>
      </c>
      <c r="R24" s="4">
        <v>0</v>
      </c>
      <c r="S24" s="6">
        <v>10</v>
      </c>
      <c r="T24" s="6">
        <v>0</v>
      </c>
      <c r="U24" s="6">
        <v>0</v>
      </c>
      <c r="V24" s="6">
        <f>IF(ISERROR(VLOOKUP($S$24,'TAR FIN'!$A$1:$O$92,15,0)),0,VLOOKUP($S$24,'TAR FIN'!$A$1:$O$92,15,0))</f>
        <v>18.489999999999998</v>
      </c>
      <c r="W24" s="6">
        <f>IF(ISERROR(VLOOKUP($T$24,'TAR FIN'!$A$1:$O$92,15,0)),0,VLOOKUP($T$24,'TAR FIN'!$A$1:$O$92,15,0))</f>
        <v>0</v>
      </c>
      <c r="X24" s="6">
        <f>IF(ISERROR(VLOOKUP($U$24,'TAR FIN'!$A$1:$O$92,15,0)),0,VLOOKUP($U$24,'TAR FIN'!$A$1:$O$92,15,0))</f>
        <v>0</v>
      </c>
      <c r="Y24" s="6">
        <f ca="1">('TUSD BE'!$AM$10+'TUSD BF_350'!$AM$10+'TUSD CVA'!$AM$10)*1</f>
        <v>15.64</v>
      </c>
      <c r="Z24" s="6">
        <f ca="1">('TUSD BE'!$AM$11+'TUSD BF_350'!$AM$11+'TUSD CVA'!$AM$11)*1</f>
        <v>126.25</v>
      </c>
      <c r="AA24" s="6"/>
      <c r="AB24" s="6">
        <f>$K$24*$V$24</f>
        <v>39553.688046124997</v>
      </c>
      <c r="AC24" s="6">
        <f>$M$24*$W$24</f>
        <v>0</v>
      </c>
      <c r="AD24" s="6">
        <f>$O$24*$X$24</f>
        <v>0</v>
      </c>
      <c r="AE24" s="6">
        <f ca="1">$K$24*$Y$24</f>
        <v>33456.9865355</v>
      </c>
      <c r="AF24" s="6">
        <f ca="1">$M$24*$Z$24</f>
        <v>0</v>
      </c>
      <c r="AG24" s="6">
        <f>$O$24*$AA$24</f>
        <v>0</v>
      </c>
    </row>
    <row r="25" spans="1:33" ht="11.25" customHeight="1" x14ac:dyDescent="0.3">
      <c r="A25" s="4" t="s">
        <v>21</v>
      </c>
      <c r="B25" s="4" t="s">
        <v>34</v>
      </c>
      <c r="C25" s="4" t="s">
        <v>54</v>
      </c>
      <c r="D25" s="4" t="s">
        <v>33</v>
      </c>
      <c r="E25" s="4" t="s">
        <v>25</v>
      </c>
      <c r="F25" s="4" t="s">
        <v>55</v>
      </c>
      <c r="G25" s="4" t="s">
        <v>25</v>
      </c>
      <c r="H25" s="4" t="s">
        <v>37</v>
      </c>
      <c r="I25" s="5">
        <v>44743</v>
      </c>
      <c r="J25" s="6">
        <v>4250</v>
      </c>
      <c r="K25" s="6">
        <v>2143.1871099999998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4" t="s">
        <v>56</v>
      </c>
      <c r="R25" s="4">
        <v>0</v>
      </c>
      <c r="S25" s="6">
        <v>10</v>
      </c>
      <c r="T25" s="6">
        <v>0</v>
      </c>
      <c r="U25" s="6">
        <v>0</v>
      </c>
      <c r="V25" s="6">
        <f>IF(ISERROR(VLOOKUP($S$25,'TAR FIN'!$A$1:$O$92,15,0)),0,VLOOKUP($S$25,'TAR FIN'!$A$1:$O$92,15,0))</f>
        <v>18.489999999999998</v>
      </c>
      <c r="W25" s="6">
        <f>IF(ISERROR(VLOOKUP($T$25,'TAR FIN'!$A$1:$O$92,15,0)),0,VLOOKUP($T$25,'TAR FIN'!$A$1:$O$92,15,0))</f>
        <v>0</v>
      </c>
      <c r="X25" s="6">
        <f>IF(ISERROR(VLOOKUP($U$25,'TAR FIN'!$A$1:$O$92,15,0)),0,VLOOKUP($U$25,'TAR FIN'!$A$1:$O$92,15,0))</f>
        <v>0</v>
      </c>
      <c r="Y25" s="6">
        <f ca="1">('TUSD BE'!$AM$10+'TUSD BF_350'!$AM$10+'TUSD CVA'!$AM$10)*1</f>
        <v>15.64</v>
      </c>
      <c r="Z25" s="6">
        <f ca="1">('TUSD BE'!$AM$11+'TUSD BF_350'!$AM$11+'TUSD CVA'!$AM$11)*1</f>
        <v>126.25</v>
      </c>
      <c r="AA25" s="6"/>
      <c r="AB25" s="6">
        <f>$K$25*$V$25</f>
        <v>39627.529663899993</v>
      </c>
      <c r="AC25" s="6">
        <f>$M$25*$W$25</f>
        <v>0</v>
      </c>
      <c r="AD25" s="6">
        <f>$O$25*$X$25</f>
        <v>0</v>
      </c>
      <c r="AE25" s="6">
        <f ca="1">$K$25*$Y$25</f>
        <v>33519.446400399996</v>
      </c>
      <c r="AF25" s="6">
        <f ca="1">$M$25*$Z$25</f>
        <v>0</v>
      </c>
      <c r="AG25" s="6">
        <f>$O$25*$AA$25</f>
        <v>0</v>
      </c>
    </row>
    <row r="26" spans="1:33" ht="11.25" customHeight="1" x14ac:dyDescent="0.3">
      <c r="A26" s="4" t="s">
        <v>21</v>
      </c>
      <c r="B26" s="4" t="s">
        <v>34</v>
      </c>
      <c r="C26" s="4" t="s">
        <v>54</v>
      </c>
      <c r="D26" s="4" t="s">
        <v>33</v>
      </c>
      <c r="E26" s="4" t="s">
        <v>25</v>
      </c>
      <c r="F26" s="4" t="s">
        <v>55</v>
      </c>
      <c r="G26" s="4" t="s">
        <v>25</v>
      </c>
      <c r="H26" s="4" t="s">
        <v>25</v>
      </c>
      <c r="I26" s="5">
        <v>44409</v>
      </c>
      <c r="J26" s="6">
        <v>0</v>
      </c>
      <c r="K26" s="6">
        <v>0</v>
      </c>
      <c r="L26" s="6">
        <v>3512.64</v>
      </c>
      <c r="M26" s="6">
        <v>3512.64</v>
      </c>
      <c r="N26" s="6">
        <v>0</v>
      </c>
      <c r="O26" s="6">
        <v>0</v>
      </c>
      <c r="P26" s="6">
        <v>3</v>
      </c>
      <c r="Q26" s="4" t="s">
        <v>56</v>
      </c>
      <c r="R26" s="4">
        <v>0</v>
      </c>
      <c r="S26" s="6">
        <v>0</v>
      </c>
      <c r="T26" s="6">
        <v>13</v>
      </c>
      <c r="U26" s="6">
        <v>0</v>
      </c>
      <c r="V26" s="6">
        <f>IF(ISERROR(VLOOKUP($S$26,'TAR FIN'!$A$1:$O$92,15,0)),0,VLOOKUP($S$26,'TAR FIN'!$A$1:$O$92,15,0))</f>
        <v>0</v>
      </c>
      <c r="W26" s="6">
        <f>IF(ISERROR(VLOOKUP($T$26,'TAR FIN'!$A$1:$O$92,15,0)),0,VLOOKUP($T$26,'TAR FIN'!$A$1:$O$92,15,0))</f>
        <v>73.28</v>
      </c>
      <c r="X26" s="6">
        <f>IF(ISERROR(VLOOKUP($U$26,'TAR FIN'!$A$1:$O$92,15,0)),0,VLOOKUP($U$26,'TAR FIN'!$A$1:$O$92,15,0))</f>
        <v>0</v>
      </c>
      <c r="Y26" s="6"/>
      <c r="Z26" s="6">
        <f ca="1">('TUSD BE'!$AM$11+'TUSD BF_350'!$AM$11+'TUSD CVA'!$AM$11)*1</f>
        <v>126.25</v>
      </c>
      <c r="AA26" s="6"/>
      <c r="AB26" s="6">
        <f>$K$26*$V$26</f>
        <v>0</v>
      </c>
      <c r="AC26" s="6">
        <f>$M$26*$W$26</f>
        <v>257406.2592</v>
      </c>
      <c r="AD26" s="6">
        <f>$O$26*$X$26</f>
        <v>0</v>
      </c>
      <c r="AE26" s="6">
        <f>$K$26*$Y$26</f>
        <v>0</v>
      </c>
      <c r="AF26" s="6">
        <f ca="1">$M$26*$Z$26</f>
        <v>443470.8</v>
      </c>
      <c r="AG26" s="6">
        <f>$O$26*$AA$26</f>
        <v>0</v>
      </c>
    </row>
    <row r="27" spans="1:33" ht="11.25" customHeight="1" x14ac:dyDescent="0.3">
      <c r="A27" s="4" t="s">
        <v>21</v>
      </c>
      <c r="B27" s="4" t="s">
        <v>34</v>
      </c>
      <c r="C27" s="4" t="s">
        <v>54</v>
      </c>
      <c r="D27" s="4" t="s">
        <v>33</v>
      </c>
      <c r="E27" s="4" t="s">
        <v>25</v>
      </c>
      <c r="F27" s="4" t="s">
        <v>55</v>
      </c>
      <c r="G27" s="4" t="s">
        <v>25</v>
      </c>
      <c r="H27" s="4" t="s">
        <v>25</v>
      </c>
      <c r="I27" s="5">
        <v>44440</v>
      </c>
      <c r="J27" s="6">
        <v>0</v>
      </c>
      <c r="K27" s="6">
        <v>0</v>
      </c>
      <c r="L27" s="6">
        <v>3376.123</v>
      </c>
      <c r="M27" s="6">
        <v>3376.123</v>
      </c>
      <c r="N27" s="6">
        <v>0</v>
      </c>
      <c r="O27" s="6">
        <v>0</v>
      </c>
      <c r="P27" s="6">
        <v>3</v>
      </c>
      <c r="Q27" s="4" t="s">
        <v>56</v>
      </c>
      <c r="R27" s="4">
        <v>0</v>
      </c>
      <c r="S27" s="6">
        <v>0</v>
      </c>
      <c r="T27" s="6">
        <v>13</v>
      </c>
      <c r="U27" s="6">
        <v>0</v>
      </c>
      <c r="V27" s="6">
        <f>IF(ISERROR(VLOOKUP($S$27,'TAR FIN'!$A$1:$O$92,15,0)),0,VLOOKUP($S$27,'TAR FIN'!$A$1:$O$92,15,0))</f>
        <v>0</v>
      </c>
      <c r="W27" s="6">
        <f>IF(ISERROR(VLOOKUP($T$27,'TAR FIN'!$A$1:$O$92,15,0)),0,VLOOKUP($T$27,'TAR FIN'!$A$1:$O$92,15,0))</f>
        <v>73.28</v>
      </c>
      <c r="X27" s="6">
        <f>IF(ISERROR(VLOOKUP($U$27,'TAR FIN'!$A$1:$O$92,15,0)),0,VLOOKUP($U$27,'TAR FIN'!$A$1:$O$92,15,0))</f>
        <v>0</v>
      </c>
      <c r="Y27" s="6"/>
      <c r="Z27" s="6">
        <f ca="1">('TUSD BE'!$AM$11+'TUSD BF_350'!$AM$11+'TUSD CVA'!$AM$11)*1</f>
        <v>126.25</v>
      </c>
      <c r="AA27" s="6"/>
      <c r="AB27" s="6">
        <f>$K$27*$V$27</f>
        <v>0</v>
      </c>
      <c r="AC27" s="6">
        <f>$M$27*$W$27</f>
        <v>247402.29344000001</v>
      </c>
      <c r="AD27" s="6">
        <f>$O$27*$X$27</f>
        <v>0</v>
      </c>
      <c r="AE27" s="6">
        <f>$K$27*$Y$27</f>
        <v>0</v>
      </c>
      <c r="AF27" s="6">
        <f ca="1">$M$27*$Z$27</f>
        <v>426235.52875</v>
      </c>
      <c r="AG27" s="6">
        <f>$O$27*$AA$27</f>
        <v>0</v>
      </c>
    </row>
    <row r="28" spans="1:33" ht="11.25" customHeight="1" x14ac:dyDescent="0.3">
      <c r="A28" s="4" t="s">
        <v>21</v>
      </c>
      <c r="B28" s="4" t="s">
        <v>34</v>
      </c>
      <c r="C28" s="4" t="s">
        <v>54</v>
      </c>
      <c r="D28" s="4" t="s">
        <v>33</v>
      </c>
      <c r="E28" s="4" t="s">
        <v>25</v>
      </c>
      <c r="F28" s="4" t="s">
        <v>55</v>
      </c>
      <c r="G28" s="4" t="s">
        <v>25</v>
      </c>
      <c r="H28" s="4" t="s">
        <v>25</v>
      </c>
      <c r="I28" s="5">
        <v>44470</v>
      </c>
      <c r="J28" s="6">
        <v>0</v>
      </c>
      <c r="K28" s="6">
        <v>0</v>
      </c>
      <c r="L28" s="6">
        <v>3601.8670000000002</v>
      </c>
      <c r="M28" s="6">
        <v>3601.8670000000002</v>
      </c>
      <c r="N28" s="6">
        <v>0</v>
      </c>
      <c r="O28" s="6">
        <v>0</v>
      </c>
      <c r="P28" s="6">
        <v>3</v>
      </c>
      <c r="Q28" s="4" t="s">
        <v>56</v>
      </c>
      <c r="R28" s="4">
        <v>0</v>
      </c>
      <c r="S28" s="6">
        <v>0</v>
      </c>
      <c r="T28" s="6">
        <v>13</v>
      </c>
      <c r="U28" s="6">
        <v>0</v>
      </c>
      <c r="V28" s="6">
        <f>IF(ISERROR(VLOOKUP($S$28,'TAR FIN'!$A$1:$O$92,15,0)),0,VLOOKUP($S$28,'TAR FIN'!$A$1:$O$92,15,0))</f>
        <v>0</v>
      </c>
      <c r="W28" s="6">
        <f>IF(ISERROR(VLOOKUP($T$28,'TAR FIN'!$A$1:$O$92,15,0)),0,VLOOKUP($T$28,'TAR FIN'!$A$1:$O$92,15,0))</f>
        <v>73.28</v>
      </c>
      <c r="X28" s="6">
        <f>IF(ISERROR(VLOOKUP($U$28,'TAR FIN'!$A$1:$O$92,15,0)),0,VLOOKUP($U$28,'TAR FIN'!$A$1:$O$92,15,0))</f>
        <v>0</v>
      </c>
      <c r="Y28" s="6"/>
      <c r="Z28" s="6">
        <f ca="1">('TUSD BE'!$AM$11+'TUSD BF_350'!$AM$11+'TUSD CVA'!$AM$11)*1</f>
        <v>126.25</v>
      </c>
      <c r="AA28" s="6"/>
      <c r="AB28" s="6">
        <f>$K$28*$V$28</f>
        <v>0</v>
      </c>
      <c r="AC28" s="6">
        <f>$M$28*$W$28</f>
        <v>263944.81375999999</v>
      </c>
      <c r="AD28" s="6">
        <f>$O$28*$X$28</f>
        <v>0</v>
      </c>
      <c r="AE28" s="6">
        <f>$K$28*$Y$28</f>
        <v>0</v>
      </c>
      <c r="AF28" s="6">
        <f ca="1">$M$28*$Z$28</f>
        <v>454735.70875000005</v>
      </c>
      <c r="AG28" s="6">
        <f>$O$28*$AA$28</f>
        <v>0</v>
      </c>
    </row>
    <row r="29" spans="1:33" ht="11.25" customHeight="1" x14ac:dyDescent="0.3">
      <c r="A29" s="4" t="s">
        <v>21</v>
      </c>
      <c r="B29" s="4" t="s">
        <v>34</v>
      </c>
      <c r="C29" s="4" t="s">
        <v>54</v>
      </c>
      <c r="D29" s="4" t="s">
        <v>33</v>
      </c>
      <c r="E29" s="4" t="s">
        <v>25</v>
      </c>
      <c r="F29" s="4" t="s">
        <v>55</v>
      </c>
      <c r="G29" s="4" t="s">
        <v>25</v>
      </c>
      <c r="H29" s="4" t="s">
        <v>25</v>
      </c>
      <c r="I29" s="5">
        <v>44501</v>
      </c>
      <c r="J29" s="6">
        <v>0</v>
      </c>
      <c r="K29" s="6">
        <v>0</v>
      </c>
      <c r="L29" s="6">
        <v>3387.4169999999999</v>
      </c>
      <c r="M29" s="6">
        <v>3387.4169999999999</v>
      </c>
      <c r="N29" s="6">
        <v>0</v>
      </c>
      <c r="O29" s="6">
        <v>0</v>
      </c>
      <c r="P29" s="6">
        <v>3</v>
      </c>
      <c r="Q29" s="4" t="s">
        <v>56</v>
      </c>
      <c r="R29" s="4">
        <v>0</v>
      </c>
      <c r="S29" s="6">
        <v>0</v>
      </c>
      <c r="T29" s="6">
        <v>13</v>
      </c>
      <c r="U29" s="6">
        <v>0</v>
      </c>
      <c r="V29" s="6">
        <f>IF(ISERROR(VLOOKUP($S$29,'TAR FIN'!$A$1:$O$92,15,0)),0,VLOOKUP($S$29,'TAR FIN'!$A$1:$O$92,15,0))</f>
        <v>0</v>
      </c>
      <c r="W29" s="6">
        <f>IF(ISERROR(VLOOKUP($T$29,'TAR FIN'!$A$1:$O$92,15,0)),0,VLOOKUP($T$29,'TAR FIN'!$A$1:$O$92,15,0))</f>
        <v>73.28</v>
      </c>
      <c r="X29" s="6">
        <f>IF(ISERROR(VLOOKUP($U$29,'TAR FIN'!$A$1:$O$92,15,0)),0,VLOOKUP($U$29,'TAR FIN'!$A$1:$O$92,15,0))</f>
        <v>0</v>
      </c>
      <c r="Y29" s="6"/>
      <c r="Z29" s="6">
        <f ca="1">('TUSD BE'!$AM$11+'TUSD BF_350'!$AM$11+'TUSD CVA'!$AM$11)*1</f>
        <v>126.25</v>
      </c>
      <c r="AA29" s="6"/>
      <c r="AB29" s="6">
        <f>$K$29*$V$29</f>
        <v>0</v>
      </c>
      <c r="AC29" s="6">
        <f>$M$29*$W$29</f>
        <v>248229.91776000001</v>
      </c>
      <c r="AD29" s="6">
        <f>$O$29*$X$29</f>
        <v>0</v>
      </c>
      <c r="AE29" s="6">
        <f>$K$29*$Y$29</f>
        <v>0</v>
      </c>
      <c r="AF29" s="6">
        <f ca="1">$M$29*$Z$29</f>
        <v>427661.39624999999</v>
      </c>
      <c r="AG29" s="6">
        <f>$O$29*$AA$29</f>
        <v>0</v>
      </c>
    </row>
    <row r="30" spans="1:33" ht="11.25" customHeight="1" x14ac:dyDescent="0.3">
      <c r="A30" s="4" t="s">
        <v>21</v>
      </c>
      <c r="B30" s="4" t="s">
        <v>34</v>
      </c>
      <c r="C30" s="4" t="s">
        <v>54</v>
      </c>
      <c r="D30" s="4" t="s">
        <v>33</v>
      </c>
      <c r="E30" s="4" t="s">
        <v>25</v>
      </c>
      <c r="F30" s="4" t="s">
        <v>55</v>
      </c>
      <c r="G30" s="4" t="s">
        <v>25</v>
      </c>
      <c r="H30" s="4" t="s">
        <v>25</v>
      </c>
      <c r="I30" s="5">
        <v>44531</v>
      </c>
      <c r="J30" s="6">
        <v>0</v>
      </c>
      <c r="K30" s="6">
        <v>0</v>
      </c>
      <c r="L30" s="6">
        <v>3401.2669999999998</v>
      </c>
      <c r="M30" s="6">
        <v>3401.2669999999998</v>
      </c>
      <c r="N30" s="6">
        <v>0</v>
      </c>
      <c r="O30" s="6">
        <v>0</v>
      </c>
      <c r="P30" s="6">
        <v>3</v>
      </c>
      <c r="Q30" s="4" t="s">
        <v>56</v>
      </c>
      <c r="R30" s="4">
        <v>0</v>
      </c>
      <c r="S30" s="6">
        <v>0</v>
      </c>
      <c r="T30" s="6">
        <v>13</v>
      </c>
      <c r="U30" s="6">
        <v>0</v>
      </c>
      <c r="V30" s="6">
        <f>IF(ISERROR(VLOOKUP($S$30,'TAR FIN'!$A$1:$O$92,15,0)),0,VLOOKUP($S$30,'TAR FIN'!$A$1:$O$92,15,0))</f>
        <v>0</v>
      </c>
      <c r="W30" s="6">
        <f>IF(ISERROR(VLOOKUP($T$30,'TAR FIN'!$A$1:$O$92,15,0)),0,VLOOKUP($T$30,'TAR FIN'!$A$1:$O$92,15,0))</f>
        <v>73.28</v>
      </c>
      <c r="X30" s="6">
        <f>IF(ISERROR(VLOOKUP($U$30,'TAR FIN'!$A$1:$O$92,15,0)),0,VLOOKUP($U$30,'TAR FIN'!$A$1:$O$92,15,0))</f>
        <v>0</v>
      </c>
      <c r="Y30" s="6"/>
      <c r="Z30" s="6">
        <f ca="1">('TUSD BE'!$AM$11+'TUSD BF_350'!$AM$11+'TUSD CVA'!$AM$11)*1</f>
        <v>126.25</v>
      </c>
      <c r="AA30" s="6"/>
      <c r="AB30" s="6">
        <f>$K$30*$V$30</f>
        <v>0</v>
      </c>
      <c r="AC30" s="6">
        <f>$M$30*$W$30</f>
        <v>249244.84576</v>
      </c>
      <c r="AD30" s="6">
        <f>$O$30*$X$30</f>
        <v>0</v>
      </c>
      <c r="AE30" s="6">
        <f>$K$30*$Y$30</f>
        <v>0</v>
      </c>
      <c r="AF30" s="6">
        <f ca="1">$M$30*$Z$30</f>
        <v>429409.95874999999</v>
      </c>
      <c r="AG30" s="6">
        <f>$O$30*$AA$30</f>
        <v>0</v>
      </c>
    </row>
    <row r="31" spans="1:33" ht="11.25" customHeight="1" x14ac:dyDescent="0.3">
      <c r="A31" s="4" t="s">
        <v>21</v>
      </c>
      <c r="B31" s="4" t="s">
        <v>34</v>
      </c>
      <c r="C31" s="4" t="s">
        <v>54</v>
      </c>
      <c r="D31" s="4" t="s">
        <v>33</v>
      </c>
      <c r="E31" s="4" t="s">
        <v>25</v>
      </c>
      <c r="F31" s="4" t="s">
        <v>55</v>
      </c>
      <c r="G31" s="4" t="s">
        <v>25</v>
      </c>
      <c r="H31" s="4" t="s">
        <v>25</v>
      </c>
      <c r="I31" s="5">
        <v>44562</v>
      </c>
      <c r="J31" s="6">
        <v>0</v>
      </c>
      <c r="K31" s="6">
        <v>0</v>
      </c>
      <c r="L31" s="6">
        <v>3342.7750000000001</v>
      </c>
      <c r="M31" s="6">
        <v>3342.7750000000001</v>
      </c>
      <c r="N31" s="6">
        <v>0</v>
      </c>
      <c r="O31" s="6">
        <v>0</v>
      </c>
      <c r="P31" s="6">
        <v>3</v>
      </c>
      <c r="Q31" s="4" t="s">
        <v>56</v>
      </c>
      <c r="R31" s="4">
        <v>0</v>
      </c>
      <c r="S31" s="6">
        <v>0</v>
      </c>
      <c r="T31" s="6">
        <v>13</v>
      </c>
      <c r="U31" s="6">
        <v>0</v>
      </c>
      <c r="V31" s="6">
        <f>IF(ISERROR(VLOOKUP($S$31,'TAR FIN'!$A$1:$O$92,15,0)),0,VLOOKUP($S$31,'TAR FIN'!$A$1:$O$92,15,0))</f>
        <v>0</v>
      </c>
      <c r="W31" s="6">
        <f>IF(ISERROR(VLOOKUP($T$31,'TAR FIN'!$A$1:$O$92,15,0)),0,VLOOKUP($T$31,'TAR FIN'!$A$1:$O$92,15,0))</f>
        <v>73.28</v>
      </c>
      <c r="X31" s="6">
        <f>IF(ISERROR(VLOOKUP($U$31,'TAR FIN'!$A$1:$O$92,15,0)),0,VLOOKUP($U$31,'TAR FIN'!$A$1:$O$92,15,0))</f>
        <v>0</v>
      </c>
      <c r="Y31" s="6"/>
      <c r="Z31" s="6">
        <f ca="1">('TUSD BE'!$AM$11+'TUSD BF_350'!$AM$11+'TUSD CVA'!$AM$11)*1</f>
        <v>126.25</v>
      </c>
      <c r="AA31" s="6"/>
      <c r="AB31" s="6">
        <f>$K$31*$V$31</f>
        <v>0</v>
      </c>
      <c r="AC31" s="6">
        <f>$M$31*$W$31</f>
        <v>244958.552</v>
      </c>
      <c r="AD31" s="6">
        <f>$O$31*$X$31</f>
        <v>0</v>
      </c>
      <c r="AE31" s="6">
        <f>$K$31*$Y$31</f>
        <v>0</v>
      </c>
      <c r="AF31" s="6">
        <f ca="1">$M$31*$Z$31</f>
        <v>422025.34375</v>
      </c>
      <c r="AG31" s="6">
        <f>$O$31*$AA$31</f>
        <v>0</v>
      </c>
    </row>
    <row r="32" spans="1:33" ht="11.25" customHeight="1" x14ac:dyDescent="0.3">
      <c r="A32" s="4" t="s">
        <v>21</v>
      </c>
      <c r="B32" s="4" t="s">
        <v>34</v>
      </c>
      <c r="C32" s="4" t="s">
        <v>54</v>
      </c>
      <c r="D32" s="4" t="s">
        <v>33</v>
      </c>
      <c r="E32" s="4" t="s">
        <v>25</v>
      </c>
      <c r="F32" s="4" t="s">
        <v>55</v>
      </c>
      <c r="G32" s="4" t="s">
        <v>25</v>
      </c>
      <c r="H32" s="4" t="s">
        <v>25</v>
      </c>
      <c r="I32" s="5">
        <v>44593</v>
      </c>
      <c r="J32" s="6">
        <v>0</v>
      </c>
      <c r="K32" s="6">
        <v>0</v>
      </c>
      <c r="L32" s="6">
        <v>3270.0790000000002</v>
      </c>
      <c r="M32" s="6">
        <v>3270.0790000000002</v>
      </c>
      <c r="N32" s="6">
        <v>0</v>
      </c>
      <c r="O32" s="6">
        <v>0</v>
      </c>
      <c r="P32" s="6">
        <v>3</v>
      </c>
      <c r="Q32" s="4" t="s">
        <v>56</v>
      </c>
      <c r="R32" s="4">
        <v>0</v>
      </c>
      <c r="S32" s="6">
        <v>0</v>
      </c>
      <c r="T32" s="6">
        <v>13</v>
      </c>
      <c r="U32" s="6">
        <v>0</v>
      </c>
      <c r="V32" s="6">
        <f>IF(ISERROR(VLOOKUP($S$32,'TAR FIN'!$A$1:$O$92,15,0)),0,VLOOKUP($S$32,'TAR FIN'!$A$1:$O$92,15,0))</f>
        <v>0</v>
      </c>
      <c r="W32" s="6">
        <f>IF(ISERROR(VLOOKUP($T$32,'TAR FIN'!$A$1:$O$92,15,0)),0,VLOOKUP($T$32,'TAR FIN'!$A$1:$O$92,15,0))</f>
        <v>73.28</v>
      </c>
      <c r="X32" s="6">
        <f>IF(ISERROR(VLOOKUP($U$32,'TAR FIN'!$A$1:$O$92,15,0)),0,VLOOKUP($U$32,'TAR FIN'!$A$1:$O$92,15,0))</f>
        <v>0</v>
      </c>
      <c r="Y32" s="6"/>
      <c r="Z32" s="6">
        <f ca="1">('TUSD BE'!$AM$11+'TUSD BF_350'!$AM$11+'TUSD CVA'!$AM$11)*1</f>
        <v>126.25</v>
      </c>
      <c r="AA32" s="6"/>
      <c r="AB32" s="6">
        <f>$K$32*$V$32</f>
        <v>0</v>
      </c>
      <c r="AC32" s="6">
        <f>$M$32*$W$32</f>
        <v>239631.38912000001</v>
      </c>
      <c r="AD32" s="6">
        <f>$O$32*$X$32</f>
        <v>0</v>
      </c>
      <c r="AE32" s="6">
        <f>$K$32*$Y$32</f>
        <v>0</v>
      </c>
      <c r="AF32" s="6">
        <f ca="1">$M$32*$Z$32</f>
        <v>412847.47375</v>
      </c>
      <c r="AG32" s="6">
        <f>$O$32*$AA$32</f>
        <v>0</v>
      </c>
    </row>
    <row r="33" spans="1:33" ht="11.25" customHeight="1" x14ac:dyDescent="0.3">
      <c r="A33" s="4" t="s">
        <v>21</v>
      </c>
      <c r="B33" s="4" t="s">
        <v>34</v>
      </c>
      <c r="C33" s="4" t="s">
        <v>54</v>
      </c>
      <c r="D33" s="4" t="s">
        <v>33</v>
      </c>
      <c r="E33" s="4" t="s">
        <v>25</v>
      </c>
      <c r="F33" s="4" t="s">
        <v>55</v>
      </c>
      <c r="G33" s="4" t="s">
        <v>25</v>
      </c>
      <c r="H33" s="4" t="s">
        <v>25</v>
      </c>
      <c r="I33" s="5">
        <v>44621</v>
      </c>
      <c r="J33" s="6">
        <v>0</v>
      </c>
      <c r="K33" s="6">
        <v>0</v>
      </c>
      <c r="L33" s="6">
        <v>3338.7429999999999</v>
      </c>
      <c r="M33" s="6">
        <v>3338.7429999999999</v>
      </c>
      <c r="N33" s="6">
        <v>0</v>
      </c>
      <c r="O33" s="6">
        <v>0</v>
      </c>
      <c r="P33" s="6">
        <v>3</v>
      </c>
      <c r="Q33" s="4" t="s">
        <v>56</v>
      </c>
      <c r="R33" s="4">
        <v>0</v>
      </c>
      <c r="S33" s="6">
        <v>0</v>
      </c>
      <c r="T33" s="6">
        <v>13</v>
      </c>
      <c r="U33" s="6">
        <v>0</v>
      </c>
      <c r="V33" s="6">
        <f>IF(ISERROR(VLOOKUP($S$33,'TAR FIN'!$A$1:$O$92,15,0)),0,VLOOKUP($S$33,'TAR FIN'!$A$1:$O$92,15,0))</f>
        <v>0</v>
      </c>
      <c r="W33" s="6">
        <f>IF(ISERROR(VLOOKUP($T$33,'TAR FIN'!$A$1:$O$92,15,0)),0,VLOOKUP($T$33,'TAR FIN'!$A$1:$O$92,15,0))</f>
        <v>73.28</v>
      </c>
      <c r="X33" s="6">
        <f>IF(ISERROR(VLOOKUP($U$33,'TAR FIN'!$A$1:$O$92,15,0)),0,VLOOKUP($U$33,'TAR FIN'!$A$1:$O$92,15,0))</f>
        <v>0</v>
      </c>
      <c r="Y33" s="6"/>
      <c r="Z33" s="6">
        <f ca="1">('TUSD BE'!$AM$11+'TUSD BF_350'!$AM$11+'TUSD CVA'!$AM$11)*1</f>
        <v>126.25</v>
      </c>
      <c r="AA33" s="6"/>
      <c r="AB33" s="6">
        <f>$K$33*$V$33</f>
        <v>0</v>
      </c>
      <c r="AC33" s="6">
        <f>$M$33*$W$33</f>
        <v>244663.08704000001</v>
      </c>
      <c r="AD33" s="6">
        <f>$O$33*$X$33</f>
        <v>0</v>
      </c>
      <c r="AE33" s="6">
        <f>$K$33*$Y$33</f>
        <v>0</v>
      </c>
      <c r="AF33" s="6">
        <f ca="1">$M$33*$Z$33</f>
        <v>421516.30375000002</v>
      </c>
      <c r="AG33" s="6">
        <f>$O$33*$AA$33</f>
        <v>0</v>
      </c>
    </row>
    <row r="34" spans="1:33" ht="11.25" customHeight="1" x14ac:dyDescent="0.3">
      <c r="A34" s="4" t="s">
        <v>21</v>
      </c>
      <c r="B34" s="4" t="s">
        <v>34</v>
      </c>
      <c r="C34" s="4" t="s">
        <v>54</v>
      </c>
      <c r="D34" s="4" t="s">
        <v>33</v>
      </c>
      <c r="E34" s="4" t="s">
        <v>25</v>
      </c>
      <c r="F34" s="4" t="s">
        <v>55</v>
      </c>
      <c r="G34" s="4" t="s">
        <v>25</v>
      </c>
      <c r="H34" s="4" t="s">
        <v>25</v>
      </c>
      <c r="I34" s="5">
        <v>44652</v>
      </c>
      <c r="J34" s="6">
        <v>0</v>
      </c>
      <c r="K34" s="6">
        <v>0</v>
      </c>
      <c r="L34" s="6">
        <v>1875.12024</v>
      </c>
      <c r="M34" s="6">
        <v>1875.12024</v>
      </c>
      <c r="N34" s="6">
        <v>0</v>
      </c>
      <c r="O34" s="6">
        <v>0</v>
      </c>
      <c r="P34" s="6">
        <v>3</v>
      </c>
      <c r="Q34" s="4" t="s">
        <v>56</v>
      </c>
      <c r="R34" s="4">
        <v>0</v>
      </c>
      <c r="S34" s="6">
        <v>0</v>
      </c>
      <c r="T34" s="6">
        <v>13</v>
      </c>
      <c r="U34" s="6">
        <v>0</v>
      </c>
      <c r="V34" s="6">
        <f>IF(ISERROR(VLOOKUP($S$34,'TAR FIN'!$A$1:$O$92,15,0)),0,VLOOKUP($S$34,'TAR FIN'!$A$1:$O$92,15,0))</f>
        <v>0</v>
      </c>
      <c r="W34" s="6">
        <f>IF(ISERROR(VLOOKUP($T$34,'TAR FIN'!$A$1:$O$92,15,0)),0,VLOOKUP($T$34,'TAR FIN'!$A$1:$O$92,15,0))</f>
        <v>73.28</v>
      </c>
      <c r="X34" s="6">
        <f>IF(ISERROR(VLOOKUP($U$34,'TAR FIN'!$A$1:$O$92,15,0)),0,VLOOKUP($U$34,'TAR FIN'!$A$1:$O$92,15,0))</f>
        <v>0</v>
      </c>
      <c r="Y34" s="6"/>
      <c r="Z34" s="6">
        <f ca="1">('TUSD BE'!$AM$11+'TUSD BF_350'!$AM$11+'TUSD CVA'!$AM$11)*1</f>
        <v>126.25</v>
      </c>
      <c r="AA34" s="6"/>
      <c r="AB34" s="6">
        <f>$K$34*$V$34</f>
        <v>0</v>
      </c>
      <c r="AC34" s="6">
        <f>$M$34*$W$34</f>
        <v>137408.81118719999</v>
      </c>
      <c r="AD34" s="6">
        <f>$O$34*$X$34</f>
        <v>0</v>
      </c>
      <c r="AE34" s="6">
        <f>$K$34*$Y$34</f>
        <v>0</v>
      </c>
      <c r="AF34" s="6">
        <f ca="1">$M$34*$Z$34</f>
        <v>236733.93030000001</v>
      </c>
      <c r="AG34" s="6">
        <f>$O$34*$AA$34</f>
        <v>0</v>
      </c>
    </row>
    <row r="35" spans="1:33" ht="11.25" customHeight="1" x14ac:dyDescent="0.3">
      <c r="A35" s="4" t="s">
        <v>21</v>
      </c>
      <c r="B35" s="4" t="s">
        <v>34</v>
      </c>
      <c r="C35" s="4" t="s">
        <v>54</v>
      </c>
      <c r="D35" s="4" t="s">
        <v>33</v>
      </c>
      <c r="E35" s="4" t="s">
        <v>25</v>
      </c>
      <c r="F35" s="4" t="s">
        <v>55</v>
      </c>
      <c r="G35" s="4" t="s">
        <v>25</v>
      </c>
      <c r="H35" s="4" t="s">
        <v>25</v>
      </c>
      <c r="I35" s="5">
        <v>44682</v>
      </c>
      <c r="J35" s="6">
        <v>0</v>
      </c>
      <c r="K35" s="6">
        <v>0</v>
      </c>
      <c r="L35" s="6">
        <v>1588.5139200000001</v>
      </c>
      <c r="M35" s="6">
        <v>1588.5139200000001</v>
      </c>
      <c r="N35" s="6">
        <v>0</v>
      </c>
      <c r="O35" s="6">
        <v>0</v>
      </c>
      <c r="P35" s="6">
        <v>2</v>
      </c>
      <c r="Q35" s="4" t="s">
        <v>56</v>
      </c>
      <c r="R35" s="4">
        <v>0</v>
      </c>
      <c r="S35" s="6">
        <v>0</v>
      </c>
      <c r="T35" s="6">
        <v>13</v>
      </c>
      <c r="U35" s="6">
        <v>0</v>
      </c>
      <c r="V35" s="6">
        <f>IF(ISERROR(VLOOKUP($S$35,'TAR FIN'!$A$1:$O$92,15,0)),0,VLOOKUP($S$35,'TAR FIN'!$A$1:$O$92,15,0))</f>
        <v>0</v>
      </c>
      <c r="W35" s="6">
        <f>IF(ISERROR(VLOOKUP($T$35,'TAR FIN'!$A$1:$O$92,15,0)),0,VLOOKUP($T$35,'TAR FIN'!$A$1:$O$92,15,0))</f>
        <v>73.28</v>
      </c>
      <c r="X35" s="6">
        <f>IF(ISERROR(VLOOKUP($U$35,'TAR FIN'!$A$1:$O$92,15,0)),0,VLOOKUP($U$35,'TAR FIN'!$A$1:$O$92,15,0))</f>
        <v>0</v>
      </c>
      <c r="Y35" s="6"/>
      <c r="Z35" s="6">
        <f ca="1">('TUSD BE'!$AM$11+'TUSD BF_350'!$AM$11+'TUSD CVA'!$AM$11)*1</f>
        <v>126.25</v>
      </c>
      <c r="AA35" s="6"/>
      <c r="AB35" s="6">
        <f>$K$35*$V$35</f>
        <v>0</v>
      </c>
      <c r="AC35" s="6">
        <f>$M$35*$W$35</f>
        <v>116406.3000576</v>
      </c>
      <c r="AD35" s="6">
        <f>$O$35*$X$35</f>
        <v>0</v>
      </c>
      <c r="AE35" s="6">
        <f>$K$35*$Y$35</f>
        <v>0</v>
      </c>
      <c r="AF35" s="6">
        <f ca="1">$M$35*$Z$35</f>
        <v>200549.8824</v>
      </c>
      <c r="AG35" s="6">
        <f>$O$35*$AA$35</f>
        <v>0</v>
      </c>
    </row>
    <row r="36" spans="1:33" ht="11.25" customHeight="1" x14ac:dyDescent="0.3">
      <c r="A36" s="4" t="s">
        <v>21</v>
      </c>
      <c r="B36" s="4" t="s">
        <v>34</v>
      </c>
      <c r="C36" s="4" t="s">
        <v>54</v>
      </c>
      <c r="D36" s="4" t="s">
        <v>33</v>
      </c>
      <c r="E36" s="4" t="s">
        <v>25</v>
      </c>
      <c r="F36" s="4" t="s">
        <v>55</v>
      </c>
      <c r="G36" s="4" t="s">
        <v>25</v>
      </c>
      <c r="H36" s="4" t="s">
        <v>25</v>
      </c>
      <c r="I36" s="5">
        <v>44713</v>
      </c>
      <c r="J36" s="6">
        <v>0</v>
      </c>
      <c r="K36" s="6">
        <v>0</v>
      </c>
      <c r="L36" s="6">
        <v>1451.1084000000001</v>
      </c>
      <c r="M36" s="6">
        <v>1451.1084000000001</v>
      </c>
      <c r="N36" s="6">
        <v>0</v>
      </c>
      <c r="O36" s="6">
        <v>0</v>
      </c>
      <c r="P36" s="6">
        <v>2</v>
      </c>
      <c r="Q36" s="4" t="s">
        <v>56</v>
      </c>
      <c r="R36" s="4">
        <v>0</v>
      </c>
      <c r="S36" s="6">
        <v>0</v>
      </c>
      <c r="T36" s="6">
        <v>13</v>
      </c>
      <c r="U36" s="6">
        <v>0</v>
      </c>
      <c r="V36" s="6">
        <f>IF(ISERROR(VLOOKUP($S$36,'TAR FIN'!$A$1:$O$92,15,0)),0,VLOOKUP($S$36,'TAR FIN'!$A$1:$O$92,15,0))</f>
        <v>0</v>
      </c>
      <c r="W36" s="6">
        <f>IF(ISERROR(VLOOKUP($T$36,'TAR FIN'!$A$1:$O$92,15,0)),0,VLOOKUP($T$36,'TAR FIN'!$A$1:$O$92,15,0))</f>
        <v>73.28</v>
      </c>
      <c r="X36" s="6">
        <f>IF(ISERROR(VLOOKUP($U$36,'TAR FIN'!$A$1:$O$92,15,0)),0,VLOOKUP($U$36,'TAR FIN'!$A$1:$O$92,15,0))</f>
        <v>0</v>
      </c>
      <c r="Y36" s="6"/>
      <c r="Z36" s="6">
        <f ca="1">('TUSD BE'!$AM$11+'TUSD BF_350'!$AM$11+'TUSD CVA'!$AM$11)*1</f>
        <v>126.25</v>
      </c>
      <c r="AA36" s="6"/>
      <c r="AB36" s="6">
        <f>$K$36*$V$36</f>
        <v>0</v>
      </c>
      <c r="AC36" s="6">
        <f>$M$36*$W$36</f>
        <v>106337.22355200001</v>
      </c>
      <c r="AD36" s="6">
        <f>$O$36*$X$36</f>
        <v>0</v>
      </c>
      <c r="AE36" s="6">
        <f>$K$36*$Y$36</f>
        <v>0</v>
      </c>
      <c r="AF36" s="6">
        <f ca="1">$M$36*$Z$36</f>
        <v>183202.43550000002</v>
      </c>
      <c r="AG36" s="6">
        <f>$O$36*$AA$36</f>
        <v>0</v>
      </c>
    </row>
    <row r="37" spans="1:33" ht="11.25" customHeight="1" x14ac:dyDescent="0.3">
      <c r="A37" s="4" t="s">
        <v>21</v>
      </c>
      <c r="B37" s="4" t="s">
        <v>34</v>
      </c>
      <c r="C37" s="4" t="s">
        <v>54</v>
      </c>
      <c r="D37" s="4" t="s">
        <v>33</v>
      </c>
      <c r="E37" s="4" t="s">
        <v>25</v>
      </c>
      <c r="F37" s="4" t="s">
        <v>55</v>
      </c>
      <c r="G37" s="4" t="s">
        <v>25</v>
      </c>
      <c r="H37" s="4" t="s">
        <v>25</v>
      </c>
      <c r="I37" s="5">
        <v>44743</v>
      </c>
      <c r="J37" s="6">
        <v>0</v>
      </c>
      <c r="K37" s="6">
        <v>0</v>
      </c>
      <c r="L37" s="6">
        <v>954.17448000000002</v>
      </c>
      <c r="M37" s="6">
        <v>954.17448000000002</v>
      </c>
      <c r="N37" s="6">
        <v>0</v>
      </c>
      <c r="O37" s="6">
        <v>0</v>
      </c>
      <c r="P37" s="6">
        <v>2</v>
      </c>
      <c r="Q37" s="4" t="s">
        <v>56</v>
      </c>
      <c r="R37" s="4">
        <v>0</v>
      </c>
      <c r="S37" s="6">
        <v>0</v>
      </c>
      <c r="T37" s="6">
        <v>13</v>
      </c>
      <c r="U37" s="6">
        <v>0</v>
      </c>
      <c r="V37" s="6">
        <f>IF(ISERROR(VLOOKUP($S$37,'TAR FIN'!$A$1:$O$92,15,0)),0,VLOOKUP($S$37,'TAR FIN'!$A$1:$O$92,15,0))</f>
        <v>0</v>
      </c>
      <c r="W37" s="6">
        <f>IF(ISERROR(VLOOKUP($T$37,'TAR FIN'!$A$1:$O$92,15,0)),0,VLOOKUP($T$37,'TAR FIN'!$A$1:$O$92,15,0))</f>
        <v>73.28</v>
      </c>
      <c r="X37" s="6">
        <f>IF(ISERROR(VLOOKUP($U$37,'TAR FIN'!$A$1:$O$92,15,0)),0,VLOOKUP($U$37,'TAR FIN'!$A$1:$O$92,15,0))</f>
        <v>0</v>
      </c>
      <c r="Y37" s="6"/>
      <c r="Z37" s="6">
        <f ca="1">('TUSD BE'!$AM$11+'TUSD BF_350'!$AM$11+'TUSD CVA'!$AM$11)*1</f>
        <v>126.25</v>
      </c>
      <c r="AA37" s="6"/>
      <c r="AB37" s="6">
        <f>$K$37*$V$37</f>
        <v>0</v>
      </c>
      <c r="AC37" s="6">
        <f>$M$37*$W$37</f>
        <v>69921.905894399999</v>
      </c>
      <c r="AD37" s="6">
        <f>$O$37*$X$37</f>
        <v>0</v>
      </c>
      <c r="AE37" s="6">
        <f>$K$37*$Y$37</f>
        <v>0</v>
      </c>
      <c r="AF37" s="6">
        <f ca="1">$M$37*$Z$37</f>
        <v>120464.5281</v>
      </c>
      <c r="AG37" s="6">
        <f>$O$37*$AA$37</f>
        <v>0</v>
      </c>
    </row>
    <row r="38" spans="1:33" ht="11.25" customHeight="1" x14ac:dyDescent="0.3">
      <c r="A38" s="4" t="s">
        <v>21</v>
      </c>
      <c r="B38" s="4" t="s">
        <v>34</v>
      </c>
      <c r="C38" s="4" t="s">
        <v>54</v>
      </c>
      <c r="D38" s="4" t="s">
        <v>33</v>
      </c>
      <c r="E38" s="4" t="s">
        <v>25</v>
      </c>
      <c r="F38" s="4" t="s">
        <v>55</v>
      </c>
      <c r="G38" s="4" t="s">
        <v>25</v>
      </c>
      <c r="H38" s="4" t="s">
        <v>36</v>
      </c>
      <c r="I38" s="5">
        <v>44409</v>
      </c>
      <c r="J38" s="6">
        <v>7150</v>
      </c>
      <c r="K38" s="6">
        <v>3575.2025595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56</v>
      </c>
      <c r="R38" s="4">
        <v>0</v>
      </c>
      <c r="S38" s="6">
        <v>9</v>
      </c>
      <c r="T38" s="6">
        <v>0</v>
      </c>
      <c r="U38" s="6">
        <v>0</v>
      </c>
      <c r="V38" s="6">
        <f>IF(ISERROR(VLOOKUP($S$38,'TAR FIN'!$A$1:$O$92,15,0)),0,VLOOKUP($S$38,'TAR FIN'!$A$1:$O$92,15,0))</f>
        <v>29.39</v>
      </c>
      <c r="W38" s="6">
        <f>IF(ISERROR(VLOOKUP($T$38,'TAR FIN'!$A$1:$O$92,15,0)),0,VLOOKUP($T$38,'TAR FIN'!$A$1:$O$92,15,0))</f>
        <v>0</v>
      </c>
      <c r="X38" s="6">
        <f>IF(ISERROR(VLOOKUP($U$38,'TAR FIN'!$A$1:$O$92,15,0)),0,VLOOKUP($U$38,'TAR FIN'!$A$1:$O$92,15,0))</f>
        <v>0</v>
      </c>
      <c r="Y38" s="6">
        <f ca="1">('TUSD BE'!$AM$9+'TUSD BF_350'!$AM$9+'TUSD CVA'!$AM$9)*1</f>
        <v>32.35</v>
      </c>
      <c r="Z38" s="6">
        <f ca="1">('TUSD BE'!$AM$11+'TUSD BF_350'!$AM$11+'TUSD CVA'!$AM$11)*1</f>
        <v>126.25</v>
      </c>
      <c r="AA38" s="6"/>
      <c r="AB38" s="6">
        <f>$K$38*$V$38</f>
        <v>105075.203223705</v>
      </c>
      <c r="AC38" s="6">
        <f>$M$38*$W$38</f>
        <v>0</v>
      </c>
      <c r="AD38" s="6">
        <f>$O$38*$X$38</f>
        <v>0</v>
      </c>
      <c r="AE38" s="6">
        <f ca="1">$K$38*$Y$38</f>
        <v>115657.802799825</v>
      </c>
      <c r="AF38" s="6">
        <f ca="1">$M$38*$Z$38</f>
        <v>0</v>
      </c>
      <c r="AG38" s="6">
        <f>$O$38*$AA$38</f>
        <v>0</v>
      </c>
    </row>
    <row r="39" spans="1:33" ht="11.25" customHeight="1" x14ac:dyDescent="0.3">
      <c r="A39" s="4" t="s">
        <v>21</v>
      </c>
      <c r="B39" s="4" t="s">
        <v>34</v>
      </c>
      <c r="C39" s="4" t="s">
        <v>54</v>
      </c>
      <c r="D39" s="4" t="s">
        <v>33</v>
      </c>
      <c r="E39" s="4" t="s">
        <v>25</v>
      </c>
      <c r="F39" s="4" t="s">
        <v>55</v>
      </c>
      <c r="G39" s="4" t="s">
        <v>25</v>
      </c>
      <c r="H39" s="4" t="s">
        <v>36</v>
      </c>
      <c r="I39" s="5">
        <v>44440</v>
      </c>
      <c r="J39" s="6">
        <v>7158</v>
      </c>
      <c r="K39" s="6">
        <v>3583.0537901399998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56</v>
      </c>
      <c r="R39" s="4">
        <v>0</v>
      </c>
      <c r="S39" s="6">
        <v>9</v>
      </c>
      <c r="T39" s="6">
        <v>0</v>
      </c>
      <c r="U39" s="6">
        <v>0</v>
      </c>
      <c r="V39" s="6">
        <f>IF(ISERROR(VLOOKUP($S$39,'TAR FIN'!$A$1:$O$92,15,0)),0,VLOOKUP($S$39,'TAR FIN'!$A$1:$O$92,15,0))</f>
        <v>29.39</v>
      </c>
      <c r="W39" s="6">
        <f>IF(ISERROR(VLOOKUP($T$39,'TAR FIN'!$A$1:$O$92,15,0)),0,VLOOKUP($T$39,'TAR FIN'!$A$1:$O$92,15,0))</f>
        <v>0</v>
      </c>
      <c r="X39" s="6">
        <f>IF(ISERROR(VLOOKUP($U$39,'TAR FIN'!$A$1:$O$92,15,0)),0,VLOOKUP($U$39,'TAR FIN'!$A$1:$O$92,15,0))</f>
        <v>0</v>
      </c>
      <c r="Y39" s="6">
        <f ca="1">('TUSD BE'!$AM$9+'TUSD BF_350'!$AM$9+'TUSD CVA'!$AM$9)*1</f>
        <v>32.35</v>
      </c>
      <c r="Z39" s="6">
        <f ca="1">('TUSD BE'!$AM$11+'TUSD BF_350'!$AM$11+'TUSD CVA'!$AM$11)*1</f>
        <v>126.25</v>
      </c>
      <c r="AA39" s="6"/>
      <c r="AB39" s="6">
        <f>$K$39*$V$39</f>
        <v>105305.95089221459</v>
      </c>
      <c r="AC39" s="6">
        <f>$M$39*$W$39</f>
        <v>0</v>
      </c>
      <c r="AD39" s="6">
        <f>$O$39*$X$39</f>
        <v>0</v>
      </c>
      <c r="AE39" s="6">
        <f ca="1">$K$39*$Y$39</f>
        <v>115911.790111029</v>
      </c>
      <c r="AF39" s="6">
        <f ca="1">$M$39*$Z$39</f>
        <v>0</v>
      </c>
      <c r="AG39" s="6">
        <f>$O$39*$AA$39</f>
        <v>0</v>
      </c>
    </row>
    <row r="40" spans="1:33" ht="11.25" customHeight="1" x14ac:dyDescent="0.3">
      <c r="A40" s="4" t="s">
        <v>21</v>
      </c>
      <c r="B40" s="4" t="s">
        <v>34</v>
      </c>
      <c r="C40" s="4" t="s">
        <v>54</v>
      </c>
      <c r="D40" s="4" t="s">
        <v>33</v>
      </c>
      <c r="E40" s="4" t="s">
        <v>25</v>
      </c>
      <c r="F40" s="4" t="s">
        <v>55</v>
      </c>
      <c r="G40" s="4" t="s">
        <v>25</v>
      </c>
      <c r="H40" s="4" t="s">
        <v>36</v>
      </c>
      <c r="I40" s="5">
        <v>44470</v>
      </c>
      <c r="J40" s="6">
        <v>7192</v>
      </c>
      <c r="K40" s="6">
        <v>3599.06537424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56</v>
      </c>
      <c r="R40" s="4">
        <v>0</v>
      </c>
      <c r="S40" s="6">
        <v>9</v>
      </c>
      <c r="T40" s="6">
        <v>0</v>
      </c>
      <c r="U40" s="6">
        <v>0</v>
      </c>
      <c r="V40" s="6">
        <f>IF(ISERROR(VLOOKUP($S$40,'TAR FIN'!$A$1:$O$92,15,0)),0,VLOOKUP($S$40,'TAR FIN'!$A$1:$O$92,15,0))</f>
        <v>29.39</v>
      </c>
      <c r="W40" s="6">
        <f>IF(ISERROR(VLOOKUP($T$40,'TAR FIN'!$A$1:$O$92,15,0)),0,VLOOKUP($T$40,'TAR FIN'!$A$1:$O$92,15,0))</f>
        <v>0</v>
      </c>
      <c r="X40" s="6">
        <f>IF(ISERROR(VLOOKUP($U$40,'TAR FIN'!$A$1:$O$92,15,0)),0,VLOOKUP($U$40,'TAR FIN'!$A$1:$O$92,15,0))</f>
        <v>0</v>
      </c>
      <c r="Y40" s="6">
        <f ca="1">('TUSD BE'!$AM$9+'TUSD BF_350'!$AM$9+'TUSD CVA'!$AM$9)*1</f>
        <v>32.35</v>
      </c>
      <c r="Z40" s="6">
        <f ca="1">('TUSD BE'!$AM$11+'TUSD BF_350'!$AM$11+'TUSD CVA'!$AM$11)*1</f>
        <v>126.25</v>
      </c>
      <c r="AA40" s="6"/>
      <c r="AB40" s="6">
        <f>$K$40*$V$40</f>
        <v>105776.5313489136</v>
      </c>
      <c r="AC40" s="6">
        <f>$M$40*$W$40</f>
        <v>0</v>
      </c>
      <c r="AD40" s="6">
        <f>$O$40*$X$40</f>
        <v>0</v>
      </c>
      <c r="AE40" s="6">
        <f ca="1">$K$40*$Y$40</f>
        <v>116429.764856664</v>
      </c>
      <c r="AF40" s="6">
        <f ca="1">$M$40*$Z$40</f>
        <v>0</v>
      </c>
      <c r="AG40" s="6">
        <f>$O$40*$AA$40</f>
        <v>0</v>
      </c>
    </row>
    <row r="41" spans="1:33" ht="11.25" customHeight="1" x14ac:dyDescent="0.3">
      <c r="A41" s="4" t="s">
        <v>21</v>
      </c>
      <c r="B41" s="4" t="s">
        <v>34</v>
      </c>
      <c r="C41" s="4" t="s">
        <v>54</v>
      </c>
      <c r="D41" s="4" t="s">
        <v>33</v>
      </c>
      <c r="E41" s="4" t="s">
        <v>25</v>
      </c>
      <c r="F41" s="4" t="s">
        <v>55</v>
      </c>
      <c r="G41" s="4" t="s">
        <v>25</v>
      </c>
      <c r="H41" s="4" t="s">
        <v>36</v>
      </c>
      <c r="I41" s="5">
        <v>44501</v>
      </c>
      <c r="J41" s="6">
        <v>7149</v>
      </c>
      <c r="K41" s="6">
        <v>3577.8967758600002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56</v>
      </c>
      <c r="R41" s="4">
        <v>0</v>
      </c>
      <c r="S41" s="6">
        <v>9</v>
      </c>
      <c r="T41" s="6">
        <v>0</v>
      </c>
      <c r="U41" s="6">
        <v>0</v>
      </c>
      <c r="V41" s="6">
        <f>IF(ISERROR(VLOOKUP($S$41,'TAR FIN'!$A$1:$O$92,15,0)),0,VLOOKUP($S$41,'TAR FIN'!$A$1:$O$92,15,0))</f>
        <v>29.39</v>
      </c>
      <c r="W41" s="6">
        <f>IF(ISERROR(VLOOKUP($T$41,'TAR FIN'!$A$1:$O$92,15,0)),0,VLOOKUP($T$41,'TAR FIN'!$A$1:$O$92,15,0))</f>
        <v>0</v>
      </c>
      <c r="X41" s="6">
        <f>IF(ISERROR(VLOOKUP($U$41,'TAR FIN'!$A$1:$O$92,15,0)),0,VLOOKUP($U$41,'TAR FIN'!$A$1:$O$92,15,0))</f>
        <v>0</v>
      </c>
      <c r="Y41" s="6">
        <f ca="1">('TUSD BE'!$AM$9+'TUSD BF_350'!$AM$9+'TUSD CVA'!$AM$9)*1</f>
        <v>32.35</v>
      </c>
      <c r="Z41" s="6">
        <f ca="1">('TUSD BE'!$AM$11+'TUSD BF_350'!$AM$11+'TUSD CVA'!$AM$11)*1</f>
        <v>126.25</v>
      </c>
      <c r="AA41" s="6"/>
      <c r="AB41" s="6">
        <f>$K$41*$V$41</f>
        <v>105154.3862425254</v>
      </c>
      <c r="AC41" s="6">
        <f>$M$41*$W$41</f>
        <v>0</v>
      </c>
      <c r="AD41" s="6">
        <f>$O$41*$X$41</f>
        <v>0</v>
      </c>
      <c r="AE41" s="6">
        <f ca="1">$K$41*$Y$41</f>
        <v>115744.96069907102</v>
      </c>
      <c r="AF41" s="6">
        <f ca="1">$M$41*$Z$41</f>
        <v>0</v>
      </c>
      <c r="AG41" s="6">
        <f>$O$41*$AA$41</f>
        <v>0</v>
      </c>
    </row>
    <row r="42" spans="1:33" ht="11.25" customHeight="1" x14ac:dyDescent="0.3">
      <c r="A42" s="4" t="s">
        <v>21</v>
      </c>
      <c r="B42" s="4" t="s">
        <v>34</v>
      </c>
      <c r="C42" s="4" t="s">
        <v>54</v>
      </c>
      <c r="D42" s="4" t="s">
        <v>33</v>
      </c>
      <c r="E42" s="4" t="s">
        <v>25</v>
      </c>
      <c r="F42" s="4" t="s">
        <v>55</v>
      </c>
      <c r="G42" s="4" t="s">
        <v>25</v>
      </c>
      <c r="H42" s="4" t="s">
        <v>36</v>
      </c>
      <c r="I42" s="5">
        <v>44531</v>
      </c>
      <c r="J42" s="6">
        <v>7149</v>
      </c>
      <c r="K42" s="6">
        <v>3583.7158473899999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56</v>
      </c>
      <c r="R42" s="4">
        <v>0</v>
      </c>
      <c r="S42" s="6">
        <v>9</v>
      </c>
      <c r="T42" s="6">
        <v>0</v>
      </c>
      <c r="U42" s="6">
        <v>0</v>
      </c>
      <c r="V42" s="6">
        <f>IF(ISERROR(VLOOKUP($S$42,'TAR FIN'!$A$1:$O$92,15,0)),0,VLOOKUP($S$42,'TAR FIN'!$A$1:$O$92,15,0))</f>
        <v>29.39</v>
      </c>
      <c r="W42" s="6">
        <f>IF(ISERROR(VLOOKUP($T$42,'TAR FIN'!$A$1:$O$92,15,0)),0,VLOOKUP($T$42,'TAR FIN'!$A$1:$O$92,15,0))</f>
        <v>0</v>
      </c>
      <c r="X42" s="6">
        <f>IF(ISERROR(VLOOKUP($U$42,'TAR FIN'!$A$1:$O$92,15,0)),0,VLOOKUP($U$42,'TAR FIN'!$A$1:$O$92,15,0))</f>
        <v>0</v>
      </c>
      <c r="Y42" s="6">
        <f ca="1">('TUSD BE'!$AM$9+'TUSD BF_350'!$AM$9+'TUSD CVA'!$AM$9)*1</f>
        <v>32.35</v>
      </c>
      <c r="Z42" s="6">
        <f ca="1">('TUSD BE'!$AM$11+'TUSD BF_350'!$AM$11+'TUSD CVA'!$AM$11)*1</f>
        <v>126.25</v>
      </c>
      <c r="AA42" s="6"/>
      <c r="AB42" s="6">
        <f>$K$42*$V$42</f>
        <v>105325.40875479209</v>
      </c>
      <c r="AC42" s="6">
        <f>$M$42*$W$42</f>
        <v>0</v>
      </c>
      <c r="AD42" s="6">
        <f>$O$42*$X$42</f>
        <v>0</v>
      </c>
      <c r="AE42" s="6">
        <f ca="1">$K$42*$Y$42</f>
        <v>115933.2076630665</v>
      </c>
      <c r="AF42" s="6">
        <f ca="1">$M$42*$Z$42</f>
        <v>0</v>
      </c>
      <c r="AG42" s="6">
        <f>$O$42*$AA$42</f>
        <v>0</v>
      </c>
    </row>
    <row r="43" spans="1:33" ht="11.25" customHeight="1" x14ac:dyDescent="0.3">
      <c r="A43" s="4" t="s">
        <v>21</v>
      </c>
      <c r="B43" s="4" t="s">
        <v>34</v>
      </c>
      <c r="C43" s="4" t="s">
        <v>54</v>
      </c>
      <c r="D43" s="4" t="s">
        <v>33</v>
      </c>
      <c r="E43" s="4" t="s">
        <v>25</v>
      </c>
      <c r="F43" s="4" t="s">
        <v>55</v>
      </c>
      <c r="G43" s="4" t="s">
        <v>25</v>
      </c>
      <c r="H43" s="4" t="s">
        <v>36</v>
      </c>
      <c r="I43" s="5">
        <v>44562</v>
      </c>
      <c r="J43" s="6">
        <v>7150</v>
      </c>
      <c r="K43" s="6">
        <v>3595.9309815000001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56</v>
      </c>
      <c r="R43" s="4">
        <v>0</v>
      </c>
      <c r="S43" s="6">
        <v>9</v>
      </c>
      <c r="T43" s="6">
        <v>0</v>
      </c>
      <c r="U43" s="6">
        <v>0</v>
      </c>
      <c r="V43" s="6">
        <f>IF(ISERROR(VLOOKUP($S$43,'TAR FIN'!$A$1:$O$92,15,0)),0,VLOOKUP($S$43,'TAR FIN'!$A$1:$O$92,15,0))</f>
        <v>29.39</v>
      </c>
      <c r="W43" s="6">
        <f>IF(ISERROR(VLOOKUP($T$43,'TAR FIN'!$A$1:$O$92,15,0)),0,VLOOKUP($T$43,'TAR FIN'!$A$1:$O$92,15,0))</f>
        <v>0</v>
      </c>
      <c r="X43" s="6">
        <f>IF(ISERROR(VLOOKUP($U$43,'TAR FIN'!$A$1:$O$92,15,0)),0,VLOOKUP($U$43,'TAR FIN'!$A$1:$O$92,15,0))</f>
        <v>0</v>
      </c>
      <c r="Y43" s="6">
        <f ca="1">('TUSD BE'!$AM$9+'TUSD BF_350'!$AM$9+'TUSD CVA'!$AM$9)*1</f>
        <v>32.35</v>
      </c>
      <c r="Z43" s="6">
        <f ca="1">('TUSD BE'!$AM$11+'TUSD BF_350'!$AM$11+'TUSD CVA'!$AM$11)*1</f>
        <v>126.25</v>
      </c>
      <c r="AA43" s="6"/>
      <c r="AB43" s="6">
        <f>$K$43*$V$43</f>
        <v>105684.411546285</v>
      </c>
      <c r="AC43" s="6">
        <f>$M$43*$W$43</f>
        <v>0</v>
      </c>
      <c r="AD43" s="6">
        <f>$O$43*$X$43</f>
        <v>0</v>
      </c>
      <c r="AE43" s="6">
        <f ca="1">$K$43*$Y$43</f>
        <v>116328.36725152501</v>
      </c>
      <c r="AF43" s="6">
        <f ca="1">$M$43*$Z$43</f>
        <v>0</v>
      </c>
      <c r="AG43" s="6">
        <f>$O$43*$AA$43</f>
        <v>0</v>
      </c>
    </row>
    <row r="44" spans="1:33" ht="11.25" customHeight="1" x14ac:dyDescent="0.3">
      <c r="A44" s="4" t="s">
        <v>21</v>
      </c>
      <c r="B44" s="4" t="s">
        <v>34</v>
      </c>
      <c r="C44" s="4" t="s">
        <v>54</v>
      </c>
      <c r="D44" s="4" t="s">
        <v>33</v>
      </c>
      <c r="E44" s="4" t="s">
        <v>25</v>
      </c>
      <c r="F44" s="4" t="s">
        <v>55</v>
      </c>
      <c r="G44" s="4" t="s">
        <v>25</v>
      </c>
      <c r="H44" s="4" t="s">
        <v>36</v>
      </c>
      <c r="I44" s="5">
        <v>44593</v>
      </c>
      <c r="J44" s="6">
        <v>7149</v>
      </c>
      <c r="K44" s="6">
        <v>3576.6673623299998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56</v>
      </c>
      <c r="R44" s="4">
        <v>0</v>
      </c>
      <c r="S44" s="6">
        <v>9</v>
      </c>
      <c r="T44" s="6">
        <v>0</v>
      </c>
      <c r="U44" s="6">
        <v>0</v>
      </c>
      <c r="V44" s="6">
        <f>IF(ISERROR(VLOOKUP($S$44,'TAR FIN'!$A$1:$O$92,15,0)),0,VLOOKUP($S$44,'TAR FIN'!$A$1:$O$92,15,0))</f>
        <v>29.39</v>
      </c>
      <c r="W44" s="6">
        <f>IF(ISERROR(VLOOKUP($T$44,'TAR FIN'!$A$1:$O$92,15,0)),0,VLOOKUP($T$44,'TAR FIN'!$A$1:$O$92,15,0))</f>
        <v>0</v>
      </c>
      <c r="X44" s="6">
        <f>IF(ISERROR(VLOOKUP($U$44,'TAR FIN'!$A$1:$O$92,15,0)),0,VLOOKUP($U$44,'TAR FIN'!$A$1:$O$92,15,0))</f>
        <v>0</v>
      </c>
      <c r="Y44" s="6">
        <f ca="1">('TUSD BE'!$AM$9+'TUSD BF_350'!$AM$9+'TUSD CVA'!$AM$9)*1</f>
        <v>32.35</v>
      </c>
      <c r="Z44" s="6">
        <f ca="1">('TUSD BE'!$AM$11+'TUSD BF_350'!$AM$11+'TUSD CVA'!$AM$11)*1</f>
        <v>126.25</v>
      </c>
      <c r="AA44" s="6"/>
      <c r="AB44" s="6">
        <f>$K$44*$V$44</f>
        <v>105118.2537788787</v>
      </c>
      <c r="AC44" s="6">
        <f>$M$44*$W$44</f>
        <v>0</v>
      </c>
      <c r="AD44" s="6">
        <f>$O$44*$X$44</f>
        <v>0</v>
      </c>
      <c r="AE44" s="6">
        <f ca="1">$K$44*$Y$44</f>
        <v>115705.1891713755</v>
      </c>
      <c r="AF44" s="6">
        <f ca="1">$M$44*$Z$44</f>
        <v>0</v>
      </c>
      <c r="AG44" s="6">
        <f>$O$44*$AA$44</f>
        <v>0</v>
      </c>
    </row>
    <row r="45" spans="1:33" ht="11.25" customHeight="1" x14ac:dyDescent="0.3">
      <c r="A45" s="4" t="s">
        <v>21</v>
      </c>
      <c r="B45" s="4" t="s">
        <v>34</v>
      </c>
      <c r="C45" s="4" t="s">
        <v>54</v>
      </c>
      <c r="D45" s="4" t="s">
        <v>33</v>
      </c>
      <c r="E45" s="4" t="s">
        <v>25</v>
      </c>
      <c r="F45" s="4" t="s">
        <v>55</v>
      </c>
      <c r="G45" s="4" t="s">
        <v>25</v>
      </c>
      <c r="H45" s="4" t="s">
        <v>36</v>
      </c>
      <c r="I45" s="5">
        <v>44621</v>
      </c>
      <c r="J45" s="6">
        <v>6550</v>
      </c>
      <c r="K45" s="6">
        <v>3276.0449214999999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56</v>
      </c>
      <c r="R45" s="4">
        <v>0</v>
      </c>
      <c r="S45" s="6">
        <v>9</v>
      </c>
      <c r="T45" s="6">
        <v>0</v>
      </c>
      <c r="U45" s="6">
        <v>0</v>
      </c>
      <c r="V45" s="6">
        <f>IF(ISERROR(VLOOKUP($S$45,'TAR FIN'!$A$1:$O$92,15,0)),0,VLOOKUP($S$45,'TAR FIN'!$A$1:$O$92,15,0))</f>
        <v>29.39</v>
      </c>
      <c r="W45" s="6">
        <f>IF(ISERROR(VLOOKUP($T$45,'TAR FIN'!$A$1:$O$92,15,0)),0,VLOOKUP($T$45,'TAR FIN'!$A$1:$O$92,15,0))</f>
        <v>0</v>
      </c>
      <c r="X45" s="6">
        <f>IF(ISERROR(VLOOKUP($U$45,'TAR FIN'!$A$1:$O$92,15,0)),0,VLOOKUP($U$45,'TAR FIN'!$A$1:$O$92,15,0))</f>
        <v>0</v>
      </c>
      <c r="Y45" s="6">
        <f ca="1">('TUSD BE'!$AM$9+'TUSD BF_350'!$AM$9+'TUSD CVA'!$AM$9)*1</f>
        <v>32.35</v>
      </c>
      <c r="Z45" s="6">
        <f ca="1">('TUSD BE'!$AM$11+'TUSD BF_350'!$AM$11+'TUSD CVA'!$AM$11)*1</f>
        <v>126.25</v>
      </c>
      <c r="AA45" s="6"/>
      <c r="AB45" s="6">
        <f>$K$45*$V$45</f>
        <v>96282.960242885005</v>
      </c>
      <c r="AC45" s="6">
        <f>$M$45*$W$45</f>
        <v>0</v>
      </c>
      <c r="AD45" s="6">
        <f>$O$45*$X$45</f>
        <v>0</v>
      </c>
      <c r="AE45" s="6">
        <f ca="1">$K$45*$Y$45</f>
        <v>105980.053210525</v>
      </c>
      <c r="AF45" s="6">
        <f ca="1">$M$45*$Z$45</f>
        <v>0</v>
      </c>
      <c r="AG45" s="6">
        <f>$O$45*$AA$45</f>
        <v>0</v>
      </c>
    </row>
    <row r="46" spans="1:33" ht="11.25" customHeight="1" x14ac:dyDescent="0.3">
      <c r="A46" s="4" t="s">
        <v>21</v>
      </c>
      <c r="B46" s="4" t="s">
        <v>34</v>
      </c>
      <c r="C46" s="4" t="s">
        <v>54</v>
      </c>
      <c r="D46" s="4" t="s">
        <v>33</v>
      </c>
      <c r="E46" s="4" t="s">
        <v>25</v>
      </c>
      <c r="F46" s="4" t="s">
        <v>55</v>
      </c>
      <c r="G46" s="4" t="s">
        <v>25</v>
      </c>
      <c r="H46" s="4" t="s">
        <v>36</v>
      </c>
      <c r="I46" s="5">
        <v>44652</v>
      </c>
      <c r="J46" s="6">
        <v>6550</v>
      </c>
      <c r="K46" s="6">
        <v>3277.0388840000001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56</v>
      </c>
      <c r="R46" s="4">
        <v>0</v>
      </c>
      <c r="S46" s="6">
        <v>9</v>
      </c>
      <c r="T46" s="6">
        <v>0</v>
      </c>
      <c r="U46" s="6">
        <v>0</v>
      </c>
      <c r="V46" s="6">
        <f>IF(ISERROR(VLOOKUP($S$46,'TAR FIN'!$A$1:$O$92,15,0)),0,VLOOKUP($S$46,'TAR FIN'!$A$1:$O$92,15,0))</f>
        <v>29.39</v>
      </c>
      <c r="W46" s="6">
        <f>IF(ISERROR(VLOOKUP($T$46,'TAR FIN'!$A$1:$O$92,15,0)),0,VLOOKUP($T$46,'TAR FIN'!$A$1:$O$92,15,0))</f>
        <v>0</v>
      </c>
      <c r="X46" s="6">
        <f>IF(ISERROR(VLOOKUP($U$46,'TAR FIN'!$A$1:$O$92,15,0)),0,VLOOKUP($U$46,'TAR FIN'!$A$1:$O$92,15,0))</f>
        <v>0</v>
      </c>
      <c r="Y46" s="6">
        <f ca="1">('TUSD BE'!$AM$9+'TUSD BF_350'!$AM$9+'TUSD CVA'!$AM$9)*1</f>
        <v>32.35</v>
      </c>
      <c r="Z46" s="6">
        <f ca="1">('TUSD BE'!$AM$11+'TUSD BF_350'!$AM$11+'TUSD CVA'!$AM$11)*1</f>
        <v>126.25</v>
      </c>
      <c r="AA46" s="6"/>
      <c r="AB46" s="6">
        <f>$K$46*$V$46</f>
        <v>96312.172800760003</v>
      </c>
      <c r="AC46" s="6">
        <f>$M$46*$W$46</f>
        <v>0</v>
      </c>
      <c r="AD46" s="6">
        <f>$O$46*$X$46</f>
        <v>0</v>
      </c>
      <c r="AE46" s="6">
        <f ca="1">$K$46*$Y$46</f>
        <v>106012.2078974</v>
      </c>
      <c r="AF46" s="6">
        <f ca="1">$M$46*$Z$46</f>
        <v>0</v>
      </c>
      <c r="AG46" s="6">
        <f>$O$46*$AA$46</f>
        <v>0</v>
      </c>
    </row>
    <row r="47" spans="1:33" ht="11.25" customHeight="1" x14ac:dyDescent="0.3">
      <c r="A47" s="4" t="s">
        <v>21</v>
      </c>
      <c r="B47" s="4" t="s">
        <v>34</v>
      </c>
      <c r="C47" s="4" t="s">
        <v>54</v>
      </c>
      <c r="D47" s="4" t="s">
        <v>33</v>
      </c>
      <c r="E47" s="4" t="s">
        <v>25</v>
      </c>
      <c r="F47" s="4" t="s">
        <v>55</v>
      </c>
      <c r="G47" s="4" t="s">
        <v>25</v>
      </c>
      <c r="H47" s="4" t="s">
        <v>36</v>
      </c>
      <c r="I47" s="5">
        <v>44682</v>
      </c>
      <c r="J47" s="6">
        <v>3750</v>
      </c>
      <c r="K47" s="6">
        <v>1875.5648624999999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56</v>
      </c>
      <c r="R47" s="4">
        <v>0</v>
      </c>
      <c r="S47" s="6">
        <v>9</v>
      </c>
      <c r="T47" s="6">
        <v>0</v>
      </c>
      <c r="U47" s="6">
        <v>0</v>
      </c>
      <c r="V47" s="6">
        <f>IF(ISERROR(VLOOKUP($S$47,'TAR FIN'!$A$1:$O$92,15,0)),0,VLOOKUP($S$47,'TAR FIN'!$A$1:$O$92,15,0))</f>
        <v>29.39</v>
      </c>
      <c r="W47" s="6">
        <f>IF(ISERROR(VLOOKUP($T$47,'TAR FIN'!$A$1:$O$92,15,0)),0,VLOOKUP($T$47,'TAR FIN'!$A$1:$O$92,15,0))</f>
        <v>0</v>
      </c>
      <c r="X47" s="6">
        <f>IF(ISERROR(VLOOKUP($U$47,'TAR FIN'!$A$1:$O$92,15,0)),0,VLOOKUP($U$47,'TAR FIN'!$A$1:$O$92,15,0))</f>
        <v>0</v>
      </c>
      <c r="Y47" s="6">
        <f ca="1">('TUSD BE'!$AM$9+'TUSD BF_350'!$AM$9+'TUSD CVA'!$AM$9)*1</f>
        <v>32.35</v>
      </c>
      <c r="Z47" s="6">
        <f ca="1">('TUSD BE'!$AM$11+'TUSD BF_350'!$AM$11+'TUSD CVA'!$AM$11)*1</f>
        <v>126.25</v>
      </c>
      <c r="AA47" s="6"/>
      <c r="AB47" s="6">
        <f>$K$47*$V$47</f>
        <v>55122.851308874997</v>
      </c>
      <c r="AC47" s="6">
        <f>$M$47*$W$47</f>
        <v>0</v>
      </c>
      <c r="AD47" s="6">
        <f>$O$47*$X$47</f>
        <v>0</v>
      </c>
      <c r="AE47" s="6">
        <f ca="1">$K$47*$Y$47</f>
        <v>60674.523301875</v>
      </c>
      <c r="AF47" s="6">
        <f ca="1">$M$47*$Z$47</f>
        <v>0</v>
      </c>
      <c r="AG47" s="6">
        <f>$O$47*$AA$47</f>
        <v>0</v>
      </c>
    </row>
    <row r="48" spans="1:33" ht="11.25" customHeight="1" x14ac:dyDescent="0.3">
      <c r="A48" s="4" t="s">
        <v>21</v>
      </c>
      <c r="B48" s="4" t="s">
        <v>34</v>
      </c>
      <c r="C48" s="4" t="s">
        <v>54</v>
      </c>
      <c r="D48" s="4" t="s">
        <v>33</v>
      </c>
      <c r="E48" s="4" t="s">
        <v>25</v>
      </c>
      <c r="F48" s="4" t="s">
        <v>55</v>
      </c>
      <c r="G48" s="4" t="s">
        <v>25</v>
      </c>
      <c r="H48" s="4" t="s">
        <v>36</v>
      </c>
      <c r="I48" s="5">
        <v>44713</v>
      </c>
      <c r="J48" s="6">
        <v>3750</v>
      </c>
      <c r="K48" s="6">
        <v>1888.4784374999999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56</v>
      </c>
      <c r="R48" s="4">
        <v>0</v>
      </c>
      <c r="S48" s="6">
        <v>9</v>
      </c>
      <c r="T48" s="6">
        <v>0</v>
      </c>
      <c r="U48" s="6">
        <v>0</v>
      </c>
      <c r="V48" s="6">
        <f>IF(ISERROR(VLOOKUP($S$48,'TAR FIN'!$A$1:$O$92,15,0)),0,VLOOKUP($S$48,'TAR FIN'!$A$1:$O$92,15,0))</f>
        <v>29.39</v>
      </c>
      <c r="W48" s="6">
        <f>IF(ISERROR(VLOOKUP($T$48,'TAR FIN'!$A$1:$O$92,15,0)),0,VLOOKUP($T$48,'TAR FIN'!$A$1:$O$92,15,0))</f>
        <v>0</v>
      </c>
      <c r="X48" s="6">
        <f>IF(ISERROR(VLOOKUP($U$48,'TAR FIN'!$A$1:$O$92,15,0)),0,VLOOKUP($U$48,'TAR FIN'!$A$1:$O$92,15,0))</f>
        <v>0</v>
      </c>
      <c r="Y48" s="6">
        <f ca="1">('TUSD BE'!$AM$9+'TUSD BF_350'!$AM$9+'TUSD CVA'!$AM$9)*1</f>
        <v>32.35</v>
      </c>
      <c r="Z48" s="6">
        <f ca="1">('TUSD BE'!$AM$11+'TUSD BF_350'!$AM$11+'TUSD CVA'!$AM$11)*1</f>
        <v>126.25</v>
      </c>
      <c r="AA48" s="6"/>
      <c r="AB48" s="6">
        <f>$K$48*$V$48</f>
        <v>55502.381278125002</v>
      </c>
      <c r="AC48" s="6">
        <f>$M$48*$W$48</f>
        <v>0</v>
      </c>
      <c r="AD48" s="6">
        <f>$O$48*$X$48</f>
        <v>0</v>
      </c>
      <c r="AE48" s="6">
        <f ca="1">$K$48*$Y$48</f>
        <v>61092.277453125003</v>
      </c>
      <c r="AF48" s="6">
        <f ca="1">$M$48*$Z$48</f>
        <v>0</v>
      </c>
      <c r="AG48" s="6">
        <f>$O$48*$AA$48</f>
        <v>0</v>
      </c>
    </row>
    <row r="49" spans="1:33" ht="11.25" customHeight="1" x14ac:dyDescent="0.3">
      <c r="A49" s="4" t="s">
        <v>21</v>
      </c>
      <c r="B49" s="4" t="s">
        <v>34</v>
      </c>
      <c r="C49" s="4" t="s">
        <v>54</v>
      </c>
      <c r="D49" s="4" t="s">
        <v>33</v>
      </c>
      <c r="E49" s="4" t="s">
        <v>25</v>
      </c>
      <c r="F49" s="4" t="s">
        <v>55</v>
      </c>
      <c r="G49" s="4" t="s">
        <v>25</v>
      </c>
      <c r="H49" s="4" t="s">
        <v>36</v>
      </c>
      <c r="I49" s="5">
        <v>44743</v>
      </c>
      <c r="J49" s="6">
        <v>3750</v>
      </c>
      <c r="K49" s="6">
        <v>1891.9794374999999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56</v>
      </c>
      <c r="R49" s="4">
        <v>0</v>
      </c>
      <c r="S49" s="6">
        <v>9</v>
      </c>
      <c r="T49" s="6">
        <v>0</v>
      </c>
      <c r="U49" s="6">
        <v>0</v>
      </c>
      <c r="V49" s="6">
        <f>IF(ISERROR(VLOOKUP($S$49,'TAR FIN'!$A$1:$O$92,15,0)),0,VLOOKUP($S$49,'TAR FIN'!$A$1:$O$92,15,0))</f>
        <v>29.39</v>
      </c>
      <c r="W49" s="6">
        <f>IF(ISERROR(VLOOKUP($T$49,'TAR FIN'!$A$1:$O$92,15,0)),0,VLOOKUP($T$49,'TAR FIN'!$A$1:$O$92,15,0))</f>
        <v>0</v>
      </c>
      <c r="X49" s="6">
        <f>IF(ISERROR(VLOOKUP($U$49,'TAR FIN'!$A$1:$O$92,15,0)),0,VLOOKUP($U$49,'TAR FIN'!$A$1:$O$92,15,0))</f>
        <v>0</v>
      </c>
      <c r="Y49" s="6">
        <f ca="1">('TUSD BE'!$AM$9+'TUSD BF_350'!$AM$9+'TUSD CVA'!$AM$9)*1</f>
        <v>32.35</v>
      </c>
      <c r="Z49" s="6">
        <f ca="1">('TUSD BE'!$AM$11+'TUSD BF_350'!$AM$11+'TUSD CVA'!$AM$11)*1</f>
        <v>126.25</v>
      </c>
      <c r="AA49" s="6"/>
      <c r="AB49" s="6">
        <f>$K$49*$V$49</f>
        <v>55605.275668124996</v>
      </c>
      <c r="AC49" s="6">
        <f>$M$49*$W$49</f>
        <v>0</v>
      </c>
      <c r="AD49" s="6">
        <f>$O$49*$X$49</f>
        <v>0</v>
      </c>
      <c r="AE49" s="6">
        <f ca="1">$K$49*$Y$49</f>
        <v>61205.534803124996</v>
      </c>
      <c r="AF49" s="6">
        <f ca="1">$M$49*$Z$49</f>
        <v>0</v>
      </c>
      <c r="AG49" s="6">
        <f>$O$49*$AA$49</f>
        <v>0</v>
      </c>
    </row>
    <row r="50" spans="1:33" ht="11.25" customHeight="1" x14ac:dyDescent="0.3">
      <c r="A50" s="4" t="s">
        <v>21</v>
      </c>
      <c r="B50" s="4" t="s">
        <v>34</v>
      </c>
      <c r="C50" s="4" t="s">
        <v>57</v>
      </c>
      <c r="D50" s="4" t="s">
        <v>25</v>
      </c>
      <c r="E50" s="4" t="s">
        <v>25</v>
      </c>
      <c r="F50" s="4" t="s">
        <v>25</v>
      </c>
      <c r="G50" s="4" t="s">
        <v>58</v>
      </c>
      <c r="H50" s="4" t="s">
        <v>25</v>
      </c>
      <c r="I50" s="5">
        <v>44409</v>
      </c>
      <c r="J50" s="6">
        <v>1500</v>
      </c>
      <c r="K50" s="6">
        <v>750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4" t="s">
        <v>59</v>
      </c>
      <c r="R50" s="4">
        <v>28195</v>
      </c>
      <c r="S50" s="6">
        <v>17</v>
      </c>
      <c r="T50" s="6">
        <v>0</v>
      </c>
      <c r="U50" s="6">
        <v>0</v>
      </c>
      <c r="V50" s="6">
        <f>IF(ISERROR(VLOOKUP($S$50,'TAR FIN'!$A$1:$O$92,15,0)),0,VLOOKUP($S$50,'TAR FIN'!$A$1:$O$92,15,0))</f>
        <v>6.96</v>
      </c>
      <c r="W50" s="6">
        <f>IF(ISERROR(VLOOKUP($T$50,'TAR FIN'!$A$1:$O$92,15,0)),0,VLOOKUP($T$50,'TAR FIN'!$A$1:$O$92,15,0))</f>
        <v>0</v>
      </c>
      <c r="X50" s="6">
        <f>IF(ISERROR(VLOOKUP($U$50,'TAR FIN'!$A$1:$O$92,15,0)),0,VLOOKUP($U$50,'TAR FIN'!$A$1:$O$92,15,0))</f>
        <v>0</v>
      </c>
      <c r="Y50" s="6">
        <f ca="1">('TUSD BE'!$AM$13+'TUSD BF_350'!$AM$13+'TUSD CVA'!$AM$13)*1</f>
        <v>8.2896895560114423</v>
      </c>
      <c r="Z50" s="6"/>
      <c r="AA50" s="6"/>
      <c r="AB50" s="6">
        <f>$K$50*$V$50</f>
        <v>5220</v>
      </c>
      <c r="AC50" s="6">
        <f>$M$50*$W$50</f>
        <v>0</v>
      </c>
      <c r="AD50" s="6">
        <f>$O$50*$X$50</f>
        <v>0</v>
      </c>
      <c r="AE50" s="6">
        <f ca="1">$K$50*$Y$50</f>
        <v>6217.267167008582</v>
      </c>
      <c r="AF50" s="6">
        <f>$M$50*$Z$50</f>
        <v>0</v>
      </c>
      <c r="AG50" s="6">
        <f>$O$50*$AA$50</f>
        <v>0</v>
      </c>
    </row>
    <row r="51" spans="1:33" ht="11.25" customHeight="1" x14ac:dyDescent="0.3">
      <c r="A51" s="4" t="s">
        <v>21</v>
      </c>
      <c r="B51" s="4" t="s">
        <v>34</v>
      </c>
      <c r="C51" s="4" t="s">
        <v>57</v>
      </c>
      <c r="D51" s="4" t="s">
        <v>25</v>
      </c>
      <c r="E51" s="4" t="s">
        <v>25</v>
      </c>
      <c r="F51" s="4" t="s">
        <v>25</v>
      </c>
      <c r="G51" s="4" t="s">
        <v>60</v>
      </c>
      <c r="H51" s="4" t="s">
        <v>25</v>
      </c>
      <c r="I51" s="5">
        <v>44409</v>
      </c>
      <c r="J51" s="6">
        <v>1250</v>
      </c>
      <c r="K51" s="6">
        <v>625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4" t="s">
        <v>59</v>
      </c>
      <c r="R51" s="4">
        <v>29377</v>
      </c>
      <c r="S51" s="6">
        <v>17</v>
      </c>
      <c r="T51" s="6">
        <v>0</v>
      </c>
      <c r="U51" s="6">
        <v>0</v>
      </c>
      <c r="V51" s="6">
        <f>IF(ISERROR(VLOOKUP($S$51,'TAR FIN'!$A$1:$O$92,15,0)),0,VLOOKUP($S$51,'TAR FIN'!$A$1:$O$92,15,0))</f>
        <v>6.96</v>
      </c>
      <c r="W51" s="6">
        <f>IF(ISERROR(VLOOKUP($T$51,'TAR FIN'!$A$1:$O$92,15,0)),0,VLOOKUP($T$51,'TAR FIN'!$A$1:$O$92,15,0))</f>
        <v>0</v>
      </c>
      <c r="X51" s="6">
        <f>IF(ISERROR(VLOOKUP($U$51,'TAR FIN'!$A$1:$O$92,15,0)),0,VLOOKUP($U$51,'TAR FIN'!$A$1:$O$92,15,0))</f>
        <v>0</v>
      </c>
      <c r="Y51" s="6">
        <f ca="1">('TUSD BE'!$AM$13+'TUSD BF_350'!$AM$13+'TUSD CVA'!$AM$13)*1</f>
        <v>8.2896895560114423</v>
      </c>
      <c r="Z51" s="6"/>
      <c r="AA51" s="6"/>
      <c r="AB51" s="6">
        <f>$K$51*$V$51</f>
        <v>4350</v>
      </c>
      <c r="AC51" s="6">
        <f>$M$51*$W$51</f>
        <v>0</v>
      </c>
      <c r="AD51" s="6">
        <f>$O$51*$X$51</f>
        <v>0</v>
      </c>
      <c r="AE51" s="6">
        <f ca="1">$K$51*$Y$51</f>
        <v>5181.0559725071516</v>
      </c>
      <c r="AF51" s="6">
        <f>$M$51*$Z$51</f>
        <v>0</v>
      </c>
      <c r="AG51" s="6">
        <f>$O$51*$AA$51</f>
        <v>0</v>
      </c>
    </row>
    <row r="52" spans="1:33" ht="11.25" customHeight="1" x14ac:dyDescent="0.3">
      <c r="A52" s="4" t="s">
        <v>21</v>
      </c>
      <c r="B52" s="4" t="s">
        <v>34</v>
      </c>
      <c r="C52" s="4" t="s">
        <v>57</v>
      </c>
      <c r="D52" s="4" t="s">
        <v>25</v>
      </c>
      <c r="E52" s="4" t="s">
        <v>25</v>
      </c>
      <c r="F52" s="4" t="s">
        <v>25</v>
      </c>
      <c r="G52" s="4" t="s">
        <v>58</v>
      </c>
      <c r="H52" s="4" t="s">
        <v>25</v>
      </c>
      <c r="I52" s="5">
        <v>44440</v>
      </c>
      <c r="J52" s="6">
        <v>1500</v>
      </c>
      <c r="K52" s="6">
        <v>750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4" t="s">
        <v>59</v>
      </c>
      <c r="R52" s="4">
        <v>28195</v>
      </c>
      <c r="S52" s="6">
        <v>17</v>
      </c>
      <c r="T52" s="6">
        <v>0</v>
      </c>
      <c r="U52" s="6">
        <v>0</v>
      </c>
      <c r="V52" s="6">
        <f>IF(ISERROR(VLOOKUP($S$52,'TAR FIN'!$A$1:$O$92,15,0)),0,VLOOKUP($S$52,'TAR FIN'!$A$1:$O$92,15,0))</f>
        <v>6.96</v>
      </c>
      <c r="W52" s="6">
        <f>IF(ISERROR(VLOOKUP($T$52,'TAR FIN'!$A$1:$O$92,15,0)),0,VLOOKUP($T$52,'TAR FIN'!$A$1:$O$92,15,0))</f>
        <v>0</v>
      </c>
      <c r="X52" s="6">
        <f>IF(ISERROR(VLOOKUP($U$52,'TAR FIN'!$A$1:$O$92,15,0)),0,VLOOKUP($U$52,'TAR FIN'!$A$1:$O$92,15,0))</f>
        <v>0</v>
      </c>
      <c r="Y52" s="6">
        <f ca="1">('TUSD BE'!$AM$13+'TUSD BF_350'!$AM$13+'TUSD CVA'!$AM$13)*1</f>
        <v>8.2896895560114423</v>
      </c>
      <c r="Z52" s="6"/>
      <c r="AA52" s="6"/>
      <c r="AB52" s="6">
        <f>$K$52*$V$52</f>
        <v>5220</v>
      </c>
      <c r="AC52" s="6">
        <f>$M$52*$W$52</f>
        <v>0</v>
      </c>
      <c r="AD52" s="6">
        <f>$O$52*$X$52</f>
        <v>0</v>
      </c>
      <c r="AE52" s="6">
        <f ca="1">$K$52*$Y$52</f>
        <v>6217.267167008582</v>
      </c>
      <c r="AF52" s="6">
        <f>$M$52*$Z$52</f>
        <v>0</v>
      </c>
      <c r="AG52" s="6">
        <f>$O$52*$AA$52</f>
        <v>0</v>
      </c>
    </row>
    <row r="53" spans="1:33" ht="11.25" customHeight="1" x14ac:dyDescent="0.3">
      <c r="A53" s="4" t="s">
        <v>21</v>
      </c>
      <c r="B53" s="4" t="s">
        <v>34</v>
      </c>
      <c r="C53" s="4" t="s">
        <v>57</v>
      </c>
      <c r="D53" s="4" t="s">
        <v>25</v>
      </c>
      <c r="E53" s="4" t="s">
        <v>25</v>
      </c>
      <c r="F53" s="4" t="s">
        <v>25</v>
      </c>
      <c r="G53" s="4" t="s">
        <v>60</v>
      </c>
      <c r="H53" s="4" t="s">
        <v>25</v>
      </c>
      <c r="I53" s="5">
        <v>44440</v>
      </c>
      <c r="J53" s="6">
        <v>1250</v>
      </c>
      <c r="K53" s="6">
        <v>625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4" t="s">
        <v>59</v>
      </c>
      <c r="R53" s="4">
        <v>29377</v>
      </c>
      <c r="S53" s="6">
        <v>17</v>
      </c>
      <c r="T53" s="6">
        <v>0</v>
      </c>
      <c r="U53" s="6">
        <v>0</v>
      </c>
      <c r="V53" s="6">
        <f>IF(ISERROR(VLOOKUP($S$53,'TAR FIN'!$A$1:$O$92,15,0)),0,VLOOKUP($S$53,'TAR FIN'!$A$1:$O$92,15,0))</f>
        <v>6.96</v>
      </c>
      <c r="W53" s="6">
        <f>IF(ISERROR(VLOOKUP($T$53,'TAR FIN'!$A$1:$O$92,15,0)),0,VLOOKUP($T$53,'TAR FIN'!$A$1:$O$92,15,0))</f>
        <v>0</v>
      </c>
      <c r="X53" s="6">
        <f>IF(ISERROR(VLOOKUP($U$53,'TAR FIN'!$A$1:$O$92,15,0)),0,VLOOKUP($U$53,'TAR FIN'!$A$1:$O$92,15,0))</f>
        <v>0</v>
      </c>
      <c r="Y53" s="6">
        <f ca="1">('TUSD BE'!$AM$13+'TUSD BF_350'!$AM$13+'TUSD CVA'!$AM$13)*1</f>
        <v>8.2896895560114423</v>
      </c>
      <c r="Z53" s="6"/>
      <c r="AA53" s="6"/>
      <c r="AB53" s="6">
        <f>$K$53*$V$53</f>
        <v>4350</v>
      </c>
      <c r="AC53" s="6">
        <f>$M$53*$W$53</f>
        <v>0</v>
      </c>
      <c r="AD53" s="6">
        <f>$O$53*$X$53</f>
        <v>0</v>
      </c>
      <c r="AE53" s="6">
        <f ca="1">$K$53*$Y$53</f>
        <v>5181.0559725071516</v>
      </c>
      <c r="AF53" s="6">
        <f>$M$53*$Z$53</f>
        <v>0</v>
      </c>
      <c r="AG53" s="6">
        <f>$O$53*$AA$53</f>
        <v>0</v>
      </c>
    </row>
    <row r="54" spans="1:33" ht="11.25" customHeight="1" x14ac:dyDescent="0.3">
      <c r="A54" s="4" t="s">
        <v>21</v>
      </c>
      <c r="B54" s="4" t="s">
        <v>34</v>
      </c>
      <c r="C54" s="4" t="s">
        <v>57</v>
      </c>
      <c r="D54" s="4" t="s">
        <v>25</v>
      </c>
      <c r="E54" s="4" t="s">
        <v>25</v>
      </c>
      <c r="F54" s="4" t="s">
        <v>25</v>
      </c>
      <c r="G54" s="4" t="s">
        <v>58</v>
      </c>
      <c r="H54" s="4" t="s">
        <v>25</v>
      </c>
      <c r="I54" s="5">
        <v>44470</v>
      </c>
      <c r="J54" s="6">
        <v>1500</v>
      </c>
      <c r="K54" s="6">
        <v>750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4" t="s">
        <v>59</v>
      </c>
      <c r="R54" s="4">
        <v>28195</v>
      </c>
      <c r="S54" s="6">
        <v>17</v>
      </c>
      <c r="T54" s="6">
        <v>0</v>
      </c>
      <c r="U54" s="6">
        <v>0</v>
      </c>
      <c r="V54" s="6">
        <f>IF(ISERROR(VLOOKUP($S$54,'TAR FIN'!$A$1:$O$92,15,0)),0,VLOOKUP($S$54,'TAR FIN'!$A$1:$O$92,15,0))</f>
        <v>6.96</v>
      </c>
      <c r="W54" s="6">
        <f>IF(ISERROR(VLOOKUP($T$54,'TAR FIN'!$A$1:$O$92,15,0)),0,VLOOKUP($T$54,'TAR FIN'!$A$1:$O$92,15,0))</f>
        <v>0</v>
      </c>
      <c r="X54" s="6">
        <f>IF(ISERROR(VLOOKUP($U$54,'TAR FIN'!$A$1:$O$92,15,0)),0,VLOOKUP($U$54,'TAR FIN'!$A$1:$O$92,15,0))</f>
        <v>0</v>
      </c>
      <c r="Y54" s="6">
        <f ca="1">('TUSD BE'!$AM$13+'TUSD BF_350'!$AM$13+'TUSD CVA'!$AM$13)*1</f>
        <v>8.2896895560114423</v>
      </c>
      <c r="Z54" s="6"/>
      <c r="AA54" s="6"/>
      <c r="AB54" s="6">
        <f>$K$54*$V$54</f>
        <v>5220</v>
      </c>
      <c r="AC54" s="6">
        <f>$M$54*$W$54</f>
        <v>0</v>
      </c>
      <c r="AD54" s="6">
        <f>$O$54*$X$54</f>
        <v>0</v>
      </c>
      <c r="AE54" s="6">
        <f ca="1">$K$54*$Y$54</f>
        <v>6217.267167008582</v>
      </c>
      <c r="AF54" s="6">
        <f>$M$54*$Z$54</f>
        <v>0</v>
      </c>
      <c r="AG54" s="6">
        <f>$O$54*$AA$54</f>
        <v>0</v>
      </c>
    </row>
    <row r="55" spans="1:33" ht="11.25" customHeight="1" x14ac:dyDescent="0.3">
      <c r="A55" s="4" t="s">
        <v>21</v>
      </c>
      <c r="B55" s="4" t="s">
        <v>34</v>
      </c>
      <c r="C55" s="4" t="s">
        <v>57</v>
      </c>
      <c r="D55" s="4" t="s">
        <v>25</v>
      </c>
      <c r="E55" s="4" t="s">
        <v>25</v>
      </c>
      <c r="F55" s="4" t="s">
        <v>25</v>
      </c>
      <c r="G55" s="4" t="s">
        <v>60</v>
      </c>
      <c r="H55" s="4" t="s">
        <v>25</v>
      </c>
      <c r="I55" s="5">
        <v>44470</v>
      </c>
      <c r="J55" s="6">
        <v>1250</v>
      </c>
      <c r="K55" s="6">
        <v>625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4" t="s">
        <v>59</v>
      </c>
      <c r="R55" s="4">
        <v>29377</v>
      </c>
      <c r="S55" s="6">
        <v>17</v>
      </c>
      <c r="T55" s="6">
        <v>0</v>
      </c>
      <c r="U55" s="6">
        <v>0</v>
      </c>
      <c r="V55" s="6">
        <f>IF(ISERROR(VLOOKUP($S$55,'TAR FIN'!$A$1:$O$92,15,0)),0,VLOOKUP($S$55,'TAR FIN'!$A$1:$O$92,15,0))</f>
        <v>6.96</v>
      </c>
      <c r="W55" s="6">
        <f>IF(ISERROR(VLOOKUP($T$55,'TAR FIN'!$A$1:$O$92,15,0)),0,VLOOKUP($T$55,'TAR FIN'!$A$1:$O$92,15,0))</f>
        <v>0</v>
      </c>
      <c r="X55" s="6">
        <f>IF(ISERROR(VLOOKUP($U$55,'TAR FIN'!$A$1:$O$92,15,0)),0,VLOOKUP($U$55,'TAR FIN'!$A$1:$O$92,15,0))</f>
        <v>0</v>
      </c>
      <c r="Y55" s="6">
        <f ca="1">('TUSD BE'!$AM$13+'TUSD BF_350'!$AM$13+'TUSD CVA'!$AM$13)*1</f>
        <v>8.2896895560114423</v>
      </c>
      <c r="Z55" s="6"/>
      <c r="AA55" s="6"/>
      <c r="AB55" s="6">
        <f>$K$55*$V$55</f>
        <v>4350</v>
      </c>
      <c r="AC55" s="6">
        <f>$M$55*$W$55</f>
        <v>0</v>
      </c>
      <c r="AD55" s="6">
        <f>$O$55*$X$55</f>
        <v>0</v>
      </c>
      <c r="AE55" s="6">
        <f ca="1">$K$55*$Y$55</f>
        <v>5181.0559725071516</v>
      </c>
      <c r="AF55" s="6">
        <f>$M$55*$Z$55</f>
        <v>0</v>
      </c>
      <c r="AG55" s="6">
        <f>$O$55*$AA$55</f>
        <v>0</v>
      </c>
    </row>
    <row r="56" spans="1:33" ht="11.25" customHeight="1" x14ac:dyDescent="0.3">
      <c r="A56" s="4" t="s">
        <v>21</v>
      </c>
      <c r="B56" s="4" t="s">
        <v>34</v>
      </c>
      <c r="C56" s="4" t="s">
        <v>57</v>
      </c>
      <c r="D56" s="4" t="s">
        <v>25</v>
      </c>
      <c r="E56" s="4" t="s">
        <v>25</v>
      </c>
      <c r="F56" s="4" t="s">
        <v>25</v>
      </c>
      <c r="G56" s="4" t="s">
        <v>58</v>
      </c>
      <c r="H56" s="4" t="s">
        <v>25</v>
      </c>
      <c r="I56" s="5">
        <v>44501</v>
      </c>
      <c r="J56" s="6">
        <v>1500</v>
      </c>
      <c r="K56" s="6">
        <v>750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4" t="s">
        <v>59</v>
      </c>
      <c r="R56" s="4">
        <v>28195</v>
      </c>
      <c r="S56" s="6">
        <v>17</v>
      </c>
      <c r="T56" s="6">
        <v>0</v>
      </c>
      <c r="U56" s="6">
        <v>0</v>
      </c>
      <c r="V56" s="6">
        <f>IF(ISERROR(VLOOKUP($S$56,'TAR FIN'!$A$1:$O$92,15,0)),0,VLOOKUP($S$56,'TAR FIN'!$A$1:$O$92,15,0))</f>
        <v>6.96</v>
      </c>
      <c r="W56" s="6">
        <f>IF(ISERROR(VLOOKUP($T$56,'TAR FIN'!$A$1:$O$92,15,0)),0,VLOOKUP($T$56,'TAR FIN'!$A$1:$O$92,15,0))</f>
        <v>0</v>
      </c>
      <c r="X56" s="6">
        <f>IF(ISERROR(VLOOKUP($U$56,'TAR FIN'!$A$1:$O$92,15,0)),0,VLOOKUP($U$56,'TAR FIN'!$A$1:$O$92,15,0))</f>
        <v>0</v>
      </c>
      <c r="Y56" s="6">
        <f ca="1">('TUSD BE'!$AM$13+'TUSD BF_350'!$AM$13+'TUSD CVA'!$AM$13)*1</f>
        <v>8.2896895560114423</v>
      </c>
      <c r="Z56" s="6"/>
      <c r="AA56" s="6"/>
      <c r="AB56" s="6">
        <f>$K$56*$V$56</f>
        <v>5220</v>
      </c>
      <c r="AC56" s="6">
        <f>$M$56*$W$56</f>
        <v>0</v>
      </c>
      <c r="AD56" s="6">
        <f>$O$56*$X$56</f>
        <v>0</v>
      </c>
      <c r="AE56" s="6">
        <f ca="1">$K$56*$Y$56</f>
        <v>6217.267167008582</v>
      </c>
      <c r="AF56" s="6">
        <f>$M$56*$Z$56</f>
        <v>0</v>
      </c>
      <c r="AG56" s="6">
        <f>$O$56*$AA$56</f>
        <v>0</v>
      </c>
    </row>
    <row r="57" spans="1:33" ht="11.25" customHeight="1" x14ac:dyDescent="0.3">
      <c r="A57" s="4" t="s">
        <v>21</v>
      </c>
      <c r="B57" s="4" t="s">
        <v>34</v>
      </c>
      <c r="C57" s="4" t="s">
        <v>57</v>
      </c>
      <c r="D57" s="4" t="s">
        <v>25</v>
      </c>
      <c r="E57" s="4" t="s">
        <v>25</v>
      </c>
      <c r="F57" s="4" t="s">
        <v>25</v>
      </c>
      <c r="G57" s="4" t="s">
        <v>60</v>
      </c>
      <c r="H57" s="4" t="s">
        <v>25</v>
      </c>
      <c r="I57" s="5">
        <v>44501</v>
      </c>
      <c r="J57" s="6">
        <v>1250</v>
      </c>
      <c r="K57" s="6">
        <v>625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4" t="s">
        <v>59</v>
      </c>
      <c r="R57" s="4">
        <v>29377</v>
      </c>
      <c r="S57" s="6">
        <v>17</v>
      </c>
      <c r="T57" s="6">
        <v>0</v>
      </c>
      <c r="U57" s="6">
        <v>0</v>
      </c>
      <c r="V57" s="6">
        <f>IF(ISERROR(VLOOKUP($S$57,'TAR FIN'!$A$1:$O$92,15,0)),0,VLOOKUP($S$57,'TAR FIN'!$A$1:$O$92,15,0))</f>
        <v>6.96</v>
      </c>
      <c r="W57" s="6">
        <f>IF(ISERROR(VLOOKUP($T$57,'TAR FIN'!$A$1:$O$92,15,0)),0,VLOOKUP($T$57,'TAR FIN'!$A$1:$O$92,15,0))</f>
        <v>0</v>
      </c>
      <c r="X57" s="6">
        <f>IF(ISERROR(VLOOKUP($U$57,'TAR FIN'!$A$1:$O$92,15,0)),0,VLOOKUP($U$57,'TAR FIN'!$A$1:$O$92,15,0))</f>
        <v>0</v>
      </c>
      <c r="Y57" s="6">
        <f ca="1">('TUSD BE'!$AM$13+'TUSD BF_350'!$AM$13+'TUSD CVA'!$AM$13)*1</f>
        <v>8.2896895560114423</v>
      </c>
      <c r="Z57" s="6"/>
      <c r="AA57" s="6"/>
      <c r="AB57" s="6">
        <f>$K$57*$V$57</f>
        <v>4350</v>
      </c>
      <c r="AC57" s="6">
        <f>$M$57*$W$57</f>
        <v>0</v>
      </c>
      <c r="AD57" s="6">
        <f>$O$57*$X$57</f>
        <v>0</v>
      </c>
      <c r="AE57" s="6">
        <f ca="1">$K$57*$Y$57</f>
        <v>5181.0559725071516</v>
      </c>
      <c r="AF57" s="6">
        <f>$M$57*$Z$57</f>
        <v>0</v>
      </c>
      <c r="AG57" s="6">
        <f>$O$57*$AA$57</f>
        <v>0</v>
      </c>
    </row>
    <row r="58" spans="1:33" ht="11.25" customHeight="1" x14ac:dyDescent="0.3">
      <c r="A58" s="4" t="s">
        <v>21</v>
      </c>
      <c r="B58" s="4" t="s">
        <v>34</v>
      </c>
      <c r="C58" s="4" t="s">
        <v>57</v>
      </c>
      <c r="D58" s="4" t="s">
        <v>25</v>
      </c>
      <c r="E58" s="4" t="s">
        <v>25</v>
      </c>
      <c r="F58" s="4" t="s">
        <v>25</v>
      </c>
      <c r="G58" s="4" t="s">
        <v>58</v>
      </c>
      <c r="H58" s="4" t="s">
        <v>25</v>
      </c>
      <c r="I58" s="5">
        <v>44531</v>
      </c>
      <c r="J58" s="6">
        <v>1500</v>
      </c>
      <c r="K58" s="6">
        <v>750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4" t="s">
        <v>59</v>
      </c>
      <c r="R58" s="4">
        <v>28195</v>
      </c>
      <c r="S58" s="6">
        <v>17</v>
      </c>
      <c r="T58" s="6">
        <v>0</v>
      </c>
      <c r="U58" s="6">
        <v>0</v>
      </c>
      <c r="V58" s="6">
        <f>IF(ISERROR(VLOOKUP($S$58,'TAR FIN'!$A$1:$O$92,15,0)),0,VLOOKUP($S$58,'TAR FIN'!$A$1:$O$92,15,0))</f>
        <v>6.96</v>
      </c>
      <c r="W58" s="6">
        <f>IF(ISERROR(VLOOKUP($T$58,'TAR FIN'!$A$1:$O$92,15,0)),0,VLOOKUP($T$58,'TAR FIN'!$A$1:$O$92,15,0))</f>
        <v>0</v>
      </c>
      <c r="X58" s="6">
        <f>IF(ISERROR(VLOOKUP($U$58,'TAR FIN'!$A$1:$O$92,15,0)),0,VLOOKUP($U$58,'TAR FIN'!$A$1:$O$92,15,0))</f>
        <v>0</v>
      </c>
      <c r="Y58" s="6">
        <f ca="1">('TUSD BE'!$AM$13+'TUSD BF_350'!$AM$13+'TUSD CVA'!$AM$13)*1</f>
        <v>8.2896895560114423</v>
      </c>
      <c r="Z58" s="6"/>
      <c r="AA58" s="6"/>
      <c r="AB58" s="6">
        <f>$K$58*$V$58</f>
        <v>5220</v>
      </c>
      <c r="AC58" s="6">
        <f>$M$58*$W$58</f>
        <v>0</v>
      </c>
      <c r="AD58" s="6">
        <f>$O$58*$X$58</f>
        <v>0</v>
      </c>
      <c r="AE58" s="6">
        <f ca="1">$K$58*$Y$58</f>
        <v>6217.267167008582</v>
      </c>
      <c r="AF58" s="6">
        <f>$M$58*$Z$58</f>
        <v>0</v>
      </c>
      <c r="AG58" s="6">
        <f>$O$58*$AA$58</f>
        <v>0</v>
      </c>
    </row>
    <row r="59" spans="1:33" ht="11.25" customHeight="1" x14ac:dyDescent="0.3">
      <c r="A59" s="4" t="s">
        <v>21</v>
      </c>
      <c r="B59" s="4" t="s">
        <v>34</v>
      </c>
      <c r="C59" s="4" t="s">
        <v>57</v>
      </c>
      <c r="D59" s="4" t="s">
        <v>25</v>
      </c>
      <c r="E59" s="4" t="s">
        <v>25</v>
      </c>
      <c r="F59" s="4" t="s">
        <v>25</v>
      </c>
      <c r="G59" s="4" t="s">
        <v>60</v>
      </c>
      <c r="H59" s="4" t="s">
        <v>25</v>
      </c>
      <c r="I59" s="5">
        <v>44531</v>
      </c>
      <c r="J59" s="6">
        <v>1250</v>
      </c>
      <c r="K59" s="6">
        <v>625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4" t="s">
        <v>59</v>
      </c>
      <c r="R59" s="4">
        <v>29377</v>
      </c>
      <c r="S59" s="6">
        <v>17</v>
      </c>
      <c r="T59" s="6">
        <v>0</v>
      </c>
      <c r="U59" s="6">
        <v>0</v>
      </c>
      <c r="V59" s="6">
        <f>IF(ISERROR(VLOOKUP($S$59,'TAR FIN'!$A$1:$O$92,15,0)),0,VLOOKUP($S$59,'TAR FIN'!$A$1:$O$92,15,0))</f>
        <v>6.96</v>
      </c>
      <c r="W59" s="6">
        <f>IF(ISERROR(VLOOKUP($T$59,'TAR FIN'!$A$1:$O$92,15,0)),0,VLOOKUP($T$59,'TAR FIN'!$A$1:$O$92,15,0))</f>
        <v>0</v>
      </c>
      <c r="X59" s="6">
        <f>IF(ISERROR(VLOOKUP($U$59,'TAR FIN'!$A$1:$O$92,15,0)),0,VLOOKUP($U$59,'TAR FIN'!$A$1:$O$92,15,0))</f>
        <v>0</v>
      </c>
      <c r="Y59" s="6">
        <f ca="1">('TUSD BE'!$AM$13+'TUSD BF_350'!$AM$13+'TUSD CVA'!$AM$13)*1</f>
        <v>8.2896895560114423</v>
      </c>
      <c r="Z59" s="6"/>
      <c r="AA59" s="6"/>
      <c r="AB59" s="6">
        <f>$K$59*$V$59</f>
        <v>4350</v>
      </c>
      <c r="AC59" s="6">
        <f>$M$59*$W$59</f>
        <v>0</v>
      </c>
      <c r="AD59" s="6">
        <f>$O$59*$X$59</f>
        <v>0</v>
      </c>
      <c r="AE59" s="6">
        <f ca="1">$K$59*$Y$59</f>
        <v>5181.0559725071516</v>
      </c>
      <c r="AF59" s="6">
        <f>$M$59*$Z$59</f>
        <v>0</v>
      </c>
      <c r="AG59" s="6">
        <f>$O$59*$AA$59</f>
        <v>0</v>
      </c>
    </row>
    <row r="60" spans="1:33" ht="11.25" customHeight="1" x14ac:dyDescent="0.3">
      <c r="A60" s="4" t="s">
        <v>21</v>
      </c>
      <c r="B60" s="4" t="s">
        <v>34</v>
      </c>
      <c r="C60" s="4" t="s">
        <v>57</v>
      </c>
      <c r="D60" s="4" t="s">
        <v>25</v>
      </c>
      <c r="E60" s="4" t="s">
        <v>25</v>
      </c>
      <c r="F60" s="4" t="s">
        <v>25</v>
      </c>
      <c r="G60" s="4" t="s">
        <v>58</v>
      </c>
      <c r="H60" s="4" t="s">
        <v>25</v>
      </c>
      <c r="I60" s="5">
        <v>44562</v>
      </c>
      <c r="J60" s="6">
        <v>1500</v>
      </c>
      <c r="K60" s="6">
        <v>750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4" t="s">
        <v>59</v>
      </c>
      <c r="R60" s="4">
        <v>28195</v>
      </c>
      <c r="S60" s="6">
        <v>17</v>
      </c>
      <c r="T60" s="6">
        <v>0</v>
      </c>
      <c r="U60" s="6">
        <v>0</v>
      </c>
      <c r="V60" s="6">
        <f>IF(ISERROR(VLOOKUP($S$60,'TAR FIN'!$A$1:$O$92,15,0)),0,VLOOKUP($S$60,'TAR FIN'!$A$1:$O$92,15,0))</f>
        <v>6.96</v>
      </c>
      <c r="W60" s="6">
        <f>IF(ISERROR(VLOOKUP($T$60,'TAR FIN'!$A$1:$O$92,15,0)),0,VLOOKUP($T$60,'TAR FIN'!$A$1:$O$92,15,0))</f>
        <v>0</v>
      </c>
      <c r="X60" s="6">
        <f>IF(ISERROR(VLOOKUP($U$60,'TAR FIN'!$A$1:$O$92,15,0)),0,VLOOKUP($U$60,'TAR FIN'!$A$1:$O$92,15,0))</f>
        <v>0</v>
      </c>
      <c r="Y60" s="6">
        <f ca="1">('TUSD BE'!$AM$13+'TUSD BF_350'!$AM$13+'TUSD CVA'!$AM$13)*1</f>
        <v>8.2896895560114423</v>
      </c>
      <c r="Z60" s="6"/>
      <c r="AA60" s="6"/>
      <c r="AB60" s="6">
        <f>$K$60*$V$60</f>
        <v>5220</v>
      </c>
      <c r="AC60" s="6">
        <f>$M$60*$W$60</f>
        <v>0</v>
      </c>
      <c r="AD60" s="6">
        <f>$O$60*$X$60</f>
        <v>0</v>
      </c>
      <c r="AE60" s="6">
        <f ca="1">$K$60*$Y$60</f>
        <v>6217.267167008582</v>
      </c>
      <c r="AF60" s="6">
        <f>$M$60*$Z$60</f>
        <v>0</v>
      </c>
      <c r="AG60" s="6">
        <f>$O$60*$AA$60</f>
        <v>0</v>
      </c>
    </row>
    <row r="61" spans="1:33" ht="11.25" customHeight="1" x14ac:dyDescent="0.3">
      <c r="A61" s="4" t="s">
        <v>21</v>
      </c>
      <c r="B61" s="4" t="s">
        <v>34</v>
      </c>
      <c r="C61" s="4" t="s">
        <v>57</v>
      </c>
      <c r="D61" s="4" t="s">
        <v>25</v>
      </c>
      <c r="E61" s="4" t="s">
        <v>25</v>
      </c>
      <c r="F61" s="4" t="s">
        <v>25</v>
      </c>
      <c r="G61" s="4" t="s">
        <v>60</v>
      </c>
      <c r="H61" s="4" t="s">
        <v>25</v>
      </c>
      <c r="I61" s="5">
        <v>44562</v>
      </c>
      <c r="J61" s="6">
        <v>1250</v>
      </c>
      <c r="K61" s="6">
        <v>625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4" t="s">
        <v>59</v>
      </c>
      <c r="R61" s="4">
        <v>29377</v>
      </c>
      <c r="S61" s="6">
        <v>17</v>
      </c>
      <c r="T61" s="6">
        <v>0</v>
      </c>
      <c r="U61" s="6">
        <v>0</v>
      </c>
      <c r="V61" s="6">
        <f>IF(ISERROR(VLOOKUP($S$61,'TAR FIN'!$A$1:$O$92,15,0)),0,VLOOKUP($S$61,'TAR FIN'!$A$1:$O$92,15,0))</f>
        <v>6.96</v>
      </c>
      <c r="W61" s="6">
        <f>IF(ISERROR(VLOOKUP($T$61,'TAR FIN'!$A$1:$O$92,15,0)),0,VLOOKUP($T$61,'TAR FIN'!$A$1:$O$92,15,0))</f>
        <v>0</v>
      </c>
      <c r="X61" s="6">
        <f>IF(ISERROR(VLOOKUP($U$61,'TAR FIN'!$A$1:$O$92,15,0)),0,VLOOKUP($U$61,'TAR FIN'!$A$1:$O$92,15,0))</f>
        <v>0</v>
      </c>
      <c r="Y61" s="6">
        <f ca="1">('TUSD BE'!$AM$13+'TUSD BF_350'!$AM$13+'TUSD CVA'!$AM$13)*1</f>
        <v>8.2896895560114423</v>
      </c>
      <c r="Z61" s="6"/>
      <c r="AA61" s="6"/>
      <c r="AB61" s="6">
        <f>$K$61*$V$61</f>
        <v>4350</v>
      </c>
      <c r="AC61" s="6">
        <f>$M$61*$W$61</f>
        <v>0</v>
      </c>
      <c r="AD61" s="6">
        <f>$O$61*$X$61</f>
        <v>0</v>
      </c>
      <c r="AE61" s="6">
        <f ca="1">$K$61*$Y$61</f>
        <v>5181.0559725071516</v>
      </c>
      <c r="AF61" s="6">
        <f>$M$61*$Z$61</f>
        <v>0</v>
      </c>
      <c r="AG61" s="6">
        <f>$O$61*$AA$61</f>
        <v>0</v>
      </c>
    </row>
    <row r="62" spans="1:33" ht="11.25" customHeight="1" x14ac:dyDescent="0.3">
      <c r="A62" s="4" t="s">
        <v>21</v>
      </c>
      <c r="B62" s="4" t="s">
        <v>34</v>
      </c>
      <c r="C62" s="4" t="s">
        <v>57</v>
      </c>
      <c r="D62" s="4" t="s">
        <v>25</v>
      </c>
      <c r="E62" s="4" t="s">
        <v>25</v>
      </c>
      <c r="F62" s="4" t="s">
        <v>25</v>
      </c>
      <c r="G62" s="4" t="s">
        <v>58</v>
      </c>
      <c r="H62" s="4" t="s">
        <v>25</v>
      </c>
      <c r="I62" s="5">
        <v>44593</v>
      </c>
      <c r="J62" s="6">
        <v>1500</v>
      </c>
      <c r="K62" s="6">
        <v>750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59</v>
      </c>
      <c r="R62" s="4">
        <v>28195</v>
      </c>
      <c r="S62" s="6">
        <v>17</v>
      </c>
      <c r="T62" s="6">
        <v>0</v>
      </c>
      <c r="U62" s="6">
        <v>0</v>
      </c>
      <c r="V62" s="6">
        <f>IF(ISERROR(VLOOKUP($S$62,'TAR FIN'!$A$1:$O$92,15,0)),0,VLOOKUP($S$62,'TAR FIN'!$A$1:$O$92,15,0))</f>
        <v>6.96</v>
      </c>
      <c r="W62" s="6">
        <f>IF(ISERROR(VLOOKUP($T$62,'TAR FIN'!$A$1:$O$92,15,0)),0,VLOOKUP($T$62,'TAR FIN'!$A$1:$O$92,15,0))</f>
        <v>0</v>
      </c>
      <c r="X62" s="6">
        <f>IF(ISERROR(VLOOKUP($U$62,'TAR FIN'!$A$1:$O$92,15,0)),0,VLOOKUP($U$62,'TAR FIN'!$A$1:$O$92,15,0))</f>
        <v>0</v>
      </c>
      <c r="Y62" s="6">
        <f ca="1">('TUSD BE'!$AM$13+'TUSD BF_350'!$AM$13+'TUSD CVA'!$AM$13)*1</f>
        <v>8.2896895560114423</v>
      </c>
      <c r="Z62" s="6"/>
      <c r="AA62" s="6"/>
      <c r="AB62" s="6">
        <f>$K$62*$V$62</f>
        <v>5220</v>
      </c>
      <c r="AC62" s="6">
        <f>$M$62*$W$62</f>
        <v>0</v>
      </c>
      <c r="AD62" s="6">
        <f>$O$62*$X$62</f>
        <v>0</v>
      </c>
      <c r="AE62" s="6">
        <f ca="1">$K$62*$Y$62</f>
        <v>6217.267167008582</v>
      </c>
      <c r="AF62" s="6">
        <f>$M$62*$Z$62</f>
        <v>0</v>
      </c>
      <c r="AG62" s="6">
        <f>$O$62*$AA$62</f>
        <v>0</v>
      </c>
    </row>
    <row r="63" spans="1:33" ht="11.25" customHeight="1" x14ac:dyDescent="0.3">
      <c r="A63" s="4" t="s">
        <v>21</v>
      </c>
      <c r="B63" s="4" t="s">
        <v>34</v>
      </c>
      <c r="C63" s="4" t="s">
        <v>57</v>
      </c>
      <c r="D63" s="4" t="s">
        <v>25</v>
      </c>
      <c r="E63" s="4" t="s">
        <v>25</v>
      </c>
      <c r="F63" s="4" t="s">
        <v>25</v>
      </c>
      <c r="G63" s="4" t="s">
        <v>60</v>
      </c>
      <c r="H63" s="4" t="s">
        <v>25</v>
      </c>
      <c r="I63" s="5">
        <v>44593</v>
      </c>
      <c r="J63" s="6">
        <v>1250</v>
      </c>
      <c r="K63" s="6">
        <v>625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59</v>
      </c>
      <c r="R63" s="4">
        <v>29377</v>
      </c>
      <c r="S63" s="6">
        <v>17</v>
      </c>
      <c r="T63" s="6">
        <v>0</v>
      </c>
      <c r="U63" s="6">
        <v>0</v>
      </c>
      <c r="V63" s="6">
        <f>IF(ISERROR(VLOOKUP($S$63,'TAR FIN'!$A$1:$O$92,15,0)),0,VLOOKUP($S$63,'TAR FIN'!$A$1:$O$92,15,0))</f>
        <v>6.96</v>
      </c>
      <c r="W63" s="6">
        <f>IF(ISERROR(VLOOKUP($T$63,'TAR FIN'!$A$1:$O$92,15,0)),0,VLOOKUP($T$63,'TAR FIN'!$A$1:$O$92,15,0))</f>
        <v>0</v>
      </c>
      <c r="X63" s="6">
        <f>IF(ISERROR(VLOOKUP($U$63,'TAR FIN'!$A$1:$O$92,15,0)),0,VLOOKUP($U$63,'TAR FIN'!$A$1:$O$92,15,0))</f>
        <v>0</v>
      </c>
      <c r="Y63" s="6">
        <f ca="1">('TUSD BE'!$AM$13+'TUSD BF_350'!$AM$13+'TUSD CVA'!$AM$13)*1</f>
        <v>8.2896895560114423</v>
      </c>
      <c r="Z63" s="6"/>
      <c r="AA63" s="6"/>
      <c r="AB63" s="6">
        <f>$K$63*$V$63</f>
        <v>4350</v>
      </c>
      <c r="AC63" s="6">
        <f>$M$63*$W$63</f>
        <v>0</v>
      </c>
      <c r="AD63" s="6">
        <f>$O$63*$X$63</f>
        <v>0</v>
      </c>
      <c r="AE63" s="6">
        <f ca="1">$K$63*$Y$63</f>
        <v>5181.0559725071516</v>
      </c>
      <c r="AF63" s="6">
        <f>$M$63*$Z$63</f>
        <v>0</v>
      </c>
      <c r="AG63" s="6">
        <f>$O$63*$AA$63</f>
        <v>0</v>
      </c>
    </row>
    <row r="64" spans="1:33" ht="11.25" customHeight="1" x14ac:dyDescent="0.3">
      <c r="A64" s="4" t="s">
        <v>21</v>
      </c>
      <c r="B64" s="4" t="s">
        <v>34</v>
      </c>
      <c r="C64" s="4" t="s">
        <v>57</v>
      </c>
      <c r="D64" s="4" t="s">
        <v>25</v>
      </c>
      <c r="E64" s="4" t="s">
        <v>25</v>
      </c>
      <c r="F64" s="4" t="s">
        <v>25</v>
      </c>
      <c r="G64" s="4" t="s">
        <v>58</v>
      </c>
      <c r="H64" s="4" t="s">
        <v>25</v>
      </c>
      <c r="I64" s="5">
        <v>44621</v>
      </c>
      <c r="J64" s="6">
        <v>1500</v>
      </c>
      <c r="K64" s="6">
        <v>750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59</v>
      </c>
      <c r="R64" s="4">
        <v>28195</v>
      </c>
      <c r="S64" s="6">
        <v>17</v>
      </c>
      <c r="T64" s="6">
        <v>0</v>
      </c>
      <c r="U64" s="6">
        <v>0</v>
      </c>
      <c r="V64" s="6">
        <f>IF(ISERROR(VLOOKUP($S$64,'TAR FIN'!$A$1:$O$92,15,0)),0,VLOOKUP($S$64,'TAR FIN'!$A$1:$O$92,15,0))</f>
        <v>6.96</v>
      </c>
      <c r="W64" s="6">
        <f>IF(ISERROR(VLOOKUP($T$64,'TAR FIN'!$A$1:$O$92,15,0)),0,VLOOKUP($T$64,'TAR FIN'!$A$1:$O$92,15,0))</f>
        <v>0</v>
      </c>
      <c r="X64" s="6">
        <f>IF(ISERROR(VLOOKUP($U$64,'TAR FIN'!$A$1:$O$92,15,0)),0,VLOOKUP($U$64,'TAR FIN'!$A$1:$O$92,15,0))</f>
        <v>0</v>
      </c>
      <c r="Y64" s="6">
        <f ca="1">('TUSD BE'!$AM$13+'TUSD BF_350'!$AM$13+'TUSD CVA'!$AM$13)*1</f>
        <v>8.2896895560114423</v>
      </c>
      <c r="Z64" s="6"/>
      <c r="AA64" s="6"/>
      <c r="AB64" s="6">
        <f>$K$64*$V$64</f>
        <v>5220</v>
      </c>
      <c r="AC64" s="6">
        <f>$M$64*$W$64</f>
        <v>0</v>
      </c>
      <c r="AD64" s="6">
        <f>$O$64*$X$64</f>
        <v>0</v>
      </c>
      <c r="AE64" s="6">
        <f ca="1">$K$64*$Y$64</f>
        <v>6217.267167008582</v>
      </c>
      <c r="AF64" s="6">
        <f>$M$64*$Z$64</f>
        <v>0</v>
      </c>
      <c r="AG64" s="6">
        <f>$O$64*$AA$64</f>
        <v>0</v>
      </c>
    </row>
    <row r="65" spans="1:33" ht="11.25" customHeight="1" x14ac:dyDescent="0.3">
      <c r="A65" s="4" t="s">
        <v>21</v>
      </c>
      <c r="B65" s="4" t="s">
        <v>34</v>
      </c>
      <c r="C65" s="4" t="s">
        <v>57</v>
      </c>
      <c r="D65" s="4" t="s">
        <v>25</v>
      </c>
      <c r="E65" s="4" t="s">
        <v>25</v>
      </c>
      <c r="F65" s="4" t="s">
        <v>25</v>
      </c>
      <c r="G65" s="4" t="s">
        <v>60</v>
      </c>
      <c r="H65" s="4" t="s">
        <v>25</v>
      </c>
      <c r="I65" s="5">
        <v>44621</v>
      </c>
      <c r="J65" s="6">
        <v>1250</v>
      </c>
      <c r="K65" s="6">
        <v>625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59</v>
      </c>
      <c r="R65" s="4">
        <v>29377</v>
      </c>
      <c r="S65" s="6">
        <v>17</v>
      </c>
      <c r="T65" s="6">
        <v>0</v>
      </c>
      <c r="U65" s="6">
        <v>0</v>
      </c>
      <c r="V65" s="6">
        <f>IF(ISERROR(VLOOKUP($S$65,'TAR FIN'!$A$1:$O$92,15,0)),0,VLOOKUP($S$65,'TAR FIN'!$A$1:$O$92,15,0))</f>
        <v>6.96</v>
      </c>
      <c r="W65" s="6">
        <f>IF(ISERROR(VLOOKUP($T$65,'TAR FIN'!$A$1:$O$92,15,0)),0,VLOOKUP($T$65,'TAR FIN'!$A$1:$O$92,15,0))</f>
        <v>0</v>
      </c>
      <c r="X65" s="6">
        <f>IF(ISERROR(VLOOKUP($U$65,'TAR FIN'!$A$1:$O$92,15,0)),0,VLOOKUP($U$65,'TAR FIN'!$A$1:$O$92,15,0))</f>
        <v>0</v>
      </c>
      <c r="Y65" s="6">
        <f ca="1">('TUSD BE'!$AM$13+'TUSD BF_350'!$AM$13+'TUSD CVA'!$AM$13)*1</f>
        <v>8.2896895560114423</v>
      </c>
      <c r="Z65" s="6"/>
      <c r="AA65" s="6"/>
      <c r="AB65" s="6">
        <f>$K$65*$V$65</f>
        <v>4350</v>
      </c>
      <c r="AC65" s="6">
        <f>$M$65*$W$65</f>
        <v>0</v>
      </c>
      <c r="AD65" s="6">
        <f>$O$65*$X$65</f>
        <v>0</v>
      </c>
      <c r="AE65" s="6">
        <f ca="1">$K$65*$Y$65</f>
        <v>5181.0559725071516</v>
      </c>
      <c r="AF65" s="6">
        <f>$M$65*$Z$65</f>
        <v>0</v>
      </c>
      <c r="AG65" s="6">
        <f>$O$65*$AA$65</f>
        <v>0</v>
      </c>
    </row>
    <row r="66" spans="1:33" ht="11.25" customHeight="1" x14ac:dyDescent="0.3">
      <c r="A66" s="4" t="s">
        <v>21</v>
      </c>
      <c r="B66" s="4" t="s">
        <v>34</v>
      </c>
      <c r="C66" s="4" t="s">
        <v>57</v>
      </c>
      <c r="D66" s="4" t="s">
        <v>25</v>
      </c>
      <c r="E66" s="4" t="s">
        <v>25</v>
      </c>
      <c r="F66" s="4" t="s">
        <v>25</v>
      </c>
      <c r="G66" s="4" t="s">
        <v>58</v>
      </c>
      <c r="H66" s="4" t="s">
        <v>25</v>
      </c>
      <c r="I66" s="5">
        <v>44652</v>
      </c>
      <c r="J66" s="6">
        <v>1500</v>
      </c>
      <c r="K66" s="6">
        <v>750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59</v>
      </c>
      <c r="R66" s="4">
        <v>28195</v>
      </c>
      <c r="S66" s="6">
        <v>17</v>
      </c>
      <c r="T66" s="6">
        <v>0</v>
      </c>
      <c r="U66" s="6">
        <v>0</v>
      </c>
      <c r="V66" s="6">
        <f>IF(ISERROR(VLOOKUP($S$66,'TAR FIN'!$A$1:$O$92,15,0)),0,VLOOKUP($S$66,'TAR FIN'!$A$1:$O$92,15,0))</f>
        <v>6.96</v>
      </c>
      <c r="W66" s="6">
        <f>IF(ISERROR(VLOOKUP($T$66,'TAR FIN'!$A$1:$O$92,15,0)),0,VLOOKUP($T$66,'TAR FIN'!$A$1:$O$92,15,0))</f>
        <v>0</v>
      </c>
      <c r="X66" s="6">
        <f>IF(ISERROR(VLOOKUP($U$66,'TAR FIN'!$A$1:$O$92,15,0)),0,VLOOKUP($U$66,'TAR FIN'!$A$1:$O$92,15,0))</f>
        <v>0</v>
      </c>
      <c r="Y66" s="6">
        <f ca="1">('TUSD BE'!$AM$13+'TUSD BF_350'!$AM$13+'TUSD CVA'!$AM$13)*1</f>
        <v>8.2896895560114423</v>
      </c>
      <c r="Z66" s="6"/>
      <c r="AA66" s="6"/>
      <c r="AB66" s="6">
        <f>$K$66*$V$66</f>
        <v>5220</v>
      </c>
      <c r="AC66" s="6">
        <f>$M$66*$W$66</f>
        <v>0</v>
      </c>
      <c r="AD66" s="6">
        <f>$O$66*$X$66</f>
        <v>0</v>
      </c>
      <c r="AE66" s="6">
        <f ca="1">$K$66*$Y$66</f>
        <v>6217.267167008582</v>
      </c>
      <c r="AF66" s="6">
        <f>$M$66*$Z$66</f>
        <v>0</v>
      </c>
      <c r="AG66" s="6">
        <f>$O$66*$AA$66</f>
        <v>0</v>
      </c>
    </row>
    <row r="67" spans="1:33" ht="11.25" customHeight="1" x14ac:dyDescent="0.3">
      <c r="A67" s="4" t="s">
        <v>21</v>
      </c>
      <c r="B67" s="4" t="s">
        <v>34</v>
      </c>
      <c r="C67" s="4" t="s">
        <v>57</v>
      </c>
      <c r="D67" s="4" t="s">
        <v>25</v>
      </c>
      <c r="E67" s="4" t="s">
        <v>25</v>
      </c>
      <c r="F67" s="4" t="s">
        <v>25</v>
      </c>
      <c r="G67" s="4" t="s">
        <v>60</v>
      </c>
      <c r="H67" s="4" t="s">
        <v>25</v>
      </c>
      <c r="I67" s="5">
        <v>44652</v>
      </c>
      <c r="J67" s="6">
        <v>1250</v>
      </c>
      <c r="K67" s="6">
        <v>625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59</v>
      </c>
      <c r="R67" s="4">
        <v>29377</v>
      </c>
      <c r="S67" s="6">
        <v>17</v>
      </c>
      <c r="T67" s="6">
        <v>0</v>
      </c>
      <c r="U67" s="6">
        <v>0</v>
      </c>
      <c r="V67" s="6">
        <f>IF(ISERROR(VLOOKUP($S$67,'TAR FIN'!$A$1:$O$92,15,0)),0,VLOOKUP($S$67,'TAR FIN'!$A$1:$O$92,15,0))</f>
        <v>6.96</v>
      </c>
      <c r="W67" s="6">
        <f>IF(ISERROR(VLOOKUP($T$67,'TAR FIN'!$A$1:$O$92,15,0)),0,VLOOKUP($T$67,'TAR FIN'!$A$1:$O$92,15,0))</f>
        <v>0</v>
      </c>
      <c r="X67" s="6">
        <f>IF(ISERROR(VLOOKUP($U$67,'TAR FIN'!$A$1:$O$92,15,0)),0,VLOOKUP($U$67,'TAR FIN'!$A$1:$O$92,15,0))</f>
        <v>0</v>
      </c>
      <c r="Y67" s="6">
        <f ca="1">('TUSD BE'!$AM$13+'TUSD BF_350'!$AM$13+'TUSD CVA'!$AM$13)*1</f>
        <v>8.2896895560114423</v>
      </c>
      <c r="Z67" s="6"/>
      <c r="AA67" s="6"/>
      <c r="AB67" s="6">
        <f>$K$67*$V$67</f>
        <v>4350</v>
      </c>
      <c r="AC67" s="6">
        <f>$M$67*$W$67</f>
        <v>0</v>
      </c>
      <c r="AD67" s="6">
        <f>$O$67*$X$67</f>
        <v>0</v>
      </c>
      <c r="AE67" s="6">
        <f ca="1">$K$67*$Y$67</f>
        <v>5181.0559725071516</v>
      </c>
      <c r="AF67" s="6">
        <f>$M$67*$Z$67</f>
        <v>0</v>
      </c>
      <c r="AG67" s="6">
        <f>$O$67*$AA$67</f>
        <v>0</v>
      </c>
    </row>
    <row r="68" spans="1:33" ht="11.25" customHeight="1" x14ac:dyDescent="0.3">
      <c r="A68" s="4" t="s">
        <v>21</v>
      </c>
      <c r="B68" s="4" t="s">
        <v>34</v>
      </c>
      <c r="C68" s="4" t="s">
        <v>57</v>
      </c>
      <c r="D68" s="4" t="s">
        <v>25</v>
      </c>
      <c r="E68" s="4" t="s">
        <v>25</v>
      </c>
      <c r="F68" s="4" t="s">
        <v>25</v>
      </c>
      <c r="G68" s="4" t="s">
        <v>58</v>
      </c>
      <c r="H68" s="4" t="s">
        <v>25</v>
      </c>
      <c r="I68" s="5">
        <v>44682</v>
      </c>
      <c r="J68" s="6">
        <v>1500</v>
      </c>
      <c r="K68" s="6">
        <v>750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59</v>
      </c>
      <c r="R68" s="4">
        <v>28195</v>
      </c>
      <c r="S68" s="6">
        <v>17</v>
      </c>
      <c r="T68" s="6">
        <v>0</v>
      </c>
      <c r="U68" s="6">
        <v>0</v>
      </c>
      <c r="V68" s="6">
        <f>IF(ISERROR(VLOOKUP($S$68,'TAR FIN'!$A$1:$O$92,15,0)),0,VLOOKUP($S$68,'TAR FIN'!$A$1:$O$92,15,0))</f>
        <v>6.96</v>
      </c>
      <c r="W68" s="6">
        <f>IF(ISERROR(VLOOKUP($T$68,'TAR FIN'!$A$1:$O$92,15,0)),0,VLOOKUP($T$68,'TAR FIN'!$A$1:$O$92,15,0))</f>
        <v>0</v>
      </c>
      <c r="X68" s="6">
        <f>IF(ISERROR(VLOOKUP($U$68,'TAR FIN'!$A$1:$O$92,15,0)),0,VLOOKUP($U$68,'TAR FIN'!$A$1:$O$92,15,0))</f>
        <v>0</v>
      </c>
      <c r="Y68" s="6">
        <f ca="1">('TUSD BE'!$AM$13+'TUSD BF_350'!$AM$13+'TUSD CVA'!$AM$13)*1</f>
        <v>8.2896895560114423</v>
      </c>
      <c r="Z68" s="6"/>
      <c r="AA68" s="6"/>
      <c r="AB68" s="6">
        <f>$K$68*$V$68</f>
        <v>5220</v>
      </c>
      <c r="AC68" s="6">
        <f>$M$68*$W$68</f>
        <v>0</v>
      </c>
      <c r="AD68" s="6">
        <f>$O$68*$X$68</f>
        <v>0</v>
      </c>
      <c r="AE68" s="6">
        <f ca="1">$K$68*$Y$68</f>
        <v>6217.267167008582</v>
      </c>
      <c r="AF68" s="6">
        <f>$M$68*$Z$68</f>
        <v>0</v>
      </c>
      <c r="AG68" s="6">
        <f>$O$68*$AA$68</f>
        <v>0</v>
      </c>
    </row>
    <row r="69" spans="1:33" ht="11.25" customHeight="1" x14ac:dyDescent="0.3">
      <c r="A69" s="4" t="s">
        <v>21</v>
      </c>
      <c r="B69" s="4" t="s">
        <v>34</v>
      </c>
      <c r="C69" s="4" t="s">
        <v>57</v>
      </c>
      <c r="D69" s="4" t="s">
        <v>25</v>
      </c>
      <c r="E69" s="4" t="s">
        <v>25</v>
      </c>
      <c r="F69" s="4" t="s">
        <v>25</v>
      </c>
      <c r="G69" s="4" t="s">
        <v>60</v>
      </c>
      <c r="H69" s="4" t="s">
        <v>25</v>
      </c>
      <c r="I69" s="5">
        <v>44682</v>
      </c>
      <c r="J69" s="6">
        <v>1250</v>
      </c>
      <c r="K69" s="6">
        <v>625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59</v>
      </c>
      <c r="R69" s="4">
        <v>29377</v>
      </c>
      <c r="S69" s="6">
        <v>17</v>
      </c>
      <c r="T69" s="6">
        <v>0</v>
      </c>
      <c r="U69" s="6">
        <v>0</v>
      </c>
      <c r="V69" s="6">
        <f>IF(ISERROR(VLOOKUP($S$69,'TAR FIN'!$A$1:$O$92,15,0)),0,VLOOKUP($S$69,'TAR FIN'!$A$1:$O$92,15,0))</f>
        <v>6.96</v>
      </c>
      <c r="W69" s="6">
        <f>IF(ISERROR(VLOOKUP($T$69,'TAR FIN'!$A$1:$O$92,15,0)),0,VLOOKUP($T$69,'TAR FIN'!$A$1:$O$92,15,0))</f>
        <v>0</v>
      </c>
      <c r="X69" s="6">
        <f>IF(ISERROR(VLOOKUP($U$69,'TAR FIN'!$A$1:$O$92,15,0)),0,VLOOKUP($U$69,'TAR FIN'!$A$1:$O$92,15,0))</f>
        <v>0</v>
      </c>
      <c r="Y69" s="6">
        <f ca="1">('TUSD BE'!$AM$13+'TUSD BF_350'!$AM$13+'TUSD CVA'!$AM$13)*1</f>
        <v>8.2896895560114423</v>
      </c>
      <c r="Z69" s="6"/>
      <c r="AA69" s="6"/>
      <c r="AB69" s="6">
        <f>$K$69*$V$69</f>
        <v>4350</v>
      </c>
      <c r="AC69" s="6">
        <f>$M$69*$W$69</f>
        <v>0</v>
      </c>
      <c r="AD69" s="6">
        <f>$O$69*$X$69</f>
        <v>0</v>
      </c>
      <c r="AE69" s="6">
        <f ca="1">$K$69*$Y$69</f>
        <v>5181.0559725071516</v>
      </c>
      <c r="AF69" s="6">
        <f>$M$69*$Z$69</f>
        <v>0</v>
      </c>
      <c r="AG69" s="6">
        <f>$O$69*$AA$69</f>
        <v>0</v>
      </c>
    </row>
    <row r="70" spans="1:33" ht="11.25" customHeight="1" x14ac:dyDescent="0.3">
      <c r="A70" s="4" t="s">
        <v>21</v>
      </c>
      <c r="B70" s="4" t="s">
        <v>34</v>
      </c>
      <c r="C70" s="4" t="s">
        <v>57</v>
      </c>
      <c r="D70" s="4" t="s">
        <v>25</v>
      </c>
      <c r="E70" s="4" t="s">
        <v>25</v>
      </c>
      <c r="F70" s="4" t="s">
        <v>25</v>
      </c>
      <c r="G70" s="4" t="s">
        <v>58</v>
      </c>
      <c r="H70" s="4" t="s">
        <v>25</v>
      </c>
      <c r="I70" s="5">
        <v>44713</v>
      </c>
      <c r="J70" s="6">
        <v>1500</v>
      </c>
      <c r="K70" s="6">
        <v>750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59</v>
      </c>
      <c r="R70" s="4">
        <v>28195</v>
      </c>
      <c r="S70" s="6">
        <v>17</v>
      </c>
      <c r="T70" s="6">
        <v>0</v>
      </c>
      <c r="U70" s="6">
        <v>0</v>
      </c>
      <c r="V70" s="6">
        <f>IF(ISERROR(VLOOKUP($S$70,'TAR FIN'!$A$1:$O$92,15,0)),0,VLOOKUP($S$70,'TAR FIN'!$A$1:$O$92,15,0))</f>
        <v>6.96</v>
      </c>
      <c r="W70" s="6">
        <f>IF(ISERROR(VLOOKUP($T$70,'TAR FIN'!$A$1:$O$92,15,0)),0,VLOOKUP($T$70,'TAR FIN'!$A$1:$O$92,15,0))</f>
        <v>0</v>
      </c>
      <c r="X70" s="6">
        <f>IF(ISERROR(VLOOKUP($U$70,'TAR FIN'!$A$1:$O$92,15,0)),0,VLOOKUP($U$70,'TAR FIN'!$A$1:$O$92,15,0))</f>
        <v>0</v>
      </c>
      <c r="Y70" s="6">
        <f ca="1">('TUSD BE'!$AM$13+'TUSD BF_350'!$AM$13+'TUSD CVA'!$AM$13)*1</f>
        <v>8.2896895560114423</v>
      </c>
      <c r="Z70" s="6"/>
      <c r="AA70" s="6"/>
      <c r="AB70" s="6">
        <f>$K$70*$V$70</f>
        <v>5220</v>
      </c>
      <c r="AC70" s="6">
        <f>$M$70*$W$70</f>
        <v>0</v>
      </c>
      <c r="AD70" s="6">
        <f>$O$70*$X$70</f>
        <v>0</v>
      </c>
      <c r="AE70" s="6">
        <f ca="1">$K$70*$Y$70</f>
        <v>6217.267167008582</v>
      </c>
      <c r="AF70" s="6">
        <f>$M$70*$Z$70</f>
        <v>0</v>
      </c>
      <c r="AG70" s="6">
        <f>$O$70*$AA$70</f>
        <v>0</v>
      </c>
    </row>
    <row r="71" spans="1:33" ht="11.25" customHeight="1" x14ac:dyDescent="0.3">
      <c r="A71" s="4" t="s">
        <v>21</v>
      </c>
      <c r="B71" s="4" t="s">
        <v>34</v>
      </c>
      <c r="C71" s="4" t="s">
        <v>57</v>
      </c>
      <c r="D71" s="4" t="s">
        <v>25</v>
      </c>
      <c r="E71" s="4" t="s">
        <v>25</v>
      </c>
      <c r="F71" s="4" t="s">
        <v>25</v>
      </c>
      <c r="G71" s="4" t="s">
        <v>60</v>
      </c>
      <c r="H71" s="4" t="s">
        <v>25</v>
      </c>
      <c r="I71" s="5">
        <v>44713</v>
      </c>
      <c r="J71" s="6">
        <v>1250</v>
      </c>
      <c r="K71" s="6">
        <v>625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59</v>
      </c>
      <c r="R71" s="4">
        <v>29377</v>
      </c>
      <c r="S71" s="6">
        <v>17</v>
      </c>
      <c r="T71" s="6">
        <v>0</v>
      </c>
      <c r="U71" s="6">
        <v>0</v>
      </c>
      <c r="V71" s="6">
        <f>IF(ISERROR(VLOOKUP($S$71,'TAR FIN'!$A$1:$O$92,15,0)),0,VLOOKUP($S$71,'TAR FIN'!$A$1:$O$92,15,0))</f>
        <v>6.96</v>
      </c>
      <c r="W71" s="6">
        <f>IF(ISERROR(VLOOKUP($T$71,'TAR FIN'!$A$1:$O$92,15,0)),0,VLOOKUP($T$71,'TAR FIN'!$A$1:$O$92,15,0))</f>
        <v>0</v>
      </c>
      <c r="X71" s="6">
        <f>IF(ISERROR(VLOOKUP($U$71,'TAR FIN'!$A$1:$O$92,15,0)),0,VLOOKUP($U$71,'TAR FIN'!$A$1:$O$92,15,0))</f>
        <v>0</v>
      </c>
      <c r="Y71" s="6">
        <f ca="1">('TUSD BE'!$AM$13+'TUSD BF_350'!$AM$13+'TUSD CVA'!$AM$13)*1</f>
        <v>8.2896895560114423</v>
      </c>
      <c r="Z71" s="6"/>
      <c r="AA71" s="6"/>
      <c r="AB71" s="6">
        <f>$K$71*$V$71</f>
        <v>4350</v>
      </c>
      <c r="AC71" s="6">
        <f>$M$71*$W$71</f>
        <v>0</v>
      </c>
      <c r="AD71" s="6">
        <f>$O$71*$X$71</f>
        <v>0</v>
      </c>
      <c r="AE71" s="6">
        <f ca="1">$K$71*$Y$71</f>
        <v>5181.0559725071516</v>
      </c>
      <c r="AF71" s="6">
        <f>$M$71*$Z$71</f>
        <v>0</v>
      </c>
      <c r="AG71" s="6">
        <f>$O$71*$AA$71</f>
        <v>0</v>
      </c>
    </row>
    <row r="72" spans="1:33" ht="11.25" customHeight="1" x14ac:dyDescent="0.3">
      <c r="A72" s="4" t="s">
        <v>21</v>
      </c>
      <c r="B72" s="4" t="s">
        <v>34</v>
      </c>
      <c r="C72" s="4" t="s">
        <v>57</v>
      </c>
      <c r="D72" s="4" t="s">
        <v>25</v>
      </c>
      <c r="E72" s="4" t="s">
        <v>25</v>
      </c>
      <c r="F72" s="4" t="s">
        <v>25</v>
      </c>
      <c r="G72" s="4" t="s">
        <v>58</v>
      </c>
      <c r="H72" s="4" t="s">
        <v>25</v>
      </c>
      <c r="I72" s="5">
        <v>44743</v>
      </c>
      <c r="J72" s="6">
        <v>1500</v>
      </c>
      <c r="K72" s="6">
        <v>750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59</v>
      </c>
      <c r="R72" s="4">
        <v>28195</v>
      </c>
      <c r="S72" s="6">
        <v>17</v>
      </c>
      <c r="T72" s="6">
        <v>0</v>
      </c>
      <c r="U72" s="6">
        <v>0</v>
      </c>
      <c r="V72" s="6">
        <f>IF(ISERROR(VLOOKUP($S$72,'TAR FIN'!$A$1:$O$92,15,0)),0,VLOOKUP($S$72,'TAR FIN'!$A$1:$O$92,15,0))</f>
        <v>6.96</v>
      </c>
      <c r="W72" s="6">
        <f>IF(ISERROR(VLOOKUP($T$72,'TAR FIN'!$A$1:$O$92,15,0)),0,VLOOKUP($T$72,'TAR FIN'!$A$1:$O$92,15,0))</f>
        <v>0</v>
      </c>
      <c r="X72" s="6">
        <f>IF(ISERROR(VLOOKUP($U$72,'TAR FIN'!$A$1:$O$92,15,0)),0,VLOOKUP($U$72,'TAR FIN'!$A$1:$O$92,15,0))</f>
        <v>0</v>
      </c>
      <c r="Y72" s="6">
        <f ca="1">('TUSD BE'!$AM$13+'TUSD BF_350'!$AM$13+'TUSD CVA'!$AM$13)*1</f>
        <v>8.2896895560114423</v>
      </c>
      <c r="Z72" s="6"/>
      <c r="AA72" s="6"/>
      <c r="AB72" s="6">
        <f>$K$72*$V$72</f>
        <v>5220</v>
      </c>
      <c r="AC72" s="6">
        <f>$M$72*$W$72</f>
        <v>0</v>
      </c>
      <c r="AD72" s="6">
        <f>$O$72*$X$72</f>
        <v>0</v>
      </c>
      <c r="AE72" s="6">
        <f ca="1">$K$72*$Y$72</f>
        <v>6217.267167008582</v>
      </c>
      <c r="AF72" s="6">
        <f>$M$72*$Z$72</f>
        <v>0</v>
      </c>
      <c r="AG72" s="6">
        <f>$O$72*$AA$72</f>
        <v>0</v>
      </c>
    </row>
    <row r="73" spans="1:33" ht="11.25" customHeight="1" x14ac:dyDescent="0.3">
      <c r="A73" s="4" t="s">
        <v>21</v>
      </c>
      <c r="B73" s="4" t="s">
        <v>34</v>
      </c>
      <c r="C73" s="4" t="s">
        <v>57</v>
      </c>
      <c r="D73" s="4" t="s">
        <v>25</v>
      </c>
      <c r="E73" s="4" t="s">
        <v>25</v>
      </c>
      <c r="F73" s="4" t="s">
        <v>25</v>
      </c>
      <c r="G73" s="4" t="s">
        <v>60</v>
      </c>
      <c r="H73" s="4" t="s">
        <v>25</v>
      </c>
      <c r="I73" s="5">
        <v>44743</v>
      </c>
      <c r="J73" s="6">
        <v>1250</v>
      </c>
      <c r="K73" s="6">
        <v>625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59</v>
      </c>
      <c r="R73" s="4">
        <v>29377</v>
      </c>
      <c r="S73" s="6">
        <v>17</v>
      </c>
      <c r="T73" s="6">
        <v>0</v>
      </c>
      <c r="U73" s="6">
        <v>0</v>
      </c>
      <c r="V73" s="6">
        <f>IF(ISERROR(VLOOKUP($S$73,'TAR FIN'!$A$1:$O$92,15,0)),0,VLOOKUP($S$73,'TAR FIN'!$A$1:$O$92,15,0))</f>
        <v>6.96</v>
      </c>
      <c r="W73" s="6">
        <f>IF(ISERROR(VLOOKUP($T$73,'TAR FIN'!$A$1:$O$92,15,0)),0,VLOOKUP($T$73,'TAR FIN'!$A$1:$O$92,15,0))</f>
        <v>0</v>
      </c>
      <c r="X73" s="6">
        <f>IF(ISERROR(VLOOKUP($U$73,'TAR FIN'!$A$1:$O$92,15,0)),0,VLOOKUP($U$73,'TAR FIN'!$A$1:$O$92,15,0))</f>
        <v>0</v>
      </c>
      <c r="Y73" s="6">
        <f ca="1">('TUSD BE'!$AM$13+'TUSD BF_350'!$AM$13+'TUSD CVA'!$AM$13)*1</f>
        <v>8.2896895560114423</v>
      </c>
      <c r="Z73" s="6"/>
      <c r="AA73" s="6"/>
      <c r="AB73" s="6">
        <f>$K$73*$V$73</f>
        <v>4350</v>
      </c>
      <c r="AC73" s="6">
        <f>$M$73*$W$73</f>
        <v>0</v>
      </c>
      <c r="AD73" s="6">
        <f>$O$73*$X$73</f>
        <v>0</v>
      </c>
      <c r="AE73" s="6">
        <f ca="1">$K$73*$Y$73</f>
        <v>5181.0559725071516</v>
      </c>
      <c r="AF73" s="6">
        <f>$M$73*$Z$73</f>
        <v>0</v>
      </c>
      <c r="AG73" s="6">
        <f>$O$73*$AA$73</f>
        <v>0</v>
      </c>
    </row>
    <row r="74" spans="1:33" ht="11.25" customHeight="1" x14ac:dyDescent="0.3">
      <c r="A74" s="4" t="s">
        <v>21</v>
      </c>
      <c r="B74" s="4" t="s">
        <v>34</v>
      </c>
      <c r="C74" s="4" t="s">
        <v>35</v>
      </c>
      <c r="D74" s="4" t="s">
        <v>40</v>
      </c>
      <c r="E74" s="4" t="s">
        <v>25</v>
      </c>
      <c r="F74" s="4" t="s">
        <v>25</v>
      </c>
      <c r="G74" s="4" t="s">
        <v>25</v>
      </c>
      <c r="H74" s="4" t="s">
        <v>37</v>
      </c>
      <c r="I74" s="5">
        <v>44409</v>
      </c>
      <c r="J74" s="6">
        <v>0</v>
      </c>
      <c r="K74" s="6">
        <v>0</v>
      </c>
      <c r="L74" s="6">
        <v>41.445</v>
      </c>
      <c r="M74" s="6">
        <v>41.445</v>
      </c>
      <c r="N74" s="6">
        <v>41.445</v>
      </c>
      <c r="O74" s="6">
        <v>41.445</v>
      </c>
      <c r="P74" s="6">
        <v>0</v>
      </c>
      <c r="Q74" s="4" t="s">
        <v>26</v>
      </c>
      <c r="R74" s="4">
        <v>0</v>
      </c>
      <c r="S74" s="6">
        <v>0</v>
      </c>
      <c r="T74" s="6">
        <v>22</v>
      </c>
      <c r="U74" s="6">
        <v>84</v>
      </c>
      <c r="V74" s="6">
        <f>IF(ISERROR(VLOOKUP($S$74,'TAR FIN'!$A$1:$O$92,15,0)),0,VLOOKUP($S$74,'TAR FIN'!$A$1:$O$92,15,0))</f>
        <v>0</v>
      </c>
      <c r="W74" s="6">
        <f>IF(ISERROR(VLOOKUP($T$74,'TAR FIN'!$A$1:$O$92,15,0)),0,VLOOKUP($T$74,'TAR FIN'!$A$1:$O$92,15,0))</f>
        <v>73.28</v>
      </c>
      <c r="X74" s="6">
        <f>IF(ISERROR(VLOOKUP($U$74,'TAR FIN'!$A$1:$O$92,15,0)),0,VLOOKUP($U$74,'TAR FIN'!$A$1:$O$92,15,0))</f>
        <v>286.76</v>
      </c>
      <c r="Y74" s="6"/>
      <c r="Z74" s="6">
        <f ca="1">('TUSD BE'!$AM$16+'TUSD BF_350'!$AM$16+'TUSD CVA'!$AM$16)*1</f>
        <v>126.25</v>
      </c>
      <c r="AA74" s="6">
        <f ca="1">('TE BE'!$AB$8+'TE BF_350'!$AB$8+'TE CVA'!$AB$8)*1</f>
        <v>250.03999999999996</v>
      </c>
      <c r="AB74" s="6">
        <f>$K$74*$V$74</f>
        <v>0</v>
      </c>
      <c r="AC74" s="6">
        <f>$M$74*$W$74</f>
        <v>3037.0896000000002</v>
      </c>
      <c r="AD74" s="6">
        <f>$O$74*$X$74</f>
        <v>11884.7682</v>
      </c>
      <c r="AE74" s="6">
        <f>$K$74*$Y$74</f>
        <v>0</v>
      </c>
      <c r="AF74" s="6">
        <f ca="1">$M$74*$Z$74</f>
        <v>5232.4312499999996</v>
      </c>
      <c r="AG74" s="6">
        <f ca="1">$O$74*$AA$74</f>
        <v>10362.907799999999</v>
      </c>
    </row>
    <row r="75" spans="1:33" ht="11.25" customHeight="1" x14ac:dyDescent="0.3">
      <c r="A75" s="4" t="s">
        <v>27</v>
      </c>
      <c r="B75" s="4" t="s">
        <v>34</v>
      </c>
      <c r="C75" s="4" t="s">
        <v>35</v>
      </c>
      <c r="D75" s="4" t="s">
        <v>40</v>
      </c>
      <c r="E75" s="4" t="s">
        <v>25</v>
      </c>
      <c r="F75" s="4" t="s">
        <v>25</v>
      </c>
      <c r="G75" s="4" t="s">
        <v>25</v>
      </c>
      <c r="H75" s="4" t="s">
        <v>37</v>
      </c>
      <c r="I75" s="5">
        <v>44409</v>
      </c>
      <c r="J75" s="6">
        <v>0</v>
      </c>
      <c r="K75" s="6">
        <v>0</v>
      </c>
      <c r="L75" s="6">
        <v>6.4008000000000003</v>
      </c>
      <c r="M75" s="6">
        <v>6.4008000000000003</v>
      </c>
      <c r="N75" s="6">
        <v>6.4008000000000003</v>
      </c>
      <c r="O75" s="6">
        <v>6.4008000000000003</v>
      </c>
      <c r="P75" s="6">
        <v>0</v>
      </c>
      <c r="Q75" s="4" t="s">
        <v>26</v>
      </c>
      <c r="R75" s="4">
        <v>0</v>
      </c>
      <c r="S75" s="6">
        <v>0</v>
      </c>
      <c r="T75" s="6">
        <v>22</v>
      </c>
      <c r="U75" s="6">
        <v>84</v>
      </c>
      <c r="V75" s="6">
        <f>IF(ISERROR(VLOOKUP($S$75,'TAR FIN'!$A$1:$O$92,15,0)),0,VLOOKUP($S$75,'TAR FIN'!$A$1:$O$92,15,0))</f>
        <v>0</v>
      </c>
      <c r="W75" s="6">
        <f>IF(ISERROR(VLOOKUP($T$75,'TAR FIN'!$A$1:$O$92,15,0)),0,VLOOKUP($T$75,'TAR FIN'!$A$1:$O$92,15,0))</f>
        <v>73.28</v>
      </c>
      <c r="X75" s="6">
        <f>IF(ISERROR(VLOOKUP($U$75,'TAR FIN'!$A$1:$O$92,15,0)),0,VLOOKUP($U$75,'TAR FIN'!$A$1:$O$92,15,0))</f>
        <v>286.76</v>
      </c>
      <c r="Y75" s="6"/>
      <c r="Z75" s="6">
        <f ca="1">('TUSD BE'!$AM$16+'TUSD BF_350'!$AM$16+'TUSD CVA'!$AM$16)*1</f>
        <v>126.25</v>
      </c>
      <c r="AA75" s="6">
        <f ca="1">('TE BE'!$AB$8+'TE BF_350'!$AB$8+'TE CVA'!$AB$8)*1</f>
        <v>250.03999999999996</v>
      </c>
      <c r="AB75" s="6">
        <f>$K$75*$V$75</f>
        <v>0</v>
      </c>
      <c r="AC75" s="6">
        <f>$M$75*$W$75</f>
        <v>469.05062400000003</v>
      </c>
      <c r="AD75" s="6">
        <f>$O$75*$X$75</f>
        <v>1835.493408</v>
      </c>
      <c r="AE75" s="6">
        <f>$K$75*$Y$75</f>
        <v>0</v>
      </c>
      <c r="AF75" s="6">
        <f ca="1">$M$75*$Z$75</f>
        <v>808.101</v>
      </c>
      <c r="AG75" s="6">
        <f ca="1">$O$75*$AA$75</f>
        <v>1600.4560319999998</v>
      </c>
    </row>
    <row r="76" spans="1:33" ht="11.25" customHeight="1" x14ac:dyDescent="0.3">
      <c r="A76" s="4" t="s">
        <v>21</v>
      </c>
      <c r="B76" s="4" t="s">
        <v>34</v>
      </c>
      <c r="C76" s="4" t="s">
        <v>35</v>
      </c>
      <c r="D76" s="4" t="s">
        <v>40</v>
      </c>
      <c r="E76" s="4" t="s">
        <v>25</v>
      </c>
      <c r="F76" s="4" t="s">
        <v>25</v>
      </c>
      <c r="G76" s="4" t="s">
        <v>25</v>
      </c>
      <c r="H76" s="4" t="s">
        <v>37</v>
      </c>
      <c r="I76" s="5">
        <v>44440</v>
      </c>
      <c r="J76" s="6">
        <v>0</v>
      </c>
      <c r="K76" s="6">
        <v>0</v>
      </c>
      <c r="L76" s="6">
        <v>43.096699999999998</v>
      </c>
      <c r="M76" s="6">
        <v>43.096699999999998</v>
      </c>
      <c r="N76" s="6">
        <v>43.096699999999998</v>
      </c>
      <c r="O76" s="6">
        <v>43.096699999999998</v>
      </c>
      <c r="P76" s="6">
        <v>0</v>
      </c>
      <c r="Q76" s="4" t="s">
        <v>26</v>
      </c>
      <c r="R76" s="4">
        <v>0</v>
      </c>
      <c r="S76" s="6">
        <v>0</v>
      </c>
      <c r="T76" s="6">
        <v>22</v>
      </c>
      <c r="U76" s="6">
        <v>84</v>
      </c>
      <c r="V76" s="6">
        <f>IF(ISERROR(VLOOKUP($S$76,'TAR FIN'!$A$1:$O$92,15,0)),0,VLOOKUP($S$76,'TAR FIN'!$A$1:$O$92,15,0))</f>
        <v>0</v>
      </c>
      <c r="W76" s="6">
        <f>IF(ISERROR(VLOOKUP($T$76,'TAR FIN'!$A$1:$O$92,15,0)),0,VLOOKUP($T$76,'TAR FIN'!$A$1:$O$92,15,0))</f>
        <v>73.28</v>
      </c>
      <c r="X76" s="6">
        <f>IF(ISERROR(VLOOKUP($U$76,'TAR FIN'!$A$1:$O$92,15,0)),0,VLOOKUP($U$76,'TAR FIN'!$A$1:$O$92,15,0))</f>
        <v>286.76</v>
      </c>
      <c r="Y76" s="6"/>
      <c r="Z76" s="6">
        <f ca="1">('TUSD BE'!$AM$16+'TUSD BF_350'!$AM$16+'TUSD CVA'!$AM$16)*1</f>
        <v>126.25</v>
      </c>
      <c r="AA76" s="6">
        <f ca="1">('TE BE'!$AB$8+'TE BF_350'!$AB$8+'TE CVA'!$AB$8)*1</f>
        <v>250.03999999999996</v>
      </c>
      <c r="AB76" s="6">
        <f>$K$76*$V$76</f>
        <v>0</v>
      </c>
      <c r="AC76" s="6">
        <f>$M$76*$W$76</f>
        <v>3158.1261759999998</v>
      </c>
      <c r="AD76" s="6">
        <f>$O$76*$X$76</f>
        <v>12358.409691999999</v>
      </c>
      <c r="AE76" s="6">
        <f>$K$76*$Y$76</f>
        <v>0</v>
      </c>
      <c r="AF76" s="6">
        <f ca="1">$M$76*$Z$76</f>
        <v>5440.9583750000002</v>
      </c>
      <c r="AG76" s="6">
        <f ca="1">$O$76*$AA$76</f>
        <v>10775.898867999998</v>
      </c>
    </row>
    <row r="77" spans="1:33" ht="11.25" customHeight="1" x14ac:dyDescent="0.3">
      <c r="A77" s="4" t="s">
        <v>27</v>
      </c>
      <c r="B77" s="4" t="s">
        <v>34</v>
      </c>
      <c r="C77" s="4" t="s">
        <v>35</v>
      </c>
      <c r="D77" s="4" t="s">
        <v>40</v>
      </c>
      <c r="E77" s="4" t="s">
        <v>25</v>
      </c>
      <c r="F77" s="4" t="s">
        <v>25</v>
      </c>
      <c r="G77" s="4" t="s">
        <v>25</v>
      </c>
      <c r="H77" s="4" t="s">
        <v>37</v>
      </c>
      <c r="I77" s="5">
        <v>44440</v>
      </c>
      <c r="J77" s="6">
        <v>0</v>
      </c>
      <c r="K77" s="6">
        <v>0</v>
      </c>
      <c r="L77" s="6">
        <v>5.1446899999999998</v>
      </c>
      <c r="M77" s="6">
        <v>5.1446899999999998</v>
      </c>
      <c r="N77" s="6">
        <v>5.1446899999999998</v>
      </c>
      <c r="O77" s="6">
        <v>5.1446899999999998</v>
      </c>
      <c r="P77" s="6">
        <v>0</v>
      </c>
      <c r="Q77" s="4" t="s">
        <v>26</v>
      </c>
      <c r="R77" s="4">
        <v>0</v>
      </c>
      <c r="S77" s="6">
        <v>0</v>
      </c>
      <c r="T77" s="6">
        <v>22</v>
      </c>
      <c r="U77" s="6">
        <v>84</v>
      </c>
      <c r="V77" s="6">
        <f>IF(ISERROR(VLOOKUP($S$77,'TAR FIN'!$A$1:$O$92,15,0)),0,VLOOKUP($S$77,'TAR FIN'!$A$1:$O$92,15,0))</f>
        <v>0</v>
      </c>
      <c r="W77" s="6">
        <f>IF(ISERROR(VLOOKUP($T$77,'TAR FIN'!$A$1:$O$92,15,0)),0,VLOOKUP($T$77,'TAR FIN'!$A$1:$O$92,15,0))</f>
        <v>73.28</v>
      </c>
      <c r="X77" s="6">
        <f>IF(ISERROR(VLOOKUP($U$77,'TAR FIN'!$A$1:$O$92,15,0)),0,VLOOKUP($U$77,'TAR FIN'!$A$1:$O$92,15,0))</f>
        <v>286.76</v>
      </c>
      <c r="Y77" s="6"/>
      <c r="Z77" s="6">
        <f ca="1">('TUSD BE'!$AM$16+'TUSD BF_350'!$AM$16+'TUSD CVA'!$AM$16)*1</f>
        <v>126.25</v>
      </c>
      <c r="AA77" s="6">
        <f ca="1">('TE BE'!$AB$8+'TE BF_350'!$AB$8+'TE CVA'!$AB$8)*1</f>
        <v>250.03999999999996</v>
      </c>
      <c r="AB77" s="6">
        <f>$K$77*$V$77</f>
        <v>0</v>
      </c>
      <c r="AC77" s="6">
        <f>$M$77*$W$77</f>
        <v>377.00288319999999</v>
      </c>
      <c r="AD77" s="6">
        <f>$O$77*$X$77</f>
        <v>1475.2913043999999</v>
      </c>
      <c r="AE77" s="6">
        <f>$K$77*$Y$77</f>
        <v>0</v>
      </c>
      <c r="AF77" s="6">
        <f ca="1">$M$77*$Z$77</f>
        <v>649.51711249999994</v>
      </c>
      <c r="AG77" s="6">
        <f ca="1">$O$77*$AA$77</f>
        <v>1286.3782875999998</v>
      </c>
    </row>
    <row r="78" spans="1:33" ht="11.25" customHeight="1" x14ac:dyDescent="0.3">
      <c r="A78" s="4" t="s">
        <v>21</v>
      </c>
      <c r="B78" s="4" t="s">
        <v>34</v>
      </c>
      <c r="C78" s="4" t="s">
        <v>35</v>
      </c>
      <c r="D78" s="4" t="s">
        <v>40</v>
      </c>
      <c r="E78" s="4" t="s">
        <v>25</v>
      </c>
      <c r="F78" s="4" t="s">
        <v>25</v>
      </c>
      <c r="G78" s="4" t="s">
        <v>25</v>
      </c>
      <c r="H78" s="4" t="s">
        <v>37</v>
      </c>
      <c r="I78" s="5">
        <v>44470</v>
      </c>
      <c r="J78" s="6">
        <v>0</v>
      </c>
      <c r="K78" s="6">
        <v>0</v>
      </c>
      <c r="L78" s="6">
        <v>43.770319999999998</v>
      </c>
      <c r="M78" s="6">
        <v>43.770319999999998</v>
      </c>
      <c r="N78" s="6">
        <v>43.770319999999998</v>
      </c>
      <c r="O78" s="6">
        <v>43.770319999999998</v>
      </c>
      <c r="P78" s="6">
        <v>0</v>
      </c>
      <c r="Q78" s="4" t="s">
        <v>26</v>
      </c>
      <c r="R78" s="4">
        <v>0</v>
      </c>
      <c r="S78" s="6">
        <v>0</v>
      </c>
      <c r="T78" s="6">
        <v>22</v>
      </c>
      <c r="U78" s="6">
        <v>84</v>
      </c>
      <c r="V78" s="6">
        <f>IF(ISERROR(VLOOKUP($S$78,'TAR FIN'!$A$1:$O$92,15,0)),0,VLOOKUP($S$78,'TAR FIN'!$A$1:$O$92,15,0))</f>
        <v>0</v>
      </c>
      <c r="W78" s="6">
        <f>IF(ISERROR(VLOOKUP($T$78,'TAR FIN'!$A$1:$O$92,15,0)),0,VLOOKUP($T$78,'TAR FIN'!$A$1:$O$92,15,0))</f>
        <v>73.28</v>
      </c>
      <c r="X78" s="6">
        <f>IF(ISERROR(VLOOKUP($U$78,'TAR FIN'!$A$1:$O$92,15,0)),0,VLOOKUP($U$78,'TAR FIN'!$A$1:$O$92,15,0))</f>
        <v>286.76</v>
      </c>
      <c r="Y78" s="6"/>
      <c r="Z78" s="6">
        <f ca="1">('TUSD BE'!$AM$16+'TUSD BF_350'!$AM$16+'TUSD CVA'!$AM$16)*1</f>
        <v>126.25</v>
      </c>
      <c r="AA78" s="6">
        <f ca="1">('TE BE'!$AB$8+'TE BF_350'!$AB$8+'TE CVA'!$AB$8)*1</f>
        <v>250.03999999999996</v>
      </c>
      <c r="AB78" s="6">
        <f>$K$78*$V$78</f>
        <v>0</v>
      </c>
      <c r="AC78" s="6">
        <f>$M$78*$W$78</f>
        <v>3207.4890495999998</v>
      </c>
      <c r="AD78" s="6">
        <f>$O$78*$X$78</f>
        <v>12551.576963199999</v>
      </c>
      <c r="AE78" s="6">
        <f>$K$78*$Y$78</f>
        <v>0</v>
      </c>
      <c r="AF78" s="6">
        <f ca="1">$M$78*$Z$78</f>
        <v>5526.0028999999995</v>
      </c>
      <c r="AG78" s="6">
        <f ca="1">$O$78*$AA$78</f>
        <v>10944.330812799997</v>
      </c>
    </row>
    <row r="79" spans="1:33" ht="11.25" customHeight="1" x14ac:dyDescent="0.3">
      <c r="A79" s="4" t="s">
        <v>27</v>
      </c>
      <c r="B79" s="4" t="s">
        <v>34</v>
      </c>
      <c r="C79" s="4" t="s">
        <v>35</v>
      </c>
      <c r="D79" s="4" t="s">
        <v>40</v>
      </c>
      <c r="E79" s="4" t="s">
        <v>25</v>
      </c>
      <c r="F79" s="4" t="s">
        <v>25</v>
      </c>
      <c r="G79" s="4" t="s">
        <v>25</v>
      </c>
      <c r="H79" s="4" t="s">
        <v>37</v>
      </c>
      <c r="I79" s="5">
        <v>44470</v>
      </c>
      <c r="J79" s="6">
        <v>0</v>
      </c>
      <c r="K79" s="6">
        <v>0</v>
      </c>
      <c r="L79" s="6">
        <v>4.6870599999999998</v>
      </c>
      <c r="M79" s="6">
        <v>4.6870599999999998</v>
      </c>
      <c r="N79" s="6">
        <v>4.6870599999999998</v>
      </c>
      <c r="O79" s="6">
        <v>4.6870599999999998</v>
      </c>
      <c r="P79" s="6">
        <v>0</v>
      </c>
      <c r="Q79" s="4" t="s">
        <v>26</v>
      </c>
      <c r="R79" s="4">
        <v>0</v>
      </c>
      <c r="S79" s="6">
        <v>0</v>
      </c>
      <c r="T79" s="6">
        <v>22</v>
      </c>
      <c r="U79" s="6">
        <v>84</v>
      </c>
      <c r="V79" s="6">
        <f>IF(ISERROR(VLOOKUP($S$79,'TAR FIN'!$A$1:$O$92,15,0)),0,VLOOKUP($S$79,'TAR FIN'!$A$1:$O$92,15,0))</f>
        <v>0</v>
      </c>
      <c r="W79" s="6">
        <f>IF(ISERROR(VLOOKUP($T$79,'TAR FIN'!$A$1:$O$92,15,0)),0,VLOOKUP($T$79,'TAR FIN'!$A$1:$O$92,15,0))</f>
        <v>73.28</v>
      </c>
      <c r="X79" s="6">
        <f>IF(ISERROR(VLOOKUP($U$79,'TAR FIN'!$A$1:$O$92,15,0)),0,VLOOKUP($U$79,'TAR FIN'!$A$1:$O$92,15,0))</f>
        <v>286.76</v>
      </c>
      <c r="Y79" s="6"/>
      <c r="Z79" s="6">
        <f ca="1">('TUSD BE'!$AM$16+'TUSD BF_350'!$AM$16+'TUSD CVA'!$AM$16)*1</f>
        <v>126.25</v>
      </c>
      <c r="AA79" s="6">
        <f ca="1">('TE BE'!$AB$8+'TE BF_350'!$AB$8+'TE CVA'!$AB$8)*1</f>
        <v>250.03999999999996</v>
      </c>
      <c r="AB79" s="6">
        <f>$K$79*$V$79</f>
        <v>0</v>
      </c>
      <c r="AC79" s="6">
        <f>$M$79*$W$79</f>
        <v>343.46775679999996</v>
      </c>
      <c r="AD79" s="6">
        <f>$O$79*$X$79</f>
        <v>1344.0613255999999</v>
      </c>
      <c r="AE79" s="6">
        <f>$K$79*$Y$79</f>
        <v>0</v>
      </c>
      <c r="AF79" s="6">
        <f ca="1">$M$79*$Z$79</f>
        <v>591.74132499999996</v>
      </c>
      <c r="AG79" s="6">
        <f ca="1">$O$79*$AA$79</f>
        <v>1171.9524823999998</v>
      </c>
    </row>
    <row r="80" spans="1:33" ht="11.25" customHeight="1" x14ac:dyDescent="0.3">
      <c r="A80" s="4" t="s">
        <v>21</v>
      </c>
      <c r="B80" s="4" t="s">
        <v>34</v>
      </c>
      <c r="C80" s="4" t="s">
        <v>35</v>
      </c>
      <c r="D80" s="4" t="s">
        <v>40</v>
      </c>
      <c r="E80" s="4" t="s">
        <v>25</v>
      </c>
      <c r="F80" s="4" t="s">
        <v>25</v>
      </c>
      <c r="G80" s="4" t="s">
        <v>25</v>
      </c>
      <c r="H80" s="4" t="s">
        <v>37</v>
      </c>
      <c r="I80" s="5">
        <v>44501</v>
      </c>
      <c r="J80" s="6">
        <v>0</v>
      </c>
      <c r="K80" s="6">
        <v>0</v>
      </c>
      <c r="L80" s="6">
        <v>47.860999999999997</v>
      </c>
      <c r="M80" s="6">
        <v>47.860999999999997</v>
      </c>
      <c r="N80" s="6">
        <v>47.860999999999997</v>
      </c>
      <c r="O80" s="6">
        <v>47.860999999999997</v>
      </c>
      <c r="P80" s="6">
        <v>0</v>
      </c>
      <c r="Q80" s="4" t="s">
        <v>26</v>
      </c>
      <c r="R80" s="4">
        <v>0</v>
      </c>
      <c r="S80" s="6">
        <v>0</v>
      </c>
      <c r="T80" s="6">
        <v>22</v>
      </c>
      <c r="U80" s="6">
        <v>84</v>
      </c>
      <c r="V80" s="6">
        <f>IF(ISERROR(VLOOKUP($S$80,'TAR FIN'!$A$1:$O$92,15,0)),0,VLOOKUP($S$80,'TAR FIN'!$A$1:$O$92,15,0))</f>
        <v>0</v>
      </c>
      <c r="W80" s="6">
        <f>IF(ISERROR(VLOOKUP($T$80,'TAR FIN'!$A$1:$O$92,15,0)),0,VLOOKUP($T$80,'TAR FIN'!$A$1:$O$92,15,0))</f>
        <v>73.28</v>
      </c>
      <c r="X80" s="6">
        <f>IF(ISERROR(VLOOKUP($U$80,'TAR FIN'!$A$1:$O$92,15,0)),0,VLOOKUP($U$80,'TAR FIN'!$A$1:$O$92,15,0))</f>
        <v>286.76</v>
      </c>
      <c r="Y80" s="6"/>
      <c r="Z80" s="6">
        <f ca="1">('TUSD BE'!$AM$16+'TUSD BF_350'!$AM$16+'TUSD CVA'!$AM$16)*1</f>
        <v>126.25</v>
      </c>
      <c r="AA80" s="6">
        <f ca="1">('TE BE'!$AB$8+'TE BF_350'!$AB$8+'TE CVA'!$AB$8)*1</f>
        <v>250.03999999999996</v>
      </c>
      <c r="AB80" s="6">
        <f>$K$80*$V$80</f>
        <v>0</v>
      </c>
      <c r="AC80" s="6">
        <f>$M$80*$W$80</f>
        <v>3507.2540799999997</v>
      </c>
      <c r="AD80" s="6">
        <f>$O$80*$X$80</f>
        <v>13724.620359999999</v>
      </c>
      <c r="AE80" s="6">
        <f>$K$80*$Y$80</f>
        <v>0</v>
      </c>
      <c r="AF80" s="6">
        <f ca="1">$M$80*$Z$80</f>
        <v>6042.4512500000001</v>
      </c>
      <c r="AG80" s="6">
        <f ca="1">$O$80*$AA$80</f>
        <v>11967.164439999997</v>
      </c>
    </row>
    <row r="81" spans="1:33" ht="11.25" customHeight="1" x14ac:dyDescent="0.3">
      <c r="A81" s="4" t="s">
        <v>27</v>
      </c>
      <c r="B81" s="4" t="s">
        <v>34</v>
      </c>
      <c r="C81" s="4" t="s">
        <v>35</v>
      </c>
      <c r="D81" s="4" t="s">
        <v>40</v>
      </c>
      <c r="E81" s="4" t="s">
        <v>25</v>
      </c>
      <c r="F81" s="4" t="s">
        <v>25</v>
      </c>
      <c r="G81" s="4" t="s">
        <v>25</v>
      </c>
      <c r="H81" s="4" t="s">
        <v>37</v>
      </c>
      <c r="I81" s="5">
        <v>44501</v>
      </c>
      <c r="J81" s="6">
        <v>0</v>
      </c>
      <c r="K81" s="6">
        <v>0</v>
      </c>
      <c r="L81" s="6">
        <v>5.4560000000000004</v>
      </c>
      <c r="M81" s="6">
        <v>5.4560000000000004</v>
      </c>
      <c r="N81" s="6">
        <v>5.4560000000000004</v>
      </c>
      <c r="O81" s="6">
        <v>5.4560000000000004</v>
      </c>
      <c r="P81" s="6">
        <v>0</v>
      </c>
      <c r="Q81" s="4" t="s">
        <v>26</v>
      </c>
      <c r="R81" s="4">
        <v>0</v>
      </c>
      <c r="S81" s="6">
        <v>0</v>
      </c>
      <c r="T81" s="6">
        <v>22</v>
      </c>
      <c r="U81" s="6">
        <v>84</v>
      </c>
      <c r="V81" s="6">
        <f>IF(ISERROR(VLOOKUP($S$81,'TAR FIN'!$A$1:$O$92,15,0)),0,VLOOKUP($S$81,'TAR FIN'!$A$1:$O$92,15,0))</f>
        <v>0</v>
      </c>
      <c r="W81" s="6">
        <f>IF(ISERROR(VLOOKUP($T$81,'TAR FIN'!$A$1:$O$92,15,0)),0,VLOOKUP($T$81,'TAR FIN'!$A$1:$O$92,15,0))</f>
        <v>73.28</v>
      </c>
      <c r="X81" s="6">
        <f>IF(ISERROR(VLOOKUP($U$81,'TAR FIN'!$A$1:$O$92,15,0)),0,VLOOKUP($U$81,'TAR FIN'!$A$1:$O$92,15,0))</f>
        <v>286.76</v>
      </c>
      <c r="Y81" s="6"/>
      <c r="Z81" s="6">
        <f ca="1">('TUSD BE'!$AM$16+'TUSD BF_350'!$AM$16+'TUSD CVA'!$AM$16)*1</f>
        <v>126.25</v>
      </c>
      <c r="AA81" s="6">
        <f ca="1">('TE BE'!$AB$8+'TE BF_350'!$AB$8+'TE CVA'!$AB$8)*1</f>
        <v>250.03999999999996</v>
      </c>
      <c r="AB81" s="6">
        <f>$K$81*$V$81</f>
        <v>0</v>
      </c>
      <c r="AC81" s="6">
        <f>$M$81*$W$81</f>
        <v>399.81568000000004</v>
      </c>
      <c r="AD81" s="6">
        <f>$O$81*$X$81</f>
        <v>1564.5625600000001</v>
      </c>
      <c r="AE81" s="6">
        <f>$K$81*$Y$81</f>
        <v>0</v>
      </c>
      <c r="AF81" s="6">
        <f ca="1">$M$81*$Z$81</f>
        <v>688.82</v>
      </c>
      <c r="AG81" s="6">
        <f ca="1">$O$81*$AA$81</f>
        <v>1364.2182399999999</v>
      </c>
    </row>
    <row r="82" spans="1:33" ht="11.25" customHeight="1" x14ac:dyDescent="0.3">
      <c r="A82" s="4" t="s">
        <v>21</v>
      </c>
      <c r="B82" s="4" t="s">
        <v>34</v>
      </c>
      <c r="C82" s="4" t="s">
        <v>35</v>
      </c>
      <c r="D82" s="4" t="s">
        <v>40</v>
      </c>
      <c r="E82" s="4" t="s">
        <v>25</v>
      </c>
      <c r="F82" s="4" t="s">
        <v>25</v>
      </c>
      <c r="G82" s="4" t="s">
        <v>25</v>
      </c>
      <c r="H82" s="4" t="s">
        <v>37</v>
      </c>
      <c r="I82" s="5">
        <v>44531</v>
      </c>
      <c r="J82" s="6">
        <v>0</v>
      </c>
      <c r="K82" s="6">
        <v>0</v>
      </c>
      <c r="L82" s="6">
        <v>54.847859999999997</v>
      </c>
      <c r="M82" s="6">
        <v>54.847859999999997</v>
      </c>
      <c r="N82" s="6">
        <v>54.847859999999997</v>
      </c>
      <c r="O82" s="6">
        <v>54.847859999999997</v>
      </c>
      <c r="P82" s="6">
        <v>0</v>
      </c>
      <c r="Q82" s="4" t="s">
        <v>26</v>
      </c>
      <c r="R82" s="4">
        <v>0</v>
      </c>
      <c r="S82" s="6">
        <v>0</v>
      </c>
      <c r="T82" s="6">
        <v>22</v>
      </c>
      <c r="U82" s="6">
        <v>84</v>
      </c>
      <c r="V82" s="6">
        <f>IF(ISERROR(VLOOKUP($S$82,'TAR FIN'!$A$1:$O$92,15,0)),0,VLOOKUP($S$82,'TAR FIN'!$A$1:$O$92,15,0))</f>
        <v>0</v>
      </c>
      <c r="W82" s="6">
        <f>IF(ISERROR(VLOOKUP($T$82,'TAR FIN'!$A$1:$O$92,15,0)),0,VLOOKUP($T$82,'TAR FIN'!$A$1:$O$92,15,0))</f>
        <v>73.28</v>
      </c>
      <c r="X82" s="6">
        <f>IF(ISERROR(VLOOKUP($U$82,'TAR FIN'!$A$1:$O$92,15,0)),0,VLOOKUP($U$82,'TAR FIN'!$A$1:$O$92,15,0))</f>
        <v>286.76</v>
      </c>
      <c r="Y82" s="6"/>
      <c r="Z82" s="6">
        <f ca="1">('TUSD BE'!$AM$16+'TUSD BF_350'!$AM$16+'TUSD CVA'!$AM$16)*1</f>
        <v>126.25</v>
      </c>
      <c r="AA82" s="6">
        <f ca="1">('TE BE'!$AB$8+'TE BF_350'!$AB$8+'TE CVA'!$AB$8)*1</f>
        <v>250.03999999999996</v>
      </c>
      <c r="AB82" s="6">
        <f>$K$82*$V$82</f>
        <v>0</v>
      </c>
      <c r="AC82" s="6">
        <f>$M$82*$W$82</f>
        <v>4019.2511807999999</v>
      </c>
      <c r="AD82" s="6">
        <f>$O$82*$X$82</f>
        <v>15728.1723336</v>
      </c>
      <c r="AE82" s="6">
        <f>$K$82*$Y$82</f>
        <v>0</v>
      </c>
      <c r="AF82" s="6">
        <f ca="1">$M$82*$Z$82</f>
        <v>6924.5423249999994</v>
      </c>
      <c r="AG82" s="6">
        <f ca="1">$O$82*$AA$82</f>
        <v>13714.158914399997</v>
      </c>
    </row>
    <row r="83" spans="1:33" ht="11.25" customHeight="1" x14ac:dyDescent="0.3">
      <c r="A83" s="4" t="s">
        <v>27</v>
      </c>
      <c r="B83" s="4" t="s">
        <v>34</v>
      </c>
      <c r="C83" s="4" t="s">
        <v>35</v>
      </c>
      <c r="D83" s="4" t="s">
        <v>40</v>
      </c>
      <c r="E83" s="4" t="s">
        <v>25</v>
      </c>
      <c r="F83" s="4" t="s">
        <v>25</v>
      </c>
      <c r="G83" s="4" t="s">
        <v>25</v>
      </c>
      <c r="H83" s="4" t="s">
        <v>37</v>
      </c>
      <c r="I83" s="5">
        <v>44531</v>
      </c>
      <c r="J83" s="6">
        <v>0</v>
      </c>
      <c r="K83" s="6">
        <v>0</v>
      </c>
      <c r="L83" s="6">
        <v>8.0050000000000008</v>
      </c>
      <c r="M83" s="6">
        <v>8.0050000000000008</v>
      </c>
      <c r="N83" s="6">
        <v>8.0050000000000008</v>
      </c>
      <c r="O83" s="6">
        <v>8.0050000000000008</v>
      </c>
      <c r="P83" s="6">
        <v>0</v>
      </c>
      <c r="Q83" s="4" t="s">
        <v>26</v>
      </c>
      <c r="R83" s="4">
        <v>0</v>
      </c>
      <c r="S83" s="6">
        <v>0</v>
      </c>
      <c r="T83" s="6">
        <v>22</v>
      </c>
      <c r="U83" s="6">
        <v>84</v>
      </c>
      <c r="V83" s="6">
        <f>IF(ISERROR(VLOOKUP($S$83,'TAR FIN'!$A$1:$O$92,15,0)),0,VLOOKUP($S$83,'TAR FIN'!$A$1:$O$92,15,0))</f>
        <v>0</v>
      </c>
      <c r="W83" s="6">
        <f>IF(ISERROR(VLOOKUP($T$83,'TAR FIN'!$A$1:$O$92,15,0)),0,VLOOKUP($T$83,'TAR FIN'!$A$1:$O$92,15,0))</f>
        <v>73.28</v>
      </c>
      <c r="X83" s="6">
        <f>IF(ISERROR(VLOOKUP($U$83,'TAR FIN'!$A$1:$O$92,15,0)),0,VLOOKUP($U$83,'TAR FIN'!$A$1:$O$92,15,0))</f>
        <v>286.76</v>
      </c>
      <c r="Y83" s="6"/>
      <c r="Z83" s="6">
        <f ca="1">('TUSD BE'!$AM$16+'TUSD BF_350'!$AM$16+'TUSD CVA'!$AM$16)*1</f>
        <v>126.25</v>
      </c>
      <c r="AA83" s="6">
        <f ca="1">('TE BE'!$AB$8+'TE BF_350'!$AB$8+'TE CVA'!$AB$8)*1</f>
        <v>250.03999999999996</v>
      </c>
      <c r="AB83" s="6">
        <f>$K$83*$V$83</f>
        <v>0</v>
      </c>
      <c r="AC83" s="6">
        <f>$M$83*$W$83</f>
        <v>586.60640000000012</v>
      </c>
      <c r="AD83" s="6">
        <f>$O$83*$X$83</f>
        <v>2295.5138000000002</v>
      </c>
      <c r="AE83" s="6">
        <f>$K$83*$Y$83</f>
        <v>0</v>
      </c>
      <c r="AF83" s="6">
        <f ca="1">$M$83*$Z$83</f>
        <v>1010.6312500000001</v>
      </c>
      <c r="AG83" s="6">
        <f ca="1">$O$83*$AA$83</f>
        <v>2001.5701999999999</v>
      </c>
    </row>
    <row r="84" spans="1:33" ht="11.25" customHeight="1" x14ac:dyDescent="0.3">
      <c r="A84" s="4" t="s">
        <v>21</v>
      </c>
      <c r="B84" s="4" t="s">
        <v>34</v>
      </c>
      <c r="C84" s="4" t="s">
        <v>35</v>
      </c>
      <c r="D84" s="4" t="s">
        <v>40</v>
      </c>
      <c r="E84" s="4" t="s">
        <v>25</v>
      </c>
      <c r="F84" s="4" t="s">
        <v>25</v>
      </c>
      <c r="G84" s="4" t="s">
        <v>25</v>
      </c>
      <c r="H84" s="4" t="s">
        <v>37</v>
      </c>
      <c r="I84" s="5">
        <v>44562</v>
      </c>
      <c r="J84" s="6">
        <v>0</v>
      </c>
      <c r="K84" s="6">
        <v>0</v>
      </c>
      <c r="L84" s="6">
        <v>59.790999999999997</v>
      </c>
      <c r="M84" s="6">
        <v>59.790999999999997</v>
      </c>
      <c r="N84" s="6">
        <v>59.790999999999997</v>
      </c>
      <c r="O84" s="6">
        <v>59.790999999999997</v>
      </c>
      <c r="P84" s="6">
        <v>0</v>
      </c>
      <c r="Q84" s="4" t="s">
        <v>26</v>
      </c>
      <c r="R84" s="4">
        <v>0</v>
      </c>
      <c r="S84" s="6">
        <v>0</v>
      </c>
      <c r="T84" s="6">
        <v>22</v>
      </c>
      <c r="U84" s="6">
        <v>84</v>
      </c>
      <c r="V84" s="6">
        <f>IF(ISERROR(VLOOKUP($S$84,'TAR FIN'!$A$1:$O$92,15,0)),0,VLOOKUP($S$84,'TAR FIN'!$A$1:$O$92,15,0))</f>
        <v>0</v>
      </c>
      <c r="W84" s="6">
        <f>IF(ISERROR(VLOOKUP($T$84,'TAR FIN'!$A$1:$O$92,15,0)),0,VLOOKUP($T$84,'TAR FIN'!$A$1:$O$92,15,0))</f>
        <v>73.28</v>
      </c>
      <c r="X84" s="6">
        <f>IF(ISERROR(VLOOKUP($U$84,'TAR FIN'!$A$1:$O$92,15,0)),0,VLOOKUP($U$84,'TAR FIN'!$A$1:$O$92,15,0))</f>
        <v>286.76</v>
      </c>
      <c r="Y84" s="6"/>
      <c r="Z84" s="6">
        <f ca="1">('TUSD BE'!$AM$16+'TUSD BF_350'!$AM$16+'TUSD CVA'!$AM$16)*1</f>
        <v>126.25</v>
      </c>
      <c r="AA84" s="6">
        <f ca="1">('TE BE'!$AB$8+'TE BF_350'!$AB$8+'TE CVA'!$AB$8)*1</f>
        <v>250.03999999999996</v>
      </c>
      <c r="AB84" s="6">
        <f>$K$84*$V$84</f>
        <v>0</v>
      </c>
      <c r="AC84" s="6">
        <f>$M$84*$W$84</f>
        <v>4381.4844800000001</v>
      </c>
      <c r="AD84" s="6">
        <f>$O$84*$X$84</f>
        <v>17145.667159999997</v>
      </c>
      <c r="AE84" s="6">
        <f>$K$84*$Y$84</f>
        <v>0</v>
      </c>
      <c r="AF84" s="6">
        <f ca="1">$M$84*$Z$84</f>
        <v>7548.6137499999995</v>
      </c>
      <c r="AG84" s="6">
        <f ca="1">$O$84*$AA$84</f>
        <v>14950.141639999996</v>
      </c>
    </row>
    <row r="85" spans="1:33" ht="11.25" customHeight="1" x14ac:dyDescent="0.3">
      <c r="A85" s="4" t="s">
        <v>27</v>
      </c>
      <c r="B85" s="4" t="s">
        <v>34</v>
      </c>
      <c r="C85" s="4" t="s">
        <v>35</v>
      </c>
      <c r="D85" s="4" t="s">
        <v>40</v>
      </c>
      <c r="E85" s="4" t="s">
        <v>25</v>
      </c>
      <c r="F85" s="4" t="s">
        <v>25</v>
      </c>
      <c r="G85" s="4" t="s">
        <v>25</v>
      </c>
      <c r="H85" s="4" t="s">
        <v>37</v>
      </c>
      <c r="I85" s="5">
        <v>44562</v>
      </c>
      <c r="J85" s="6">
        <v>0</v>
      </c>
      <c r="K85" s="6">
        <v>0</v>
      </c>
      <c r="L85" s="6">
        <v>12.615</v>
      </c>
      <c r="M85" s="6">
        <v>12.615</v>
      </c>
      <c r="N85" s="6">
        <v>12.615</v>
      </c>
      <c r="O85" s="6">
        <v>12.615</v>
      </c>
      <c r="P85" s="6">
        <v>0</v>
      </c>
      <c r="Q85" s="4" t="s">
        <v>26</v>
      </c>
      <c r="R85" s="4">
        <v>0</v>
      </c>
      <c r="S85" s="6">
        <v>0</v>
      </c>
      <c r="T85" s="6">
        <v>22</v>
      </c>
      <c r="U85" s="6">
        <v>84</v>
      </c>
      <c r="V85" s="6">
        <f>IF(ISERROR(VLOOKUP($S$85,'TAR FIN'!$A$1:$O$92,15,0)),0,VLOOKUP($S$85,'TAR FIN'!$A$1:$O$92,15,0))</f>
        <v>0</v>
      </c>
      <c r="W85" s="6">
        <f>IF(ISERROR(VLOOKUP($T$85,'TAR FIN'!$A$1:$O$92,15,0)),0,VLOOKUP($T$85,'TAR FIN'!$A$1:$O$92,15,0))</f>
        <v>73.28</v>
      </c>
      <c r="X85" s="6">
        <f>IF(ISERROR(VLOOKUP($U$85,'TAR FIN'!$A$1:$O$92,15,0)),0,VLOOKUP($U$85,'TAR FIN'!$A$1:$O$92,15,0))</f>
        <v>286.76</v>
      </c>
      <c r="Y85" s="6"/>
      <c r="Z85" s="6">
        <f ca="1">('TUSD BE'!$AM$16+'TUSD BF_350'!$AM$16+'TUSD CVA'!$AM$16)*1</f>
        <v>126.25</v>
      </c>
      <c r="AA85" s="6">
        <f ca="1">('TE BE'!$AB$8+'TE BF_350'!$AB$8+'TE CVA'!$AB$8)*1</f>
        <v>250.03999999999996</v>
      </c>
      <c r="AB85" s="6">
        <f>$K$85*$V$85</f>
        <v>0</v>
      </c>
      <c r="AC85" s="6">
        <f>$M$85*$W$85</f>
        <v>924.42720000000008</v>
      </c>
      <c r="AD85" s="6">
        <f>$O$85*$X$85</f>
        <v>3617.4773999999998</v>
      </c>
      <c r="AE85" s="6">
        <f>$K$85*$Y$85</f>
        <v>0</v>
      </c>
      <c r="AF85" s="6">
        <f ca="1">$M$85*$Z$85</f>
        <v>1592.64375</v>
      </c>
      <c r="AG85" s="6">
        <f ca="1">$O$85*$AA$85</f>
        <v>3154.2545999999998</v>
      </c>
    </row>
    <row r="86" spans="1:33" ht="11.25" customHeight="1" x14ac:dyDescent="0.3">
      <c r="A86" s="4" t="s">
        <v>21</v>
      </c>
      <c r="B86" s="4" t="s">
        <v>34</v>
      </c>
      <c r="C86" s="4" t="s">
        <v>35</v>
      </c>
      <c r="D86" s="4" t="s">
        <v>40</v>
      </c>
      <c r="E86" s="4" t="s">
        <v>25</v>
      </c>
      <c r="F86" s="4" t="s">
        <v>25</v>
      </c>
      <c r="G86" s="4" t="s">
        <v>25</v>
      </c>
      <c r="H86" s="4" t="s">
        <v>37</v>
      </c>
      <c r="I86" s="5">
        <v>44593</v>
      </c>
      <c r="J86" s="6">
        <v>0</v>
      </c>
      <c r="K86" s="6">
        <v>0</v>
      </c>
      <c r="L86" s="6">
        <v>51.537999999999997</v>
      </c>
      <c r="M86" s="6">
        <v>51.537999999999997</v>
      </c>
      <c r="N86" s="6">
        <v>51.537999999999997</v>
      </c>
      <c r="O86" s="6">
        <v>51.537999999999997</v>
      </c>
      <c r="P86" s="6">
        <v>0</v>
      </c>
      <c r="Q86" s="4" t="s">
        <v>26</v>
      </c>
      <c r="R86" s="4">
        <v>0</v>
      </c>
      <c r="S86" s="6">
        <v>0</v>
      </c>
      <c r="T86" s="6">
        <v>22</v>
      </c>
      <c r="U86" s="6">
        <v>84</v>
      </c>
      <c r="V86" s="6">
        <f>IF(ISERROR(VLOOKUP($S$86,'TAR FIN'!$A$1:$O$92,15,0)),0,VLOOKUP($S$86,'TAR FIN'!$A$1:$O$92,15,0))</f>
        <v>0</v>
      </c>
      <c r="W86" s="6">
        <f>IF(ISERROR(VLOOKUP($T$86,'TAR FIN'!$A$1:$O$92,15,0)),0,VLOOKUP($T$86,'TAR FIN'!$A$1:$O$92,15,0))</f>
        <v>73.28</v>
      </c>
      <c r="X86" s="6">
        <f>IF(ISERROR(VLOOKUP($U$86,'TAR FIN'!$A$1:$O$92,15,0)),0,VLOOKUP($U$86,'TAR FIN'!$A$1:$O$92,15,0))</f>
        <v>286.76</v>
      </c>
      <c r="Y86" s="6"/>
      <c r="Z86" s="6">
        <f ca="1">('TUSD BE'!$AM$16+'TUSD BF_350'!$AM$16+'TUSD CVA'!$AM$16)*1</f>
        <v>126.25</v>
      </c>
      <c r="AA86" s="6">
        <f ca="1">('TE BE'!$AB$8+'TE BF_350'!$AB$8+'TE CVA'!$AB$8)*1</f>
        <v>250.03999999999996</v>
      </c>
      <c r="AB86" s="6">
        <f>$K$86*$V$86</f>
        <v>0</v>
      </c>
      <c r="AC86" s="6">
        <f>$M$86*$W$86</f>
        <v>3776.7046399999999</v>
      </c>
      <c r="AD86" s="6">
        <f>$O$86*$X$86</f>
        <v>14779.036879999998</v>
      </c>
      <c r="AE86" s="6">
        <f>$K$86*$Y$86</f>
        <v>0</v>
      </c>
      <c r="AF86" s="6">
        <f ca="1">$M$86*$Z$86</f>
        <v>6506.6724999999997</v>
      </c>
      <c r="AG86" s="6">
        <f ca="1">$O$86*$AA$86</f>
        <v>12886.561519999997</v>
      </c>
    </row>
    <row r="87" spans="1:33" ht="11.25" customHeight="1" x14ac:dyDescent="0.3">
      <c r="A87" s="4" t="s">
        <v>27</v>
      </c>
      <c r="B87" s="4" t="s">
        <v>34</v>
      </c>
      <c r="C87" s="4" t="s">
        <v>35</v>
      </c>
      <c r="D87" s="4" t="s">
        <v>40</v>
      </c>
      <c r="E87" s="4" t="s">
        <v>25</v>
      </c>
      <c r="F87" s="4" t="s">
        <v>25</v>
      </c>
      <c r="G87" s="4" t="s">
        <v>25</v>
      </c>
      <c r="H87" s="4" t="s">
        <v>37</v>
      </c>
      <c r="I87" s="5">
        <v>44593</v>
      </c>
      <c r="J87" s="6">
        <v>0</v>
      </c>
      <c r="K87" s="6">
        <v>0</v>
      </c>
      <c r="L87" s="6">
        <v>10.870419999999999</v>
      </c>
      <c r="M87" s="6">
        <v>10.870419999999999</v>
      </c>
      <c r="N87" s="6">
        <v>10.870419999999999</v>
      </c>
      <c r="O87" s="6">
        <v>10.870419999999999</v>
      </c>
      <c r="P87" s="6">
        <v>0</v>
      </c>
      <c r="Q87" s="4" t="s">
        <v>26</v>
      </c>
      <c r="R87" s="4">
        <v>0</v>
      </c>
      <c r="S87" s="6">
        <v>0</v>
      </c>
      <c r="T87" s="6">
        <v>22</v>
      </c>
      <c r="U87" s="6">
        <v>84</v>
      </c>
      <c r="V87" s="6">
        <f>IF(ISERROR(VLOOKUP($S$87,'TAR FIN'!$A$1:$O$92,15,0)),0,VLOOKUP($S$87,'TAR FIN'!$A$1:$O$92,15,0))</f>
        <v>0</v>
      </c>
      <c r="W87" s="6">
        <f>IF(ISERROR(VLOOKUP($T$87,'TAR FIN'!$A$1:$O$92,15,0)),0,VLOOKUP($T$87,'TAR FIN'!$A$1:$O$92,15,0))</f>
        <v>73.28</v>
      </c>
      <c r="X87" s="6">
        <f>IF(ISERROR(VLOOKUP($U$87,'TAR FIN'!$A$1:$O$92,15,0)),0,VLOOKUP($U$87,'TAR FIN'!$A$1:$O$92,15,0))</f>
        <v>286.76</v>
      </c>
      <c r="Y87" s="6"/>
      <c r="Z87" s="6">
        <f ca="1">('TUSD BE'!$AM$16+'TUSD BF_350'!$AM$16+'TUSD CVA'!$AM$16)*1</f>
        <v>126.25</v>
      </c>
      <c r="AA87" s="6">
        <f ca="1">('TE BE'!$AB$8+'TE BF_350'!$AB$8+'TE CVA'!$AB$8)*1</f>
        <v>250.03999999999996</v>
      </c>
      <c r="AB87" s="6">
        <f>$K$87*$V$87</f>
        <v>0</v>
      </c>
      <c r="AC87" s="6">
        <f>$M$87*$W$87</f>
        <v>796.58437759999993</v>
      </c>
      <c r="AD87" s="6">
        <f>$O$87*$X$87</f>
        <v>3117.2016391999996</v>
      </c>
      <c r="AE87" s="6">
        <f>$K$87*$Y$87</f>
        <v>0</v>
      </c>
      <c r="AF87" s="6">
        <f ca="1">$M$87*$Z$87</f>
        <v>1372.390525</v>
      </c>
      <c r="AG87" s="6">
        <f ca="1">$O$87*$AA$87</f>
        <v>2718.0398167999992</v>
      </c>
    </row>
    <row r="88" spans="1:33" ht="11.25" customHeight="1" x14ac:dyDescent="0.3">
      <c r="A88" s="4" t="s">
        <v>21</v>
      </c>
      <c r="B88" s="4" t="s">
        <v>34</v>
      </c>
      <c r="C88" s="4" t="s">
        <v>35</v>
      </c>
      <c r="D88" s="4" t="s">
        <v>40</v>
      </c>
      <c r="E88" s="4" t="s">
        <v>25</v>
      </c>
      <c r="F88" s="4" t="s">
        <v>25</v>
      </c>
      <c r="G88" s="4" t="s">
        <v>25</v>
      </c>
      <c r="H88" s="4" t="s">
        <v>37</v>
      </c>
      <c r="I88" s="5">
        <v>44621</v>
      </c>
      <c r="J88" s="6">
        <v>0</v>
      </c>
      <c r="K88" s="6">
        <v>0</v>
      </c>
      <c r="L88" s="6">
        <v>51.117379999999997</v>
      </c>
      <c r="M88" s="6">
        <v>51.117379999999997</v>
      </c>
      <c r="N88" s="6">
        <v>51.117379999999997</v>
      </c>
      <c r="O88" s="6">
        <v>51.117379999999997</v>
      </c>
      <c r="P88" s="6">
        <v>0</v>
      </c>
      <c r="Q88" s="4" t="s">
        <v>26</v>
      </c>
      <c r="R88" s="4">
        <v>0</v>
      </c>
      <c r="S88" s="6">
        <v>0</v>
      </c>
      <c r="T88" s="6">
        <v>22</v>
      </c>
      <c r="U88" s="6">
        <v>84</v>
      </c>
      <c r="V88" s="6">
        <f>IF(ISERROR(VLOOKUP($S$88,'TAR FIN'!$A$1:$O$92,15,0)),0,VLOOKUP($S$88,'TAR FIN'!$A$1:$O$92,15,0))</f>
        <v>0</v>
      </c>
      <c r="W88" s="6">
        <f>IF(ISERROR(VLOOKUP($T$88,'TAR FIN'!$A$1:$O$92,15,0)),0,VLOOKUP($T$88,'TAR FIN'!$A$1:$O$92,15,0))</f>
        <v>73.28</v>
      </c>
      <c r="X88" s="6">
        <f>IF(ISERROR(VLOOKUP($U$88,'TAR FIN'!$A$1:$O$92,15,0)),0,VLOOKUP($U$88,'TAR FIN'!$A$1:$O$92,15,0))</f>
        <v>286.76</v>
      </c>
      <c r="Y88" s="6"/>
      <c r="Z88" s="6">
        <f ca="1">('TUSD BE'!$AM$16+'TUSD BF_350'!$AM$16+'TUSD CVA'!$AM$16)*1</f>
        <v>126.25</v>
      </c>
      <c r="AA88" s="6">
        <f ca="1">('TE BE'!$AB$8+'TE BF_350'!$AB$8+'TE CVA'!$AB$8)*1</f>
        <v>250.03999999999996</v>
      </c>
      <c r="AB88" s="6">
        <f>$K$88*$V$88</f>
        <v>0</v>
      </c>
      <c r="AC88" s="6">
        <f>$M$88*$W$88</f>
        <v>3745.8816063999998</v>
      </c>
      <c r="AD88" s="6">
        <f>$O$88*$X$88</f>
        <v>14658.419888799999</v>
      </c>
      <c r="AE88" s="6">
        <f>$K$88*$Y$88</f>
        <v>0</v>
      </c>
      <c r="AF88" s="6">
        <f ca="1">$M$88*$Z$88</f>
        <v>6453.5692249999993</v>
      </c>
      <c r="AG88" s="6">
        <f ca="1">$O$88*$AA$88</f>
        <v>12781.389695199998</v>
      </c>
    </row>
    <row r="89" spans="1:33" ht="11.25" customHeight="1" x14ac:dyDescent="0.3">
      <c r="A89" s="4" t="s">
        <v>27</v>
      </c>
      <c r="B89" s="4" t="s">
        <v>34</v>
      </c>
      <c r="C89" s="4" t="s">
        <v>35</v>
      </c>
      <c r="D89" s="4" t="s">
        <v>40</v>
      </c>
      <c r="E89" s="4" t="s">
        <v>25</v>
      </c>
      <c r="F89" s="4" t="s">
        <v>25</v>
      </c>
      <c r="G89" s="4" t="s">
        <v>25</v>
      </c>
      <c r="H89" s="4" t="s">
        <v>37</v>
      </c>
      <c r="I89" s="5">
        <v>44621</v>
      </c>
      <c r="J89" s="6">
        <v>0</v>
      </c>
      <c r="K89" s="6">
        <v>0</v>
      </c>
      <c r="L89" s="6">
        <v>10.050190000000001</v>
      </c>
      <c r="M89" s="6">
        <v>10.050190000000001</v>
      </c>
      <c r="N89" s="6">
        <v>10.050190000000001</v>
      </c>
      <c r="O89" s="6">
        <v>10.050190000000001</v>
      </c>
      <c r="P89" s="6">
        <v>0</v>
      </c>
      <c r="Q89" s="4" t="s">
        <v>26</v>
      </c>
      <c r="R89" s="4">
        <v>0</v>
      </c>
      <c r="S89" s="6">
        <v>0</v>
      </c>
      <c r="T89" s="6">
        <v>22</v>
      </c>
      <c r="U89" s="6">
        <v>84</v>
      </c>
      <c r="V89" s="6">
        <f>IF(ISERROR(VLOOKUP($S$89,'TAR FIN'!$A$1:$O$92,15,0)),0,VLOOKUP($S$89,'TAR FIN'!$A$1:$O$92,15,0))</f>
        <v>0</v>
      </c>
      <c r="W89" s="6">
        <f>IF(ISERROR(VLOOKUP($T$89,'TAR FIN'!$A$1:$O$92,15,0)),0,VLOOKUP($T$89,'TAR FIN'!$A$1:$O$92,15,0))</f>
        <v>73.28</v>
      </c>
      <c r="X89" s="6">
        <f>IF(ISERROR(VLOOKUP($U$89,'TAR FIN'!$A$1:$O$92,15,0)),0,VLOOKUP($U$89,'TAR FIN'!$A$1:$O$92,15,0))</f>
        <v>286.76</v>
      </c>
      <c r="Y89" s="6"/>
      <c r="Z89" s="6">
        <f ca="1">('TUSD BE'!$AM$16+'TUSD BF_350'!$AM$16+'TUSD CVA'!$AM$16)*1</f>
        <v>126.25</v>
      </c>
      <c r="AA89" s="6">
        <f ca="1">('TE BE'!$AB$8+'TE BF_350'!$AB$8+'TE CVA'!$AB$8)*1</f>
        <v>250.03999999999996</v>
      </c>
      <c r="AB89" s="6">
        <f>$K$89*$V$89</f>
        <v>0</v>
      </c>
      <c r="AC89" s="6">
        <f>$M$89*$W$89</f>
        <v>736.47792320000008</v>
      </c>
      <c r="AD89" s="6">
        <f>$O$89*$X$89</f>
        <v>2881.9924844000002</v>
      </c>
      <c r="AE89" s="6">
        <f>$K$89*$Y$89</f>
        <v>0</v>
      </c>
      <c r="AF89" s="6">
        <f ca="1">$M$89*$Z$89</f>
        <v>1268.8364875</v>
      </c>
      <c r="AG89" s="6">
        <f ca="1">$O$89*$AA$89</f>
        <v>2512.9495075999998</v>
      </c>
    </row>
    <row r="90" spans="1:33" ht="11.25" customHeight="1" x14ac:dyDescent="0.3">
      <c r="A90" s="4" t="s">
        <v>21</v>
      </c>
      <c r="B90" s="4" t="s">
        <v>34</v>
      </c>
      <c r="C90" s="4" t="s">
        <v>35</v>
      </c>
      <c r="D90" s="4" t="s">
        <v>40</v>
      </c>
      <c r="E90" s="4" t="s">
        <v>25</v>
      </c>
      <c r="F90" s="4" t="s">
        <v>25</v>
      </c>
      <c r="G90" s="4" t="s">
        <v>25</v>
      </c>
      <c r="H90" s="4" t="s">
        <v>37</v>
      </c>
      <c r="I90" s="5">
        <v>44652</v>
      </c>
      <c r="J90" s="6">
        <v>0</v>
      </c>
      <c r="K90" s="6">
        <v>0</v>
      </c>
      <c r="L90" s="6">
        <v>42.305770000000003</v>
      </c>
      <c r="M90" s="6">
        <v>42.305770000000003</v>
      </c>
      <c r="N90" s="6">
        <v>42.305770000000003</v>
      </c>
      <c r="O90" s="6">
        <v>42.305770000000003</v>
      </c>
      <c r="P90" s="6">
        <v>0</v>
      </c>
      <c r="Q90" s="4" t="s">
        <v>26</v>
      </c>
      <c r="R90" s="4">
        <v>0</v>
      </c>
      <c r="S90" s="6">
        <v>0</v>
      </c>
      <c r="T90" s="6">
        <v>22</v>
      </c>
      <c r="U90" s="6">
        <v>84</v>
      </c>
      <c r="V90" s="6">
        <f>IF(ISERROR(VLOOKUP($S$90,'TAR FIN'!$A$1:$O$92,15,0)),0,VLOOKUP($S$90,'TAR FIN'!$A$1:$O$92,15,0))</f>
        <v>0</v>
      </c>
      <c r="W90" s="6">
        <f>IF(ISERROR(VLOOKUP($T$90,'TAR FIN'!$A$1:$O$92,15,0)),0,VLOOKUP($T$90,'TAR FIN'!$A$1:$O$92,15,0))</f>
        <v>73.28</v>
      </c>
      <c r="X90" s="6">
        <f>IF(ISERROR(VLOOKUP($U$90,'TAR FIN'!$A$1:$O$92,15,0)),0,VLOOKUP($U$90,'TAR FIN'!$A$1:$O$92,15,0))</f>
        <v>286.76</v>
      </c>
      <c r="Y90" s="6"/>
      <c r="Z90" s="6">
        <f ca="1">('TUSD BE'!$AM$16+'TUSD BF_350'!$AM$16+'TUSD CVA'!$AM$16)*1</f>
        <v>126.25</v>
      </c>
      <c r="AA90" s="6">
        <f ca="1">('TE BE'!$AB$8+'TE BF_350'!$AB$8+'TE CVA'!$AB$8)*1</f>
        <v>250.03999999999996</v>
      </c>
      <c r="AB90" s="6">
        <f>$K$90*$V$90</f>
        <v>0</v>
      </c>
      <c r="AC90" s="6">
        <f>$M$90*$W$90</f>
        <v>3100.1668256000003</v>
      </c>
      <c r="AD90" s="6">
        <f>$O$90*$X$90</f>
        <v>12131.6026052</v>
      </c>
      <c r="AE90" s="6">
        <f>$K$90*$Y$90</f>
        <v>0</v>
      </c>
      <c r="AF90" s="6">
        <f ca="1">$M$90*$Z$90</f>
        <v>5341.1034625000002</v>
      </c>
      <c r="AG90" s="6">
        <f ca="1">$O$90*$AA$90</f>
        <v>10578.134730799999</v>
      </c>
    </row>
    <row r="91" spans="1:33" ht="11.25" customHeight="1" x14ac:dyDescent="0.3">
      <c r="A91" s="4" t="s">
        <v>27</v>
      </c>
      <c r="B91" s="4" t="s">
        <v>34</v>
      </c>
      <c r="C91" s="4" t="s">
        <v>35</v>
      </c>
      <c r="D91" s="4" t="s">
        <v>40</v>
      </c>
      <c r="E91" s="4" t="s">
        <v>25</v>
      </c>
      <c r="F91" s="4" t="s">
        <v>25</v>
      </c>
      <c r="G91" s="4" t="s">
        <v>25</v>
      </c>
      <c r="H91" s="4" t="s">
        <v>37</v>
      </c>
      <c r="I91" s="5">
        <v>44652</v>
      </c>
      <c r="J91" s="6">
        <v>0</v>
      </c>
      <c r="K91" s="6">
        <v>0</v>
      </c>
      <c r="L91" s="6">
        <v>4.5</v>
      </c>
      <c r="M91" s="6">
        <v>4.5</v>
      </c>
      <c r="N91" s="6">
        <v>4.5</v>
      </c>
      <c r="O91" s="6">
        <v>4.5</v>
      </c>
      <c r="P91" s="6">
        <v>0</v>
      </c>
      <c r="Q91" s="4" t="s">
        <v>26</v>
      </c>
      <c r="R91" s="4">
        <v>0</v>
      </c>
      <c r="S91" s="6">
        <v>0</v>
      </c>
      <c r="T91" s="6">
        <v>22</v>
      </c>
      <c r="U91" s="6">
        <v>84</v>
      </c>
      <c r="V91" s="6">
        <f>IF(ISERROR(VLOOKUP($S$91,'TAR FIN'!$A$1:$O$92,15,0)),0,VLOOKUP($S$91,'TAR FIN'!$A$1:$O$92,15,0))</f>
        <v>0</v>
      </c>
      <c r="W91" s="6">
        <f>IF(ISERROR(VLOOKUP($T$91,'TAR FIN'!$A$1:$O$92,15,0)),0,VLOOKUP($T$91,'TAR FIN'!$A$1:$O$92,15,0))</f>
        <v>73.28</v>
      </c>
      <c r="X91" s="6">
        <f>IF(ISERROR(VLOOKUP($U$91,'TAR FIN'!$A$1:$O$92,15,0)),0,VLOOKUP($U$91,'TAR FIN'!$A$1:$O$92,15,0))</f>
        <v>286.76</v>
      </c>
      <c r="Y91" s="6"/>
      <c r="Z91" s="6">
        <f ca="1">('TUSD BE'!$AM$16+'TUSD BF_350'!$AM$16+'TUSD CVA'!$AM$16)*1</f>
        <v>126.25</v>
      </c>
      <c r="AA91" s="6">
        <f ca="1">('TE BE'!$AB$8+'TE BF_350'!$AB$8+'TE CVA'!$AB$8)*1</f>
        <v>250.03999999999996</v>
      </c>
      <c r="AB91" s="6">
        <f>$K$91*$V$91</f>
        <v>0</v>
      </c>
      <c r="AC91" s="6">
        <f>$M$91*$W$91</f>
        <v>329.76</v>
      </c>
      <c r="AD91" s="6">
        <f>$O$91*$X$91</f>
        <v>1290.42</v>
      </c>
      <c r="AE91" s="6">
        <f>$K$91*$Y$91</f>
        <v>0</v>
      </c>
      <c r="AF91" s="6">
        <f ca="1">$M$91*$Z$91</f>
        <v>568.125</v>
      </c>
      <c r="AG91" s="6">
        <f ca="1">$O$91*$AA$91</f>
        <v>1125.1799999999998</v>
      </c>
    </row>
    <row r="92" spans="1:33" ht="11.25" customHeight="1" x14ac:dyDescent="0.3">
      <c r="A92" s="4" t="s">
        <v>21</v>
      </c>
      <c r="B92" s="4" t="s">
        <v>34</v>
      </c>
      <c r="C92" s="4" t="s">
        <v>35</v>
      </c>
      <c r="D92" s="4" t="s">
        <v>40</v>
      </c>
      <c r="E92" s="4" t="s">
        <v>25</v>
      </c>
      <c r="F92" s="4" t="s">
        <v>25</v>
      </c>
      <c r="G92" s="4" t="s">
        <v>25</v>
      </c>
      <c r="H92" s="4" t="s">
        <v>37</v>
      </c>
      <c r="I92" s="5">
        <v>44682</v>
      </c>
      <c r="J92" s="6">
        <v>0</v>
      </c>
      <c r="K92" s="6">
        <v>0</v>
      </c>
      <c r="L92" s="6">
        <v>39.944510000000001</v>
      </c>
      <c r="M92" s="6">
        <v>39.944510000000001</v>
      </c>
      <c r="N92" s="6">
        <v>39.944510000000001</v>
      </c>
      <c r="O92" s="6">
        <v>39.944510000000001</v>
      </c>
      <c r="P92" s="6">
        <v>0</v>
      </c>
      <c r="Q92" s="4" t="s">
        <v>26</v>
      </c>
      <c r="R92" s="4">
        <v>0</v>
      </c>
      <c r="S92" s="6">
        <v>0</v>
      </c>
      <c r="T92" s="6">
        <v>22</v>
      </c>
      <c r="U92" s="6">
        <v>84</v>
      </c>
      <c r="V92" s="6">
        <f>IF(ISERROR(VLOOKUP($S$92,'TAR FIN'!$A$1:$O$92,15,0)),0,VLOOKUP($S$92,'TAR FIN'!$A$1:$O$92,15,0))</f>
        <v>0</v>
      </c>
      <c r="W92" s="6">
        <f>IF(ISERROR(VLOOKUP($T$92,'TAR FIN'!$A$1:$O$92,15,0)),0,VLOOKUP($T$92,'TAR FIN'!$A$1:$O$92,15,0))</f>
        <v>73.28</v>
      </c>
      <c r="X92" s="6">
        <f>IF(ISERROR(VLOOKUP($U$92,'TAR FIN'!$A$1:$O$92,15,0)),0,VLOOKUP($U$92,'TAR FIN'!$A$1:$O$92,15,0))</f>
        <v>286.76</v>
      </c>
      <c r="Y92" s="6"/>
      <c r="Z92" s="6">
        <f ca="1">('TUSD BE'!$AM$16+'TUSD BF_350'!$AM$16+'TUSD CVA'!$AM$16)*1</f>
        <v>126.25</v>
      </c>
      <c r="AA92" s="6">
        <f ca="1">('TE BE'!$AB$8+'TE BF_350'!$AB$8+'TE CVA'!$AB$8)*1</f>
        <v>250.03999999999996</v>
      </c>
      <c r="AB92" s="6">
        <f>$K$92*$V$92</f>
        <v>0</v>
      </c>
      <c r="AC92" s="6">
        <f>$M$92*$W$92</f>
        <v>2927.1336928000001</v>
      </c>
      <c r="AD92" s="6">
        <f>$O$92*$X$92</f>
        <v>11454.4876876</v>
      </c>
      <c r="AE92" s="6">
        <f>$K$92*$Y$92</f>
        <v>0</v>
      </c>
      <c r="AF92" s="6">
        <f ca="1">$M$92*$Z$92</f>
        <v>5042.9943874999999</v>
      </c>
      <c r="AG92" s="6">
        <f ca="1">$O$92*$AA$92</f>
        <v>9987.7252803999982</v>
      </c>
    </row>
    <row r="93" spans="1:33" ht="11.25" customHeight="1" x14ac:dyDescent="0.3">
      <c r="A93" s="4" t="s">
        <v>27</v>
      </c>
      <c r="B93" s="4" t="s">
        <v>34</v>
      </c>
      <c r="C93" s="4" t="s">
        <v>35</v>
      </c>
      <c r="D93" s="4" t="s">
        <v>40</v>
      </c>
      <c r="E93" s="4" t="s">
        <v>25</v>
      </c>
      <c r="F93" s="4" t="s">
        <v>25</v>
      </c>
      <c r="G93" s="4" t="s">
        <v>25</v>
      </c>
      <c r="H93" s="4" t="s">
        <v>37</v>
      </c>
      <c r="I93" s="5">
        <v>44682</v>
      </c>
      <c r="J93" s="6">
        <v>0</v>
      </c>
      <c r="K93" s="6">
        <v>0</v>
      </c>
      <c r="L93" s="6">
        <v>2.7362899999999999</v>
      </c>
      <c r="M93" s="6">
        <v>2.7362899999999999</v>
      </c>
      <c r="N93" s="6">
        <v>2.7362899999999999</v>
      </c>
      <c r="O93" s="6">
        <v>2.7362899999999999</v>
      </c>
      <c r="P93" s="6">
        <v>0</v>
      </c>
      <c r="Q93" s="4" t="s">
        <v>26</v>
      </c>
      <c r="R93" s="4">
        <v>0</v>
      </c>
      <c r="S93" s="6">
        <v>0</v>
      </c>
      <c r="T93" s="6">
        <v>22</v>
      </c>
      <c r="U93" s="6">
        <v>84</v>
      </c>
      <c r="V93" s="6">
        <f>IF(ISERROR(VLOOKUP($S$93,'TAR FIN'!$A$1:$O$92,15,0)),0,VLOOKUP($S$93,'TAR FIN'!$A$1:$O$92,15,0))</f>
        <v>0</v>
      </c>
      <c r="W93" s="6">
        <f>IF(ISERROR(VLOOKUP($T$93,'TAR FIN'!$A$1:$O$92,15,0)),0,VLOOKUP($T$93,'TAR FIN'!$A$1:$O$92,15,0))</f>
        <v>73.28</v>
      </c>
      <c r="X93" s="6">
        <f>IF(ISERROR(VLOOKUP($U$93,'TAR FIN'!$A$1:$O$92,15,0)),0,VLOOKUP($U$93,'TAR FIN'!$A$1:$O$92,15,0))</f>
        <v>286.76</v>
      </c>
      <c r="Y93" s="6"/>
      <c r="Z93" s="6">
        <f ca="1">('TUSD BE'!$AM$16+'TUSD BF_350'!$AM$16+'TUSD CVA'!$AM$16)*1</f>
        <v>126.25</v>
      </c>
      <c r="AA93" s="6">
        <f ca="1">('TE BE'!$AB$8+'TE BF_350'!$AB$8+'TE CVA'!$AB$8)*1</f>
        <v>250.03999999999996</v>
      </c>
      <c r="AB93" s="6">
        <f>$K$93*$V$93</f>
        <v>0</v>
      </c>
      <c r="AC93" s="6">
        <f>$M$93*$W$93</f>
        <v>200.51533119999999</v>
      </c>
      <c r="AD93" s="6">
        <f>$O$93*$X$93</f>
        <v>784.65852039999993</v>
      </c>
      <c r="AE93" s="6">
        <f>$K$93*$Y$93</f>
        <v>0</v>
      </c>
      <c r="AF93" s="6">
        <f ca="1">$M$93*$Z$93</f>
        <v>345.45661250000001</v>
      </c>
      <c r="AG93" s="6">
        <f ca="1">$O$93*$AA$93</f>
        <v>684.18195159999982</v>
      </c>
    </row>
    <row r="94" spans="1:33" ht="11.25" customHeight="1" x14ac:dyDescent="0.3">
      <c r="A94" s="4" t="s">
        <v>21</v>
      </c>
      <c r="B94" s="4" t="s">
        <v>34</v>
      </c>
      <c r="C94" s="4" t="s">
        <v>35</v>
      </c>
      <c r="D94" s="4" t="s">
        <v>40</v>
      </c>
      <c r="E94" s="4" t="s">
        <v>25</v>
      </c>
      <c r="F94" s="4" t="s">
        <v>25</v>
      </c>
      <c r="G94" s="4" t="s">
        <v>25</v>
      </c>
      <c r="H94" s="4" t="s">
        <v>37</v>
      </c>
      <c r="I94" s="5">
        <v>44713</v>
      </c>
      <c r="J94" s="6">
        <v>0</v>
      </c>
      <c r="K94" s="6">
        <v>0</v>
      </c>
      <c r="L94" s="6">
        <v>35.257950000000001</v>
      </c>
      <c r="M94" s="6">
        <v>35.257950000000001</v>
      </c>
      <c r="N94" s="6">
        <v>35.257950000000001</v>
      </c>
      <c r="O94" s="6">
        <v>35.257950000000001</v>
      </c>
      <c r="P94" s="6">
        <v>0</v>
      </c>
      <c r="Q94" s="4" t="s">
        <v>26</v>
      </c>
      <c r="R94" s="4">
        <v>0</v>
      </c>
      <c r="S94" s="6">
        <v>0</v>
      </c>
      <c r="T94" s="6">
        <v>22</v>
      </c>
      <c r="U94" s="6">
        <v>84</v>
      </c>
      <c r="V94" s="6">
        <f>IF(ISERROR(VLOOKUP($S$94,'TAR FIN'!$A$1:$O$92,15,0)),0,VLOOKUP($S$94,'TAR FIN'!$A$1:$O$92,15,0))</f>
        <v>0</v>
      </c>
      <c r="W94" s="6">
        <f>IF(ISERROR(VLOOKUP($T$94,'TAR FIN'!$A$1:$O$92,15,0)),0,VLOOKUP($T$94,'TAR FIN'!$A$1:$O$92,15,0))</f>
        <v>73.28</v>
      </c>
      <c r="X94" s="6">
        <f>IF(ISERROR(VLOOKUP($U$94,'TAR FIN'!$A$1:$O$92,15,0)),0,VLOOKUP($U$94,'TAR FIN'!$A$1:$O$92,15,0))</f>
        <v>286.76</v>
      </c>
      <c r="Y94" s="6"/>
      <c r="Z94" s="6">
        <f ca="1">('TUSD BE'!$AM$16+'TUSD BF_350'!$AM$16+'TUSD CVA'!$AM$16)*1</f>
        <v>126.25</v>
      </c>
      <c r="AA94" s="6">
        <f ca="1">('TE BE'!$AB$8+'TE BF_350'!$AB$8+'TE CVA'!$AB$8)*1</f>
        <v>250.03999999999996</v>
      </c>
      <c r="AB94" s="6">
        <f>$K$94*$V$94</f>
        <v>0</v>
      </c>
      <c r="AC94" s="6">
        <f>$M$94*$W$94</f>
        <v>2583.7025760000001</v>
      </c>
      <c r="AD94" s="6">
        <f>$O$94*$X$94</f>
        <v>10110.569742</v>
      </c>
      <c r="AE94" s="6">
        <f>$K$94*$Y$94</f>
        <v>0</v>
      </c>
      <c r="AF94" s="6">
        <f ca="1">$M$94*$Z$94</f>
        <v>4451.3161875000005</v>
      </c>
      <c r="AG94" s="6">
        <f ca="1">$O$94*$AA$94</f>
        <v>8815.8978179999995</v>
      </c>
    </row>
    <row r="95" spans="1:33" ht="11.25" customHeight="1" x14ac:dyDescent="0.3">
      <c r="A95" s="4" t="s">
        <v>27</v>
      </c>
      <c r="B95" s="4" t="s">
        <v>34</v>
      </c>
      <c r="C95" s="4" t="s">
        <v>35</v>
      </c>
      <c r="D95" s="4" t="s">
        <v>40</v>
      </c>
      <c r="E95" s="4" t="s">
        <v>25</v>
      </c>
      <c r="F95" s="4" t="s">
        <v>25</v>
      </c>
      <c r="G95" s="4" t="s">
        <v>25</v>
      </c>
      <c r="H95" s="4" t="s">
        <v>37</v>
      </c>
      <c r="I95" s="5">
        <v>44713</v>
      </c>
      <c r="J95" s="6">
        <v>0</v>
      </c>
      <c r="K95" s="6">
        <v>0</v>
      </c>
      <c r="L95" s="6">
        <v>5.1189999999999998</v>
      </c>
      <c r="M95" s="6">
        <v>5.1189999999999998</v>
      </c>
      <c r="N95" s="6">
        <v>5.1189999999999998</v>
      </c>
      <c r="O95" s="6">
        <v>5.1189999999999998</v>
      </c>
      <c r="P95" s="6">
        <v>0</v>
      </c>
      <c r="Q95" s="4" t="s">
        <v>26</v>
      </c>
      <c r="R95" s="4">
        <v>0</v>
      </c>
      <c r="S95" s="6">
        <v>0</v>
      </c>
      <c r="T95" s="6">
        <v>22</v>
      </c>
      <c r="U95" s="6">
        <v>84</v>
      </c>
      <c r="V95" s="6">
        <f>IF(ISERROR(VLOOKUP($S$95,'TAR FIN'!$A$1:$O$92,15,0)),0,VLOOKUP($S$95,'TAR FIN'!$A$1:$O$92,15,0))</f>
        <v>0</v>
      </c>
      <c r="W95" s="6">
        <f>IF(ISERROR(VLOOKUP($T$95,'TAR FIN'!$A$1:$O$92,15,0)),0,VLOOKUP($T$95,'TAR FIN'!$A$1:$O$92,15,0))</f>
        <v>73.28</v>
      </c>
      <c r="X95" s="6">
        <f>IF(ISERROR(VLOOKUP($U$95,'TAR FIN'!$A$1:$O$92,15,0)),0,VLOOKUP($U$95,'TAR FIN'!$A$1:$O$92,15,0))</f>
        <v>286.76</v>
      </c>
      <c r="Y95" s="6"/>
      <c r="Z95" s="6">
        <f ca="1">('TUSD BE'!$AM$16+'TUSD BF_350'!$AM$16+'TUSD CVA'!$AM$16)*1</f>
        <v>126.25</v>
      </c>
      <c r="AA95" s="6">
        <f ca="1">('TE BE'!$AB$8+'TE BF_350'!$AB$8+'TE CVA'!$AB$8)*1</f>
        <v>250.03999999999996</v>
      </c>
      <c r="AB95" s="6">
        <f>$K$95*$V$95</f>
        <v>0</v>
      </c>
      <c r="AC95" s="6">
        <f>$M$95*$W$95</f>
        <v>375.12031999999999</v>
      </c>
      <c r="AD95" s="6">
        <f>$O$95*$X$95</f>
        <v>1467.9244399999998</v>
      </c>
      <c r="AE95" s="6">
        <f>$K$95*$Y$95</f>
        <v>0</v>
      </c>
      <c r="AF95" s="6">
        <f ca="1">$M$95*$Z$95</f>
        <v>646.27374999999995</v>
      </c>
      <c r="AG95" s="6">
        <f ca="1">$O$95*$AA$95</f>
        <v>1279.9547599999999</v>
      </c>
    </row>
    <row r="96" spans="1:33" ht="11.25" customHeight="1" x14ac:dyDescent="0.3">
      <c r="A96" s="4" t="s">
        <v>21</v>
      </c>
      <c r="B96" s="4" t="s">
        <v>34</v>
      </c>
      <c r="C96" s="4" t="s">
        <v>35</v>
      </c>
      <c r="D96" s="4" t="s">
        <v>40</v>
      </c>
      <c r="E96" s="4" t="s">
        <v>25</v>
      </c>
      <c r="F96" s="4" t="s">
        <v>25</v>
      </c>
      <c r="G96" s="4" t="s">
        <v>25</v>
      </c>
      <c r="H96" s="4" t="s">
        <v>37</v>
      </c>
      <c r="I96" s="5">
        <v>44743</v>
      </c>
      <c r="J96" s="6">
        <v>0</v>
      </c>
      <c r="K96" s="6">
        <v>0</v>
      </c>
      <c r="L96" s="6">
        <v>35.941000000000003</v>
      </c>
      <c r="M96" s="6">
        <v>35.941000000000003</v>
      </c>
      <c r="N96" s="6">
        <v>35.941000000000003</v>
      </c>
      <c r="O96" s="6">
        <v>35.941000000000003</v>
      </c>
      <c r="P96" s="6">
        <v>0</v>
      </c>
      <c r="Q96" s="4" t="s">
        <v>26</v>
      </c>
      <c r="R96" s="4">
        <v>0</v>
      </c>
      <c r="S96" s="6">
        <v>0</v>
      </c>
      <c r="T96" s="6">
        <v>22</v>
      </c>
      <c r="U96" s="6">
        <v>84</v>
      </c>
      <c r="V96" s="6">
        <f>IF(ISERROR(VLOOKUP($S$96,'TAR FIN'!$A$1:$O$92,15,0)),0,VLOOKUP($S$96,'TAR FIN'!$A$1:$O$92,15,0))</f>
        <v>0</v>
      </c>
      <c r="W96" s="6">
        <f>IF(ISERROR(VLOOKUP($T$96,'TAR FIN'!$A$1:$O$92,15,0)),0,VLOOKUP($T$96,'TAR FIN'!$A$1:$O$92,15,0))</f>
        <v>73.28</v>
      </c>
      <c r="X96" s="6">
        <f>IF(ISERROR(VLOOKUP($U$96,'TAR FIN'!$A$1:$O$92,15,0)),0,VLOOKUP($U$96,'TAR FIN'!$A$1:$O$92,15,0))</f>
        <v>286.76</v>
      </c>
      <c r="Y96" s="6"/>
      <c r="Z96" s="6">
        <f ca="1">('TUSD BE'!$AM$16+'TUSD BF_350'!$AM$16+'TUSD CVA'!$AM$16)*1</f>
        <v>126.25</v>
      </c>
      <c r="AA96" s="6">
        <f ca="1">('TE BE'!$AB$8+'TE BF_350'!$AB$8+'TE CVA'!$AB$8)*1</f>
        <v>250.03999999999996</v>
      </c>
      <c r="AB96" s="6">
        <f>$K$96*$V$96</f>
        <v>0</v>
      </c>
      <c r="AC96" s="6">
        <f>$M$96*$W$96</f>
        <v>2633.75648</v>
      </c>
      <c r="AD96" s="6">
        <f>$O$96*$X$96</f>
        <v>10306.44116</v>
      </c>
      <c r="AE96" s="6">
        <f>$K$96*$Y$96</f>
        <v>0</v>
      </c>
      <c r="AF96" s="6">
        <f ca="1">$M$96*$Z$96</f>
        <v>4537.5512500000004</v>
      </c>
      <c r="AG96" s="6">
        <f ca="1">$O$96*$AA$96</f>
        <v>8986.6876400000001</v>
      </c>
    </row>
    <row r="97" spans="1:33" ht="11.25" customHeight="1" x14ac:dyDescent="0.3">
      <c r="A97" s="4" t="s">
        <v>27</v>
      </c>
      <c r="B97" s="4" t="s">
        <v>34</v>
      </c>
      <c r="C97" s="4" t="s">
        <v>35</v>
      </c>
      <c r="D97" s="4" t="s">
        <v>40</v>
      </c>
      <c r="E97" s="4" t="s">
        <v>25</v>
      </c>
      <c r="F97" s="4" t="s">
        <v>25</v>
      </c>
      <c r="G97" s="4" t="s">
        <v>25</v>
      </c>
      <c r="H97" s="4" t="s">
        <v>37</v>
      </c>
      <c r="I97" s="5">
        <v>44743</v>
      </c>
      <c r="J97" s="6">
        <v>0</v>
      </c>
      <c r="K97" s="6">
        <v>0</v>
      </c>
      <c r="L97" s="6">
        <v>1.0893600000000001</v>
      </c>
      <c r="M97" s="6">
        <v>1.0893600000000001</v>
      </c>
      <c r="N97" s="6">
        <v>1.0893600000000001</v>
      </c>
      <c r="O97" s="6">
        <v>1.0893600000000001</v>
      </c>
      <c r="P97" s="6">
        <v>0</v>
      </c>
      <c r="Q97" s="4" t="s">
        <v>26</v>
      </c>
      <c r="R97" s="4">
        <v>0</v>
      </c>
      <c r="S97" s="6">
        <v>0</v>
      </c>
      <c r="T97" s="6">
        <v>22</v>
      </c>
      <c r="U97" s="6">
        <v>84</v>
      </c>
      <c r="V97" s="6">
        <f>IF(ISERROR(VLOOKUP($S$97,'TAR FIN'!$A$1:$O$92,15,0)),0,VLOOKUP($S$97,'TAR FIN'!$A$1:$O$92,15,0))</f>
        <v>0</v>
      </c>
      <c r="W97" s="6">
        <f>IF(ISERROR(VLOOKUP($T$97,'TAR FIN'!$A$1:$O$92,15,0)),0,VLOOKUP($T$97,'TAR FIN'!$A$1:$O$92,15,0))</f>
        <v>73.28</v>
      </c>
      <c r="X97" s="6">
        <f>IF(ISERROR(VLOOKUP($U$97,'TAR FIN'!$A$1:$O$92,15,0)),0,VLOOKUP($U$97,'TAR FIN'!$A$1:$O$92,15,0))</f>
        <v>286.76</v>
      </c>
      <c r="Y97" s="6"/>
      <c r="Z97" s="6">
        <f ca="1">('TUSD BE'!$AM$16+'TUSD BF_350'!$AM$16+'TUSD CVA'!$AM$16)*1</f>
        <v>126.25</v>
      </c>
      <c r="AA97" s="6">
        <f ca="1">('TE BE'!$AB$8+'TE BF_350'!$AB$8+'TE CVA'!$AB$8)*1</f>
        <v>250.03999999999996</v>
      </c>
      <c r="AB97" s="6">
        <f>$K$97*$V$97</f>
        <v>0</v>
      </c>
      <c r="AC97" s="6">
        <f>$M$97*$W$97</f>
        <v>79.828300800000008</v>
      </c>
      <c r="AD97" s="6">
        <f>$O$97*$X$97</f>
        <v>312.38487360000005</v>
      </c>
      <c r="AE97" s="6">
        <f>$K$97*$Y$97</f>
        <v>0</v>
      </c>
      <c r="AF97" s="6">
        <f ca="1">$M$97*$Z$97</f>
        <v>137.5317</v>
      </c>
      <c r="AG97" s="6">
        <f ca="1">$O$97*$AA$97</f>
        <v>272.38357439999999</v>
      </c>
    </row>
    <row r="98" spans="1:33" ht="11.25" customHeight="1" x14ac:dyDescent="0.3">
      <c r="A98" s="4" t="s">
        <v>21</v>
      </c>
      <c r="B98" s="4" t="s">
        <v>34</v>
      </c>
      <c r="C98" s="4" t="s">
        <v>35</v>
      </c>
      <c r="D98" s="4" t="s">
        <v>40</v>
      </c>
      <c r="E98" s="4" t="s">
        <v>25</v>
      </c>
      <c r="F98" s="4" t="s">
        <v>25</v>
      </c>
      <c r="G98" s="4" t="s">
        <v>25</v>
      </c>
      <c r="H98" s="4" t="s">
        <v>25</v>
      </c>
      <c r="I98" s="5">
        <v>44409</v>
      </c>
      <c r="J98" s="6">
        <v>352</v>
      </c>
      <c r="K98" s="6">
        <v>352</v>
      </c>
      <c r="L98" s="6">
        <v>0</v>
      </c>
      <c r="M98" s="6">
        <v>0</v>
      </c>
      <c r="N98" s="6">
        <v>0</v>
      </c>
      <c r="O98" s="6">
        <v>0</v>
      </c>
      <c r="P98" s="6">
        <v>5</v>
      </c>
      <c r="Q98" s="4" t="s">
        <v>26</v>
      </c>
      <c r="R98" s="4">
        <v>0</v>
      </c>
      <c r="S98" s="6">
        <v>18</v>
      </c>
      <c r="T98" s="6">
        <v>0</v>
      </c>
      <c r="U98" s="6">
        <v>0</v>
      </c>
      <c r="V98" s="6">
        <f>IF(ISERROR(VLOOKUP($S$98,'TAR FIN'!$A$1:$O$92,15,0)),0,VLOOKUP($S$98,'TAR FIN'!$A$1:$O$92,15,0))</f>
        <v>18.489999999999998</v>
      </c>
      <c r="W98" s="6">
        <f>IF(ISERROR(VLOOKUP($T$98,'TAR FIN'!$A$1:$O$92,15,0)),0,VLOOKUP($T$98,'TAR FIN'!$A$1:$O$92,15,0))</f>
        <v>0</v>
      </c>
      <c r="X98" s="6">
        <f>IF(ISERROR(VLOOKUP($U$98,'TAR FIN'!$A$1:$O$92,15,0)),0,VLOOKUP($U$98,'TAR FIN'!$A$1:$O$92,15,0))</f>
        <v>0</v>
      </c>
      <c r="Y98" s="6">
        <f ca="1">('TUSD BE'!$AM$14+'TUSD BF_350'!$AM$14+'TUSD CVA'!$AM$14)*1</f>
        <v>15.64</v>
      </c>
      <c r="Z98" s="6"/>
      <c r="AA98" s="6"/>
      <c r="AB98" s="6">
        <f>$K$98*$V$98</f>
        <v>6508.48</v>
      </c>
      <c r="AC98" s="6">
        <f>$M$98*$W$98</f>
        <v>0</v>
      </c>
      <c r="AD98" s="6">
        <f>$O$98*$X$98</f>
        <v>0</v>
      </c>
      <c r="AE98" s="6">
        <f ca="1">$K$98*$Y$98</f>
        <v>5505.2800000000007</v>
      </c>
      <c r="AF98" s="6">
        <f>$M$98*$Z$98</f>
        <v>0</v>
      </c>
      <c r="AG98" s="6">
        <f>$O$98*$AA$98</f>
        <v>0</v>
      </c>
    </row>
    <row r="99" spans="1:33" ht="11.25" customHeight="1" x14ac:dyDescent="0.3">
      <c r="A99" s="4" t="s">
        <v>27</v>
      </c>
      <c r="B99" s="4" t="s">
        <v>34</v>
      </c>
      <c r="C99" s="4" t="s">
        <v>35</v>
      </c>
      <c r="D99" s="4" t="s">
        <v>40</v>
      </c>
      <c r="E99" s="4" t="s">
        <v>25</v>
      </c>
      <c r="F99" s="4" t="s">
        <v>25</v>
      </c>
      <c r="G99" s="4" t="s">
        <v>25</v>
      </c>
      <c r="H99" s="4" t="s">
        <v>25</v>
      </c>
      <c r="I99" s="5">
        <v>44409</v>
      </c>
      <c r="J99" s="6">
        <v>100</v>
      </c>
      <c r="K99" s="6">
        <v>100</v>
      </c>
      <c r="L99" s="6">
        <v>0</v>
      </c>
      <c r="M99" s="6">
        <v>0</v>
      </c>
      <c r="N99" s="6">
        <v>0</v>
      </c>
      <c r="O99" s="6">
        <v>0</v>
      </c>
      <c r="P99" s="6">
        <v>1</v>
      </c>
      <c r="Q99" s="4" t="s">
        <v>26</v>
      </c>
      <c r="R99" s="4">
        <v>0</v>
      </c>
      <c r="S99" s="6">
        <v>18</v>
      </c>
      <c r="T99" s="6">
        <v>0</v>
      </c>
      <c r="U99" s="6">
        <v>0</v>
      </c>
      <c r="V99" s="6">
        <f>IF(ISERROR(VLOOKUP($S$99,'TAR FIN'!$A$1:$O$92,15,0)),0,VLOOKUP($S$99,'TAR FIN'!$A$1:$O$92,15,0))</f>
        <v>18.489999999999998</v>
      </c>
      <c r="W99" s="6">
        <f>IF(ISERROR(VLOOKUP($T$99,'TAR FIN'!$A$1:$O$92,15,0)),0,VLOOKUP($T$99,'TAR FIN'!$A$1:$O$92,15,0))</f>
        <v>0</v>
      </c>
      <c r="X99" s="6">
        <f>IF(ISERROR(VLOOKUP($U$99,'TAR FIN'!$A$1:$O$92,15,0)),0,VLOOKUP($U$99,'TAR FIN'!$A$1:$O$92,15,0))</f>
        <v>0</v>
      </c>
      <c r="Y99" s="6">
        <f ca="1">('TUSD BE'!$AM$14+'TUSD BF_350'!$AM$14+'TUSD CVA'!$AM$14)*1</f>
        <v>15.64</v>
      </c>
      <c r="Z99" s="6"/>
      <c r="AA99" s="6"/>
      <c r="AB99" s="6">
        <f>$K$99*$V$99</f>
        <v>1848.9999999999998</v>
      </c>
      <c r="AC99" s="6">
        <f>$M$99*$W$99</f>
        <v>0</v>
      </c>
      <c r="AD99" s="6">
        <f>$O$99*$X$99</f>
        <v>0</v>
      </c>
      <c r="AE99" s="6">
        <f ca="1">$K$99*$Y$99</f>
        <v>1564</v>
      </c>
      <c r="AF99" s="6">
        <f>$M$99*$Z$99</f>
        <v>0</v>
      </c>
      <c r="AG99" s="6">
        <f>$O$99*$AA$99</f>
        <v>0</v>
      </c>
    </row>
    <row r="100" spans="1:33" ht="11.25" customHeight="1" x14ac:dyDescent="0.3">
      <c r="A100" s="4" t="s">
        <v>21</v>
      </c>
      <c r="B100" s="4" t="s">
        <v>34</v>
      </c>
      <c r="C100" s="4" t="s">
        <v>35</v>
      </c>
      <c r="D100" s="4" t="s">
        <v>40</v>
      </c>
      <c r="E100" s="4" t="s">
        <v>25</v>
      </c>
      <c r="F100" s="4" t="s">
        <v>25</v>
      </c>
      <c r="G100" s="4" t="s">
        <v>25</v>
      </c>
      <c r="H100" s="4" t="s">
        <v>25</v>
      </c>
      <c r="I100" s="5">
        <v>44440</v>
      </c>
      <c r="J100" s="6">
        <v>349.06</v>
      </c>
      <c r="K100" s="6">
        <v>349.06</v>
      </c>
      <c r="L100" s="6">
        <v>0</v>
      </c>
      <c r="M100" s="6">
        <v>0</v>
      </c>
      <c r="N100" s="6">
        <v>0</v>
      </c>
      <c r="O100" s="6">
        <v>0</v>
      </c>
      <c r="P100" s="6">
        <v>5</v>
      </c>
      <c r="Q100" s="4" t="s">
        <v>26</v>
      </c>
      <c r="R100" s="4">
        <v>0</v>
      </c>
      <c r="S100" s="6">
        <v>18</v>
      </c>
      <c r="T100" s="6">
        <v>0</v>
      </c>
      <c r="U100" s="6">
        <v>0</v>
      </c>
      <c r="V100" s="6">
        <f>IF(ISERROR(VLOOKUP($S$100,'TAR FIN'!$A$1:$O$92,15,0)),0,VLOOKUP($S$100,'TAR FIN'!$A$1:$O$92,15,0))</f>
        <v>18.489999999999998</v>
      </c>
      <c r="W100" s="6">
        <f>IF(ISERROR(VLOOKUP($T$100,'TAR FIN'!$A$1:$O$92,15,0)),0,VLOOKUP($T$100,'TAR FIN'!$A$1:$O$92,15,0))</f>
        <v>0</v>
      </c>
      <c r="X100" s="6">
        <f>IF(ISERROR(VLOOKUP($U$100,'TAR FIN'!$A$1:$O$92,15,0)),0,VLOOKUP($U$100,'TAR FIN'!$A$1:$O$92,15,0))</f>
        <v>0</v>
      </c>
      <c r="Y100" s="6">
        <f ca="1">('TUSD BE'!$AM$14+'TUSD BF_350'!$AM$14+'TUSD CVA'!$AM$14)*1</f>
        <v>15.64</v>
      </c>
      <c r="Z100" s="6"/>
      <c r="AA100" s="6"/>
      <c r="AB100" s="6">
        <f>$K$100*$V$100</f>
        <v>6454.1193999999996</v>
      </c>
      <c r="AC100" s="6">
        <f>$M$100*$W$100</f>
        <v>0</v>
      </c>
      <c r="AD100" s="6">
        <f>$O$100*$X$100</f>
        <v>0</v>
      </c>
      <c r="AE100" s="6">
        <f ca="1">$K$100*$Y$100</f>
        <v>5459.2984000000006</v>
      </c>
      <c r="AF100" s="6">
        <f>$M$100*$Z$100</f>
        <v>0</v>
      </c>
      <c r="AG100" s="6">
        <f>$O$100*$AA$100</f>
        <v>0</v>
      </c>
    </row>
    <row r="101" spans="1:33" ht="11.25" customHeight="1" x14ac:dyDescent="0.3">
      <c r="A101" s="4" t="s">
        <v>27</v>
      </c>
      <c r="B101" s="4" t="s">
        <v>34</v>
      </c>
      <c r="C101" s="4" t="s">
        <v>35</v>
      </c>
      <c r="D101" s="4" t="s">
        <v>40</v>
      </c>
      <c r="E101" s="4" t="s">
        <v>25</v>
      </c>
      <c r="F101" s="4" t="s">
        <v>25</v>
      </c>
      <c r="G101" s="4" t="s">
        <v>25</v>
      </c>
      <c r="H101" s="4" t="s">
        <v>25</v>
      </c>
      <c r="I101" s="5">
        <v>44440</v>
      </c>
      <c r="J101" s="6">
        <v>100</v>
      </c>
      <c r="K101" s="6">
        <v>100</v>
      </c>
      <c r="L101" s="6">
        <v>0</v>
      </c>
      <c r="M101" s="6">
        <v>0</v>
      </c>
      <c r="N101" s="6">
        <v>0</v>
      </c>
      <c r="O101" s="6">
        <v>0</v>
      </c>
      <c r="P101" s="6">
        <v>1</v>
      </c>
      <c r="Q101" s="4" t="s">
        <v>26</v>
      </c>
      <c r="R101" s="4">
        <v>0</v>
      </c>
      <c r="S101" s="6">
        <v>18</v>
      </c>
      <c r="T101" s="6">
        <v>0</v>
      </c>
      <c r="U101" s="6">
        <v>0</v>
      </c>
      <c r="V101" s="6">
        <f>IF(ISERROR(VLOOKUP($S$101,'TAR FIN'!$A$1:$O$92,15,0)),0,VLOOKUP($S$101,'TAR FIN'!$A$1:$O$92,15,0))</f>
        <v>18.489999999999998</v>
      </c>
      <c r="W101" s="6">
        <f>IF(ISERROR(VLOOKUP($T$101,'TAR FIN'!$A$1:$O$92,15,0)),0,VLOOKUP($T$101,'TAR FIN'!$A$1:$O$92,15,0))</f>
        <v>0</v>
      </c>
      <c r="X101" s="6">
        <f>IF(ISERROR(VLOOKUP($U$101,'TAR FIN'!$A$1:$O$92,15,0)),0,VLOOKUP($U$101,'TAR FIN'!$A$1:$O$92,15,0))</f>
        <v>0</v>
      </c>
      <c r="Y101" s="6">
        <f ca="1">('TUSD BE'!$AM$14+'TUSD BF_350'!$AM$14+'TUSD CVA'!$AM$14)*1</f>
        <v>15.64</v>
      </c>
      <c r="Z101" s="6"/>
      <c r="AA101" s="6"/>
      <c r="AB101" s="6">
        <f>$K$101*$V$101</f>
        <v>1848.9999999999998</v>
      </c>
      <c r="AC101" s="6">
        <f>$M$101*$W$101</f>
        <v>0</v>
      </c>
      <c r="AD101" s="6">
        <f>$O$101*$X$101</f>
        <v>0</v>
      </c>
      <c r="AE101" s="6">
        <f ca="1">$K$101*$Y$101</f>
        <v>1564</v>
      </c>
      <c r="AF101" s="6">
        <f>$M$101*$Z$101</f>
        <v>0</v>
      </c>
      <c r="AG101" s="6">
        <f>$O$101*$AA$101</f>
        <v>0</v>
      </c>
    </row>
    <row r="102" spans="1:33" ht="11.25" customHeight="1" x14ac:dyDescent="0.3">
      <c r="A102" s="4" t="s">
        <v>21</v>
      </c>
      <c r="B102" s="4" t="s">
        <v>34</v>
      </c>
      <c r="C102" s="4" t="s">
        <v>35</v>
      </c>
      <c r="D102" s="4" t="s">
        <v>40</v>
      </c>
      <c r="E102" s="4" t="s">
        <v>25</v>
      </c>
      <c r="F102" s="4" t="s">
        <v>25</v>
      </c>
      <c r="G102" s="4" t="s">
        <v>25</v>
      </c>
      <c r="H102" s="4" t="s">
        <v>25</v>
      </c>
      <c r="I102" s="5">
        <v>44470</v>
      </c>
      <c r="J102" s="6">
        <v>351.41</v>
      </c>
      <c r="K102" s="6">
        <v>351.41</v>
      </c>
      <c r="L102" s="6">
        <v>0</v>
      </c>
      <c r="M102" s="6">
        <v>0</v>
      </c>
      <c r="N102" s="6">
        <v>0</v>
      </c>
      <c r="O102" s="6">
        <v>0</v>
      </c>
      <c r="P102" s="6">
        <v>5</v>
      </c>
      <c r="Q102" s="4" t="s">
        <v>26</v>
      </c>
      <c r="R102" s="4">
        <v>0</v>
      </c>
      <c r="S102" s="6">
        <v>18</v>
      </c>
      <c r="T102" s="6">
        <v>0</v>
      </c>
      <c r="U102" s="6">
        <v>0</v>
      </c>
      <c r="V102" s="6">
        <f>IF(ISERROR(VLOOKUP($S$102,'TAR FIN'!$A$1:$O$92,15,0)),0,VLOOKUP($S$102,'TAR FIN'!$A$1:$O$92,15,0))</f>
        <v>18.489999999999998</v>
      </c>
      <c r="W102" s="6">
        <f>IF(ISERROR(VLOOKUP($T$102,'TAR FIN'!$A$1:$O$92,15,0)),0,VLOOKUP($T$102,'TAR FIN'!$A$1:$O$92,15,0))</f>
        <v>0</v>
      </c>
      <c r="X102" s="6">
        <f>IF(ISERROR(VLOOKUP($U$102,'TAR FIN'!$A$1:$O$92,15,0)),0,VLOOKUP($U$102,'TAR FIN'!$A$1:$O$92,15,0))</f>
        <v>0</v>
      </c>
      <c r="Y102" s="6">
        <f ca="1">('TUSD BE'!$AM$14+'TUSD BF_350'!$AM$14+'TUSD CVA'!$AM$14)*1</f>
        <v>15.64</v>
      </c>
      <c r="Z102" s="6"/>
      <c r="AA102" s="6"/>
      <c r="AB102" s="6">
        <f>$K$102*$V$102</f>
        <v>6497.5708999999997</v>
      </c>
      <c r="AC102" s="6">
        <f>$M$102*$W$102</f>
        <v>0</v>
      </c>
      <c r="AD102" s="6">
        <f>$O$102*$X$102</f>
        <v>0</v>
      </c>
      <c r="AE102" s="6">
        <f ca="1">$K$102*$Y$102</f>
        <v>5496.0524000000005</v>
      </c>
      <c r="AF102" s="6">
        <f>$M$102*$Z$102</f>
        <v>0</v>
      </c>
      <c r="AG102" s="6">
        <f>$O$102*$AA$102</f>
        <v>0</v>
      </c>
    </row>
    <row r="103" spans="1:33" ht="11.25" customHeight="1" x14ac:dyDescent="0.3">
      <c r="A103" s="4" t="s">
        <v>27</v>
      </c>
      <c r="B103" s="4" t="s">
        <v>34</v>
      </c>
      <c r="C103" s="4" t="s">
        <v>35</v>
      </c>
      <c r="D103" s="4" t="s">
        <v>40</v>
      </c>
      <c r="E103" s="4" t="s">
        <v>25</v>
      </c>
      <c r="F103" s="4" t="s">
        <v>25</v>
      </c>
      <c r="G103" s="4" t="s">
        <v>25</v>
      </c>
      <c r="H103" s="4" t="s">
        <v>25</v>
      </c>
      <c r="I103" s="5">
        <v>44470</v>
      </c>
      <c r="J103" s="6">
        <v>100</v>
      </c>
      <c r="K103" s="6">
        <v>100</v>
      </c>
      <c r="L103" s="6">
        <v>0</v>
      </c>
      <c r="M103" s="6">
        <v>0</v>
      </c>
      <c r="N103" s="6">
        <v>0</v>
      </c>
      <c r="O103" s="6">
        <v>0</v>
      </c>
      <c r="P103" s="6">
        <v>1</v>
      </c>
      <c r="Q103" s="4" t="s">
        <v>26</v>
      </c>
      <c r="R103" s="4">
        <v>0</v>
      </c>
      <c r="S103" s="6">
        <v>18</v>
      </c>
      <c r="T103" s="6">
        <v>0</v>
      </c>
      <c r="U103" s="6">
        <v>0</v>
      </c>
      <c r="V103" s="6">
        <f>IF(ISERROR(VLOOKUP($S$103,'TAR FIN'!$A$1:$O$92,15,0)),0,VLOOKUP($S$103,'TAR FIN'!$A$1:$O$92,15,0))</f>
        <v>18.489999999999998</v>
      </c>
      <c r="W103" s="6">
        <f>IF(ISERROR(VLOOKUP($T$103,'TAR FIN'!$A$1:$O$92,15,0)),0,VLOOKUP($T$103,'TAR FIN'!$A$1:$O$92,15,0))</f>
        <v>0</v>
      </c>
      <c r="X103" s="6">
        <f>IF(ISERROR(VLOOKUP($U$103,'TAR FIN'!$A$1:$O$92,15,0)),0,VLOOKUP($U$103,'TAR FIN'!$A$1:$O$92,15,0))</f>
        <v>0</v>
      </c>
      <c r="Y103" s="6">
        <f ca="1">('TUSD BE'!$AM$14+'TUSD BF_350'!$AM$14+'TUSD CVA'!$AM$14)*1</f>
        <v>15.64</v>
      </c>
      <c r="Z103" s="6"/>
      <c r="AA103" s="6"/>
      <c r="AB103" s="6">
        <f>$K$103*$V$103</f>
        <v>1848.9999999999998</v>
      </c>
      <c r="AC103" s="6">
        <f>$M$103*$W$103</f>
        <v>0</v>
      </c>
      <c r="AD103" s="6">
        <f>$O$103*$X$103</f>
        <v>0</v>
      </c>
      <c r="AE103" s="6">
        <f ca="1">$K$103*$Y$103</f>
        <v>1564</v>
      </c>
      <c r="AF103" s="6">
        <f>$M$103*$Z$103</f>
        <v>0</v>
      </c>
      <c r="AG103" s="6">
        <f>$O$103*$AA$103</f>
        <v>0</v>
      </c>
    </row>
    <row r="104" spans="1:33" ht="11.25" customHeight="1" x14ac:dyDescent="0.3">
      <c r="A104" s="4" t="s">
        <v>21</v>
      </c>
      <c r="B104" s="4" t="s">
        <v>34</v>
      </c>
      <c r="C104" s="4" t="s">
        <v>35</v>
      </c>
      <c r="D104" s="4" t="s">
        <v>40</v>
      </c>
      <c r="E104" s="4" t="s">
        <v>25</v>
      </c>
      <c r="F104" s="4" t="s">
        <v>25</v>
      </c>
      <c r="G104" s="4" t="s">
        <v>25</v>
      </c>
      <c r="H104" s="4" t="s">
        <v>25</v>
      </c>
      <c r="I104" s="5">
        <v>44501</v>
      </c>
      <c r="J104" s="6">
        <v>366</v>
      </c>
      <c r="K104" s="6">
        <v>366</v>
      </c>
      <c r="L104" s="6">
        <v>0</v>
      </c>
      <c r="M104" s="6">
        <v>0</v>
      </c>
      <c r="N104" s="6">
        <v>0</v>
      </c>
      <c r="O104" s="6">
        <v>0</v>
      </c>
      <c r="P104" s="6">
        <v>6</v>
      </c>
      <c r="Q104" s="4" t="s">
        <v>26</v>
      </c>
      <c r="R104" s="4">
        <v>0</v>
      </c>
      <c r="S104" s="6">
        <v>18</v>
      </c>
      <c r="T104" s="6">
        <v>0</v>
      </c>
      <c r="U104" s="6">
        <v>0</v>
      </c>
      <c r="V104" s="6">
        <f>IF(ISERROR(VLOOKUP($S$104,'TAR FIN'!$A$1:$O$92,15,0)),0,VLOOKUP($S$104,'TAR FIN'!$A$1:$O$92,15,0))</f>
        <v>18.489999999999998</v>
      </c>
      <c r="W104" s="6">
        <f>IF(ISERROR(VLOOKUP($T$104,'TAR FIN'!$A$1:$O$92,15,0)),0,VLOOKUP($T$104,'TAR FIN'!$A$1:$O$92,15,0))</f>
        <v>0</v>
      </c>
      <c r="X104" s="6">
        <f>IF(ISERROR(VLOOKUP($U$104,'TAR FIN'!$A$1:$O$92,15,0)),0,VLOOKUP($U$104,'TAR FIN'!$A$1:$O$92,15,0))</f>
        <v>0</v>
      </c>
      <c r="Y104" s="6">
        <f ca="1">('TUSD BE'!$AM$14+'TUSD BF_350'!$AM$14+'TUSD CVA'!$AM$14)*1</f>
        <v>15.64</v>
      </c>
      <c r="Z104" s="6"/>
      <c r="AA104" s="6"/>
      <c r="AB104" s="6">
        <f>$K$104*$V$104</f>
        <v>6767.3399999999992</v>
      </c>
      <c r="AC104" s="6">
        <f>$M$104*$W$104</f>
        <v>0</v>
      </c>
      <c r="AD104" s="6">
        <f>$O$104*$X$104</f>
        <v>0</v>
      </c>
      <c r="AE104" s="6">
        <f ca="1">$K$104*$Y$104</f>
        <v>5724.24</v>
      </c>
      <c r="AF104" s="6">
        <f>$M$104*$Z$104</f>
        <v>0</v>
      </c>
      <c r="AG104" s="6">
        <f>$O$104*$AA$104</f>
        <v>0</v>
      </c>
    </row>
    <row r="105" spans="1:33" ht="11.25" customHeight="1" x14ac:dyDescent="0.3">
      <c r="A105" s="4" t="s">
        <v>27</v>
      </c>
      <c r="B105" s="4" t="s">
        <v>34</v>
      </c>
      <c r="C105" s="4" t="s">
        <v>35</v>
      </c>
      <c r="D105" s="4" t="s">
        <v>40</v>
      </c>
      <c r="E105" s="4" t="s">
        <v>25</v>
      </c>
      <c r="F105" s="4" t="s">
        <v>25</v>
      </c>
      <c r="G105" s="4" t="s">
        <v>25</v>
      </c>
      <c r="H105" s="4" t="s">
        <v>25</v>
      </c>
      <c r="I105" s="5">
        <v>44501</v>
      </c>
      <c r="J105" s="6">
        <v>100</v>
      </c>
      <c r="K105" s="6">
        <v>100</v>
      </c>
      <c r="L105" s="6">
        <v>0</v>
      </c>
      <c r="M105" s="6">
        <v>0</v>
      </c>
      <c r="N105" s="6">
        <v>0</v>
      </c>
      <c r="O105" s="6">
        <v>0</v>
      </c>
      <c r="P105" s="6">
        <v>1</v>
      </c>
      <c r="Q105" s="4" t="s">
        <v>26</v>
      </c>
      <c r="R105" s="4">
        <v>0</v>
      </c>
      <c r="S105" s="6">
        <v>18</v>
      </c>
      <c r="T105" s="6">
        <v>0</v>
      </c>
      <c r="U105" s="6">
        <v>0</v>
      </c>
      <c r="V105" s="6">
        <f>IF(ISERROR(VLOOKUP($S$105,'TAR FIN'!$A$1:$O$92,15,0)),0,VLOOKUP($S$105,'TAR FIN'!$A$1:$O$92,15,0))</f>
        <v>18.489999999999998</v>
      </c>
      <c r="W105" s="6">
        <f>IF(ISERROR(VLOOKUP($T$105,'TAR FIN'!$A$1:$O$92,15,0)),0,VLOOKUP($T$105,'TAR FIN'!$A$1:$O$92,15,0))</f>
        <v>0</v>
      </c>
      <c r="X105" s="6">
        <f>IF(ISERROR(VLOOKUP($U$105,'TAR FIN'!$A$1:$O$92,15,0)),0,VLOOKUP($U$105,'TAR FIN'!$A$1:$O$92,15,0))</f>
        <v>0</v>
      </c>
      <c r="Y105" s="6">
        <f ca="1">('TUSD BE'!$AM$14+'TUSD BF_350'!$AM$14+'TUSD CVA'!$AM$14)*1</f>
        <v>15.64</v>
      </c>
      <c r="Z105" s="6"/>
      <c r="AA105" s="6"/>
      <c r="AB105" s="6">
        <f>$K$105*$V$105</f>
        <v>1848.9999999999998</v>
      </c>
      <c r="AC105" s="6">
        <f>$M$105*$W$105</f>
        <v>0</v>
      </c>
      <c r="AD105" s="6">
        <f>$O$105*$X$105</f>
        <v>0</v>
      </c>
      <c r="AE105" s="6">
        <f ca="1">$K$105*$Y$105</f>
        <v>1564</v>
      </c>
      <c r="AF105" s="6">
        <f>$M$105*$Z$105</f>
        <v>0</v>
      </c>
      <c r="AG105" s="6">
        <f>$O$105*$AA$105</f>
        <v>0</v>
      </c>
    </row>
    <row r="106" spans="1:33" ht="11.25" customHeight="1" x14ac:dyDescent="0.3">
      <c r="A106" s="4" t="s">
        <v>21</v>
      </c>
      <c r="B106" s="4" t="s">
        <v>34</v>
      </c>
      <c r="C106" s="4" t="s">
        <v>35</v>
      </c>
      <c r="D106" s="4" t="s">
        <v>40</v>
      </c>
      <c r="E106" s="4" t="s">
        <v>25</v>
      </c>
      <c r="F106" s="4" t="s">
        <v>25</v>
      </c>
      <c r="G106" s="4" t="s">
        <v>25</v>
      </c>
      <c r="H106" s="4" t="s">
        <v>25</v>
      </c>
      <c r="I106" s="5">
        <v>44531</v>
      </c>
      <c r="J106" s="6">
        <v>389.11</v>
      </c>
      <c r="K106" s="6">
        <v>389.11</v>
      </c>
      <c r="L106" s="6">
        <v>0</v>
      </c>
      <c r="M106" s="6">
        <v>0</v>
      </c>
      <c r="N106" s="6">
        <v>0</v>
      </c>
      <c r="O106" s="6">
        <v>0</v>
      </c>
      <c r="P106" s="6">
        <v>6</v>
      </c>
      <c r="Q106" s="4" t="s">
        <v>26</v>
      </c>
      <c r="R106" s="4">
        <v>0</v>
      </c>
      <c r="S106" s="6">
        <v>18</v>
      </c>
      <c r="T106" s="6">
        <v>0</v>
      </c>
      <c r="U106" s="6">
        <v>0</v>
      </c>
      <c r="V106" s="6">
        <f>IF(ISERROR(VLOOKUP($S$106,'TAR FIN'!$A$1:$O$92,15,0)),0,VLOOKUP($S$106,'TAR FIN'!$A$1:$O$92,15,0))</f>
        <v>18.489999999999998</v>
      </c>
      <c r="W106" s="6">
        <f>IF(ISERROR(VLOOKUP($T$106,'TAR FIN'!$A$1:$O$92,15,0)),0,VLOOKUP($T$106,'TAR FIN'!$A$1:$O$92,15,0))</f>
        <v>0</v>
      </c>
      <c r="X106" s="6">
        <f>IF(ISERROR(VLOOKUP($U$106,'TAR FIN'!$A$1:$O$92,15,0)),0,VLOOKUP($U$106,'TAR FIN'!$A$1:$O$92,15,0))</f>
        <v>0</v>
      </c>
      <c r="Y106" s="6">
        <f ca="1">('TUSD BE'!$AM$14+'TUSD BF_350'!$AM$14+'TUSD CVA'!$AM$14)*1</f>
        <v>15.64</v>
      </c>
      <c r="Z106" s="6"/>
      <c r="AA106" s="6"/>
      <c r="AB106" s="6">
        <f>$K$106*$V$106</f>
        <v>7194.6439</v>
      </c>
      <c r="AC106" s="6">
        <f>$M$106*$W$106</f>
        <v>0</v>
      </c>
      <c r="AD106" s="6">
        <f>$O$106*$X$106</f>
        <v>0</v>
      </c>
      <c r="AE106" s="6">
        <f ca="1">$K$106*$Y$106</f>
        <v>6085.6804000000002</v>
      </c>
      <c r="AF106" s="6">
        <f>$M$106*$Z$106</f>
        <v>0</v>
      </c>
      <c r="AG106" s="6">
        <f>$O$106*$AA$106</f>
        <v>0</v>
      </c>
    </row>
    <row r="107" spans="1:33" ht="11.25" customHeight="1" x14ac:dyDescent="0.3">
      <c r="A107" s="4" t="s">
        <v>27</v>
      </c>
      <c r="B107" s="4" t="s">
        <v>34</v>
      </c>
      <c r="C107" s="4" t="s">
        <v>35</v>
      </c>
      <c r="D107" s="4" t="s">
        <v>40</v>
      </c>
      <c r="E107" s="4" t="s">
        <v>25</v>
      </c>
      <c r="F107" s="4" t="s">
        <v>25</v>
      </c>
      <c r="G107" s="4" t="s">
        <v>25</v>
      </c>
      <c r="H107" s="4" t="s">
        <v>25</v>
      </c>
      <c r="I107" s="5">
        <v>44531</v>
      </c>
      <c r="J107" s="6">
        <v>100</v>
      </c>
      <c r="K107" s="6">
        <v>100</v>
      </c>
      <c r="L107" s="6">
        <v>0</v>
      </c>
      <c r="M107" s="6">
        <v>0</v>
      </c>
      <c r="N107" s="6">
        <v>0</v>
      </c>
      <c r="O107" s="6">
        <v>0</v>
      </c>
      <c r="P107" s="6">
        <v>1</v>
      </c>
      <c r="Q107" s="4" t="s">
        <v>26</v>
      </c>
      <c r="R107" s="4">
        <v>0</v>
      </c>
      <c r="S107" s="6">
        <v>18</v>
      </c>
      <c r="T107" s="6">
        <v>0</v>
      </c>
      <c r="U107" s="6">
        <v>0</v>
      </c>
      <c r="V107" s="6">
        <f>IF(ISERROR(VLOOKUP($S$107,'TAR FIN'!$A$1:$O$92,15,0)),0,VLOOKUP($S$107,'TAR FIN'!$A$1:$O$92,15,0))</f>
        <v>18.489999999999998</v>
      </c>
      <c r="W107" s="6">
        <f>IF(ISERROR(VLOOKUP($T$107,'TAR FIN'!$A$1:$O$92,15,0)),0,VLOOKUP($T$107,'TAR FIN'!$A$1:$O$92,15,0))</f>
        <v>0</v>
      </c>
      <c r="X107" s="6">
        <f>IF(ISERROR(VLOOKUP($U$107,'TAR FIN'!$A$1:$O$92,15,0)),0,VLOOKUP($U$107,'TAR FIN'!$A$1:$O$92,15,0))</f>
        <v>0</v>
      </c>
      <c r="Y107" s="6">
        <f ca="1">('TUSD BE'!$AM$14+'TUSD BF_350'!$AM$14+'TUSD CVA'!$AM$14)*1</f>
        <v>15.64</v>
      </c>
      <c r="Z107" s="6"/>
      <c r="AA107" s="6"/>
      <c r="AB107" s="6">
        <f>$K$107*$V$107</f>
        <v>1848.9999999999998</v>
      </c>
      <c r="AC107" s="6">
        <f>$M$107*$W$107</f>
        <v>0</v>
      </c>
      <c r="AD107" s="6">
        <f>$O$107*$X$107</f>
        <v>0</v>
      </c>
      <c r="AE107" s="6">
        <f ca="1">$K$107*$Y$107</f>
        <v>1564</v>
      </c>
      <c r="AF107" s="6">
        <f>$M$107*$Z$107</f>
        <v>0</v>
      </c>
      <c r="AG107" s="6">
        <f>$O$107*$AA$107</f>
        <v>0</v>
      </c>
    </row>
    <row r="108" spans="1:33" ht="11.25" customHeight="1" x14ac:dyDescent="0.3">
      <c r="A108" s="4" t="s">
        <v>21</v>
      </c>
      <c r="B108" s="4" t="s">
        <v>34</v>
      </c>
      <c r="C108" s="4" t="s">
        <v>35</v>
      </c>
      <c r="D108" s="4" t="s">
        <v>40</v>
      </c>
      <c r="E108" s="4" t="s">
        <v>25</v>
      </c>
      <c r="F108" s="4" t="s">
        <v>25</v>
      </c>
      <c r="G108" s="4" t="s">
        <v>25</v>
      </c>
      <c r="H108" s="4" t="s">
        <v>25</v>
      </c>
      <c r="I108" s="5">
        <v>44562</v>
      </c>
      <c r="J108" s="6">
        <v>394</v>
      </c>
      <c r="K108" s="6">
        <v>394</v>
      </c>
      <c r="L108" s="6">
        <v>0</v>
      </c>
      <c r="M108" s="6">
        <v>0</v>
      </c>
      <c r="N108" s="6">
        <v>0</v>
      </c>
      <c r="O108" s="6">
        <v>0</v>
      </c>
      <c r="P108" s="6">
        <v>6</v>
      </c>
      <c r="Q108" s="4" t="s">
        <v>26</v>
      </c>
      <c r="R108" s="4">
        <v>0</v>
      </c>
      <c r="S108" s="6">
        <v>18</v>
      </c>
      <c r="T108" s="6">
        <v>0</v>
      </c>
      <c r="U108" s="6">
        <v>0</v>
      </c>
      <c r="V108" s="6">
        <f>IF(ISERROR(VLOOKUP($S$108,'TAR FIN'!$A$1:$O$92,15,0)),0,VLOOKUP($S$108,'TAR FIN'!$A$1:$O$92,15,0))</f>
        <v>18.489999999999998</v>
      </c>
      <c r="W108" s="6">
        <f>IF(ISERROR(VLOOKUP($T$108,'TAR FIN'!$A$1:$O$92,15,0)),0,VLOOKUP($T$108,'TAR FIN'!$A$1:$O$92,15,0))</f>
        <v>0</v>
      </c>
      <c r="X108" s="6">
        <f>IF(ISERROR(VLOOKUP($U$108,'TAR FIN'!$A$1:$O$92,15,0)),0,VLOOKUP($U$108,'TAR FIN'!$A$1:$O$92,15,0))</f>
        <v>0</v>
      </c>
      <c r="Y108" s="6">
        <f ca="1">('TUSD BE'!$AM$14+'TUSD BF_350'!$AM$14+'TUSD CVA'!$AM$14)*1</f>
        <v>15.64</v>
      </c>
      <c r="Z108" s="6"/>
      <c r="AA108" s="6"/>
      <c r="AB108" s="6">
        <f>$K$108*$V$108</f>
        <v>7285.0599999999995</v>
      </c>
      <c r="AC108" s="6">
        <f>$M$108*$W$108</f>
        <v>0</v>
      </c>
      <c r="AD108" s="6">
        <f>$O$108*$X$108</f>
        <v>0</v>
      </c>
      <c r="AE108" s="6">
        <f ca="1">$K$108*$Y$108</f>
        <v>6162.16</v>
      </c>
      <c r="AF108" s="6">
        <f>$M$108*$Z$108</f>
        <v>0</v>
      </c>
      <c r="AG108" s="6">
        <f>$O$108*$AA$108</f>
        <v>0</v>
      </c>
    </row>
    <row r="109" spans="1:33" ht="11.25" customHeight="1" x14ac:dyDescent="0.3">
      <c r="A109" s="4" t="s">
        <v>27</v>
      </c>
      <c r="B109" s="4" t="s">
        <v>34</v>
      </c>
      <c r="C109" s="4" t="s">
        <v>35</v>
      </c>
      <c r="D109" s="4" t="s">
        <v>40</v>
      </c>
      <c r="E109" s="4" t="s">
        <v>25</v>
      </c>
      <c r="F109" s="4" t="s">
        <v>25</v>
      </c>
      <c r="G109" s="4" t="s">
        <v>25</v>
      </c>
      <c r="H109" s="4" t="s">
        <v>25</v>
      </c>
      <c r="I109" s="5">
        <v>44562</v>
      </c>
      <c r="J109" s="6">
        <v>100</v>
      </c>
      <c r="K109" s="6">
        <v>100</v>
      </c>
      <c r="L109" s="6">
        <v>0</v>
      </c>
      <c r="M109" s="6">
        <v>0</v>
      </c>
      <c r="N109" s="6">
        <v>0</v>
      </c>
      <c r="O109" s="6">
        <v>0</v>
      </c>
      <c r="P109" s="6">
        <v>1</v>
      </c>
      <c r="Q109" s="4" t="s">
        <v>26</v>
      </c>
      <c r="R109" s="4">
        <v>0</v>
      </c>
      <c r="S109" s="6">
        <v>18</v>
      </c>
      <c r="T109" s="6">
        <v>0</v>
      </c>
      <c r="U109" s="6">
        <v>0</v>
      </c>
      <c r="V109" s="6">
        <f>IF(ISERROR(VLOOKUP($S$109,'TAR FIN'!$A$1:$O$92,15,0)),0,VLOOKUP($S$109,'TAR FIN'!$A$1:$O$92,15,0))</f>
        <v>18.489999999999998</v>
      </c>
      <c r="W109" s="6">
        <f>IF(ISERROR(VLOOKUP($T$109,'TAR FIN'!$A$1:$O$92,15,0)),0,VLOOKUP($T$109,'TAR FIN'!$A$1:$O$92,15,0))</f>
        <v>0</v>
      </c>
      <c r="X109" s="6">
        <f>IF(ISERROR(VLOOKUP($U$109,'TAR FIN'!$A$1:$O$92,15,0)),0,VLOOKUP($U$109,'TAR FIN'!$A$1:$O$92,15,0))</f>
        <v>0</v>
      </c>
      <c r="Y109" s="6">
        <f ca="1">('TUSD BE'!$AM$14+'TUSD BF_350'!$AM$14+'TUSD CVA'!$AM$14)*1</f>
        <v>15.64</v>
      </c>
      <c r="Z109" s="6"/>
      <c r="AA109" s="6"/>
      <c r="AB109" s="6">
        <f>$K$109*$V$109</f>
        <v>1848.9999999999998</v>
      </c>
      <c r="AC109" s="6">
        <f>$M$109*$W$109</f>
        <v>0</v>
      </c>
      <c r="AD109" s="6">
        <f>$O$109*$X$109</f>
        <v>0</v>
      </c>
      <c r="AE109" s="6">
        <f ca="1">$K$109*$Y$109</f>
        <v>1564</v>
      </c>
      <c r="AF109" s="6">
        <f>$M$109*$Z$109</f>
        <v>0</v>
      </c>
      <c r="AG109" s="6">
        <f>$O$109*$AA$109</f>
        <v>0</v>
      </c>
    </row>
    <row r="110" spans="1:33" ht="11.25" customHeight="1" x14ac:dyDescent="0.3">
      <c r="A110" s="4" t="s">
        <v>21</v>
      </c>
      <c r="B110" s="4" t="s">
        <v>34</v>
      </c>
      <c r="C110" s="4" t="s">
        <v>35</v>
      </c>
      <c r="D110" s="4" t="s">
        <v>40</v>
      </c>
      <c r="E110" s="4" t="s">
        <v>25</v>
      </c>
      <c r="F110" s="4" t="s">
        <v>25</v>
      </c>
      <c r="G110" s="4" t="s">
        <v>25</v>
      </c>
      <c r="H110" s="4" t="s">
        <v>25</v>
      </c>
      <c r="I110" s="5">
        <v>44593</v>
      </c>
      <c r="J110" s="6">
        <v>428</v>
      </c>
      <c r="K110" s="6">
        <v>428</v>
      </c>
      <c r="L110" s="6">
        <v>0</v>
      </c>
      <c r="M110" s="6">
        <v>0</v>
      </c>
      <c r="N110" s="6">
        <v>0</v>
      </c>
      <c r="O110" s="6">
        <v>0</v>
      </c>
      <c r="P110" s="6">
        <v>6</v>
      </c>
      <c r="Q110" s="4" t="s">
        <v>26</v>
      </c>
      <c r="R110" s="4">
        <v>0</v>
      </c>
      <c r="S110" s="6">
        <v>18</v>
      </c>
      <c r="T110" s="6">
        <v>0</v>
      </c>
      <c r="U110" s="6">
        <v>0</v>
      </c>
      <c r="V110" s="6">
        <f>IF(ISERROR(VLOOKUP($S$110,'TAR FIN'!$A$1:$O$92,15,0)),0,VLOOKUP($S$110,'TAR FIN'!$A$1:$O$92,15,0))</f>
        <v>18.489999999999998</v>
      </c>
      <c r="W110" s="6">
        <f>IF(ISERROR(VLOOKUP($T$110,'TAR FIN'!$A$1:$O$92,15,0)),0,VLOOKUP($T$110,'TAR FIN'!$A$1:$O$92,15,0))</f>
        <v>0</v>
      </c>
      <c r="X110" s="6">
        <f>IF(ISERROR(VLOOKUP($U$110,'TAR FIN'!$A$1:$O$92,15,0)),0,VLOOKUP($U$110,'TAR FIN'!$A$1:$O$92,15,0))</f>
        <v>0</v>
      </c>
      <c r="Y110" s="6">
        <f ca="1">('TUSD BE'!$AM$14+'TUSD BF_350'!$AM$14+'TUSD CVA'!$AM$14)*1</f>
        <v>15.64</v>
      </c>
      <c r="Z110" s="6"/>
      <c r="AA110" s="6"/>
      <c r="AB110" s="6">
        <f>$K$110*$V$110</f>
        <v>7913.7199999999993</v>
      </c>
      <c r="AC110" s="6">
        <f>$M$110*$W$110</f>
        <v>0</v>
      </c>
      <c r="AD110" s="6">
        <f>$O$110*$X$110</f>
        <v>0</v>
      </c>
      <c r="AE110" s="6">
        <f ca="1">$K$110*$Y$110</f>
        <v>6693.92</v>
      </c>
      <c r="AF110" s="6">
        <f>$M$110*$Z$110</f>
        <v>0</v>
      </c>
      <c r="AG110" s="6">
        <f>$O$110*$AA$110</f>
        <v>0</v>
      </c>
    </row>
    <row r="111" spans="1:33" ht="11.25" customHeight="1" x14ac:dyDescent="0.3">
      <c r="A111" s="4" t="s">
        <v>27</v>
      </c>
      <c r="B111" s="4" t="s">
        <v>34</v>
      </c>
      <c r="C111" s="4" t="s">
        <v>35</v>
      </c>
      <c r="D111" s="4" t="s">
        <v>40</v>
      </c>
      <c r="E111" s="4" t="s">
        <v>25</v>
      </c>
      <c r="F111" s="4" t="s">
        <v>25</v>
      </c>
      <c r="G111" s="4" t="s">
        <v>25</v>
      </c>
      <c r="H111" s="4" t="s">
        <v>25</v>
      </c>
      <c r="I111" s="5">
        <v>44593</v>
      </c>
      <c r="J111" s="6">
        <v>100</v>
      </c>
      <c r="K111" s="6">
        <v>100</v>
      </c>
      <c r="L111" s="6">
        <v>0</v>
      </c>
      <c r="M111" s="6">
        <v>0</v>
      </c>
      <c r="N111" s="6">
        <v>0</v>
      </c>
      <c r="O111" s="6">
        <v>0</v>
      </c>
      <c r="P111" s="6">
        <v>1</v>
      </c>
      <c r="Q111" s="4" t="s">
        <v>26</v>
      </c>
      <c r="R111" s="4">
        <v>0</v>
      </c>
      <c r="S111" s="6">
        <v>18</v>
      </c>
      <c r="T111" s="6">
        <v>0</v>
      </c>
      <c r="U111" s="6">
        <v>0</v>
      </c>
      <c r="V111" s="6">
        <f>IF(ISERROR(VLOOKUP($S$111,'TAR FIN'!$A$1:$O$92,15,0)),0,VLOOKUP($S$111,'TAR FIN'!$A$1:$O$92,15,0))</f>
        <v>18.489999999999998</v>
      </c>
      <c r="W111" s="6">
        <f>IF(ISERROR(VLOOKUP($T$111,'TAR FIN'!$A$1:$O$92,15,0)),0,VLOOKUP($T$111,'TAR FIN'!$A$1:$O$92,15,0))</f>
        <v>0</v>
      </c>
      <c r="X111" s="6">
        <f>IF(ISERROR(VLOOKUP($U$111,'TAR FIN'!$A$1:$O$92,15,0)),0,VLOOKUP($U$111,'TAR FIN'!$A$1:$O$92,15,0))</f>
        <v>0</v>
      </c>
      <c r="Y111" s="6">
        <f ca="1">('TUSD BE'!$AM$14+'TUSD BF_350'!$AM$14+'TUSD CVA'!$AM$14)*1</f>
        <v>15.64</v>
      </c>
      <c r="Z111" s="6"/>
      <c r="AA111" s="6"/>
      <c r="AB111" s="6">
        <f>$K$111*$V$111</f>
        <v>1848.9999999999998</v>
      </c>
      <c r="AC111" s="6">
        <f>$M$111*$W$111</f>
        <v>0</v>
      </c>
      <c r="AD111" s="6">
        <f>$O$111*$X$111</f>
        <v>0</v>
      </c>
      <c r="AE111" s="6">
        <f ca="1">$K$111*$Y$111</f>
        <v>1564</v>
      </c>
      <c r="AF111" s="6">
        <f>$M$111*$Z$111</f>
        <v>0</v>
      </c>
      <c r="AG111" s="6">
        <f>$O$111*$AA$111</f>
        <v>0</v>
      </c>
    </row>
    <row r="112" spans="1:33" ht="11.25" customHeight="1" x14ac:dyDescent="0.3">
      <c r="A112" s="4" t="s">
        <v>21</v>
      </c>
      <c r="B112" s="4" t="s">
        <v>34</v>
      </c>
      <c r="C112" s="4" t="s">
        <v>35</v>
      </c>
      <c r="D112" s="4" t="s">
        <v>40</v>
      </c>
      <c r="E112" s="4" t="s">
        <v>25</v>
      </c>
      <c r="F112" s="4" t="s">
        <v>25</v>
      </c>
      <c r="G112" s="4" t="s">
        <v>25</v>
      </c>
      <c r="H112" s="4" t="s">
        <v>25</v>
      </c>
      <c r="I112" s="5">
        <v>44621</v>
      </c>
      <c r="J112" s="6">
        <v>425.34</v>
      </c>
      <c r="K112" s="6">
        <v>425.34</v>
      </c>
      <c r="L112" s="6">
        <v>0</v>
      </c>
      <c r="M112" s="6">
        <v>0</v>
      </c>
      <c r="N112" s="6">
        <v>0</v>
      </c>
      <c r="O112" s="6">
        <v>0</v>
      </c>
      <c r="P112" s="6">
        <v>6</v>
      </c>
      <c r="Q112" s="4" t="s">
        <v>26</v>
      </c>
      <c r="R112" s="4">
        <v>0</v>
      </c>
      <c r="S112" s="6">
        <v>18</v>
      </c>
      <c r="T112" s="6">
        <v>0</v>
      </c>
      <c r="U112" s="6">
        <v>0</v>
      </c>
      <c r="V112" s="6">
        <f>IF(ISERROR(VLOOKUP($S$112,'TAR FIN'!$A$1:$O$92,15,0)),0,VLOOKUP($S$112,'TAR FIN'!$A$1:$O$92,15,0))</f>
        <v>18.489999999999998</v>
      </c>
      <c r="W112" s="6">
        <f>IF(ISERROR(VLOOKUP($T$112,'TAR FIN'!$A$1:$O$92,15,0)),0,VLOOKUP($T$112,'TAR FIN'!$A$1:$O$92,15,0))</f>
        <v>0</v>
      </c>
      <c r="X112" s="6">
        <f>IF(ISERROR(VLOOKUP($U$112,'TAR FIN'!$A$1:$O$92,15,0)),0,VLOOKUP($U$112,'TAR FIN'!$A$1:$O$92,15,0))</f>
        <v>0</v>
      </c>
      <c r="Y112" s="6">
        <f ca="1">('TUSD BE'!$AM$14+'TUSD BF_350'!$AM$14+'TUSD CVA'!$AM$14)*1</f>
        <v>15.64</v>
      </c>
      <c r="Z112" s="6"/>
      <c r="AA112" s="6"/>
      <c r="AB112" s="6">
        <f>$K$112*$V$112</f>
        <v>7864.5365999999985</v>
      </c>
      <c r="AC112" s="6">
        <f>$M$112*$W$112</f>
        <v>0</v>
      </c>
      <c r="AD112" s="6">
        <f>$O$112*$X$112</f>
        <v>0</v>
      </c>
      <c r="AE112" s="6">
        <f ca="1">$K$112*$Y$112</f>
        <v>6652.3175999999994</v>
      </c>
      <c r="AF112" s="6">
        <f>$M$112*$Z$112</f>
        <v>0</v>
      </c>
      <c r="AG112" s="6">
        <f>$O$112*$AA$112</f>
        <v>0</v>
      </c>
    </row>
    <row r="113" spans="1:33" ht="11.25" customHeight="1" x14ac:dyDescent="0.3">
      <c r="A113" s="4" t="s">
        <v>27</v>
      </c>
      <c r="B113" s="4" t="s">
        <v>34</v>
      </c>
      <c r="C113" s="4" t="s">
        <v>35</v>
      </c>
      <c r="D113" s="4" t="s">
        <v>40</v>
      </c>
      <c r="E113" s="4" t="s">
        <v>25</v>
      </c>
      <c r="F113" s="4" t="s">
        <v>25</v>
      </c>
      <c r="G113" s="4" t="s">
        <v>25</v>
      </c>
      <c r="H113" s="4" t="s">
        <v>25</v>
      </c>
      <c r="I113" s="5">
        <v>44621</v>
      </c>
      <c r="J113" s="6">
        <v>100</v>
      </c>
      <c r="K113" s="6">
        <v>100</v>
      </c>
      <c r="L113" s="6">
        <v>0</v>
      </c>
      <c r="M113" s="6">
        <v>0</v>
      </c>
      <c r="N113" s="6">
        <v>0</v>
      </c>
      <c r="O113" s="6">
        <v>0</v>
      </c>
      <c r="P113" s="6">
        <v>1</v>
      </c>
      <c r="Q113" s="4" t="s">
        <v>26</v>
      </c>
      <c r="R113" s="4">
        <v>0</v>
      </c>
      <c r="S113" s="6">
        <v>18</v>
      </c>
      <c r="T113" s="6">
        <v>0</v>
      </c>
      <c r="U113" s="6">
        <v>0</v>
      </c>
      <c r="V113" s="6">
        <f>IF(ISERROR(VLOOKUP($S$113,'TAR FIN'!$A$1:$O$92,15,0)),0,VLOOKUP($S$113,'TAR FIN'!$A$1:$O$92,15,0))</f>
        <v>18.489999999999998</v>
      </c>
      <c r="W113" s="6">
        <f>IF(ISERROR(VLOOKUP($T$113,'TAR FIN'!$A$1:$O$92,15,0)),0,VLOOKUP($T$113,'TAR FIN'!$A$1:$O$92,15,0))</f>
        <v>0</v>
      </c>
      <c r="X113" s="6">
        <f>IF(ISERROR(VLOOKUP($U$113,'TAR FIN'!$A$1:$O$92,15,0)),0,VLOOKUP($U$113,'TAR FIN'!$A$1:$O$92,15,0))</f>
        <v>0</v>
      </c>
      <c r="Y113" s="6">
        <f ca="1">('TUSD BE'!$AM$14+'TUSD BF_350'!$AM$14+'TUSD CVA'!$AM$14)*1</f>
        <v>15.64</v>
      </c>
      <c r="Z113" s="6"/>
      <c r="AA113" s="6"/>
      <c r="AB113" s="6">
        <f>$K$113*$V$113</f>
        <v>1848.9999999999998</v>
      </c>
      <c r="AC113" s="6">
        <f>$M$113*$W$113</f>
        <v>0</v>
      </c>
      <c r="AD113" s="6">
        <f>$O$113*$X$113</f>
        <v>0</v>
      </c>
      <c r="AE113" s="6">
        <f ca="1">$K$113*$Y$113</f>
        <v>1564</v>
      </c>
      <c r="AF113" s="6">
        <f>$M$113*$Z$113</f>
        <v>0</v>
      </c>
      <c r="AG113" s="6">
        <f>$O$113*$AA$113</f>
        <v>0</v>
      </c>
    </row>
    <row r="114" spans="1:33" ht="11.25" customHeight="1" x14ac:dyDescent="0.3">
      <c r="A114" s="4" t="s">
        <v>21</v>
      </c>
      <c r="B114" s="4" t="s">
        <v>34</v>
      </c>
      <c r="C114" s="4" t="s">
        <v>35</v>
      </c>
      <c r="D114" s="4" t="s">
        <v>40</v>
      </c>
      <c r="E114" s="4" t="s">
        <v>25</v>
      </c>
      <c r="F114" s="4" t="s">
        <v>25</v>
      </c>
      <c r="G114" s="4" t="s">
        <v>25</v>
      </c>
      <c r="H114" s="4" t="s">
        <v>25</v>
      </c>
      <c r="I114" s="5">
        <v>44652</v>
      </c>
      <c r="J114" s="6">
        <v>417.67</v>
      </c>
      <c r="K114" s="6">
        <v>417.67</v>
      </c>
      <c r="L114" s="6">
        <v>0</v>
      </c>
      <c r="M114" s="6">
        <v>0</v>
      </c>
      <c r="N114" s="6">
        <v>0</v>
      </c>
      <c r="O114" s="6">
        <v>0</v>
      </c>
      <c r="P114" s="6">
        <v>6</v>
      </c>
      <c r="Q114" s="4" t="s">
        <v>26</v>
      </c>
      <c r="R114" s="4">
        <v>0</v>
      </c>
      <c r="S114" s="6">
        <v>18</v>
      </c>
      <c r="T114" s="6">
        <v>0</v>
      </c>
      <c r="U114" s="6">
        <v>0</v>
      </c>
      <c r="V114" s="6">
        <f>IF(ISERROR(VLOOKUP($S$114,'TAR FIN'!$A$1:$O$92,15,0)),0,VLOOKUP($S$114,'TAR FIN'!$A$1:$O$92,15,0))</f>
        <v>18.489999999999998</v>
      </c>
      <c r="W114" s="6">
        <f>IF(ISERROR(VLOOKUP($T$114,'TAR FIN'!$A$1:$O$92,15,0)),0,VLOOKUP($T$114,'TAR FIN'!$A$1:$O$92,15,0))</f>
        <v>0</v>
      </c>
      <c r="X114" s="6">
        <f>IF(ISERROR(VLOOKUP($U$114,'TAR FIN'!$A$1:$O$92,15,0)),0,VLOOKUP($U$114,'TAR FIN'!$A$1:$O$92,15,0))</f>
        <v>0</v>
      </c>
      <c r="Y114" s="6">
        <f ca="1">('TUSD BE'!$AM$14+'TUSD BF_350'!$AM$14+'TUSD CVA'!$AM$14)*1</f>
        <v>15.64</v>
      </c>
      <c r="Z114" s="6"/>
      <c r="AA114" s="6"/>
      <c r="AB114" s="6">
        <f>$K$114*$V$114</f>
        <v>7722.7182999999995</v>
      </c>
      <c r="AC114" s="6">
        <f>$M$114*$W$114</f>
        <v>0</v>
      </c>
      <c r="AD114" s="6">
        <f>$O$114*$X$114</f>
        <v>0</v>
      </c>
      <c r="AE114" s="6">
        <f ca="1">$K$114*$Y$114</f>
        <v>6532.3588000000009</v>
      </c>
      <c r="AF114" s="6">
        <f>$M$114*$Z$114</f>
        <v>0</v>
      </c>
      <c r="AG114" s="6">
        <f>$O$114*$AA$114</f>
        <v>0</v>
      </c>
    </row>
    <row r="115" spans="1:33" ht="11.25" customHeight="1" x14ac:dyDescent="0.3">
      <c r="A115" s="4" t="s">
        <v>27</v>
      </c>
      <c r="B115" s="4" t="s">
        <v>34</v>
      </c>
      <c r="C115" s="4" t="s">
        <v>35</v>
      </c>
      <c r="D115" s="4" t="s">
        <v>40</v>
      </c>
      <c r="E115" s="4" t="s">
        <v>25</v>
      </c>
      <c r="F115" s="4" t="s">
        <v>25</v>
      </c>
      <c r="G115" s="4" t="s">
        <v>25</v>
      </c>
      <c r="H115" s="4" t="s">
        <v>25</v>
      </c>
      <c r="I115" s="5">
        <v>44652</v>
      </c>
      <c r="J115" s="6">
        <v>100</v>
      </c>
      <c r="K115" s="6">
        <v>100</v>
      </c>
      <c r="L115" s="6">
        <v>0</v>
      </c>
      <c r="M115" s="6">
        <v>0</v>
      </c>
      <c r="N115" s="6">
        <v>0</v>
      </c>
      <c r="O115" s="6">
        <v>0</v>
      </c>
      <c r="P115" s="6">
        <v>1</v>
      </c>
      <c r="Q115" s="4" t="s">
        <v>26</v>
      </c>
      <c r="R115" s="4">
        <v>0</v>
      </c>
      <c r="S115" s="6">
        <v>18</v>
      </c>
      <c r="T115" s="6">
        <v>0</v>
      </c>
      <c r="U115" s="6">
        <v>0</v>
      </c>
      <c r="V115" s="6">
        <f>IF(ISERROR(VLOOKUP($S$115,'TAR FIN'!$A$1:$O$92,15,0)),0,VLOOKUP($S$115,'TAR FIN'!$A$1:$O$92,15,0))</f>
        <v>18.489999999999998</v>
      </c>
      <c r="W115" s="6">
        <f>IF(ISERROR(VLOOKUP($T$115,'TAR FIN'!$A$1:$O$92,15,0)),0,VLOOKUP($T$115,'TAR FIN'!$A$1:$O$92,15,0))</f>
        <v>0</v>
      </c>
      <c r="X115" s="6">
        <f>IF(ISERROR(VLOOKUP($U$115,'TAR FIN'!$A$1:$O$92,15,0)),0,VLOOKUP($U$115,'TAR FIN'!$A$1:$O$92,15,0))</f>
        <v>0</v>
      </c>
      <c r="Y115" s="6">
        <f ca="1">('TUSD BE'!$AM$14+'TUSD BF_350'!$AM$14+'TUSD CVA'!$AM$14)*1</f>
        <v>15.64</v>
      </c>
      <c r="Z115" s="6"/>
      <c r="AA115" s="6"/>
      <c r="AB115" s="6">
        <f>$K$115*$V$115</f>
        <v>1848.9999999999998</v>
      </c>
      <c r="AC115" s="6">
        <f>$M$115*$W$115</f>
        <v>0</v>
      </c>
      <c r="AD115" s="6">
        <f>$O$115*$X$115</f>
        <v>0</v>
      </c>
      <c r="AE115" s="6">
        <f ca="1">$K$115*$Y$115</f>
        <v>1564</v>
      </c>
      <c r="AF115" s="6">
        <f>$M$115*$Z$115</f>
        <v>0</v>
      </c>
      <c r="AG115" s="6">
        <f>$O$115*$AA$115</f>
        <v>0</v>
      </c>
    </row>
    <row r="116" spans="1:33" ht="11.25" customHeight="1" x14ac:dyDescent="0.3">
      <c r="A116" s="4" t="s">
        <v>21</v>
      </c>
      <c r="B116" s="4" t="s">
        <v>34</v>
      </c>
      <c r="C116" s="4" t="s">
        <v>35</v>
      </c>
      <c r="D116" s="4" t="s">
        <v>40</v>
      </c>
      <c r="E116" s="4" t="s">
        <v>25</v>
      </c>
      <c r="F116" s="4" t="s">
        <v>25</v>
      </c>
      <c r="G116" s="4" t="s">
        <v>25</v>
      </c>
      <c r="H116" s="4" t="s">
        <v>25</v>
      </c>
      <c r="I116" s="5">
        <v>44682</v>
      </c>
      <c r="J116" s="6">
        <v>403</v>
      </c>
      <c r="K116" s="6">
        <v>403</v>
      </c>
      <c r="L116" s="6">
        <v>0</v>
      </c>
      <c r="M116" s="6">
        <v>0</v>
      </c>
      <c r="N116" s="6">
        <v>0</v>
      </c>
      <c r="O116" s="6">
        <v>0</v>
      </c>
      <c r="P116" s="6">
        <v>6</v>
      </c>
      <c r="Q116" s="4" t="s">
        <v>26</v>
      </c>
      <c r="R116" s="4">
        <v>0</v>
      </c>
      <c r="S116" s="6">
        <v>18</v>
      </c>
      <c r="T116" s="6">
        <v>0</v>
      </c>
      <c r="U116" s="6">
        <v>0</v>
      </c>
      <c r="V116" s="6">
        <f>IF(ISERROR(VLOOKUP($S$116,'TAR FIN'!$A$1:$O$92,15,0)),0,VLOOKUP($S$116,'TAR FIN'!$A$1:$O$92,15,0))</f>
        <v>18.489999999999998</v>
      </c>
      <c r="W116" s="6">
        <f>IF(ISERROR(VLOOKUP($T$116,'TAR FIN'!$A$1:$O$92,15,0)),0,VLOOKUP($T$116,'TAR FIN'!$A$1:$O$92,15,0))</f>
        <v>0</v>
      </c>
      <c r="X116" s="6">
        <f>IF(ISERROR(VLOOKUP($U$116,'TAR FIN'!$A$1:$O$92,15,0)),0,VLOOKUP($U$116,'TAR FIN'!$A$1:$O$92,15,0))</f>
        <v>0</v>
      </c>
      <c r="Y116" s="6">
        <f ca="1">('TUSD BE'!$AM$14+'TUSD BF_350'!$AM$14+'TUSD CVA'!$AM$14)*1</f>
        <v>15.64</v>
      </c>
      <c r="Z116" s="6"/>
      <c r="AA116" s="6"/>
      <c r="AB116" s="6">
        <f>$K$116*$V$116</f>
        <v>7451.4699999999993</v>
      </c>
      <c r="AC116" s="6">
        <f>$M$116*$W$116</f>
        <v>0</v>
      </c>
      <c r="AD116" s="6">
        <f>$O$116*$X$116</f>
        <v>0</v>
      </c>
      <c r="AE116" s="6">
        <f ca="1">$K$116*$Y$116</f>
        <v>6302.92</v>
      </c>
      <c r="AF116" s="6">
        <f>$M$116*$Z$116</f>
        <v>0</v>
      </c>
      <c r="AG116" s="6">
        <f>$O$116*$AA$116</f>
        <v>0</v>
      </c>
    </row>
    <row r="117" spans="1:33" ht="11.25" customHeight="1" x14ac:dyDescent="0.3">
      <c r="A117" s="4" t="s">
        <v>27</v>
      </c>
      <c r="B117" s="4" t="s">
        <v>34</v>
      </c>
      <c r="C117" s="4" t="s">
        <v>35</v>
      </c>
      <c r="D117" s="4" t="s">
        <v>40</v>
      </c>
      <c r="E117" s="4" t="s">
        <v>25</v>
      </c>
      <c r="F117" s="4" t="s">
        <v>25</v>
      </c>
      <c r="G117" s="4" t="s">
        <v>25</v>
      </c>
      <c r="H117" s="4" t="s">
        <v>25</v>
      </c>
      <c r="I117" s="5">
        <v>44682</v>
      </c>
      <c r="J117" s="6">
        <v>100</v>
      </c>
      <c r="K117" s="6">
        <v>100</v>
      </c>
      <c r="L117" s="6">
        <v>0</v>
      </c>
      <c r="M117" s="6">
        <v>0</v>
      </c>
      <c r="N117" s="6">
        <v>0</v>
      </c>
      <c r="O117" s="6">
        <v>0</v>
      </c>
      <c r="P117" s="6">
        <v>1</v>
      </c>
      <c r="Q117" s="4" t="s">
        <v>26</v>
      </c>
      <c r="R117" s="4">
        <v>0</v>
      </c>
      <c r="S117" s="6">
        <v>18</v>
      </c>
      <c r="T117" s="6">
        <v>0</v>
      </c>
      <c r="U117" s="6">
        <v>0</v>
      </c>
      <c r="V117" s="6">
        <f>IF(ISERROR(VLOOKUP($S$117,'TAR FIN'!$A$1:$O$92,15,0)),0,VLOOKUP($S$117,'TAR FIN'!$A$1:$O$92,15,0))</f>
        <v>18.489999999999998</v>
      </c>
      <c r="W117" s="6">
        <f>IF(ISERROR(VLOOKUP($T$117,'TAR FIN'!$A$1:$O$92,15,0)),0,VLOOKUP($T$117,'TAR FIN'!$A$1:$O$92,15,0))</f>
        <v>0</v>
      </c>
      <c r="X117" s="6">
        <f>IF(ISERROR(VLOOKUP($U$117,'TAR FIN'!$A$1:$O$92,15,0)),0,VLOOKUP($U$117,'TAR FIN'!$A$1:$O$92,15,0))</f>
        <v>0</v>
      </c>
      <c r="Y117" s="6">
        <f ca="1">('TUSD BE'!$AM$14+'TUSD BF_350'!$AM$14+'TUSD CVA'!$AM$14)*1</f>
        <v>15.64</v>
      </c>
      <c r="Z117" s="6"/>
      <c r="AA117" s="6"/>
      <c r="AB117" s="6">
        <f>$K$117*$V$117</f>
        <v>1848.9999999999998</v>
      </c>
      <c r="AC117" s="6">
        <f>$M$117*$W$117</f>
        <v>0</v>
      </c>
      <c r="AD117" s="6">
        <f>$O$117*$X$117</f>
        <v>0</v>
      </c>
      <c r="AE117" s="6">
        <f ca="1">$K$117*$Y$117</f>
        <v>1564</v>
      </c>
      <c r="AF117" s="6">
        <f>$M$117*$Z$117</f>
        <v>0</v>
      </c>
      <c r="AG117" s="6">
        <f>$O$117*$AA$117</f>
        <v>0</v>
      </c>
    </row>
    <row r="118" spans="1:33" ht="11.25" customHeight="1" x14ac:dyDescent="0.3">
      <c r="A118" s="4" t="s">
        <v>21</v>
      </c>
      <c r="B118" s="4" t="s">
        <v>34</v>
      </c>
      <c r="C118" s="4" t="s">
        <v>35</v>
      </c>
      <c r="D118" s="4" t="s">
        <v>40</v>
      </c>
      <c r="E118" s="4" t="s">
        <v>25</v>
      </c>
      <c r="F118" s="4" t="s">
        <v>25</v>
      </c>
      <c r="G118" s="4" t="s">
        <v>25</v>
      </c>
      <c r="H118" s="4" t="s">
        <v>25</v>
      </c>
      <c r="I118" s="5">
        <v>44713</v>
      </c>
      <c r="J118" s="6">
        <v>403.07</v>
      </c>
      <c r="K118" s="6">
        <v>403.07</v>
      </c>
      <c r="L118" s="6">
        <v>0</v>
      </c>
      <c r="M118" s="6">
        <v>0</v>
      </c>
      <c r="N118" s="6">
        <v>0</v>
      </c>
      <c r="O118" s="6">
        <v>0</v>
      </c>
      <c r="P118" s="6">
        <v>6</v>
      </c>
      <c r="Q118" s="4" t="s">
        <v>26</v>
      </c>
      <c r="R118" s="4">
        <v>0</v>
      </c>
      <c r="S118" s="6">
        <v>18</v>
      </c>
      <c r="T118" s="6">
        <v>0</v>
      </c>
      <c r="U118" s="6">
        <v>0</v>
      </c>
      <c r="V118" s="6">
        <f>IF(ISERROR(VLOOKUP($S$118,'TAR FIN'!$A$1:$O$92,15,0)),0,VLOOKUP($S$118,'TAR FIN'!$A$1:$O$92,15,0))</f>
        <v>18.489999999999998</v>
      </c>
      <c r="W118" s="6">
        <f>IF(ISERROR(VLOOKUP($T$118,'TAR FIN'!$A$1:$O$92,15,0)),0,VLOOKUP($T$118,'TAR FIN'!$A$1:$O$92,15,0))</f>
        <v>0</v>
      </c>
      <c r="X118" s="6">
        <f>IF(ISERROR(VLOOKUP($U$118,'TAR FIN'!$A$1:$O$92,15,0)),0,VLOOKUP($U$118,'TAR FIN'!$A$1:$O$92,15,0))</f>
        <v>0</v>
      </c>
      <c r="Y118" s="6">
        <f ca="1">('TUSD BE'!$AM$14+'TUSD BF_350'!$AM$14+'TUSD CVA'!$AM$14)*1</f>
        <v>15.64</v>
      </c>
      <c r="Z118" s="6"/>
      <c r="AA118" s="6"/>
      <c r="AB118" s="6">
        <f>$K$118*$V$118</f>
        <v>7452.7642999999989</v>
      </c>
      <c r="AC118" s="6">
        <f>$M$118*$W$118</f>
        <v>0</v>
      </c>
      <c r="AD118" s="6">
        <f>$O$118*$X$118</f>
        <v>0</v>
      </c>
      <c r="AE118" s="6">
        <f ca="1">$K$118*$Y$118</f>
        <v>6304.0147999999999</v>
      </c>
      <c r="AF118" s="6">
        <f>$M$118*$Z$118</f>
        <v>0</v>
      </c>
      <c r="AG118" s="6">
        <f>$O$118*$AA$118</f>
        <v>0</v>
      </c>
    </row>
    <row r="119" spans="1:33" ht="11.25" customHeight="1" x14ac:dyDescent="0.3">
      <c r="A119" s="4" t="s">
        <v>27</v>
      </c>
      <c r="B119" s="4" t="s">
        <v>34</v>
      </c>
      <c r="C119" s="4" t="s">
        <v>35</v>
      </c>
      <c r="D119" s="4" t="s">
        <v>40</v>
      </c>
      <c r="E119" s="4" t="s">
        <v>25</v>
      </c>
      <c r="F119" s="4" t="s">
        <v>25</v>
      </c>
      <c r="G119" s="4" t="s">
        <v>25</v>
      </c>
      <c r="H119" s="4" t="s">
        <v>25</v>
      </c>
      <c r="I119" s="5">
        <v>44713</v>
      </c>
      <c r="J119" s="6">
        <v>100</v>
      </c>
      <c r="K119" s="6">
        <v>100</v>
      </c>
      <c r="L119" s="6">
        <v>0</v>
      </c>
      <c r="M119" s="6">
        <v>0</v>
      </c>
      <c r="N119" s="6">
        <v>0</v>
      </c>
      <c r="O119" s="6">
        <v>0</v>
      </c>
      <c r="P119" s="6">
        <v>1</v>
      </c>
      <c r="Q119" s="4" t="s">
        <v>26</v>
      </c>
      <c r="R119" s="4">
        <v>0</v>
      </c>
      <c r="S119" s="6">
        <v>18</v>
      </c>
      <c r="T119" s="6">
        <v>0</v>
      </c>
      <c r="U119" s="6">
        <v>0</v>
      </c>
      <c r="V119" s="6">
        <f>IF(ISERROR(VLOOKUP($S$119,'TAR FIN'!$A$1:$O$92,15,0)),0,VLOOKUP($S$119,'TAR FIN'!$A$1:$O$92,15,0))</f>
        <v>18.489999999999998</v>
      </c>
      <c r="W119" s="6">
        <f>IF(ISERROR(VLOOKUP($T$119,'TAR FIN'!$A$1:$O$92,15,0)),0,VLOOKUP($T$119,'TAR FIN'!$A$1:$O$92,15,0))</f>
        <v>0</v>
      </c>
      <c r="X119" s="6">
        <f>IF(ISERROR(VLOOKUP($U$119,'TAR FIN'!$A$1:$O$92,15,0)),0,VLOOKUP($U$119,'TAR FIN'!$A$1:$O$92,15,0))</f>
        <v>0</v>
      </c>
      <c r="Y119" s="6">
        <f ca="1">('TUSD BE'!$AM$14+'TUSD BF_350'!$AM$14+'TUSD CVA'!$AM$14)*1</f>
        <v>15.64</v>
      </c>
      <c r="Z119" s="6"/>
      <c r="AA119" s="6"/>
      <c r="AB119" s="6">
        <f>$K$119*$V$119</f>
        <v>1848.9999999999998</v>
      </c>
      <c r="AC119" s="6">
        <f>$M$119*$W$119</f>
        <v>0</v>
      </c>
      <c r="AD119" s="6">
        <f>$O$119*$X$119</f>
        <v>0</v>
      </c>
      <c r="AE119" s="6">
        <f ca="1">$K$119*$Y$119</f>
        <v>1564</v>
      </c>
      <c r="AF119" s="6">
        <f>$M$119*$Z$119</f>
        <v>0</v>
      </c>
      <c r="AG119" s="6">
        <f>$O$119*$AA$119</f>
        <v>0</v>
      </c>
    </row>
    <row r="120" spans="1:33" ht="11.25" customHeight="1" x14ac:dyDescent="0.3">
      <c r="A120" s="4" t="s">
        <v>21</v>
      </c>
      <c r="B120" s="4" t="s">
        <v>34</v>
      </c>
      <c r="C120" s="4" t="s">
        <v>35</v>
      </c>
      <c r="D120" s="4" t="s">
        <v>40</v>
      </c>
      <c r="E120" s="4" t="s">
        <v>25</v>
      </c>
      <c r="F120" s="4" t="s">
        <v>25</v>
      </c>
      <c r="G120" s="4" t="s">
        <v>25</v>
      </c>
      <c r="H120" s="4" t="s">
        <v>25</v>
      </c>
      <c r="I120" s="5">
        <v>44743</v>
      </c>
      <c r="J120" s="6">
        <v>406</v>
      </c>
      <c r="K120" s="6">
        <v>406</v>
      </c>
      <c r="L120" s="6">
        <v>0</v>
      </c>
      <c r="M120" s="6">
        <v>0</v>
      </c>
      <c r="N120" s="6">
        <v>0</v>
      </c>
      <c r="O120" s="6">
        <v>0</v>
      </c>
      <c r="P120" s="6">
        <v>6</v>
      </c>
      <c r="Q120" s="4" t="s">
        <v>26</v>
      </c>
      <c r="R120" s="4">
        <v>0</v>
      </c>
      <c r="S120" s="6">
        <v>18</v>
      </c>
      <c r="T120" s="6">
        <v>0</v>
      </c>
      <c r="U120" s="6">
        <v>0</v>
      </c>
      <c r="V120" s="6">
        <f>IF(ISERROR(VLOOKUP($S$120,'TAR FIN'!$A$1:$O$92,15,0)),0,VLOOKUP($S$120,'TAR FIN'!$A$1:$O$92,15,0))</f>
        <v>18.489999999999998</v>
      </c>
      <c r="W120" s="6">
        <f>IF(ISERROR(VLOOKUP($T$120,'TAR FIN'!$A$1:$O$92,15,0)),0,VLOOKUP($T$120,'TAR FIN'!$A$1:$O$92,15,0))</f>
        <v>0</v>
      </c>
      <c r="X120" s="6">
        <f>IF(ISERROR(VLOOKUP($U$120,'TAR FIN'!$A$1:$O$92,15,0)),0,VLOOKUP($U$120,'TAR FIN'!$A$1:$O$92,15,0))</f>
        <v>0</v>
      </c>
      <c r="Y120" s="6">
        <f ca="1">('TUSD BE'!$AM$14+'TUSD BF_350'!$AM$14+'TUSD CVA'!$AM$14)*1</f>
        <v>15.64</v>
      </c>
      <c r="Z120" s="6"/>
      <c r="AA120" s="6"/>
      <c r="AB120" s="6">
        <f>$K$120*$V$120</f>
        <v>7506.94</v>
      </c>
      <c r="AC120" s="6">
        <f>$M$120*$W$120</f>
        <v>0</v>
      </c>
      <c r="AD120" s="6">
        <f>$O$120*$X$120</f>
        <v>0</v>
      </c>
      <c r="AE120" s="6">
        <f ca="1">$K$120*$Y$120</f>
        <v>6349.84</v>
      </c>
      <c r="AF120" s="6">
        <f>$M$120*$Z$120</f>
        <v>0</v>
      </c>
      <c r="AG120" s="6">
        <f>$O$120*$AA$120</f>
        <v>0</v>
      </c>
    </row>
    <row r="121" spans="1:33" ht="11.25" customHeight="1" x14ac:dyDescent="0.3">
      <c r="A121" s="4" t="s">
        <v>27</v>
      </c>
      <c r="B121" s="4" t="s">
        <v>34</v>
      </c>
      <c r="C121" s="4" t="s">
        <v>35</v>
      </c>
      <c r="D121" s="4" t="s">
        <v>40</v>
      </c>
      <c r="E121" s="4" t="s">
        <v>25</v>
      </c>
      <c r="F121" s="4" t="s">
        <v>25</v>
      </c>
      <c r="G121" s="4" t="s">
        <v>25</v>
      </c>
      <c r="H121" s="4" t="s">
        <v>25</v>
      </c>
      <c r="I121" s="5">
        <v>44743</v>
      </c>
      <c r="J121" s="6">
        <v>100</v>
      </c>
      <c r="K121" s="6">
        <v>100</v>
      </c>
      <c r="L121" s="6">
        <v>0</v>
      </c>
      <c r="M121" s="6">
        <v>0</v>
      </c>
      <c r="N121" s="6">
        <v>0</v>
      </c>
      <c r="O121" s="6">
        <v>0</v>
      </c>
      <c r="P121" s="6">
        <v>1</v>
      </c>
      <c r="Q121" s="4" t="s">
        <v>26</v>
      </c>
      <c r="R121" s="4">
        <v>0</v>
      </c>
      <c r="S121" s="6">
        <v>18</v>
      </c>
      <c r="T121" s="6">
        <v>0</v>
      </c>
      <c r="U121" s="6">
        <v>0</v>
      </c>
      <c r="V121" s="6">
        <f>IF(ISERROR(VLOOKUP($S$121,'TAR FIN'!$A$1:$O$92,15,0)),0,VLOOKUP($S$121,'TAR FIN'!$A$1:$O$92,15,0))</f>
        <v>18.489999999999998</v>
      </c>
      <c r="W121" s="6">
        <f>IF(ISERROR(VLOOKUP($T$121,'TAR FIN'!$A$1:$O$92,15,0)),0,VLOOKUP($T$121,'TAR FIN'!$A$1:$O$92,15,0))</f>
        <v>0</v>
      </c>
      <c r="X121" s="6">
        <f>IF(ISERROR(VLOOKUP($U$121,'TAR FIN'!$A$1:$O$92,15,0)),0,VLOOKUP($U$121,'TAR FIN'!$A$1:$O$92,15,0))</f>
        <v>0</v>
      </c>
      <c r="Y121" s="6">
        <f ca="1">('TUSD BE'!$AM$14+'TUSD BF_350'!$AM$14+'TUSD CVA'!$AM$14)*1</f>
        <v>15.64</v>
      </c>
      <c r="Z121" s="6"/>
      <c r="AA121" s="6"/>
      <c r="AB121" s="6">
        <f>$K$121*$V$121</f>
        <v>1848.9999999999998</v>
      </c>
      <c r="AC121" s="6">
        <f>$M$121*$W$121</f>
        <v>0</v>
      </c>
      <c r="AD121" s="6">
        <f>$O$121*$X$121</f>
        <v>0</v>
      </c>
      <c r="AE121" s="6">
        <f ca="1">$K$121*$Y$121</f>
        <v>1564</v>
      </c>
      <c r="AF121" s="6">
        <f>$M$121*$Z$121</f>
        <v>0</v>
      </c>
      <c r="AG121" s="6">
        <f>$O$121*$AA$121</f>
        <v>0</v>
      </c>
    </row>
    <row r="122" spans="1:33" ht="11.25" customHeight="1" x14ac:dyDescent="0.3">
      <c r="A122" s="4" t="s">
        <v>21</v>
      </c>
      <c r="B122" s="4" t="s">
        <v>34</v>
      </c>
      <c r="C122" s="4" t="s">
        <v>35</v>
      </c>
      <c r="D122" s="4" t="s">
        <v>40</v>
      </c>
      <c r="E122" s="4" t="s">
        <v>25</v>
      </c>
      <c r="F122" s="4" t="s">
        <v>25</v>
      </c>
      <c r="G122" s="4" t="s">
        <v>25</v>
      </c>
      <c r="H122" s="4" t="s">
        <v>36</v>
      </c>
      <c r="I122" s="5">
        <v>44409</v>
      </c>
      <c r="J122" s="6">
        <v>0</v>
      </c>
      <c r="K122" s="6">
        <v>0</v>
      </c>
      <c r="L122" s="6">
        <v>3.7450000000000001</v>
      </c>
      <c r="M122" s="6">
        <v>3.7450000000000001</v>
      </c>
      <c r="N122" s="6">
        <v>3.7450000000000001</v>
      </c>
      <c r="O122" s="6">
        <v>3.7450000000000001</v>
      </c>
      <c r="P122" s="6">
        <v>0</v>
      </c>
      <c r="Q122" s="4" t="s">
        <v>26</v>
      </c>
      <c r="R122" s="4">
        <v>0</v>
      </c>
      <c r="S122" s="6">
        <v>0</v>
      </c>
      <c r="T122" s="6">
        <v>21</v>
      </c>
      <c r="U122" s="6">
        <v>83</v>
      </c>
      <c r="V122" s="6">
        <f>IF(ISERROR(VLOOKUP($S$122,'TAR FIN'!$A$1:$O$92,15,0)),0,VLOOKUP($S$122,'TAR FIN'!$A$1:$O$92,15,0))</f>
        <v>0</v>
      </c>
      <c r="W122" s="6">
        <f>IF(ISERROR(VLOOKUP($T$122,'TAR FIN'!$A$1:$O$92,15,0)),0,VLOOKUP($T$122,'TAR FIN'!$A$1:$O$92,15,0))</f>
        <v>789.62</v>
      </c>
      <c r="X122" s="6">
        <f>IF(ISERROR(VLOOKUP($U$122,'TAR FIN'!$A$1:$O$92,15,0)),0,VLOOKUP($U$122,'TAR FIN'!$A$1:$O$92,15,0))</f>
        <v>488.15</v>
      </c>
      <c r="Y122" s="6"/>
      <c r="Z122" s="6">
        <f ca="1">('TUSD BE'!$AM$15+'TUSD BF_350'!$AM$15+'TUSD CVA'!$AM$15)*1</f>
        <v>911.84</v>
      </c>
      <c r="AA122" s="6">
        <f ca="1">('TE BE'!$AB$7+'TE BF_350'!$AB$7+'TE CVA'!$AB$7)*1</f>
        <v>399.84</v>
      </c>
      <c r="AB122" s="6">
        <f>$K$122*$V$122</f>
        <v>0</v>
      </c>
      <c r="AC122" s="6">
        <f>$M$122*$W$122</f>
        <v>2957.1269000000002</v>
      </c>
      <c r="AD122" s="6">
        <f>$O$122*$X$122</f>
        <v>1828.12175</v>
      </c>
      <c r="AE122" s="6">
        <f>$K$122*$Y$122</f>
        <v>0</v>
      </c>
      <c r="AF122" s="6">
        <f ca="1">$M$122*$Z$122</f>
        <v>3414.8408000000004</v>
      </c>
      <c r="AG122" s="6">
        <f ca="1">$O$122*$AA$122</f>
        <v>1497.4007999999999</v>
      </c>
    </row>
    <row r="123" spans="1:33" ht="11.25" customHeight="1" x14ac:dyDescent="0.3">
      <c r="A123" s="4" t="s">
        <v>27</v>
      </c>
      <c r="B123" s="4" t="s">
        <v>34</v>
      </c>
      <c r="C123" s="4" t="s">
        <v>35</v>
      </c>
      <c r="D123" s="4" t="s">
        <v>40</v>
      </c>
      <c r="E123" s="4" t="s">
        <v>25</v>
      </c>
      <c r="F123" s="4" t="s">
        <v>25</v>
      </c>
      <c r="G123" s="4" t="s">
        <v>25</v>
      </c>
      <c r="H123" s="4" t="s">
        <v>36</v>
      </c>
      <c r="I123" s="5">
        <v>44409</v>
      </c>
      <c r="J123" s="6">
        <v>0</v>
      </c>
      <c r="K123" s="6">
        <v>0</v>
      </c>
      <c r="L123" s="6">
        <v>0.83260999999999996</v>
      </c>
      <c r="M123" s="6">
        <v>0.83260999999999996</v>
      </c>
      <c r="N123" s="6">
        <v>0.83260999999999996</v>
      </c>
      <c r="O123" s="6">
        <v>0.83260999999999996</v>
      </c>
      <c r="P123" s="6">
        <v>0</v>
      </c>
      <c r="Q123" s="4" t="s">
        <v>26</v>
      </c>
      <c r="R123" s="4">
        <v>0</v>
      </c>
      <c r="S123" s="6">
        <v>0</v>
      </c>
      <c r="T123" s="6">
        <v>21</v>
      </c>
      <c r="U123" s="6">
        <v>83</v>
      </c>
      <c r="V123" s="6">
        <f>IF(ISERROR(VLOOKUP($S$123,'TAR FIN'!$A$1:$O$92,15,0)),0,VLOOKUP($S$123,'TAR FIN'!$A$1:$O$92,15,0))</f>
        <v>0</v>
      </c>
      <c r="W123" s="6">
        <f>IF(ISERROR(VLOOKUP($T$123,'TAR FIN'!$A$1:$O$92,15,0)),0,VLOOKUP($T$123,'TAR FIN'!$A$1:$O$92,15,0))</f>
        <v>789.62</v>
      </c>
      <c r="X123" s="6">
        <f>IF(ISERROR(VLOOKUP($U$123,'TAR FIN'!$A$1:$O$92,15,0)),0,VLOOKUP($U$123,'TAR FIN'!$A$1:$O$92,15,0))</f>
        <v>488.15</v>
      </c>
      <c r="Y123" s="6"/>
      <c r="Z123" s="6">
        <f ca="1">('TUSD BE'!$AM$15+'TUSD BF_350'!$AM$15+'TUSD CVA'!$AM$15)*1</f>
        <v>911.84</v>
      </c>
      <c r="AA123" s="6">
        <f ca="1">('TE BE'!$AB$7+'TE BF_350'!$AB$7+'TE CVA'!$AB$7)*1</f>
        <v>399.84</v>
      </c>
      <c r="AB123" s="6">
        <f>$K$123*$V$123</f>
        <v>0</v>
      </c>
      <c r="AC123" s="6">
        <f>$M$123*$W$123</f>
        <v>657.44550819999995</v>
      </c>
      <c r="AD123" s="6">
        <f>$O$123*$X$123</f>
        <v>406.43857149999997</v>
      </c>
      <c r="AE123" s="6">
        <f>$K$123*$Y$123</f>
        <v>0</v>
      </c>
      <c r="AF123" s="6">
        <f ca="1">$M$123*$Z$123</f>
        <v>759.20710239999994</v>
      </c>
      <c r="AG123" s="6">
        <f ca="1">$O$123*$AA$123</f>
        <v>332.91078239999996</v>
      </c>
    </row>
    <row r="124" spans="1:33" ht="11.25" customHeight="1" x14ac:dyDescent="0.3">
      <c r="A124" s="4" t="s">
        <v>21</v>
      </c>
      <c r="B124" s="4" t="s">
        <v>34</v>
      </c>
      <c r="C124" s="4" t="s">
        <v>35</v>
      </c>
      <c r="D124" s="4" t="s">
        <v>40</v>
      </c>
      <c r="E124" s="4" t="s">
        <v>25</v>
      </c>
      <c r="F124" s="4" t="s">
        <v>25</v>
      </c>
      <c r="G124" s="4" t="s">
        <v>25</v>
      </c>
      <c r="H124" s="4" t="s">
        <v>36</v>
      </c>
      <c r="I124" s="5">
        <v>44440</v>
      </c>
      <c r="J124" s="6">
        <v>0</v>
      </c>
      <c r="K124" s="6">
        <v>0</v>
      </c>
      <c r="L124" s="6">
        <v>3.89899</v>
      </c>
      <c r="M124" s="6">
        <v>3.89899</v>
      </c>
      <c r="N124" s="6">
        <v>3.89899</v>
      </c>
      <c r="O124" s="6">
        <v>3.89899</v>
      </c>
      <c r="P124" s="6">
        <v>0</v>
      </c>
      <c r="Q124" s="4" t="s">
        <v>26</v>
      </c>
      <c r="R124" s="4">
        <v>0</v>
      </c>
      <c r="S124" s="6">
        <v>0</v>
      </c>
      <c r="T124" s="6">
        <v>21</v>
      </c>
      <c r="U124" s="6">
        <v>83</v>
      </c>
      <c r="V124" s="6">
        <f>IF(ISERROR(VLOOKUP($S$124,'TAR FIN'!$A$1:$O$92,15,0)),0,VLOOKUP($S$124,'TAR FIN'!$A$1:$O$92,15,0))</f>
        <v>0</v>
      </c>
      <c r="W124" s="6">
        <f>IF(ISERROR(VLOOKUP($T$124,'TAR FIN'!$A$1:$O$92,15,0)),0,VLOOKUP($T$124,'TAR FIN'!$A$1:$O$92,15,0))</f>
        <v>789.62</v>
      </c>
      <c r="X124" s="6">
        <f>IF(ISERROR(VLOOKUP($U$124,'TAR FIN'!$A$1:$O$92,15,0)),0,VLOOKUP($U$124,'TAR FIN'!$A$1:$O$92,15,0))</f>
        <v>488.15</v>
      </c>
      <c r="Y124" s="6"/>
      <c r="Z124" s="6">
        <f ca="1">('TUSD BE'!$AM$15+'TUSD BF_350'!$AM$15+'TUSD CVA'!$AM$15)*1</f>
        <v>911.84</v>
      </c>
      <c r="AA124" s="6">
        <f ca="1">('TE BE'!$AB$7+'TE BF_350'!$AB$7+'TE CVA'!$AB$7)*1</f>
        <v>399.84</v>
      </c>
      <c r="AB124" s="6">
        <f>$K$124*$V$124</f>
        <v>0</v>
      </c>
      <c r="AC124" s="6">
        <f>$M$124*$W$124</f>
        <v>3078.7204837999998</v>
      </c>
      <c r="AD124" s="6">
        <f>$O$124*$X$124</f>
        <v>1903.2919684999999</v>
      </c>
      <c r="AE124" s="6">
        <f>$K$124*$Y$124</f>
        <v>0</v>
      </c>
      <c r="AF124" s="6">
        <f ca="1">$M$124*$Z$124</f>
        <v>3555.2550415999999</v>
      </c>
      <c r="AG124" s="6">
        <f ca="1">$O$124*$AA$124</f>
        <v>1558.9721615999999</v>
      </c>
    </row>
    <row r="125" spans="1:33" ht="11.25" customHeight="1" x14ac:dyDescent="0.3">
      <c r="A125" s="4" t="s">
        <v>27</v>
      </c>
      <c r="B125" s="4" t="s">
        <v>34</v>
      </c>
      <c r="C125" s="4" t="s">
        <v>35</v>
      </c>
      <c r="D125" s="4" t="s">
        <v>40</v>
      </c>
      <c r="E125" s="4" t="s">
        <v>25</v>
      </c>
      <c r="F125" s="4" t="s">
        <v>25</v>
      </c>
      <c r="G125" s="4" t="s">
        <v>25</v>
      </c>
      <c r="H125" s="4" t="s">
        <v>36</v>
      </c>
      <c r="I125" s="5">
        <v>44440</v>
      </c>
      <c r="J125" s="6">
        <v>0</v>
      </c>
      <c r="K125" s="6">
        <v>0</v>
      </c>
      <c r="L125" s="6">
        <v>0.81979000000000002</v>
      </c>
      <c r="M125" s="6">
        <v>0.81979000000000002</v>
      </c>
      <c r="N125" s="6">
        <v>0.81979000000000002</v>
      </c>
      <c r="O125" s="6">
        <v>0.81979000000000002</v>
      </c>
      <c r="P125" s="6">
        <v>0</v>
      </c>
      <c r="Q125" s="4" t="s">
        <v>26</v>
      </c>
      <c r="R125" s="4">
        <v>0</v>
      </c>
      <c r="S125" s="6">
        <v>0</v>
      </c>
      <c r="T125" s="6">
        <v>21</v>
      </c>
      <c r="U125" s="6">
        <v>83</v>
      </c>
      <c r="V125" s="6">
        <f>IF(ISERROR(VLOOKUP($S$125,'TAR FIN'!$A$1:$O$92,15,0)),0,VLOOKUP($S$125,'TAR FIN'!$A$1:$O$92,15,0))</f>
        <v>0</v>
      </c>
      <c r="W125" s="6">
        <f>IF(ISERROR(VLOOKUP($T$125,'TAR FIN'!$A$1:$O$92,15,0)),0,VLOOKUP($T$125,'TAR FIN'!$A$1:$O$92,15,0))</f>
        <v>789.62</v>
      </c>
      <c r="X125" s="6">
        <f>IF(ISERROR(VLOOKUP($U$125,'TAR FIN'!$A$1:$O$92,15,0)),0,VLOOKUP($U$125,'TAR FIN'!$A$1:$O$92,15,0))</f>
        <v>488.15</v>
      </c>
      <c r="Y125" s="6"/>
      <c r="Z125" s="6">
        <f ca="1">('TUSD BE'!$AM$15+'TUSD BF_350'!$AM$15+'TUSD CVA'!$AM$15)*1</f>
        <v>911.84</v>
      </c>
      <c r="AA125" s="6">
        <f ca="1">('TE BE'!$AB$7+'TE BF_350'!$AB$7+'TE CVA'!$AB$7)*1</f>
        <v>399.84</v>
      </c>
      <c r="AB125" s="6">
        <f>$K$125*$V$125</f>
        <v>0</v>
      </c>
      <c r="AC125" s="6">
        <f>$M$125*$W$125</f>
        <v>647.32257979999997</v>
      </c>
      <c r="AD125" s="6">
        <f>$O$125*$X$125</f>
        <v>400.18048849999997</v>
      </c>
      <c r="AE125" s="6">
        <f>$K$125*$Y$125</f>
        <v>0</v>
      </c>
      <c r="AF125" s="6">
        <f ca="1">$M$125*$Z$125</f>
        <v>747.51731360000008</v>
      </c>
      <c r="AG125" s="6">
        <f ca="1">$O$125*$AA$125</f>
        <v>327.78483360000001</v>
      </c>
    </row>
    <row r="126" spans="1:33" ht="11.25" customHeight="1" x14ac:dyDescent="0.3">
      <c r="A126" s="4" t="s">
        <v>21</v>
      </c>
      <c r="B126" s="4" t="s">
        <v>34</v>
      </c>
      <c r="C126" s="4" t="s">
        <v>35</v>
      </c>
      <c r="D126" s="4" t="s">
        <v>40</v>
      </c>
      <c r="E126" s="4" t="s">
        <v>25</v>
      </c>
      <c r="F126" s="4" t="s">
        <v>25</v>
      </c>
      <c r="G126" s="4" t="s">
        <v>25</v>
      </c>
      <c r="H126" s="4" t="s">
        <v>36</v>
      </c>
      <c r="I126" s="5">
        <v>44470</v>
      </c>
      <c r="J126" s="6">
        <v>0</v>
      </c>
      <c r="K126" s="6">
        <v>0</v>
      </c>
      <c r="L126" s="6">
        <v>3.68018</v>
      </c>
      <c r="M126" s="6">
        <v>3.68018</v>
      </c>
      <c r="N126" s="6">
        <v>3.68018</v>
      </c>
      <c r="O126" s="6">
        <v>3.68018</v>
      </c>
      <c r="P126" s="6">
        <v>0</v>
      </c>
      <c r="Q126" s="4" t="s">
        <v>26</v>
      </c>
      <c r="R126" s="4">
        <v>0</v>
      </c>
      <c r="S126" s="6">
        <v>0</v>
      </c>
      <c r="T126" s="6">
        <v>21</v>
      </c>
      <c r="U126" s="6">
        <v>83</v>
      </c>
      <c r="V126" s="6">
        <f>IF(ISERROR(VLOOKUP($S$126,'TAR FIN'!$A$1:$O$92,15,0)),0,VLOOKUP($S$126,'TAR FIN'!$A$1:$O$92,15,0))</f>
        <v>0</v>
      </c>
      <c r="W126" s="6">
        <f>IF(ISERROR(VLOOKUP($T$126,'TAR FIN'!$A$1:$O$92,15,0)),0,VLOOKUP($T$126,'TAR FIN'!$A$1:$O$92,15,0))</f>
        <v>789.62</v>
      </c>
      <c r="X126" s="6">
        <f>IF(ISERROR(VLOOKUP($U$126,'TAR FIN'!$A$1:$O$92,15,0)),0,VLOOKUP($U$126,'TAR FIN'!$A$1:$O$92,15,0))</f>
        <v>488.15</v>
      </c>
      <c r="Y126" s="6"/>
      <c r="Z126" s="6">
        <f ca="1">('TUSD BE'!$AM$15+'TUSD BF_350'!$AM$15+'TUSD CVA'!$AM$15)*1</f>
        <v>911.84</v>
      </c>
      <c r="AA126" s="6">
        <f ca="1">('TE BE'!$AB$7+'TE BF_350'!$AB$7+'TE CVA'!$AB$7)*1</f>
        <v>399.84</v>
      </c>
      <c r="AB126" s="6">
        <f>$K$126*$V$126</f>
        <v>0</v>
      </c>
      <c r="AC126" s="6">
        <f>$M$126*$W$126</f>
        <v>2905.9437315999999</v>
      </c>
      <c r="AD126" s="6">
        <f>$O$126*$X$126</f>
        <v>1796.479867</v>
      </c>
      <c r="AE126" s="6">
        <f>$K$126*$Y$126</f>
        <v>0</v>
      </c>
      <c r="AF126" s="6">
        <f ca="1">$M$126*$Z$126</f>
        <v>3355.7353312</v>
      </c>
      <c r="AG126" s="6">
        <f ca="1">$O$126*$AA$126</f>
        <v>1471.4831712</v>
      </c>
    </row>
    <row r="127" spans="1:33" ht="11.25" customHeight="1" x14ac:dyDescent="0.3">
      <c r="A127" s="4" t="s">
        <v>27</v>
      </c>
      <c r="B127" s="4" t="s">
        <v>34</v>
      </c>
      <c r="C127" s="4" t="s">
        <v>35</v>
      </c>
      <c r="D127" s="4" t="s">
        <v>40</v>
      </c>
      <c r="E127" s="4" t="s">
        <v>25</v>
      </c>
      <c r="F127" s="4" t="s">
        <v>25</v>
      </c>
      <c r="G127" s="4" t="s">
        <v>25</v>
      </c>
      <c r="H127" s="4" t="s">
        <v>36</v>
      </c>
      <c r="I127" s="5">
        <v>44470</v>
      </c>
      <c r="J127" s="6">
        <v>0</v>
      </c>
      <c r="K127" s="6">
        <v>0</v>
      </c>
      <c r="L127" s="6">
        <v>0.80769999999999997</v>
      </c>
      <c r="M127" s="6">
        <v>0.80769999999999997</v>
      </c>
      <c r="N127" s="6">
        <v>0.80769999999999997</v>
      </c>
      <c r="O127" s="6">
        <v>0.80769999999999997</v>
      </c>
      <c r="P127" s="6">
        <v>0</v>
      </c>
      <c r="Q127" s="4" t="s">
        <v>26</v>
      </c>
      <c r="R127" s="4">
        <v>0</v>
      </c>
      <c r="S127" s="6">
        <v>0</v>
      </c>
      <c r="T127" s="6">
        <v>21</v>
      </c>
      <c r="U127" s="6">
        <v>83</v>
      </c>
      <c r="V127" s="6">
        <f>IF(ISERROR(VLOOKUP($S$127,'TAR FIN'!$A$1:$O$92,15,0)),0,VLOOKUP($S$127,'TAR FIN'!$A$1:$O$92,15,0))</f>
        <v>0</v>
      </c>
      <c r="W127" s="6">
        <f>IF(ISERROR(VLOOKUP($T$127,'TAR FIN'!$A$1:$O$92,15,0)),0,VLOOKUP($T$127,'TAR FIN'!$A$1:$O$92,15,0))</f>
        <v>789.62</v>
      </c>
      <c r="X127" s="6">
        <f>IF(ISERROR(VLOOKUP($U$127,'TAR FIN'!$A$1:$O$92,15,0)),0,VLOOKUP($U$127,'TAR FIN'!$A$1:$O$92,15,0))</f>
        <v>488.15</v>
      </c>
      <c r="Y127" s="6"/>
      <c r="Z127" s="6">
        <f ca="1">('TUSD BE'!$AM$15+'TUSD BF_350'!$AM$15+'TUSD CVA'!$AM$15)*1</f>
        <v>911.84</v>
      </c>
      <c r="AA127" s="6">
        <f ca="1">('TE BE'!$AB$7+'TE BF_350'!$AB$7+'TE CVA'!$AB$7)*1</f>
        <v>399.84</v>
      </c>
      <c r="AB127" s="6">
        <f>$K$127*$V$127</f>
        <v>0</v>
      </c>
      <c r="AC127" s="6">
        <f>$M$127*$W$127</f>
        <v>637.77607399999999</v>
      </c>
      <c r="AD127" s="6">
        <f>$O$127*$X$127</f>
        <v>394.27875499999999</v>
      </c>
      <c r="AE127" s="6">
        <f>$K$127*$Y$127</f>
        <v>0</v>
      </c>
      <c r="AF127" s="6">
        <f ca="1">$M$127*$Z$127</f>
        <v>736.49316799999997</v>
      </c>
      <c r="AG127" s="6">
        <f ca="1">$O$127*$AA$127</f>
        <v>322.95076799999998</v>
      </c>
    </row>
    <row r="128" spans="1:33" ht="11.25" customHeight="1" x14ac:dyDescent="0.3">
      <c r="A128" s="4" t="s">
        <v>21</v>
      </c>
      <c r="B128" s="4" t="s">
        <v>34</v>
      </c>
      <c r="C128" s="4" t="s">
        <v>35</v>
      </c>
      <c r="D128" s="4" t="s">
        <v>40</v>
      </c>
      <c r="E128" s="4" t="s">
        <v>25</v>
      </c>
      <c r="F128" s="4" t="s">
        <v>25</v>
      </c>
      <c r="G128" s="4" t="s">
        <v>25</v>
      </c>
      <c r="H128" s="4" t="s">
        <v>36</v>
      </c>
      <c r="I128" s="5">
        <v>44501</v>
      </c>
      <c r="J128" s="6">
        <v>0</v>
      </c>
      <c r="K128" s="6">
        <v>0</v>
      </c>
      <c r="L128" s="6">
        <v>4.1459999999999999</v>
      </c>
      <c r="M128" s="6">
        <v>4.1459999999999999</v>
      </c>
      <c r="N128" s="6">
        <v>4.1459999999999999</v>
      </c>
      <c r="O128" s="6">
        <v>4.1459999999999999</v>
      </c>
      <c r="P128" s="6">
        <v>0</v>
      </c>
      <c r="Q128" s="4" t="s">
        <v>26</v>
      </c>
      <c r="R128" s="4">
        <v>0</v>
      </c>
      <c r="S128" s="6">
        <v>0</v>
      </c>
      <c r="T128" s="6">
        <v>21</v>
      </c>
      <c r="U128" s="6">
        <v>83</v>
      </c>
      <c r="V128" s="6">
        <f>IF(ISERROR(VLOOKUP($S$128,'TAR FIN'!$A$1:$O$92,15,0)),0,VLOOKUP($S$128,'TAR FIN'!$A$1:$O$92,15,0))</f>
        <v>0</v>
      </c>
      <c r="W128" s="6">
        <f>IF(ISERROR(VLOOKUP($T$128,'TAR FIN'!$A$1:$O$92,15,0)),0,VLOOKUP($T$128,'TAR FIN'!$A$1:$O$92,15,0))</f>
        <v>789.62</v>
      </c>
      <c r="X128" s="6">
        <f>IF(ISERROR(VLOOKUP($U$128,'TAR FIN'!$A$1:$O$92,15,0)),0,VLOOKUP($U$128,'TAR FIN'!$A$1:$O$92,15,0))</f>
        <v>488.15</v>
      </c>
      <c r="Y128" s="6"/>
      <c r="Z128" s="6">
        <f ca="1">('TUSD BE'!$AM$15+'TUSD BF_350'!$AM$15+'TUSD CVA'!$AM$15)*1</f>
        <v>911.84</v>
      </c>
      <c r="AA128" s="6">
        <f ca="1">('TE BE'!$AB$7+'TE BF_350'!$AB$7+'TE CVA'!$AB$7)*1</f>
        <v>399.84</v>
      </c>
      <c r="AB128" s="6">
        <f>$K$128*$V$128</f>
        <v>0</v>
      </c>
      <c r="AC128" s="6">
        <f>$M$128*$W$128</f>
        <v>3273.7645199999997</v>
      </c>
      <c r="AD128" s="6">
        <f>$O$128*$X$128</f>
        <v>2023.8698999999999</v>
      </c>
      <c r="AE128" s="6">
        <f>$K$128*$Y$128</f>
        <v>0</v>
      </c>
      <c r="AF128" s="6">
        <f ca="1">$M$128*$Z$128</f>
        <v>3780.48864</v>
      </c>
      <c r="AG128" s="6">
        <f ca="1">$O$128*$AA$128</f>
        <v>1657.7366399999999</v>
      </c>
    </row>
    <row r="129" spans="1:33" ht="11.25" customHeight="1" x14ac:dyDescent="0.3">
      <c r="A129" s="4" t="s">
        <v>27</v>
      </c>
      <c r="B129" s="4" t="s">
        <v>34</v>
      </c>
      <c r="C129" s="4" t="s">
        <v>35</v>
      </c>
      <c r="D129" s="4" t="s">
        <v>40</v>
      </c>
      <c r="E129" s="4" t="s">
        <v>25</v>
      </c>
      <c r="F129" s="4" t="s">
        <v>25</v>
      </c>
      <c r="G129" s="4" t="s">
        <v>25</v>
      </c>
      <c r="H129" s="4" t="s">
        <v>36</v>
      </c>
      <c r="I129" s="5">
        <v>44501</v>
      </c>
      <c r="J129" s="6">
        <v>0</v>
      </c>
      <c r="K129" s="6">
        <v>0</v>
      </c>
      <c r="L129" s="6">
        <v>0.97399999999999998</v>
      </c>
      <c r="M129" s="6">
        <v>0.97399999999999998</v>
      </c>
      <c r="N129" s="6">
        <v>0.97399999999999998</v>
      </c>
      <c r="O129" s="6">
        <v>0.97399999999999998</v>
      </c>
      <c r="P129" s="6">
        <v>0</v>
      </c>
      <c r="Q129" s="4" t="s">
        <v>26</v>
      </c>
      <c r="R129" s="4">
        <v>0</v>
      </c>
      <c r="S129" s="6">
        <v>0</v>
      </c>
      <c r="T129" s="6">
        <v>21</v>
      </c>
      <c r="U129" s="6">
        <v>83</v>
      </c>
      <c r="V129" s="6">
        <f>IF(ISERROR(VLOOKUP($S$129,'TAR FIN'!$A$1:$O$92,15,0)),0,VLOOKUP($S$129,'TAR FIN'!$A$1:$O$92,15,0))</f>
        <v>0</v>
      </c>
      <c r="W129" s="6">
        <f>IF(ISERROR(VLOOKUP($T$129,'TAR FIN'!$A$1:$O$92,15,0)),0,VLOOKUP($T$129,'TAR FIN'!$A$1:$O$92,15,0))</f>
        <v>789.62</v>
      </c>
      <c r="X129" s="6">
        <f>IF(ISERROR(VLOOKUP($U$129,'TAR FIN'!$A$1:$O$92,15,0)),0,VLOOKUP($U$129,'TAR FIN'!$A$1:$O$92,15,0))</f>
        <v>488.15</v>
      </c>
      <c r="Y129" s="6"/>
      <c r="Z129" s="6">
        <f ca="1">('TUSD BE'!$AM$15+'TUSD BF_350'!$AM$15+'TUSD CVA'!$AM$15)*1</f>
        <v>911.84</v>
      </c>
      <c r="AA129" s="6">
        <f ca="1">('TE BE'!$AB$7+'TE BF_350'!$AB$7+'TE CVA'!$AB$7)*1</f>
        <v>399.84</v>
      </c>
      <c r="AB129" s="6">
        <f>$K$129*$V$129</f>
        <v>0</v>
      </c>
      <c r="AC129" s="6">
        <f>$M$129*$W$129</f>
        <v>769.08987999999999</v>
      </c>
      <c r="AD129" s="6">
        <f>$O$129*$X$129</f>
        <v>475.45809999999994</v>
      </c>
      <c r="AE129" s="6">
        <f>$K$129*$Y$129</f>
        <v>0</v>
      </c>
      <c r="AF129" s="6">
        <f ca="1">$M$129*$Z$129</f>
        <v>888.13216</v>
      </c>
      <c r="AG129" s="6">
        <f ca="1">$O$129*$AA$129</f>
        <v>389.44415999999995</v>
      </c>
    </row>
    <row r="130" spans="1:33" ht="11.25" customHeight="1" x14ac:dyDescent="0.3">
      <c r="A130" s="4" t="s">
        <v>21</v>
      </c>
      <c r="B130" s="4" t="s">
        <v>34</v>
      </c>
      <c r="C130" s="4" t="s">
        <v>35</v>
      </c>
      <c r="D130" s="4" t="s">
        <v>40</v>
      </c>
      <c r="E130" s="4" t="s">
        <v>25</v>
      </c>
      <c r="F130" s="4" t="s">
        <v>25</v>
      </c>
      <c r="G130" s="4" t="s">
        <v>25</v>
      </c>
      <c r="H130" s="4" t="s">
        <v>36</v>
      </c>
      <c r="I130" s="5">
        <v>44531</v>
      </c>
      <c r="J130" s="6">
        <v>0</v>
      </c>
      <c r="K130" s="6">
        <v>0</v>
      </c>
      <c r="L130" s="6">
        <v>5.6028099999999998</v>
      </c>
      <c r="M130" s="6">
        <v>5.6028099999999998</v>
      </c>
      <c r="N130" s="6">
        <v>5.6028099999999998</v>
      </c>
      <c r="O130" s="6">
        <v>5.6028099999999998</v>
      </c>
      <c r="P130" s="6">
        <v>0</v>
      </c>
      <c r="Q130" s="4" t="s">
        <v>26</v>
      </c>
      <c r="R130" s="4">
        <v>0</v>
      </c>
      <c r="S130" s="6">
        <v>0</v>
      </c>
      <c r="T130" s="6">
        <v>21</v>
      </c>
      <c r="U130" s="6">
        <v>83</v>
      </c>
      <c r="V130" s="6">
        <f>IF(ISERROR(VLOOKUP($S$130,'TAR FIN'!$A$1:$O$92,15,0)),0,VLOOKUP($S$130,'TAR FIN'!$A$1:$O$92,15,0))</f>
        <v>0</v>
      </c>
      <c r="W130" s="6">
        <f>IF(ISERROR(VLOOKUP($T$130,'TAR FIN'!$A$1:$O$92,15,0)),0,VLOOKUP($T$130,'TAR FIN'!$A$1:$O$92,15,0))</f>
        <v>789.62</v>
      </c>
      <c r="X130" s="6">
        <f>IF(ISERROR(VLOOKUP($U$130,'TAR FIN'!$A$1:$O$92,15,0)),0,VLOOKUP($U$130,'TAR FIN'!$A$1:$O$92,15,0))</f>
        <v>488.15</v>
      </c>
      <c r="Y130" s="6"/>
      <c r="Z130" s="6">
        <f ca="1">('TUSD BE'!$AM$15+'TUSD BF_350'!$AM$15+'TUSD CVA'!$AM$15)*1</f>
        <v>911.84</v>
      </c>
      <c r="AA130" s="6">
        <f ca="1">('TE BE'!$AB$7+'TE BF_350'!$AB$7+'TE CVA'!$AB$7)*1</f>
        <v>399.84</v>
      </c>
      <c r="AB130" s="6">
        <f>$K$130*$V$130</f>
        <v>0</v>
      </c>
      <c r="AC130" s="6">
        <f>$M$130*$W$130</f>
        <v>4424.0908321999996</v>
      </c>
      <c r="AD130" s="6">
        <f>$O$130*$X$130</f>
        <v>2735.0117014999996</v>
      </c>
      <c r="AE130" s="6">
        <f>$K$130*$Y$130</f>
        <v>0</v>
      </c>
      <c r="AF130" s="6">
        <f ca="1">$M$130*$Z$130</f>
        <v>5108.8662703999998</v>
      </c>
      <c r="AG130" s="6">
        <f ca="1">$O$130*$AA$130</f>
        <v>2240.2275503999999</v>
      </c>
    </row>
    <row r="131" spans="1:33" ht="11.25" customHeight="1" x14ac:dyDescent="0.3">
      <c r="A131" s="4" t="s">
        <v>27</v>
      </c>
      <c r="B131" s="4" t="s">
        <v>34</v>
      </c>
      <c r="C131" s="4" t="s">
        <v>35</v>
      </c>
      <c r="D131" s="4" t="s">
        <v>40</v>
      </c>
      <c r="E131" s="4" t="s">
        <v>25</v>
      </c>
      <c r="F131" s="4" t="s">
        <v>25</v>
      </c>
      <c r="G131" s="4" t="s">
        <v>25</v>
      </c>
      <c r="H131" s="4" t="s">
        <v>36</v>
      </c>
      <c r="I131" s="5">
        <v>44531</v>
      </c>
      <c r="J131" s="6">
        <v>0</v>
      </c>
      <c r="K131" s="6">
        <v>0</v>
      </c>
      <c r="L131" s="6">
        <v>1.288</v>
      </c>
      <c r="M131" s="6">
        <v>1.288</v>
      </c>
      <c r="N131" s="6">
        <v>1.288</v>
      </c>
      <c r="O131" s="6">
        <v>1.288</v>
      </c>
      <c r="P131" s="6">
        <v>0</v>
      </c>
      <c r="Q131" s="4" t="s">
        <v>26</v>
      </c>
      <c r="R131" s="4">
        <v>0</v>
      </c>
      <c r="S131" s="6">
        <v>0</v>
      </c>
      <c r="T131" s="6">
        <v>21</v>
      </c>
      <c r="U131" s="6">
        <v>83</v>
      </c>
      <c r="V131" s="6">
        <f>IF(ISERROR(VLOOKUP($S$131,'TAR FIN'!$A$1:$O$92,15,0)),0,VLOOKUP($S$131,'TAR FIN'!$A$1:$O$92,15,0))</f>
        <v>0</v>
      </c>
      <c r="W131" s="6">
        <f>IF(ISERROR(VLOOKUP($T$131,'TAR FIN'!$A$1:$O$92,15,0)),0,VLOOKUP($T$131,'TAR FIN'!$A$1:$O$92,15,0))</f>
        <v>789.62</v>
      </c>
      <c r="X131" s="6">
        <f>IF(ISERROR(VLOOKUP($U$131,'TAR FIN'!$A$1:$O$92,15,0)),0,VLOOKUP($U$131,'TAR FIN'!$A$1:$O$92,15,0))</f>
        <v>488.15</v>
      </c>
      <c r="Y131" s="6"/>
      <c r="Z131" s="6">
        <f ca="1">('TUSD BE'!$AM$15+'TUSD BF_350'!$AM$15+'TUSD CVA'!$AM$15)*1</f>
        <v>911.84</v>
      </c>
      <c r="AA131" s="6">
        <f ca="1">('TE BE'!$AB$7+'TE BF_350'!$AB$7+'TE CVA'!$AB$7)*1</f>
        <v>399.84</v>
      </c>
      <c r="AB131" s="6">
        <f>$K$131*$V$131</f>
        <v>0</v>
      </c>
      <c r="AC131" s="6">
        <f>$M$131*$W$131</f>
        <v>1017.03056</v>
      </c>
      <c r="AD131" s="6">
        <f>$O$131*$X$131</f>
        <v>628.73720000000003</v>
      </c>
      <c r="AE131" s="6">
        <f>$K$131*$Y$131</f>
        <v>0</v>
      </c>
      <c r="AF131" s="6">
        <f ca="1">$M$131*$Z$131</f>
        <v>1174.44992</v>
      </c>
      <c r="AG131" s="6">
        <f ca="1">$O$131*$AA$131</f>
        <v>514.99392</v>
      </c>
    </row>
    <row r="132" spans="1:33" ht="11.25" customHeight="1" x14ac:dyDescent="0.3">
      <c r="A132" s="4" t="s">
        <v>21</v>
      </c>
      <c r="B132" s="4" t="s">
        <v>34</v>
      </c>
      <c r="C132" s="4" t="s">
        <v>35</v>
      </c>
      <c r="D132" s="4" t="s">
        <v>40</v>
      </c>
      <c r="E132" s="4" t="s">
        <v>25</v>
      </c>
      <c r="F132" s="4" t="s">
        <v>25</v>
      </c>
      <c r="G132" s="4" t="s">
        <v>25</v>
      </c>
      <c r="H132" s="4" t="s">
        <v>36</v>
      </c>
      <c r="I132" s="5">
        <v>44562</v>
      </c>
      <c r="J132" s="6">
        <v>0</v>
      </c>
      <c r="K132" s="6">
        <v>0</v>
      </c>
      <c r="L132" s="6">
        <v>5.6550000000000002</v>
      </c>
      <c r="M132" s="6">
        <v>5.6550000000000002</v>
      </c>
      <c r="N132" s="6">
        <v>5.6550000000000002</v>
      </c>
      <c r="O132" s="6">
        <v>5.6550000000000002</v>
      </c>
      <c r="P132" s="6">
        <v>0</v>
      </c>
      <c r="Q132" s="4" t="s">
        <v>26</v>
      </c>
      <c r="R132" s="4">
        <v>0</v>
      </c>
      <c r="S132" s="6">
        <v>0</v>
      </c>
      <c r="T132" s="6">
        <v>21</v>
      </c>
      <c r="U132" s="6">
        <v>83</v>
      </c>
      <c r="V132" s="6">
        <f>IF(ISERROR(VLOOKUP($S$132,'TAR FIN'!$A$1:$O$92,15,0)),0,VLOOKUP($S$132,'TAR FIN'!$A$1:$O$92,15,0))</f>
        <v>0</v>
      </c>
      <c r="W132" s="6">
        <f>IF(ISERROR(VLOOKUP($T$132,'TAR FIN'!$A$1:$O$92,15,0)),0,VLOOKUP($T$132,'TAR FIN'!$A$1:$O$92,15,0))</f>
        <v>789.62</v>
      </c>
      <c r="X132" s="6">
        <f>IF(ISERROR(VLOOKUP($U$132,'TAR FIN'!$A$1:$O$92,15,0)),0,VLOOKUP($U$132,'TAR FIN'!$A$1:$O$92,15,0))</f>
        <v>488.15</v>
      </c>
      <c r="Y132" s="6"/>
      <c r="Z132" s="6">
        <f ca="1">('TUSD BE'!$AM$15+'TUSD BF_350'!$AM$15+'TUSD CVA'!$AM$15)*1</f>
        <v>911.84</v>
      </c>
      <c r="AA132" s="6">
        <f ca="1">('TE BE'!$AB$7+'TE BF_350'!$AB$7+'TE CVA'!$AB$7)*1</f>
        <v>399.84</v>
      </c>
      <c r="AB132" s="6">
        <f>$K$132*$V$132</f>
        <v>0</v>
      </c>
      <c r="AC132" s="6">
        <f>$M$132*$W$132</f>
        <v>4465.3011000000006</v>
      </c>
      <c r="AD132" s="6">
        <f>$O$132*$X$132</f>
        <v>2760.4882499999999</v>
      </c>
      <c r="AE132" s="6">
        <f>$K$132*$Y$132</f>
        <v>0</v>
      </c>
      <c r="AF132" s="6">
        <f ca="1">$M$132*$Z$132</f>
        <v>5156.4552000000003</v>
      </c>
      <c r="AG132" s="6">
        <f ca="1">$O$132*$AA$132</f>
        <v>2261.0951999999997</v>
      </c>
    </row>
    <row r="133" spans="1:33" ht="11.25" customHeight="1" x14ac:dyDescent="0.3">
      <c r="A133" s="4" t="s">
        <v>27</v>
      </c>
      <c r="B133" s="4" t="s">
        <v>34</v>
      </c>
      <c r="C133" s="4" t="s">
        <v>35</v>
      </c>
      <c r="D133" s="4" t="s">
        <v>40</v>
      </c>
      <c r="E133" s="4" t="s">
        <v>25</v>
      </c>
      <c r="F133" s="4" t="s">
        <v>25</v>
      </c>
      <c r="G133" s="4" t="s">
        <v>25</v>
      </c>
      <c r="H133" s="4" t="s">
        <v>36</v>
      </c>
      <c r="I133" s="5">
        <v>44562</v>
      </c>
      <c r="J133" s="6">
        <v>0</v>
      </c>
      <c r="K133" s="6">
        <v>0</v>
      </c>
      <c r="L133" s="6">
        <v>1.835</v>
      </c>
      <c r="M133" s="6">
        <v>1.835</v>
      </c>
      <c r="N133" s="6">
        <v>1.835</v>
      </c>
      <c r="O133" s="6">
        <v>1.835</v>
      </c>
      <c r="P133" s="6">
        <v>0</v>
      </c>
      <c r="Q133" s="4" t="s">
        <v>26</v>
      </c>
      <c r="R133" s="4">
        <v>0</v>
      </c>
      <c r="S133" s="6">
        <v>0</v>
      </c>
      <c r="T133" s="6">
        <v>21</v>
      </c>
      <c r="U133" s="6">
        <v>83</v>
      </c>
      <c r="V133" s="6">
        <f>IF(ISERROR(VLOOKUP($S$133,'TAR FIN'!$A$1:$O$92,15,0)),0,VLOOKUP($S$133,'TAR FIN'!$A$1:$O$92,15,0))</f>
        <v>0</v>
      </c>
      <c r="W133" s="6">
        <f>IF(ISERROR(VLOOKUP($T$133,'TAR FIN'!$A$1:$O$92,15,0)),0,VLOOKUP($T$133,'TAR FIN'!$A$1:$O$92,15,0))</f>
        <v>789.62</v>
      </c>
      <c r="X133" s="6">
        <f>IF(ISERROR(VLOOKUP($U$133,'TAR FIN'!$A$1:$O$92,15,0)),0,VLOOKUP($U$133,'TAR FIN'!$A$1:$O$92,15,0))</f>
        <v>488.15</v>
      </c>
      <c r="Y133" s="6"/>
      <c r="Z133" s="6">
        <f ca="1">('TUSD BE'!$AM$15+'TUSD BF_350'!$AM$15+'TUSD CVA'!$AM$15)*1</f>
        <v>911.84</v>
      </c>
      <c r="AA133" s="6">
        <f ca="1">('TE BE'!$AB$7+'TE BF_350'!$AB$7+'TE CVA'!$AB$7)*1</f>
        <v>399.84</v>
      </c>
      <c r="AB133" s="6">
        <f>$K$133*$V$133</f>
        <v>0</v>
      </c>
      <c r="AC133" s="6">
        <f>$M$133*$W$133</f>
        <v>1448.9527</v>
      </c>
      <c r="AD133" s="6">
        <f>$O$133*$X$133</f>
        <v>895.75524999999993</v>
      </c>
      <c r="AE133" s="6">
        <f>$K$133*$Y$133</f>
        <v>0</v>
      </c>
      <c r="AF133" s="6">
        <f ca="1">$M$133*$Z$133</f>
        <v>1673.2264</v>
      </c>
      <c r="AG133" s="6">
        <f ca="1">$O$133*$AA$133</f>
        <v>733.70639999999992</v>
      </c>
    </row>
    <row r="134" spans="1:33" ht="11.25" customHeight="1" x14ac:dyDescent="0.3">
      <c r="A134" s="4" t="s">
        <v>21</v>
      </c>
      <c r="B134" s="4" t="s">
        <v>34</v>
      </c>
      <c r="C134" s="4" t="s">
        <v>35</v>
      </c>
      <c r="D134" s="4" t="s">
        <v>40</v>
      </c>
      <c r="E134" s="4" t="s">
        <v>25</v>
      </c>
      <c r="F134" s="4" t="s">
        <v>25</v>
      </c>
      <c r="G134" s="4" t="s">
        <v>25</v>
      </c>
      <c r="H134" s="4" t="s">
        <v>36</v>
      </c>
      <c r="I134" s="5">
        <v>44593</v>
      </c>
      <c r="J134" s="6">
        <v>0</v>
      </c>
      <c r="K134" s="6">
        <v>0</v>
      </c>
      <c r="L134" s="6">
        <v>4.7380000000000004</v>
      </c>
      <c r="M134" s="6">
        <v>4.7380000000000004</v>
      </c>
      <c r="N134" s="6">
        <v>4.7380000000000004</v>
      </c>
      <c r="O134" s="6">
        <v>4.7380000000000004</v>
      </c>
      <c r="P134" s="6">
        <v>0</v>
      </c>
      <c r="Q134" s="4" t="s">
        <v>26</v>
      </c>
      <c r="R134" s="4">
        <v>0</v>
      </c>
      <c r="S134" s="6">
        <v>0</v>
      </c>
      <c r="T134" s="6">
        <v>21</v>
      </c>
      <c r="U134" s="6">
        <v>83</v>
      </c>
      <c r="V134" s="6">
        <f>IF(ISERROR(VLOOKUP($S$134,'TAR FIN'!$A$1:$O$92,15,0)),0,VLOOKUP($S$134,'TAR FIN'!$A$1:$O$92,15,0))</f>
        <v>0</v>
      </c>
      <c r="W134" s="6">
        <f>IF(ISERROR(VLOOKUP($T$134,'TAR FIN'!$A$1:$O$92,15,0)),0,VLOOKUP($T$134,'TAR FIN'!$A$1:$O$92,15,0))</f>
        <v>789.62</v>
      </c>
      <c r="X134" s="6">
        <f>IF(ISERROR(VLOOKUP($U$134,'TAR FIN'!$A$1:$O$92,15,0)),0,VLOOKUP($U$134,'TAR FIN'!$A$1:$O$92,15,0))</f>
        <v>488.15</v>
      </c>
      <c r="Y134" s="6"/>
      <c r="Z134" s="6">
        <f ca="1">('TUSD BE'!$AM$15+'TUSD BF_350'!$AM$15+'TUSD CVA'!$AM$15)*1</f>
        <v>911.84</v>
      </c>
      <c r="AA134" s="6">
        <f ca="1">('TE BE'!$AB$7+'TE BF_350'!$AB$7+'TE CVA'!$AB$7)*1</f>
        <v>399.84</v>
      </c>
      <c r="AB134" s="6">
        <f>$K$134*$V$134</f>
        <v>0</v>
      </c>
      <c r="AC134" s="6">
        <f>$M$134*$W$134</f>
        <v>3741.2195600000005</v>
      </c>
      <c r="AD134" s="6">
        <f>$O$134*$X$134</f>
        <v>2312.8547000000003</v>
      </c>
      <c r="AE134" s="6">
        <f>$K$134*$Y$134</f>
        <v>0</v>
      </c>
      <c r="AF134" s="6">
        <f ca="1">$M$134*$Z$134</f>
        <v>4320.2979200000009</v>
      </c>
      <c r="AG134" s="6">
        <f ca="1">$O$134*$AA$134</f>
        <v>1894.44192</v>
      </c>
    </row>
    <row r="135" spans="1:33" ht="11.25" customHeight="1" x14ac:dyDescent="0.3">
      <c r="A135" s="4" t="s">
        <v>27</v>
      </c>
      <c r="B135" s="4" t="s">
        <v>34</v>
      </c>
      <c r="C135" s="4" t="s">
        <v>35</v>
      </c>
      <c r="D135" s="4" t="s">
        <v>40</v>
      </c>
      <c r="E135" s="4" t="s">
        <v>25</v>
      </c>
      <c r="F135" s="4" t="s">
        <v>25</v>
      </c>
      <c r="G135" s="4" t="s">
        <v>25</v>
      </c>
      <c r="H135" s="4" t="s">
        <v>36</v>
      </c>
      <c r="I135" s="5">
        <v>44593</v>
      </c>
      <c r="J135" s="6">
        <v>0</v>
      </c>
      <c r="K135" s="6">
        <v>0</v>
      </c>
      <c r="L135" s="6">
        <v>1.76458</v>
      </c>
      <c r="M135" s="6">
        <v>1.76458</v>
      </c>
      <c r="N135" s="6">
        <v>1.76458</v>
      </c>
      <c r="O135" s="6">
        <v>1.76458</v>
      </c>
      <c r="P135" s="6">
        <v>0</v>
      </c>
      <c r="Q135" s="4" t="s">
        <v>26</v>
      </c>
      <c r="R135" s="4">
        <v>0</v>
      </c>
      <c r="S135" s="6">
        <v>0</v>
      </c>
      <c r="T135" s="6">
        <v>21</v>
      </c>
      <c r="U135" s="6">
        <v>83</v>
      </c>
      <c r="V135" s="6">
        <f>IF(ISERROR(VLOOKUP($S$135,'TAR FIN'!$A$1:$O$92,15,0)),0,VLOOKUP($S$135,'TAR FIN'!$A$1:$O$92,15,0))</f>
        <v>0</v>
      </c>
      <c r="W135" s="6">
        <f>IF(ISERROR(VLOOKUP($T$135,'TAR FIN'!$A$1:$O$92,15,0)),0,VLOOKUP($T$135,'TAR FIN'!$A$1:$O$92,15,0))</f>
        <v>789.62</v>
      </c>
      <c r="X135" s="6">
        <f>IF(ISERROR(VLOOKUP($U$135,'TAR FIN'!$A$1:$O$92,15,0)),0,VLOOKUP($U$135,'TAR FIN'!$A$1:$O$92,15,0))</f>
        <v>488.15</v>
      </c>
      <c r="Y135" s="6"/>
      <c r="Z135" s="6">
        <f ca="1">('TUSD BE'!$AM$15+'TUSD BF_350'!$AM$15+'TUSD CVA'!$AM$15)*1</f>
        <v>911.84</v>
      </c>
      <c r="AA135" s="6">
        <f ca="1">('TE BE'!$AB$7+'TE BF_350'!$AB$7+'TE CVA'!$AB$7)*1</f>
        <v>399.84</v>
      </c>
      <c r="AB135" s="6">
        <f>$K$135*$V$135</f>
        <v>0</v>
      </c>
      <c r="AC135" s="6">
        <f>$M$135*$W$135</f>
        <v>1393.3476596</v>
      </c>
      <c r="AD135" s="6">
        <f>$O$135*$X$135</f>
        <v>861.379727</v>
      </c>
      <c r="AE135" s="6">
        <f>$K$135*$Y$135</f>
        <v>0</v>
      </c>
      <c r="AF135" s="6">
        <f ca="1">$M$135*$Z$135</f>
        <v>1609.0146272000002</v>
      </c>
      <c r="AG135" s="6">
        <f ca="1">$O$135*$AA$135</f>
        <v>705.54966719999993</v>
      </c>
    </row>
    <row r="136" spans="1:33" ht="11.25" customHeight="1" x14ac:dyDescent="0.3">
      <c r="A136" s="4" t="s">
        <v>21</v>
      </c>
      <c r="B136" s="4" t="s">
        <v>34</v>
      </c>
      <c r="C136" s="4" t="s">
        <v>35</v>
      </c>
      <c r="D136" s="4" t="s">
        <v>40</v>
      </c>
      <c r="E136" s="4" t="s">
        <v>25</v>
      </c>
      <c r="F136" s="4" t="s">
        <v>25</v>
      </c>
      <c r="G136" s="4" t="s">
        <v>25</v>
      </c>
      <c r="H136" s="4" t="s">
        <v>36</v>
      </c>
      <c r="I136" s="5">
        <v>44621</v>
      </c>
      <c r="J136" s="6">
        <v>0</v>
      </c>
      <c r="K136" s="6">
        <v>0</v>
      </c>
      <c r="L136" s="6">
        <v>4.5263299999999997</v>
      </c>
      <c r="M136" s="6">
        <v>4.5263299999999997</v>
      </c>
      <c r="N136" s="6">
        <v>4.5263299999999997</v>
      </c>
      <c r="O136" s="6">
        <v>4.5263299999999997</v>
      </c>
      <c r="P136" s="6">
        <v>0</v>
      </c>
      <c r="Q136" s="4" t="s">
        <v>26</v>
      </c>
      <c r="R136" s="4">
        <v>0</v>
      </c>
      <c r="S136" s="6">
        <v>0</v>
      </c>
      <c r="T136" s="6">
        <v>21</v>
      </c>
      <c r="U136" s="6">
        <v>83</v>
      </c>
      <c r="V136" s="6">
        <f>IF(ISERROR(VLOOKUP($S$136,'TAR FIN'!$A$1:$O$92,15,0)),0,VLOOKUP($S$136,'TAR FIN'!$A$1:$O$92,15,0))</f>
        <v>0</v>
      </c>
      <c r="W136" s="6">
        <f>IF(ISERROR(VLOOKUP($T$136,'TAR FIN'!$A$1:$O$92,15,0)),0,VLOOKUP($T$136,'TAR FIN'!$A$1:$O$92,15,0))</f>
        <v>789.62</v>
      </c>
      <c r="X136" s="6">
        <f>IF(ISERROR(VLOOKUP($U$136,'TAR FIN'!$A$1:$O$92,15,0)),0,VLOOKUP($U$136,'TAR FIN'!$A$1:$O$92,15,0))</f>
        <v>488.15</v>
      </c>
      <c r="Y136" s="6"/>
      <c r="Z136" s="6">
        <f ca="1">('TUSD BE'!$AM$15+'TUSD BF_350'!$AM$15+'TUSD CVA'!$AM$15)*1</f>
        <v>911.84</v>
      </c>
      <c r="AA136" s="6">
        <f ca="1">('TE BE'!$AB$7+'TE BF_350'!$AB$7+'TE CVA'!$AB$7)*1</f>
        <v>399.84</v>
      </c>
      <c r="AB136" s="6">
        <f>$K$136*$V$136</f>
        <v>0</v>
      </c>
      <c r="AC136" s="6">
        <f>$M$136*$W$136</f>
        <v>3574.0806945999998</v>
      </c>
      <c r="AD136" s="6">
        <f>$O$136*$X$136</f>
        <v>2209.5279894999999</v>
      </c>
      <c r="AE136" s="6">
        <f>$K$136*$Y$136</f>
        <v>0</v>
      </c>
      <c r="AF136" s="6">
        <f ca="1">$M$136*$Z$136</f>
        <v>4127.2887472000002</v>
      </c>
      <c r="AG136" s="6">
        <f ca="1">$O$136*$AA$136</f>
        <v>1809.8077871999999</v>
      </c>
    </row>
    <row r="137" spans="1:33" ht="11.25" customHeight="1" x14ac:dyDescent="0.3">
      <c r="A137" s="4" t="s">
        <v>27</v>
      </c>
      <c r="B137" s="4" t="s">
        <v>34</v>
      </c>
      <c r="C137" s="4" t="s">
        <v>35</v>
      </c>
      <c r="D137" s="4" t="s">
        <v>40</v>
      </c>
      <c r="E137" s="4" t="s">
        <v>25</v>
      </c>
      <c r="F137" s="4" t="s">
        <v>25</v>
      </c>
      <c r="G137" s="4" t="s">
        <v>25</v>
      </c>
      <c r="H137" s="4" t="s">
        <v>36</v>
      </c>
      <c r="I137" s="5">
        <v>44621</v>
      </c>
      <c r="J137" s="6">
        <v>0</v>
      </c>
      <c r="K137" s="6">
        <v>0</v>
      </c>
      <c r="L137" s="6">
        <v>1.5145900000000001</v>
      </c>
      <c r="M137" s="6">
        <v>1.5145900000000001</v>
      </c>
      <c r="N137" s="6">
        <v>1.5145900000000001</v>
      </c>
      <c r="O137" s="6">
        <v>1.5145900000000001</v>
      </c>
      <c r="P137" s="6">
        <v>0</v>
      </c>
      <c r="Q137" s="4" t="s">
        <v>26</v>
      </c>
      <c r="R137" s="4">
        <v>0</v>
      </c>
      <c r="S137" s="6">
        <v>0</v>
      </c>
      <c r="T137" s="6">
        <v>21</v>
      </c>
      <c r="U137" s="6">
        <v>83</v>
      </c>
      <c r="V137" s="6">
        <f>IF(ISERROR(VLOOKUP($S$137,'TAR FIN'!$A$1:$O$92,15,0)),0,VLOOKUP($S$137,'TAR FIN'!$A$1:$O$92,15,0))</f>
        <v>0</v>
      </c>
      <c r="W137" s="6">
        <f>IF(ISERROR(VLOOKUP($T$137,'TAR FIN'!$A$1:$O$92,15,0)),0,VLOOKUP($T$137,'TAR FIN'!$A$1:$O$92,15,0))</f>
        <v>789.62</v>
      </c>
      <c r="X137" s="6">
        <f>IF(ISERROR(VLOOKUP($U$137,'TAR FIN'!$A$1:$O$92,15,0)),0,VLOOKUP($U$137,'TAR FIN'!$A$1:$O$92,15,0))</f>
        <v>488.15</v>
      </c>
      <c r="Y137" s="6"/>
      <c r="Z137" s="6">
        <f ca="1">('TUSD BE'!$AM$15+'TUSD BF_350'!$AM$15+'TUSD CVA'!$AM$15)*1</f>
        <v>911.84</v>
      </c>
      <c r="AA137" s="6">
        <f ca="1">('TE BE'!$AB$7+'TE BF_350'!$AB$7+'TE CVA'!$AB$7)*1</f>
        <v>399.84</v>
      </c>
      <c r="AB137" s="6">
        <f>$K$137*$V$137</f>
        <v>0</v>
      </c>
      <c r="AC137" s="6">
        <f>$M$137*$W$137</f>
        <v>1195.9505558000001</v>
      </c>
      <c r="AD137" s="6">
        <f>$O$137*$X$137</f>
        <v>739.34710849999999</v>
      </c>
      <c r="AE137" s="6">
        <f>$K$137*$Y$137</f>
        <v>0</v>
      </c>
      <c r="AF137" s="6">
        <f ca="1">$M$137*$Z$137</f>
        <v>1381.0637456000002</v>
      </c>
      <c r="AG137" s="6">
        <f ca="1">$O$137*$AA$137</f>
        <v>605.59366560000001</v>
      </c>
    </row>
    <row r="138" spans="1:33" ht="11.25" customHeight="1" x14ac:dyDescent="0.3">
      <c r="A138" s="4" t="s">
        <v>21</v>
      </c>
      <c r="B138" s="4" t="s">
        <v>34</v>
      </c>
      <c r="C138" s="4" t="s">
        <v>35</v>
      </c>
      <c r="D138" s="4" t="s">
        <v>40</v>
      </c>
      <c r="E138" s="4" t="s">
        <v>25</v>
      </c>
      <c r="F138" s="4" t="s">
        <v>25</v>
      </c>
      <c r="G138" s="4" t="s">
        <v>25</v>
      </c>
      <c r="H138" s="4" t="s">
        <v>36</v>
      </c>
      <c r="I138" s="5">
        <v>44652</v>
      </c>
      <c r="J138" s="6">
        <v>0</v>
      </c>
      <c r="K138" s="6">
        <v>0</v>
      </c>
      <c r="L138" s="6">
        <v>3.3103699999999998</v>
      </c>
      <c r="M138" s="6">
        <v>3.3103699999999998</v>
      </c>
      <c r="N138" s="6">
        <v>3.3103699999999998</v>
      </c>
      <c r="O138" s="6">
        <v>3.3103699999999998</v>
      </c>
      <c r="P138" s="6">
        <v>0</v>
      </c>
      <c r="Q138" s="4" t="s">
        <v>26</v>
      </c>
      <c r="R138" s="4">
        <v>0</v>
      </c>
      <c r="S138" s="6">
        <v>0</v>
      </c>
      <c r="T138" s="6">
        <v>21</v>
      </c>
      <c r="U138" s="6">
        <v>83</v>
      </c>
      <c r="V138" s="6">
        <f>IF(ISERROR(VLOOKUP($S$138,'TAR FIN'!$A$1:$O$92,15,0)),0,VLOOKUP($S$138,'TAR FIN'!$A$1:$O$92,15,0))</f>
        <v>0</v>
      </c>
      <c r="W138" s="6">
        <f>IF(ISERROR(VLOOKUP($T$138,'TAR FIN'!$A$1:$O$92,15,0)),0,VLOOKUP($T$138,'TAR FIN'!$A$1:$O$92,15,0))</f>
        <v>789.62</v>
      </c>
      <c r="X138" s="6">
        <f>IF(ISERROR(VLOOKUP($U$138,'TAR FIN'!$A$1:$O$92,15,0)),0,VLOOKUP($U$138,'TAR FIN'!$A$1:$O$92,15,0))</f>
        <v>488.15</v>
      </c>
      <c r="Y138" s="6"/>
      <c r="Z138" s="6">
        <f ca="1">('TUSD BE'!$AM$15+'TUSD BF_350'!$AM$15+'TUSD CVA'!$AM$15)*1</f>
        <v>911.84</v>
      </c>
      <c r="AA138" s="6">
        <f ca="1">('TE BE'!$AB$7+'TE BF_350'!$AB$7+'TE CVA'!$AB$7)*1</f>
        <v>399.84</v>
      </c>
      <c r="AB138" s="6">
        <f>$K$138*$V$138</f>
        <v>0</v>
      </c>
      <c r="AC138" s="6">
        <f>$M$138*$W$138</f>
        <v>2613.9343593999997</v>
      </c>
      <c r="AD138" s="6">
        <f>$O$138*$X$138</f>
        <v>1615.9571154999999</v>
      </c>
      <c r="AE138" s="6">
        <f>$K$138*$Y$138</f>
        <v>0</v>
      </c>
      <c r="AF138" s="6">
        <f ca="1">$M$138*$Z$138</f>
        <v>3018.5277808000001</v>
      </c>
      <c r="AG138" s="6">
        <f ca="1">$O$138*$AA$138</f>
        <v>1323.6183407999999</v>
      </c>
    </row>
    <row r="139" spans="1:33" ht="11.25" customHeight="1" x14ac:dyDescent="0.3">
      <c r="A139" s="4" t="s">
        <v>27</v>
      </c>
      <c r="B139" s="4" t="s">
        <v>34</v>
      </c>
      <c r="C139" s="4" t="s">
        <v>35</v>
      </c>
      <c r="D139" s="4" t="s">
        <v>40</v>
      </c>
      <c r="E139" s="4" t="s">
        <v>25</v>
      </c>
      <c r="F139" s="4" t="s">
        <v>25</v>
      </c>
      <c r="G139" s="4" t="s">
        <v>25</v>
      </c>
      <c r="H139" s="4" t="s">
        <v>36</v>
      </c>
      <c r="I139" s="5">
        <v>44652</v>
      </c>
      <c r="J139" s="6">
        <v>0</v>
      </c>
      <c r="K139" s="6">
        <v>0</v>
      </c>
      <c r="L139" s="6">
        <v>0.872</v>
      </c>
      <c r="M139" s="6">
        <v>0.872</v>
      </c>
      <c r="N139" s="6">
        <v>0.872</v>
      </c>
      <c r="O139" s="6">
        <v>0.872</v>
      </c>
      <c r="P139" s="6">
        <v>0</v>
      </c>
      <c r="Q139" s="4" t="s">
        <v>26</v>
      </c>
      <c r="R139" s="4">
        <v>0</v>
      </c>
      <c r="S139" s="6">
        <v>0</v>
      </c>
      <c r="T139" s="6">
        <v>21</v>
      </c>
      <c r="U139" s="6">
        <v>83</v>
      </c>
      <c r="V139" s="6">
        <f>IF(ISERROR(VLOOKUP($S$139,'TAR FIN'!$A$1:$O$92,15,0)),0,VLOOKUP($S$139,'TAR FIN'!$A$1:$O$92,15,0))</f>
        <v>0</v>
      </c>
      <c r="W139" s="6">
        <f>IF(ISERROR(VLOOKUP($T$139,'TAR FIN'!$A$1:$O$92,15,0)),0,VLOOKUP($T$139,'TAR FIN'!$A$1:$O$92,15,0))</f>
        <v>789.62</v>
      </c>
      <c r="X139" s="6">
        <f>IF(ISERROR(VLOOKUP($U$139,'TAR FIN'!$A$1:$O$92,15,0)),0,VLOOKUP($U$139,'TAR FIN'!$A$1:$O$92,15,0))</f>
        <v>488.15</v>
      </c>
      <c r="Y139" s="6"/>
      <c r="Z139" s="6">
        <f ca="1">('TUSD BE'!$AM$15+'TUSD BF_350'!$AM$15+'TUSD CVA'!$AM$15)*1</f>
        <v>911.84</v>
      </c>
      <c r="AA139" s="6">
        <f ca="1">('TE BE'!$AB$7+'TE BF_350'!$AB$7+'TE CVA'!$AB$7)*1</f>
        <v>399.84</v>
      </c>
      <c r="AB139" s="6">
        <f>$K$139*$V$139</f>
        <v>0</v>
      </c>
      <c r="AC139" s="6">
        <f>$M$139*$W$139</f>
        <v>688.54863999999998</v>
      </c>
      <c r="AD139" s="6">
        <f>$O$139*$X$139</f>
        <v>425.66679999999997</v>
      </c>
      <c r="AE139" s="6">
        <f>$K$139*$Y$139</f>
        <v>0</v>
      </c>
      <c r="AF139" s="6">
        <f ca="1">$M$139*$Z$139</f>
        <v>795.12448000000006</v>
      </c>
      <c r="AG139" s="6">
        <f ca="1">$O$139*$AA$139</f>
        <v>348.66047999999995</v>
      </c>
    </row>
    <row r="140" spans="1:33" ht="11.25" customHeight="1" x14ac:dyDescent="0.3">
      <c r="A140" s="4" t="s">
        <v>21</v>
      </c>
      <c r="B140" s="4" t="s">
        <v>34</v>
      </c>
      <c r="C140" s="4" t="s">
        <v>35</v>
      </c>
      <c r="D140" s="4" t="s">
        <v>40</v>
      </c>
      <c r="E140" s="4" t="s">
        <v>25</v>
      </c>
      <c r="F140" s="4" t="s">
        <v>25</v>
      </c>
      <c r="G140" s="4" t="s">
        <v>25</v>
      </c>
      <c r="H140" s="4" t="s">
        <v>36</v>
      </c>
      <c r="I140" s="5">
        <v>44682</v>
      </c>
      <c r="J140" s="6">
        <v>0</v>
      </c>
      <c r="K140" s="6">
        <v>0</v>
      </c>
      <c r="L140" s="6">
        <v>3.5286</v>
      </c>
      <c r="M140" s="6">
        <v>3.5286</v>
      </c>
      <c r="N140" s="6">
        <v>3.5286</v>
      </c>
      <c r="O140" s="6">
        <v>3.5286</v>
      </c>
      <c r="P140" s="6">
        <v>0</v>
      </c>
      <c r="Q140" s="4" t="s">
        <v>26</v>
      </c>
      <c r="R140" s="4">
        <v>0</v>
      </c>
      <c r="S140" s="6">
        <v>0</v>
      </c>
      <c r="T140" s="6">
        <v>21</v>
      </c>
      <c r="U140" s="6">
        <v>83</v>
      </c>
      <c r="V140" s="6">
        <f>IF(ISERROR(VLOOKUP($S$140,'TAR FIN'!$A$1:$O$92,15,0)),0,VLOOKUP($S$140,'TAR FIN'!$A$1:$O$92,15,0))</f>
        <v>0</v>
      </c>
      <c r="W140" s="6">
        <f>IF(ISERROR(VLOOKUP($T$140,'TAR FIN'!$A$1:$O$92,15,0)),0,VLOOKUP($T$140,'TAR FIN'!$A$1:$O$92,15,0))</f>
        <v>789.62</v>
      </c>
      <c r="X140" s="6">
        <f>IF(ISERROR(VLOOKUP($U$140,'TAR FIN'!$A$1:$O$92,15,0)),0,VLOOKUP($U$140,'TAR FIN'!$A$1:$O$92,15,0))</f>
        <v>488.15</v>
      </c>
      <c r="Y140" s="6"/>
      <c r="Z140" s="6">
        <f ca="1">('TUSD BE'!$AM$15+'TUSD BF_350'!$AM$15+'TUSD CVA'!$AM$15)*1</f>
        <v>911.84</v>
      </c>
      <c r="AA140" s="6">
        <f ca="1">('TE BE'!$AB$7+'TE BF_350'!$AB$7+'TE CVA'!$AB$7)*1</f>
        <v>399.84</v>
      </c>
      <c r="AB140" s="6">
        <f>$K$140*$V$140</f>
        <v>0</v>
      </c>
      <c r="AC140" s="6">
        <f>$M$140*$W$140</f>
        <v>2786.2531319999998</v>
      </c>
      <c r="AD140" s="6">
        <f>$O$140*$X$140</f>
        <v>1722.4860899999999</v>
      </c>
      <c r="AE140" s="6">
        <f>$K$140*$Y$140</f>
        <v>0</v>
      </c>
      <c r="AF140" s="6">
        <f ca="1">$M$140*$Z$140</f>
        <v>3217.5186240000003</v>
      </c>
      <c r="AG140" s="6">
        <f ca="1">$O$140*$AA$140</f>
        <v>1410.8754239999998</v>
      </c>
    </row>
    <row r="141" spans="1:33" ht="11.25" customHeight="1" x14ac:dyDescent="0.3">
      <c r="A141" s="4" t="s">
        <v>27</v>
      </c>
      <c r="B141" s="4" t="s">
        <v>34</v>
      </c>
      <c r="C141" s="4" t="s">
        <v>35</v>
      </c>
      <c r="D141" s="4" t="s">
        <v>40</v>
      </c>
      <c r="E141" s="4" t="s">
        <v>25</v>
      </c>
      <c r="F141" s="4" t="s">
        <v>25</v>
      </c>
      <c r="G141" s="4" t="s">
        <v>25</v>
      </c>
      <c r="H141" s="4" t="s">
        <v>36</v>
      </c>
      <c r="I141" s="5">
        <v>44682</v>
      </c>
      <c r="J141" s="6">
        <v>0</v>
      </c>
      <c r="K141" s="6">
        <v>0</v>
      </c>
      <c r="L141" s="6">
        <v>0.83333000000000002</v>
      </c>
      <c r="M141" s="6">
        <v>0.83333000000000002</v>
      </c>
      <c r="N141" s="6">
        <v>0.83333000000000002</v>
      </c>
      <c r="O141" s="6">
        <v>0.83333000000000002</v>
      </c>
      <c r="P141" s="6">
        <v>0</v>
      </c>
      <c r="Q141" s="4" t="s">
        <v>26</v>
      </c>
      <c r="R141" s="4">
        <v>0</v>
      </c>
      <c r="S141" s="6">
        <v>0</v>
      </c>
      <c r="T141" s="6">
        <v>21</v>
      </c>
      <c r="U141" s="6">
        <v>83</v>
      </c>
      <c r="V141" s="6">
        <f>IF(ISERROR(VLOOKUP($S$141,'TAR FIN'!$A$1:$O$92,15,0)),0,VLOOKUP($S$141,'TAR FIN'!$A$1:$O$92,15,0))</f>
        <v>0</v>
      </c>
      <c r="W141" s="6">
        <f>IF(ISERROR(VLOOKUP($T$141,'TAR FIN'!$A$1:$O$92,15,0)),0,VLOOKUP($T$141,'TAR FIN'!$A$1:$O$92,15,0))</f>
        <v>789.62</v>
      </c>
      <c r="X141" s="6">
        <f>IF(ISERROR(VLOOKUP($U$141,'TAR FIN'!$A$1:$O$92,15,0)),0,VLOOKUP($U$141,'TAR FIN'!$A$1:$O$92,15,0))</f>
        <v>488.15</v>
      </c>
      <c r="Y141" s="6"/>
      <c r="Z141" s="6">
        <f ca="1">('TUSD BE'!$AM$15+'TUSD BF_350'!$AM$15+'TUSD CVA'!$AM$15)*1</f>
        <v>911.84</v>
      </c>
      <c r="AA141" s="6">
        <f ca="1">('TE BE'!$AB$7+'TE BF_350'!$AB$7+'TE CVA'!$AB$7)*1</f>
        <v>399.84</v>
      </c>
      <c r="AB141" s="6">
        <f>$K$141*$V$141</f>
        <v>0</v>
      </c>
      <c r="AC141" s="6">
        <f>$M$141*$W$141</f>
        <v>658.01403460000006</v>
      </c>
      <c r="AD141" s="6">
        <f>$O$141*$X$141</f>
        <v>406.79003949999998</v>
      </c>
      <c r="AE141" s="6">
        <f>$K$141*$Y$141</f>
        <v>0</v>
      </c>
      <c r="AF141" s="6">
        <f ca="1">$M$141*$Z$141</f>
        <v>759.8636272</v>
      </c>
      <c r="AG141" s="6">
        <f ca="1">$O$141*$AA$141</f>
        <v>333.19866719999999</v>
      </c>
    </row>
    <row r="142" spans="1:33" ht="11.25" customHeight="1" x14ac:dyDescent="0.3">
      <c r="A142" s="4" t="s">
        <v>21</v>
      </c>
      <c r="B142" s="4" t="s">
        <v>34</v>
      </c>
      <c r="C142" s="4" t="s">
        <v>35</v>
      </c>
      <c r="D142" s="4" t="s">
        <v>40</v>
      </c>
      <c r="E142" s="4" t="s">
        <v>25</v>
      </c>
      <c r="F142" s="4" t="s">
        <v>25</v>
      </c>
      <c r="G142" s="4" t="s">
        <v>25</v>
      </c>
      <c r="H142" s="4" t="s">
        <v>36</v>
      </c>
      <c r="I142" s="5">
        <v>44713</v>
      </c>
      <c r="J142" s="6">
        <v>0</v>
      </c>
      <c r="K142" s="6">
        <v>0</v>
      </c>
      <c r="L142" s="6">
        <v>3.0912799999999998</v>
      </c>
      <c r="M142" s="6">
        <v>3.0912799999999998</v>
      </c>
      <c r="N142" s="6">
        <v>3.0912799999999998</v>
      </c>
      <c r="O142" s="6">
        <v>3.0912799999999998</v>
      </c>
      <c r="P142" s="6">
        <v>0</v>
      </c>
      <c r="Q142" s="4" t="s">
        <v>26</v>
      </c>
      <c r="R142" s="4">
        <v>0</v>
      </c>
      <c r="S142" s="6">
        <v>0</v>
      </c>
      <c r="T142" s="6">
        <v>21</v>
      </c>
      <c r="U142" s="6">
        <v>83</v>
      </c>
      <c r="V142" s="6">
        <f>IF(ISERROR(VLOOKUP($S$142,'TAR FIN'!$A$1:$O$92,15,0)),0,VLOOKUP($S$142,'TAR FIN'!$A$1:$O$92,15,0))</f>
        <v>0</v>
      </c>
      <c r="W142" s="6">
        <f>IF(ISERROR(VLOOKUP($T$142,'TAR FIN'!$A$1:$O$92,15,0)),0,VLOOKUP($T$142,'TAR FIN'!$A$1:$O$92,15,0))</f>
        <v>789.62</v>
      </c>
      <c r="X142" s="6">
        <f>IF(ISERROR(VLOOKUP($U$142,'TAR FIN'!$A$1:$O$92,15,0)),0,VLOOKUP($U$142,'TAR FIN'!$A$1:$O$92,15,0))</f>
        <v>488.15</v>
      </c>
      <c r="Y142" s="6"/>
      <c r="Z142" s="6">
        <f ca="1">('TUSD BE'!$AM$15+'TUSD BF_350'!$AM$15+'TUSD CVA'!$AM$15)*1</f>
        <v>911.84</v>
      </c>
      <c r="AA142" s="6">
        <f ca="1">('TE BE'!$AB$7+'TE BF_350'!$AB$7+'TE CVA'!$AB$7)*1</f>
        <v>399.84</v>
      </c>
      <c r="AB142" s="6">
        <f>$K$142*$V$142</f>
        <v>0</v>
      </c>
      <c r="AC142" s="6">
        <f>$M$142*$W$142</f>
        <v>2440.9365135999997</v>
      </c>
      <c r="AD142" s="6">
        <f>$O$142*$X$142</f>
        <v>1509.0083319999999</v>
      </c>
      <c r="AE142" s="6">
        <f>$K$142*$Y$142</f>
        <v>0</v>
      </c>
      <c r="AF142" s="6">
        <f ca="1">$M$142*$Z$142</f>
        <v>2818.7527552000001</v>
      </c>
      <c r="AG142" s="6">
        <f ca="1">$O$142*$AA$142</f>
        <v>1236.0173951999998</v>
      </c>
    </row>
    <row r="143" spans="1:33" ht="11.25" customHeight="1" x14ac:dyDescent="0.3">
      <c r="A143" s="4" t="s">
        <v>27</v>
      </c>
      <c r="B143" s="4" t="s">
        <v>34</v>
      </c>
      <c r="C143" s="4" t="s">
        <v>35</v>
      </c>
      <c r="D143" s="4" t="s">
        <v>40</v>
      </c>
      <c r="E143" s="4" t="s">
        <v>25</v>
      </c>
      <c r="F143" s="4" t="s">
        <v>25</v>
      </c>
      <c r="G143" s="4" t="s">
        <v>25</v>
      </c>
      <c r="H143" s="4" t="s">
        <v>36</v>
      </c>
      <c r="I143" s="5">
        <v>44713</v>
      </c>
      <c r="J143" s="6">
        <v>0</v>
      </c>
      <c r="K143" s="6">
        <v>0</v>
      </c>
      <c r="L143" s="6">
        <v>0.80100000000000005</v>
      </c>
      <c r="M143" s="6">
        <v>0.80100000000000005</v>
      </c>
      <c r="N143" s="6">
        <v>0.80100000000000005</v>
      </c>
      <c r="O143" s="6">
        <v>0.80100000000000005</v>
      </c>
      <c r="P143" s="6">
        <v>0</v>
      </c>
      <c r="Q143" s="4" t="s">
        <v>26</v>
      </c>
      <c r="R143" s="4">
        <v>0</v>
      </c>
      <c r="S143" s="6">
        <v>0</v>
      </c>
      <c r="T143" s="6">
        <v>21</v>
      </c>
      <c r="U143" s="6">
        <v>83</v>
      </c>
      <c r="V143" s="6">
        <f>IF(ISERROR(VLOOKUP($S$143,'TAR FIN'!$A$1:$O$92,15,0)),0,VLOOKUP($S$143,'TAR FIN'!$A$1:$O$92,15,0))</f>
        <v>0</v>
      </c>
      <c r="W143" s="6">
        <f>IF(ISERROR(VLOOKUP($T$143,'TAR FIN'!$A$1:$O$92,15,0)),0,VLOOKUP($T$143,'TAR FIN'!$A$1:$O$92,15,0))</f>
        <v>789.62</v>
      </c>
      <c r="X143" s="6">
        <f>IF(ISERROR(VLOOKUP($U$143,'TAR FIN'!$A$1:$O$92,15,0)),0,VLOOKUP($U$143,'TAR FIN'!$A$1:$O$92,15,0))</f>
        <v>488.15</v>
      </c>
      <c r="Y143" s="6"/>
      <c r="Z143" s="6">
        <f ca="1">('TUSD BE'!$AM$15+'TUSD BF_350'!$AM$15+'TUSD CVA'!$AM$15)*1</f>
        <v>911.84</v>
      </c>
      <c r="AA143" s="6">
        <f ca="1">('TE BE'!$AB$7+'TE BF_350'!$AB$7+'TE CVA'!$AB$7)*1</f>
        <v>399.84</v>
      </c>
      <c r="AB143" s="6">
        <f>$K$143*$V$143</f>
        <v>0</v>
      </c>
      <c r="AC143" s="6">
        <f>$M$143*$W$143</f>
        <v>632.48562000000004</v>
      </c>
      <c r="AD143" s="6">
        <f>$O$143*$X$143</f>
        <v>391.00815</v>
      </c>
      <c r="AE143" s="6">
        <f>$K$143*$Y$143</f>
        <v>0</v>
      </c>
      <c r="AF143" s="6">
        <f ca="1">$M$143*$Z$143</f>
        <v>730.38384000000008</v>
      </c>
      <c r="AG143" s="6">
        <f ca="1">$O$143*$AA$143</f>
        <v>320.27184</v>
      </c>
    </row>
    <row r="144" spans="1:33" ht="11.25" customHeight="1" x14ac:dyDescent="0.3">
      <c r="A144" s="4" t="s">
        <v>21</v>
      </c>
      <c r="B144" s="4" t="s">
        <v>34</v>
      </c>
      <c r="C144" s="4" t="s">
        <v>35</v>
      </c>
      <c r="D144" s="4" t="s">
        <v>40</v>
      </c>
      <c r="E144" s="4" t="s">
        <v>25</v>
      </c>
      <c r="F144" s="4" t="s">
        <v>25</v>
      </c>
      <c r="G144" s="4" t="s">
        <v>25</v>
      </c>
      <c r="H144" s="4" t="s">
        <v>36</v>
      </c>
      <c r="I144" s="5">
        <v>44743</v>
      </c>
      <c r="J144" s="6">
        <v>0</v>
      </c>
      <c r="K144" s="6">
        <v>0</v>
      </c>
      <c r="L144" s="6">
        <v>3.3119999999999998</v>
      </c>
      <c r="M144" s="6">
        <v>3.3119999999999998</v>
      </c>
      <c r="N144" s="6">
        <v>3.3119999999999998</v>
      </c>
      <c r="O144" s="6">
        <v>3.3119999999999998</v>
      </c>
      <c r="P144" s="6">
        <v>0</v>
      </c>
      <c r="Q144" s="4" t="s">
        <v>26</v>
      </c>
      <c r="R144" s="4">
        <v>0</v>
      </c>
      <c r="S144" s="6">
        <v>0</v>
      </c>
      <c r="T144" s="6">
        <v>21</v>
      </c>
      <c r="U144" s="6">
        <v>83</v>
      </c>
      <c r="V144" s="6">
        <f>IF(ISERROR(VLOOKUP($S$144,'TAR FIN'!$A$1:$O$92,15,0)),0,VLOOKUP($S$144,'TAR FIN'!$A$1:$O$92,15,0))</f>
        <v>0</v>
      </c>
      <c r="W144" s="6">
        <f>IF(ISERROR(VLOOKUP($T$144,'TAR FIN'!$A$1:$O$92,15,0)),0,VLOOKUP($T$144,'TAR FIN'!$A$1:$O$92,15,0))</f>
        <v>789.62</v>
      </c>
      <c r="X144" s="6">
        <f>IF(ISERROR(VLOOKUP($U$144,'TAR FIN'!$A$1:$O$92,15,0)),0,VLOOKUP($U$144,'TAR FIN'!$A$1:$O$92,15,0))</f>
        <v>488.15</v>
      </c>
      <c r="Y144" s="6"/>
      <c r="Z144" s="6">
        <f ca="1">('TUSD BE'!$AM$15+'TUSD BF_350'!$AM$15+'TUSD CVA'!$AM$15)*1</f>
        <v>911.84</v>
      </c>
      <c r="AA144" s="6">
        <f ca="1">('TE BE'!$AB$7+'TE BF_350'!$AB$7+'TE CVA'!$AB$7)*1</f>
        <v>399.84</v>
      </c>
      <c r="AB144" s="6">
        <f>$K$144*$V$144</f>
        <v>0</v>
      </c>
      <c r="AC144" s="6">
        <f>$M$144*$W$144</f>
        <v>2615.2214399999998</v>
      </c>
      <c r="AD144" s="6">
        <f>$O$144*$X$144</f>
        <v>1616.7527999999998</v>
      </c>
      <c r="AE144" s="6">
        <f>$K$144*$Y$144</f>
        <v>0</v>
      </c>
      <c r="AF144" s="6">
        <f ca="1">$M$144*$Z$144</f>
        <v>3020.0140799999999</v>
      </c>
      <c r="AG144" s="6">
        <f ca="1">$O$144*$AA$144</f>
        <v>1324.2700799999998</v>
      </c>
    </row>
    <row r="145" spans="1:33" ht="11.25" customHeight="1" x14ac:dyDescent="0.3">
      <c r="A145" s="4" t="s">
        <v>27</v>
      </c>
      <c r="B145" s="4" t="s">
        <v>34</v>
      </c>
      <c r="C145" s="4" t="s">
        <v>35</v>
      </c>
      <c r="D145" s="4" t="s">
        <v>40</v>
      </c>
      <c r="E145" s="4" t="s">
        <v>25</v>
      </c>
      <c r="F145" s="4" t="s">
        <v>25</v>
      </c>
      <c r="G145" s="4" t="s">
        <v>25</v>
      </c>
      <c r="H145" s="4" t="s">
        <v>36</v>
      </c>
      <c r="I145" s="5">
        <v>44743</v>
      </c>
      <c r="J145" s="6">
        <v>0</v>
      </c>
      <c r="K145" s="6">
        <v>0</v>
      </c>
      <c r="L145" s="6">
        <v>0.75527999999999995</v>
      </c>
      <c r="M145" s="6">
        <v>0.75527999999999995</v>
      </c>
      <c r="N145" s="6">
        <v>0.75527999999999995</v>
      </c>
      <c r="O145" s="6">
        <v>0.75527999999999995</v>
      </c>
      <c r="P145" s="6">
        <v>0</v>
      </c>
      <c r="Q145" s="4" t="s">
        <v>26</v>
      </c>
      <c r="R145" s="4">
        <v>0</v>
      </c>
      <c r="S145" s="6">
        <v>0</v>
      </c>
      <c r="T145" s="6">
        <v>21</v>
      </c>
      <c r="U145" s="6">
        <v>83</v>
      </c>
      <c r="V145" s="6">
        <f>IF(ISERROR(VLOOKUP($S$145,'TAR FIN'!$A$1:$O$92,15,0)),0,VLOOKUP($S$145,'TAR FIN'!$A$1:$O$92,15,0))</f>
        <v>0</v>
      </c>
      <c r="W145" s="6">
        <f>IF(ISERROR(VLOOKUP($T$145,'TAR FIN'!$A$1:$O$92,15,0)),0,VLOOKUP($T$145,'TAR FIN'!$A$1:$O$92,15,0))</f>
        <v>789.62</v>
      </c>
      <c r="X145" s="6">
        <f>IF(ISERROR(VLOOKUP($U$145,'TAR FIN'!$A$1:$O$92,15,0)),0,VLOOKUP($U$145,'TAR FIN'!$A$1:$O$92,15,0))</f>
        <v>488.15</v>
      </c>
      <c r="Y145" s="6"/>
      <c r="Z145" s="6">
        <f ca="1">('TUSD BE'!$AM$15+'TUSD BF_350'!$AM$15+'TUSD CVA'!$AM$15)*1</f>
        <v>911.84</v>
      </c>
      <c r="AA145" s="6">
        <f ca="1">('TE BE'!$AB$7+'TE BF_350'!$AB$7+'TE CVA'!$AB$7)*1</f>
        <v>399.84</v>
      </c>
      <c r="AB145" s="6">
        <f>$K$145*$V$145</f>
        <v>0</v>
      </c>
      <c r="AC145" s="6">
        <f>$M$145*$W$145</f>
        <v>596.3841936</v>
      </c>
      <c r="AD145" s="6">
        <f>$O$145*$X$145</f>
        <v>368.68993199999994</v>
      </c>
      <c r="AE145" s="6">
        <f>$K$145*$Y$145</f>
        <v>0</v>
      </c>
      <c r="AF145" s="6">
        <f ca="1">$M$145*$Z$145</f>
        <v>688.69451519999996</v>
      </c>
      <c r="AG145" s="6">
        <f ca="1">$O$145*$AA$145</f>
        <v>301.99115519999998</v>
      </c>
    </row>
    <row r="146" spans="1:33" ht="11.25" customHeight="1" x14ac:dyDescent="0.3">
      <c r="A146" s="4" t="s">
        <v>21</v>
      </c>
      <c r="B146" s="4" t="s">
        <v>34</v>
      </c>
      <c r="C146" s="4" t="s">
        <v>35</v>
      </c>
      <c r="D146" s="4" t="s">
        <v>33</v>
      </c>
      <c r="E146" s="4" t="s">
        <v>25</v>
      </c>
      <c r="F146" s="4" t="s">
        <v>55</v>
      </c>
      <c r="G146" s="4" t="s">
        <v>25</v>
      </c>
      <c r="H146" s="4" t="s">
        <v>37</v>
      </c>
      <c r="I146" s="5">
        <v>44409</v>
      </c>
      <c r="J146" s="6">
        <v>0</v>
      </c>
      <c r="K146" s="6">
        <v>0</v>
      </c>
      <c r="L146" s="6">
        <v>2970.8047099999999</v>
      </c>
      <c r="M146" s="6">
        <v>2970.8047099999999</v>
      </c>
      <c r="N146" s="6">
        <v>0</v>
      </c>
      <c r="O146" s="6">
        <v>0</v>
      </c>
      <c r="P146" s="6">
        <v>0</v>
      </c>
      <c r="Q146" s="4" t="s">
        <v>56</v>
      </c>
      <c r="R146" s="4">
        <v>0</v>
      </c>
      <c r="S146" s="6">
        <v>0</v>
      </c>
      <c r="T146" s="6">
        <v>22</v>
      </c>
      <c r="U146" s="6">
        <v>0</v>
      </c>
      <c r="V146" s="6">
        <f>IF(ISERROR(VLOOKUP($S$146,'TAR FIN'!$A$1:$O$92,15,0)),0,VLOOKUP($S$146,'TAR FIN'!$A$1:$O$92,15,0))</f>
        <v>0</v>
      </c>
      <c r="W146" s="6">
        <f>IF(ISERROR(VLOOKUP($T$146,'TAR FIN'!$A$1:$O$92,15,0)),0,VLOOKUP($T$146,'TAR FIN'!$A$1:$O$92,15,0))</f>
        <v>73.28</v>
      </c>
      <c r="X146" s="6">
        <f>IF(ISERROR(VLOOKUP($U$146,'TAR FIN'!$A$1:$O$92,15,0)),0,VLOOKUP($U$146,'TAR FIN'!$A$1:$O$92,15,0))</f>
        <v>0</v>
      </c>
      <c r="Y146" s="6"/>
      <c r="Z146" s="6">
        <f ca="1">('TUSD BE'!$AM$16+'TUSD BF_350'!$AM$16+'TUSD CVA'!$AM$16)*1</f>
        <v>126.25</v>
      </c>
      <c r="AA146" s="6"/>
      <c r="AB146" s="6">
        <f>$K$146*$V$146</f>
        <v>0</v>
      </c>
      <c r="AC146" s="6">
        <f>$M$146*$W$146</f>
        <v>217700.56914879999</v>
      </c>
      <c r="AD146" s="6">
        <f>$O$146*$X$146</f>
        <v>0</v>
      </c>
      <c r="AE146" s="6">
        <f>$K$146*$Y$146</f>
        <v>0</v>
      </c>
      <c r="AF146" s="6">
        <f ca="1">$M$146*$Z$146</f>
        <v>375064.09463750001</v>
      </c>
      <c r="AG146" s="6">
        <f>$O$146*$AA$146</f>
        <v>0</v>
      </c>
    </row>
    <row r="147" spans="1:33" ht="11.25" customHeight="1" x14ac:dyDescent="0.3">
      <c r="A147" s="4" t="s">
        <v>21</v>
      </c>
      <c r="B147" s="4" t="s">
        <v>34</v>
      </c>
      <c r="C147" s="4" t="s">
        <v>35</v>
      </c>
      <c r="D147" s="4" t="s">
        <v>33</v>
      </c>
      <c r="E147" s="4" t="s">
        <v>25</v>
      </c>
      <c r="F147" s="4" t="s">
        <v>55</v>
      </c>
      <c r="G147" s="4" t="s">
        <v>25</v>
      </c>
      <c r="H147" s="4" t="s">
        <v>37</v>
      </c>
      <c r="I147" s="5">
        <v>44440</v>
      </c>
      <c r="J147" s="6">
        <v>0</v>
      </c>
      <c r="K147" s="6">
        <v>0</v>
      </c>
      <c r="L147" s="6">
        <v>2776.491</v>
      </c>
      <c r="M147" s="6">
        <v>2776.491</v>
      </c>
      <c r="N147" s="6">
        <v>0</v>
      </c>
      <c r="O147" s="6">
        <v>0</v>
      </c>
      <c r="P147" s="6">
        <v>0</v>
      </c>
      <c r="Q147" s="4" t="s">
        <v>56</v>
      </c>
      <c r="R147" s="4">
        <v>0</v>
      </c>
      <c r="S147" s="6">
        <v>0</v>
      </c>
      <c r="T147" s="6">
        <v>22</v>
      </c>
      <c r="U147" s="6">
        <v>0</v>
      </c>
      <c r="V147" s="6">
        <f>IF(ISERROR(VLOOKUP($S$147,'TAR FIN'!$A$1:$O$92,15,0)),0,VLOOKUP($S$147,'TAR FIN'!$A$1:$O$92,15,0))</f>
        <v>0</v>
      </c>
      <c r="W147" s="6">
        <f>IF(ISERROR(VLOOKUP($T$147,'TAR FIN'!$A$1:$O$92,15,0)),0,VLOOKUP($T$147,'TAR FIN'!$A$1:$O$92,15,0))</f>
        <v>73.28</v>
      </c>
      <c r="X147" s="6">
        <f>IF(ISERROR(VLOOKUP($U$147,'TAR FIN'!$A$1:$O$92,15,0)),0,VLOOKUP($U$147,'TAR FIN'!$A$1:$O$92,15,0))</f>
        <v>0</v>
      </c>
      <c r="Y147" s="6"/>
      <c r="Z147" s="6">
        <f ca="1">('TUSD BE'!$AM$16+'TUSD BF_350'!$AM$16+'TUSD CVA'!$AM$16)*1</f>
        <v>126.25</v>
      </c>
      <c r="AA147" s="6"/>
      <c r="AB147" s="6">
        <f>$K$147*$V$147</f>
        <v>0</v>
      </c>
      <c r="AC147" s="6">
        <f>$M$147*$W$147</f>
        <v>203461.26048</v>
      </c>
      <c r="AD147" s="6">
        <f>$O$147*$X$147</f>
        <v>0</v>
      </c>
      <c r="AE147" s="6">
        <f>$K$147*$Y$147</f>
        <v>0</v>
      </c>
      <c r="AF147" s="6">
        <f ca="1">$M$147*$Z$147</f>
        <v>350531.98875000002</v>
      </c>
      <c r="AG147" s="6">
        <f>$O$147*$AA$147</f>
        <v>0</v>
      </c>
    </row>
    <row r="148" spans="1:33" ht="11.25" customHeight="1" x14ac:dyDescent="0.3">
      <c r="A148" s="4" t="s">
        <v>21</v>
      </c>
      <c r="B148" s="4" t="s">
        <v>34</v>
      </c>
      <c r="C148" s="4" t="s">
        <v>35</v>
      </c>
      <c r="D148" s="4" t="s">
        <v>33</v>
      </c>
      <c r="E148" s="4" t="s">
        <v>25</v>
      </c>
      <c r="F148" s="4" t="s">
        <v>55</v>
      </c>
      <c r="G148" s="4" t="s">
        <v>25</v>
      </c>
      <c r="H148" s="4" t="s">
        <v>37</v>
      </c>
      <c r="I148" s="5">
        <v>44470</v>
      </c>
      <c r="J148" s="6">
        <v>0</v>
      </c>
      <c r="K148" s="6">
        <v>0</v>
      </c>
      <c r="L148" s="6">
        <v>3080.5311900000002</v>
      </c>
      <c r="M148" s="6">
        <v>3080.5311900000002</v>
      </c>
      <c r="N148" s="6">
        <v>0</v>
      </c>
      <c r="O148" s="6">
        <v>0</v>
      </c>
      <c r="P148" s="6">
        <v>0</v>
      </c>
      <c r="Q148" s="4" t="s">
        <v>56</v>
      </c>
      <c r="R148" s="4">
        <v>0</v>
      </c>
      <c r="S148" s="6">
        <v>0</v>
      </c>
      <c r="T148" s="6">
        <v>22</v>
      </c>
      <c r="U148" s="6">
        <v>0</v>
      </c>
      <c r="V148" s="6">
        <f>IF(ISERROR(VLOOKUP($S$148,'TAR FIN'!$A$1:$O$92,15,0)),0,VLOOKUP($S$148,'TAR FIN'!$A$1:$O$92,15,0))</f>
        <v>0</v>
      </c>
      <c r="W148" s="6">
        <f>IF(ISERROR(VLOOKUP($T$148,'TAR FIN'!$A$1:$O$92,15,0)),0,VLOOKUP($T$148,'TAR FIN'!$A$1:$O$92,15,0))</f>
        <v>73.28</v>
      </c>
      <c r="X148" s="6">
        <f>IF(ISERROR(VLOOKUP($U$148,'TAR FIN'!$A$1:$O$92,15,0)),0,VLOOKUP($U$148,'TAR FIN'!$A$1:$O$92,15,0))</f>
        <v>0</v>
      </c>
      <c r="Y148" s="6"/>
      <c r="Z148" s="6">
        <f ca="1">('TUSD BE'!$AM$16+'TUSD BF_350'!$AM$16+'TUSD CVA'!$AM$16)*1</f>
        <v>126.25</v>
      </c>
      <c r="AA148" s="6"/>
      <c r="AB148" s="6">
        <f>$K$148*$V$148</f>
        <v>0</v>
      </c>
      <c r="AC148" s="6">
        <f>$M$148*$W$148</f>
        <v>225741.32560320001</v>
      </c>
      <c r="AD148" s="6">
        <f>$O$148*$X$148</f>
        <v>0</v>
      </c>
      <c r="AE148" s="6">
        <f>$K$148*$Y$148</f>
        <v>0</v>
      </c>
      <c r="AF148" s="6">
        <f ca="1">$M$148*$Z$148</f>
        <v>388917.0627375</v>
      </c>
      <c r="AG148" s="6">
        <f>$O$148*$AA$148</f>
        <v>0</v>
      </c>
    </row>
    <row r="149" spans="1:33" ht="11.25" customHeight="1" x14ac:dyDescent="0.3">
      <c r="A149" s="4" t="s">
        <v>21</v>
      </c>
      <c r="B149" s="4" t="s">
        <v>34</v>
      </c>
      <c r="C149" s="4" t="s">
        <v>35</v>
      </c>
      <c r="D149" s="4" t="s">
        <v>33</v>
      </c>
      <c r="E149" s="4" t="s">
        <v>25</v>
      </c>
      <c r="F149" s="4" t="s">
        <v>55</v>
      </c>
      <c r="G149" s="4" t="s">
        <v>25</v>
      </c>
      <c r="H149" s="4" t="s">
        <v>37</v>
      </c>
      <c r="I149" s="5">
        <v>44501</v>
      </c>
      <c r="J149" s="6">
        <v>0</v>
      </c>
      <c r="K149" s="6">
        <v>0</v>
      </c>
      <c r="L149" s="6">
        <v>3219.0039999999999</v>
      </c>
      <c r="M149" s="6">
        <v>3219.0039999999999</v>
      </c>
      <c r="N149" s="6">
        <v>0</v>
      </c>
      <c r="O149" s="6">
        <v>0</v>
      </c>
      <c r="P149" s="6">
        <v>0</v>
      </c>
      <c r="Q149" s="4" t="s">
        <v>56</v>
      </c>
      <c r="R149" s="4">
        <v>0</v>
      </c>
      <c r="S149" s="6">
        <v>0</v>
      </c>
      <c r="T149" s="6">
        <v>22</v>
      </c>
      <c r="U149" s="6">
        <v>0</v>
      </c>
      <c r="V149" s="6">
        <f>IF(ISERROR(VLOOKUP($S$149,'TAR FIN'!$A$1:$O$92,15,0)),0,VLOOKUP($S$149,'TAR FIN'!$A$1:$O$92,15,0))</f>
        <v>0</v>
      </c>
      <c r="W149" s="6">
        <f>IF(ISERROR(VLOOKUP($T$149,'TAR FIN'!$A$1:$O$92,15,0)),0,VLOOKUP($T$149,'TAR FIN'!$A$1:$O$92,15,0))</f>
        <v>73.28</v>
      </c>
      <c r="X149" s="6">
        <f>IF(ISERROR(VLOOKUP($U$149,'TAR FIN'!$A$1:$O$92,15,0)),0,VLOOKUP($U$149,'TAR FIN'!$A$1:$O$92,15,0))</f>
        <v>0</v>
      </c>
      <c r="Y149" s="6"/>
      <c r="Z149" s="6">
        <f ca="1">('TUSD BE'!$AM$16+'TUSD BF_350'!$AM$16+'TUSD CVA'!$AM$16)*1</f>
        <v>126.25</v>
      </c>
      <c r="AA149" s="6"/>
      <c r="AB149" s="6">
        <f>$K$149*$V$149</f>
        <v>0</v>
      </c>
      <c r="AC149" s="6">
        <f>$M$149*$W$149</f>
        <v>235888.61311999999</v>
      </c>
      <c r="AD149" s="6">
        <f>$O$149*$X$149</f>
        <v>0</v>
      </c>
      <c r="AE149" s="6">
        <f>$K$149*$Y$149</f>
        <v>0</v>
      </c>
      <c r="AF149" s="6">
        <f ca="1">$M$149*$Z$149</f>
        <v>406399.255</v>
      </c>
      <c r="AG149" s="6">
        <f>$O$149*$AA$149</f>
        <v>0</v>
      </c>
    </row>
    <row r="150" spans="1:33" ht="11.25" customHeight="1" x14ac:dyDescent="0.3">
      <c r="A150" s="4" t="s">
        <v>21</v>
      </c>
      <c r="B150" s="4" t="s">
        <v>34</v>
      </c>
      <c r="C150" s="4" t="s">
        <v>35</v>
      </c>
      <c r="D150" s="4" t="s">
        <v>33</v>
      </c>
      <c r="E150" s="4" t="s">
        <v>25</v>
      </c>
      <c r="F150" s="4" t="s">
        <v>55</v>
      </c>
      <c r="G150" s="4" t="s">
        <v>25</v>
      </c>
      <c r="H150" s="4" t="s">
        <v>37</v>
      </c>
      <c r="I150" s="5">
        <v>44531</v>
      </c>
      <c r="J150" s="6">
        <v>0</v>
      </c>
      <c r="K150" s="6">
        <v>0</v>
      </c>
      <c r="L150" s="6">
        <v>2476.0529999999999</v>
      </c>
      <c r="M150" s="6">
        <v>2476.0529999999999</v>
      </c>
      <c r="N150" s="6">
        <v>0</v>
      </c>
      <c r="O150" s="6">
        <v>0</v>
      </c>
      <c r="P150" s="6">
        <v>0</v>
      </c>
      <c r="Q150" s="4" t="s">
        <v>56</v>
      </c>
      <c r="R150" s="4">
        <v>0</v>
      </c>
      <c r="S150" s="6">
        <v>0</v>
      </c>
      <c r="T150" s="6">
        <v>22</v>
      </c>
      <c r="U150" s="6">
        <v>0</v>
      </c>
      <c r="V150" s="6">
        <f>IF(ISERROR(VLOOKUP($S$150,'TAR FIN'!$A$1:$O$92,15,0)),0,VLOOKUP($S$150,'TAR FIN'!$A$1:$O$92,15,0))</f>
        <v>0</v>
      </c>
      <c r="W150" s="6">
        <f>IF(ISERROR(VLOOKUP($T$150,'TAR FIN'!$A$1:$O$92,15,0)),0,VLOOKUP($T$150,'TAR FIN'!$A$1:$O$92,15,0))</f>
        <v>73.28</v>
      </c>
      <c r="X150" s="6">
        <f>IF(ISERROR(VLOOKUP($U$150,'TAR FIN'!$A$1:$O$92,15,0)),0,VLOOKUP($U$150,'TAR FIN'!$A$1:$O$92,15,0))</f>
        <v>0</v>
      </c>
      <c r="Y150" s="6"/>
      <c r="Z150" s="6">
        <f ca="1">('TUSD BE'!$AM$16+'TUSD BF_350'!$AM$16+'TUSD CVA'!$AM$16)*1</f>
        <v>126.25</v>
      </c>
      <c r="AA150" s="6"/>
      <c r="AB150" s="6">
        <f>$K$150*$V$150</f>
        <v>0</v>
      </c>
      <c r="AC150" s="6">
        <f>$M$150*$W$150</f>
        <v>181445.16383999999</v>
      </c>
      <c r="AD150" s="6">
        <f>$O$150*$X$150</f>
        <v>0</v>
      </c>
      <c r="AE150" s="6">
        <f>$K$150*$Y$150</f>
        <v>0</v>
      </c>
      <c r="AF150" s="6">
        <f ca="1">$M$150*$Z$150</f>
        <v>312601.69124999997</v>
      </c>
      <c r="AG150" s="6">
        <f>$O$150*$AA$150</f>
        <v>0</v>
      </c>
    </row>
    <row r="151" spans="1:33" ht="11.25" customHeight="1" x14ac:dyDescent="0.3">
      <c r="A151" s="4" t="s">
        <v>21</v>
      </c>
      <c r="B151" s="4" t="s">
        <v>34</v>
      </c>
      <c r="C151" s="4" t="s">
        <v>35</v>
      </c>
      <c r="D151" s="4" t="s">
        <v>33</v>
      </c>
      <c r="E151" s="4" t="s">
        <v>25</v>
      </c>
      <c r="F151" s="4" t="s">
        <v>55</v>
      </c>
      <c r="G151" s="4" t="s">
        <v>25</v>
      </c>
      <c r="H151" s="4" t="s">
        <v>37</v>
      </c>
      <c r="I151" s="5">
        <v>44562</v>
      </c>
      <c r="J151" s="6">
        <v>0</v>
      </c>
      <c r="K151" s="6">
        <v>0</v>
      </c>
      <c r="L151" s="6">
        <v>2614.6350000000002</v>
      </c>
      <c r="M151" s="6">
        <v>2614.6350000000002</v>
      </c>
      <c r="N151" s="6">
        <v>0</v>
      </c>
      <c r="O151" s="6">
        <v>0</v>
      </c>
      <c r="P151" s="6">
        <v>0</v>
      </c>
      <c r="Q151" s="4" t="s">
        <v>56</v>
      </c>
      <c r="R151" s="4">
        <v>0</v>
      </c>
      <c r="S151" s="6">
        <v>0</v>
      </c>
      <c r="T151" s="6">
        <v>22</v>
      </c>
      <c r="U151" s="6">
        <v>0</v>
      </c>
      <c r="V151" s="6">
        <f>IF(ISERROR(VLOOKUP($S$151,'TAR FIN'!$A$1:$O$92,15,0)),0,VLOOKUP($S$151,'TAR FIN'!$A$1:$O$92,15,0))</f>
        <v>0</v>
      </c>
      <c r="W151" s="6">
        <f>IF(ISERROR(VLOOKUP($T$151,'TAR FIN'!$A$1:$O$92,15,0)),0,VLOOKUP($T$151,'TAR FIN'!$A$1:$O$92,15,0))</f>
        <v>73.28</v>
      </c>
      <c r="X151" s="6">
        <f>IF(ISERROR(VLOOKUP($U$151,'TAR FIN'!$A$1:$O$92,15,0)),0,VLOOKUP($U$151,'TAR FIN'!$A$1:$O$92,15,0))</f>
        <v>0</v>
      </c>
      <c r="Y151" s="6"/>
      <c r="Z151" s="6">
        <f ca="1">('TUSD BE'!$AM$16+'TUSD BF_350'!$AM$16+'TUSD CVA'!$AM$16)*1</f>
        <v>126.25</v>
      </c>
      <c r="AA151" s="6"/>
      <c r="AB151" s="6">
        <f>$K$151*$V$151</f>
        <v>0</v>
      </c>
      <c r="AC151" s="6">
        <f>$M$151*$W$151</f>
        <v>191600.45280000003</v>
      </c>
      <c r="AD151" s="6">
        <f>$O$151*$X$151</f>
        <v>0</v>
      </c>
      <c r="AE151" s="6">
        <f>$K$151*$Y$151</f>
        <v>0</v>
      </c>
      <c r="AF151" s="6">
        <f ca="1">$M$151*$Z$151</f>
        <v>330097.66875000001</v>
      </c>
      <c r="AG151" s="6">
        <f>$O$151*$AA$151</f>
        <v>0</v>
      </c>
    </row>
    <row r="152" spans="1:33" ht="11.25" customHeight="1" x14ac:dyDescent="0.3">
      <c r="A152" s="4" t="s">
        <v>21</v>
      </c>
      <c r="B152" s="4" t="s">
        <v>34</v>
      </c>
      <c r="C152" s="4" t="s">
        <v>35</v>
      </c>
      <c r="D152" s="4" t="s">
        <v>33</v>
      </c>
      <c r="E152" s="4" t="s">
        <v>25</v>
      </c>
      <c r="F152" s="4" t="s">
        <v>55</v>
      </c>
      <c r="G152" s="4" t="s">
        <v>25</v>
      </c>
      <c r="H152" s="4" t="s">
        <v>37</v>
      </c>
      <c r="I152" s="5">
        <v>44593</v>
      </c>
      <c r="J152" s="6">
        <v>0</v>
      </c>
      <c r="K152" s="6">
        <v>0</v>
      </c>
      <c r="L152" s="6">
        <v>2692.8690000000001</v>
      </c>
      <c r="M152" s="6">
        <v>2692.8690000000001</v>
      </c>
      <c r="N152" s="6">
        <v>0</v>
      </c>
      <c r="O152" s="6">
        <v>0</v>
      </c>
      <c r="P152" s="6">
        <v>0</v>
      </c>
      <c r="Q152" s="4" t="s">
        <v>56</v>
      </c>
      <c r="R152" s="4">
        <v>0</v>
      </c>
      <c r="S152" s="6">
        <v>0</v>
      </c>
      <c r="T152" s="6">
        <v>22</v>
      </c>
      <c r="U152" s="6">
        <v>0</v>
      </c>
      <c r="V152" s="6">
        <f>IF(ISERROR(VLOOKUP($S$152,'TAR FIN'!$A$1:$O$92,15,0)),0,VLOOKUP($S$152,'TAR FIN'!$A$1:$O$92,15,0))</f>
        <v>0</v>
      </c>
      <c r="W152" s="6">
        <f>IF(ISERROR(VLOOKUP($T$152,'TAR FIN'!$A$1:$O$92,15,0)),0,VLOOKUP($T$152,'TAR FIN'!$A$1:$O$92,15,0))</f>
        <v>73.28</v>
      </c>
      <c r="X152" s="6">
        <f>IF(ISERROR(VLOOKUP($U$152,'TAR FIN'!$A$1:$O$92,15,0)),0,VLOOKUP($U$152,'TAR FIN'!$A$1:$O$92,15,0))</f>
        <v>0</v>
      </c>
      <c r="Y152" s="6"/>
      <c r="Z152" s="6">
        <f ca="1">('TUSD BE'!$AM$16+'TUSD BF_350'!$AM$16+'TUSD CVA'!$AM$16)*1</f>
        <v>126.25</v>
      </c>
      <c r="AA152" s="6"/>
      <c r="AB152" s="6">
        <f>$K$152*$V$152</f>
        <v>0</v>
      </c>
      <c r="AC152" s="6">
        <f>$M$152*$W$152</f>
        <v>197333.44032000002</v>
      </c>
      <c r="AD152" s="6">
        <f>$O$152*$X$152</f>
        <v>0</v>
      </c>
      <c r="AE152" s="6">
        <f>$K$152*$Y$152</f>
        <v>0</v>
      </c>
      <c r="AF152" s="6">
        <f ca="1">$M$152*$Z$152</f>
        <v>339974.71124999999</v>
      </c>
      <c r="AG152" s="6">
        <f>$O$152*$AA$152</f>
        <v>0</v>
      </c>
    </row>
    <row r="153" spans="1:33" ht="11.25" customHeight="1" x14ac:dyDescent="0.3">
      <c r="A153" s="4" t="s">
        <v>21</v>
      </c>
      <c r="B153" s="4" t="s">
        <v>34</v>
      </c>
      <c r="C153" s="4" t="s">
        <v>35</v>
      </c>
      <c r="D153" s="4" t="s">
        <v>33</v>
      </c>
      <c r="E153" s="4" t="s">
        <v>25</v>
      </c>
      <c r="F153" s="4" t="s">
        <v>55</v>
      </c>
      <c r="G153" s="4" t="s">
        <v>25</v>
      </c>
      <c r="H153" s="4" t="s">
        <v>37</v>
      </c>
      <c r="I153" s="5">
        <v>44621</v>
      </c>
      <c r="J153" s="6">
        <v>0</v>
      </c>
      <c r="K153" s="6">
        <v>0</v>
      </c>
      <c r="L153" s="6">
        <v>3033.424</v>
      </c>
      <c r="M153" s="6">
        <v>3033.424</v>
      </c>
      <c r="N153" s="6">
        <v>0</v>
      </c>
      <c r="O153" s="6">
        <v>0</v>
      </c>
      <c r="P153" s="6">
        <v>0</v>
      </c>
      <c r="Q153" s="4" t="s">
        <v>56</v>
      </c>
      <c r="R153" s="4">
        <v>0</v>
      </c>
      <c r="S153" s="6">
        <v>0</v>
      </c>
      <c r="T153" s="6">
        <v>22</v>
      </c>
      <c r="U153" s="6">
        <v>0</v>
      </c>
      <c r="V153" s="6">
        <f>IF(ISERROR(VLOOKUP($S$153,'TAR FIN'!$A$1:$O$92,15,0)),0,VLOOKUP($S$153,'TAR FIN'!$A$1:$O$92,15,0))</f>
        <v>0</v>
      </c>
      <c r="W153" s="6">
        <f>IF(ISERROR(VLOOKUP($T$153,'TAR FIN'!$A$1:$O$92,15,0)),0,VLOOKUP($T$153,'TAR FIN'!$A$1:$O$92,15,0))</f>
        <v>73.28</v>
      </c>
      <c r="X153" s="6">
        <f>IF(ISERROR(VLOOKUP($U$153,'TAR FIN'!$A$1:$O$92,15,0)),0,VLOOKUP($U$153,'TAR FIN'!$A$1:$O$92,15,0))</f>
        <v>0</v>
      </c>
      <c r="Y153" s="6"/>
      <c r="Z153" s="6">
        <f ca="1">('TUSD BE'!$AM$16+'TUSD BF_350'!$AM$16+'TUSD CVA'!$AM$16)*1</f>
        <v>126.25</v>
      </c>
      <c r="AA153" s="6"/>
      <c r="AB153" s="6">
        <f>$K$153*$V$153</f>
        <v>0</v>
      </c>
      <c r="AC153" s="6">
        <f>$M$153*$W$153</f>
        <v>222289.31072000001</v>
      </c>
      <c r="AD153" s="6">
        <f>$O$153*$X$153</f>
        <v>0</v>
      </c>
      <c r="AE153" s="6">
        <f>$K$153*$Y$153</f>
        <v>0</v>
      </c>
      <c r="AF153" s="6">
        <f ca="1">$M$153*$Z$153</f>
        <v>382969.77999999997</v>
      </c>
      <c r="AG153" s="6">
        <f>$O$153*$AA$153</f>
        <v>0</v>
      </c>
    </row>
    <row r="154" spans="1:33" ht="11.25" customHeight="1" x14ac:dyDescent="0.3">
      <c r="A154" s="4" t="s">
        <v>21</v>
      </c>
      <c r="B154" s="4" t="s">
        <v>34</v>
      </c>
      <c r="C154" s="4" t="s">
        <v>35</v>
      </c>
      <c r="D154" s="4" t="s">
        <v>33</v>
      </c>
      <c r="E154" s="4" t="s">
        <v>25</v>
      </c>
      <c r="F154" s="4" t="s">
        <v>55</v>
      </c>
      <c r="G154" s="4" t="s">
        <v>25</v>
      </c>
      <c r="H154" s="4" t="s">
        <v>37</v>
      </c>
      <c r="I154" s="5">
        <v>44652</v>
      </c>
      <c r="J154" s="6">
        <v>0</v>
      </c>
      <c r="K154" s="6">
        <v>0</v>
      </c>
      <c r="L154" s="6">
        <v>2854.1410000000001</v>
      </c>
      <c r="M154" s="6">
        <v>2854.1410000000001</v>
      </c>
      <c r="N154" s="6">
        <v>0</v>
      </c>
      <c r="O154" s="6">
        <v>0</v>
      </c>
      <c r="P154" s="6">
        <v>0</v>
      </c>
      <c r="Q154" s="4" t="s">
        <v>56</v>
      </c>
      <c r="R154" s="4">
        <v>0</v>
      </c>
      <c r="S154" s="6">
        <v>0</v>
      </c>
      <c r="T154" s="6">
        <v>22</v>
      </c>
      <c r="U154" s="6">
        <v>0</v>
      </c>
      <c r="V154" s="6">
        <f>IF(ISERROR(VLOOKUP($S$154,'TAR FIN'!$A$1:$O$92,15,0)),0,VLOOKUP($S$154,'TAR FIN'!$A$1:$O$92,15,0))</f>
        <v>0</v>
      </c>
      <c r="W154" s="6">
        <f>IF(ISERROR(VLOOKUP($T$154,'TAR FIN'!$A$1:$O$92,15,0)),0,VLOOKUP($T$154,'TAR FIN'!$A$1:$O$92,15,0))</f>
        <v>73.28</v>
      </c>
      <c r="X154" s="6">
        <f>IF(ISERROR(VLOOKUP($U$154,'TAR FIN'!$A$1:$O$92,15,0)),0,VLOOKUP($U$154,'TAR FIN'!$A$1:$O$92,15,0))</f>
        <v>0</v>
      </c>
      <c r="Y154" s="6"/>
      <c r="Z154" s="6">
        <f ca="1">('TUSD BE'!$AM$16+'TUSD BF_350'!$AM$16+'TUSD CVA'!$AM$16)*1</f>
        <v>126.25</v>
      </c>
      <c r="AA154" s="6"/>
      <c r="AB154" s="6">
        <f>$K$154*$V$154</f>
        <v>0</v>
      </c>
      <c r="AC154" s="6">
        <f>$M$154*$W$154</f>
        <v>209151.45248000001</v>
      </c>
      <c r="AD154" s="6">
        <f>$O$154*$X$154</f>
        <v>0</v>
      </c>
      <c r="AE154" s="6">
        <f>$K$154*$Y$154</f>
        <v>0</v>
      </c>
      <c r="AF154" s="6">
        <f ca="1">$M$154*$Z$154</f>
        <v>360335.30125000002</v>
      </c>
      <c r="AG154" s="6">
        <f>$O$154*$AA$154</f>
        <v>0</v>
      </c>
    </row>
    <row r="155" spans="1:33" ht="11.25" customHeight="1" x14ac:dyDescent="0.3">
      <c r="A155" s="4" t="s">
        <v>21</v>
      </c>
      <c r="B155" s="4" t="s">
        <v>34</v>
      </c>
      <c r="C155" s="4" t="s">
        <v>35</v>
      </c>
      <c r="D155" s="4" t="s">
        <v>33</v>
      </c>
      <c r="E155" s="4" t="s">
        <v>25</v>
      </c>
      <c r="F155" s="4" t="s">
        <v>55</v>
      </c>
      <c r="G155" s="4" t="s">
        <v>25</v>
      </c>
      <c r="H155" s="4" t="s">
        <v>37</v>
      </c>
      <c r="I155" s="5">
        <v>44682</v>
      </c>
      <c r="J155" s="6">
        <v>0</v>
      </c>
      <c r="K155" s="6">
        <v>0</v>
      </c>
      <c r="L155" s="6">
        <v>2914.23</v>
      </c>
      <c r="M155" s="6">
        <v>2914.23</v>
      </c>
      <c r="N155" s="6">
        <v>0</v>
      </c>
      <c r="O155" s="6">
        <v>0</v>
      </c>
      <c r="P155" s="6">
        <v>0</v>
      </c>
      <c r="Q155" s="4" t="s">
        <v>56</v>
      </c>
      <c r="R155" s="4">
        <v>0</v>
      </c>
      <c r="S155" s="6">
        <v>0</v>
      </c>
      <c r="T155" s="6">
        <v>22</v>
      </c>
      <c r="U155" s="6">
        <v>0</v>
      </c>
      <c r="V155" s="6">
        <f>IF(ISERROR(VLOOKUP($S$155,'TAR FIN'!$A$1:$O$92,15,0)),0,VLOOKUP($S$155,'TAR FIN'!$A$1:$O$92,15,0))</f>
        <v>0</v>
      </c>
      <c r="W155" s="6">
        <f>IF(ISERROR(VLOOKUP($T$155,'TAR FIN'!$A$1:$O$92,15,0)),0,VLOOKUP($T$155,'TAR FIN'!$A$1:$O$92,15,0))</f>
        <v>73.28</v>
      </c>
      <c r="X155" s="6">
        <f>IF(ISERROR(VLOOKUP($U$155,'TAR FIN'!$A$1:$O$92,15,0)),0,VLOOKUP($U$155,'TAR FIN'!$A$1:$O$92,15,0))</f>
        <v>0</v>
      </c>
      <c r="Y155" s="6"/>
      <c r="Z155" s="6">
        <f ca="1">('TUSD BE'!$AM$16+'TUSD BF_350'!$AM$16+'TUSD CVA'!$AM$16)*1</f>
        <v>126.25</v>
      </c>
      <c r="AA155" s="6"/>
      <c r="AB155" s="6">
        <f>$K$155*$V$155</f>
        <v>0</v>
      </c>
      <c r="AC155" s="6">
        <f>$M$155*$W$155</f>
        <v>213554.77439999999</v>
      </c>
      <c r="AD155" s="6">
        <f>$O$155*$X$155</f>
        <v>0</v>
      </c>
      <c r="AE155" s="6">
        <f>$K$155*$Y$155</f>
        <v>0</v>
      </c>
      <c r="AF155" s="6">
        <f ca="1">$M$155*$Z$155</f>
        <v>367921.53749999998</v>
      </c>
      <c r="AG155" s="6">
        <f>$O$155*$AA$155</f>
        <v>0</v>
      </c>
    </row>
    <row r="156" spans="1:33" ht="11.25" customHeight="1" x14ac:dyDescent="0.3">
      <c r="A156" s="4" t="s">
        <v>21</v>
      </c>
      <c r="B156" s="4" t="s">
        <v>34</v>
      </c>
      <c r="C156" s="4" t="s">
        <v>35</v>
      </c>
      <c r="D156" s="4" t="s">
        <v>33</v>
      </c>
      <c r="E156" s="4" t="s">
        <v>25</v>
      </c>
      <c r="F156" s="4" t="s">
        <v>55</v>
      </c>
      <c r="G156" s="4" t="s">
        <v>25</v>
      </c>
      <c r="H156" s="4" t="s">
        <v>37</v>
      </c>
      <c r="I156" s="5">
        <v>44713</v>
      </c>
      <c r="J156" s="6">
        <v>0</v>
      </c>
      <c r="K156" s="6">
        <v>0</v>
      </c>
      <c r="L156" s="6">
        <v>2965.4425299999998</v>
      </c>
      <c r="M156" s="6">
        <v>2965.4425299999998</v>
      </c>
      <c r="N156" s="6">
        <v>0</v>
      </c>
      <c r="O156" s="6">
        <v>0</v>
      </c>
      <c r="P156" s="6">
        <v>0</v>
      </c>
      <c r="Q156" s="4" t="s">
        <v>56</v>
      </c>
      <c r="R156" s="4">
        <v>0</v>
      </c>
      <c r="S156" s="6">
        <v>0</v>
      </c>
      <c r="T156" s="6">
        <v>22</v>
      </c>
      <c r="U156" s="6">
        <v>0</v>
      </c>
      <c r="V156" s="6">
        <f>IF(ISERROR(VLOOKUP($S$156,'TAR FIN'!$A$1:$O$92,15,0)),0,VLOOKUP($S$156,'TAR FIN'!$A$1:$O$92,15,0))</f>
        <v>0</v>
      </c>
      <c r="W156" s="6">
        <f>IF(ISERROR(VLOOKUP($T$156,'TAR FIN'!$A$1:$O$92,15,0)),0,VLOOKUP($T$156,'TAR FIN'!$A$1:$O$92,15,0))</f>
        <v>73.28</v>
      </c>
      <c r="X156" s="6">
        <f>IF(ISERROR(VLOOKUP($U$156,'TAR FIN'!$A$1:$O$92,15,0)),0,VLOOKUP($U$156,'TAR FIN'!$A$1:$O$92,15,0))</f>
        <v>0</v>
      </c>
      <c r="Y156" s="6"/>
      <c r="Z156" s="6">
        <f ca="1">('TUSD BE'!$AM$16+'TUSD BF_350'!$AM$16+'TUSD CVA'!$AM$16)*1</f>
        <v>126.25</v>
      </c>
      <c r="AA156" s="6"/>
      <c r="AB156" s="6">
        <f>$K$156*$V$156</f>
        <v>0</v>
      </c>
      <c r="AC156" s="6">
        <f>$M$156*$W$156</f>
        <v>217307.62859839998</v>
      </c>
      <c r="AD156" s="6">
        <f>$O$156*$X$156</f>
        <v>0</v>
      </c>
      <c r="AE156" s="6">
        <f>$K$156*$Y$156</f>
        <v>0</v>
      </c>
      <c r="AF156" s="6">
        <f ca="1">$M$156*$Z$156</f>
        <v>374387.1194125</v>
      </c>
      <c r="AG156" s="6">
        <f>$O$156*$AA$156</f>
        <v>0</v>
      </c>
    </row>
    <row r="157" spans="1:33" ht="11.25" customHeight="1" x14ac:dyDescent="0.3">
      <c r="A157" s="4" t="s">
        <v>21</v>
      </c>
      <c r="B157" s="4" t="s">
        <v>34</v>
      </c>
      <c r="C157" s="4" t="s">
        <v>35</v>
      </c>
      <c r="D157" s="4" t="s">
        <v>33</v>
      </c>
      <c r="E157" s="4" t="s">
        <v>25</v>
      </c>
      <c r="F157" s="4" t="s">
        <v>55</v>
      </c>
      <c r="G157" s="4" t="s">
        <v>25</v>
      </c>
      <c r="H157" s="4" t="s">
        <v>37</v>
      </c>
      <c r="I157" s="5">
        <v>44743</v>
      </c>
      <c r="J157" s="6">
        <v>0</v>
      </c>
      <c r="K157" s="6">
        <v>0</v>
      </c>
      <c r="L157" s="6">
        <v>3008.4816900000001</v>
      </c>
      <c r="M157" s="6">
        <v>3008.4816900000001</v>
      </c>
      <c r="N157" s="6">
        <v>0</v>
      </c>
      <c r="O157" s="6">
        <v>0</v>
      </c>
      <c r="P157" s="6">
        <v>0</v>
      </c>
      <c r="Q157" s="4" t="s">
        <v>56</v>
      </c>
      <c r="R157" s="4">
        <v>0</v>
      </c>
      <c r="S157" s="6">
        <v>0</v>
      </c>
      <c r="T157" s="6">
        <v>22</v>
      </c>
      <c r="U157" s="6">
        <v>0</v>
      </c>
      <c r="V157" s="6">
        <f>IF(ISERROR(VLOOKUP($S$157,'TAR FIN'!$A$1:$O$92,15,0)),0,VLOOKUP($S$157,'TAR FIN'!$A$1:$O$92,15,0))</f>
        <v>0</v>
      </c>
      <c r="W157" s="6">
        <f>IF(ISERROR(VLOOKUP($T$157,'TAR FIN'!$A$1:$O$92,15,0)),0,VLOOKUP($T$157,'TAR FIN'!$A$1:$O$92,15,0))</f>
        <v>73.28</v>
      </c>
      <c r="X157" s="6">
        <f>IF(ISERROR(VLOOKUP($U$157,'TAR FIN'!$A$1:$O$92,15,0)),0,VLOOKUP($U$157,'TAR FIN'!$A$1:$O$92,15,0))</f>
        <v>0</v>
      </c>
      <c r="Y157" s="6"/>
      <c r="Z157" s="6">
        <f ca="1">('TUSD BE'!$AM$16+'TUSD BF_350'!$AM$16+'TUSD CVA'!$AM$16)*1</f>
        <v>126.25</v>
      </c>
      <c r="AA157" s="6"/>
      <c r="AB157" s="6">
        <f>$K$157*$V$157</f>
        <v>0</v>
      </c>
      <c r="AC157" s="6">
        <f>$M$157*$W$157</f>
        <v>220461.53824320002</v>
      </c>
      <c r="AD157" s="6">
        <f>$O$157*$X$157</f>
        <v>0</v>
      </c>
      <c r="AE157" s="6">
        <f>$K$157*$Y$157</f>
        <v>0</v>
      </c>
      <c r="AF157" s="6">
        <f ca="1">$M$157*$Z$157</f>
        <v>379820.81336249999</v>
      </c>
      <c r="AG157" s="6">
        <f>$O$157*$AA$157</f>
        <v>0</v>
      </c>
    </row>
    <row r="158" spans="1:33" ht="11.25" customHeight="1" x14ac:dyDescent="0.3">
      <c r="A158" s="4" t="s">
        <v>21</v>
      </c>
      <c r="B158" s="4" t="s">
        <v>34</v>
      </c>
      <c r="C158" s="4" t="s">
        <v>35</v>
      </c>
      <c r="D158" s="4" t="s">
        <v>33</v>
      </c>
      <c r="E158" s="4" t="s">
        <v>25</v>
      </c>
      <c r="F158" s="4" t="s">
        <v>55</v>
      </c>
      <c r="G158" s="4" t="s">
        <v>25</v>
      </c>
      <c r="H158" s="4" t="s">
        <v>25</v>
      </c>
      <c r="I158" s="5">
        <v>44409</v>
      </c>
      <c r="J158" s="6">
        <v>10860.54</v>
      </c>
      <c r="K158" s="6">
        <v>5493.7808088390002</v>
      </c>
      <c r="L158" s="6">
        <v>0</v>
      </c>
      <c r="M158" s="6">
        <v>0</v>
      </c>
      <c r="N158" s="6">
        <v>0</v>
      </c>
      <c r="O158" s="6">
        <v>0</v>
      </c>
      <c r="P158" s="6">
        <v>12</v>
      </c>
      <c r="Q158" s="4" t="s">
        <v>56</v>
      </c>
      <c r="R158" s="4">
        <v>0</v>
      </c>
      <c r="S158" s="6">
        <v>18</v>
      </c>
      <c r="T158" s="6">
        <v>0</v>
      </c>
      <c r="U158" s="6">
        <v>0</v>
      </c>
      <c r="V158" s="6">
        <f>IF(ISERROR(VLOOKUP($S$158,'TAR FIN'!$A$1:$O$92,15,0)),0,VLOOKUP($S$158,'TAR FIN'!$A$1:$O$92,15,0))</f>
        <v>18.489999999999998</v>
      </c>
      <c r="W158" s="6">
        <f>IF(ISERROR(VLOOKUP($T$158,'TAR FIN'!$A$1:$O$92,15,0)),0,VLOOKUP($T$158,'TAR FIN'!$A$1:$O$92,15,0))</f>
        <v>0</v>
      </c>
      <c r="X158" s="6">
        <f>IF(ISERROR(VLOOKUP($U$158,'TAR FIN'!$A$1:$O$92,15,0)),0,VLOOKUP($U$158,'TAR FIN'!$A$1:$O$92,15,0))</f>
        <v>0</v>
      </c>
      <c r="Y158" s="6">
        <f ca="1">('TUSD BE'!$AM$14+'TUSD BF_350'!$AM$14+'TUSD CVA'!$AM$14)*1</f>
        <v>15.64</v>
      </c>
      <c r="Z158" s="6"/>
      <c r="AA158" s="6"/>
      <c r="AB158" s="6">
        <f>$K$158*$V$158</f>
        <v>101580.00715543311</v>
      </c>
      <c r="AC158" s="6">
        <f>$M$158*$W$158</f>
        <v>0</v>
      </c>
      <c r="AD158" s="6">
        <f>$O$158*$X$158</f>
        <v>0</v>
      </c>
      <c r="AE158" s="6">
        <f ca="1">$K$158*$Y$158</f>
        <v>85922.731850241966</v>
      </c>
      <c r="AF158" s="6">
        <f>$M$158*$Z$158</f>
        <v>0</v>
      </c>
      <c r="AG158" s="6">
        <f>$O$158*$AA$158</f>
        <v>0</v>
      </c>
    </row>
    <row r="159" spans="1:33" ht="11.25" customHeight="1" x14ac:dyDescent="0.3">
      <c r="A159" s="4" t="s">
        <v>21</v>
      </c>
      <c r="B159" s="4" t="s">
        <v>34</v>
      </c>
      <c r="C159" s="4" t="s">
        <v>35</v>
      </c>
      <c r="D159" s="4" t="s">
        <v>33</v>
      </c>
      <c r="E159" s="4" t="s">
        <v>25</v>
      </c>
      <c r="F159" s="4" t="s">
        <v>55</v>
      </c>
      <c r="G159" s="4" t="s">
        <v>25</v>
      </c>
      <c r="H159" s="4" t="s">
        <v>25</v>
      </c>
      <c r="I159" s="5">
        <v>44440</v>
      </c>
      <c r="J159" s="6">
        <v>10843</v>
      </c>
      <c r="K159" s="6">
        <v>5470.3615940400005</v>
      </c>
      <c r="L159" s="6">
        <v>0</v>
      </c>
      <c r="M159" s="6">
        <v>0</v>
      </c>
      <c r="N159" s="6">
        <v>0</v>
      </c>
      <c r="O159" s="6">
        <v>0</v>
      </c>
      <c r="P159" s="6">
        <v>12</v>
      </c>
      <c r="Q159" s="4" t="s">
        <v>56</v>
      </c>
      <c r="R159" s="4">
        <v>0</v>
      </c>
      <c r="S159" s="6">
        <v>18</v>
      </c>
      <c r="T159" s="6">
        <v>0</v>
      </c>
      <c r="U159" s="6">
        <v>0</v>
      </c>
      <c r="V159" s="6">
        <f>IF(ISERROR(VLOOKUP($S$159,'TAR FIN'!$A$1:$O$92,15,0)),0,VLOOKUP($S$159,'TAR FIN'!$A$1:$O$92,15,0))</f>
        <v>18.489999999999998</v>
      </c>
      <c r="W159" s="6">
        <f>IF(ISERROR(VLOOKUP($T$159,'TAR FIN'!$A$1:$O$92,15,0)),0,VLOOKUP($T$159,'TAR FIN'!$A$1:$O$92,15,0))</f>
        <v>0</v>
      </c>
      <c r="X159" s="6">
        <f>IF(ISERROR(VLOOKUP($U$159,'TAR FIN'!$A$1:$O$92,15,0)),0,VLOOKUP($U$159,'TAR FIN'!$A$1:$O$92,15,0))</f>
        <v>0</v>
      </c>
      <c r="Y159" s="6">
        <f ca="1">('TUSD BE'!$AM$14+'TUSD BF_350'!$AM$14+'TUSD CVA'!$AM$14)*1</f>
        <v>15.64</v>
      </c>
      <c r="Z159" s="6"/>
      <c r="AA159" s="6"/>
      <c r="AB159" s="6">
        <f>$K$159*$V$159</f>
        <v>101146.9858737996</v>
      </c>
      <c r="AC159" s="6">
        <f>$M$159*$W$159</f>
        <v>0</v>
      </c>
      <c r="AD159" s="6">
        <f>$O$159*$X$159</f>
        <v>0</v>
      </c>
      <c r="AE159" s="6">
        <f ca="1">$K$159*$Y$159</f>
        <v>85556.455330785611</v>
      </c>
      <c r="AF159" s="6">
        <f>$M$159*$Z$159</f>
        <v>0</v>
      </c>
      <c r="AG159" s="6">
        <f>$O$159*$AA$159</f>
        <v>0</v>
      </c>
    </row>
    <row r="160" spans="1:33" ht="11.25" customHeight="1" x14ac:dyDescent="0.3">
      <c r="A160" s="4" t="s">
        <v>21</v>
      </c>
      <c r="B160" s="4" t="s">
        <v>34</v>
      </c>
      <c r="C160" s="4" t="s">
        <v>35</v>
      </c>
      <c r="D160" s="4" t="s">
        <v>33</v>
      </c>
      <c r="E160" s="4" t="s">
        <v>25</v>
      </c>
      <c r="F160" s="4" t="s">
        <v>55</v>
      </c>
      <c r="G160" s="4" t="s">
        <v>25</v>
      </c>
      <c r="H160" s="4" t="s">
        <v>25</v>
      </c>
      <c r="I160" s="5">
        <v>44470</v>
      </c>
      <c r="J160" s="6">
        <v>11240.22</v>
      </c>
      <c r="K160" s="6">
        <v>5671.8020857470001</v>
      </c>
      <c r="L160" s="6">
        <v>0</v>
      </c>
      <c r="M160" s="6">
        <v>0</v>
      </c>
      <c r="N160" s="6">
        <v>0</v>
      </c>
      <c r="O160" s="6">
        <v>0</v>
      </c>
      <c r="P160" s="6">
        <v>12</v>
      </c>
      <c r="Q160" s="4" t="s">
        <v>56</v>
      </c>
      <c r="R160" s="4">
        <v>0</v>
      </c>
      <c r="S160" s="6">
        <v>18</v>
      </c>
      <c r="T160" s="6">
        <v>0</v>
      </c>
      <c r="U160" s="6">
        <v>0</v>
      </c>
      <c r="V160" s="6">
        <f>IF(ISERROR(VLOOKUP($S$160,'TAR FIN'!$A$1:$O$92,15,0)),0,VLOOKUP($S$160,'TAR FIN'!$A$1:$O$92,15,0))</f>
        <v>18.489999999999998</v>
      </c>
      <c r="W160" s="6">
        <f>IF(ISERROR(VLOOKUP($T$160,'TAR FIN'!$A$1:$O$92,15,0)),0,VLOOKUP($T$160,'TAR FIN'!$A$1:$O$92,15,0))</f>
        <v>0</v>
      </c>
      <c r="X160" s="6">
        <f>IF(ISERROR(VLOOKUP($U$160,'TAR FIN'!$A$1:$O$92,15,0)),0,VLOOKUP($U$160,'TAR FIN'!$A$1:$O$92,15,0))</f>
        <v>0</v>
      </c>
      <c r="Y160" s="6">
        <f ca="1">('TUSD BE'!$AM$14+'TUSD BF_350'!$AM$14+'TUSD CVA'!$AM$14)*1</f>
        <v>15.64</v>
      </c>
      <c r="Z160" s="6"/>
      <c r="AA160" s="6"/>
      <c r="AB160" s="6">
        <f>$K$160*$V$160</f>
        <v>104871.62056546203</v>
      </c>
      <c r="AC160" s="6">
        <f>$M$160*$W$160</f>
        <v>0</v>
      </c>
      <c r="AD160" s="6">
        <f>$O$160*$X$160</f>
        <v>0</v>
      </c>
      <c r="AE160" s="6">
        <f ca="1">$K$160*$Y$160</f>
        <v>88706.984621083087</v>
      </c>
      <c r="AF160" s="6">
        <f>$M$160*$Z$160</f>
        <v>0</v>
      </c>
      <c r="AG160" s="6">
        <f>$O$160*$AA$160</f>
        <v>0</v>
      </c>
    </row>
    <row r="161" spans="1:33" ht="11.25" customHeight="1" x14ac:dyDescent="0.3">
      <c r="A161" s="4" t="s">
        <v>21</v>
      </c>
      <c r="B161" s="4" t="s">
        <v>34</v>
      </c>
      <c r="C161" s="4" t="s">
        <v>35</v>
      </c>
      <c r="D161" s="4" t="s">
        <v>33</v>
      </c>
      <c r="E161" s="4" t="s">
        <v>25</v>
      </c>
      <c r="F161" s="4" t="s">
        <v>55</v>
      </c>
      <c r="G161" s="4" t="s">
        <v>25</v>
      </c>
      <c r="H161" s="4" t="s">
        <v>25</v>
      </c>
      <c r="I161" s="5">
        <v>44501</v>
      </c>
      <c r="J161" s="6">
        <v>11461</v>
      </c>
      <c r="K161" s="6">
        <v>5831.1337689399998</v>
      </c>
      <c r="L161" s="6">
        <v>0</v>
      </c>
      <c r="M161" s="6">
        <v>0</v>
      </c>
      <c r="N161" s="6">
        <v>0</v>
      </c>
      <c r="O161" s="6">
        <v>0</v>
      </c>
      <c r="P161" s="6">
        <v>12</v>
      </c>
      <c r="Q161" s="4" t="s">
        <v>56</v>
      </c>
      <c r="R161" s="4">
        <v>0</v>
      </c>
      <c r="S161" s="6">
        <v>18</v>
      </c>
      <c r="T161" s="6">
        <v>0</v>
      </c>
      <c r="U161" s="6">
        <v>0</v>
      </c>
      <c r="V161" s="6">
        <f>IF(ISERROR(VLOOKUP($S$161,'TAR FIN'!$A$1:$O$92,15,0)),0,VLOOKUP($S$161,'TAR FIN'!$A$1:$O$92,15,0))</f>
        <v>18.489999999999998</v>
      </c>
      <c r="W161" s="6">
        <f>IF(ISERROR(VLOOKUP($T$161,'TAR FIN'!$A$1:$O$92,15,0)),0,VLOOKUP($T$161,'TAR FIN'!$A$1:$O$92,15,0))</f>
        <v>0</v>
      </c>
      <c r="X161" s="6">
        <f>IF(ISERROR(VLOOKUP($U$161,'TAR FIN'!$A$1:$O$92,15,0)),0,VLOOKUP($U$161,'TAR FIN'!$A$1:$O$92,15,0))</f>
        <v>0</v>
      </c>
      <c r="Y161" s="6">
        <f ca="1">('TUSD BE'!$AM$14+'TUSD BF_350'!$AM$14+'TUSD CVA'!$AM$14)*1</f>
        <v>15.64</v>
      </c>
      <c r="Z161" s="6"/>
      <c r="AA161" s="6"/>
      <c r="AB161" s="6">
        <f>$K$161*$V$161</f>
        <v>107817.66338770058</v>
      </c>
      <c r="AC161" s="6">
        <f>$M$161*$W$161</f>
        <v>0</v>
      </c>
      <c r="AD161" s="6">
        <f>$O$161*$X$161</f>
        <v>0</v>
      </c>
      <c r="AE161" s="6">
        <f ca="1">$K$161*$Y$161</f>
        <v>91198.932146221603</v>
      </c>
      <c r="AF161" s="6">
        <f>$M$161*$Z$161</f>
        <v>0</v>
      </c>
      <c r="AG161" s="6">
        <f>$O$161*$AA$161</f>
        <v>0</v>
      </c>
    </row>
    <row r="162" spans="1:33" ht="11.25" customHeight="1" x14ac:dyDescent="0.3">
      <c r="A162" s="4" t="s">
        <v>21</v>
      </c>
      <c r="B162" s="4" t="s">
        <v>34</v>
      </c>
      <c r="C162" s="4" t="s">
        <v>35</v>
      </c>
      <c r="D162" s="4" t="s">
        <v>33</v>
      </c>
      <c r="E162" s="4" t="s">
        <v>25</v>
      </c>
      <c r="F162" s="4" t="s">
        <v>55</v>
      </c>
      <c r="G162" s="4" t="s">
        <v>25</v>
      </c>
      <c r="H162" s="4" t="s">
        <v>25</v>
      </c>
      <c r="I162" s="5">
        <v>44531</v>
      </c>
      <c r="J162" s="6">
        <v>11352</v>
      </c>
      <c r="K162" s="6">
        <v>5753.7146567999998</v>
      </c>
      <c r="L162" s="6">
        <v>0</v>
      </c>
      <c r="M162" s="6">
        <v>0</v>
      </c>
      <c r="N162" s="6">
        <v>0</v>
      </c>
      <c r="O162" s="6">
        <v>0</v>
      </c>
      <c r="P162" s="6">
        <v>12</v>
      </c>
      <c r="Q162" s="4" t="s">
        <v>56</v>
      </c>
      <c r="R162" s="4">
        <v>0</v>
      </c>
      <c r="S162" s="6">
        <v>18</v>
      </c>
      <c r="T162" s="6">
        <v>0</v>
      </c>
      <c r="U162" s="6">
        <v>0</v>
      </c>
      <c r="V162" s="6">
        <f>IF(ISERROR(VLOOKUP($S$162,'TAR FIN'!$A$1:$O$92,15,0)),0,VLOOKUP($S$162,'TAR FIN'!$A$1:$O$92,15,0))</f>
        <v>18.489999999999998</v>
      </c>
      <c r="W162" s="6">
        <f>IF(ISERROR(VLOOKUP($T$162,'TAR FIN'!$A$1:$O$92,15,0)),0,VLOOKUP($T$162,'TAR FIN'!$A$1:$O$92,15,0))</f>
        <v>0</v>
      </c>
      <c r="X162" s="6">
        <f>IF(ISERROR(VLOOKUP($U$162,'TAR FIN'!$A$1:$O$92,15,0)),0,VLOOKUP($U$162,'TAR FIN'!$A$1:$O$92,15,0))</f>
        <v>0</v>
      </c>
      <c r="Y162" s="6">
        <f ca="1">('TUSD BE'!$AM$14+'TUSD BF_350'!$AM$14+'TUSD CVA'!$AM$14)*1</f>
        <v>15.64</v>
      </c>
      <c r="Z162" s="6"/>
      <c r="AA162" s="6"/>
      <c r="AB162" s="6">
        <f>$K$162*$V$162</f>
        <v>106386.18400423198</v>
      </c>
      <c r="AC162" s="6">
        <f>$M$162*$W$162</f>
        <v>0</v>
      </c>
      <c r="AD162" s="6">
        <f>$O$162*$X$162</f>
        <v>0</v>
      </c>
      <c r="AE162" s="6">
        <f ca="1">$K$162*$Y$162</f>
        <v>89988.097232351996</v>
      </c>
      <c r="AF162" s="6">
        <f>$M$162*$Z$162</f>
        <v>0</v>
      </c>
      <c r="AG162" s="6">
        <f>$O$162*$AA$162</f>
        <v>0</v>
      </c>
    </row>
    <row r="163" spans="1:33" ht="11.25" customHeight="1" x14ac:dyDescent="0.3">
      <c r="A163" s="4" t="s">
        <v>21</v>
      </c>
      <c r="B163" s="4" t="s">
        <v>34</v>
      </c>
      <c r="C163" s="4" t="s">
        <v>35</v>
      </c>
      <c r="D163" s="4" t="s">
        <v>33</v>
      </c>
      <c r="E163" s="4" t="s">
        <v>25</v>
      </c>
      <c r="F163" s="4" t="s">
        <v>55</v>
      </c>
      <c r="G163" s="4" t="s">
        <v>25</v>
      </c>
      <c r="H163" s="4" t="s">
        <v>25</v>
      </c>
      <c r="I163" s="5">
        <v>44562</v>
      </c>
      <c r="J163" s="6">
        <v>11339</v>
      </c>
      <c r="K163" s="6">
        <v>5732.9009979900002</v>
      </c>
      <c r="L163" s="6">
        <v>0</v>
      </c>
      <c r="M163" s="6">
        <v>0</v>
      </c>
      <c r="N163" s="6">
        <v>0</v>
      </c>
      <c r="O163" s="6">
        <v>0</v>
      </c>
      <c r="P163" s="6">
        <v>12</v>
      </c>
      <c r="Q163" s="4" t="s">
        <v>56</v>
      </c>
      <c r="R163" s="4">
        <v>0</v>
      </c>
      <c r="S163" s="6">
        <v>18</v>
      </c>
      <c r="T163" s="6">
        <v>0</v>
      </c>
      <c r="U163" s="6">
        <v>0</v>
      </c>
      <c r="V163" s="6">
        <f>IF(ISERROR(VLOOKUP($S$163,'TAR FIN'!$A$1:$O$92,15,0)),0,VLOOKUP($S$163,'TAR FIN'!$A$1:$O$92,15,0))</f>
        <v>18.489999999999998</v>
      </c>
      <c r="W163" s="6">
        <f>IF(ISERROR(VLOOKUP($T$163,'TAR FIN'!$A$1:$O$92,15,0)),0,VLOOKUP($T$163,'TAR FIN'!$A$1:$O$92,15,0))</f>
        <v>0</v>
      </c>
      <c r="X163" s="6">
        <f>IF(ISERROR(VLOOKUP($U$163,'TAR FIN'!$A$1:$O$92,15,0)),0,VLOOKUP($U$163,'TAR FIN'!$A$1:$O$92,15,0))</f>
        <v>0</v>
      </c>
      <c r="Y163" s="6">
        <f ca="1">('TUSD BE'!$AM$14+'TUSD BF_350'!$AM$14+'TUSD CVA'!$AM$14)*1</f>
        <v>15.64</v>
      </c>
      <c r="Z163" s="6"/>
      <c r="AA163" s="6"/>
      <c r="AB163" s="6">
        <f>$K$163*$V$163</f>
        <v>106001.33945283509</v>
      </c>
      <c r="AC163" s="6">
        <f>$M$163*$W$163</f>
        <v>0</v>
      </c>
      <c r="AD163" s="6">
        <f>$O$163*$X$163</f>
        <v>0</v>
      </c>
      <c r="AE163" s="6">
        <f ca="1">$K$163*$Y$163</f>
        <v>89662.571608563609</v>
      </c>
      <c r="AF163" s="6">
        <f>$M$163*$Z$163</f>
        <v>0</v>
      </c>
      <c r="AG163" s="6">
        <f>$O$163*$AA$163</f>
        <v>0</v>
      </c>
    </row>
    <row r="164" spans="1:33" ht="11.25" customHeight="1" x14ac:dyDescent="0.3">
      <c r="A164" s="4" t="s">
        <v>21</v>
      </c>
      <c r="B164" s="4" t="s">
        <v>34</v>
      </c>
      <c r="C164" s="4" t="s">
        <v>35</v>
      </c>
      <c r="D164" s="4" t="s">
        <v>33</v>
      </c>
      <c r="E164" s="4" t="s">
        <v>25</v>
      </c>
      <c r="F164" s="4" t="s">
        <v>55</v>
      </c>
      <c r="G164" s="4" t="s">
        <v>25</v>
      </c>
      <c r="H164" s="4" t="s">
        <v>25</v>
      </c>
      <c r="I164" s="5">
        <v>44593</v>
      </c>
      <c r="J164" s="6">
        <v>11178</v>
      </c>
      <c r="K164" s="6">
        <v>5654.33194482</v>
      </c>
      <c r="L164" s="6">
        <v>0</v>
      </c>
      <c r="M164" s="6">
        <v>0</v>
      </c>
      <c r="N164" s="6">
        <v>0</v>
      </c>
      <c r="O164" s="6">
        <v>0</v>
      </c>
      <c r="P164" s="6">
        <v>12</v>
      </c>
      <c r="Q164" s="4" t="s">
        <v>56</v>
      </c>
      <c r="R164" s="4">
        <v>0</v>
      </c>
      <c r="S164" s="6">
        <v>18</v>
      </c>
      <c r="T164" s="6">
        <v>0</v>
      </c>
      <c r="U164" s="6">
        <v>0</v>
      </c>
      <c r="V164" s="6">
        <f>IF(ISERROR(VLOOKUP($S$164,'TAR FIN'!$A$1:$O$92,15,0)),0,VLOOKUP($S$164,'TAR FIN'!$A$1:$O$92,15,0))</f>
        <v>18.489999999999998</v>
      </c>
      <c r="W164" s="6">
        <f>IF(ISERROR(VLOOKUP($T$164,'TAR FIN'!$A$1:$O$92,15,0)),0,VLOOKUP($T$164,'TAR FIN'!$A$1:$O$92,15,0))</f>
        <v>0</v>
      </c>
      <c r="X164" s="6">
        <f>IF(ISERROR(VLOOKUP($U$164,'TAR FIN'!$A$1:$O$92,15,0)),0,VLOOKUP($U$164,'TAR FIN'!$A$1:$O$92,15,0))</f>
        <v>0</v>
      </c>
      <c r="Y164" s="6">
        <f ca="1">('TUSD BE'!$AM$14+'TUSD BF_350'!$AM$14+'TUSD CVA'!$AM$14)*1</f>
        <v>15.64</v>
      </c>
      <c r="Z164" s="6"/>
      <c r="AA164" s="6"/>
      <c r="AB164" s="6">
        <f>$K$164*$V$164</f>
        <v>104548.5976597218</v>
      </c>
      <c r="AC164" s="6">
        <f>$M$164*$W$164</f>
        <v>0</v>
      </c>
      <c r="AD164" s="6">
        <f>$O$164*$X$164</f>
        <v>0</v>
      </c>
      <c r="AE164" s="6">
        <f ca="1">$K$164*$Y$164</f>
        <v>88433.75161698481</v>
      </c>
      <c r="AF164" s="6">
        <f>$M$164*$Z$164</f>
        <v>0</v>
      </c>
      <c r="AG164" s="6">
        <f>$O$164*$AA$164</f>
        <v>0</v>
      </c>
    </row>
    <row r="165" spans="1:33" ht="11.25" customHeight="1" x14ac:dyDescent="0.3">
      <c r="A165" s="4" t="s">
        <v>21</v>
      </c>
      <c r="B165" s="4" t="s">
        <v>34</v>
      </c>
      <c r="C165" s="4" t="s">
        <v>35</v>
      </c>
      <c r="D165" s="4" t="s">
        <v>33</v>
      </c>
      <c r="E165" s="4" t="s">
        <v>25</v>
      </c>
      <c r="F165" s="4" t="s">
        <v>55</v>
      </c>
      <c r="G165" s="4" t="s">
        <v>25</v>
      </c>
      <c r="H165" s="4" t="s">
        <v>25</v>
      </c>
      <c r="I165" s="5">
        <v>44621</v>
      </c>
      <c r="J165" s="6">
        <v>11143</v>
      </c>
      <c r="K165" s="6">
        <v>5667.1542977500003</v>
      </c>
      <c r="L165" s="6">
        <v>0</v>
      </c>
      <c r="M165" s="6">
        <v>0</v>
      </c>
      <c r="N165" s="6">
        <v>0</v>
      </c>
      <c r="O165" s="6">
        <v>0</v>
      </c>
      <c r="P165" s="6">
        <v>12</v>
      </c>
      <c r="Q165" s="4" t="s">
        <v>56</v>
      </c>
      <c r="R165" s="4">
        <v>0</v>
      </c>
      <c r="S165" s="6">
        <v>18</v>
      </c>
      <c r="T165" s="6">
        <v>0</v>
      </c>
      <c r="U165" s="6">
        <v>0</v>
      </c>
      <c r="V165" s="6">
        <f>IF(ISERROR(VLOOKUP($S$165,'TAR FIN'!$A$1:$O$92,15,0)),0,VLOOKUP($S$165,'TAR FIN'!$A$1:$O$92,15,0))</f>
        <v>18.489999999999998</v>
      </c>
      <c r="W165" s="6">
        <f>IF(ISERROR(VLOOKUP($T$165,'TAR FIN'!$A$1:$O$92,15,0)),0,VLOOKUP($T$165,'TAR FIN'!$A$1:$O$92,15,0))</f>
        <v>0</v>
      </c>
      <c r="X165" s="6">
        <f>IF(ISERROR(VLOOKUP($U$165,'TAR FIN'!$A$1:$O$92,15,0)),0,VLOOKUP($U$165,'TAR FIN'!$A$1:$O$92,15,0))</f>
        <v>0</v>
      </c>
      <c r="Y165" s="6">
        <f ca="1">('TUSD BE'!$AM$14+'TUSD BF_350'!$AM$14+'TUSD CVA'!$AM$14)*1</f>
        <v>15.64</v>
      </c>
      <c r="Z165" s="6"/>
      <c r="AA165" s="6"/>
      <c r="AB165" s="6">
        <f>$K$165*$V$165</f>
        <v>104785.6829653975</v>
      </c>
      <c r="AC165" s="6">
        <f>$M$165*$W$165</f>
        <v>0</v>
      </c>
      <c r="AD165" s="6">
        <f>$O$165*$X$165</f>
        <v>0</v>
      </c>
      <c r="AE165" s="6">
        <f ca="1">$K$165*$Y$165</f>
        <v>88634.293216810009</v>
      </c>
      <c r="AF165" s="6">
        <f>$M$165*$Z$165</f>
        <v>0</v>
      </c>
      <c r="AG165" s="6">
        <f>$O$165*$AA$165</f>
        <v>0</v>
      </c>
    </row>
    <row r="166" spans="1:33" ht="11.25" customHeight="1" x14ac:dyDescent="0.3">
      <c r="A166" s="4" t="s">
        <v>21</v>
      </c>
      <c r="B166" s="4" t="s">
        <v>34</v>
      </c>
      <c r="C166" s="4" t="s">
        <v>35</v>
      </c>
      <c r="D166" s="4" t="s">
        <v>33</v>
      </c>
      <c r="E166" s="4" t="s">
        <v>25</v>
      </c>
      <c r="F166" s="4" t="s">
        <v>55</v>
      </c>
      <c r="G166" s="4" t="s">
        <v>25</v>
      </c>
      <c r="H166" s="4" t="s">
        <v>25</v>
      </c>
      <c r="I166" s="5">
        <v>44652</v>
      </c>
      <c r="J166" s="6">
        <v>11145</v>
      </c>
      <c r="K166" s="6">
        <v>5626.5137967000001</v>
      </c>
      <c r="L166" s="6">
        <v>0</v>
      </c>
      <c r="M166" s="6">
        <v>0</v>
      </c>
      <c r="N166" s="6">
        <v>0</v>
      </c>
      <c r="O166" s="6">
        <v>0</v>
      </c>
      <c r="P166" s="6">
        <v>12</v>
      </c>
      <c r="Q166" s="4" t="s">
        <v>56</v>
      </c>
      <c r="R166" s="4">
        <v>0</v>
      </c>
      <c r="S166" s="6">
        <v>18</v>
      </c>
      <c r="T166" s="6">
        <v>0</v>
      </c>
      <c r="U166" s="6">
        <v>0</v>
      </c>
      <c r="V166" s="6">
        <f>IF(ISERROR(VLOOKUP($S$166,'TAR FIN'!$A$1:$O$92,15,0)),0,VLOOKUP($S$166,'TAR FIN'!$A$1:$O$92,15,0))</f>
        <v>18.489999999999998</v>
      </c>
      <c r="W166" s="6">
        <f>IF(ISERROR(VLOOKUP($T$166,'TAR FIN'!$A$1:$O$92,15,0)),0,VLOOKUP($T$166,'TAR FIN'!$A$1:$O$92,15,0))</f>
        <v>0</v>
      </c>
      <c r="X166" s="6">
        <f>IF(ISERROR(VLOOKUP($U$166,'TAR FIN'!$A$1:$O$92,15,0)),0,VLOOKUP($U$166,'TAR FIN'!$A$1:$O$92,15,0))</f>
        <v>0</v>
      </c>
      <c r="Y166" s="6">
        <f ca="1">('TUSD BE'!$AM$14+'TUSD BF_350'!$AM$14+'TUSD CVA'!$AM$14)*1</f>
        <v>15.64</v>
      </c>
      <c r="Z166" s="6"/>
      <c r="AA166" s="6"/>
      <c r="AB166" s="6">
        <f>$K$166*$V$166</f>
        <v>104034.24010098299</v>
      </c>
      <c r="AC166" s="6">
        <f>$M$166*$W$166</f>
        <v>0</v>
      </c>
      <c r="AD166" s="6">
        <f>$O$166*$X$166</f>
        <v>0</v>
      </c>
      <c r="AE166" s="6">
        <f ca="1">$K$166*$Y$166</f>
        <v>87998.675780388003</v>
      </c>
      <c r="AF166" s="6">
        <f>$M$166*$Z$166</f>
        <v>0</v>
      </c>
      <c r="AG166" s="6">
        <f>$O$166*$AA$166</f>
        <v>0</v>
      </c>
    </row>
    <row r="167" spans="1:33" ht="11.25" customHeight="1" x14ac:dyDescent="0.3">
      <c r="A167" s="4" t="s">
        <v>21</v>
      </c>
      <c r="B167" s="4" t="s">
        <v>34</v>
      </c>
      <c r="C167" s="4" t="s">
        <v>35</v>
      </c>
      <c r="D167" s="4" t="s">
        <v>33</v>
      </c>
      <c r="E167" s="4" t="s">
        <v>25</v>
      </c>
      <c r="F167" s="4" t="s">
        <v>55</v>
      </c>
      <c r="G167" s="4" t="s">
        <v>25</v>
      </c>
      <c r="H167" s="4" t="s">
        <v>25</v>
      </c>
      <c r="I167" s="5">
        <v>44682</v>
      </c>
      <c r="J167" s="6">
        <v>11192</v>
      </c>
      <c r="K167" s="6">
        <v>5663.6857464799996</v>
      </c>
      <c r="L167" s="6">
        <v>0</v>
      </c>
      <c r="M167" s="6">
        <v>0</v>
      </c>
      <c r="N167" s="6">
        <v>0</v>
      </c>
      <c r="O167" s="6">
        <v>0</v>
      </c>
      <c r="P167" s="6">
        <v>12</v>
      </c>
      <c r="Q167" s="4" t="s">
        <v>56</v>
      </c>
      <c r="R167" s="4">
        <v>0</v>
      </c>
      <c r="S167" s="6">
        <v>18</v>
      </c>
      <c r="T167" s="6">
        <v>0</v>
      </c>
      <c r="U167" s="6">
        <v>0</v>
      </c>
      <c r="V167" s="6">
        <f>IF(ISERROR(VLOOKUP($S$167,'TAR FIN'!$A$1:$O$92,15,0)),0,VLOOKUP($S$167,'TAR FIN'!$A$1:$O$92,15,0))</f>
        <v>18.489999999999998</v>
      </c>
      <c r="W167" s="6">
        <f>IF(ISERROR(VLOOKUP($T$167,'TAR FIN'!$A$1:$O$92,15,0)),0,VLOOKUP($T$167,'TAR FIN'!$A$1:$O$92,15,0))</f>
        <v>0</v>
      </c>
      <c r="X167" s="6">
        <f>IF(ISERROR(VLOOKUP($U$167,'TAR FIN'!$A$1:$O$92,15,0)),0,VLOOKUP($U$167,'TAR FIN'!$A$1:$O$92,15,0))</f>
        <v>0</v>
      </c>
      <c r="Y167" s="6">
        <f ca="1">('TUSD BE'!$AM$14+'TUSD BF_350'!$AM$14+'TUSD CVA'!$AM$14)*1</f>
        <v>15.64</v>
      </c>
      <c r="Z167" s="6"/>
      <c r="AA167" s="6"/>
      <c r="AB167" s="6">
        <f>$K$167*$V$167</f>
        <v>104721.54945241519</v>
      </c>
      <c r="AC167" s="6">
        <f>$M$167*$W$167</f>
        <v>0</v>
      </c>
      <c r="AD167" s="6">
        <f>$O$167*$X$167</f>
        <v>0</v>
      </c>
      <c r="AE167" s="6">
        <f ca="1">$K$167*$Y$167</f>
        <v>88580.045074947193</v>
      </c>
      <c r="AF167" s="6">
        <f>$M$167*$Z$167</f>
        <v>0</v>
      </c>
      <c r="AG167" s="6">
        <f>$O$167*$AA$167</f>
        <v>0</v>
      </c>
    </row>
    <row r="168" spans="1:33" ht="11.25" customHeight="1" x14ac:dyDescent="0.3">
      <c r="A168" s="4" t="s">
        <v>21</v>
      </c>
      <c r="B168" s="4" t="s">
        <v>34</v>
      </c>
      <c r="C168" s="4" t="s">
        <v>35</v>
      </c>
      <c r="D168" s="4" t="s">
        <v>33</v>
      </c>
      <c r="E168" s="4" t="s">
        <v>25</v>
      </c>
      <c r="F168" s="4" t="s">
        <v>55</v>
      </c>
      <c r="G168" s="4" t="s">
        <v>25</v>
      </c>
      <c r="H168" s="4" t="s">
        <v>25</v>
      </c>
      <c r="I168" s="5">
        <v>44713</v>
      </c>
      <c r="J168" s="6">
        <v>11135</v>
      </c>
      <c r="K168" s="6">
        <v>5673.2455318000002</v>
      </c>
      <c r="L168" s="6">
        <v>0</v>
      </c>
      <c r="M168" s="6">
        <v>0</v>
      </c>
      <c r="N168" s="6">
        <v>0</v>
      </c>
      <c r="O168" s="6">
        <v>0</v>
      </c>
      <c r="P168" s="6">
        <v>12</v>
      </c>
      <c r="Q168" s="4" t="s">
        <v>56</v>
      </c>
      <c r="R168" s="4">
        <v>0</v>
      </c>
      <c r="S168" s="6">
        <v>18</v>
      </c>
      <c r="T168" s="6">
        <v>0</v>
      </c>
      <c r="U168" s="6">
        <v>0</v>
      </c>
      <c r="V168" s="6">
        <f>IF(ISERROR(VLOOKUP($S$168,'TAR FIN'!$A$1:$O$92,15,0)),0,VLOOKUP($S$168,'TAR FIN'!$A$1:$O$92,15,0))</f>
        <v>18.489999999999998</v>
      </c>
      <c r="W168" s="6">
        <f>IF(ISERROR(VLOOKUP($T$168,'TAR FIN'!$A$1:$O$92,15,0)),0,VLOOKUP($T$168,'TAR FIN'!$A$1:$O$92,15,0))</f>
        <v>0</v>
      </c>
      <c r="X168" s="6">
        <f>IF(ISERROR(VLOOKUP($U$168,'TAR FIN'!$A$1:$O$92,15,0)),0,VLOOKUP($U$168,'TAR FIN'!$A$1:$O$92,15,0))</f>
        <v>0</v>
      </c>
      <c r="Y168" s="6">
        <f ca="1">('TUSD BE'!$AM$14+'TUSD BF_350'!$AM$14+'TUSD CVA'!$AM$14)*1</f>
        <v>15.64</v>
      </c>
      <c r="Z168" s="6"/>
      <c r="AA168" s="6"/>
      <c r="AB168" s="6">
        <f>$K$168*$V$168</f>
        <v>104898.30988298199</v>
      </c>
      <c r="AC168" s="6">
        <f>$M$168*$W$168</f>
        <v>0</v>
      </c>
      <c r="AD168" s="6">
        <f>$O$168*$X$168</f>
        <v>0</v>
      </c>
      <c r="AE168" s="6">
        <f ca="1">$K$168*$Y$168</f>
        <v>88729.560117352012</v>
      </c>
      <c r="AF168" s="6">
        <f>$M$168*$Z$168</f>
        <v>0</v>
      </c>
      <c r="AG168" s="6">
        <f>$O$168*$AA$168</f>
        <v>0</v>
      </c>
    </row>
    <row r="169" spans="1:33" ht="11.25" customHeight="1" x14ac:dyDescent="0.3">
      <c r="A169" s="4" t="s">
        <v>21</v>
      </c>
      <c r="B169" s="4" t="s">
        <v>34</v>
      </c>
      <c r="C169" s="4" t="s">
        <v>35</v>
      </c>
      <c r="D169" s="4" t="s">
        <v>33</v>
      </c>
      <c r="E169" s="4" t="s">
        <v>25</v>
      </c>
      <c r="F169" s="4" t="s">
        <v>55</v>
      </c>
      <c r="G169" s="4" t="s">
        <v>25</v>
      </c>
      <c r="H169" s="4" t="s">
        <v>25</v>
      </c>
      <c r="I169" s="5">
        <v>44743</v>
      </c>
      <c r="J169" s="6">
        <v>11165.48</v>
      </c>
      <c r="K169" s="6">
        <v>5624.0284935276004</v>
      </c>
      <c r="L169" s="6">
        <v>0</v>
      </c>
      <c r="M169" s="6">
        <v>0</v>
      </c>
      <c r="N169" s="6">
        <v>0</v>
      </c>
      <c r="O169" s="6">
        <v>0</v>
      </c>
      <c r="P169" s="6">
        <v>12</v>
      </c>
      <c r="Q169" s="4" t="s">
        <v>56</v>
      </c>
      <c r="R169" s="4">
        <v>0</v>
      </c>
      <c r="S169" s="6">
        <v>18</v>
      </c>
      <c r="T169" s="6">
        <v>0</v>
      </c>
      <c r="U169" s="6">
        <v>0</v>
      </c>
      <c r="V169" s="6">
        <f>IF(ISERROR(VLOOKUP($S$169,'TAR FIN'!$A$1:$O$92,15,0)),0,VLOOKUP($S$169,'TAR FIN'!$A$1:$O$92,15,0))</f>
        <v>18.489999999999998</v>
      </c>
      <c r="W169" s="6">
        <f>IF(ISERROR(VLOOKUP($T$169,'TAR FIN'!$A$1:$O$92,15,0)),0,VLOOKUP($T$169,'TAR FIN'!$A$1:$O$92,15,0))</f>
        <v>0</v>
      </c>
      <c r="X169" s="6">
        <f>IF(ISERROR(VLOOKUP($U$169,'TAR FIN'!$A$1:$O$92,15,0)),0,VLOOKUP($U$169,'TAR FIN'!$A$1:$O$92,15,0))</f>
        <v>0</v>
      </c>
      <c r="Y169" s="6">
        <f ca="1">('TUSD BE'!$AM$14+'TUSD BF_350'!$AM$14+'TUSD CVA'!$AM$14)*1</f>
        <v>15.64</v>
      </c>
      <c r="Z169" s="6"/>
      <c r="AA169" s="6"/>
      <c r="AB169" s="6">
        <f>$K$169*$V$169</f>
        <v>103988.28684532532</v>
      </c>
      <c r="AC169" s="6">
        <f>$M$169*$W$169</f>
        <v>0</v>
      </c>
      <c r="AD169" s="6">
        <f>$O$169*$X$169</f>
        <v>0</v>
      </c>
      <c r="AE169" s="6">
        <f ca="1">$K$169*$Y$169</f>
        <v>87959.805638771679</v>
      </c>
      <c r="AF169" s="6">
        <f>$M$169*$Z$169</f>
        <v>0</v>
      </c>
      <c r="AG169" s="6">
        <f>$O$169*$AA$169</f>
        <v>0</v>
      </c>
    </row>
    <row r="170" spans="1:33" ht="11.25" customHeight="1" x14ac:dyDescent="0.3">
      <c r="A170" s="4" t="s">
        <v>21</v>
      </c>
      <c r="B170" s="4" t="s">
        <v>34</v>
      </c>
      <c r="C170" s="4" t="s">
        <v>35</v>
      </c>
      <c r="D170" s="4" t="s">
        <v>33</v>
      </c>
      <c r="E170" s="4" t="s">
        <v>25</v>
      </c>
      <c r="F170" s="4" t="s">
        <v>55</v>
      </c>
      <c r="G170" s="4" t="s">
        <v>25</v>
      </c>
      <c r="H170" s="4" t="s">
        <v>36</v>
      </c>
      <c r="I170" s="5">
        <v>44409</v>
      </c>
      <c r="J170" s="6">
        <v>0</v>
      </c>
      <c r="K170" s="6">
        <v>0</v>
      </c>
      <c r="L170" s="6">
        <v>321.35113999999999</v>
      </c>
      <c r="M170" s="6">
        <v>162.49413787690801</v>
      </c>
      <c r="N170" s="6">
        <v>0</v>
      </c>
      <c r="O170" s="6">
        <v>0</v>
      </c>
      <c r="P170" s="6">
        <v>0</v>
      </c>
      <c r="Q170" s="4" t="s">
        <v>56</v>
      </c>
      <c r="R170" s="4">
        <v>0</v>
      </c>
      <c r="S170" s="6">
        <v>0</v>
      </c>
      <c r="T170" s="6">
        <v>21</v>
      </c>
      <c r="U170" s="6">
        <v>0</v>
      </c>
      <c r="V170" s="6">
        <f>IF(ISERROR(VLOOKUP($S$170,'TAR FIN'!$A$1:$O$92,15,0)),0,VLOOKUP($S$170,'TAR FIN'!$A$1:$O$92,15,0))</f>
        <v>0</v>
      </c>
      <c r="W170" s="6">
        <f>IF(ISERROR(VLOOKUP($T$170,'TAR FIN'!$A$1:$O$92,15,0)),0,VLOOKUP($T$170,'TAR FIN'!$A$1:$O$92,15,0))</f>
        <v>789.62</v>
      </c>
      <c r="X170" s="6">
        <f>IF(ISERROR(VLOOKUP($U$170,'TAR FIN'!$A$1:$O$92,15,0)),0,VLOOKUP($U$170,'TAR FIN'!$A$1:$O$92,15,0))</f>
        <v>0</v>
      </c>
      <c r="Y170" s="6"/>
      <c r="Z170" s="6">
        <f ca="1">('TUSD BE'!$AM$15+'TUSD BF_350'!$AM$15+'TUSD CVA'!$AM$15)*1</f>
        <v>911.84</v>
      </c>
      <c r="AA170" s="6"/>
      <c r="AB170" s="6">
        <f>$K$170*$V$170</f>
        <v>0</v>
      </c>
      <c r="AC170" s="6">
        <f>$M$170*$W$170</f>
        <v>128308.62115036411</v>
      </c>
      <c r="AD170" s="6">
        <f>$O$170*$X$170</f>
        <v>0</v>
      </c>
      <c r="AE170" s="6">
        <f>$K$170*$Y$170</f>
        <v>0</v>
      </c>
      <c r="AF170" s="6">
        <f ca="1">$M$170*$Z$170</f>
        <v>148168.65468167982</v>
      </c>
      <c r="AG170" s="6">
        <f>$O$170*$AA$170</f>
        <v>0</v>
      </c>
    </row>
    <row r="171" spans="1:33" ht="11.25" customHeight="1" x14ac:dyDescent="0.3">
      <c r="A171" s="4" t="s">
        <v>21</v>
      </c>
      <c r="B171" s="4" t="s">
        <v>34</v>
      </c>
      <c r="C171" s="4" t="s">
        <v>35</v>
      </c>
      <c r="D171" s="4" t="s">
        <v>33</v>
      </c>
      <c r="E171" s="4" t="s">
        <v>25</v>
      </c>
      <c r="F171" s="4" t="s">
        <v>55</v>
      </c>
      <c r="G171" s="4" t="s">
        <v>25</v>
      </c>
      <c r="H171" s="4" t="s">
        <v>36</v>
      </c>
      <c r="I171" s="5">
        <v>44440</v>
      </c>
      <c r="J171" s="6">
        <v>0</v>
      </c>
      <c r="K171" s="6">
        <v>0</v>
      </c>
      <c r="L171" s="6">
        <v>283.25900000000001</v>
      </c>
      <c r="M171" s="6">
        <v>142.74908403008999</v>
      </c>
      <c r="N171" s="6">
        <v>0</v>
      </c>
      <c r="O171" s="6">
        <v>0</v>
      </c>
      <c r="P171" s="6">
        <v>0</v>
      </c>
      <c r="Q171" s="4" t="s">
        <v>56</v>
      </c>
      <c r="R171" s="4">
        <v>0</v>
      </c>
      <c r="S171" s="6">
        <v>0</v>
      </c>
      <c r="T171" s="6">
        <v>21</v>
      </c>
      <c r="U171" s="6">
        <v>0</v>
      </c>
      <c r="V171" s="6">
        <f>IF(ISERROR(VLOOKUP($S$171,'TAR FIN'!$A$1:$O$92,15,0)),0,VLOOKUP($S$171,'TAR FIN'!$A$1:$O$92,15,0))</f>
        <v>0</v>
      </c>
      <c r="W171" s="6">
        <f>IF(ISERROR(VLOOKUP($T$171,'TAR FIN'!$A$1:$O$92,15,0)),0,VLOOKUP($T$171,'TAR FIN'!$A$1:$O$92,15,0))</f>
        <v>789.62</v>
      </c>
      <c r="X171" s="6">
        <f>IF(ISERROR(VLOOKUP($U$171,'TAR FIN'!$A$1:$O$92,15,0)),0,VLOOKUP($U$171,'TAR FIN'!$A$1:$O$92,15,0))</f>
        <v>0</v>
      </c>
      <c r="Y171" s="6"/>
      <c r="Z171" s="6">
        <f ca="1">('TUSD BE'!$AM$15+'TUSD BF_350'!$AM$15+'TUSD CVA'!$AM$15)*1</f>
        <v>911.84</v>
      </c>
      <c r="AA171" s="6"/>
      <c r="AB171" s="6">
        <f>$K$171*$V$171</f>
        <v>0</v>
      </c>
      <c r="AC171" s="6">
        <f>$M$171*$W$171</f>
        <v>112717.53173183966</v>
      </c>
      <c r="AD171" s="6">
        <f>$O$171*$X$171</f>
        <v>0</v>
      </c>
      <c r="AE171" s="6">
        <f>$K$171*$Y$171</f>
        <v>0</v>
      </c>
      <c r="AF171" s="6">
        <f ca="1">$M$171*$Z$171</f>
        <v>130164.32478199726</v>
      </c>
      <c r="AG171" s="6">
        <f>$O$171*$AA$171</f>
        <v>0</v>
      </c>
    </row>
    <row r="172" spans="1:33" ht="11.25" customHeight="1" x14ac:dyDescent="0.3">
      <c r="A172" s="4" t="s">
        <v>21</v>
      </c>
      <c r="B172" s="4" t="s">
        <v>34</v>
      </c>
      <c r="C172" s="4" t="s">
        <v>35</v>
      </c>
      <c r="D172" s="4" t="s">
        <v>33</v>
      </c>
      <c r="E172" s="4" t="s">
        <v>25</v>
      </c>
      <c r="F172" s="4" t="s">
        <v>55</v>
      </c>
      <c r="G172" s="4" t="s">
        <v>25</v>
      </c>
      <c r="H172" s="4" t="s">
        <v>36</v>
      </c>
      <c r="I172" s="5">
        <v>44470</v>
      </c>
      <c r="J172" s="6">
        <v>0</v>
      </c>
      <c r="K172" s="6">
        <v>0</v>
      </c>
      <c r="L172" s="6">
        <v>304.5573</v>
      </c>
      <c r="M172" s="6">
        <v>153.48364313974199</v>
      </c>
      <c r="N172" s="6">
        <v>0</v>
      </c>
      <c r="O172" s="6">
        <v>0</v>
      </c>
      <c r="P172" s="6">
        <v>0</v>
      </c>
      <c r="Q172" s="4" t="s">
        <v>56</v>
      </c>
      <c r="R172" s="4">
        <v>0</v>
      </c>
      <c r="S172" s="6">
        <v>0</v>
      </c>
      <c r="T172" s="6">
        <v>21</v>
      </c>
      <c r="U172" s="6">
        <v>0</v>
      </c>
      <c r="V172" s="6">
        <f>IF(ISERROR(VLOOKUP($S$172,'TAR FIN'!$A$1:$O$92,15,0)),0,VLOOKUP($S$172,'TAR FIN'!$A$1:$O$92,15,0))</f>
        <v>0</v>
      </c>
      <c r="W172" s="6">
        <f>IF(ISERROR(VLOOKUP($T$172,'TAR FIN'!$A$1:$O$92,15,0)),0,VLOOKUP($T$172,'TAR FIN'!$A$1:$O$92,15,0))</f>
        <v>789.62</v>
      </c>
      <c r="X172" s="6">
        <f>IF(ISERROR(VLOOKUP($U$172,'TAR FIN'!$A$1:$O$92,15,0)),0,VLOOKUP($U$172,'TAR FIN'!$A$1:$O$92,15,0))</f>
        <v>0</v>
      </c>
      <c r="Y172" s="6"/>
      <c r="Z172" s="6">
        <f ca="1">('TUSD BE'!$AM$15+'TUSD BF_350'!$AM$15+'TUSD CVA'!$AM$15)*1</f>
        <v>911.84</v>
      </c>
      <c r="AA172" s="6"/>
      <c r="AB172" s="6">
        <f>$K$172*$V$172</f>
        <v>0</v>
      </c>
      <c r="AC172" s="6">
        <f>$M$172*$W$172</f>
        <v>121193.75429600307</v>
      </c>
      <c r="AD172" s="6">
        <f>$O$172*$X$172</f>
        <v>0</v>
      </c>
      <c r="AE172" s="6">
        <f>$K$172*$Y$172</f>
        <v>0</v>
      </c>
      <c r="AF172" s="6">
        <f ca="1">$M$172*$Z$172</f>
        <v>139952.52516054234</v>
      </c>
      <c r="AG172" s="6">
        <f>$O$172*$AA$172</f>
        <v>0</v>
      </c>
    </row>
    <row r="173" spans="1:33" ht="11.25" customHeight="1" x14ac:dyDescent="0.3">
      <c r="A173" s="4" t="s">
        <v>21</v>
      </c>
      <c r="B173" s="4" t="s">
        <v>34</v>
      </c>
      <c r="C173" s="4" t="s">
        <v>35</v>
      </c>
      <c r="D173" s="4" t="s">
        <v>33</v>
      </c>
      <c r="E173" s="4" t="s">
        <v>25</v>
      </c>
      <c r="F173" s="4" t="s">
        <v>55</v>
      </c>
      <c r="G173" s="4" t="s">
        <v>25</v>
      </c>
      <c r="H173" s="4" t="s">
        <v>36</v>
      </c>
      <c r="I173" s="5">
        <v>44501</v>
      </c>
      <c r="J173" s="6">
        <v>0</v>
      </c>
      <c r="K173" s="6">
        <v>0</v>
      </c>
      <c r="L173" s="6">
        <v>286.74200000000002</v>
      </c>
      <c r="M173" s="6">
        <v>145.64622895191999</v>
      </c>
      <c r="N173" s="6">
        <v>0</v>
      </c>
      <c r="O173" s="6">
        <v>0</v>
      </c>
      <c r="P173" s="6">
        <v>0</v>
      </c>
      <c r="Q173" s="4" t="s">
        <v>56</v>
      </c>
      <c r="R173" s="4">
        <v>0</v>
      </c>
      <c r="S173" s="6">
        <v>0</v>
      </c>
      <c r="T173" s="6">
        <v>21</v>
      </c>
      <c r="U173" s="6">
        <v>0</v>
      </c>
      <c r="V173" s="6">
        <f>IF(ISERROR(VLOOKUP($S$173,'TAR FIN'!$A$1:$O$92,15,0)),0,VLOOKUP($S$173,'TAR FIN'!$A$1:$O$92,15,0))</f>
        <v>0</v>
      </c>
      <c r="W173" s="6">
        <f>IF(ISERROR(VLOOKUP($T$173,'TAR FIN'!$A$1:$O$92,15,0)),0,VLOOKUP($T$173,'TAR FIN'!$A$1:$O$92,15,0))</f>
        <v>789.62</v>
      </c>
      <c r="X173" s="6">
        <f>IF(ISERROR(VLOOKUP($U$173,'TAR FIN'!$A$1:$O$92,15,0)),0,VLOOKUP($U$173,'TAR FIN'!$A$1:$O$92,15,0))</f>
        <v>0</v>
      </c>
      <c r="Y173" s="6"/>
      <c r="Z173" s="6">
        <f ca="1">('TUSD BE'!$AM$15+'TUSD BF_350'!$AM$15+'TUSD CVA'!$AM$15)*1</f>
        <v>911.84</v>
      </c>
      <c r="AA173" s="6"/>
      <c r="AB173" s="6">
        <f>$K$173*$V$173</f>
        <v>0</v>
      </c>
      <c r="AC173" s="6">
        <f>$M$173*$W$173</f>
        <v>115005.17530501507</v>
      </c>
      <c r="AD173" s="6">
        <f>$O$173*$X$173</f>
        <v>0</v>
      </c>
      <c r="AE173" s="6">
        <f>$K$173*$Y$173</f>
        <v>0</v>
      </c>
      <c r="AF173" s="6">
        <f ca="1">$M$173*$Z$173</f>
        <v>132806.05740751873</v>
      </c>
      <c r="AG173" s="6">
        <f>$O$173*$AA$173</f>
        <v>0</v>
      </c>
    </row>
    <row r="174" spans="1:33" ht="11.25" customHeight="1" x14ac:dyDescent="0.3">
      <c r="A174" s="4" t="s">
        <v>21</v>
      </c>
      <c r="B174" s="4" t="s">
        <v>34</v>
      </c>
      <c r="C174" s="4" t="s">
        <v>35</v>
      </c>
      <c r="D174" s="4" t="s">
        <v>33</v>
      </c>
      <c r="E174" s="4" t="s">
        <v>25</v>
      </c>
      <c r="F174" s="4" t="s">
        <v>55</v>
      </c>
      <c r="G174" s="4" t="s">
        <v>25</v>
      </c>
      <c r="H174" s="4" t="s">
        <v>36</v>
      </c>
      <c r="I174" s="5">
        <v>44531</v>
      </c>
      <c r="J174" s="6">
        <v>0</v>
      </c>
      <c r="K174" s="6">
        <v>0</v>
      </c>
      <c r="L174" s="6">
        <v>248.25200000000001</v>
      </c>
      <c r="M174" s="6">
        <v>125.5233980954</v>
      </c>
      <c r="N174" s="6">
        <v>0</v>
      </c>
      <c r="O174" s="6">
        <v>0</v>
      </c>
      <c r="P174" s="6">
        <v>0</v>
      </c>
      <c r="Q174" s="4" t="s">
        <v>56</v>
      </c>
      <c r="R174" s="4">
        <v>0</v>
      </c>
      <c r="S174" s="6">
        <v>0</v>
      </c>
      <c r="T174" s="6">
        <v>21</v>
      </c>
      <c r="U174" s="6">
        <v>0</v>
      </c>
      <c r="V174" s="6">
        <f>IF(ISERROR(VLOOKUP($S$174,'TAR FIN'!$A$1:$O$92,15,0)),0,VLOOKUP($S$174,'TAR FIN'!$A$1:$O$92,15,0))</f>
        <v>0</v>
      </c>
      <c r="W174" s="6">
        <f>IF(ISERROR(VLOOKUP($T$174,'TAR FIN'!$A$1:$O$92,15,0)),0,VLOOKUP($T$174,'TAR FIN'!$A$1:$O$92,15,0))</f>
        <v>789.62</v>
      </c>
      <c r="X174" s="6">
        <f>IF(ISERROR(VLOOKUP($U$174,'TAR FIN'!$A$1:$O$92,15,0)),0,VLOOKUP($U$174,'TAR FIN'!$A$1:$O$92,15,0))</f>
        <v>0</v>
      </c>
      <c r="Y174" s="6"/>
      <c r="Z174" s="6">
        <f ca="1">('TUSD BE'!$AM$15+'TUSD BF_350'!$AM$15+'TUSD CVA'!$AM$15)*1</f>
        <v>911.84</v>
      </c>
      <c r="AA174" s="6"/>
      <c r="AB174" s="6">
        <f>$K$174*$V$174</f>
        <v>0</v>
      </c>
      <c r="AC174" s="6">
        <f>$M$174*$W$174</f>
        <v>99115.785604089746</v>
      </c>
      <c r="AD174" s="6">
        <f>$O$174*$X$174</f>
        <v>0</v>
      </c>
      <c r="AE174" s="6">
        <f>$K$174*$Y$174</f>
        <v>0</v>
      </c>
      <c r="AF174" s="6">
        <f ca="1">$M$174*$Z$174</f>
        <v>114457.25531930954</v>
      </c>
      <c r="AG174" s="6">
        <f>$O$174*$AA$174</f>
        <v>0</v>
      </c>
    </row>
    <row r="175" spans="1:33" ht="11.25" customHeight="1" x14ac:dyDescent="0.3">
      <c r="A175" s="4" t="s">
        <v>21</v>
      </c>
      <c r="B175" s="4" t="s">
        <v>34</v>
      </c>
      <c r="C175" s="4" t="s">
        <v>35</v>
      </c>
      <c r="D175" s="4" t="s">
        <v>33</v>
      </c>
      <c r="E175" s="4" t="s">
        <v>25</v>
      </c>
      <c r="F175" s="4" t="s">
        <v>55</v>
      </c>
      <c r="G175" s="4" t="s">
        <v>25</v>
      </c>
      <c r="H175" s="4" t="s">
        <v>36</v>
      </c>
      <c r="I175" s="5">
        <v>44562</v>
      </c>
      <c r="J175" s="6">
        <v>0</v>
      </c>
      <c r="K175" s="6">
        <v>0</v>
      </c>
      <c r="L175" s="6">
        <v>230.46899999999999</v>
      </c>
      <c r="M175" s="6">
        <v>116.43120336843</v>
      </c>
      <c r="N175" s="6">
        <v>0</v>
      </c>
      <c r="O175" s="6">
        <v>0</v>
      </c>
      <c r="P175" s="6">
        <v>0</v>
      </c>
      <c r="Q175" s="4" t="s">
        <v>56</v>
      </c>
      <c r="R175" s="4">
        <v>0</v>
      </c>
      <c r="S175" s="6">
        <v>0</v>
      </c>
      <c r="T175" s="6">
        <v>21</v>
      </c>
      <c r="U175" s="6">
        <v>0</v>
      </c>
      <c r="V175" s="6">
        <f>IF(ISERROR(VLOOKUP($S$175,'TAR FIN'!$A$1:$O$92,15,0)),0,VLOOKUP($S$175,'TAR FIN'!$A$1:$O$92,15,0))</f>
        <v>0</v>
      </c>
      <c r="W175" s="6">
        <f>IF(ISERROR(VLOOKUP($T$175,'TAR FIN'!$A$1:$O$92,15,0)),0,VLOOKUP($T$175,'TAR FIN'!$A$1:$O$92,15,0))</f>
        <v>789.62</v>
      </c>
      <c r="X175" s="6">
        <f>IF(ISERROR(VLOOKUP($U$175,'TAR FIN'!$A$1:$O$92,15,0)),0,VLOOKUP($U$175,'TAR FIN'!$A$1:$O$92,15,0))</f>
        <v>0</v>
      </c>
      <c r="Y175" s="6"/>
      <c r="Z175" s="6">
        <f ca="1">('TUSD BE'!$AM$15+'TUSD BF_350'!$AM$15+'TUSD CVA'!$AM$15)*1</f>
        <v>911.84</v>
      </c>
      <c r="AA175" s="6"/>
      <c r="AB175" s="6">
        <f>$K$175*$V$175</f>
        <v>0</v>
      </c>
      <c r="AC175" s="6">
        <f>$M$175*$W$175</f>
        <v>91936.406803779697</v>
      </c>
      <c r="AD175" s="6">
        <f>$O$175*$X$175</f>
        <v>0</v>
      </c>
      <c r="AE175" s="6">
        <f>$K$175*$Y$175</f>
        <v>0</v>
      </c>
      <c r="AF175" s="6">
        <f ca="1">$M$175*$Z$175</f>
        <v>106166.62847946922</v>
      </c>
      <c r="AG175" s="6">
        <f>$O$175*$AA$175</f>
        <v>0</v>
      </c>
    </row>
    <row r="176" spans="1:33" ht="11.25" customHeight="1" x14ac:dyDescent="0.3">
      <c r="A176" s="4" t="s">
        <v>21</v>
      </c>
      <c r="B176" s="4" t="s">
        <v>34</v>
      </c>
      <c r="C176" s="4" t="s">
        <v>35</v>
      </c>
      <c r="D176" s="4" t="s">
        <v>33</v>
      </c>
      <c r="E176" s="4" t="s">
        <v>25</v>
      </c>
      <c r="F176" s="4" t="s">
        <v>55</v>
      </c>
      <c r="G176" s="4" t="s">
        <v>25</v>
      </c>
      <c r="H176" s="4" t="s">
        <v>36</v>
      </c>
      <c r="I176" s="5">
        <v>44593</v>
      </c>
      <c r="J176" s="6">
        <v>0</v>
      </c>
      <c r="K176" s="6">
        <v>0</v>
      </c>
      <c r="L176" s="6">
        <v>228.01300000000001</v>
      </c>
      <c r="M176" s="6">
        <v>115.24984120822</v>
      </c>
      <c r="N176" s="6">
        <v>0</v>
      </c>
      <c r="O176" s="6">
        <v>0</v>
      </c>
      <c r="P176" s="6">
        <v>0</v>
      </c>
      <c r="Q176" s="4" t="s">
        <v>56</v>
      </c>
      <c r="R176" s="4">
        <v>0</v>
      </c>
      <c r="S176" s="6">
        <v>0</v>
      </c>
      <c r="T176" s="6">
        <v>21</v>
      </c>
      <c r="U176" s="6">
        <v>0</v>
      </c>
      <c r="V176" s="6">
        <f>IF(ISERROR(VLOOKUP($S$176,'TAR FIN'!$A$1:$O$92,15,0)),0,VLOOKUP($S$176,'TAR FIN'!$A$1:$O$92,15,0))</f>
        <v>0</v>
      </c>
      <c r="W176" s="6">
        <f>IF(ISERROR(VLOOKUP($T$176,'TAR FIN'!$A$1:$O$92,15,0)),0,VLOOKUP($T$176,'TAR FIN'!$A$1:$O$92,15,0))</f>
        <v>789.62</v>
      </c>
      <c r="X176" s="6">
        <f>IF(ISERROR(VLOOKUP($U$176,'TAR FIN'!$A$1:$O$92,15,0)),0,VLOOKUP($U$176,'TAR FIN'!$A$1:$O$92,15,0))</f>
        <v>0</v>
      </c>
      <c r="Y176" s="6"/>
      <c r="Z176" s="6">
        <f ca="1">('TUSD BE'!$AM$15+'TUSD BF_350'!$AM$15+'TUSD CVA'!$AM$15)*1</f>
        <v>911.84</v>
      </c>
      <c r="AA176" s="6"/>
      <c r="AB176" s="6">
        <f>$K$176*$V$176</f>
        <v>0</v>
      </c>
      <c r="AC176" s="6">
        <f>$M$176*$W$176</f>
        <v>91003.579614834685</v>
      </c>
      <c r="AD176" s="6">
        <f>$O$176*$X$176</f>
        <v>0</v>
      </c>
      <c r="AE176" s="6">
        <f>$K$176*$Y$176</f>
        <v>0</v>
      </c>
      <c r="AF176" s="6">
        <f ca="1">$M$176*$Z$176</f>
        <v>105089.41520730333</v>
      </c>
      <c r="AG176" s="6">
        <f>$O$176*$AA$176</f>
        <v>0</v>
      </c>
    </row>
    <row r="177" spans="1:33" ht="11.25" customHeight="1" x14ac:dyDescent="0.3">
      <c r="A177" s="4" t="s">
        <v>21</v>
      </c>
      <c r="B177" s="4" t="s">
        <v>34</v>
      </c>
      <c r="C177" s="4" t="s">
        <v>35</v>
      </c>
      <c r="D177" s="4" t="s">
        <v>33</v>
      </c>
      <c r="E177" s="4" t="s">
        <v>25</v>
      </c>
      <c r="F177" s="4" t="s">
        <v>55</v>
      </c>
      <c r="G177" s="4" t="s">
        <v>25</v>
      </c>
      <c r="H177" s="4" t="s">
        <v>36</v>
      </c>
      <c r="I177" s="5">
        <v>44621</v>
      </c>
      <c r="J177" s="6">
        <v>0</v>
      </c>
      <c r="K177" s="6">
        <v>0</v>
      </c>
      <c r="L177" s="6">
        <v>249.446</v>
      </c>
      <c r="M177" s="6">
        <v>126.737027004</v>
      </c>
      <c r="N177" s="6">
        <v>0</v>
      </c>
      <c r="O177" s="6">
        <v>0</v>
      </c>
      <c r="P177" s="6">
        <v>0</v>
      </c>
      <c r="Q177" s="4" t="s">
        <v>56</v>
      </c>
      <c r="R177" s="4">
        <v>0</v>
      </c>
      <c r="S177" s="6">
        <v>0</v>
      </c>
      <c r="T177" s="6">
        <v>21</v>
      </c>
      <c r="U177" s="6">
        <v>0</v>
      </c>
      <c r="V177" s="6">
        <f>IF(ISERROR(VLOOKUP($S$177,'TAR FIN'!$A$1:$O$92,15,0)),0,VLOOKUP($S$177,'TAR FIN'!$A$1:$O$92,15,0))</f>
        <v>0</v>
      </c>
      <c r="W177" s="6">
        <f>IF(ISERROR(VLOOKUP($T$177,'TAR FIN'!$A$1:$O$92,15,0)),0,VLOOKUP($T$177,'TAR FIN'!$A$1:$O$92,15,0))</f>
        <v>789.62</v>
      </c>
      <c r="X177" s="6">
        <f>IF(ISERROR(VLOOKUP($U$177,'TAR FIN'!$A$1:$O$92,15,0)),0,VLOOKUP($U$177,'TAR FIN'!$A$1:$O$92,15,0))</f>
        <v>0</v>
      </c>
      <c r="Y177" s="6"/>
      <c r="Z177" s="6">
        <f ca="1">('TUSD BE'!$AM$15+'TUSD BF_350'!$AM$15+'TUSD CVA'!$AM$15)*1</f>
        <v>911.84</v>
      </c>
      <c r="AA177" s="6"/>
      <c r="AB177" s="6">
        <f>$K$177*$V$177</f>
        <v>0</v>
      </c>
      <c r="AC177" s="6">
        <f>$M$177*$W$177</f>
        <v>100074.09126289848</v>
      </c>
      <c r="AD177" s="6">
        <f>$O$177*$X$177</f>
        <v>0</v>
      </c>
      <c r="AE177" s="6">
        <f>$K$177*$Y$177</f>
        <v>0</v>
      </c>
      <c r="AF177" s="6">
        <f ca="1">$M$177*$Z$177</f>
        <v>115563.89070332736</v>
      </c>
      <c r="AG177" s="6">
        <f>$O$177*$AA$177</f>
        <v>0</v>
      </c>
    </row>
    <row r="178" spans="1:33" ht="11.25" customHeight="1" x14ac:dyDescent="0.3">
      <c r="A178" s="4" t="s">
        <v>21</v>
      </c>
      <c r="B178" s="4" t="s">
        <v>34</v>
      </c>
      <c r="C178" s="4" t="s">
        <v>35</v>
      </c>
      <c r="D178" s="4" t="s">
        <v>33</v>
      </c>
      <c r="E178" s="4" t="s">
        <v>25</v>
      </c>
      <c r="F178" s="4" t="s">
        <v>55</v>
      </c>
      <c r="G178" s="4" t="s">
        <v>25</v>
      </c>
      <c r="H178" s="4" t="s">
        <v>36</v>
      </c>
      <c r="I178" s="5">
        <v>44652</v>
      </c>
      <c r="J178" s="6">
        <v>0</v>
      </c>
      <c r="K178" s="6">
        <v>0</v>
      </c>
      <c r="L178" s="6">
        <v>214.226</v>
      </c>
      <c r="M178" s="6">
        <v>108.15031656815999</v>
      </c>
      <c r="N178" s="6">
        <v>0</v>
      </c>
      <c r="O178" s="6">
        <v>0</v>
      </c>
      <c r="P178" s="6">
        <v>0</v>
      </c>
      <c r="Q178" s="4" t="s">
        <v>56</v>
      </c>
      <c r="R178" s="4">
        <v>0</v>
      </c>
      <c r="S178" s="6">
        <v>0</v>
      </c>
      <c r="T178" s="6">
        <v>21</v>
      </c>
      <c r="U178" s="6">
        <v>0</v>
      </c>
      <c r="V178" s="6">
        <f>IF(ISERROR(VLOOKUP($S$178,'TAR FIN'!$A$1:$O$92,15,0)),0,VLOOKUP($S$178,'TAR FIN'!$A$1:$O$92,15,0))</f>
        <v>0</v>
      </c>
      <c r="W178" s="6">
        <f>IF(ISERROR(VLOOKUP($T$178,'TAR FIN'!$A$1:$O$92,15,0)),0,VLOOKUP($T$178,'TAR FIN'!$A$1:$O$92,15,0))</f>
        <v>789.62</v>
      </c>
      <c r="X178" s="6">
        <f>IF(ISERROR(VLOOKUP($U$178,'TAR FIN'!$A$1:$O$92,15,0)),0,VLOOKUP($U$178,'TAR FIN'!$A$1:$O$92,15,0))</f>
        <v>0</v>
      </c>
      <c r="Y178" s="6"/>
      <c r="Z178" s="6">
        <f ca="1">('TUSD BE'!$AM$15+'TUSD BF_350'!$AM$15+'TUSD CVA'!$AM$15)*1</f>
        <v>911.84</v>
      </c>
      <c r="AA178" s="6"/>
      <c r="AB178" s="6">
        <f>$K$178*$V$178</f>
        <v>0</v>
      </c>
      <c r="AC178" s="6">
        <f>$M$178*$W$178</f>
        <v>85397.652968550494</v>
      </c>
      <c r="AD178" s="6">
        <f>$O$178*$X$178</f>
        <v>0</v>
      </c>
      <c r="AE178" s="6">
        <f>$K$178*$Y$178</f>
        <v>0</v>
      </c>
      <c r="AF178" s="6">
        <f ca="1">$M$178*$Z$178</f>
        <v>98615.784659511017</v>
      </c>
      <c r="AG178" s="6">
        <f>$O$178*$AA$178</f>
        <v>0</v>
      </c>
    </row>
    <row r="179" spans="1:33" ht="11.25" customHeight="1" x14ac:dyDescent="0.3">
      <c r="A179" s="4" t="s">
        <v>21</v>
      </c>
      <c r="B179" s="4" t="s">
        <v>34</v>
      </c>
      <c r="C179" s="4" t="s">
        <v>35</v>
      </c>
      <c r="D179" s="4" t="s">
        <v>33</v>
      </c>
      <c r="E179" s="4" t="s">
        <v>25</v>
      </c>
      <c r="F179" s="4" t="s">
        <v>55</v>
      </c>
      <c r="G179" s="4" t="s">
        <v>25</v>
      </c>
      <c r="H179" s="4" t="s">
        <v>36</v>
      </c>
      <c r="I179" s="5">
        <v>44682</v>
      </c>
      <c r="J179" s="6">
        <v>0</v>
      </c>
      <c r="K179" s="6">
        <v>0</v>
      </c>
      <c r="L179" s="6">
        <v>257.37099999999998</v>
      </c>
      <c r="M179" s="6">
        <v>130.17359853232</v>
      </c>
      <c r="N179" s="6">
        <v>0</v>
      </c>
      <c r="O179" s="6">
        <v>0</v>
      </c>
      <c r="P179" s="6">
        <v>0</v>
      </c>
      <c r="Q179" s="4" t="s">
        <v>56</v>
      </c>
      <c r="R179" s="4">
        <v>0</v>
      </c>
      <c r="S179" s="6">
        <v>0</v>
      </c>
      <c r="T179" s="6">
        <v>21</v>
      </c>
      <c r="U179" s="6">
        <v>0</v>
      </c>
      <c r="V179" s="6">
        <f>IF(ISERROR(VLOOKUP($S$179,'TAR FIN'!$A$1:$O$92,15,0)),0,VLOOKUP($S$179,'TAR FIN'!$A$1:$O$92,15,0))</f>
        <v>0</v>
      </c>
      <c r="W179" s="6">
        <f>IF(ISERROR(VLOOKUP($T$179,'TAR FIN'!$A$1:$O$92,15,0)),0,VLOOKUP($T$179,'TAR FIN'!$A$1:$O$92,15,0))</f>
        <v>789.62</v>
      </c>
      <c r="X179" s="6">
        <f>IF(ISERROR(VLOOKUP($U$179,'TAR FIN'!$A$1:$O$92,15,0)),0,VLOOKUP($U$179,'TAR FIN'!$A$1:$O$92,15,0))</f>
        <v>0</v>
      </c>
      <c r="Y179" s="6"/>
      <c r="Z179" s="6">
        <f ca="1">('TUSD BE'!$AM$15+'TUSD BF_350'!$AM$15+'TUSD CVA'!$AM$15)*1</f>
        <v>911.84</v>
      </c>
      <c r="AA179" s="6"/>
      <c r="AB179" s="6">
        <f>$K$179*$V$179</f>
        <v>0</v>
      </c>
      <c r="AC179" s="6">
        <f>$M$179*$W$179</f>
        <v>102787.67687309052</v>
      </c>
      <c r="AD179" s="6">
        <f>$O$179*$X$179</f>
        <v>0</v>
      </c>
      <c r="AE179" s="6">
        <f>$K$179*$Y$179</f>
        <v>0</v>
      </c>
      <c r="AF179" s="6">
        <f ca="1">$M$179*$Z$179</f>
        <v>118697.49408571067</v>
      </c>
      <c r="AG179" s="6">
        <f>$O$179*$AA$179</f>
        <v>0</v>
      </c>
    </row>
    <row r="180" spans="1:33" ht="11.25" customHeight="1" x14ac:dyDescent="0.3">
      <c r="A180" s="4" t="s">
        <v>21</v>
      </c>
      <c r="B180" s="4" t="s">
        <v>34</v>
      </c>
      <c r="C180" s="4" t="s">
        <v>35</v>
      </c>
      <c r="D180" s="4" t="s">
        <v>33</v>
      </c>
      <c r="E180" s="4" t="s">
        <v>25</v>
      </c>
      <c r="F180" s="4" t="s">
        <v>55</v>
      </c>
      <c r="G180" s="4" t="s">
        <v>25</v>
      </c>
      <c r="H180" s="4" t="s">
        <v>36</v>
      </c>
      <c r="I180" s="5">
        <v>44713</v>
      </c>
      <c r="J180" s="6">
        <v>0</v>
      </c>
      <c r="K180" s="6">
        <v>0</v>
      </c>
      <c r="L180" s="6">
        <v>251.95477</v>
      </c>
      <c r="M180" s="6">
        <v>128.185312520916</v>
      </c>
      <c r="N180" s="6">
        <v>0</v>
      </c>
      <c r="O180" s="6">
        <v>0</v>
      </c>
      <c r="P180" s="6">
        <v>0</v>
      </c>
      <c r="Q180" s="4" t="s">
        <v>56</v>
      </c>
      <c r="R180" s="4">
        <v>0</v>
      </c>
      <c r="S180" s="6">
        <v>0</v>
      </c>
      <c r="T180" s="6">
        <v>21</v>
      </c>
      <c r="U180" s="6">
        <v>0</v>
      </c>
      <c r="V180" s="6">
        <f>IF(ISERROR(VLOOKUP($S$180,'TAR FIN'!$A$1:$O$92,15,0)),0,VLOOKUP($S$180,'TAR FIN'!$A$1:$O$92,15,0))</f>
        <v>0</v>
      </c>
      <c r="W180" s="6">
        <f>IF(ISERROR(VLOOKUP($T$180,'TAR FIN'!$A$1:$O$92,15,0)),0,VLOOKUP($T$180,'TAR FIN'!$A$1:$O$92,15,0))</f>
        <v>789.62</v>
      </c>
      <c r="X180" s="6">
        <f>IF(ISERROR(VLOOKUP($U$180,'TAR FIN'!$A$1:$O$92,15,0)),0,VLOOKUP($U$180,'TAR FIN'!$A$1:$O$92,15,0))</f>
        <v>0</v>
      </c>
      <c r="Y180" s="6"/>
      <c r="Z180" s="6">
        <f ca="1">('TUSD BE'!$AM$15+'TUSD BF_350'!$AM$15+'TUSD CVA'!$AM$15)*1</f>
        <v>911.84</v>
      </c>
      <c r="AA180" s="6"/>
      <c r="AB180" s="6">
        <f>$K$180*$V$180</f>
        <v>0</v>
      </c>
      <c r="AC180" s="6">
        <f>$M$180*$W$180</f>
        <v>101217.68647276569</v>
      </c>
      <c r="AD180" s="6">
        <f>$O$180*$X$180</f>
        <v>0</v>
      </c>
      <c r="AE180" s="6">
        <f>$K$180*$Y$180</f>
        <v>0</v>
      </c>
      <c r="AF180" s="6">
        <f ca="1">$M$180*$Z$180</f>
        <v>116884.49536907204</v>
      </c>
      <c r="AG180" s="6">
        <f>$O$180*$AA$180</f>
        <v>0</v>
      </c>
    </row>
    <row r="181" spans="1:33" ht="11.25" customHeight="1" x14ac:dyDescent="0.3">
      <c r="A181" s="4" t="s">
        <v>21</v>
      </c>
      <c r="B181" s="4" t="s">
        <v>34</v>
      </c>
      <c r="C181" s="4" t="s">
        <v>35</v>
      </c>
      <c r="D181" s="4" t="s">
        <v>33</v>
      </c>
      <c r="E181" s="4" t="s">
        <v>25</v>
      </c>
      <c r="F181" s="4" t="s">
        <v>55</v>
      </c>
      <c r="G181" s="4" t="s">
        <v>25</v>
      </c>
      <c r="H181" s="4" t="s">
        <v>36</v>
      </c>
      <c r="I181" s="5">
        <v>44743</v>
      </c>
      <c r="J181" s="6">
        <v>0</v>
      </c>
      <c r="K181" s="6">
        <v>0</v>
      </c>
      <c r="L181" s="6">
        <v>246.23115999999999</v>
      </c>
      <c r="M181" s="6">
        <v>124.163633384801</v>
      </c>
      <c r="N181" s="6">
        <v>0</v>
      </c>
      <c r="O181" s="6">
        <v>0</v>
      </c>
      <c r="P181" s="6">
        <v>0</v>
      </c>
      <c r="Q181" s="4" t="s">
        <v>56</v>
      </c>
      <c r="R181" s="4">
        <v>0</v>
      </c>
      <c r="S181" s="6">
        <v>0</v>
      </c>
      <c r="T181" s="6">
        <v>21</v>
      </c>
      <c r="U181" s="6">
        <v>0</v>
      </c>
      <c r="V181" s="6">
        <f>IF(ISERROR(VLOOKUP($S$181,'TAR FIN'!$A$1:$O$92,15,0)),0,VLOOKUP($S$181,'TAR FIN'!$A$1:$O$92,15,0))</f>
        <v>0</v>
      </c>
      <c r="W181" s="6">
        <f>IF(ISERROR(VLOOKUP($T$181,'TAR FIN'!$A$1:$O$92,15,0)),0,VLOOKUP($T$181,'TAR FIN'!$A$1:$O$92,15,0))</f>
        <v>789.62</v>
      </c>
      <c r="X181" s="6">
        <f>IF(ISERROR(VLOOKUP($U$181,'TAR FIN'!$A$1:$O$92,15,0)),0,VLOOKUP($U$181,'TAR FIN'!$A$1:$O$92,15,0))</f>
        <v>0</v>
      </c>
      <c r="Y181" s="6"/>
      <c r="Z181" s="6">
        <f ca="1">('TUSD BE'!$AM$15+'TUSD BF_350'!$AM$15+'TUSD CVA'!$AM$15)*1</f>
        <v>911.84</v>
      </c>
      <c r="AA181" s="6"/>
      <c r="AB181" s="6">
        <f>$K$181*$V$181</f>
        <v>0</v>
      </c>
      <c r="AC181" s="6">
        <f>$M$181*$W$181</f>
        <v>98042.088193306568</v>
      </c>
      <c r="AD181" s="6">
        <f>$O$181*$X$181</f>
        <v>0</v>
      </c>
      <c r="AE181" s="6">
        <f>$K$181*$Y$181</f>
        <v>0</v>
      </c>
      <c r="AF181" s="6">
        <f ca="1">$M$181*$Z$181</f>
        <v>113217.36746559695</v>
      </c>
      <c r="AG181" s="6">
        <f>$O$181*$AA$181</f>
        <v>0</v>
      </c>
    </row>
    <row r="182" spans="1:33" ht="11.25" customHeight="1" x14ac:dyDescent="0.3">
      <c r="A182" s="4" t="s">
        <v>21</v>
      </c>
      <c r="B182" s="4" t="s">
        <v>34</v>
      </c>
      <c r="C182" s="4" t="s">
        <v>35</v>
      </c>
      <c r="D182" s="4" t="s">
        <v>33</v>
      </c>
      <c r="E182" s="4" t="s">
        <v>25</v>
      </c>
      <c r="F182" s="4" t="s">
        <v>25</v>
      </c>
      <c r="G182" s="4" t="s">
        <v>25</v>
      </c>
      <c r="H182" s="4" t="s">
        <v>37</v>
      </c>
      <c r="I182" s="5">
        <v>44409</v>
      </c>
      <c r="J182" s="6">
        <v>0</v>
      </c>
      <c r="K182" s="6">
        <v>0</v>
      </c>
      <c r="L182" s="6">
        <v>187.76761999999999</v>
      </c>
      <c r="M182" s="6">
        <v>187.76761999999999</v>
      </c>
      <c r="N182" s="6">
        <v>187.76761999999999</v>
      </c>
      <c r="O182" s="6">
        <v>187.76761999999999</v>
      </c>
      <c r="P182" s="6">
        <v>0</v>
      </c>
      <c r="Q182" s="4" t="s">
        <v>26</v>
      </c>
      <c r="R182" s="4">
        <v>0</v>
      </c>
      <c r="S182" s="6">
        <v>0</v>
      </c>
      <c r="T182" s="6">
        <v>22</v>
      </c>
      <c r="U182" s="6">
        <v>84</v>
      </c>
      <c r="V182" s="6">
        <f>IF(ISERROR(VLOOKUP($S$182,'TAR FIN'!$A$1:$O$92,15,0)),0,VLOOKUP($S$182,'TAR FIN'!$A$1:$O$92,15,0))</f>
        <v>0</v>
      </c>
      <c r="W182" s="6">
        <f>IF(ISERROR(VLOOKUP($T$182,'TAR FIN'!$A$1:$O$92,15,0)),0,VLOOKUP($T$182,'TAR FIN'!$A$1:$O$92,15,0))</f>
        <v>73.28</v>
      </c>
      <c r="X182" s="6">
        <f>IF(ISERROR(VLOOKUP($U$182,'TAR FIN'!$A$1:$O$92,15,0)),0,VLOOKUP($U$182,'TAR FIN'!$A$1:$O$92,15,0))</f>
        <v>286.76</v>
      </c>
      <c r="Y182" s="6"/>
      <c r="Z182" s="6">
        <f ca="1">('TUSD BE'!$AM$16+'TUSD BF_350'!$AM$16+'TUSD CVA'!$AM$16)*1</f>
        <v>126.25</v>
      </c>
      <c r="AA182" s="6">
        <f ca="1">('TE BE'!$AB$8+'TE BF_350'!$AB$8+'TE CVA'!$AB$8)*1</f>
        <v>250.03999999999996</v>
      </c>
      <c r="AB182" s="6">
        <f>$K$182*$V$182</f>
        <v>0</v>
      </c>
      <c r="AC182" s="6">
        <f>$M$182*$W$182</f>
        <v>13759.6111936</v>
      </c>
      <c r="AD182" s="6">
        <f>$O$182*$X$182</f>
        <v>53844.242711199993</v>
      </c>
      <c r="AE182" s="6">
        <f>$K$182*$Y$182</f>
        <v>0</v>
      </c>
      <c r="AF182" s="6">
        <f ca="1">$M$182*$Z$182</f>
        <v>23705.662024999998</v>
      </c>
      <c r="AG182" s="6">
        <f ca="1">$O$182*$AA$182</f>
        <v>46949.415704799991</v>
      </c>
    </row>
    <row r="183" spans="1:33" ht="11.25" customHeight="1" x14ac:dyDescent="0.3">
      <c r="A183" s="4" t="s">
        <v>27</v>
      </c>
      <c r="B183" s="4" t="s">
        <v>34</v>
      </c>
      <c r="C183" s="4" t="s">
        <v>35</v>
      </c>
      <c r="D183" s="4" t="s">
        <v>33</v>
      </c>
      <c r="E183" s="4" t="s">
        <v>25</v>
      </c>
      <c r="F183" s="4" t="s">
        <v>25</v>
      </c>
      <c r="G183" s="4" t="s">
        <v>25</v>
      </c>
      <c r="H183" s="4" t="s">
        <v>37</v>
      </c>
      <c r="I183" s="5">
        <v>44409</v>
      </c>
      <c r="J183" s="6">
        <v>0</v>
      </c>
      <c r="K183" s="6">
        <v>0</v>
      </c>
      <c r="L183" s="6">
        <v>32.51632</v>
      </c>
      <c r="M183" s="6">
        <v>32.51632</v>
      </c>
      <c r="N183" s="6">
        <v>32.51632</v>
      </c>
      <c r="O183" s="6">
        <v>32.51632</v>
      </c>
      <c r="P183" s="6">
        <v>0</v>
      </c>
      <c r="Q183" s="4" t="s">
        <v>26</v>
      </c>
      <c r="R183" s="4">
        <v>0</v>
      </c>
      <c r="S183" s="6">
        <v>0</v>
      </c>
      <c r="T183" s="6">
        <v>22</v>
      </c>
      <c r="U183" s="6">
        <v>84</v>
      </c>
      <c r="V183" s="6">
        <f>IF(ISERROR(VLOOKUP($S$183,'TAR FIN'!$A$1:$O$92,15,0)),0,VLOOKUP($S$183,'TAR FIN'!$A$1:$O$92,15,0))</f>
        <v>0</v>
      </c>
      <c r="W183" s="6">
        <f>IF(ISERROR(VLOOKUP($T$183,'TAR FIN'!$A$1:$O$92,15,0)),0,VLOOKUP($T$183,'TAR FIN'!$A$1:$O$92,15,0))</f>
        <v>73.28</v>
      </c>
      <c r="X183" s="6">
        <f>IF(ISERROR(VLOOKUP($U$183,'TAR FIN'!$A$1:$O$92,15,0)),0,VLOOKUP($U$183,'TAR FIN'!$A$1:$O$92,15,0))</f>
        <v>286.76</v>
      </c>
      <c r="Y183" s="6"/>
      <c r="Z183" s="6">
        <f ca="1">('TUSD BE'!$AM$16+'TUSD BF_350'!$AM$16+'TUSD CVA'!$AM$16)*1</f>
        <v>126.25</v>
      </c>
      <c r="AA183" s="6">
        <f ca="1">('TE BE'!$AB$8+'TE BF_350'!$AB$8+'TE CVA'!$AB$8)*1</f>
        <v>250.03999999999996</v>
      </c>
      <c r="AB183" s="6">
        <f>$K$183*$V$183</f>
        <v>0</v>
      </c>
      <c r="AC183" s="6">
        <f>$M$183*$W$183</f>
        <v>2382.7959295999999</v>
      </c>
      <c r="AD183" s="6">
        <f>$O$183*$X$183</f>
        <v>9324.3799232000001</v>
      </c>
      <c r="AE183" s="6">
        <f>$K$183*$Y$183</f>
        <v>0</v>
      </c>
      <c r="AF183" s="6">
        <f ca="1">$M$183*$Z$183</f>
        <v>4105.1854000000003</v>
      </c>
      <c r="AG183" s="6">
        <f ca="1">$O$183*$AA$183</f>
        <v>8130.3806527999986</v>
      </c>
    </row>
    <row r="184" spans="1:33" ht="11.25" customHeight="1" x14ac:dyDescent="0.3">
      <c r="A184" s="4" t="s">
        <v>21</v>
      </c>
      <c r="B184" s="4" t="s">
        <v>34</v>
      </c>
      <c r="C184" s="4" t="s">
        <v>35</v>
      </c>
      <c r="D184" s="4" t="s">
        <v>33</v>
      </c>
      <c r="E184" s="4" t="s">
        <v>25</v>
      </c>
      <c r="F184" s="4" t="s">
        <v>25</v>
      </c>
      <c r="G184" s="4" t="s">
        <v>25</v>
      </c>
      <c r="H184" s="4" t="s">
        <v>37</v>
      </c>
      <c r="I184" s="5">
        <v>44440</v>
      </c>
      <c r="J184" s="6">
        <v>0</v>
      </c>
      <c r="K184" s="6">
        <v>0</v>
      </c>
      <c r="L184" s="6">
        <v>186.911</v>
      </c>
      <c r="M184" s="6">
        <v>186.911</v>
      </c>
      <c r="N184" s="6">
        <v>186.911</v>
      </c>
      <c r="O184" s="6">
        <v>186.911</v>
      </c>
      <c r="P184" s="6">
        <v>0</v>
      </c>
      <c r="Q184" s="4" t="s">
        <v>26</v>
      </c>
      <c r="R184" s="4">
        <v>0</v>
      </c>
      <c r="S184" s="6">
        <v>0</v>
      </c>
      <c r="T184" s="6">
        <v>22</v>
      </c>
      <c r="U184" s="6">
        <v>84</v>
      </c>
      <c r="V184" s="6">
        <f>IF(ISERROR(VLOOKUP($S$184,'TAR FIN'!$A$1:$O$92,15,0)),0,VLOOKUP($S$184,'TAR FIN'!$A$1:$O$92,15,0))</f>
        <v>0</v>
      </c>
      <c r="W184" s="6">
        <f>IF(ISERROR(VLOOKUP($T$184,'TAR FIN'!$A$1:$O$92,15,0)),0,VLOOKUP($T$184,'TAR FIN'!$A$1:$O$92,15,0))</f>
        <v>73.28</v>
      </c>
      <c r="X184" s="6">
        <f>IF(ISERROR(VLOOKUP($U$184,'TAR FIN'!$A$1:$O$92,15,0)),0,VLOOKUP($U$184,'TAR FIN'!$A$1:$O$92,15,0))</f>
        <v>286.76</v>
      </c>
      <c r="Y184" s="6"/>
      <c r="Z184" s="6">
        <f ca="1">('TUSD BE'!$AM$16+'TUSD BF_350'!$AM$16+'TUSD CVA'!$AM$16)*1</f>
        <v>126.25</v>
      </c>
      <c r="AA184" s="6">
        <f ca="1">('TE BE'!$AB$8+'TE BF_350'!$AB$8+'TE CVA'!$AB$8)*1</f>
        <v>250.03999999999996</v>
      </c>
      <c r="AB184" s="6">
        <f>$K$184*$V$184</f>
        <v>0</v>
      </c>
      <c r="AC184" s="6">
        <f>$M$184*$W$184</f>
        <v>13696.83808</v>
      </c>
      <c r="AD184" s="6">
        <f>$O$184*$X$184</f>
        <v>53598.598359999996</v>
      </c>
      <c r="AE184" s="6">
        <f>$K$184*$Y$184</f>
        <v>0</v>
      </c>
      <c r="AF184" s="6">
        <f ca="1">$M$184*$Z$184</f>
        <v>23597.513750000002</v>
      </c>
      <c r="AG184" s="6">
        <f ca="1">$O$184*$AA$184</f>
        <v>46735.226439999991</v>
      </c>
    </row>
    <row r="185" spans="1:33" ht="11.25" customHeight="1" x14ac:dyDescent="0.3">
      <c r="A185" s="4" t="s">
        <v>27</v>
      </c>
      <c r="B185" s="4" t="s">
        <v>34</v>
      </c>
      <c r="C185" s="4" t="s">
        <v>35</v>
      </c>
      <c r="D185" s="4" t="s">
        <v>33</v>
      </c>
      <c r="E185" s="4" t="s">
        <v>25</v>
      </c>
      <c r="F185" s="4" t="s">
        <v>25</v>
      </c>
      <c r="G185" s="4" t="s">
        <v>25</v>
      </c>
      <c r="H185" s="4" t="s">
        <v>37</v>
      </c>
      <c r="I185" s="5">
        <v>44440</v>
      </c>
      <c r="J185" s="6">
        <v>0</v>
      </c>
      <c r="K185" s="6">
        <v>0</v>
      </c>
      <c r="L185" s="6">
        <v>22.265999999999998</v>
      </c>
      <c r="M185" s="6">
        <v>22.265999999999998</v>
      </c>
      <c r="N185" s="6">
        <v>22.265999999999998</v>
      </c>
      <c r="O185" s="6">
        <v>22.265999999999998</v>
      </c>
      <c r="P185" s="6">
        <v>0</v>
      </c>
      <c r="Q185" s="4" t="s">
        <v>26</v>
      </c>
      <c r="R185" s="4">
        <v>0</v>
      </c>
      <c r="S185" s="6">
        <v>0</v>
      </c>
      <c r="T185" s="6">
        <v>22</v>
      </c>
      <c r="U185" s="6">
        <v>84</v>
      </c>
      <c r="V185" s="6">
        <f>IF(ISERROR(VLOOKUP($S$185,'TAR FIN'!$A$1:$O$92,15,0)),0,VLOOKUP($S$185,'TAR FIN'!$A$1:$O$92,15,0))</f>
        <v>0</v>
      </c>
      <c r="W185" s="6">
        <f>IF(ISERROR(VLOOKUP($T$185,'TAR FIN'!$A$1:$O$92,15,0)),0,VLOOKUP($T$185,'TAR FIN'!$A$1:$O$92,15,0))</f>
        <v>73.28</v>
      </c>
      <c r="X185" s="6">
        <f>IF(ISERROR(VLOOKUP($U$185,'TAR FIN'!$A$1:$O$92,15,0)),0,VLOOKUP($U$185,'TAR FIN'!$A$1:$O$92,15,0))</f>
        <v>286.76</v>
      </c>
      <c r="Y185" s="6"/>
      <c r="Z185" s="6">
        <f ca="1">('TUSD BE'!$AM$16+'TUSD BF_350'!$AM$16+'TUSD CVA'!$AM$16)*1</f>
        <v>126.25</v>
      </c>
      <c r="AA185" s="6">
        <f ca="1">('TE BE'!$AB$8+'TE BF_350'!$AB$8+'TE CVA'!$AB$8)*1</f>
        <v>250.03999999999996</v>
      </c>
      <c r="AB185" s="6">
        <f>$K$185*$V$185</f>
        <v>0</v>
      </c>
      <c r="AC185" s="6">
        <f>$M$185*$W$185</f>
        <v>1631.65248</v>
      </c>
      <c r="AD185" s="6">
        <f>$O$185*$X$185</f>
        <v>6384.9981599999992</v>
      </c>
      <c r="AE185" s="6">
        <f>$K$185*$Y$185</f>
        <v>0</v>
      </c>
      <c r="AF185" s="6">
        <f ca="1">$M$185*$Z$185</f>
        <v>2811.0825</v>
      </c>
      <c r="AG185" s="6">
        <f ca="1">$O$185*$AA$185</f>
        <v>5567.3906399999987</v>
      </c>
    </row>
    <row r="186" spans="1:33" ht="11.25" customHeight="1" x14ac:dyDescent="0.3">
      <c r="A186" s="4" t="s">
        <v>21</v>
      </c>
      <c r="B186" s="4" t="s">
        <v>34</v>
      </c>
      <c r="C186" s="4" t="s">
        <v>35</v>
      </c>
      <c r="D186" s="4" t="s">
        <v>33</v>
      </c>
      <c r="E186" s="4" t="s">
        <v>25</v>
      </c>
      <c r="F186" s="4" t="s">
        <v>25</v>
      </c>
      <c r="G186" s="4" t="s">
        <v>25</v>
      </c>
      <c r="H186" s="4" t="s">
        <v>37</v>
      </c>
      <c r="I186" s="5">
        <v>44470</v>
      </c>
      <c r="J186" s="6">
        <v>0</v>
      </c>
      <c r="K186" s="6">
        <v>0</v>
      </c>
      <c r="L186" s="6">
        <v>177.922</v>
      </c>
      <c r="M186" s="6">
        <v>177.922</v>
      </c>
      <c r="N186" s="6">
        <v>177.922</v>
      </c>
      <c r="O186" s="6">
        <v>177.922</v>
      </c>
      <c r="P186" s="6">
        <v>0</v>
      </c>
      <c r="Q186" s="4" t="s">
        <v>26</v>
      </c>
      <c r="R186" s="4">
        <v>0</v>
      </c>
      <c r="S186" s="6">
        <v>0</v>
      </c>
      <c r="T186" s="6">
        <v>22</v>
      </c>
      <c r="U186" s="6">
        <v>84</v>
      </c>
      <c r="V186" s="6">
        <f>IF(ISERROR(VLOOKUP($S$186,'TAR FIN'!$A$1:$O$92,15,0)),0,VLOOKUP($S$186,'TAR FIN'!$A$1:$O$92,15,0))</f>
        <v>0</v>
      </c>
      <c r="W186" s="6">
        <f>IF(ISERROR(VLOOKUP($T$186,'TAR FIN'!$A$1:$O$92,15,0)),0,VLOOKUP($T$186,'TAR FIN'!$A$1:$O$92,15,0))</f>
        <v>73.28</v>
      </c>
      <c r="X186" s="6">
        <f>IF(ISERROR(VLOOKUP($U$186,'TAR FIN'!$A$1:$O$92,15,0)),0,VLOOKUP($U$186,'TAR FIN'!$A$1:$O$92,15,0))</f>
        <v>286.76</v>
      </c>
      <c r="Y186" s="6"/>
      <c r="Z186" s="6">
        <f ca="1">('TUSD BE'!$AM$16+'TUSD BF_350'!$AM$16+'TUSD CVA'!$AM$16)*1</f>
        <v>126.25</v>
      </c>
      <c r="AA186" s="6">
        <f ca="1">('TE BE'!$AB$8+'TE BF_350'!$AB$8+'TE CVA'!$AB$8)*1</f>
        <v>250.03999999999996</v>
      </c>
      <c r="AB186" s="6">
        <f>$K$186*$V$186</f>
        <v>0</v>
      </c>
      <c r="AC186" s="6">
        <f>$M$186*$W$186</f>
        <v>13038.124159999999</v>
      </c>
      <c r="AD186" s="6">
        <f>$O$186*$X$186</f>
        <v>51020.91272</v>
      </c>
      <c r="AE186" s="6">
        <f>$K$186*$Y$186</f>
        <v>0</v>
      </c>
      <c r="AF186" s="6">
        <f ca="1">$M$186*$Z$186</f>
        <v>22462.6525</v>
      </c>
      <c r="AG186" s="6">
        <f ca="1">$O$186*$AA$186</f>
        <v>44487.616879999994</v>
      </c>
    </row>
    <row r="187" spans="1:33" ht="11.25" customHeight="1" x14ac:dyDescent="0.3">
      <c r="A187" s="4" t="s">
        <v>27</v>
      </c>
      <c r="B187" s="4" t="s">
        <v>34</v>
      </c>
      <c r="C187" s="4" t="s">
        <v>35</v>
      </c>
      <c r="D187" s="4" t="s">
        <v>33</v>
      </c>
      <c r="E187" s="4" t="s">
        <v>25</v>
      </c>
      <c r="F187" s="4" t="s">
        <v>25</v>
      </c>
      <c r="G187" s="4" t="s">
        <v>25</v>
      </c>
      <c r="H187" s="4" t="s">
        <v>37</v>
      </c>
      <c r="I187" s="5">
        <v>44470</v>
      </c>
      <c r="J187" s="6">
        <v>0</v>
      </c>
      <c r="K187" s="6">
        <v>0</v>
      </c>
      <c r="L187" s="6">
        <v>16.67539</v>
      </c>
      <c r="M187" s="6">
        <v>16.67539</v>
      </c>
      <c r="N187" s="6">
        <v>16.67539</v>
      </c>
      <c r="O187" s="6">
        <v>16.67539</v>
      </c>
      <c r="P187" s="6">
        <v>0</v>
      </c>
      <c r="Q187" s="4" t="s">
        <v>26</v>
      </c>
      <c r="R187" s="4">
        <v>0</v>
      </c>
      <c r="S187" s="6">
        <v>0</v>
      </c>
      <c r="T187" s="6">
        <v>22</v>
      </c>
      <c r="U187" s="6">
        <v>84</v>
      </c>
      <c r="V187" s="6">
        <f>IF(ISERROR(VLOOKUP($S$187,'TAR FIN'!$A$1:$O$92,15,0)),0,VLOOKUP($S$187,'TAR FIN'!$A$1:$O$92,15,0))</f>
        <v>0</v>
      </c>
      <c r="W187" s="6">
        <f>IF(ISERROR(VLOOKUP($T$187,'TAR FIN'!$A$1:$O$92,15,0)),0,VLOOKUP($T$187,'TAR FIN'!$A$1:$O$92,15,0))</f>
        <v>73.28</v>
      </c>
      <c r="X187" s="6">
        <f>IF(ISERROR(VLOOKUP($U$187,'TAR FIN'!$A$1:$O$92,15,0)),0,VLOOKUP($U$187,'TAR FIN'!$A$1:$O$92,15,0))</f>
        <v>286.76</v>
      </c>
      <c r="Y187" s="6"/>
      <c r="Z187" s="6">
        <f ca="1">('TUSD BE'!$AM$16+'TUSD BF_350'!$AM$16+'TUSD CVA'!$AM$16)*1</f>
        <v>126.25</v>
      </c>
      <c r="AA187" s="6">
        <f ca="1">('TE BE'!$AB$8+'TE BF_350'!$AB$8+'TE CVA'!$AB$8)*1</f>
        <v>250.03999999999996</v>
      </c>
      <c r="AB187" s="6">
        <f>$K$187*$V$187</f>
        <v>0</v>
      </c>
      <c r="AC187" s="6">
        <f>$M$187*$W$187</f>
        <v>1221.9725791999999</v>
      </c>
      <c r="AD187" s="6">
        <f>$O$187*$X$187</f>
        <v>4781.8348364000003</v>
      </c>
      <c r="AE187" s="6">
        <f>$K$187*$Y$187</f>
        <v>0</v>
      </c>
      <c r="AF187" s="6">
        <f ca="1">$M$187*$Z$187</f>
        <v>2105.2679874999999</v>
      </c>
      <c r="AG187" s="6">
        <f ca="1">$O$187*$AA$187</f>
        <v>4169.5145155999999</v>
      </c>
    </row>
    <row r="188" spans="1:33" ht="11.25" customHeight="1" x14ac:dyDescent="0.3">
      <c r="A188" s="4" t="s">
        <v>21</v>
      </c>
      <c r="B188" s="4" t="s">
        <v>34</v>
      </c>
      <c r="C188" s="4" t="s">
        <v>35</v>
      </c>
      <c r="D188" s="4" t="s">
        <v>33</v>
      </c>
      <c r="E188" s="4" t="s">
        <v>25</v>
      </c>
      <c r="F188" s="4" t="s">
        <v>25</v>
      </c>
      <c r="G188" s="4" t="s">
        <v>25</v>
      </c>
      <c r="H188" s="4" t="s">
        <v>37</v>
      </c>
      <c r="I188" s="5">
        <v>44501</v>
      </c>
      <c r="J188" s="6">
        <v>0</v>
      </c>
      <c r="K188" s="6">
        <v>0</v>
      </c>
      <c r="L188" s="6">
        <v>177.07300000000001</v>
      </c>
      <c r="M188" s="6">
        <v>177.07300000000001</v>
      </c>
      <c r="N188" s="6">
        <v>177.07300000000001</v>
      </c>
      <c r="O188" s="6">
        <v>177.07300000000001</v>
      </c>
      <c r="P188" s="6">
        <v>0</v>
      </c>
      <c r="Q188" s="4" t="s">
        <v>26</v>
      </c>
      <c r="R188" s="4">
        <v>0</v>
      </c>
      <c r="S188" s="6">
        <v>0</v>
      </c>
      <c r="T188" s="6">
        <v>22</v>
      </c>
      <c r="U188" s="6">
        <v>84</v>
      </c>
      <c r="V188" s="6">
        <f>IF(ISERROR(VLOOKUP($S$188,'TAR FIN'!$A$1:$O$92,15,0)),0,VLOOKUP($S$188,'TAR FIN'!$A$1:$O$92,15,0))</f>
        <v>0</v>
      </c>
      <c r="W188" s="6">
        <f>IF(ISERROR(VLOOKUP($T$188,'TAR FIN'!$A$1:$O$92,15,0)),0,VLOOKUP($T$188,'TAR FIN'!$A$1:$O$92,15,0))</f>
        <v>73.28</v>
      </c>
      <c r="X188" s="6">
        <f>IF(ISERROR(VLOOKUP($U$188,'TAR FIN'!$A$1:$O$92,15,0)),0,VLOOKUP($U$188,'TAR FIN'!$A$1:$O$92,15,0))</f>
        <v>286.76</v>
      </c>
      <c r="Y188" s="6"/>
      <c r="Z188" s="6">
        <f ca="1">('TUSD BE'!$AM$16+'TUSD BF_350'!$AM$16+'TUSD CVA'!$AM$16)*1</f>
        <v>126.25</v>
      </c>
      <c r="AA188" s="6">
        <f ca="1">('TE BE'!$AB$8+'TE BF_350'!$AB$8+'TE CVA'!$AB$8)*1</f>
        <v>250.03999999999996</v>
      </c>
      <c r="AB188" s="6">
        <f>$K$188*$V$188</f>
        <v>0</v>
      </c>
      <c r="AC188" s="6">
        <f>$M$188*$W$188</f>
        <v>12975.909440000001</v>
      </c>
      <c r="AD188" s="6">
        <f>$O$188*$X$188</f>
        <v>50777.453480000004</v>
      </c>
      <c r="AE188" s="6">
        <f>$K$188*$Y$188</f>
        <v>0</v>
      </c>
      <c r="AF188" s="6">
        <f ca="1">$M$188*$Z$188</f>
        <v>22355.466250000001</v>
      </c>
      <c r="AG188" s="6">
        <f ca="1">$O$188*$AA$188</f>
        <v>44275.332919999993</v>
      </c>
    </row>
    <row r="189" spans="1:33" ht="11.25" customHeight="1" x14ac:dyDescent="0.3">
      <c r="A189" s="4" t="s">
        <v>27</v>
      </c>
      <c r="B189" s="4" t="s">
        <v>34</v>
      </c>
      <c r="C189" s="4" t="s">
        <v>35</v>
      </c>
      <c r="D189" s="4" t="s">
        <v>33</v>
      </c>
      <c r="E189" s="4" t="s">
        <v>25</v>
      </c>
      <c r="F189" s="4" t="s">
        <v>25</v>
      </c>
      <c r="G189" s="4" t="s">
        <v>25</v>
      </c>
      <c r="H189" s="4" t="s">
        <v>37</v>
      </c>
      <c r="I189" s="5">
        <v>44501</v>
      </c>
      <c r="J189" s="6">
        <v>0</v>
      </c>
      <c r="K189" s="6">
        <v>0</v>
      </c>
      <c r="L189" s="6">
        <v>10.463290000000001</v>
      </c>
      <c r="M189" s="6">
        <v>10.463290000000001</v>
      </c>
      <c r="N189" s="6">
        <v>10.463290000000001</v>
      </c>
      <c r="O189" s="6">
        <v>10.463290000000001</v>
      </c>
      <c r="P189" s="6">
        <v>0</v>
      </c>
      <c r="Q189" s="4" t="s">
        <v>26</v>
      </c>
      <c r="R189" s="4">
        <v>0</v>
      </c>
      <c r="S189" s="6">
        <v>0</v>
      </c>
      <c r="T189" s="6">
        <v>22</v>
      </c>
      <c r="U189" s="6">
        <v>84</v>
      </c>
      <c r="V189" s="6">
        <f>IF(ISERROR(VLOOKUP($S$189,'TAR FIN'!$A$1:$O$92,15,0)),0,VLOOKUP($S$189,'TAR FIN'!$A$1:$O$92,15,0))</f>
        <v>0</v>
      </c>
      <c r="W189" s="6">
        <f>IF(ISERROR(VLOOKUP($T$189,'TAR FIN'!$A$1:$O$92,15,0)),0,VLOOKUP($T$189,'TAR FIN'!$A$1:$O$92,15,0))</f>
        <v>73.28</v>
      </c>
      <c r="X189" s="6">
        <f>IF(ISERROR(VLOOKUP($U$189,'TAR FIN'!$A$1:$O$92,15,0)),0,VLOOKUP($U$189,'TAR FIN'!$A$1:$O$92,15,0))</f>
        <v>286.76</v>
      </c>
      <c r="Y189" s="6"/>
      <c r="Z189" s="6">
        <f ca="1">('TUSD BE'!$AM$16+'TUSD BF_350'!$AM$16+'TUSD CVA'!$AM$16)*1</f>
        <v>126.25</v>
      </c>
      <c r="AA189" s="6">
        <f ca="1">('TE BE'!$AB$8+'TE BF_350'!$AB$8+'TE CVA'!$AB$8)*1</f>
        <v>250.03999999999996</v>
      </c>
      <c r="AB189" s="6">
        <f>$K$189*$V$189</f>
        <v>0</v>
      </c>
      <c r="AC189" s="6">
        <f>$M$189*$W$189</f>
        <v>766.74989120000009</v>
      </c>
      <c r="AD189" s="6">
        <f>$O$189*$X$189</f>
        <v>3000.4530404000002</v>
      </c>
      <c r="AE189" s="6">
        <f>$K$189*$Y$189</f>
        <v>0</v>
      </c>
      <c r="AF189" s="6">
        <f ca="1">$M$189*$Z$189</f>
        <v>1320.9903625000002</v>
      </c>
      <c r="AG189" s="6">
        <f ca="1">$O$189*$AA$189</f>
        <v>2616.2410315999996</v>
      </c>
    </row>
    <row r="190" spans="1:33" ht="11.25" customHeight="1" x14ac:dyDescent="0.3">
      <c r="A190" s="4" t="s">
        <v>21</v>
      </c>
      <c r="B190" s="4" t="s">
        <v>34</v>
      </c>
      <c r="C190" s="4" t="s">
        <v>35</v>
      </c>
      <c r="D190" s="4" t="s">
        <v>33</v>
      </c>
      <c r="E190" s="4" t="s">
        <v>25</v>
      </c>
      <c r="F190" s="4" t="s">
        <v>25</v>
      </c>
      <c r="G190" s="4" t="s">
        <v>25</v>
      </c>
      <c r="H190" s="4" t="s">
        <v>37</v>
      </c>
      <c r="I190" s="5">
        <v>44531</v>
      </c>
      <c r="J190" s="6">
        <v>0</v>
      </c>
      <c r="K190" s="6">
        <v>0</v>
      </c>
      <c r="L190" s="6">
        <v>169.011</v>
      </c>
      <c r="M190" s="6">
        <v>169.011</v>
      </c>
      <c r="N190" s="6">
        <v>169.011</v>
      </c>
      <c r="O190" s="6">
        <v>169.011</v>
      </c>
      <c r="P190" s="6">
        <v>0</v>
      </c>
      <c r="Q190" s="4" t="s">
        <v>26</v>
      </c>
      <c r="R190" s="4">
        <v>0</v>
      </c>
      <c r="S190" s="6">
        <v>0</v>
      </c>
      <c r="T190" s="6">
        <v>22</v>
      </c>
      <c r="U190" s="6">
        <v>84</v>
      </c>
      <c r="V190" s="6">
        <f>IF(ISERROR(VLOOKUP($S$190,'TAR FIN'!$A$1:$O$92,15,0)),0,VLOOKUP($S$190,'TAR FIN'!$A$1:$O$92,15,0))</f>
        <v>0</v>
      </c>
      <c r="W190" s="6">
        <f>IF(ISERROR(VLOOKUP($T$190,'TAR FIN'!$A$1:$O$92,15,0)),0,VLOOKUP($T$190,'TAR FIN'!$A$1:$O$92,15,0))</f>
        <v>73.28</v>
      </c>
      <c r="X190" s="6">
        <f>IF(ISERROR(VLOOKUP($U$190,'TAR FIN'!$A$1:$O$92,15,0)),0,VLOOKUP($U$190,'TAR FIN'!$A$1:$O$92,15,0))</f>
        <v>286.76</v>
      </c>
      <c r="Y190" s="6"/>
      <c r="Z190" s="6">
        <f ca="1">('TUSD BE'!$AM$16+'TUSD BF_350'!$AM$16+'TUSD CVA'!$AM$16)*1</f>
        <v>126.25</v>
      </c>
      <c r="AA190" s="6">
        <f ca="1">('TE BE'!$AB$8+'TE BF_350'!$AB$8+'TE CVA'!$AB$8)*1</f>
        <v>250.03999999999996</v>
      </c>
      <c r="AB190" s="6">
        <f>$K$190*$V$190</f>
        <v>0</v>
      </c>
      <c r="AC190" s="6">
        <f>$M$190*$W$190</f>
        <v>12385.12608</v>
      </c>
      <c r="AD190" s="6">
        <f>$O$190*$X$190</f>
        <v>48465.594359999996</v>
      </c>
      <c r="AE190" s="6">
        <f>$K$190*$Y$190</f>
        <v>0</v>
      </c>
      <c r="AF190" s="6">
        <f ca="1">$M$190*$Z$190</f>
        <v>21337.638749999998</v>
      </c>
      <c r="AG190" s="6">
        <f ca="1">$O$190*$AA$190</f>
        <v>42259.510439999991</v>
      </c>
    </row>
    <row r="191" spans="1:33" ht="11.25" customHeight="1" x14ac:dyDescent="0.3">
      <c r="A191" s="4" t="s">
        <v>27</v>
      </c>
      <c r="B191" s="4" t="s">
        <v>34</v>
      </c>
      <c r="C191" s="4" t="s">
        <v>35</v>
      </c>
      <c r="D191" s="4" t="s">
        <v>33</v>
      </c>
      <c r="E191" s="4" t="s">
        <v>25</v>
      </c>
      <c r="F191" s="4" t="s">
        <v>25</v>
      </c>
      <c r="G191" s="4" t="s">
        <v>25</v>
      </c>
      <c r="H191" s="4" t="s">
        <v>37</v>
      </c>
      <c r="I191" s="5">
        <v>44531</v>
      </c>
      <c r="J191" s="6">
        <v>0</v>
      </c>
      <c r="K191" s="6">
        <v>0</v>
      </c>
      <c r="L191" s="6">
        <v>1.3240000000000001</v>
      </c>
      <c r="M191" s="6">
        <v>1.3240000000000001</v>
      </c>
      <c r="N191" s="6">
        <v>1.3240000000000001</v>
      </c>
      <c r="O191" s="6">
        <v>1.3240000000000001</v>
      </c>
      <c r="P191" s="6">
        <v>0</v>
      </c>
      <c r="Q191" s="4" t="s">
        <v>26</v>
      </c>
      <c r="R191" s="4">
        <v>0</v>
      </c>
      <c r="S191" s="6">
        <v>0</v>
      </c>
      <c r="T191" s="6">
        <v>22</v>
      </c>
      <c r="U191" s="6">
        <v>84</v>
      </c>
      <c r="V191" s="6">
        <f>IF(ISERROR(VLOOKUP($S$191,'TAR FIN'!$A$1:$O$92,15,0)),0,VLOOKUP($S$191,'TAR FIN'!$A$1:$O$92,15,0))</f>
        <v>0</v>
      </c>
      <c r="W191" s="6">
        <f>IF(ISERROR(VLOOKUP($T$191,'TAR FIN'!$A$1:$O$92,15,0)),0,VLOOKUP($T$191,'TAR FIN'!$A$1:$O$92,15,0))</f>
        <v>73.28</v>
      </c>
      <c r="X191" s="6">
        <f>IF(ISERROR(VLOOKUP($U$191,'TAR FIN'!$A$1:$O$92,15,0)),0,VLOOKUP($U$191,'TAR FIN'!$A$1:$O$92,15,0))</f>
        <v>286.76</v>
      </c>
      <c r="Y191" s="6"/>
      <c r="Z191" s="6">
        <f ca="1">('TUSD BE'!$AM$16+'TUSD BF_350'!$AM$16+'TUSD CVA'!$AM$16)*1</f>
        <v>126.25</v>
      </c>
      <c r="AA191" s="6">
        <f ca="1">('TE BE'!$AB$8+'TE BF_350'!$AB$8+'TE CVA'!$AB$8)*1</f>
        <v>250.03999999999996</v>
      </c>
      <c r="AB191" s="6">
        <f>$K$191*$V$191</f>
        <v>0</v>
      </c>
      <c r="AC191" s="6">
        <f>$M$191*$W$191</f>
        <v>97.022720000000007</v>
      </c>
      <c r="AD191" s="6">
        <f>$O$191*$X$191</f>
        <v>379.67023999999998</v>
      </c>
      <c r="AE191" s="6">
        <f>$K$191*$Y$191</f>
        <v>0</v>
      </c>
      <c r="AF191" s="6">
        <f ca="1">$M$191*$Z$191</f>
        <v>167.155</v>
      </c>
      <c r="AG191" s="6">
        <f ca="1">$O$191*$AA$191</f>
        <v>331.05295999999998</v>
      </c>
    </row>
    <row r="192" spans="1:33" ht="11.25" customHeight="1" x14ac:dyDescent="0.3">
      <c r="A192" s="4" t="s">
        <v>21</v>
      </c>
      <c r="B192" s="4" t="s">
        <v>34</v>
      </c>
      <c r="C192" s="4" t="s">
        <v>35</v>
      </c>
      <c r="D192" s="4" t="s">
        <v>33</v>
      </c>
      <c r="E192" s="4" t="s">
        <v>25</v>
      </c>
      <c r="F192" s="4" t="s">
        <v>25</v>
      </c>
      <c r="G192" s="4" t="s">
        <v>25</v>
      </c>
      <c r="H192" s="4" t="s">
        <v>37</v>
      </c>
      <c r="I192" s="5">
        <v>44562</v>
      </c>
      <c r="J192" s="6">
        <v>0</v>
      </c>
      <c r="K192" s="6">
        <v>0</v>
      </c>
      <c r="L192" s="6">
        <v>172.00299999999999</v>
      </c>
      <c r="M192" s="6">
        <v>172.00299999999999</v>
      </c>
      <c r="N192" s="6">
        <v>172.00299999999999</v>
      </c>
      <c r="O192" s="6">
        <v>172.00299999999999</v>
      </c>
      <c r="P192" s="6">
        <v>0</v>
      </c>
      <c r="Q192" s="4" t="s">
        <v>26</v>
      </c>
      <c r="R192" s="4">
        <v>0</v>
      </c>
      <c r="S192" s="6">
        <v>0</v>
      </c>
      <c r="T192" s="6">
        <v>22</v>
      </c>
      <c r="U192" s="6">
        <v>84</v>
      </c>
      <c r="V192" s="6">
        <f>IF(ISERROR(VLOOKUP($S$192,'TAR FIN'!$A$1:$O$92,15,0)),0,VLOOKUP($S$192,'TAR FIN'!$A$1:$O$92,15,0))</f>
        <v>0</v>
      </c>
      <c r="W192" s="6">
        <f>IF(ISERROR(VLOOKUP($T$192,'TAR FIN'!$A$1:$O$92,15,0)),0,VLOOKUP($T$192,'TAR FIN'!$A$1:$O$92,15,0))</f>
        <v>73.28</v>
      </c>
      <c r="X192" s="6">
        <f>IF(ISERROR(VLOOKUP($U$192,'TAR FIN'!$A$1:$O$92,15,0)),0,VLOOKUP($U$192,'TAR FIN'!$A$1:$O$92,15,0))</f>
        <v>286.76</v>
      </c>
      <c r="Y192" s="6"/>
      <c r="Z192" s="6">
        <f ca="1">('TUSD BE'!$AM$16+'TUSD BF_350'!$AM$16+'TUSD CVA'!$AM$16)*1</f>
        <v>126.25</v>
      </c>
      <c r="AA192" s="6">
        <f ca="1">('TE BE'!$AB$8+'TE BF_350'!$AB$8+'TE CVA'!$AB$8)*1</f>
        <v>250.03999999999996</v>
      </c>
      <c r="AB192" s="6">
        <f>$K$192*$V$192</f>
        <v>0</v>
      </c>
      <c r="AC192" s="6">
        <f>$M$192*$W$192</f>
        <v>12604.37984</v>
      </c>
      <c r="AD192" s="6">
        <f>$O$192*$X$192</f>
        <v>49323.580279999995</v>
      </c>
      <c r="AE192" s="6">
        <f>$K$192*$Y$192</f>
        <v>0</v>
      </c>
      <c r="AF192" s="6">
        <f ca="1">$M$192*$Z$192</f>
        <v>21715.37875</v>
      </c>
      <c r="AG192" s="6">
        <f ca="1">$O$192*$AA$192</f>
        <v>43007.630119999987</v>
      </c>
    </row>
    <row r="193" spans="1:33" ht="11.25" customHeight="1" x14ac:dyDescent="0.3">
      <c r="A193" s="4" t="s">
        <v>27</v>
      </c>
      <c r="B193" s="4" t="s">
        <v>34</v>
      </c>
      <c r="C193" s="4" t="s">
        <v>35</v>
      </c>
      <c r="D193" s="4" t="s">
        <v>33</v>
      </c>
      <c r="E193" s="4" t="s">
        <v>25</v>
      </c>
      <c r="F193" s="4" t="s">
        <v>25</v>
      </c>
      <c r="G193" s="4" t="s">
        <v>25</v>
      </c>
      <c r="H193" s="4" t="s">
        <v>37</v>
      </c>
      <c r="I193" s="5">
        <v>44562</v>
      </c>
      <c r="J193" s="6">
        <v>0</v>
      </c>
      <c r="K193" s="6">
        <v>0</v>
      </c>
      <c r="L193" s="6">
        <v>3.63</v>
      </c>
      <c r="M193" s="6">
        <v>3.63</v>
      </c>
      <c r="N193" s="6">
        <v>3.63</v>
      </c>
      <c r="O193" s="6">
        <v>3.63</v>
      </c>
      <c r="P193" s="6">
        <v>0</v>
      </c>
      <c r="Q193" s="4" t="s">
        <v>26</v>
      </c>
      <c r="R193" s="4">
        <v>0</v>
      </c>
      <c r="S193" s="6">
        <v>0</v>
      </c>
      <c r="T193" s="6">
        <v>22</v>
      </c>
      <c r="U193" s="6">
        <v>84</v>
      </c>
      <c r="V193" s="6">
        <f>IF(ISERROR(VLOOKUP($S$193,'TAR FIN'!$A$1:$O$92,15,0)),0,VLOOKUP($S$193,'TAR FIN'!$A$1:$O$92,15,0))</f>
        <v>0</v>
      </c>
      <c r="W193" s="6">
        <f>IF(ISERROR(VLOOKUP($T$193,'TAR FIN'!$A$1:$O$92,15,0)),0,VLOOKUP($T$193,'TAR FIN'!$A$1:$O$92,15,0))</f>
        <v>73.28</v>
      </c>
      <c r="X193" s="6">
        <f>IF(ISERROR(VLOOKUP($U$193,'TAR FIN'!$A$1:$O$92,15,0)),0,VLOOKUP($U$193,'TAR FIN'!$A$1:$O$92,15,0))</f>
        <v>286.76</v>
      </c>
      <c r="Y193" s="6"/>
      <c r="Z193" s="6">
        <f ca="1">('TUSD BE'!$AM$16+'TUSD BF_350'!$AM$16+'TUSD CVA'!$AM$16)*1</f>
        <v>126.25</v>
      </c>
      <c r="AA193" s="6">
        <f ca="1">('TE BE'!$AB$8+'TE BF_350'!$AB$8+'TE CVA'!$AB$8)*1</f>
        <v>250.03999999999996</v>
      </c>
      <c r="AB193" s="6">
        <f>$K$193*$V$193</f>
        <v>0</v>
      </c>
      <c r="AC193" s="6">
        <f>$M$193*$W$193</f>
        <v>266.00639999999999</v>
      </c>
      <c r="AD193" s="6">
        <f>$O$193*$X$193</f>
        <v>1040.9387999999999</v>
      </c>
      <c r="AE193" s="6">
        <f>$K$193*$Y$193</f>
        <v>0</v>
      </c>
      <c r="AF193" s="6">
        <f ca="1">$M$193*$Z$193</f>
        <v>458.28749999999997</v>
      </c>
      <c r="AG193" s="6">
        <f ca="1">$O$193*$AA$193</f>
        <v>907.64519999999982</v>
      </c>
    </row>
    <row r="194" spans="1:33" ht="11.25" customHeight="1" x14ac:dyDescent="0.3">
      <c r="A194" s="4" t="s">
        <v>21</v>
      </c>
      <c r="B194" s="4" t="s">
        <v>34</v>
      </c>
      <c r="C194" s="4" t="s">
        <v>35</v>
      </c>
      <c r="D194" s="4" t="s">
        <v>33</v>
      </c>
      <c r="E194" s="4" t="s">
        <v>25</v>
      </c>
      <c r="F194" s="4" t="s">
        <v>25</v>
      </c>
      <c r="G194" s="4" t="s">
        <v>25</v>
      </c>
      <c r="H194" s="4" t="s">
        <v>37</v>
      </c>
      <c r="I194" s="5">
        <v>44593</v>
      </c>
      <c r="J194" s="6">
        <v>0</v>
      </c>
      <c r="K194" s="6">
        <v>0</v>
      </c>
      <c r="L194" s="6">
        <v>165.65600000000001</v>
      </c>
      <c r="M194" s="6">
        <v>165.65600000000001</v>
      </c>
      <c r="N194" s="6">
        <v>165.65600000000001</v>
      </c>
      <c r="O194" s="6">
        <v>165.65600000000001</v>
      </c>
      <c r="P194" s="6">
        <v>0</v>
      </c>
      <c r="Q194" s="4" t="s">
        <v>26</v>
      </c>
      <c r="R194" s="4">
        <v>0</v>
      </c>
      <c r="S194" s="6">
        <v>0</v>
      </c>
      <c r="T194" s="6">
        <v>22</v>
      </c>
      <c r="U194" s="6">
        <v>84</v>
      </c>
      <c r="V194" s="6">
        <f>IF(ISERROR(VLOOKUP($S$194,'TAR FIN'!$A$1:$O$92,15,0)),0,VLOOKUP($S$194,'TAR FIN'!$A$1:$O$92,15,0))</f>
        <v>0</v>
      </c>
      <c r="W194" s="6">
        <f>IF(ISERROR(VLOOKUP($T$194,'TAR FIN'!$A$1:$O$92,15,0)),0,VLOOKUP($T$194,'TAR FIN'!$A$1:$O$92,15,0))</f>
        <v>73.28</v>
      </c>
      <c r="X194" s="6">
        <f>IF(ISERROR(VLOOKUP($U$194,'TAR FIN'!$A$1:$O$92,15,0)),0,VLOOKUP($U$194,'TAR FIN'!$A$1:$O$92,15,0))</f>
        <v>286.76</v>
      </c>
      <c r="Y194" s="6"/>
      <c r="Z194" s="6">
        <f ca="1">('TUSD BE'!$AM$16+'TUSD BF_350'!$AM$16+'TUSD CVA'!$AM$16)*1</f>
        <v>126.25</v>
      </c>
      <c r="AA194" s="6">
        <f ca="1">('TE BE'!$AB$8+'TE BF_350'!$AB$8+'TE CVA'!$AB$8)*1</f>
        <v>250.03999999999996</v>
      </c>
      <c r="AB194" s="6">
        <f>$K$194*$V$194</f>
        <v>0</v>
      </c>
      <c r="AC194" s="6">
        <f>$M$194*$W$194</f>
        <v>12139.27168</v>
      </c>
      <c r="AD194" s="6">
        <f>$O$194*$X$194</f>
        <v>47503.514560000003</v>
      </c>
      <c r="AE194" s="6">
        <f>$K$194*$Y$194</f>
        <v>0</v>
      </c>
      <c r="AF194" s="6">
        <f ca="1">$M$194*$Z$194</f>
        <v>20914.07</v>
      </c>
      <c r="AG194" s="6">
        <f ca="1">$O$194*$AA$194</f>
        <v>41420.626239999998</v>
      </c>
    </row>
    <row r="195" spans="1:33" ht="11.25" customHeight="1" x14ac:dyDescent="0.3">
      <c r="A195" s="4" t="s">
        <v>27</v>
      </c>
      <c r="B195" s="4" t="s">
        <v>34</v>
      </c>
      <c r="C195" s="4" t="s">
        <v>35</v>
      </c>
      <c r="D195" s="4" t="s">
        <v>33</v>
      </c>
      <c r="E195" s="4" t="s">
        <v>25</v>
      </c>
      <c r="F195" s="4" t="s">
        <v>25</v>
      </c>
      <c r="G195" s="4" t="s">
        <v>25</v>
      </c>
      <c r="H195" s="4" t="s">
        <v>37</v>
      </c>
      <c r="I195" s="5">
        <v>44593</v>
      </c>
      <c r="J195" s="6">
        <v>0</v>
      </c>
      <c r="K195" s="6">
        <v>0</v>
      </c>
      <c r="L195" s="6">
        <v>8.5209200000000003</v>
      </c>
      <c r="M195" s="6">
        <v>8.5209200000000003</v>
      </c>
      <c r="N195" s="6">
        <v>8.5209200000000003</v>
      </c>
      <c r="O195" s="6">
        <v>8.5209200000000003</v>
      </c>
      <c r="P195" s="6">
        <v>0</v>
      </c>
      <c r="Q195" s="4" t="s">
        <v>26</v>
      </c>
      <c r="R195" s="4">
        <v>0</v>
      </c>
      <c r="S195" s="6">
        <v>0</v>
      </c>
      <c r="T195" s="6">
        <v>22</v>
      </c>
      <c r="U195" s="6">
        <v>84</v>
      </c>
      <c r="V195" s="6">
        <f>IF(ISERROR(VLOOKUP($S$195,'TAR FIN'!$A$1:$O$92,15,0)),0,VLOOKUP($S$195,'TAR FIN'!$A$1:$O$92,15,0))</f>
        <v>0</v>
      </c>
      <c r="W195" s="6">
        <f>IF(ISERROR(VLOOKUP($T$195,'TAR FIN'!$A$1:$O$92,15,0)),0,VLOOKUP($T$195,'TAR FIN'!$A$1:$O$92,15,0))</f>
        <v>73.28</v>
      </c>
      <c r="X195" s="6">
        <f>IF(ISERROR(VLOOKUP($U$195,'TAR FIN'!$A$1:$O$92,15,0)),0,VLOOKUP($U$195,'TAR FIN'!$A$1:$O$92,15,0))</f>
        <v>286.76</v>
      </c>
      <c r="Y195" s="6"/>
      <c r="Z195" s="6">
        <f ca="1">('TUSD BE'!$AM$16+'TUSD BF_350'!$AM$16+'TUSD CVA'!$AM$16)*1</f>
        <v>126.25</v>
      </c>
      <c r="AA195" s="6">
        <f ca="1">('TE BE'!$AB$8+'TE BF_350'!$AB$8+'TE CVA'!$AB$8)*1</f>
        <v>250.03999999999996</v>
      </c>
      <c r="AB195" s="6">
        <f>$K$195*$V$195</f>
        <v>0</v>
      </c>
      <c r="AC195" s="6">
        <f>$M$195*$W$195</f>
        <v>624.41301759999999</v>
      </c>
      <c r="AD195" s="6">
        <f>$O$195*$X$195</f>
        <v>2443.4590192000001</v>
      </c>
      <c r="AE195" s="6">
        <f>$K$195*$Y$195</f>
        <v>0</v>
      </c>
      <c r="AF195" s="6">
        <f ca="1">$M$195*$Z$195</f>
        <v>1075.7661499999999</v>
      </c>
      <c r="AG195" s="6">
        <f ca="1">$O$195*$AA$195</f>
        <v>2130.5708367999996</v>
      </c>
    </row>
    <row r="196" spans="1:33" ht="11.25" customHeight="1" x14ac:dyDescent="0.3">
      <c r="A196" s="4" t="s">
        <v>21</v>
      </c>
      <c r="B196" s="4" t="s">
        <v>34</v>
      </c>
      <c r="C196" s="4" t="s">
        <v>35</v>
      </c>
      <c r="D196" s="4" t="s">
        <v>33</v>
      </c>
      <c r="E196" s="4" t="s">
        <v>25</v>
      </c>
      <c r="F196" s="4" t="s">
        <v>25</v>
      </c>
      <c r="G196" s="4" t="s">
        <v>25</v>
      </c>
      <c r="H196" s="4" t="s">
        <v>37</v>
      </c>
      <c r="I196" s="5">
        <v>44621</v>
      </c>
      <c r="J196" s="6">
        <v>0</v>
      </c>
      <c r="K196" s="6">
        <v>0</v>
      </c>
      <c r="L196" s="6">
        <v>188.005</v>
      </c>
      <c r="M196" s="6">
        <v>188.005</v>
      </c>
      <c r="N196" s="6">
        <v>188.005</v>
      </c>
      <c r="O196" s="6">
        <v>188.005</v>
      </c>
      <c r="P196" s="6">
        <v>0</v>
      </c>
      <c r="Q196" s="4" t="s">
        <v>26</v>
      </c>
      <c r="R196" s="4">
        <v>0</v>
      </c>
      <c r="S196" s="6">
        <v>0</v>
      </c>
      <c r="T196" s="6">
        <v>22</v>
      </c>
      <c r="U196" s="6">
        <v>84</v>
      </c>
      <c r="V196" s="6">
        <f>IF(ISERROR(VLOOKUP($S$196,'TAR FIN'!$A$1:$O$92,15,0)),0,VLOOKUP($S$196,'TAR FIN'!$A$1:$O$92,15,0))</f>
        <v>0</v>
      </c>
      <c r="W196" s="6">
        <f>IF(ISERROR(VLOOKUP($T$196,'TAR FIN'!$A$1:$O$92,15,0)),0,VLOOKUP($T$196,'TAR FIN'!$A$1:$O$92,15,0))</f>
        <v>73.28</v>
      </c>
      <c r="X196" s="6">
        <f>IF(ISERROR(VLOOKUP($U$196,'TAR FIN'!$A$1:$O$92,15,0)),0,VLOOKUP($U$196,'TAR FIN'!$A$1:$O$92,15,0))</f>
        <v>286.76</v>
      </c>
      <c r="Y196" s="6"/>
      <c r="Z196" s="6">
        <f ca="1">('TUSD BE'!$AM$16+'TUSD BF_350'!$AM$16+'TUSD CVA'!$AM$16)*1</f>
        <v>126.25</v>
      </c>
      <c r="AA196" s="6">
        <f ca="1">('TE BE'!$AB$8+'TE BF_350'!$AB$8+'TE CVA'!$AB$8)*1</f>
        <v>250.03999999999996</v>
      </c>
      <c r="AB196" s="6">
        <f>$K$196*$V$196</f>
        <v>0</v>
      </c>
      <c r="AC196" s="6">
        <f>$M$196*$W$196</f>
        <v>13777.0064</v>
      </c>
      <c r="AD196" s="6">
        <f>$O$196*$X$196</f>
        <v>53912.313799999996</v>
      </c>
      <c r="AE196" s="6">
        <f>$K$196*$Y$196</f>
        <v>0</v>
      </c>
      <c r="AF196" s="6">
        <f ca="1">$M$196*$Z$196</f>
        <v>23735.631249999999</v>
      </c>
      <c r="AG196" s="6">
        <f ca="1">$O$196*$AA$196</f>
        <v>47008.770199999992</v>
      </c>
    </row>
    <row r="197" spans="1:33" ht="11.25" customHeight="1" x14ac:dyDescent="0.3">
      <c r="A197" s="4" t="s">
        <v>27</v>
      </c>
      <c r="B197" s="4" t="s">
        <v>34</v>
      </c>
      <c r="C197" s="4" t="s">
        <v>35</v>
      </c>
      <c r="D197" s="4" t="s">
        <v>33</v>
      </c>
      <c r="E197" s="4" t="s">
        <v>25</v>
      </c>
      <c r="F197" s="4" t="s">
        <v>25</v>
      </c>
      <c r="G197" s="4" t="s">
        <v>25</v>
      </c>
      <c r="H197" s="4" t="s">
        <v>37</v>
      </c>
      <c r="I197" s="5">
        <v>44621</v>
      </c>
      <c r="J197" s="6">
        <v>0</v>
      </c>
      <c r="K197" s="6">
        <v>0</v>
      </c>
      <c r="L197" s="6">
        <v>20.262239999999998</v>
      </c>
      <c r="M197" s="6">
        <v>20.262239999999998</v>
      </c>
      <c r="N197" s="6">
        <v>20.262239999999998</v>
      </c>
      <c r="O197" s="6">
        <v>20.262239999999998</v>
      </c>
      <c r="P197" s="6">
        <v>0</v>
      </c>
      <c r="Q197" s="4" t="s">
        <v>26</v>
      </c>
      <c r="R197" s="4">
        <v>0</v>
      </c>
      <c r="S197" s="6">
        <v>0</v>
      </c>
      <c r="T197" s="6">
        <v>22</v>
      </c>
      <c r="U197" s="6">
        <v>84</v>
      </c>
      <c r="V197" s="6">
        <f>IF(ISERROR(VLOOKUP($S$197,'TAR FIN'!$A$1:$O$92,15,0)),0,VLOOKUP($S$197,'TAR FIN'!$A$1:$O$92,15,0))</f>
        <v>0</v>
      </c>
      <c r="W197" s="6">
        <f>IF(ISERROR(VLOOKUP($T$197,'TAR FIN'!$A$1:$O$92,15,0)),0,VLOOKUP($T$197,'TAR FIN'!$A$1:$O$92,15,0))</f>
        <v>73.28</v>
      </c>
      <c r="X197" s="6">
        <f>IF(ISERROR(VLOOKUP($U$197,'TAR FIN'!$A$1:$O$92,15,0)),0,VLOOKUP($U$197,'TAR FIN'!$A$1:$O$92,15,0))</f>
        <v>286.76</v>
      </c>
      <c r="Y197" s="6"/>
      <c r="Z197" s="6">
        <f ca="1">('TUSD BE'!$AM$16+'TUSD BF_350'!$AM$16+'TUSD CVA'!$AM$16)*1</f>
        <v>126.25</v>
      </c>
      <c r="AA197" s="6">
        <f ca="1">('TE BE'!$AB$8+'TE BF_350'!$AB$8+'TE CVA'!$AB$8)*1</f>
        <v>250.03999999999996</v>
      </c>
      <c r="AB197" s="6">
        <f>$K$197*$V$197</f>
        <v>0</v>
      </c>
      <c r="AC197" s="6">
        <f>$M$197*$W$197</f>
        <v>1484.8169472</v>
      </c>
      <c r="AD197" s="6">
        <f>$O$197*$X$197</f>
        <v>5810.3999423999994</v>
      </c>
      <c r="AE197" s="6">
        <f>$K$197*$Y$197</f>
        <v>0</v>
      </c>
      <c r="AF197" s="6">
        <f ca="1">$M$197*$Z$197</f>
        <v>2558.1077999999998</v>
      </c>
      <c r="AG197" s="6">
        <f ca="1">$O$197*$AA$197</f>
        <v>5066.370489599999</v>
      </c>
    </row>
    <row r="198" spans="1:33" ht="11.25" customHeight="1" x14ac:dyDescent="0.3">
      <c r="A198" s="4" t="s">
        <v>21</v>
      </c>
      <c r="B198" s="4" t="s">
        <v>34</v>
      </c>
      <c r="C198" s="4" t="s">
        <v>35</v>
      </c>
      <c r="D198" s="4" t="s">
        <v>33</v>
      </c>
      <c r="E198" s="4" t="s">
        <v>25</v>
      </c>
      <c r="F198" s="4" t="s">
        <v>25</v>
      </c>
      <c r="G198" s="4" t="s">
        <v>25</v>
      </c>
      <c r="H198" s="4" t="s">
        <v>37</v>
      </c>
      <c r="I198" s="5">
        <v>44652</v>
      </c>
      <c r="J198" s="6">
        <v>0</v>
      </c>
      <c r="K198" s="6">
        <v>0</v>
      </c>
      <c r="L198" s="6">
        <v>157.31800000000001</v>
      </c>
      <c r="M198" s="6">
        <v>157.31800000000001</v>
      </c>
      <c r="N198" s="6">
        <v>157.31800000000001</v>
      </c>
      <c r="O198" s="6">
        <v>157.31800000000001</v>
      </c>
      <c r="P198" s="6">
        <v>0</v>
      </c>
      <c r="Q198" s="4" t="s">
        <v>26</v>
      </c>
      <c r="R198" s="4">
        <v>0</v>
      </c>
      <c r="S198" s="6">
        <v>0</v>
      </c>
      <c r="T198" s="6">
        <v>22</v>
      </c>
      <c r="U198" s="6">
        <v>84</v>
      </c>
      <c r="V198" s="6">
        <f>IF(ISERROR(VLOOKUP($S$198,'TAR FIN'!$A$1:$O$92,15,0)),0,VLOOKUP($S$198,'TAR FIN'!$A$1:$O$92,15,0))</f>
        <v>0</v>
      </c>
      <c r="W198" s="6">
        <f>IF(ISERROR(VLOOKUP($T$198,'TAR FIN'!$A$1:$O$92,15,0)),0,VLOOKUP($T$198,'TAR FIN'!$A$1:$O$92,15,0))</f>
        <v>73.28</v>
      </c>
      <c r="X198" s="6">
        <f>IF(ISERROR(VLOOKUP($U$198,'TAR FIN'!$A$1:$O$92,15,0)),0,VLOOKUP($U$198,'TAR FIN'!$A$1:$O$92,15,0))</f>
        <v>286.76</v>
      </c>
      <c r="Y198" s="6"/>
      <c r="Z198" s="6">
        <f ca="1">('TUSD BE'!$AM$16+'TUSD BF_350'!$AM$16+'TUSD CVA'!$AM$16)*1</f>
        <v>126.25</v>
      </c>
      <c r="AA198" s="6">
        <f ca="1">('TE BE'!$AB$8+'TE BF_350'!$AB$8+'TE CVA'!$AB$8)*1</f>
        <v>250.03999999999996</v>
      </c>
      <c r="AB198" s="6">
        <f>$K$198*$V$198</f>
        <v>0</v>
      </c>
      <c r="AC198" s="6">
        <f>$M$198*$W$198</f>
        <v>11528.263040000002</v>
      </c>
      <c r="AD198" s="6">
        <f>$O$198*$X$198</f>
        <v>45112.509680000003</v>
      </c>
      <c r="AE198" s="6">
        <f>$K$198*$Y$198</f>
        <v>0</v>
      </c>
      <c r="AF198" s="6">
        <f ca="1">$M$198*$Z$198</f>
        <v>19861.397500000003</v>
      </c>
      <c r="AG198" s="6">
        <f ca="1">$O$198*$AA$198</f>
        <v>39335.792719999998</v>
      </c>
    </row>
    <row r="199" spans="1:33" ht="11.25" customHeight="1" x14ac:dyDescent="0.3">
      <c r="A199" s="4" t="s">
        <v>27</v>
      </c>
      <c r="B199" s="4" t="s">
        <v>34</v>
      </c>
      <c r="C199" s="4" t="s">
        <v>35</v>
      </c>
      <c r="D199" s="4" t="s">
        <v>33</v>
      </c>
      <c r="E199" s="4" t="s">
        <v>25</v>
      </c>
      <c r="F199" s="4" t="s">
        <v>25</v>
      </c>
      <c r="G199" s="4" t="s">
        <v>25</v>
      </c>
      <c r="H199" s="4" t="s">
        <v>37</v>
      </c>
      <c r="I199" s="5">
        <v>44652</v>
      </c>
      <c r="J199" s="6">
        <v>0</v>
      </c>
      <c r="K199" s="6">
        <v>0</v>
      </c>
      <c r="L199" s="6">
        <v>17.570340000000002</v>
      </c>
      <c r="M199" s="6">
        <v>17.570340000000002</v>
      </c>
      <c r="N199" s="6">
        <v>17.570340000000002</v>
      </c>
      <c r="O199" s="6">
        <v>17.570340000000002</v>
      </c>
      <c r="P199" s="6">
        <v>0</v>
      </c>
      <c r="Q199" s="4" t="s">
        <v>26</v>
      </c>
      <c r="R199" s="4">
        <v>0</v>
      </c>
      <c r="S199" s="6">
        <v>0</v>
      </c>
      <c r="T199" s="6">
        <v>22</v>
      </c>
      <c r="U199" s="6">
        <v>84</v>
      </c>
      <c r="V199" s="6">
        <f>IF(ISERROR(VLOOKUP($S$199,'TAR FIN'!$A$1:$O$92,15,0)),0,VLOOKUP($S$199,'TAR FIN'!$A$1:$O$92,15,0))</f>
        <v>0</v>
      </c>
      <c r="W199" s="6">
        <f>IF(ISERROR(VLOOKUP($T$199,'TAR FIN'!$A$1:$O$92,15,0)),0,VLOOKUP($T$199,'TAR FIN'!$A$1:$O$92,15,0))</f>
        <v>73.28</v>
      </c>
      <c r="X199" s="6">
        <f>IF(ISERROR(VLOOKUP($U$199,'TAR FIN'!$A$1:$O$92,15,0)),0,VLOOKUP($U$199,'TAR FIN'!$A$1:$O$92,15,0))</f>
        <v>286.76</v>
      </c>
      <c r="Y199" s="6"/>
      <c r="Z199" s="6">
        <f ca="1">('TUSD BE'!$AM$16+'TUSD BF_350'!$AM$16+'TUSD CVA'!$AM$16)*1</f>
        <v>126.25</v>
      </c>
      <c r="AA199" s="6">
        <f ca="1">('TE BE'!$AB$8+'TE BF_350'!$AB$8+'TE CVA'!$AB$8)*1</f>
        <v>250.03999999999996</v>
      </c>
      <c r="AB199" s="6">
        <f>$K$199*$V$199</f>
        <v>0</v>
      </c>
      <c r="AC199" s="6">
        <f>$M$199*$W$199</f>
        <v>1287.5545152000002</v>
      </c>
      <c r="AD199" s="6">
        <f>$O$199*$X$199</f>
        <v>5038.4706984000004</v>
      </c>
      <c r="AE199" s="6">
        <f>$K$199*$Y$199</f>
        <v>0</v>
      </c>
      <c r="AF199" s="6">
        <f ca="1">$M$199*$Z$199</f>
        <v>2218.2554250000003</v>
      </c>
      <c r="AG199" s="6">
        <f ca="1">$O$199*$AA$199</f>
        <v>4393.2878135999999</v>
      </c>
    </row>
    <row r="200" spans="1:33" ht="11.25" customHeight="1" x14ac:dyDescent="0.3">
      <c r="A200" s="4" t="s">
        <v>21</v>
      </c>
      <c r="B200" s="4" t="s">
        <v>34</v>
      </c>
      <c r="C200" s="4" t="s">
        <v>35</v>
      </c>
      <c r="D200" s="4" t="s">
        <v>33</v>
      </c>
      <c r="E200" s="4" t="s">
        <v>25</v>
      </c>
      <c r="F200" s="4" t="s">
        <v>25</v>
      </c>
      <c r="G200" s="4" t="s">
        <v>25</v>
      </c>
      <c r="H200" s="4" t="s">
        <v>37</v>
      </c>
      <c r="I200" s="5">
        <v>44682</v>
      </c>
      <c r="J200" s="6">
        <v>0</v>
      </c>
      <c r="K200" s="6">
        <v>0</v>
      </c>
      <c r="L200" s="6">
        <v>175.25800000000001</v>
      </c>
      <c r="M200" s="6">
        <v>175.25800000000001</v>
      </c>
      <c r="N200" s="6">
        <v>175.25800000000001</v>
      </c>
      <c r="O200" s="6">
        <v>175.25800000000001</v>
      </c>
      <c r="P200" s="6">
        <v>0</v>
      </c>
      <c r="Q200" s="4" t="s">
        <v>26</v>
      </c>
      <c r="R200" s="4">
        <v>0</v>
      </c>
      <c r="S200" s="6">
        <v>0</v>
      </c>
      <c r="T200" s="6">
        <v>22</v>
      </c>
      <c r="U200" s="6">
        <v>84</v>
      </c>
      <c r="V200" s="6">
        <f>IF(ISERROR(VLOOKUP($S$200,'TAR FIN'!$A$1:$O$92,15,0)),0,VLOOKUP($S$200,'TAR FIN'!$A$1:$O$92,15,0))</f>
        <v>0</v>
      </c>
      <c r="W200" s="6">
        <f>IF(ISERROR(VLOOKUP($T$200,'TAR FIN'!$A$1:$O$92,15,0)),0,VLOOKUP($T$200,'TAR FIN'!$A$1:$O$92,15,0))</f>
        <v>73.28</v>
      </c>
      <c r="X200" s="6">
        <f>IF(ISERROR(VLOOKUP($U$200,'TAR FIN'!$A$1:$O$92,15,0)),0,VLOOKUP($U$200,'TAR FIN'!$A$1:$O$92,15,0))</f>
        <v>286.76</v>
      </c>
      <c r="Y200" s="6"/>
      <c r="Z200" s="6">
        <f ca="1">('TUSD BE'!$AM$16+'TUSD BF_350'!$AM$16+'TUSD CVA'!$AM$16)*1</f>
        <v>126.25</v>
      </c>
      <c r="AA200" s="6">
        <f ca="1">('TE BE'!$AB$8+'TE BF_350'!$AB$8+'TE CVA'!$AB$8)*1</f>
        <v>250.03999999999996</v>
      </c>
      <c r="AB200" s="6">
        <f>$K$200*$V$200</f>
        <v>0</v>
      </c>
      <c r="AC200" s="6">
        <f>$M$200*$W$200</f>
        <v>12842.90624</v>
      </c>
      <c r="AD200" s="6">
        <f>$O$200*$X$200</f>
        <v>50256.984080000002</v>
      </c>
      <c r="AE200" s="6">
        <f>$K$200*$Y$200</f>
        <v>0</v>
      </c>
      <c r="AF200" s="6">
        <f ca="1">$M$200*$Z$200</f>
        <v>22126.322500000002</v>
      </c>
      <c r="AG200" s="6">
        <f ca="1">$O$200*$AA$200</f>
        <v>43821.510319999994</v>
      </c>
    </row>
    <row r="201" spans="1:33" ht="11.25" customHeight="1" x14ac:dyDescent="0.3">
      <c r="A201" s="4" t="s">
        <v>27</v>
      </c>
      <c r="B201" s="4" t="s">
        <v>34</v>
      </c>
      <c r="C201" s="4" t="s">
        <v>35</v>
      </c>
      <c r="D201" s="4" t="s">
        <v>33</v>
      </c>
      <c r="E201" s="4" t="s">
        <v>25</v>
      </c>
      <c r="F201" s="4" t="s">
        <v>25</v>
      </c>
      <c r="G201" s="4" t="s">
        <v>25</v>
      </c>
      <c r="H201" s="4" t="s">
        <v>37</v>
      </c>
      <c r="I201" s="5">
        <v>44682</v>
      </c>
      <c r="J201" s="6">
        <v>0</v>
      </c>
      <c r="K201" s="6">
        <v>0</v>
      </c>
      <c r="L201" s="6">
        <v>24.851900000000001</v>
      </c>
      <c r="M201" s="6">
        <v>24.851900000000001</v>
      </c>
      <c r="N201" s="6">
        <v>24.851900000000001</v>
      </c>
      <c r="O201" s="6">
        <v>24.851900000000001</v>
      </c>
      <c r="P201" s="6">
        <v>0</v>
      </c>
      <c r="Q201" s="4" t="s">
        <v>26</v>
      </c>
      <c r="R201" s="4">
        <v>0</v>
      </c>
      <c r="S201" s="6">
        <v>0</v>
      </c>
      <c r="T201" s="6">
        <v>22</v>
      </c>
      <c r="U201" s="6">
        <v>84</v>
      </c>
      <c r="V201" s="6">
        <f>IF(ISERROR(VLOOKUP($S$201,'TAR FIN'!$A$1:$O$92,15,0)),0,VLOOKUP($S$201,'TAR FIN'!$A$1:$O$92,15,0))</f>
        <v>0</v>
      </c>
      <c r="W201" s="6">
        <f>IF(ISERROR(VLOOKUP($T$201,'TAR FIN'!$A$1:$O$92,15,0)),0,VLOOKUP($T$201,'TAR FIN'!$A$1:$O$92,15,0))</f>
        <v>73.28</v>
      </c>
      <c r="X201" s="6">
        <f>IF(ISERROR(VLOOKUP($U$201,'TAR FIN'!$A$1:$O$92,15,0)),0,VLOOKUP($U$201,'TAR FIN'!$A$1:$O$92,15,0))</f>
        <v>286.76</v>
      </c>
      <c r="Y201" s="6"/>
      <c r="Z201" s="6">
        <f ca="1">('TUSD BE'!$AM$16+'TUSD BF_350'!$AM$16+'TUSD CVA'!$AM$16)*1</f>
        <v>126.25</v>
      </c>
      <c r="AA201" s="6">
        <f ca="1">('TE BE'!$AB$8+'TE BF_350'!$AB$8+'TE CVA'!$AB$8)*1</f>
        <v>250.03999999999996</v>
      </c>
      <c r="AB201" s="6">
        <f>$K$201*$V$201</f>
        <v>0</v>
      </c>
      <c r="AC201" s="6">
        <f>$M$201*$W$201</f>
        <v>1821.147232</v>
      </c>
      <c r="AD201" s="6">
        <f>$O$201*$X$201</f>
        <v>7126.5308439999999</v>
      </c>
      <c r="AE201" s="6">
        <f>$K$201*$Y$201</f>
        <v>0</v>
      </c>
      <c r="AF201" s="6">
        <f ca="1">$M$201*$Z$201</f>
        <v>3137.5523750000002</v>
      </c>
      <c r="AG201" s="6">
        <f ca="1">$O$201*$AA$201</f>
        <v>6213.9690759999994</v>
      </c>
    </row>
    <row r="202" spans="1:33" ht="11.25" customHeight="1" x14ac:dyDescent="0.3">
      <c r="A202" s="4" t="s">
        <v>21</v>
      </c>
      <c r="B202" s="4" t="s">
        <v>34</v>
      </c>
      <c r="C202" s="4" t="s">
        <v>35</v>
      </c>
      <c r="D202" s="4" t="s">
        <v>33</v>
      </c>
      <c r="E202" s="4" t="s">
        <v>25</v>
      </c>
      <c r="F202" s="4" t="s">
        <v>25</v>
      </c>
      <c r="G202" s="4" t="s">
        <v>25</v>
      </c>
      <c r="H202" s="4" t="s">
        <v>37</v>
      </c>
      <c r="I202" s="5">
        <v>44713</v>
      </c>
      <c r="J202" s="6">
        <v>0</v>
      </c>
      <c r="K202" s="6">
        <v>0</v>
      </c>
      <c r="L202" s="6">
        <v>157.922</v>
      </c>
      <c r="M202" s="6">
        <v>157.922</v>
      </c>
      <c r="N202" s="6">
        <v>157.922</v>
      </c>
      <c r="O202" s="6">
        <v>157.922</v>
      </c>
      <c r="P202" s="6">
        <v>0</v>
      </c>
      <c r="Q202" s="4" t="s">
        <v>26</v>
      </c>
      <c r="R202" s="4">
        <v>0</v>
      </c>
      <c r="S202" s="6">
        <v>0</v>
      </c>
      <c r="T202" s="6">
        <v>22</v>
      </c>
      <c r="U202" s="6">
        <v>84</v>
      </c>
      <c r="V202" s="6">
        <f>IF(ISERROR(VLOOKUP($S$202,'TAR FIN'!$A$1:$O$92,15,0)),0,VLOOKUP($S$202,'TAR FIN'!$A$1:$O$92,15,0))</f>
        <v>0</v>
      </c>
      <c r="W202" s="6">
        <f>IF(ISERROR(VLOOKUP($T$202,'TAR FIN'!$A$1:$O$92,15,0)),0,VLOOKUP($T$202,'TAR FIN'!$A$1:$O$92,15,0))</f>
        <v>73.28</v>
      </c>
      <c r="X202" s="6">
        <f>IF(ISERROR(VLOOKUP($U$202,'TAR FIN'!$A$1:$O$92,15,0)),0,VLOOKUP($U$202,'TAR FIN'!$A$1:$O$92,15,0))</f>
        <v>286.76</v>
      </c>
      <c r="Y202" s="6"/>
      <c r="Z202" s="6">
        <f ca="1">('TUSD BE'!$AM$16+'TUSD BF_350'!$AM$16+'TUSD CVA'!$AM$16)*1</f>
        <v>126.25</v>
      </c>
      <c r="AA202" s="6">
        <f ca="1">('TE BE'!$AB$8+'TE BF_350'!$AB$8+'TE CVA'!$AB$8)*1</f>
        <v>250.03999999999996</v>
      </c>
      <c r="AB202" s="6">
        <f>$K$202*$V$202</f>
        <v>0</v>
      </c>
      <c r="AC202" s="6">
        <f>$M$202*$W$202</f>
        <v>11572.524160000001</v>
      </c>
      <c r="AD202" s="6">
        <f>$O$202*$X$202</f>
        <v>45285.712719999996</v>
      </c>
      <c r="AE202" s="6">
        <f>$K$202*$Y$202</f>
        <v>0</v>
      </c>
      <c r="AF202" s="6">
        <f ca="1">$M$202*$Z$202</f>
        <v>19937.6525</v>
      </c>
      <c r="AG202" s="6">
        <f ca="1">$O$202*$AA$202</f>
        <v>39486.816879999991</v>
      </c>
    </row>
    <row r="203" spans="1:33" ht="11.25" customHeight="1" x14ac:dyDescent="0.3">
      <c r="A203" s="4" t="s">
        <v>27</v>
      </c>
      <c r="B203" s="4" t="s">
        <v>34</v>
      </c>
      <c r="C203" s="4" t="s">
        <v>35</v>
      </c>
      <c r="D203" s="4" t="s">
        <v>33</v>
      </c>
      <c r="E203" s="4" t="s">
        <v>25</v>
      </c>
      <c r="F203" s="4" t="s">
        <v>25</v>
      </c>
      <c r="G203" s="4" t="s">
        <v>25</v>
      </c>
      <c r="H203" s="4" t="s">
        <v>37</v>
      </c>
      <c r="I203" s="5">
        <v>44713</v>
      </c>
      <c r="J203" s="6">
        <v>0</v>
      </c>
      <c r="K203" s="6">
        <v>0</v>
      </c>
      <c r="L203" s="6">
        <v>26.805409999999998</v>
      </c>
      <c r="M203" s="6">
        <v>26.805409999999998</v>
      </c>
      <c r="N203" s="6">
        <v>26.805409999999998</v>
      </c>
      <c r="O203" s="6">
        <v>26.805409999999998</v>
      </c>
      <c r="P203" s="6">
        <v>0</v>
      </c>
      <c r="Q203" s="4" t="s">
        <v>26</v>
      </c>
      <c r="R203" s="4">
        <v>0</v>
      </c>
      <c r="S203" s="6">
        <v>0</v>
      </c>
      <c r="T203" s="6">
        <v>22</v>
      </c>
      <c r="U203" s="6">
        <v>84</v>
      </c>
      <c r="V203" s="6">
        <f>IF(ISERROR(VLOOKUP($S$203,'TAR FIN'!$A$1:$O$92,15,0)),0,VLOOKUP($S$203,'TAR FIN'!$A$1:$O$92,15,0))</f>
        <v>0</v>
      </c>
      <c r="W203" s="6">
        <f>IF(ISERROR(VLOOKUP($T$203,'TAR FIN'!$A$1:$O$92,15,0)),0,VLOOKUP($T$203,'TAR FIN'!$A$1:$O$92,15,0))</f>
        <v>73.28</v>
      </c>
      <c r="X203" s="6">
        <f>IF(ISERROR(VLOOKUP($U$203,'TAR FIN'!$A$1:$O$92,15,0)),0,VLOOKUP($U$203,'TAR FIN'!$A$1:$O$92,15,0))</f>
        <v>286.76</v>
      </c>
      <c r="Y203" s="6"/>
      <c r="Z203" s="6">
        <f ca="1">('TUSD BE'!$AM$16+'TUSD BF_350'!$AM$16+'TUSD CVA'!$AM$16)*1</f>
        <v>126.25</v>
      </c>
      <c r="AA203" s="6">
        <f ca="1">('TE BE'!$AB$8+'TE BF_350'!$AB$8+'TE CVA'!$AB$8)*1</f>
        <v>250.03999999999996</v>
      </c>
      <c r="AB203" s="6">
        <f>$K$203*$V$203</f>
        <v>0</v>
      </c>
      <c r="AC203" s="6">
        <f>$M$203*$W$203</f>
        <v>1964.3004447999999</v>
      </c>
      <c r="AD203" s="6">
        <f>$O$203*$X$203</f>
        <v>7686.7193715999992</v>
      </c>
      <c r="AE203" s="6">
        <f>$K$203*$Y$203</f>
        <v>0</v>
      </c>
      <c r="AF203" s="6">
        <f ca="1">$M$203*$Z$203</f>
        <v>3384.1830124999997</v>
      </c>
      <c r="AG203" s="6">
        <f ca="1">$O$203*$AA$203</f>
        <v>6702.4247163999989</v>
      </c>
    </row>
    <row r="204" spans="1:33" ht="11.25" customHeight="1" x14ac:dyDescent="0.3">
      <c r="A204" s="4" t="s">
        <v>21</v>
      </c>
      <c r="B204" s="4" t="s">
        <v>34</v>
      </c>
      <c r="C204" s="4" t="s">
        <v>35</v>
      </c>
      <c r="D204" s="4" t="s">
        <v>33</v>
      </c>
      <c r="E204" s="4" t="s">
        <v>25</v>
      </c>
      <c r="F204" s="4" t="s">
        <v>25</v>
      </c>
      <c r="G204" s="4" t="s">
        <v>25</v>
      </c>
      <c r="H204" s="4" t="s">
        <v>37</v>
      </c>
      <c r="I204" s="5">
        <v>44743</v>
      </c>
      <c r="J204" s="6">
        <v>0</v>
      </c>
      <c r="K204" s="6">
        <v>0</v>
      </c>
      <c r="L204" s="6">
        <v>153.59897000000001</v>
      </c>
      <c r="M204" s="6">
        <v>153.59897000000001</v>
      </c>
      <c r="N204" s="6">
        <v>153.59897000000001</v>
      </c>
      <c r="O204" s="6">
        <v>153.59897000000001</v>
      </c>
      <c r="P204" s="6">
        <v>0</v>
      </c>
      <c r="Q204" s="4" t="s">
        <v>26</v>
      </c>
      <c r="R204" s="4">
        <v>0</v>
      </c>
      <c r="S204" s="6">
        <v>0</v>
      </c>
      <c r="T204" s="6">
        <v>22</v>
      </c>
      <c r="U204" s="6">
        <v>84</v>
      </c>
      <c r="V204" s="6">
        <f>IF(ISERROR(VLOOKUP($S$204,'TAR FIN'!$A$1:$O$92,15,0)),0,VLOOKUP($S$204,'TAR FIN'!$A$1:$O$92,15,0))</f>
        <v>0</v>
      </c>
      <c r="W204" s="6">
        <f>IF(ISERROR(VLOOKUP($T$204,'TAR FIN'!$A$1:$O$92,15,0)),0,VLOOKUP($T$204,'TAR FIN'!$A$1:$O$92,15,0))</f>
        <v>73.28</v>
      </c>
      <c r="X204" s="6">
        <f>IF(ISERROR(VLOOKUP($U$204,'TAR FIN'!$A$1:$O$92,15,0)),0,VLOOKUP($U$204,'TAR FIN'!$A$1:$O$92,15,0))</f>
        <v>286.76</v>
      </c>
      <c r="Y204" s="6"/>
      <c r="Z204" s="6">
        <f ca="1">('TUSD BE'!$AM$16+'TUSD BF_350'!$AM$16+'TUSD CVA'!$AM$16)*1</f>
        <v>126.25</v>
      </c>
      <c r="AA204" s="6">
        <f ca="1">('TE BE'!$AB$8+'TE BF_350'!$AB$8+'TE CVA'!$AB$8)*1</f>
        <v>250.03999999999996</v>
      </c>
      <c r="AB204" s="6">
        <f>$K$204*$V$204</f>
        <v>0</v>
      </c>
      <c r="AC204" s="6">
        <f>$M$204*$W$204</f>
        <v>11255.732521600001</v>
      </c>
      <c r="AD204" s="6">
        <f>$O$204*$X$204</f>
        <v>44046.0406372</v>
      </c>
      <c r="AE204" s="6">
        <f>$K$204*$Y$204</f>
        <v>0</v>
      </c>
      <c r="AF204" s="6">
        <f ca="1">$M$204*$Z$204</f>
        <v>19391.869962500001</v>
      </c>
      <c r="AG204" s="6">
        <f ca="1">$O$204*$AA$204</f>
        <v>38405.8864588</v>
      </c>
    </row>
    <row r="205" spans="1:33" ht="11.25" customHeight="1" x14ac:dyDescent="0.3">
      <c r="A205" s="4" t="s">
        <v>27</v>
      </c>
      <c r="B205" s="4" t="s">
        <v>34</v>
      </c>
      <c r="C205" s="4" t="s">
        <v>35</v>
      </c>
      <c r="D205" s="4" t="s">
        <v>33</v>
      </c>
      <c r="E205" s="4" t="s">
        <v>25</v>
      </c>
      <c r="F205" s="4" t="s">
        <v>25</v>
      </c>
      <c r="G205" s="4" t="s">
        <v>25</v>
      </c>
      <c r="H205" s="4" t="s">
        <v>37</v>
      </c>
      <c r="I205" s="5">
        <v>44743</v>
      </c>
      <c r="J205" s="6">
        <v>0</v>
      </c>
      <c r="K205" s="6">
        <v>0</v>
      </c>
      <c r="L205" s="6">
        <v>41.171619999999997</v>
      </c>
      <c r="M205" s="6">
        <v>41.171619999999997</v>
      </c>
      <c r="N205" s="6">
        <v>41.171619999999997</v>
      </c>
      <c r="O205" s="6">
        <v>41.171619999999997</v>
      </c>
      <c r="P205" s="6">
        <v>0</v>
      </c>
      <c r="Q205" s="4" t="s">
        <v>26</v>
      </c>
      <c r="R205" s="4">
        <v>0</v>
      </c>
      <c r="S205" s="6">
        <v>0</v>
      </c>
      <c r="T205" s="6">
        <v>22</v>
      </c>
      <c r="U205" s="6">
        <v>84</v>
      </c>
      <c r="V205" s="6">
        <f>IF(ISERROR(VLOOKUP($S$205,'TAR FIN'!$A$1:$O$92,15,0)),0,VLOOKUP($S$205,'TAR FIN'!$A$1:$O$92,15,0))</f>
        <v>0</v>
      </c>
      <c r="W205" s="6">
        <f>IF(ISERROR(VLOOKUP($T$205,'TAR FIN'!$A$1:$O$92,15,0)),0,VLOOKUP($T$205,'TAR FIN'!$A$1:$O$92,15,0))</f>
        <v>73.28</v>
      </c>
      <c r="X205" s="6">
        <f>IF(ISERROR(VLOOKUP($U$205,'TAR FIN'!$A$1:$O$92,15,0)),0,VLOOKUP($U$205,'TAR FIN'!$A$1:$O$92,15,0))</f>
        <v>286.76</v>
      </c>
      <c r="Y205" s="6"/>
      <c r="Z205" s="6">
        <f ca="1">('TUSD BE'!$AM$16+'TUSD BF_350'!$AM$16+'TUSD CVA'!$AM$16)*1</f>
        <v>126.25</v>
      </c>
      <c r="AA205" s="6">
        <f ca="1">('TE BE'!$AB$8+'TE BF_350'!$AB$8+'TE CVA'!$AB$8)*1</f>
        <v>250.03999999999996</v>
      </c>
      <c r="AB205" s="6">
        <f>$K$205*$V$205</f>
        <v>0</v>
      </c>
      <c r="AC205" s="6">
        <f>$M$205*$W$205</f>
        <v>3017.0563136000001</v>
      </c>
      <c r="AD205" s="6">
        <f>$O$205*$X$205</f>
        <v>11806.373751199999</v>
      </c>
      <c r="AE205" s="6">
        <f>$K$205*$Y$205</f>
        <v>0</v>
      </c>
      <c r="AF205" s="6">
        <f ca="1">$M$205*$Z$205</f>
        <v>5197.9170249999997</v>
      </c>
      <c r="AG205" s="6">
        <f ca="1">$O$205*$AA$205</f>
        <v>10294.551864799998</v>
      </c>
    </row>
    <row r="206" spans="1:33" ht="11.25" customHeight="1" x14ac:dyDescent="0.3">
      <c r="A206" s="4" t="s">
        <v>21</v>
      </c>
      <c r="B206" s="4" t="s">
        <v>34</v>
      </c>
      <c r="C206" s="4" t="s">
        <v>35</v>
      </c>
      <c r="D206" s="4" t="s">
        <v>33</v>
      </c>
      <c r="E206" s="4" t="s">
        <v>25</v>
      </c>
      <c r="F206" s="4" t="s">
        <v>25</v>
      </c>
      <c r="G206" s="4" t="s">
        <v>25</v>
      </c>
      <c r="H206" s="4" t="s">
        <v>25</v>
      </c>
      <c r="I206" s="5">
        <v>44409</v>
      </c>
      <c r="J206" s="6">
        <v>1378.57</v>
      </c>
      <c r="K206" s="6">
        <v>1378.57</v>
      </c>
      <c r="L206" s="6">
        <v>0</v>
      </c>
      <c r="M206" s="6">
        <v>0</v>
      </c>
      <c r="N206" s="6">
        <v>0</v>
      </c>
      <c r="O206" s="6">
        <v>0</v>
      </c>
      <c r="P206" s="6">
        <v>10</v>
      </c>
      <c r="Q206" s="4" t="s">
        <v>26</v>
      </c>
      <c r="R206" s="4">
        <v>0</v>
      </c>
      <c r="S206" s="6">
        <v>18</v>
      </c>
      <c r="T206" s="6">
        <v>0</v>
      </c>
      <c r="U206" s="6">
        <v>0</v>
      </c>
      <c r="V206" s="6">
        <f>IF(ISERROR(VLOOKUP($S$206,'TAR FIN'!$A$1:$O$92,15,0)),0,VLOOKUP($S$206,'TAR FIN'!$A$1:$O$92,15,0))</f>
        <v>18.489999999999998</v>
      </c>
      <c r="W206" s="6">
        <f>IF(ISERROR(VLOOKUP($T$206,'TAR FIN'!$A$1:$O$92,15,0)),0,VLOOKUP($T$206,'TAR FIN'!$A$1:$O$92,15,0))</f>
        <v>0</v>
      </c>
      <c r="X206" s="6">
        <f>IF(ISERROR(VLOOKUP($U$206,'TAR FIN'!$A$1:$O$92,15,0)),0,VLOOKUP($U$206,'TAR FIN'!$A$1:$O$92,15,0))</f>
        <v>0</v>
      </c>
      <c r="Y206" s="6">
        <f ca="1">('TUSD BE'!$AM$14+'TUSD BF_350'!$AM$14+'TUSD CVA'!$AM$14)*1</f>
        <v>15.64</v>
      </c>
      <c r="Z206" s="6"/>
      <c r="AA206" s="6"/>
      <c r="AB206" s="6">
        <f>$K$206*$V$206</f>
        <v>25489.759299999998</v>
      </c>
      <c r="AC206" s="6">
        <f>$M$206*$W$206</f>
        <v>0</v>
      </c>
      <c r="AD206" s="6">
        <f>$O$206*$X$206</f>
        <v>0</v>
      </c>
      <c r="AE206" s="6">
        <f ca="1">$K$206*$Y$206</f>
        <v>21560.834800000001</v>
      </c>
      <c r="AF206" s="6">
        <f>$M$206*$Z$206</f>
        <v>0</v>
      </c>
      <c r="AG206" s="6">
        <f>$O$206*$AA$206</f>
        <v>0</v>
      </c>
    </row>
    <row r="207" spans="1:33" ht="11.25" customHeight="1" x14ac:dyDescent="0.3">
      <c r="A207" s="4" t="s">
        <v>27</v>
      </c>
      <c r="B207" s="4" t="s">
        <v>34</v>
      </c>
      <c r="C207" s="4" t="s">
        <v>35</v>
      </c>
      <c r="D207" s="4" t="s">
        <v>33</v>
      </c>
      <c r="E207" s="4" t="s">
        <v>25</v>
      </c>
      <c r="F207" s="4" t="s">
        <v>25</v>
      </c>
      <c r="G207" s="4" t="s">
        <v>25</v>
      </c>
      <c r="H207" s="4" t="s">
        <v>25</v>
      </c>
      <c r="I207" s="5">
        <v>44409</v>
      </c>
      <c r="J207" s="6">
        <v>350</v>
      </c>
      <c r="K207" s="6">
        <v>350</v>
      </c>
      <c r="L207" s="6">
        <v>0</v>
      </c>
      <c r="M207" s="6">
        <v>0</v>
      </c>
      <c r="N207" s="6">
        <v>0</v>
      </c>
      <c r="O207" s="6">
        <v>0</v>
      </c>
      <c r="P207" s="6">
        <v>2</v>
      </c>
      <c r="Q207" s="4" t="s">
        <v>26</v>
      </c>
      <c r="R207" s="4">
        <v>0</v>
      </c>
      <c r="S207" s="6">
        <v>18</v>
      </c>
      <c r="T207" s="6">
        <v>0</v>
      </c>
      <c r="U207" s="6">
        <v>0</v>
      </c>
      <c r="V207" s="6">
        <f>IF(ISERROR(VLOOKUP($S$207,'TAR FIN'!$A$1:$O$92,15,0)),0,VLOOKUP($S$207,'TAR FIN'!$A$1:$O$92,15,0))</f>
        <v>18.489999999999998</v>
      </c>
      <c r="W207" s="6">
        <f>IF(ISERROR(VLOOKUP($T$207,'TAR FIN'!$A$1:$O$92,15,0)),0,VLOOKUP($T$207,'TAR FIN'!$A$1:$O$92,15,0))</f>
        <v>0</v>
      </c>
      <c r="X207" s="6">
        <f>IF(ISERROR(VLOOKUP($U$207,'TAR FIN'!$A$1:$O$92,15,0)),0,VLOOKUP($U$207,'TAR FIN'!$A$1:$O$92,15,0))</f>
        <v>0</v>
      </c>
      <c r="Y207" s="6">
        <f ca="1">('TUSD BE'!$AM$14+'TUSD BF_350'!$AM$14+'TUSD CVA'!$AM$14)*1</f>
        <v>15.64</v>
      </c>
      <c r="Z207" s="6"/>
      <c r="AA207" s="6"/>
      <c r="AB207" s="6">
        <f>$K$207*$V$207</f>
        <v>6471.4999999999991</v>
      </c>
      <c r="AC207" s="6">
        <f>$M$207*$W$207</f>
        <v>0</v>
      </c>
      <c r="AD207" s="6">
        <f>$O$207*$X$207</f>
        <v>0</v>
      </c>
      <c r="AE207" s="6">
        <f ca="1">$K$207*$Y$207</f>
        <v>5474</v>
      </c>
      <c r="AF207" s="6">
        <f>$M$207*$Z$207</f>
        <v>0</v>
      </c>
      <c r="AG207" s="6">
        <f>$O$207*$AA$207</f>
        <v>0</v>
      </c>
    </row>
    <row r="208" spans="1:33" ht="11.25" customHeight="1" x14ac:dyDescent="0.3">
      <c r="A208" s="4" t="s">
        <v>21</v>
      </c>
      <c r="B208" s="4" t="s">
        <v>34</v>
      </c>
      <c r="C208" s="4" t="s">
        <v>35</v>
      </c>
      <c r="D208" s="4" t="s">
        <v>33</v>
      </c>
      <c r="E208" s="4" t="s">
        <v>25</v>
      </c>
      <c r="F208" s="4" t="s">
        <v>25</v>
      </c>
      <c r="G208" s="4" t="s">
        <v>25</v>
      </c>
      <c r="H208" s="4" t="s">
        <v>25</v>
      </c>
      <c r="I208" s="5">
        <v>44440</v>
      </c>
      <c r="J208" s="6">
        <v>1369</v>
      </c>
      <c r="K208" s="6">
        <v>1369</v>
      </c>
      <c r="L208" s="6">
        <v>0</v>
      </c>
      <c r="M208" s="6">
        <v>0</v>
      </c>
      <c r="N208" s="6">
        <v>0</v>
      </c>
      <c r="O208" s="6">
        <v>0</v>
      </c>
      <c r="P208" s="6">
        <v>10</v>
      </c>
      <c r="Q208" s="4" t="s">
        <v>26</v>
      </c>
      <c r="R208" s="4">
        <v>0</v>
      </c>
      <c r="S208" s="6">
        <v>18</v>
      </c>
      <c r="T208" s="6">
        <v>0</v>
      </c>
      <c r="U208" s="6">
        <v>0</v>
      </c>
      <c r="V208" s="6">
        <f>IF(ISERROR(VLOOKUP($S$208,'TAR FIN'!$A$1:$O$92,15,0)),0,VLOOKUP($S$208,'TAR FIN'!$A$1:$O$92,15,0))</f>
        <v>18.489999999999998</v>
      </c>
      <c r="W208" s="6">
        <f>IF(ISERROR(VLOOKUP($T$208,'TAR FIN'!$A$1:$O$92,15,0)),0,VLOOKUP($T$208,'TAR FIN'!$A$1:$O$92,15,0))</f>
        <v>0</v>
      </c>
      <c r="X208" s="6">
        <f>IF(ISERROR(VLOOKUP($U$208,'TAR FIN'!$A$1:$O$92,15,0)),0,VLOOKUP($U$208,'TAR FIN'!$A$1:$O$92,15,0))</f>
        <v>0</v>
      </c>
      <c r="Y208" s="6">
        <f ca="1">('TUSD BE'!$AM$14+'TUSD BF_350'!$AM$14+'TUSD CVA'!$AM$14)*1</f>
        <v>15.64</v>
      </c>
      <c r="Z208" s="6"/>
      <c r="AA208" s="6"/>
      <c r="AB208" s="6">
        <f>$K$208*$V$208</f>
        <v>25312.809999999998</v>
      </c>
      <c r="AC208" s="6">
        <f>$M$208*$W$208</f>
        <v>0</v>
      </c>
      <c r="AD208" s="6">
        <f>$O$208*$X$208</f>
        <v>0</v>
      </c>
      <c r="AE208" s="6">
        <f ca="1">$K$208*$Y$208</f>
        <v>21411.16</v>
      </c>
      <c r="AF208" s="6">
        <f>$M$208*$Z$208</f>
        <v>0</v>
      </c>
      <c r="AG208" s="6">
        <f>$O$208*$AA$208</f>
        <v>0</v>
      </c>
    </row>
    <row r="209" spans="1:33" ht="11.25" customHeight="1" x14ac:dyDescent="0.3">
      <c r="A209" s="4" t="s">
        <v>27</v>
      </c>
      <c r="B209" s="4" t="s">
        <v>34</v>
      </c>
      <c r="C209" s="4" t="s">
        <v>35</v>
      </c>
      <c r="D209" s="4" t="s">
        <v>33</v>
      </c>
      <c r="E209" s="4" t="s">
        <v>25</v>
      </c>
      <c r="F209" s="4" t="s">
        <v>25</v>
      </c>
      <c r="G209" s="4" t="s">
        <v>25</v>
      </c>
      <c r="H209" s="4" t="s">
        <v>25</v>
      </c>
      <c r="I209" s="5">
        <v>44440</v>
      </c>
      <c r="J209" s="6">
        <v>350</v>
      </c>
      <c r="K209" s="6">
        <v>350</v>
      </c>
      <c r="L209" s="6">
        <v>0</v>
      </c>
      <c r="M209" s="6">
        <v>0</v>
      </c>
      <c r="N209" s="6">
        <v>0</v>
      </c>
      <c r="O209" s="6">
        <v>0</v>
      </c>
      <c r="P209" s="6">
        <v>2</v>
      </c>
      <c r="Q209" s="4" t="s">
        <v>26</v>
      </c>
      <c r="R209" s="4">
        <v>0</v>
      </c>
      <c r="S209" s="6">
        <v>18</v>
      </c>
      <c r="T209" s="6">
        <v>0</v>
      </c>
      <c r="U209" s="6">
        <v>0</v>
      </c>
      <c r="V209" s="6">
        <f>IF(ISERROR(VLOOKUP($S$209,'TAR FIN'!$A$1:$O$92,15,0)),0,VLOOKUP($S$209,'TAR FIN'!$A$1:$O$92,15,0))</f>
        <v>18.489999999999998</v>
      </c>
      <c r="W209" s="6">
        <f>IF(ISERROR(VLOOKUP($T$209,'TAR FIN'!$A$1:$O$92,15,0)),0,VLOOKUP($T$209,'TAR FIN'!$A$1:$O$92,15,0))</f>
        <v>0</v>
      </c>
      <c r="X209" s="6">
        <f>IF(ISERROR(VLOOKUP($U$209,'TAR FIN'!$A$1:$O$92,15,0)),0,VLOOKUP($U$209,'TAR FIN'!$A$1:$O$92,15,0))</f>
        <v>0</v>
      </c>
      <c r="Y209" s="6">
        <f ca="1">('TUSD BE'!$AM$14+'TUSD BF_350'!$AM$14+'TUSD CVA'!$AM$14)*1</f>
        <v>15.64</v>
      </c>
      <c r="Z209" s="6"/>
      <c r="AA209" s="6"/>
      <c r="AB209" s="6">
        <f>$K$209*$V$209</f>
        <v>6471.4999999999991</v>
      </c>
      <c r="AC209" s="6">
        <f>$M$209*$W$209</f>
        <v>0</v>
      </c>
      <c r="AD209" s="6">
        <f>$O$209*$X$209</f>
        <v>0</v>
      </c>
      <c r="AE209" s="6">
        <f ca="1">$K$209*$Y$209</f>
        <v>5474</v>
      </c>
      <c r="AF209" s="6">
        <f>$M$209*$Z$209</f>
        <v>0</v>
      </c>
      <c r="AG209" s="6">
        <f>$O$209*$AA$209</f>
        <v>0</v>
      </c>
    </row>
    <row r="210" spans="1:33" ht="11.25" customHeight="1" x14ac:dyDescent="0.3">
      <c r="A210" s="4" t="s">
        <v>21</v>
      </c>
      <c r="B210" s="4" t="s">
        <v>34</v>
      </c>
      <c r="C210" s="4" t="s">
        <v>35</v>
      </c>
      <c r="D210" s="4" t="s">
        <v>33</v>
      </c>
      <c r="E210" s="4" t="s">
        <v>25</v>
      </c>
      <c r="F210" s="4" t="s">
        <v>25</v>
      </c>
      <c r="G210" s="4" t="s">
        <v>25</v>
      </c>
      <c r="H210" s="4" t="s">
        <v>25</v>
      </c>
      <c r="I210" s="5">
        <v>44470</v>
      </c>
      <c r="J210" s="6">
        <v>1399</v>
      </c>
      <c r="K210" s="6">
        <v>1399</v>
      </c>
      <c r="L210" s="6">
        <v>0</v>
      </c>
      <c r="M210" s="6">
        <v>0</v>
      </c>
      <c r="N210" s="6">
        <v>0</v>
      </c>
      <c r="O210" s="6">
        <v>0</v>
      </c>
      <c r="P210" s="6">
        <v>10</v>
      </c>
      <c r="Q210" s="4" t="s">
        <v>26</v>
      </c>
      <c r="R210" s="4">
        <v>0</v>
      </c>
      <c r="S210" s="6">
        <v>18</v>
      </c>
      <c r="T210" s="6">
        <v>0</v>
      </c>
      <c r="U210" s="6">
        <v>0</v>
      </c>
      <c r="V210" s="6">
        <f>IF(ISERROR(VLOOKUP($S$210,'TAR FIN'!$A$1:$O$92,15,0)),0,VLOOKUP($S$210,'TAR FIN'!$A$1:$O$92,15,0))</f>
        <v>18.489999999999998</v>
      </c>
      <c r="W210" s="6">
        <f>IF(ISERROR(VLOOKUP($T$210,'TAR FIN'!$A$1:$O$92,15,0)),0,VLOOKUP($T$210,'TAR FIN'!$A$1:$O$92,15,0))</f>
        <v>0</v>
      </c>
      <c r="X210" s="6">
        <f>IF(ISERROR(VLOOKUP($U$210,'TAR FIN'!$A$1:$O$92,15,0)),0,VLOOKUP($U$210,'TAR FIN'!$A$1:$O$92,15,0))</f>
        <v>0</v>
      </c>
      <c r="Y210" s="6">
        <f ca="1">('TUSD BE'!$AM$14+'TUSD BF_350'!$AM$14+'TUSD CVA'!$AM$14)*1</f>
        <v>15.64</v>
      </c>
      <c r="Z210" s="6"/>
      <c r="AA210" s="6"/>
      <c r="AB210" s="6">
        <f>$K$210*$V$210</f>
        <v>25867.51</v>
      </c>
      <c r="AC210" s="6">
        <f>$M$210*$W$210</f>
        <v>0</v>
      </c>
      <c r="AD210" s="6">
        <f>$O$210*$X$210</f>
        <v>0</v>
      </c>
      <c r="AE210" s="6">
        <f ca="1">$K$210*$Y$210</f>
        <v>21880.36</v>
      </c>
      <c r="AF210" s="6">
        <f>$M$210*$Z$210</f>
        <v>0</v>
      </c>
      <c r="AG210" s="6">
        <f>$O$210*$AA$210</f>
        <v>0</v>
      </c>
    </row>
    <row r="211" spans="1:33" ht="11.25" customHeight="1" x14ac:dyDescent="0.3">
      <c r="A211" s="4" t="s">
        <v>27</v>
      </c>
      <c r="B211" s="4" t="s">
        <v>34</v>
      </c>
      <c r="C211" s="4" t="s">
        <v>35</v>
      </c>
      <c r="D211" s="4" t="s">
        <v>33</v>
      </c>
      <c r="E211" s="4" t="s">
        <v>25</v>
      </c>
      <c r="F211" s="4" t="s">
        <v>25</v>
      </c>
      <c r="G211" s="4" t="s">
        <v>25</v>
      </c>
      <c r="H211" s="4" t="s">
        <v>25</v>
      </c>
      <c r="I211" s="5">
        <v>44470</v>
      </c>
      <c r="J211" s="6">
        <v>350</v>
      </c>
      <c r="K211" s="6">
        <v>350</v>
      </c>
      <c r="L211" s="6">
        <v>0</v>
      </c>
      <c r="M211" s="6">
        <v>0</v>
      </c>
      <c r="N211" s="6">
        <v>0</v>
      </c>
      <c r="O211" s="6">
        <v>0</v>
      </c>
      <c r="P211" s="6">
        <v>2</v>
      </c>
      <c r="Q211" s="4" t="s">
        <v>26</v>
      </c>
      <c r="R211" s="4">
        <v>0</v>
      </c>
      <c r="S211" s="6">
        <v>18</v>
      </c>
      <c r="T211" s="6">
        <v>0</v>
      </c>
      <c r="U211" s="6">
        <v>0</v>
      </c>
      <c r="V211" s="6">
        <f>IF(ISERROR(VLOOKUP($S$211,'TAR FIN'!$A$1:$O$92,15,0)),0,VLOOKUP($S$211,'TAR FIN'!$A$1:$O$92,15,0))</f>
        <v>18.489999999999998</v>
      </c>
      <c r="W211" s="6">
        <f>IF(ISERROR(VLOOKUP($T$211,'TAR FIN'!$A$1:$O$92,15,0)),0,VLOOKUP($T$211,'TAR FIN'!$A$1:$O$92,15,0))</f>
        <v>0</v>
      </c>
      <c r="X211" s="6">
        <f>IF(ISERROR(VLOOKUP($U$211,'TAR FIN'!$A$1:$O$92,15,0)),0,VLOOKUP($U$211,'TAR FIN'!$A$1:$O$92,15,0))</f>
        <v>0</v>
      </c>
      <c r="Y211" s="6">
        <f ca="1">('TUSD BE'!$AM$14+'TUSD BF_350'!$AM$14+'TUSD CVA'!$AM$14)*1</f>
        <v>15.64</v>
      </c>
      <c r="Z211" s="6"/>
      <c r="AA211" s="6"/>
      <c r="AB211" s="6">
        <f>$K$211*$V$211</f>
        <v>6471.4999999999991</v>
      </c>
      <c r="AC211" s="6">
        <f>$M$211*$W$211</f>
        <v>0</v>
      </c>
      <c r="AD211" s="6">
        <f>$O$211*$X$211</f>
        <v>0</v>
      </c>
      <c r="AE211" s="6">
        <f ca="1">$K$211*$Y$211</f>
        <v>5474</v>
      </c>
      <c r="AF211" s="6">
        <f>$M$211*$Z$211</f>
        <v>0</v>
      </c>
      <c r="AG211" s="6">
        <f>$O$211*$AA$211</f>
        <v>0</v>
      </c>
    </row>
    <row r="212" spans="1:33" ht="11.25" customHeight="1" x14ac:dyDescent="0.3">
      <c r="A212" s="4" t="s">
        <v>21</v>
      </c>
      <c r="B212" s="4" t="s">
        <v>34</v>
      </c>
      <c r="C212" s="4" t="s">
        <v>35</v>
      </c>
      <c r="D212" s="4" t="s">
        <v>33</v>
      </c>
      <c r="E212" s="4" t="s">
        <v>25</v>
      </c>
      <c r="F212" s="4" t="s">
        <v>25</v>
      </c>
      <c r="G212" s="4" t="s">
        <v>25</v>
      </c>
      <c r="H212" s="4" t="s">
        <v>25</v>
      </c>
      <c r="I212" s="5">
        <v>44501</v>
      </c>
      <c r="J212" s="6">
        <v>1397</v>
      </c>
      <c r="K212" s="6">
        <v>1397</v>
      </c>
      <c r="L212" s="6">
        <v>0</v>
      </c>
      <c r="M212" s="6">
        <v>0</v>
      </c>
      <c r="N212" s="6">
        <v>0</v>
      </c>
      <c r="O212" s="6">
        <v>0</v>
      </c>
      <c r="P212" s="6">
        <v>10</v>
      </c>
      <c r="Q212" s="4" t="s">
        <v>26</v>
      </c>
      <c r="R212" s="4">
        <v>0</v>
      </c>
      <c r="S212" s="6">
        <v>18</v>
      </c>
      <c r="T212" s="6">
        <v>0</v>
      </c>
      <c r="U212" s="6">
        <v>0</v>
      </c>
      <c r="V212" s="6">
        <f>IF(ISERROR(VLOOKUP($S$212,'TAR FIN'!$A$1:$O$92,15,0)),0,VLOOKUP($S$212,'TAR FIN'!$A$1:$O$92,15,0))</f>
        <v>18.489999999999998</v>
      </c>
      <c r="W212" s="6">
        <f>IF(ISERROR(VLOOKUP($T$212,'TAR FIN'!$A$1:$O$92,15,0)),0,VLOOKUP($T$212,'TAR FIN'!$A$1:$O$92,15,0))</f>
        <v>0</v>
      </c>
      <c r="X212" s="6">
        <f>IF(ISERROR(VLOOKUP($U$212,'TAR FIN'!$A$1:$O$92,15,0)),0,VLOOKUP($U$212,'TAR FIN'!$A$1:$O$92,15,0))</f>
        <v>0</v>
      </c>
      <c r="Y212" s="6">
        <f ca="1">('TUSD BE'!$AM$14+'TUSD BF_350'!$AM$14+'TUSD CVA'!$AM$14)*1</f>
        <v>15.64</v>
      </c>
      <c r="Z212" s="6"/>
      <c r="AA212" s="6"/>
      <c r="AB212" s="6">
        <f>$K$212*$V$212</f>
        <v>25830.53</v>
      </c>
      <c r="AC212" s="6">
        <f>$M$212*$W$212</f>
        <v>0</v>
      </c>
      <c r="AD212" s="6">
        <f>$O$212*$X$212</f>
        <v>0</v>
      </c>
      <c r="AE212" s="6">
        <f ca="1">$K$212*$Y$212</f>
        <v>21849.08</v>
      </c>
      <c r="AF212" s="6">
        <f>$M$212*$Z$212</f>
        <v>0</v>
      </c>
      <c r="AG212" s="6">
        <f>$O$212*$AA$212</f>
        <v>0</v>
      </c>
    </row>
    <row r="213" spans="1:33" ht="11.25" customHeight="1" x14ac:dyDescent="0.3">
      <c r="A213" s="4" t="s">
        <v>27</v>
      </c>
      <c r="B213" s="4" t="s">
        <v>34</v>
      </c>
      <c r="C213" s="4" t="s">
        <v>35</v>
      </c>
      <c r="D213" s="4" t="s">
        <v>33</v>
      </c>
      <c r="E213" s="4" t="s">
        <v>25</v>
      </c>
      <c r="F213" s="4" t="s">
        <v>25</v>
      </c>
      <c r="G213" s="4" t="s">
        <v>25</v>
      </c>
      <c r="H213" s="4" t="s">
        <v>25</v>
      </c>
      <c r="I213" s="5">
        <v>44501</v>
      </c>
      <c r="J213" s="6">
        <v>350</v>
      </c>
      <c r="K213" s="6">
        <v>350</v>
      </c>
      <c r="L213" s="6">
        <v>0</v>
      </c>
      <c r="M213" s="6">
        <v>0</v>
      </c>
      <c r="N213" s="6">
        <v>0</v>
      </c>
      <c r="O213" s="6">
        <v>0</v>
      </c>
      <c r="P213" s="6">
        <v>2</v>
      </c>
      <c r="Q213" s="4" t="s">
        <v>26</v>
      </c>
      <c r="R213" s="4">
        <v>0</v>
      </c>
      <c r="S213" s="6">
        <v>18</v>
      </c>
      <c r="T213" s="6">
        <v>0</v>
      </c>
      <c r="U213" s="6">
        <v>0</v>
      </c>
      <c r="V213" s="6">
        <f>IF(ISERROR(VLOOKUP($S$213,'TAR FIN'!$A$1:$O$92,15,0)),0,VLOOKUP($S$213,'TAR FIN'!$A$1:$O$92,15,0))</f>
        <v>18.489999999999998</v>
      </c>
      <c r="W213" s="6">
        <f>IF(ISERROR(VLOOKUP($T$213,'TAR FIN'!$A$1:$O$92,15,0)),0,VLOOKUP($T$213,'TAR FIN'!$A$1:$O$92,15,0))</f>
        <v>0</v>
      </c>
      <c r="X213" s="6">
        <f>IF(ISERROR(VLOOKUP($U$213,'TAR FIN'!$A$1:$O$92,15,0)),0,VLOOKUP($U$213,'TAR FIN'!$A$1:$O$92,15,0))</f>
        <v>0</v>
      </c>
      <c r="Y213" s="6">
        <f ca="1">('TUSD BE'!$AM$14+'TUSD BF_350'!$AM$14+'TUSD CVA'!$AM$14)*1</f>
        <v>15.64</v>
      </c>
      <c r="Z213" s="6"/>
      <c r="AA213" s="6"/>
      <c r="AB213" s="6">
        <f>$K$213*$V$213</f>
        <v>6471.4999999999991</v>
      </c>
      <c r="AC213" s="6">
        <f>$M$213*$W$213</f>
        <v>0</v>
      </c>
      <c r="AD213" s="6">
        <f>$O$213*$X$213</f>
        <v>0</v>
      </c>
      <c r="AE213" s="6">
        <f ca="1">$K$213*$Y$213</f>
        <v>5474</v>
      </c>
      <c r="AF213" s="6">
        <f>$M$213*$Z$213</f>
        <v>0</v>
      </c>
      <c r="AG213" s="6">
        <f>$O$213*$AA$213</f>
        <v>0</v>
      </c>
    </row>
    <row r="214" spans="1:33" ht="11.25" customHeight="1" x14ac:dyDescent="0.3">
      <c r="A214" s="4" t="s">
        <v>21</v>
      </c>
      <c r="B214" s="4" t="s">
        <v>34</v>
      </c>
      <c r="C214" s="4" t="s">
        <v>35</v>
      </c>
      <c r="D214" s="4" t="s">
        <v>33</v>
      </c>
      <c r="E214" s="4" t="s">
        <v>25</v>
      </c>
      <c r="F214" s="4" t="s">
        <v>25</v>
      </c>
      <c r="G214" s="4" t="s">
        <v>25</v>
      </c>
      <c r="H214" s="4" t="s">
        <v>25</v>
      </c>
      <c r="I214" s="5">
        <v>44531</v>
      </c>
      <c r="J214" s="6">
        <v>1411</v>
      </c>
      <c r="K214" s="6">
        <v>1411</v>
      </c>
      <c r="L214" s="6">
        <v>0</v>
      </c>
      <c r="M214" s="6">
        <v>0</v>
      </c>
      <c r="N214" s="6">
        <v>0</v>
      </c>
      <c r="O214" s="6">
        <v>0</v>
      </c>
      <c r="P214" s="6">
        <v>10</v>
      </c>
      <c r="Q214" s="4" t="s">
        <v>26</v>
      </c>
      <c r="R214" s="4">
        <v>0</v>
      </c>
      <c r="S214" s="6">
        <v>18</v>
      </c>
      <c r="T214" s="6">
        <v>0</v>
      </c>
      <c r="U214" s="6">
        <v>0</v>
      </c>
      <c r="V214" s="6">
        <f>IF(ISERROR(VLOOKUP($S$214,'TAR FIN'!$A$1:$O$92,15,0)),0,VLOOKUP($S$214,'TAR FIN'!$A$1:$O$92,15,0))</f>
        <v>18.489999999999998</v>
      </c>
      <c r="W214" s="6">
        <f>IF(ISERROR(VLOOKUP($T$214,'TAR FIN'!$A$1:$O$92,15,0)),0,VLOOKUP($T$214,'TAR FIN'!$A$1:$O$92,15,0))</f>
        <v>0</v>
      </c>
      <c r="X214" s="6">
        <f>IF(ISERROR(VLOOKUP($U$214,'TAR FIN'!$A$1:$O$92,15,0)),0,VLOOKUP($U$214,'TAR FIN'!$A$1:$O$92,15,0))</f>
        <v>0</v>
      </c>
      <c r="Y214" s="6">
        <f ca="1">('TUSD BE'!$AM$14+'TUSD BF_350'!$AM$14+'TUSD CVA'!$AM$14)*1</f>
        <v>15.64</v>
      </c>
      <c r="Z214" s="6"/>
      <c r="AA214" s="6"/>
      <c r="AB214" s="6">
        <f>$K$214*$V$214</f>
        <v>26089.39</v>
      </c>
      <c r="AC214" s="6">
        <f>$M$214*$W$214</f>
        <v>0</v>
      </c>
      <c r="AD214" s="6">
        <f>$O$214*$X$214</f>
        <v>0</v>
      </c>
      <c r="AE214" s="6">
        <f ca="1">$K$214*$Y$214</f>
        <v>22068.04</v>
      </c>
      <c r="AF214" s="6">
        <f>$M$214*$Z$214</f>
        <v>0</v>
      </c>
      <c r="AG214" s="6">
        <f>$O$214*$AA$214</f>
        <v>0</v>
      </c>
    </row>
    <row r="215" spans="1:33" ht="11.25" customHeight="1" x14ac:dyDescent="0.3">
      <c r="A215" s="4" t="s">
        <v>27</v>
      </c>
      <c r="B215" s="4" t="s">
        <v>34</v>
      </c>
      <c r="C215" s="4" t="s">
        <v>35</v>
      </c>
      <c r="D215" s="4" t="s">
        <v>33</v>
      </c>
      <c r="E215" s="4" t="s">
        <v>25</v>
      </c>
      <c r="F215" s="4" t="s">
        <v>25</v>
      </c>
      <c r="G215" s="4" t="s">
        <v>25</v>
      </c>
      <c r="H215" s="4" t="s">
        <v>25</v>
      </c>
      <c r="I215" s="5">
        <v>44531</v>
      </c>
      <c r="J215" s="6">
        <v>350</v>
      </c>
      <c r="K215" s="6">
        <v>350</v>
      </c>
      <c r="L215" s="6">
        <v>0</v>
      </c>
      <c r="M215" s="6">
        <v>0</v>
      </c>
      <c r="N215" s="6">
        <v>0</v>
      </c>
      <c r="O215" s="6">
        <v>0</v>
      </c>
      <c r="P215" s="6">
        <v>2</v>
      </c>
      <c r="Q215" s="4" t="s">
        <v>26</v>
      </c>
      <c r="R215" s="4">
        <v>0</v>
      </c>
      <c r="S215" s="6">
        <v>18</v>
      </c>
      <c r="T215" s="6">
        <v>0</v>
      </c>
      <c r="U215" s="6">
        <v>0</v>
      </c>
      <c r="V215" s="6">
        <f>IF(ISERROR(VLOOKUP($S$215,'TAR FIN'!$A$1:$O$92,15,0)),0,VLOOKUP($S$215,'TAR FIN'!$A$1:$O$92,15,0))</f>
        <v>18.489999999999998</v>
      </c>
      <c r="W215" s="6">
        <f>IF(ISERROR(VLOOKUP($T$215,'TAR FIN'!$A$1:$O$92,15,0)),0,VLOOKUP($T$215,'TAR FIN'!$A$1:$O$92,15,0))</f>
        <v>0</v>
      </c>
      <c r="X215" s="6">
        <f>IF(ISERROR(VLOOKUP($U$215,'TAR FIN'!$A$1:$O$92,15,0)),0,VLOOKUP($U$215,'TAR FIN'!$A$1:$O$92,15,0))</f>
        <v>0</v>
      </c>
      <c r="Y215" s="6">
        <f ca="1">('TUSD BE'!$AM$14+'TUSD BF_350'!$AM$14+'TUSD CVA'!$AM$14)*1</f>
        <v>15.64</v>
      </c>
      <c r="Z215" s="6"/>
      <c r="AA215" s="6"/>
      <c r="AB215" s="6">
        <f>$K$215*$V$215</f>
        <v>6471.4999999999991</v>
      </c>
      <c r="AC215" s="6">
        <f>$M$215*$W$215</f>
        <v>0</v>
      </c>
      <c r="AD215" s="6">
        <f>$O$215*$X$215</f>
        <v>0</v>
      </c>
      <c r="AE215" s="6">
        <f ca="1">$K$215*$Y$215</f>
        <v>5474</v>
      </c>
      <c r="AF215" s="6">
        <f>$M$215*$Z$215</f>
        <v>0</v>
      </c>
      <c r="AG215" s="6">
        <f>$O$215*$AA$215</f>
        <v>0</v>
      </c>
    </row>
    <row r="216" spans="1:33" ht="11.25" customHeight="1" x14ac:dyDescent="0.3">
      <c r="A216" s="4" t="s">
        <v>21</v>
      </c>
      <c r="B216" s="4" t="s">
        <v>34</v>
      </c>
      <c r="C216" s="4" t="s">
        <v>35</v>
      </c>
      <c r="D216" s="4" t="s">
        <v>33</v>
      </c>
      <c r="E216" s="4" t="s">
        <v>25</v>
      </c>
      <c r="F216" s="4" t="s">
        <v>25</v>
      </c>
      <c r="G216" s="4" t="s">
        <v>25</v>
      </c>
      <c r="H216" s="4" t="s">
        <v>25</v>
      </c>
      <c r="I216" s="5">
        <v>44562</v>
      </c>
      <c r="J216" s="6">
        <v>1310</v>
      </c>
      <c r="K216" s="6">
        <v>1310</v>
      </c>
      <c r="L216" s="6">
        <v>0</v>
      </c>
      <c r="M216" s="6">
        <v>0</v>
      </c>
      <c r="N216" s="6">
        <v>0</v>
      </c>
      <c r="O216" s="6">
        <v>0</v>
      </c>
      <c r="P216" s="6">
        <v>10</v>
      </c>
      <c r="Q216" s="4" t="s">
        <v>26</v>
      </c>
      <c r="R216" s="4">
        <v>0</v>
      </c>
      <c r="S216" s="6">
        <v>18</v>
      </c>
      <c r="T216" s="6">
        <v>0</v>
      </c>
      <c r="U216" s="6">
        <v>0</v>
      </c>
      <c r="V216" s="6">
        <f>IF(ISERROR(VLOOKUP($S$216,'TAR FIN'!$A$1:$O$92,15,0)),0,VLOOKUP($S$216,'TAR FIN'!$A$1:$O$92,15,0))</f>
        <v>18.489999999999998</v>
      </c>
      <c r="W216" s="6">
        <f>IF(ISERROR(VLOOKUP($T$216,'TAR FIN'!$A$1:$O$92,15,0)),0,VLOOKUP($T$216,'TAR FIN'!$A$1:$O$92,15,0))</f>
        <v>0</v>
      </c>
      <c r="X216" s="6">
        <f>IF(ISERROR(VLOOKUP($U$216,'TAR FIN'!$A$1:$O$92,15,0)),0,VLOOKUP($U$216,'TAR FIN'!$A$1:$O$92,15,0))</f>
        <v>0</v>
      </c>
      <c r="Y216" s="6">
        <f ca="1">('TUSD BE'!$AM$14+'TUSD BF_350'!$AM$14+'TUSD CVA'!$AM$14)*1</f>
        <v>15.64</v>
      </c>
      <c r="Z216" s="6"/>
      <c r="AA216" s="6"/>
      <c r="AB216" s="6">
        <f>$K$216*$V$216</f>
        <v>24221.899999999998</v>
      </c>
      <c r="AC216" s="6">
        <f>$M$216*$W$216</f>
        <v>0</v>
      </c>
      <c r="AD216" s="6">
        <f>$O$216*$X$216</f>
        <v>0</v>
      </c>
      <c r="AE216" s="6">
        <f ca="1">$K$216*$Y$216</f>
        <v>20488.400000000001</v>
      </c>
      <c r="AF216" s="6">
        <f>$M$216*$Z$216</f>
        <v>0</v>
      </c>
      <c r="AG216" s="6">
        <f>$O$216*$AA$216</f>
        <v>0</v>
      </c>
    </row>
    <row r="217" spans="1:33" ht="11.25" customHeight="1" x14ac:dyDescent="0.3">
      <c r="A217" s="4" t="s">
        <v>27</v>
      </c>
      <c r="B217" s="4" t="s">
        <v>34</v>
      </c>
      <c r="C217" s="4" t="s">
        <v>35</v>
      </c>
      <c r="D217" s="4" t="s">
        <v>33</v>
      </c>
      <c r="E217" s="4" t="s">
        <v>25</v>
      </c>
      <c r="F217" s="4" t="s">
        <v>25</v>
      </c>
      <c r="G217" s="4" t="s">
        <v>25</v>
      </c>
      <c r="H217" s="4" t="s">
        <v>25</v>
      </c>
      <c r="I217" s="5">
        <v>44562</v>
      </c>
      <c r="J217" s="6">
        <v>350</v>
      </c>
      <c r="K217" s="6">
        <v>350</v>
      </c>
      <c r="L217" s="6">
        <v>0</v>
      </c>
      <c r="M217" s="6">
        <v>0</v>
      </c>
      <c r="N217" s="6">
        <v>0</v>
      </c>
      <c r="O217" s="6">
        <v>0</v>
      </c>
      <c r="P217" s="6">
        <v>2</v>
      </c>
      <c r="Q217" s="4" t="s">
        <v>26</v>
      </c>
      <c r="R217" s="4">
        <v>0</v>
      </c>
      <c r="S217" s="6">
        <v>18</v>
      </c>
      <c r="T217" s="6">
        <v>0</v>
      </c>
      <c r="U217" s="6">
        <v>0</v>
      </c>
      <c r="V217" s="6">
        <f>IF(ISERROR(VLOOKUP($S$217,'TAR FIN'!$A$1:$O$92,15,0)),0,VLOOKUP($S$217,'TAR FIN'!$A$1:$O$92,15,0))</f>
        <v>18.489999999999998</v>
      </c>
      <c r="W217" s="6">
        <f>IF(ISERROR(VLOOKUP($T$217,'TAR FIN'!$A$1:$O$92,15,0)),0,VLOOKUP($T$217,'TAR FIN'!$A$1:$O$92,15,0))</f>
        <v>0</v>
      </c>
      <c r="X217" s="6">
        <f>IF(ISERROR(VLOOKUP($U$217,'TAR FIN'!$A$1:$O$92,15,0)),0,VLOOKUP($U$217,'TAR FIN'!$A$1:$O$92,15,0))</f>
        <v>0</v>
      </c>
      <c r="Y217" s="6">
        <f ca="1">('TUSD BE'!$AM$14+'TUSD BF_350'!$AM$14+'TUSD CVA'!$AM$14)*1</f>
        <v>15.64</v>
      </c>
      <c r="Z217" s="6"/>
      <c r="AA217" s="6"/>
      <c r="AB217" s="6">
        <f>$K$217*$V$217</f>
        <v>6471.4999999999991</v>
      </c>
      <c r="AC217" s="6">
        <f>$M$217*$W$217</f>
        <v>0</v>
      </c>
      <c r="AD217" s="6">
        <f>$O$217*$X$217</f>
        <v>0</v>
      </c>
      <c r="AE217" s="6">
        <f ca="1">$K$217*$Y$217</f>
        <v>5474</v>
      </c>
      <c r="AF217" s="6">
        <f>$M$217*$Z$217</f>
        <v>0</v>
      </c>
      <c r="AG217" s="6">
        <f>$O$217*$AA$217</f>
        <v>0</v>
      </c>
    </row>
    <row r="218" spans="1:33" ht="11.25" customHeight="1" x14ac:dyDescent="0.3">
      <c r="A218" s="4" t="s">
        <v>21</v>
      </c>
      <c r="B218" s="4" t="s">
        <v>34</v>
      </c>
      <c r="C218" s="4" t="s">
        <v>35</v>
      </c>
      <c r="D218" s="4" t="s">
        <v>33</v>
      </c>
      <c r="E218" s="4" t="s">
        <v>25</v>
      </c>
      <c r="F218" s="4" t="s">
        <v>25</v>
      </c>
      <c r="G218" s="4" t="s">
        <v>25</v>
      </c>
      <c r="H218" s="4" t="s">
        <v>25</v>
      </c>
      <c r="I218" s="5">
        <v>44593</v>
      </c>
      <c r="J218" s="6">
        <v>1336</v>
      </c>
      <c r="K218" s="6">
        <v>1336</v>
      </c>
      <c r="L218" s="6">
        <v>0</v>
      </c>
      <c r="M218" s="6">
        <v>0</v>
      </c>
      <c r="N218" s="6">
        <v>0</v>
      </c>
      <c r="O218" s="6">
        <v>0</v>
      </c>
      <c r="P218" s="6">
        <v>10</v>
      </c>
      <c r="Q218" s="4" t="s">
        <v>26</v>
      </c>
      <c r="R218" s="4">
        <v>0</v>
      </c>
      <c r="S218" s="6">
        <v>18</v>
      </c>
      <c r="T218" s="6">
        <v>0</v>
      </c>
      <c r="U218" s="6">
        <v>0</v>
      </c>
      <c r="V218" s="6">
        <f>IF(ISERROR(VLOOKUP($S$218,'TAR FIN'!$A$1:$O$92,15,0)),0,VLOOKUP($S$218,'TAR FIN'!$A$1:$O$92,15,0))</f>
        <v>18.489999999999998</v>
      </c>
      <c r="W218" s="6">
        <f>IF(ISERROR(VLOOKUP($T$218,'TAR FIN'!$A$1:$O$92,15,0)),0,VLOOKUP($T$218,'TAR FIN'!$A$1:$O$92,15,0))</f>
        <v>0</v>
      </c>
      <c r="X218" s="6">
        <f>IF(ISERROR(VLOOKUP($U$218,'TAR FIN'!$A$1:$O$92,15,0)),0,VLOOKUP($U$218,'TAR FIN'!$A$1:$O$92,15,0))</f>
        <v>0</v>
      </c>
      <c r="Y218" s="6">
        <f ca="1">('TUSD BE'!$AM$14+'TUSD BF_350'!$AM$14+'TUSD CVA'!$AM$14)*1</f>
        <v>15.64</v>
      </c>
      <c r="Z218" s="6"/>
      <c r="AA218" s="6"/>
      <c r="AB218" s="6">
        <f>$K$218*$V$218</f>
        <v>24702.639999999999</v>
      </c>
      <c r="AC218" s="6">
        <f>$M$218*$W$218</f>
        <v>0</v>
      </c>
      <c r="AD218" s="6">
        <f>$O$218*$X$218</f>
        <v>0</v>
      </c>
      <c r="AE218" s="6">
        <f ca="1">$K$218*$Y$218</f>
        <v>20895.04</v>
      </c>
      <c r="AF218" s="6">
        <f>$M$218*$Z$218</f>
        <v>0</v>
      </c>
      <c r="AG218" s="6">
        <f>$O$218*$AA$218</f>
        <v>0</v>
      </c>
    </row>
    <row r="219" spans="1:33" ht="11.25" customHeight="1" x14ac:dyDescent="0.3">
      <c r="A219" s="4" t="s">
        <v>27</v>
      </c>
      <c r="B219" s="4" t="s">
        <v>34</v>
      </c>
      <c r="C219" s="4" t="s">
        <v>35</v>
      </c>
      <c r="D219" s="4" t="s">
        <v>33</v>
      </c>
      <c r="E219" s="4" t="s">
        <v>25</v>
      </c>
      <c r="F219" s="4" t="s">
        <v>25</v>
      </c>
      <c r="G219" s="4" t="s">
        <v>25</v>
      </c>
      <c r="H219" s="4" t="s">
        <v>25</v>
      </c>
      <c r="I219" s="5">
        <v>44593</v>
      </c>
      <c r="J219" s="6">
        <v>350</v>
      </c>
      <c r="K219" s="6">
        <v>350</v>
      </c>
      <c r="L219" s="6">
        <v>0</v>
      </c>
      <c r="M219" s="6">
        <v>0</v>
      </c>
      <c r="N219" s="6">
        <v>0</v>
      </c>
      <c r="O219" s="6">
        <v>0</v>
      </c>
      <c r="P219" s="6">
        <v>2</v>
      </c>
      <c r="Q219" s="4" t="s">
        <v>26</v>
      </c>
      <c r="R219" s="4">
        <v>0</v>
      </c>
      <c r="S219" s="6">
        <v>18</v>
      </c>
      <c r="T219" s="6">
        <v>0</v>
      </c>
      <c r="U219" s="6">
        <v>0</v>
      </c>
      <c r="V219" s="6">
        <f>IF(ISERROR(VLOOKUP($S$219,'TAR FIN'!$A$1:$O$92,15,0)),0,VLOOKUP($S$219,'TAR FIN'!$A$1:$O$92,15,0))</f>
        <v>18.489999999999998</v>
      </c>
      <c r="W219" s="6">
        <f>IF(ISERROR(VLOOKUP($T$219,'TAR FIN'!$A$1:$O$92,15,0)),0,VLOOKUP($T$219,'TAR FIN'!$A$1:$O$92,15,0))</f>
        <v>0</v>
      </c>
      <c r="X219" s="6">
        <f>IF(ISERROR(VLOOKUP($U$219,'TAR FIN'!$A$1:$O$92,15,0)),0,VLOOKUP($U$219,'TAR FIN'!$A$1:$O$92,15,0))</f>
        <v>0</v>
      </c>
      <c r="Y219" s="6">
        <f ca="1">('TUSD BE'!$AM$14+'TUSD BF_350'!$AM$14+'TUSD CVA'!$AM$14)*1</f>
        <v>15.64</v>
      </c>
      <c r="Z219" s="6"/>
      <c r="AA219" s="6"/>
      <c r="AB219" s="6">
        <f>$K$219*$V$219</f>
        <v>6471.4999999999991</v>
      </c>
      <c r="AC219" s="6">
        <f>$M$219*$W$219</f>
        <v>0</v>
      </c>
      <c r="AD219" s="6">
        <f>$O$219*$X$219</f>
        <v>0</v>
      </c>
      <c r="AE219" s="6">
        <f ca="1">$K$219*$Y$219</f>
        <v>5474</v>
      </c>
      <c r="AF219" s="6">
        <f>$M$219*$Z$219</f>
        <v>0</v>
      </c>
      <c r="AG219" s="6">
        <f>$O$219*$AA$219</f>
        <v>0</v>
      </c>
    </row>
    <row r="220" spans="1:33" ht="11.25" customHeight="1" x14ac:dyDescent="0.3">
      <c r="A220" s="4" t="s">
        <v>21</v>
      </c>
      <c r="B220" s="4" t="s">
        <v>34</v>
      </c>
      <c r="C220" s="4" t="s">
        <v>35</v>
      </c>
      <c r="D220" s="4" t="s">
        <v>33</v>
      </c>
      <c r="E220" s="4" t="s">
        <v>25</v>
      </c>
      <c r="F220" s="4" t="s">
        <v>25</v>
      </c>
      <c r="G220" s="4" t="s">
        <v>25</v>
      </c>
      <c r="H220" s="4" t="s">
        <v>25</v>
      </c>
      <c r="I220" s="5">
        <v>44621</v>
      </c>
      <c r="J220" s="6">
        <v>1179</v>
      </c>
      <c r="K220" s="6">
        <v>1179</v>
      </c>
      <c r="L220" s="6">
        <v>0</v>
      </c>
      <c r="M220" s="6">
        <v>0</v>
      </c>
      <c r="N220" s="6">
        <v>0</v>
      </c>
      <c r="O220" s="6">
        <v>0</v>
      </c>
      <c r="P220" s="6">
        <v>9</v>
      </c>
      <c r="Q220" s="4" t="s">
        <v>26</v>
      </c>
      <c r="R220" s="4">
        <v>0</v>
      </c>
      <c r="S220" s="6">
        <v>18</v>
      </c>
      <c r="T220" s="6">
        <v>0</v>
      </c>
      <c r="U220" s="6">
        <v>0</v>
      </c>
      <c r="V220" s="6">
        <f>IF(ISERROR(VLOOKUP($S$220,'TAR FIN'!$A$1:$O$92,15,0)),0,VLOOKUP($S$220,'TAR FIN'!$A$1:$O$92,15,0))</f>
        <v>18.489999999999998</v>
      </c>
      <c r="W220" s="6">
        <f>IF(ISERROR(VLOOKUP($T$220,'TAR FIN'!$A$1:$O$92,15,0)),0,VLOOKUP($T$220,'TAR FIN'!$A$1:$O$92,15,0))</f>
        <v>0</v>
      </c>
      <c r="X220" s="6">
        <f>IF(ISERROR(VLOOKUP($U$220,'TAR FIN'!$A$1:$O$92,15,0)),0,VLOOKUP($U$220,'TAR FIN'!$A$1:$O$92,15,0))</f>
        <v>0</v>
      </c>
      <c r="Y220" s="6">
        <f ca="1">('TUSD BE'!$AM$14+'TUSD BF_350'!$AM$14+'TUSD CVA'!$AM$14)*1</f>
        <v>15.64</v>
      </c>
      <c r="Z220" s="6"/>
      <c r="AA220" s="6"/>
      <c r="AB220" s="6">
        <f>$K$220*$V$220</f>
        <v>21799.71</v>
      </c>
      <c r="AC220" s="6">
        <f>$M$220*$W$220</f>
        <v>0</v>
      </c>
      <c r="AD220" s="6">
        <f>$O$220*$X$220</f>
        <v>0</v>
      </c>
      <c r="AE220" s="6">
        <f ca="1">$K$220*$Y$220</f>
        <v>18439.560000000001</v>
      </c>
      <c r="AF220" s="6">
        <f>$M$220*$Z$220</f>
        <v>0</v>
      </c>
      <c r="AG220" s="6">
        <f>$O$220*$AA$220</f>
        <v>0</v>
      </c>
    </row>
    <row r="221" spans="1:33" ht="11.25" customHeight="1" x14ac:dyDescent="0.3">
      <c r="A221" s="4" t="s">
        <v>27</v>
      </c>
      <c r="B221" s="4" t="s">
        <v>34</v>
      </c>
      <c r="C221" s="4" t="s">
        <v>35</v>
      </c>
      <c r="D221" s="4" t="s">
        <v>33</v>
      </c>
      <c r="E221" s="4" t="s">
        <v>25</v>
      </c>
      <c r="F221" s="4" t="s">
        <v>25</v>
      </c>
      <c r="G221" s="4" t="s">
        <v>25</v>
      </c>
      <c r="H221" s="4" t="s">
        <v>25</v>
      </c>
      <c r="I221" s="5">
        <v>44621</v>
      </c>
      <c r="J221" s="6">
        <v>350</v>
      </c>
      <c r="K221" s="6">
        <v>350</v>
      </c>
      <c r="L221" s="6">
        <v>0</v>
      </c>
      <c r="M221" s="6">
        <v>0</v>
      </c>
      <c r="N221" s="6">
        <v>0</v>
      </c>
      <c r="O221" s="6">
        <v>0</v>
      </c>
      <c r="P221" s="6">
        <v>2</v>
      </c>
      <c r="Q221" s="4" t="s">
        <v>26</v>
      </c>
      <c r="R221" s="4">
        <v>0</v>
      </c>
      <c r="S221" s="6">
        <v>18</v>
      </c>
      <c r="T221" s="6">
        <v>0</v>
      </c>
      <c r="U221" s="6">
        <v>0</v>
      </c>
      <c r="V221" s="6">
        <f>IF(ISERROR(VLOOKUP($S$221,'TAR FIN'!$A$1:$O$92,15,0)),0,VLOOKUP($S$221,'TAR FIN'!$A$1:$O$92,15,0))</f>
        <v>18.489999999999998</v>
      </c>
      <c r="W221" s="6">
        <f>IF(ISERROR(VLOOKUP($T$221,'TAR FIN'!$A$1:$O$92,15,0)),0,VLOOKUP($T$221,'TAR FIN'!$A$1:$O$92,15,0))</f>
        <v>0</v>
      </c>
      <c r="X221" s="6">
        <f>IF(ISERROR(VLOOKUP($U$221,'TAR FIN'!$A$1:$O$92,15,0)),0,VLOOKUP($U$221,'TAR FIN'!$A$1:$O$92,15,0))</f>
        <v>0</v>
      </c>
      <c r="Y221" s="6">
        <f ca="1">('TUSD BE'!$AM$14+'TUSD BF_350'!$AM$14+'TUSD CVA'!$AM$14)*1</f>
        <v>15.64</v>
      </c>
      <c r="Z221" s="6"/>
      <c r="AA221" s="6"/>
      <c r="AB221" s="6">
        <f>$K$221*$V$221</f>
        <v>6471.4999999999991</v>
      </c>
      <c r="AC221" s="6">
        <f>$M$221*$W$221</f>
        <v>0</v>
      </c>
      <c r="AD221" s="6">
        <f>$O$221*$X$221</f>
        <v>0</v>
      </c>
      <c r="AE221" s="6">
        <f ca="1">$K$221*$Y$221</f>
        <v>5474</v>
      </c>
      <c r="AF221" s="6">
        <f>$M$221*$Z$221</f>
        <v>0</v>
      </c>
      <c r="AG221" s="6">
        <f>$O$221*$AA$221</f>
        <v>0</v>
      </c>
    </row>
    <row r="222" spans="1:33" ht="11.25" customHeight="1" x14ac:dyDescent="0.3">
      <c r="A222" s="4" t="s">
        <v>21</v>
      </c>
      <c r="B222" s="4" t="s">
        <v>34</v>
      </c>
      <c r="C222" s="4" t="s">
        <v>35</v>
      </c>
      <c r="D222" s="4" t="s">
        <v>33</v>
      </c>
      <c r="E222" s="4" t="s">
        <v>25</v>
      </c>
      <c r="F222" s="4" t="s">
        <v>25</v>
      </c>
      <c r="G222" s="4" t="s">
        <v>25</v>
      </c>
      <c r="H222" s="4" t="s">
        <v>25</v>
      </c>
      <c r="I222" s="5">
        <v>44652</v>
      </c>
      <c r="J222" s="6">
        <v>1394</v>
      </c>
      <c r="K222" s="6">
        <v>1394</v>
      </c>
      <c r="L222" s="6">
        <v>0</v>
      </c>
      <c r="M222" s="6">
        <v>0</v>
      </c>
      <c r="N222" s="6">
        <v>0</v>
      </c>
      <c r="O222" s="6">
        <v>0</v>
      </c>
      <c r="P222" s="6">
        <v>9</v>
      </c>
      <c r="Q222" s="4" t="s">
        <v>26</v>
      </c>
      <c r="R222" s="4">
        <v>0</v>
      </c>
      <c r="S222" s="6">
        <v>18</v>
      </c>
      <c r="T222" s="6">
        <v>0</v>
      </c>
      <c r="U222" s="6">
        <v>0</v>
      </c>
      <c r="V222" s="6">
        <f>IF(ISERROR(VLOOKUP($S$222,'TAR FIN'!$A$1:$O$92,15,0)),0,VLOOKUP($S$222,'TAR FIN'!$A$1:$O$92,15,0))</f>
        <v>18.489999999999998</v>
      </c>
      <c r="W222" s="6">
        <f>IF(ISERROR(VLOOKUP($T$222,'TAR FIN'!$A$1:$O$92,15,0)),0,VLOOKUP($T$222,'TAR FIN'!$A$1:$O$92,15,0))</f>
        <v>0</v>
      </c>
      <c r="X222" s="6">
        <f>IF(ISERROR(VLOOKUP($U$222,'TAR FIN'!$A$1:$O$92,15,0)),0,VLOOKUP($U$222,'TAR FIN'!$A$1:$O$92,15,0))</f>
        <v>0</v>
      </c>
      <c r="Y222" s="6">
        <f ca="1">('TUSD BE'!$AM$14+'TUSD BF_350'!$AM$14+'TUSD CVA'!$AM$14)*1</f>
        <v>15.64</v>
      </c>
      <c r="Z222" s="6"/>
      <c r="AA222" s="6"/>
      <c r="AB222" s="6">
        <f>$K$222*$V$222</f>
        <v>25775.059999999998</v>
      </c>
      <c r="AC222" s="6">
        <f>$M$222*$W$222</f>
        <v>0</v>
      </c>
      <c r="AD222" s="6">
        <f>$O$222*$X$222</f>
        <v>0</v>
      </c>
      <c r="AE222" s="6">
        <f ca="1">$K$222*$Y$222</f>
        <v>21802.16</v>
      </c>
      <c r="AF222" s="6">
        <f>$M$222*$Z$222</f>
        <v>0</v>
      </c>
      <c r="AG222" s="6">
        <f>$O$222*$AA$222</f>
        <v>0</v>
      </c>
    </row>
    <row r="223" spans="1:33" ht="11.25" customHeight="1" x14ac:dyDescent="0.3">
      <c r="A223" s="4" t="s">
        <v>27</v>
      </c>
      <c r="B223" s="4" t="s">
        <v>34</v>
      </c>
      <c r="C223" s="4" t="s">
        <v>35</v>
      </c>
      <c r="D223" s="4" t="s">
        <v>33</v>
      </c>
      <c r="E223" s="4" t="s">
        <v>25</v>
      </c>
      <c r="F223" s="4" t="s">
        <v>25</v>
      </c>
      <c r="G223" s="4" t="s">
        <v>25</v>
      </c>
      <c r="H223" s="4" t="s">
        <v>25</v>
      </c>
      <c r="I223" s="5">
        <v>44652</v>
      </c>
      <c r="J223" s="6">
        <v>350</v>
      </c>
      <c r="K223" s="6">
        <v>350</v>
      </c>
      <c r="L223" s="6">
        <v>0</v>
      </c>
      <c r="M223" s="6">
        <v>0</v>
      </c>
      <c r="N223" s="6">
        <v>0</v>
      </c>
      <c r="O223" s="6">
        <v>0</v>
      </c>
      <c r="P223" s="6">
        <v>2</v>
      </c>
      <c r="Q223" s="4" t="s">
        <v>26</v>
      </c>
      <c r="R223" s="4">
        <v>0</v>
      </c>
      <c r="S223" s="6">
        <v>18</v>
      </c>
      <c r="T223" s="6">
        <v>0</v>
      </c>
      <c r="U223" s="6">
        <v>0</v>
      </c>
      <c r="V223" s="6">
        <f>IF(ISERROR(VLOOKUP($S$223,'TAR FIN'!$A$1:$O$92,15,0)),0,VLOOKUP($S$223,'TAR FIN'!$A$1:$O$92,15,0))</f>
        <v>18.489999999999998</v>
      </c>
      <c r="W223" s="6">
        <f>IF(ISERROR(VLOOKUP($T$223,'TAR FIN'!$A$1:$O$92,15,0)),0,VLOOKUP($T$223,'TAR FIN'!$A$1:$O$92,15,0))</f>
        <v>0</v>
      </c>
      <c r="X223" s="6">
        <f>IF(ISERROR(VLOOKUP($U$223,'TAR FIN'!$A$1:$O$92,15,0)),0,VLOOKUP($U$223,'TAR FIN'!$A$1:$O$92,15,0))</f>
        <v>0</v>
      </c>
      <c r="Y223" s="6">
        <f ca="1">('TUSD BE'!$AM$14+'TUSD BF_350'!$AM$14+'TUSD CVA'!$AM$14)*1</f>
        <v>15.64</v>
      </c>
      <c r="Z223" s="6"/>
      <c r="AA223" s="6"/>
      <c r="AB223" s="6">
        <f>$K$223*$V$223</f>
        <v>6471.4999999999991</v>
      </c>
      <c r="AC223" s="6">
        <f>$M$223*$W$223</f>
        <v>0</v>
      </c>
      <c r="AD223" s="6">
        <f>$O$223*$X$223</f>
        <v>0</v>
      </c>
      <c r="AE223" s="6">
        <f ca="1">$K$223*$Y$223</f>
        <v>5474</v>
      </c>
      <c r="AF223" s="6">
        <f>$M$223*$Z$223</f>
        <v>0</v>
      </c>
      <c r="AG223" s="6">
        <f>$O$223*$AA$223</f>
        <v>0</v>
      </c>
    </row>
    <row r="224" spans="1:33" ht="11.25" customHeight="1" x14ac:dyDescent="0.3">
      <c r="A224" s="4" t="s">
        <v>21</v>
      </c>
      <c r="B224" s="4" t="s">
        <v>34</v>
      </c>
      <c r="C224" s="4" t="s">
        <v>35</v>
      </c>
      <c r="D224" s="4" t="s">
        <v>33</v>
      </c>
      <c r="E224" s="4" t="s">
        <v>25</v>
      </c>
      <c r="F224" s="4" t="s">
        <v>25</v>
      </c>
      <c r="G224" s="4" t="s">
        <v>25</v>
      </c>
      <c r="H224" s="4" t="s">
        <v>25</v>
      </c>
      <c r="I224" s="5">
        <v>44682</v>
      </c>
      <c r="J224" s="6">
        <v>1382</v>
      </c>
      <c r="K224" s="6">
        <v>1382</v>
      </c>
      <c r="L224" s="6">
        <v>0</v>
      </c>
      <c r="M224" s="6">
        <v>0</v>
      </c>
      <c r="N224" s="6">
        <v>0</v>
      </c>
      <c r="O224" s="6">
        <v>0</v>
      </c>
      <c r="P224" s="6">
        <v>9</v>
      </c>
      <c r="Q224" s="4" t="s">
        <v>26</v>
      </c>
      <c r="R224" s="4">
        <v>0</v>
      </c>
      <c r="S224" s="6">
        <v>18</v>
      </c>
      <c r="T224" s="6">
        <v>0</v>
      </c>
      <c r="U224" s="6">
        <v>0</v>
      </c>
      <c r="V224" s="6">
        <f>IF(ISERROR(VLOOKUP($S$224,'TAR FIN'!$A$1:$O$92,15,0)),0,VLOOKUP($S$224,'TAR FIN'!$A$1:$O$92,15,0))</f>
        <v>18.489999999999998</v>
      </c>
      <c r="W224" s="6">
        <f>IF(ISERROR(VLOOKUP($T$224,'TAR FIN'!$A$1:$O$92,15,0)),0,VLOOKUP($T$224,'TAR FIN'!$A$1:$O$92,15,0))</f>
        <v>0</v>
      </c>
      <c r="X224" s="6">
        <f>IF(ISERROR(VLOOKUP($U$224,'TAR FIN'!$A$1:$O$92,15,0)),0,VLOOKUP($U$224,'TAR FIN'!$A$1:$O$92,15,0))</f>
        <v>0</v>
      </c>
      <c r="Y224" s="6">
        <f ca="1">('TUSD BE'!$AM$14+'TUSD BF_350'!$AM$14+'TUSD CVA'!$AM$14)*1</f>
        <v>15.64</v>
      </c>
      <c r="Z224" s="6"/>
      <c r="AA224" s="6"/>
      <c r="AB224" s="6">
        <f>$K$224*$V$224</f>
        <v>25553.179999999997</v>
      </c>
      <c r="AC224" s="6">
        <f>$M$224*$W$224</f>
        <v>0</v>
      </c>
      <c r="AD224" s="6">
        <f>$O$224*$X$224</f>
        <v>0</v>
      </c>
      <c r="AE224" s="6">
        <f ca="1">$K$224*$Y$224</f>
        <v>21614.48</v>
      </c>
      <c r="AF224" s="6">
        <f>$M$224*$Z$224</f>
        <v>0</v>
      </c>
      <c r="AG224" s="6">
        <f>$O$224*$AA$224</f>
        <v>0</v>
      </c>
    </row>
    <row r="225" spans="1:33" ht="11.25" customHeight="1" x14ac:dyDescent="0.3">
      <c r="A225" s="4" t="s">
        <v>27</v>
      </c>
      <c r="B225" s="4" t="s">
        <v>34</v>
      </c>
      <c r="C225" s="4" t="s">
        <v>35</v>
      </c>
      <c r="D225" s="4" t="s">
        <v>33</v>
      </c>
      <c r="E225" s="4" t="s">
        <v>25</v>
      </c>
      <c r="F225" s="4" t="s">
        <v>25</v>
      </c>
      <c r="G225" s="4" t="s">
        <v>25</v>
      </c>
      <c r="H225" s="4" t="s">
        <v>25</v>
      </c>
      <c r="I225" s="5">
        <v>44682</v>
      </c>
      <c r="J225" s="6">
        <v>250</v>
      </c>
      <c r="K225" s="6">
        <v>250</v>
      </c>
      <c r="L225" s="6">
        <v>0</v>
      </c>
      <c r="M225" s="6">
        <v>0</v>
      </c>
      <c r="N225" s="6">
        <v>0</v>
      </c>
      <c r="O225" s="6">
        <v>0</v>
      </c>
      <c r="P225" s="6">
        <v>1</v>
      </c>
      <c r="Q225" s="4" t="s">
        <v>26</v>
      </c>
      <c r="R225" s="4">
        <v>0</v>
      </c>
      <c r="S225" s="6">
        <v>18</v>
      </c>
      <c r="T225" s="6">
        <v>0</v>
      </c>
      <c r="U225" s="6">
        <v>0</v>
      </c>
      <c r="V225" s="6">
        <f>IF(ISERROR(VLOOKUP($S$225,'TAR FIN'!$A$1:$O$92,15,0)),0,VLOOKUP($S$225,'TAR FIN'!$A$1:$O$92,15,0))</f>
        <v>18.489999999999998</v>
      </c>
      <c r="W225" s="6">
        <f>IF(ISERROR(VLOOKUP($T$225,'TAR FIN'!$A$1:$O$92,15,0)),0,VLOOKUP($T$225,'TAR FIN'!$A$1:$O$92,15,0))</f>
        <v>0</v>
      </c>
      <c r="X225" s="6">
        <f>IF(ISERROR(VLOOKUP($U$225,'TAR FIN'!$A$1:$O$92,15,0)),0,VLOOKUP($U$225,'TAR FIN'!$A$1:$O$92,15,0))</f>
        <v>0</v>
      </c>
      <c r="Y225" s="6">
        <f ca="1">('TUSD BE'!$AM$14+'TUSD BF_350'!$AM$14+'TUSD CVA'!$AM$14)*1</f>
        <v>15.64</v>
      </c>
      <c r="Z225" s="6"/>
      <c r="AA225" s="6"/>
      <c r="AB225" s="6">
        <f>$K$225*$V$225</f>
        <v>4622.5</v>
      </c>
      <c r="AC225" s="6">
        <f>$M$225*$W$225</f>
        <v>0</v>
      </c>
      <c r="AD225" s="6">
        <f>$O$225*$X$225</f>
        <v>0</v>
      </c>
      <c r="AE225" s="6">
        <f ca="1">$K$225*$Y$225</f>
        <v>3910</v>
      </c>
      <c r="AF225" s="6">
        <f>$M$225*$Z$225</f>
        <v>0</v>
      </c>
      <c r="AG225" s="6">
        <f>$O$225*$AA$225</f>
        <v>0</v>
      </c>
    </row>
    <row r="226" spans="1:33" ht="11.25" customHeight="1" x14ac:dyDescent="0.3">
      <c r="A226" s="4" t="s">
        <v>21</v>
      </c>
      <c r="B226" s="4" t="s">
        <v>34</v>
      </c>
      <c r="C226" s="4" t="s">
        <v>35</v>
      </c>
      <c r="D226" s="4" t="s">
        <v>33</v>
      </c>
      <c r="E226" s="4" t="s">
        <v>25</v>
      </c>
      <c r="F226" s="4" t="s">
        <v>25</v>
      </c>
      <c r="G226" s="4" t="s">
        <v>25</v>
      </c>
      <c r="H226" s="4" t="s">
        <v>25</v>
      </c>
      <c r="I226" s="5">
        <v>44713</v>
      </c>
      <c r="J226" s="6">
        <v>1251</v>
      </c>
      <c r="K226" s="6">
        <v>1251</v>
      </c>
      <c r="L226" s="6">
        <v>0</v>
      </c>
      <c r="M226" s="6">
        <v>0</v>
      </c>
      <c r="N226" s="6">
        <v>0</v>
      </c>
      <c r="O226" s="6">
        <v>0</v>
      </c>
      <c r="P226" s="6">
        <v>8</v>
      </c>
      <c r="Q226" s="4" t="s">
        <v>26</v>
      </c>
      <c r="R226" s="4">
        <v>0</v>
      </c>
      <c r="S226" s="6">
        <v>18</v>
      </c>
      <c r="T226" s="6">
        <v>0</v>
      </c>
      <c r="U226" s="6">
        <v>0</v>
      </c>
      <c r="V226" s="6">
        <f>IF(ISERROR(VLOOKUP($S$226,'TAR FIN'!$A$1:$O$92,15,0)),0,VLOOKUP($S$226,'TAR FIN'!$A$1:$O$92,15,0))</f>
        <v>18.489999999999998</v>
      </c>
      <c r="W226" s="6">
        <f>IF(ISERROR(VLOOKUP($T$226,'TAR FIN'!$A$1:$O$92,15,0)),0,VLOOKUP($T$226,'TAR FIN'!$A$1:$O$92,15,0))</f>
        <v>0</v>
      </c>
      <c r="X226" s="6">
        <f>IF(ISERROR(VLOOKUP($U$226,'TAR FIN'!$A$1:$O$92,15,0)),0,VLOOKUP($U$226,'TAR FIN'!$A$1:$O$92,15,0))</f>
        <v>0</v>
      </c>
      <c r="Y226" s="6">
        <f ca="1">('TUSD BE'!$AM$14+'TUSD BF_350'!$AM$14+'TUSD CVA'!$AM$14)*1</f>
        <v>15.64</v>
      </c>
      <c r="Z226" s="6"/>
      <c r="AA226" s="6"/>
      <c r="AB226" s="6">
        <f>$K$226*$V$226</f>
        <v>23130.989999999998</v>
      </c>
      <c r="AC226" s="6">
        <f>$M$226*$W$226</f>
        <v>0</v>
      </c>
      <c r="AD226" s="6">
        <f>$O$226*$X$226</f>
        <v>0</v>
      </c>
      <c r="AE226" s="6">
        <f ca="1">$K$226*$Y$226</f>
        <v>19565.64</v>
      </c>
      <c r="AF226" s="6">
        <f>$M$226*$Z$226</f>
        <v>0</v>
      </c>
      <c r="AG226" s="6">
        <f>$O$226*$AA$226</f>
        <v>0</v>
      </c>
    </row>
    <row r="227" spans="1:33" ht="11.25" customHeight="1" x14ac:dyDescent="0.3">
      <c r="A227" s="4" t="s">
        <v>27</v>
      </c>
      <c r="B227" s="4" t="s">
        <v>34</v>
      </c>
      <c r="C227" s="4" t="s">
        <v>35</v>
      </c>
      <c r="D227" s="4" t="s">
        <v>33</v>
      </c>
      <c r="E227" s="4" t="s">
        <v>25</v>
      </c>
      <c r="F227" s="4" t="s">
        <v>25</v>
      </c>
      <c r="G227" s="4" t="s">
        <v>25</v>
      </c>
      <c r="H227" s="4" t="s">
        <v>25</v>
      </c>
      <c r="I227" s="5">
        <v>44713</v>
      </c>
      <c r="J227" s="6">
        <v>370</v>
      </c>
      <c r="K227" s="6">
        <v>370</v>
      </c>
      <c r="L227" s="6">
        <v>0</v>
      </c>
      <c r="M227" s="6">
        <v>0</v>
      </c>
      <c r="N227" s="6">
        <v>0</v>
      </c>
      <c r="O227" s="6">
        <v>0</v>
      </c>
      <c r="P227" s="6">
        <v>2</v>
      </c>
      <c r="Q227" s="4" t="s">
        <v>26</v>
      </c>
      <c r="R227" s="4">
        <v>0</v>
      </c>
      <c r="S227" s="6">
        <v>18</v>
      </c>
      <c r="T227" s="6">
        <v>0</v>
      </c>
      <c r="U227" s="6">
        <v>0</v>
      </c>
      <c r="V227" s="6">
        <f>IF(ISERROR(VLOOKUP($S$227,'TAR FIN'!$A$1:$O$92,15,0)),0,VLOOKUP($S$227,'TAR FIN'!$A$1:$O$92,15,0))</f>
        <v>18.489999999999998</v>
      </c>
      <c r="W227" s="6">
        <f>IF(ISERROR(VLOOKUP($T$227,'TAR FIN'!$A$1:$O$92,15,0)),0,VLOOKUP($T$227,'TAR FIN'!$A$1:$O$92,15,0))</f>
        <v>0</v>
      </c>
      <c r="X227" s="6">
        <f>IF(ISERROR(VLOOKUP($U$227,'TAR FIN'!$A$1:$O$92,15,0)),0,VLOOKUP($U$227,'TAR FIN'!$A$1:$O$92,15,0))</f>
        <v>0</v>
      </c>
      <c r="Y227" s="6">
        <f ca="1">('TUSD BE'!$AM$14+'TUSD BF_350'!$AM$14+'TUSD CVA'!$AM$14)*1</f>
        <v>15.64</v>
      </c>
      <c r="Z227" s="6"/>
      <c r="AA227" s="6"/>
      <c r="AB227" s="6">
        <f>$K$227*$V$227</f>
        <v>6841.2999999999993</v>
      </c>
      <c r="AC227" s="6">
        <f>$M$227*$W$227</f>
        <v>0</v>
      </c>
      <c r="AD227" s="6">
        <f>$O$227*$X$227</f>
        <v>0</v>
      </c>
      <c r="AE227" s="6">
        <f ca="1">$K$227*$Y$227</f>
        <v>5786.8</v>
      </c>
      <c r="AF227" s="6">
        <f>$M$227*$Z$227</f>
        <v>0</v>
      </c>
      <c r="AG227" s="6">
        <f>$O$227*$AA$227</f>
        <v>0</v>
      </c>
    </row>
    <row r="228" spans="1:33" ht="11.25" customHeight="1" x14ac:dyDescent="0.3">
      <c r="A228" s="4" t="s">
        <v>21</v>
      </c>
      <c r="B228" s="4" t="s">
        <v>34</v>
      </c>
      <c r="C228" s="4" t="s">
        <v>35</v>
      </c>
      <c r="D228" s="4" t="s">
        <v>33</v>
      </c>
      <c r="E228" s="4" t="s">
        <v>25</v>
      </c>
      <c r="F228" s="4" t="s">
        <v>25</v>
      </c>
      <c r="G228" s="4" t="s">
        <v>25</v>
      </c>
      <c r="H228" s="4" t="s">
        <v>25</v>
      </c>
      <c r="I228" s="5">
        <v>44743</v>
      </c>
      <c r="J228" s="6">
        <v>1251.6600000000001</v>
      </c>
      <c r="K228" s="6">
        <v>1251.6600000000001</v>
      </c>
      <c r="L228" s="6">
        <v>0</v>
      </c>
      <c r="M228" s="6">
        <v>0</v>
      </c>
      <c r="N228" s="6">
        <v>0</v>
      </c>
      <c r="O228" s="6">
        <v>0</v>
      </c>
      <c r="P228" s="6">
        <v>8</v>
      </c>
      <c r="Q228" s="4" t="s">
        <v>26</v>
      </c>
      <c r="R228" s="4">
        <v>0</v>
      </c>
      <c r="S228" s="6">
        <v>18</v>
      </c>
      <c r="T228" s="6">
        <v>0</v>
      </c>
      <c r="U228" s="6">
        <v>0</v>
      </c>
      <c r="V228" s="6">
        <f>IF(ISERROR(VLOOKUP($S$228,'TAR FIN'!$A$1:$O$92,15,0)),0,VLOOKUP($S$228,'TAR FIN'!$A$1:$O$92,15,0))</f>
        <v>18.489999999999998</v>
      </c>
      <c r="W228" s="6">
        <f>IF(ISERROR(VLOOKUP($T$228,'TAR FIN'!$A$1:$O$92,15,0)),0,VLOOKUP($T$228,'TAR FIN'!$A$1:$O$92,15,0))</f>
        <v>0</v>
      </c>
      <c r="X228" s="6">
        <f>IF(ISERROR(VLOOKUP($U$228,'TAR FIN'!$A$1:$O$92,15,0)),0,VLOOKUP($U$228,'TAR FIN'!$A$1:$O$92,15,0))</f>
        <v>0</v>
      </c>
      <c r="Y228" s="6">
        <f ca="1">('TUSD BE'!$AM$14+'TUSD BF_350'!$AM$14+'TUSD CVA'!$AM$14)*1</f>
        <v>15.64</v>
      </c>
      <c r="Z228" s="6"/>
      <c r="AA228" s="6"/>
      <c r="AB228" s="6">
        <f>$K$228*$V$228</f>
        <v>23143.1934</v>
      </c>
      <c r="AC228" s="6">
        <f>$M$228*$W$228</f>
        <v>0</v>
      </c>
      <c r="AD228" s="6">
        <f>$O$228*$X$228</f>
        <v>0</v>
      </c>
      <c r="AE228" s="6">
        <f ca="1">$K$228*$Y$228</f>
        <v>19575.9624</v>
      </c>
      <c r="AF228" s="6">
        <f>$M$228*$Z$228</f>
        <v>0</v>
      </c>
      <c r="AG228" s="6">
        <f>$O$228*$AA$228</f>
        <v>0</v>
      </c>
    </row>
    <row r="229" spans="1:33" ht="11.25" customHeight="1" x14ac:dyDescent="0.3">
      <c r="A229" s="4" t="s">
        <v>27</v>
      </c>
      <c r="B229" s="4" t="s">
        <v>34</v>
      </c>
      <c r="C229" s="4" t="s">
        <v>35</v>
      </c>
      <c r="D229" s="4" t="s">
        <v>33</v>
      </c>
      <c r="E229" s="4" t="s">
        <v>25</v>
      </c>
      <c r="F229" s="4" t="s">
        <v>25</v>
      </c>
      <c r="G229" s="4" t="s">
        <v>25</v>
      </c>
      <c r="H229" s="4" t="s">
        <v>25</v>
      </c>
      <c r="I229" s="5">
        <v>44743</v>
      </c>
      <c r="J229" s="6">
        <v>370</v>
      </c>
      <c r="K229" s="6">
        <v>370</v>
      </c>
      <c r="L229" s="6">
        <v>0</v>
      </c>
      <c r="M229" s="6">
        <v>0</v>
      </c>
      <c r="N229" s="6">
        <v>0</v>
      </c>
      <c r="O229" s="6">
        <v>0</v>
      </c>
      <c r="P229" s="6">
        <v>2</v>
      </c>
      <c r="Q229" s="4" t="s">
        <v>26</v>
      </c>
      <c r="R229" s="4">
        <v>0</v>
      </c>
      <c r="S229" s="6">
        <v>18</v>
      </c>
      <c r="T229" s="6">
        <v>0</v>
      </c>
      <c r="U229" s="6">
        <v>0</v>
      </c>
      <c r="V229" s="6">
        <f>IF(ISERROR(VLOOKUP($S$229,'TAR FIN'!$A$1:$O$92,15,0)),0,VLOOKUP($S$229,'TAR FIN'!$A$1:$O$92,15,0))</f>
        <v>18.489999999999998</v>
      </c>
      <c r="W229" s="6">
        <f>IF(ISERROR(VLOOKUP($T$229,'TAR FIN'!$A$1:$O$92,15,0)),0,VLOOKUP($T$229,'TAR FIN'!$A$1:$O$92,15,0))</f>
        <v>0</v>
      </c>
      <c r="X229" s="6">
        <f>IF(ISERROR(VLOOKUP($U$229,'TAR FIN'!$A$1:$O$92,15,0)),0,VLOOKUP($U$229,'TAR FIN'!$A$1:$O$92,15,0))</f>
        <v>0</v>
      </c>
      <c r="Y229" s="6">
        <f ca="1">('TUSD BE'!$AM$14+'TUSD BF_350'!$AM$14+'TUSD CVA'!$AM$14)*1</f>
        <v>15.64</v>
      </c>
      <c r="Z229" s="6"/>
      <c r="AA229" s="6"/>
      <c r="AB229" s="6">
        <f>$K$229*$V$229</f>
        <v>6841.2999999999993</v>
      </c>
      <c r="AC229" s="6">
        <f>$M$229*$W$229</f>
        <v>0</v>
      </c>
      <c r="AD229" s="6">
        <f>$O$229*$X$229</f>
        <v>0</v>
      </c>
      <c r="AE229" s="6">
        <f ca="1">$K$229*$Y$229</f>
        <v>5786.8</v>
      </c>
      <c r="AF229" s="6">
        <f>$M$229*$Z$229</f>
        <v>0</v>
      </c>
      <c r="AG229" s="6">
        <f>$O$229*$AA$229</f>
        <v>0</v>
      </c>
    </row>
    <row r="230" spans="1:33" ht="11.25" customHeight="1" x14ac:dyDescent="0.3">
      <c r="A230" s="4" t="s">
        <v>21</v>
      </c>
      <c r="B230" s="4" t="s">
        <v>34</v>
      </c>
      <c r="C230" s="4" t="s">
        <v>35</v>
      </c>
      <c r="D230" s="4" t="s">
        <v>33</v>
      </c>
      <c r="E230" s="4" t="s">
        <v>25</v>
      </c>
      <c r="F230" s="4" t="s">
        <v>25</v>
      </c>
      <c r="G230" s="4" t="s">
        <v>25</v>
      </c>
      <c r="H230" s="4" t="s">
        <v>36</v>
      </c>
      <c r="I230" s="5">
        <v>44409</v>
      </c>
      <c r="J230" s="6">
        <v>0</v>
      </c>
      <c r="K230" s="6">
        <v>0</v>
      </c>
      <c r="L230" s="6">
        <v>17.806629999999998</v>
      </c>
      <c r="M230" s="6">
        <v>17.806629999999998</v>
      </c>
      <c r="N230" s="6">
        <v>17.806629999999998</v>
      </c>
      <c r="O230" s="6">
        <v>17.806629999999998</v>
      </c>
      <c r="P230" s="6">
        <v>0</v>
      </c>
      <c r="Q230" s="4" t="s">
        <v>26</v>
      </c>
      <c r="R230" s="4">
        <v>0</v>
      </c>
      <c r="S230" s="6">
        <v>0</v>
      </c>
      <c r="T230" s="6">
        <v>21</v>
      </c>
      <c r="U230" s="6">
        <v>83</v>
      </c>
      <c r="V230" s="6">
        <f>IF(ISERROR(VLOOKUP($S$230,'TAR FIN'!$A$1:$O$92,15,0)),0,VLOOKUP($S$230,'TAR FIN'!$A$1:$O$92,15,0))</f>
        <v>0</v>
      </c>
      <c r="W230" s="6">
        <f>IF(ISERROR(VLOOKUP($T$230,'TAR FIN'!$A$1:$O$92,15,0)),0,VLOOKUP($T$230,'TAR FIN'!$A$1:$O$92,15,0))</f>
        <v>789.62</v>
      </c>
      <c r="X230" s="6">
        <f>IF(ISERROR(VLOOKUP($U$230,'TAR FIN'!$A$1:$O$92,15,0)),0,VLOOKUP($U$230,'TAR FIN'!$A$1:$O$92,15,0))</f>
        <v>488.15</v>
      </c>
      <c r="Y230" s="6"/>
      <c r="Z230" s="6">
        <f ca="1">('TUSD BE'!$AM$15+'TUSD BF_350'!$AM$15+'TUSD CVA'!$AM$15)*1</f>
        <v>911.84</v>
      </c>
      <c r="AA230" s="6">
        <f ca="1">('TE BE'!$AB$7+'TE BF_350'!$AB$7+'TE CVA'!$AB$7)*1</f>
        <v>399.84</v>
      </c>
      <c r="AB230" s="6">
        <f>$K$230*$V$230</f>
        <v>0</v>
      </c>
      <c r="AC230" s="6">
        <f>$M$230*$W$230</f>
        <v>14060.4711806</v>
      </c>
      <c r="AD230" s="6">
        <f>$O$230*$X$230</f>
        <v>8692.3064344999984</v>
      </c>
      <c r="AE230" s="6">
        <f>$K$230*$Y$230</f>
        <v>0</v>
      </c>
      <c r="AF230" s="6">
        <f ca="1">$M$230*$Z$230</f>
        <v>16236.7974992</v>
      </c>
      <c r="AG230" s="6">
        <f ca="1">$O$230*$AA$230</f>
        <v>7119.8029391999989</v>
      </c>
    </row>
    <row r="231" spans="1:33" ht="11.25" customHeight="1" x14ac:dyDescent="0.3">
      <c r="A231" s="4" t="s">
        <v>27</v>
      </c>
      <c r="B231" s="4" t="s">
        <v>34</v>
      </c>
      <c r="C231" s="4" t="s">
        <v>35</v>
      </c>
      <c r="D231" s="4" t="s">
        <v>33</v>
      </c>
      <c r="E231" s="4" t="s">
        <v>25</v>
      </c>
      <c r="F231" s="4" t="s">
        <v>25</v>
      </c>
      <c r="G231" s="4" t="s">
        <v>25</v>
      </c>
      <c r="H231" s="4" t="s">
        <v>36</v>
      </c>
      <c r="I231" s="5">
        <v>44409</v>
      </c>
      <c r="J231" s="6">
        <v>0</v>
      </c>
      <c r="K231" s="6">
        <v>0</v>
      </c>
      <c r="L231" s="6">
        <v>0.58309</v>
      </c>
      <c r="M231" s="6">
        <v>0.58309</v>
      </c>
      <c r="N231" s="6">
        <v>0.58309</v>
      </c>
      <c r="O231" s="6">
        <v>0.58309</v>
      </c>
      <c r="P231" s="6">
        <v>0</v>
      </c>
      <c r="Q231" s="4" t="s">
        <v>26</v>
      </c>
      <c r="R231" s="4">
        <v>0</v>
      </c>
      <c r="S231" s="6">
        <v>0</v>
      </c>
      <c r="T231" s="6">
        <v>21</v>
      </c>
      <c r="U231" s="6">
        <v>83</v>
      </c>
      <c r="V231" s="6">
        <f>IF(ISERROR(VLOOKUP($S$231,'TAR FIN'!$A$1:$O$92,15,0)),0,VLOOKUP($S$231,'TAR FIN'!$A$1:$O$92,15,0))</f>
        <v>0</v>
      </c>
      <c r="W231" s="6">
        <f>IF(ISERROR(VLOOKUP($T$231,'TAR FIN'!$A$1:$O$92,15,0)),0,VLOOKUP($T$231,'TAR FIN'!$A$1:$O$92,15,0))</f>
        <v>789.62</v>
      </c>
      <c r="X231" s="6">
        <f>IF(ISERROR(VLOOKUP($U$231,'TAR FIN'!$A$1:$O$92,15,0)),0,VLOOKUP($U$231,'TAR FIN'!$A$1:$O$92,15,0))</f>
        <v>488.15</v>
      </c>
      <c r="Y231" s="6"/>
      <c r="Z231" s="6">
        <f ca="1">('TUSD BE'!$AM$15+'TUSD BF_350'!$AM$15+'TUSD CVA'!$AM$15)*1</f>
        <v>911.84</v>
      </c>
      <c r="AA231" s="6">
        <f ca="1">('TE BE'!$AB$7+'TE BF_350'!$AB$7+'TE CVA'!$AB$7)*1</f>
        <v>399.84</v>
      </c>
      <c r="AB231" s="6">
        <f>$K$231*$V$231</f>
        <v>0</v>
      </c>
      <c r="AC231" s="6">
        <f>$M$231*$W$231</f>
        <v>460.41952579999997</v>
      </c>
      <c r="AD231" s="6">
        <f>$O$231*$X$231</f>
        <v>284.63538349999999</v>
      </c>
      <c r="AE231" s="6">
        <f>$K$231*$Y$231</f>
        <v>0</v>
      </c>
      <c r="AF231" s="6">
        <f ca="1">$M$231*$Z$231</f>
        <v>531.68478560000005</v>
      </c>
      <c r="AG231" s="6">
        <f ca="1">$O$231*$AA$231</f>
        <v>233.14270559999997</v>
      </c>
    </row>
    <row r="232" spans="1:33" ht="11.25" customHeight="1" x14ac:dyDescent="0.3">
      <c r="A232" s="4" t="s">
        <v>21</v>
      </c>
      <c r="B232" s="4" t="s">
        <v>34</v>
      </c>
      <c r="C232" s="4" t="s">
        <v>35</v>
      </c>
      <c r="D232" s="4" t="s">
        <v>33</v>
      </c>
      <c r="E232" s="4" t="s">
        <v>25</v>
      </c>
      <c r="F232" s="4" t="s">
        <v>25</v>
      </c>
      <c r="G232" s="4" t="s">
        <v>25</v>
      </c>
      <c r="H232" s="4" t="s">
        <v>36</v>
      </c>
      <c r="I232" s="5">
        <v>44440</v>
      </c>
      <c r="J232" s="6">
        <v>0</v>
      </c>
      <c r="K232" s="6">
        <v>0</v>
      </c>
      <c r="L232" s="6">
        <v>17.073</v>
      </c>
      <c r="M232" s="6">
        <v>17.073</v>
      </c>
      <c r="N232" s="6">
        <v>17.073</v>
      </c>
      <c r="O232" s="6">
        <v>17.073</v>
      </c>
      <c r="P232" s="6">
        <v>0</v>
      </c>
      <c r="Q232" s="4" t="s">
        <v>26</v>
      </c>
      <c r="R232" s="4">
        <v>0</v>
      </c>
      <c r="S232" s="6">
        <v>0</v>
      </c>
      <c r="T232" s="6">
        <v>21</v>
      </c>
      <c r="U232" s="6">
        <v>83</v>
      </c>
      <c r="V232" s="6">
        <f>IF(ISERROR(VLOOKUP($S$232,'TAR FIN'!$A$1:$O$92,15,0)),0,VLOOKUP($S$232,'TAR FIN'!$A$1:$O$92,15,0))</f>
        <v>0</v>
      </c>
      <c r="W232" s="6">
        <f>IF(ISERROR(VLOOKUP($T$232,'TAR FIN'!$A$1:$O$92,15,0)),0,VLOOKUP($T$232,'TAR FIN'!$A$1:$O$92,15,0))</f>
        <v>789.62</v>
      </c>
      <c r="X232" s="6">
        <f>IF(ISERROR(VLOOKUP($U$232,'TAR FIN'!$A$1:$O$92,15,0)),0,VLOOKUP($U$232,'TAR FIN'!$A$1:$O$92,15,0))</f>
        <v>488.15</v>
      </c>
      <c r="Y232" s="6"/>
      <c r="Z232" s="6">
        <f ca="1">('TUSD BE'!$AM$15+'TUSD BF_350'!$AM$15+'TUSD CVA'!$AM$15)*1</f>
        <v>911.84</v>
      </c>
      <c r="AA232" s="6">
        <f ca="1">('TE BE'!$AB$7+'TE BF_350'!$AB$7+'TE CVA'!$AB$7)*1</f>
        <v>399.84</v>
      </c>
      <c r="AB232" s="6">
        <f>$K$232*$V$232</f>
        <v>0</v>
      </c>
      <c r="AC232" s="6">
        <f>$M$232*$W$232</f>
        <v>13481.18226</v>
      </c>
      <c r="AD232" s="6">
        <f>$O$232*$X$232</f>
        <v>8334.1849499999989</v>
      </c>
      <c r="AE232" s="6">
        <f>$K$232*$Y$232</f>
        <v>0</v>
      </c>
      <c r="AF232" s="6">
        <f ca="1">$M$232*$Z$232</f>
        <v>15567.84432</v>
      </c>
      <c r="AG232" s="6">
        <f ca="1">$O$232*$AA$232</f>
        <v>6826.4683199999999</v>
      </c>
    </row>
    <row r="233" spans="1:33" ht="11.25" customHeight="1" x14ac:dyDescent="0.3">
      <c r="A233" s="4" t="s">
        <v>27</v>
      </c>
      <c r="B233" s="4" t="s">
        <v>34</v>
      </c>
      <c r="C233" s="4" t="s">
        <v>35</v>
      </c>
      <c r="D233" s="4" t="s">
        <v>33</v>
      </c>
      <c r="E233" s="4" t="s">
        <v>25</v>
      </c>
      <c r="F233" s="4" t="s">
        <v>25</v>
      </c>
      <c r="G233" s="4" t="s">
        <v>25</v>
      </c>
      <c r="H233" s="4" t="s">
        <v>36</v>
      </c>
      <c r="I233" s="5">
        <v>44440</v>
      </c>
      <c r="J233" s="6">
        <v>0</v>
      </c>
      <c r="K233" s="6">
        <v>0</v>
      </c>
      <c r="L233" s="6">
        <v>0.39</v>
      </c>
      <c r="M233" s="6">
        <v>0.39</v>
      </c>
      <c r="N233" s="6">
        <v>0.39</v>
      </c>
      <c r="O233" s="6">
        <v>0.39</v>
      </c>
      <c r="P233" s="6">
        <v>0</v>
      </c>
      <c r="Q233" s="4" t="s">
        <v>26</v>
      </c>
      <c r="R233" s="4">
        <v>0</v>
      </c>
      <c r="S233" s="6">
        <v>0</v>
      </c>
      <c r="T233" s="6">
        <v>21</v>
      </c>
      <c r="U233" s="6">
        <v>83</v>
      </c>
      <c r="V233" s="6">
        <f>IF(ISERROR(VLOOKUP($S$233,'TAR FIN'!$A$1:$O$92,15,0)),0,VLOOKUP($S$233,'TAR FIN'!$A$1:$O$92,15,0))</f>
        <v>0</v>
      </c>
      <c r="W233" s="6">
        <f>IF(ISERROR(VLOOKUP($T$233,'TAR FIN'!$A$1:$O$92,15,0)),0,VLOOKUP($T$233,'TAR FIN'!$A$1:$O$92,15,0))</f>
        <v>789.62</v>
      </c>
      <c r="X233" s="6">
        <f>IF(ISERROR(VLOOKUP($U$233,'TAR FIN'!$A$1:$O$92,15,0)),0,VLOOKUP($U$233,'TAR FIN'!$A$1:$O$92,15,0))</f>
        <v>488.15</v>
      </c>
      <c r="Y233" s="6"/>
      <c r="Z233" s="6">
        <f ca="1">('TUSD BE'!$AM$15+'TUSD BF_350'!$AM$15+'TUSD CVA'!$AM$15)*1</f>
        <v>911.84</v>
      </c>
      <c r="AA233" s="6">
        <f ca="1">('TE BE'!$AB$7+'TE BF_350'!$AB$7+'TE CVA'!$AB$7)*1</f>
        <v>399.84</v>
      </c>
      <c r="AB233" s="6">
        <f>$K$233*$V$233</f>
        <v>0</v>
      </c>
      <c r="AC233" s="6">
        <f>$M$233*$W$233</f>
        <v>307.95179999999999</v>
      </c>
      <c r="AD233" s="6">
        <f>$O$233*$X$233</f>
        <v>190.3785</v>
      </c>
      <c r="AE233" s="6">
        <f>$K$233*$Y$233</f>
        <v>0</v>
      </c>
      <c r="AF233" s="6">
        <f ca="1">$M$233*$Z$233</f>
        <v>355.61760000000004</v>
      </c>
      <c r="AG233" s="6">
        <f ca="1">$O$233*$AA$233</f>
        <v>155.9376</v>
      </c>
    </row>
    <row r="234" spans="1:33" ht="11.25" customHeight="1" x14ac:dyDescent="0.3">
      <c r="A234" s="4" t="s">
        <v>21</v>
      </c>
      <c r="B234" s="4" t="s">
        <v>34</v>
      </c>
      <c r="C234" s="4" t="s">
        <v>35</v>
      </c>
      <c r="D234" s="4" t="s">
        <v>33</v>
      </c>
      <c r="E234" s="4" t="s">
        <v>25</v>
      </c>
      <c r="F234" s="4" t="s">
        <v>25</v>
      </c>
      <c r="G234" s="4" t="s">
        <v>25</v>
      </c>
      <c r="H234" s="4" t="s">
        <v>36</v>
      </c>
      <c r="I234" s="5">
        <v>44470</v>
      </c>
      <c r="J234" s="6">
        <v>0</v>
      </c>
      <c r="K234" s="6">
        <v>0</v>
      </c>
      <c r="L234" s="6">
        <v>15.673</v>
      </c>
      <c r="M234" s="6">
        <v>15.673</v>
      </c>
      <c r="N234" s="6">
        <v>15.673</v>
      </c>
      <c r="O234" s="6">
        <v>15.673</v>
      </c>
      <c r="P234" s="6">
        <v>0</v>
      </c>
      <c r="Q234" s="4" t="s">
        <v>26</v>
      </c>
      <c r="R234" s="4">
        <v>0</v>
      </c>
      <c r="S234" s="6">
        <v>0</v>
      </c>
      <c r="T234" s="6">
        <v>21</v>
      </c>
      <c r="U234" s="6">
        <v>83</v>
      </c>
      <c r="V234" s="6">
        <f>IF(ISERROR(VLOOKUP($S$234,'TAR FIN'!$A$1:$O$92,15,0)),0,VLOOKUP($S$234,'TAR FIN'!$A$1:$O$92,15,0))</f>
        <v>0</v>
      </c>
      <c r="W234" s="6">
        <f>IF(ISERROR(VLOOKUP($T$234,'TAR FIN'!$A$1:$O$92,15,0)),0,VLOOKUP($T$234,'TAR FIN'!$A$1:$O$92,15,0))</f>
        <v>789.62</v>
      </c>
      <c r="X234" s="6">
        <f>IF(ISERROR(VLOOKUP($U$234,'TAR FIN'!$A$1:$O$92,15,0)),0,VLOOKUP($U$234,'TAR FIN'!$A$1:$O$92,15,0))</f>
        <v>488.15</v>
      </c>
      <c r="Y234" s="6"/>
      <c r="Z234" s="6">
        <f ca="1">('TUSD BE'!$AM$15+'TUSD BF_350'!$AM$15+'TUSD CVA'!$AM$15)*1</f>
        <v>911.84</v>
      </c>
      <c r="AA234" s="6">
        <f ca="1">('TE BE'!$AB$7+'TE BF_350'!$AB$7+'TE CVA'!$AB$7)*1</f>
        <v>399.84</v>
      </c>
      <c r="AB234" s="6">
        <f>$K$234*$V$234</f>
        <v>0</v>
      </c>
      <c r="AC234" s="6">
        <f>$M$234*$W$234</f>
        <v>12375.714260000001</v>
      </c>
      <c r="AD234" s="6">
        <f>$O$234*$X$234</f>
        <v>7650.77495</v>
      </c>
      <c r="AE234" s="6">
        <f>$K$234*$Y$234</f>
        <v>0</v>
      </c>
      <c r="AF234" s="6">
        <f ca="1">$M$234*$Z$234</f>
        <v>14291.268320000001</v>
      </c>
      <c r="AG234" s="6">
        <f ca="1">$O$234*$AA$234</f>
        <v>6266.6923199999992</v>
      </c>
    </row>
    <row r="235" spans="1:33" ht="11.25" customHeight="1" x14ac:dyDescent="0.3">
      <c r="A235" s="4" t="s">
        <v>27</v>
      </c>
      <c r="B235" s="4" t="s">
        <v>34</v>
      </c>
      <c r="C235" s="4" t="s">
        <v>35</v>
      </c>
      <c r="D235" s="4" t="s">
        <v>33</v>
      </c>
      <c r="E235" s="4" t="s">
        <v>25</v>
      </c>
      <c r="F235" s="4" t="s">
        <v>25</v>
      </c>
      <c r="G235" s="4" t="s">
        <v>25</v>
      </c>
      <c r="H235" s="4" t="s">
        <v>36</v>
      </c>
      <c r="I235" s="5">
        <v>44470</v>
      </c>
      <c r="J235" s="6">
        <v>0</v>
      </c>
      <c r="K235" s="6">
        <v>0</v>
      </c>
      <c r="L235" s="6">
        <v>0.42138999999999999</v>
      </c>
      <c r="M235" s="6">
        <v>0.42138999999999999</v>
      </c>
      <c r="N235" s="6">
        <v>0.42138999999999999</v>
      </c>
      <c r="O235" s="6">
        <v>0.42138999999999999</v>
      </c>
      <c r="P235" s="6">
        <v>0</v>
      </c>
      <c r="Q235" s="4" t="s">
        <v>26</v>
      </c>
      <c r="R235" s="4">
        <v>0</v>
      </c>
      <c r="S235" s="6">
        <v>0</v>
      </c>
      <c r="T235" s="6">
        <v>21</v>
      </c>
      <c r="U235" s="6">
        <v>83</v>
      </c>
      <c r="V235" s="6">
        <f>IF(ISERROR(VLOOKUP($S$235,'TAR FIN'!$A$1:$O$92,15,0)),0,VLOOKUP($S$235,'TAR FIN'!$A$1:$O$92,15,0))</f>
        <v>0</v>
      </c>
      <c r="W235" s="6">
        <f>IF(ISERROR(VLOOKUP($T$235,'TAR FIN'!$A$1:$O$92,15,0)),0,VLOOKUP($T$235,'TAR FIN'!$A$1:$O$92,15,0))</f>
        <v>789.62</v>
      </c>
      <c r="X235" s="6">
        <f>IF(ISERROR(VLOOKUP($U$235,'TAR FIN'!$A$1:$O$92,15,0)),0,VLOOKUP($U$235,'TAR FIN'!$A$1:$O$92,15,0))</f>
        <v>488.15</v>
      </c>
      <c r="Y235" s="6"/>
      <c r="Z235" s="6">
        <f ca="1">('TUSD BE'!$AM$15+'TUSD BF_350'!$AM$15+'TUSD CVA'!$AM$15)*1</f>
        <v>911.84</v>
      </c>
      <c r="AA235" s="6">
        <f ca="1">('TE BE'!$AB$7+'TE BF_350'!$AB$7+'TE CVA'!$AB$7)*1</f>
        <v>399.84</v>
      </c>
      <c r="AB235" s="6">
        <f>$K$235*$V$235</f>
        <v>0</v>
      </c>
      <c r="AC235" s="6">
        <f>$M$235*$W$235</f>
        <v>332.73797179999997</v>
      </c>
      <c r="AD235" s="6">
        <f>$O$235*$X$235</f>
        <v>205.70152849999999</v>
      </c>
      <c r="AE235" s="6">
        <f>$K$235*$Y$235</f>
        <v>0</v>
      </c>
      <c r="AF235" s="6">
        <f ca="1">$M$235*$Z$235</f>
        <v>384.24025760000001</v>
      </c>
      <c r="AG235" s="6">
        <f ca="1">$O$235*$AA$235</f>
        <v>168.48857759999999</v>
      </c>
    </row>
    <row r="236" spans="1:33" ht="11.25" customHeight="1" x14ac:dyDescent="0.3">
      <c r="A236" s="4" t="s">
        <v>21</v>
      </c>
      <c r="B236" s="4" t="s">
        <v>34</v>
      </c>
      <c r="C236" s="4" t="s">
        <v>35</v>
      </c>
      <c r="D236" s="4" t="s">
        <v>33</v>
      </c>
      <c r="E236" s="4" t="s">
        <v>25</v>
      </c>
      <c r="F236" s="4" t="s">
        <v>25</v>
      </c>
      <c r="G236" s="4" t="s">
        <v>25</v>
      </c>
      <c r="H236" s="4" t="s">
        <v>36</v>
      </c>
      <c r="I236" s="5">
        <v>44501</v>
      </c>
      <c r="J236" s="6">
        <v>0</v>
      </c>
      <c r="K236" s="6">
        <v>0</v>
      </c>
      <c r="L236" s="6">
        <v>15.188000000000001</v>
      </c>
      <c r="M236" s="6">
        <v>15.188000000000001</v>
      </c>
      <c r="N236" s="6">
        <v>15.188000000000001</v>
      </c>
      <c r="O236" s="6">
        <v>15.188000000000001</v>
      </c>
      <c r="P236" s="6">
        <v>0</v>
      </c>
      <c r="Q236" s="4" t="s">
        <v>26</v>
      </c>
      <c r="R236" s="4">
        <v>0</v>
      </c>
      <c r="S236" s="6">
        <v>0</v>
      </c>
      <c r="T236" s="6">
        <v>21</v>
      </c>
      <c r="U236" s="6">
        <v>83</v>
      </c>
      <c r="V236" s="6">
        <f>IF(ISERROR(VLOOKUP($S$236,'TAR FIN'!$A$1:$O$92,15,0)),0,VLOOKUP($S$236,'TAR FIN'!$A$1:$O$92,15,0))</f>
        <v>0</v>
      </c>
      <c r="W236" s="6">
        <f>IF(ISERROR(VLOOKUP($T$236,'TAR FIN'!$A$1:$O$92,15,0)),0,VLOOKUP($T$236,'TAR FIN'!$A$1:$O$92,15,0))</f>
        <v>789.62</v>
      </c>
      <c r="X236" s="6">
        <f>IF(ISERROR(VLOOKUP($U$236,'TAR FIN'!$A$1:$O$92,15,0)),0,VLOOKUP($U$236,'TAR FIN'!$A$1:$O$92,15,0))</f>
        <v>488.15</v>
      </c>
      <c r="Y236" s="6"/>
      <c r="Z236" s="6">
        <f ca="1">('TUSD BE'!$AM$15+'TUSD BF_350'!$AM$15+'TUSD CVA'!$AM$15)*1</f>
        <v>911.84</v>
      </c>
      <c r="AA236" s="6">
        <f ca="1">('TE BE'!$AB$7+'TE BF_350'!$AB$7+'TE CVA'!$AB$7)*1</f>
        <v>399.84</v>
      </c>
      <c r="AB236" s="6">
        <f>$K$236*$V$236</f>
        <v>0</v>
      </c>
      <c r="AC236" s="6">
        <f>$M$236*$W$236</f>
        <v>11992.74856</v>
      </c>
      <c r="AD236" s="6">
        <f>$O$236*$X$236</f>
        <v>7414.0222000000003</v>
      </c>
      <c r="AE236" s="6">
        <f>$K$236*$Y$236</f>
        <v>0</v>
      </c>
      <c r="AF236" s="6">
        <f ca="1">$M$236*$Z$236</f>
        <v>13849.025920000002</v>
      </c>
      <c r="AG236" s="6">
        <f ca="1">$O$236*$AA$236</f>
        <v>6072.7699199999997</v>
      </c>
    </row>
    <row r="237" spans="1:33" ht="11.25" customHeight="1" x14ac:dyDescent="0.3">
      <c r="A237" s="4" t="s">
        <v>27</v>
      </c>
      <c r="B237" s="4" t="s">
        <v>34</v>
      </c>
      <c r="C237" s="4" t="s">
        <v>35</v>
      </c>
      <c r="D237" s="4" t="s">
        <v>33</v>
      </c>
      <c r="E237" s="4" t="s">
        <v>25</v>
      </c>
      <c r="F237" s="4" t="s">
        <v>25</v>
      </c>
      <c r="G237" s="4" t="s">
        <v>25</v>
      </c>
      <c r="H237" s="4" t="s">
        <v>36</v>
      </c>
      <c r="I237" s="5">
        <v>44501</v>
      </c>
      <c r="J237" s="6">
        <v>0</v>
      </c>
      <c r="K237" s="6">
        <v>0</v>
      </c>
      <c r="L237" s="6">
        <v>0.43491000000000002</v>
      </c>
      <c r="M237" s="6">
        <v>0.43491000000000002</v>
      </c>
      <c r="N237" s="6">
        <v>0.43491000000000002</v>
      </c>
      <c r="O237" s="6">
        <v>0.43491000000000002</v>
      </c>
      <c r="P237" s="6">
        <v>0</v>
      </c>
      <c r="Q237" s="4" t="s">
        <v>26</v>
      </c>
      <c r="R237" s="4">
        <v>0</v>
      </c>
      <c r="S237" s="6">
        <v>0</v>
      </c>
      <c r="T237" s="6">
        <v>21</v>
      </c>
      <c r="U237" s="6">
        <v>83</v>
      </c>
      <c r="V237" s="6">
        <f>IF(ISERROR(VLOOKUP($S$237,'TAR FIN'!$A$1:$O$92,15,0)),0,VLOOKUP($S$237,'TAR FIN'!$A$1:$O$92,15,0))</f>
        <v>0</v>
      </c>
      <c r="W237" s="6">
        <f>IF(ISERROR(VLOOKUP($T$237,'TAR FIN'!$A$1:$O$92,15,0)),0,VLOOKUP($T$237,'TAR FIN'!$A$1:$O$92,15,0))</f>
        <v>789.62</v>
      </c>
      <c r="X237" s="6">
        <f>IF(ISERROR(VLOOKUP($U$237,'TAR FIN'!$A$1:$O$92,15,0)),0,VLOOKUP($U$237,'TAR FIN'!$A$1:$O$92,15,0))</f>
        <v>488.15</v>
      </c>
      <c r="Y237" s="6"/>
      <c r="Z237" s="6">
        <f ca="1">('TUSD BE'!$AM$15+'TUSD BF_350'!$AM$15+'TUSD CVA'!$AM$15)*1</f>
        <v>911.84</v>
      </c>
      <c r="AA237" s="6">
        <f ca="1">('TE BE'!$AB$7+'TE BF_350'!$AB$7+'TE CVA'!$AB$7)*1</f>
        <v>399.84</v>
      </c>
      <c r="AB237" s="6">
        <f>$K$237*$V$237</f>
        <v>0</v>
      </c>
      <c r="AC237" s="6">
        <f>$M$237*$W$237</f>
        <v>343.41363419999999</v>
      </c>
      <c r="AD237" s="6">
        <f>$O$237*$X$237</f>
        <v>212.30131650000001</v>
      </c>
      <c r="AE237" s="6">
        <f>$K$237*$Y$237</f>
        <v>0</v>
      </c>
      <c r="AF237" s="6">
        <f ca="1">$M$237*$Z$237</f>
        <v>396.56833440000003</v>
      </c>
      <c r="AG237" s="6">
        <f ca="1">$O$237*$AA$237</f>
        <v>173.89441439999999</v>
      </c>
    </row>
    <row r="238" spans="1:33" ht="11.25" customHeight="1" x14ac:dyDescent="0.3">
      <c r="A238" s="4" t="s">
        <v>21</v>
      </c>
      <c r="B238" s="4" t="s">
        <v>34</v>
      </c>
      <c r="C238" s="4" t="s">
        <v>35</v>
      </c>
      <c r="D238" s="4" t="s">
        <v>33</v>
      </c>
      <c r="E238" s="4" t="s">
        <v>25</v>
      </c>
      <c r="F238" s="4" t="s">
        <v>25</v>
      </c>
      <c r="G238" s="4" t="s">
        <v>25</v>
      </c>
      <c r="H238" s="4" t="s">
        <v>36</v>
      </c>
      <c r="I238" s="5">
        <v>44531</v>
      </c>
      <c r="J238" s="6">
        <v>0</v>
      </c>
      <c r="K238" s="6">
        <v>0</v>
      </c>
      <c r="L238" s="6">
        <v>14.321</v>
      </c>
      <c r="M238" s="6">
        <v>14.321</v>
      </c>
      <c r="N238" s="6">
        <v>14.321</v>
      </c>
      <c r="O238" s="6">
        <v>14.321</v>
      </c>
      <c r="P238" s="6">
        <v>0</v>
      </c>
      <c r="Q238" s="4" t="s">
        <v>26</v>
      </c>
      <c r="R238" s="4">
        <v>0</v>
      </c>
      <c r="S238" s="6">
        <v>0</v>
      </c>
      <c r="T238" s="6">
        <v>21</v>
      </c>
      <c r="U238" s="6">
        <v>83</v>
      </c>
      <c r="V238" s="6">
        <f>IF(ISERROR(VLOOKUP($S$238,'TAR FIN'!$A$1:$O$92,15,0)),0,VLOOKUP($S$238,'TAR FIN'!$A$1:$O$92,15,0))</f>
        <v>0</v>
      </c>
      <c r="W238" s="6">
        <f>IF(ISERROR(VLOOKUP($T$238,'TAR FIN'!$A$1:$O$92,15,0)),0,VLOOKUP($T$238,'TAR FIN'!$A$1:$O$92,15,0))</f>
        <v>789.62</v>
      </c>
      <c r="X238" s="6">
        <f>IF(ISERROR(VLOOKUP($U$238,'TAR FIN'!$A$1:$O$92,15,0)),0,VLOOKUP($U$238,'TAR FIN'!$A$1:$O$92,15,0))</f>
        <v>488.15</v>
      </c>
      <c r="Y238" s="6"/>
      <c r="Z238" s="6">
        <f ca="1">('TUSD BE'!$AM$15+'TUSD BF_350'!$AM$15+'TUSD CVA'!$AM$15)*1</f>
        <v>911.84</v>
      </c>
      <c r="AA238" s="6">
        <f ca="1">('TE BE'!$AB$7+'TE BF_350'!$AB$7+'TE CVA'!$AB$7)*1</f>
        <v>399.84</v>
      </c>
      <c r="AB238" s="6">
        <f>$K$238*$V$238</f>
        <v>0</v>
      </c>
      <c r="AC238" s="6">
        <f>$M$238*$W$238</f>
        <v>11308.148020000001</v>
      </c>
      <c r="AD238" s="6">
        <f>$O$238*$X$238</f>
        <v>6990.7961499999992</v>
      </c>
      <c r="AE238" s="6">
        <f>$K$238*$Y$238</f>
        <v>0</v>
      </c>
      <c r="AF238" s="6">
        <f ca="1">$M$238*$Z$238</f>
        <v>13058.460639999999</v>
      </c>
      <c r="AG238" s="6">
        <f ca="1">$O$238*$AA$238</f>
        <v>5726.1086399999995</v>
      </c>
    </row>
    <row r="239" spans="1:33" ht="11.25" customHeight="1" x14ac:dyDescent="0.3">
      <c r="A239" s="4" t="s">
        <v>27</v>
      </c>
      <c r="B239" s="4" t="s">
        <v>34</v>
      </c>
      <c r="C239" s="4" t="s">
        <v>35</v>
      </c>
      <c r="D239" s="4" t="s">
        <v>33</v>
      </c>
      <c r="E239" s="4" t="s">
        <v>25</v>
      </c>
      <c r="F239" s="4" t="s">
        <v>25</v>
      </c>
      <c r="G239" s="4" t="s">
        <v>25</v>
      </c>
      <c r="H239" s="4" t="s">
        <v>36</v>
      </c>
      <c r="I239" s="5">
        <v>44531</v>
      </c>
      <c r="J239" s="6">
        <v>0</v>
      </c>
      <c r="K239" s="6">
        <v>0</v>
      </c>
      <c r="L239" s="6">
        <v>0.32100000000000001</v>
      </c>
      <c r="M239" s="6">
        <v>0.32100000000000001</v>
      </c>
      <c r="N239" s="6">
        <v>0.32100000000000001</v>
      </c>
      <c r="O239" s="6">
        <v>0.32100000000000001</v>
      </c>
      <c r="P239" s="6">
        <v>0</v>
      </c>
      <c r="Q239" s="4" t="s">
        <v>26</v>
      </c>
      <c r="R239" s="4">
        <v>0</v>
      </c>
      <c r="S239" s="6">
        <v>0</v>
      </c>
      <c r="T239" s="6">
        <v>21</v>
      </c>
      <c r="U239" s="6">
        <v>83</v>
      </c>
      <c r="V239" s="6">
        <f>IF(ISERROR(VLOOKUP($S$239,'TAR FIN'!$A$1:$O$92,15,0)),0,VLOOKUP($S$239,'TAR FIN'!$A$1:$O$92,15,0))</f>
        <v>0</v>
      </c>
      <c r="W239" s="6">
        <f>IF(ISERROR(VLOOKUP($T$239,'TAR FIN'!$A$1:$O$92,15,0)),0,VLOOKUP($T$239,'TAR FIN'!$A$1:$O$92,15,0))</f>
        <v>789.62</v>
      </c>
      <c r="X239" s="6">
        <f>IF(ISERROR(VLOOKUP($U$239,'TAR FIN'!$A$1:$O$92,15,0)),0,VLOOKUP($U$239,'TAR FIN'!$A$1:$O$92,15,0))</f>
        <v>488.15</v>
      </c>
      <c r="Y239" s="6"/>
      <c r="Z239" s="6">
        <f ca="1">('TUSD BE'!$AM$15+'TUSD BF_350'!$AM$15+'TUSD CVA'!$AM$15)*1</f>
        <v>911.84</v>
      </c>
      <c r="AA239" s="6">
        <f ca="1">('TE BE'!$AB$7+'TE BF_350'!$AB$7+'TE CVA'!$AB$7)*1</f>
        <v>399.84</v>
      </c>
      <c r="AB239" s="6">
        <f>$K$239*$V$239</f>
        <v>0</v>
      </c>
      <c r="AC239" s="6">
        <f>$M$239*$W$239</f>
        <v>253.46802</v>
      </c>
      <c r="AD239" s="6">
        <f>$O$239*$X$239</f>
        <v>156.69614999999999</v>
      </c>
      <c r="AE239" s="6">
        <f>$K$239*$Y$239</f>
        <v>0</v>
      </c>
      <c r="AF239" s="6">
        <f ca="1">$M$239*$Z$239</f>
        <v>292.70064000000002</v>
      </c>
      <c r="AG239" s="6">
        <f ca="1">$O$239*$AA$239</f>
        <v>128.34863999999999</v>
      </c>
    </row>
    <row r="240" spans="1:33" ht="11.25" customHeight="1" x14ac:dyDescent="0.3">
      <c r="A240" s="4" t="s">
        <v>21</v>
      </c>
      <c r="B240" s="4" t="s">
        <v>34</v>
      </c>
      <c r="C240" s="4" t="s">
        <v>35</v>
      </c>
      <c r="D240" s="4" t="s">
        <v>33</v>
      </c>
      <c r="E240" s="4" t="s">
        <v>25</v>
      </c>
      <c r="F240" s="4" t="s">
        <v>25</v>
      </c>
      <c r="G240" s="4" t="s">
        <v>25</v>
      </c>
      <c r="H240" s="4" t="s">
        <v>36</v>
      </c>
      <c r="I240" s="5">
        <v>44562</v>
      </c>
      <c r="J240" s="6">
        <v>0</v>
      </c>
      <c r="K240" s="6">
        <v>0</v>
      </c>
      <c r="L240" s="6">
        <v>14.286</v>
      </c>
      <c r="M240" s="6">
        <v>14.286</v>
      </c>
      <c r="N240" s="6">
        <v>14.286</v>
      </c>
      <c r="O240" s="6">
        <v>14.286</v>
      </c>
      <c r="P240" s="6">
        <v>0</v>
      </c>
      <c r="Q240" s="4" t="s">
        <v>26</v>
      </c>
      <c r="R240" s="4">
        <v>0</v>
      </c>
      <c r="S240" s="6">
        <v>0</v>
      </c>
      <c r="T240" s="6">
        <v>21</v>
      </c>
      <c r="U240" s="6">
        <v>83</v>
      </c>
      <c r="V240" s="6">
        <f>IF(ISERROR(VLOOKUP($S$240,'TAR FIN'!$A$1:$O$92,15,0)),0,VLOOKUP($S$240,'TAR FIN'!$A$1:$O$92,15,0))</f>
        <v>0</v>
      </c>
      <c r="W240" s="6">
        <f>IF(ISERROR(VLOOKUP($T$240,'TAR FIN'!$A$1:$O$92,15,0)),0,VLOOKUP($T$240,'TAR FIN'!$A$1:$O$92,15,0))</f>
        <v>789.62</v>
      </c>
      <c r="X240" s="6">
        <f>IF(ISERROR(VLOOKUP($U$240,'TAR FIN'!$A$1:$O$92,15,0)),0,VLOOKUP($U$240,'TAR FIN'!$A$1:$O$92,15,0))</f>
        <v>488.15</v>
      </c>
      <c r="Y240" s="6"/>
      <c r="Z240" s="6">
        <f ca="1">('TUSD BE'!$AM$15+'TUSD BF_350'!$AM$15+'TUSD CVA'!$AM$15)*1</f>
        <v>911.84</v>
      </c>
      <c r="AA240" s="6">
        <f ca="1">('TE BE'!$AB$7+'TE BF_350'!$AB$7+'TE CVA'!$AB$7)*1</f>
        <v>399.84</v>
      </c>
      <c r="AB240" s="6">
        <f>$K$240*$V$240</f>
        <v>0</v>
      </c>
      <c r="AC240" s="6">
        <f>$M$240*$W$240</f>
        <v>11280.51132</v>
      </c>
      <c r="AD240" s="6">
        <f>$O$240*$X$240</f>
        <v>6973.7108999999991</v>
      </c>
      <c r="AE240" s="6">
        <f>$K$240*$Y$240</f>
        <v>0</v>
      </c>
      <c r="AF240" s="6">
        <f ca="1">$M$240*$Z$240</f>
        <v>13026.54624</v>
      </c>
      <c r="AG240" s="6">
        <f ca="1">$O$240*$AA$240</f>
        <v>5712.1142399999999</v>
      </c>
    </row>
    <row r="241" spans="1:33" ht="11.25" customHeight="1" x14ac:dyDescent="0.3">
      <c r="A241" s="4" t="s">
        <v>27</v>
      </c>
      <c r="B241" s="4" t="s">
        <v>34</v>
      </c>
      <c r="C241" s="4" t="s">
        <v>35</v>
      </c>
      <c r="D241" s="4" t="s">
        <v>33</v>
      </c>
      <c r="E241" s="4" t="s">
        <v>25</v>
      </c>
      <c r="F241" s="4" t="s">
        <v>25</v>
      </c>
      <c r="G241" s="4" t="s">
        <v>25</v>
      </c>
      <c r="H241" s="4" t="s">
        <v>36</v>
      </c>
      <c r="I241" s="5">
        <v>44562</v>
      </c>
      <c r="J241" s="6">
        <v>0</v>
      </c>
      <c r="K241" s="6">
        <v>0</v>
      </c>
      <c r="L241" s="6">
        <v>0.29899999999999999</v>
      </c>
      <c r="M241" s="6">
        <v>0.29899999999999999</v>
      </c>
      <c r="N241" s="6">
        <v>0.29899999999999999</v>
      </c>
      <c r="O241" s="6">
        <v>0.29899999999999999</v>
      </c>
      <c r="P241" s="6">
        <v>0</v>
      </c>
      <c r="Q241" s="4" t="s">
        <v>26</v>
      </c>
      <c r="R241" s="4">
        <v>0</v>
      </c>
      <c r="S241" s="6">
        <v>0</v>
      </c>
      <c r="T241" s="6">
        <v>21</v>
      </c>
      <c r="U241" s="6">
        <v>83</v>
      </c>
      <c r="V241" s="6">
        <f>IF(ISERROR(VLOOKUP($S$241,'TAR FIN'!$A$1:$O$92,15,0)),0,VLOOKUP($S$241,'TAR FIN'!$A$1:$O$92,15,0))</f>
        <v>0</v>
      </c>
      <c r="W241" s="6">
        <f>IF(ISERROR(VLOOKUP($T$241,'TAR FIN'!$A$1:$O$92,15,0)),0,VLOOKUP($T$241,'TAR FIN'!$A$1:$O$92,15,0))</f>
        <v>789.62</v>
      </c>
      <c r="X241" s="6">
        <f>IF(ISERROR(VLOOKUP($U$241,'TAR FIN'!$A$1:$O$92,15,0)),0,VLOOKUP($U$241,'TAR FIN'!$A$1:$O$92,15,0))</f>
        <v>488.15</v>
      </c>
      <c r="Y241" s="6"/>
      <c r="Z241" s="6">
        <f ca="1">('TUSD BE'!$AM$15+'TUSD BF_350'!$AM$15+'TUSD CVA'!$AM$15)*1</f>
        <v>911.84</v>
      </c>
      <c r="AA241" s="6">
        <f ca="1">('TE BE'!$AB$7+'TE BF_350'!$AB$7+'TE CVA'!$AB$7)*1</f>
        <v>399.84</v>
      </c>
      <c r="AB241" s="6">
        <f>$K$241*$V$241</f>
        <v>0</v>
      </c>
      <c r="AC241" s="6">
        <f>$M$241*$W$241</f>
        <v>236.09637999999998</v>
      </c>
      <c r="AD241" s="6">
        <f>$O$241*$X$241</f>
        <v>145.95684999999997</v>
      </c>
      <c r="AE241" s="6">
        <f>$K$241*$Y$241</f>
        <v>0</v>
      </c>
      <c r="AF241" s="6">
        <f ca="1">$M$241*$Z$241</f>
        <v>272.64015999999998</v>
      </c>
      <c r="AG241" s="6">
        <f ca="1">$O$241*$AA$241</f>
        <v>119.55215999999999</v>
      </c>
    </row>
    <row r="242" spans="1:33" ht="11.25" customHeight="1" x14ac:dyDescent="0.3">
      <c r="A242" s="4" t="s">
        <v>21</v>
      </c>
      <c r="B242" s="4" t="s">
        <v>34</v>
      </c>
      <c r="C242" s="4" t="s">
        <v>35</v>
      </c>
      <c r="D242" s="4" t="s">
        <v>33</v>
      </c>
      <c r="E242" s="4" t="s">
        <v>25</v>
      </c>
      <c r="F242" s="4" t="s">
        <v>25</v>
      </c>
      <c r="G242" s="4" t="s">
        <v>25</v>
      </c>
      <c r="H242" s="4" t="s">
        <v>36</v>
      </c>
      <c r="I242" s="5">
        <v>44593</v>
      </c>
      <c r="J242" s="6">
        <v>0</v>
      </c>
      <c r="K242" s="6">
        <v>0</v>
      </c>
      <c r="L242" s="6">
        <v>14.051</v>
      </c>
      <c r="M242" s="6">
        <v>14.051</v>
      </c>
      <c r="N242" s="6">
        <v>14.051</v>
      </c>
      <c r="O242" s="6">
        <v>14.051</v>
      </c>
      <c r="P242" s="6">
        <v>0</v>
      </c>
      <c r="Q242" s="4" t="s">
        <v>26</v>
      </c>
      <c r="R242" s="4">
        <v>0</v>
      </c>
      <c r="S242" s="6">
        <v>0</v>
      </c>
      <c r="T242" s="6">
        <v>21</v>
      </c>
      <c r="U242" s="6">
        <v>83</v>
      </c>
      <c r="V242" s="6">
        <f>IF(ISERROR(VLOOKUP($S$242,'TAR FIN'!$A$1:$O$92,15,0)),0,VLOOKUP($S$242,'TAR FIN'!$A$1:$O$92,15,0))</f>
        <v>0</v>
      </c>
      <c r="W242" s="6">
        <f>IF(ISERROR(VLOOKUP($T$242,'TAR FIN'!$A$1:$O$92,15,0)),0,VLOOKUP($T$242,'TAR FIN'!$A$1:$O$92,15,0))</f>
        <v>789.62</v>
      </c>
      <c r="X242" s="6">
        <f>IF(ISERROR(VLOOKUP($U$242,'TAR FIN'!$A$1:$O$92,15,0)),0,VLOOKUP($U$242,'TAR FIN'!$A$1:$O$92,15,0))</f>
        <v>488.15</v>
      </c>
      <c r="Y242" s="6"/>
      <c r="Z242" s="6">
        <f ca="1">('TUSD BE'!$AM$15+'TUSD BF_350'!$AM$15+'TUSD CVA'!$AM$15)*1</f>
        <v>911.84</v>
      </c>
      <c r="AA242" s="6">
        <f ca="1">('TE BE'!$AB$7+'TE BF_350'!$AB$7+'TE CVA'!$AB$7)*1</f>
        <v>399.84</v>
      </c>
      <c r="AB242" s="6">
        <f>$K$242*$V$242</f>
        <v>0</v>
      </c>
      <c r="AC242" s="6">
        <f>$M$242*$W$242</f>
        <v>11094.95062</v>
      </c>
      <c r="AD242" s="6">
        <f>$O$242*$X$242</f>
        <v>6858.9956499999998</v>
      </c>
      <c r="AE242" s="6">
        <f>$K$242*$Y$242</f>
        <v>0</v>
      </c>
      <c r="AF242" s="6">
        <f ca="1">$M$242*$Z$242</f>
        <v>12812.263840000001</v>
      </c>
      <c r="AG242" s="6">
        <f ca="1">$O$242*$AA$242</f>
        <v>5618.1518399999995</v>
      </c>
    </row>
    <row r="243" spans="1:33" ht="11.25" customHeight="1" x14ac:dyDescent="0.3">
      <c r="A243" s="4" t="s">
        <v>27</v>
      </c>
      <c r="B243" s="4" t="s">
        <v>34</v>
      </c>
      <c r="C243" s="4" t="s">
        <v>35</v>
      </c>
      <c r="D243" s="4" t="s">
        <v>33</v>
      </c>
      <c r="E243" s="4" t="s">
        <v>25</v>
      </c>
      <c r="F243" s="4" t="s">
        <v>25</v>
      </c>
      <c r="G243" s="4" t="s">
        <v>25</v>
      </c>
      <c r="H243" s="4" t="s">
        <v>36</v>
      </c>
      <c r="I243" s="5">
        <v>44593</v>
      </c>
      <c r="J243" s="6">
        <v>0</v>
      </c>
      <c r="K243" s="6">
        <v>0</v>
      </c>
      <c r="L243" s="6">
        <v>0.39291999999999999</v>
      </c>
      <c r="M243" s="6">
        <v>0.39291999999999999</v>
      </c>
      <c r="N243" s="6">
        <v>0.39291999999999999</v>
      </c>
      <c r="O243" s="6">
        <v>0.39291999999999999</v>
      </c>
      <c r="P243" s="6">
        <v>0</v>
      </c>
      <c r="Q243" s="4" t="s">
        <v>26</v>
      </c>
      <c r="R243" s="4">
        <v>0</v>
      </c>
      <c r="S243" s="6">
        <v>0</v>
      </c>
      <c r="T243" s="6">
        <v>21</v>
      </c>
      <c r="U243" s="6">
        <v>83</v>
      </c>
      <c r="V243" s="6">
        <f>IF(ISERROR(VLOOKUP($S$243,'TAR FIN'!$A$1:$O$92,15,0)),0,VLOOKUP($S$243,'TAR FIN'!$A$1:$O$92,15,0))</f>
        <v>0</v>
      </c>
      <c r="W243" s="6">
        <f>IF(ISERROR(VLOOKUP($T$243,'TAR FIN'!$A$1:$O$92,15,0)),0,VLOOKUP($T$243,'TAR FIN'!$A$1:$O$92,15,0))</f>
        <v>789.62</v>
      </c>
      <c r="X243" s="6">
        <f>IF(ISERROR(VLOOKUP($U$243,'TAR FIN'!$A$1:$O$92,15,0)),0,VLOOKUP($U$243,'TAR FIN'!$A$1:$O$92,15,0))</f>
        <v>488.15</v>
      </c>
      <c r="Y243" s="6"/>
      <c r="Z243" s="6">
        <f ca="1">('TUSD BE'!$AM$15+'TUSD BF_350'!$AM$15+'TUSD CVA'!$AM$15)*1</f>
        <v>911.84</v>
      </c>
      <c r="AA243" s="6">
        <f ca="1">('TE BE'!$AB$7+'TE BF_350'!$AB$7+'TE CVA'!$AB$7)*1</f>
        <v>399.84</v>
      </c>
      <c r="AB243" s="6">
        <f>$K$243*$V$243</f>
        <v>0</v>
      </c>
      <c r="AC243" s="6">
        <f>$M$243*$W$243</f>
        <v>310.25749039999999</v>
      </c>
      <c r="AD243" s="6">
        <f>$O$243*$X$243</f>
        <v>191.80389799999998</v>
      </c>
      <c r="AE243" s="6">
        <f>$K$243*$Y$243</f>
        <v>0</v>
      </c>
      <c r="AF243" s="6">
        <f ca="1">$M$243*$Z$243</f>
        <v>358.2801728</v>
      </c>
      <c r="AG243" s="6">
        <f ca="1">$O$243*$AA$243</f>
        <v>157.10513279999998</v>
      </c>
    </row>
    <row r="244" spans="1:33" ht="11.25" customHeight="1" x14ac:dyDescent="0.3">
      <c r="A244" s="4" t="s">
        <v>21</v>
      </c>
      <c r="B244" s="4" t="s">
        <v>34</v>
      </c>
      <c r="C244" s="4" t="s">
        <v>35</v>
      </c>
      <c r="D244" s="4" t="s">
        <v>33</v>
      </c>
      <c r="E244" s="4" t="s">
        <v>25</v>
      </c>
      <c r="F244" s="4" t="s">
        <v>25</v>
      </c>
      <c r="G244" s="4" t="s">
        <v>25</v>
      </c>
      <c r="H244" s="4" t="s">
        <v>36</v>
      </c>
      <c r="I244" s="5">
        <v>44621</v>
      </c>
      <c r="J244" s="6">
        <v>0</v>
      </c>
      <c r="K244" s="6">
        <v>0</v>
      </c>
      <c r="L244" s="6">
        <v>14.566000000000001</v>
      </c>
      <c r="M244" s="6">
        <v>14.566000000000001</v>
      </c>
      <c r="N244" s="6">
        <v>14.566000000000001</v>
      </c>
      <c r="O244" s="6">
        <v>14.566000000000001</v>
      </c>
      <c r="P244" s="6">
        <v>0</v>
      </c>
      <c r="Q244" s="4" t="s">
        <v>26</v>
      </c>
      <c r="R244" s="4">
        <v>0</v>
      </c>
      <c r="S244" s="6">
        <v>0</v>
      </c>
      <c r="T244" s="6">
        <v>21</v>
      </c>
      <c r="U244" s="6">
        <v>83</v>
      </c>
      <c r="V244" s="6">
        <f>IF(ISERROR(VLOOKUP($S$244,'TAR FIN'!$A$1:$O$92,15,0)),0,VLOOKUP($S$244,'TAR FIN'!$A$1:$O$92,15,0))</f>
        <v>0</v>
      </c>
      <c r="W244" s="6">
        <f>IF(ISERROR(VLOOKUP($T$244,'TAR FIN'!$A$1:$O$92,15,0)),0,VLOOKUP($T$244,'TAR FIN'!$A$1:$O$92,15,0))</f>
        <v>789.62</v>
      </c>
      <c r="X244" s="6">
        <f>IF(ISERROR(VLOOKUP($U$244,'TAR FIN'!$A$1:$O$92,15,0)),0,VLOOKUP($U$244,'TAR FIN'!$A$1:$O$92,15,0))</f>
        <v>488.15</v>
      </c>
      <c r="Y244" s="6"/>
      <c r="Z244" s="6">
        <f ca="1">('TUSD BE'!$AM$15+'TUSD BF_350'!$AM$15+'TUSD CVA'!$AM$15)*1</f>
        <v>911.84</v>
      </c>
      <c r="AA244" s="6">
        <f ca="1">('TE BE'!$AB$7+'TE BF_350'!$AB$7+'TE CVA'!$AB$7)*1</f>
        <v>399.84</v>
      </c>
      <c r="AB244" s="6">
        <f>$K$244*$V$244</f>
        <v>0</v>
      </c>
      <c r="AC244" s="6">
        <f>$M$244*$W$244</f>
        <v>11501.60492</v>
      </c>
      <c r="AD244" s="6">
        <f>$O$244*$X$244</f>
        <v>7110.3928999999998</v>
      </c>
      <c r="AE244" s="6">
        <f>$K$244*$Y$244</f>
        <v>0</v>
      </c>
      <c r="AF244" s="6">
        <f ca="1">$M$244*$Z$244</f>
        <v>13281.861440000001</v>
      </c>
      <c r="AG244" s="6">
        <f ca="1">$O$244*$AA$244</f>
        <v>5824.0694400000002</v>
      </c>
    </row>
    <row r="245" spans="1:33" ht="11.25" customHeight="1" x14ac:dyDescent="0.3">
      <c r="A245" s="4" t="s">
        <v>27</v>
      </c>
      <c r="B245" s="4" t="s">
        <v>34</v>
      </c>
      <c r="C245" s="4" t="s">
        <v>35</v>
      </c>
      <c r="D245" s="4" t="s">
        <v>33</v>
      </c>
      <c r="E245" s="4" t="s">
        <v>25</v>
      </c>
      <c r="F245" s="4" t="s">
        <v>25</v>
      </c>
      <c r="G245" s="4" t="s">
        <v>25</v>
      </c>
      <c r="H245" s="4" t="s">
        <v>36</v>
      </c>
      <c r="I245" s="5">
        <v>44621</v>
      </c>
      <c r="J245" s="6">
        <v>0</v>
      </c>
      <c r="K245" s="6">
        <v>0</v>
      </c>
      <c r="L245" s="6">
        <v>0.40798000000000001</v>
      </c>
      <c r="M245" s="6">
        <v>0.40798000000000001</v>
      </c>
      <c r="N245" s="6">
        <v>0.40798000000000001</v>
      </c>
      <c r="O245" s="6">
        <v>0.40798000000000001</v>
      </c>
      <c r="P245" s="6">
        <v>0</v>
      </c>
      <c r="Q245" s="4" t="s">
        <v>26</v>
      </c>
      <c r="R245" s="4">
        <v>0</v>
      </c>
      <c r="S245" s="6">
        <v>0</v>
      </c>
      <c r="T245" s="6">
        <v>21</v>
      </c>
      <c r="U245" s="6">
        <v>83</v>
      </c>
      <c r="V245" s="6">
        <f>IF(ISERROR(VLOOKUP($S$245,'TAR FIN'!$A$1:$O$92,15,0)),0,VLOOKUP($S$245,'TAR FIN'!$A$1:$O$92,15,0))</f>
        <v>0</v>
      </c>
      <c r="W245" s="6">
        <f>IF(ISERROR(VLOOKUP($T$245,'TAR FIN'!$A$1:$O$92,15,0)),0,VLOOKUP($T$245,'TAR FIN'!$A$1:$O$92,15,0))</f>
        <v>789.62</v>
      </c>
      <c r="X245" s="6">
        <f>IF(ISERROR(VLOOKUP($U$245,'TAR FIN'!$A$1:$O$92,15,0)),0,VLOOKUP($U$245,'TAR FIN'!$A$1:$O$92,15,0))</f>
        <v>488.15</v>
      </c>
      <c r="Y245" s="6"/>
      <c r="Z245" s="6">
        <f ca="1">('TUSD BE'!$AM$15+'TUSD BF_350'!$AM$15+'TUSD CVA'!$AM$15)*1</f>
        <v>911.84</v>
      </c>
      <c r="AA245" s="6">
        <f ca="1">('TE BE'!$AB$7+'TE BF_350'!$AB$7+'TE CVA'!$AB$7)*1</f>
        <v>399.84</v>
      </c>
      <c r="AB245" s="6">
        <f>$K$245*$V$245</f>
        <v>0</v>
      </c>
      <c r="AC245" s="6">
        <f>$M$245*$W$245</f>
        <v>322.1491676</v>
      </c>
      <c r="AD245" s="6">
        <f>$O$245*$X$245</f>
        <v>199.15543700000001</v>
      </c>
      <c r="AE245" s="6">
        <f>$K$245*$Y$245</f>
        <v>0</v>
      </c>
      <c r="AF245" s="6">
        <f ca="1">$M$245*$Z$245</f>
        <v>372.01248320000002</v>
      </c>
      <c r="AG245" s="6">
        <f ca="1">$O$245*$AA$245</f>
        <v>163.12672319999999</v>
      </c>
    </row>
    <row r="246" spans="1:33" ht="11.25" customHeight="1" x14ac:dyDescent="0.3">
      <c r="A246" s="4" t="s">
        <v>21</v>
      </c>
      <c r="B246" s="4" t="s">
        <v>34</v>
      </c>
      <c r="C246" s="4" t="s">
        <v>35</v>
      </c>
      <c r="D246" s="4" t="s">
        <v>33</v>
      </c>
      <c r="E246" s="4" t="s">
        <v>25</v>
      </c>
      <c r="F246" s="4" t="s">
        <v>25</v>
      </c>
      <c r="G246" s="4" t="s">
        <v>25</v>
      </c>
      <c r="H246" s="4" t="s">
        <v>36</v>
      </c>
      <c r="I246" s="5">
        <v>44652</v>
      </c>
      <c r="J246" s="6">
        <v>0</v>
      </c>
      <c r="K246" s="6">
        <v>0</v>
      </c>
      <c r="L246" s="6">
        <v>11.105</v>
      </c>
      <c r="M246" s="6">
        <v>11.105</v>
      </c>
      <c r="N246" s="6">
        <v>11.105</v>
      </c>
      <c r="O246" s="6">
        <v>11.105</v>
      </c>
      <c r="P246" s="6">
        <v>0</v>
      </c>
      <c r="Q246" s="4" t="s">
        <v>26</v>
      </c>
      <c r="R246" s="4">
        <v>0</v>
      </c>
      <c r="S246" s="6">
        <v>0</v>
      </c>
      <c r="T246" s="6">
        <v>21</v>
      </c>
      <c r="U246" s="6">
        <v>83</v>
      </c>
      <c r="V246" s="6">
        <f>IF(ISERROR(VLOOKUP($S$246,'TAR FIN'!$A$1:$O$92,15,0)),0,VLOOKUP($S$246,'TAR FIN'!$A$1:$O$92,15,0))</f>
        <v>0</v>
      </c>
      <c r="W246" s="6">
        <f>IF(ISERROR(VLOOKUP($T$246,'TAR FIN'!$A$1:$O$92,15,0)),0,VLOOKUP($T$246,'TAR FIN'!$A$1:$O$92,15,0))</f>
        <v>789.62</v>
      </c>
      <c r="X246" s="6">
        <f>IF(ISERROR(VLOOKUP($U$246,'TAR FIN'!$A$1:$O$92,15,0)),0,VLOOKUP($U$246,'TAR FIN'!$A$1:$O$92,15,0))</f>
        <v>488.15</v>
      </c>
      <c r="Y246" s="6"/>
      <c r="Z246" s="6">
        <f ca="1">('TUSD BE'!$AM$15+'TUSD BF_350'!$AM$15+'TUSD CVA'!$AM$15)*1</f>
        <v>911.84</v>
      </c>
      <c r="AA246" s="6">
        <f ca="1">('TE BE'!$AB$7+'TE BF_350'!$AB$7+'TE CVA'!$AB$7)*1</f>
        <v>399.84</v>
      </c>
      <c r="AB246" s="6">
        <f>$K$246*$V$246</f>
        <v>0</v>
      </c>
      <c r="AC246" s="6">
        <f>$M$246*$W$246</f>
        <v>8768.7301000000007</v>
      </c>
      <c r="AD246" s="6">
        <f>$O$246*$X$246</f>
        <v>5420.9057499999999</v>
      </c>
      <c r="AE246" s="6">
        <f>$K$246*$Y$246</f>
        <v>0</v>
      </c>
      <c r="AF246" s="6">
        <f ca="1">$M$246*$Z$246</f>
        <v>10125.983200000001</v>
      </c>
      <c r="AG246" s="6">
        <f ca="1">$O$246*$AA$246</f>
        <v>4440.2231999999995</v>
      </c>
    </row>
    <row r="247" spans="1:33" ht="11.25" customHeight="1" x14ac:dyDescent="0.3">
      <c r="A247" s="4" t="s">
        <v>27</v>
      </c>
      <c r="B247" s="4" t="s">
        <v>34</v>
      </c>
      <c r="C247" s="4" t="s">
        <v>35</v>
      </c>
      <c r="D247" s="4" t="s">
        <v>33</v>
      </c>
      <c r="E247" s="4" t="s">
        <v>25</v>
      </c>
      <c r="F247" s="4" t="s">
        <v>25</v>
      </c>
      <c r="G247" s="4" t="s">
        <v>25</v>
      </c>
      <c r="H247" s="4" t="s">
        <v>36</v>
      </c>
      <c r="I247" s="5">
        <v>44652</v>
      </c>
      <c r="J247" s="6">
        <v>0</v>
      </c>
      <c r="K247" s="6">
        <v>0</v>
      </c>
      <c r="L247" s="6">
        <v>0.38883000000000001</v>
      </c>
      <c r="M247" s="6">
        <v>0.38883000000000001</v>
      </c>
      <c r="N247" s="6">
        <v>0.38883000000000001</v>
      </c>
      <c r="O247" s="6">
        <v>0.38883000000000001</v>
      </c>
      <c r="P247" s="6">
        <v>0</v>
      </c>
      <c r="Q247" s="4" t="s">
        <v>26</v>
      </c>
      <c r="R247" s="4">
        <v>0</v>
      </c>
      <c r="S247" s="6">
        <v>0</v>
      </c>
      <c r="T247" s="6">
        <v>21</v>
      </c>
      <c r="U247" s="6">
        <v>83</v>
      </c>
      <c r="V247" s="6">
        <f>IF(ISERROR(VLOOKUP($S$247,'TAR FIN'!$A$1:$O$92,15,0)),0,VLOOKUP($S$247,'TAR FIN'!$A$1:$O$92,15,0))</f>
        <v>0</v>
      </c>
      <c r="W247" s="6">
        <f>IF(ISERROR(VLOOKUP($T$247,'TAR FIN'!$A$1:$O$92,15,0)),0,VLOOKUP($T$247,'TAR FIN'!$A$1:$O$92,15,0))</f>
        <v>789.62</v>
      </c>
      <c r="X247" s="6">
        <f>IF(ISERROR(VLOOKUP($U$247,'TAR FIN'!$A$1:$O$92,15,0)),0,VLOOKUP($U$247,'TAR FIN'!$A$1:$O$92,15,0))</f>
        <v>488.15</v>
      </c>
      <c r="Y247" s="6"/>
      <c r="Z247" s="6">
        <f ca="1">('TUSD BE'!$AM$15+'TUSD BF_350'!$AM$15+'TUSD CVA'!$AM$15)*1</f>
        <v>911.84</v>
      </c>
      <c r="AA247" s="6">
        <f ca="1">('TE BE'!$AB$7+'TE BF_350'!$AB$7+'TE CVA'!$AB$7)*1</f>
        <v>399.84</v>
      </c>
      <c r="AB247" s="6">
        <f>$K$247*$V$247</f>
        <v>0</v>
      </c>
      <c r="AC247" s="6">
        <f>$M$247*$W$247</f>
        <v>307.02794460000001</v>
      </c>
      <c r="AD247" s="6">
        <f>$O$247*$X$247</f>
        <v>189.80736450000001</v>
      </c>
      <c r="AE247" s="6">
        <f>$K$247*$Y$247</f>
        <v>0</v>
      </c>
      <c r="AF247" s="6">
        <f ca="1">$M$247*$Z$247</f>
        <v>354.55074720000005</v>
      </c>
      <c r="AG247" s="6">
        <f ca="1">$O$247*$AA$247</f>
        <v>155.46978719999998</v>
      </c>
    </row>
    <row r="248" spans="1:33" ht="11.25" customHeight="1" x14ac:dyDescent="0.3">
      <c r="A248" s="4" t="s">
        <v>21</v>
      </c>
      <c r="B248" s="4" t="s">
        <v>34</v>
      </c>
      <c r="C248" s="4" t="s">
        <v>35</v>
      </c>
      <c r="D248" s="4" t="s">
        <v>33</v>
      </c>
      <c r="E248" s="4" t="s">
        <v>25</v>
      </c>
      <c r="F248" s="4" t="s">
        <v>25</v>
      </c>
      <c r="G248" s="4" t="s">
        <v>25</v>
      </c>
      <c r="H248" s="4" t="s">
        <v>36</v>
      </c>
      <c r="I248" s="5">
        <v>44682</v>
      </c>
      <c r="J248" s="6">
        <v>0</v>
      </c>
      <c r="K248" s="6">
        <v>0</v>
      </c>
      <c r="L248" s="6">
        <v>15.603999999999999</v>
      </c>
      <c r="M248" s="6">
        <v>15.603999999999999</v>
      </c>
      <c r="N248" s="6">
        <v>15.603999999999999</v>
      </c>
      <c r="O248" s="6">
        <v>15.603999999999999</v>
      </c>
      <c r="P248" s="6">
        <v>0</v>
      </c>
      <c r="Q248" s="4" t="s">
        <v>26</v>
      </c>
      <c r="R248" s="4">
        <v>0</v>
      </c>
      <c r="S248" s="6">
        <v>0</v>
      </c>
      <c r="T248" s="6">
        <v>21</v>
      </c>
      <c r="U248" s="6">
        <v>83</v>
      </c>
      <c r="V248" s="6">
        <f>IF(ISERROR(VLOOKUP($S$248,'TAR FIN'!$A$1:$O$92,15,0)),0,VLOOKUP($S$248,'TAR FIN'!$A$1:$O$92,15,0))</f>
        <v>0</v>
      </c>
      <c r="W248" s="6">
        <f>IF(ISERROR(VLOOKUP($T$248,'TAR FIN'!$A$1:$O$92,15,0)),0,VLOOKUP($T$248,'TAR FIN'!$A$1:$O$92,15,0))</f>
        <v>789.62</v>
      </c>
      <c r="X248" s="6">
        <f>IF(ISERROR(VLOOKUP($U$248,'TAR FIN'!$A$1:$O$92,15,0)),0,VLOOKUP($U$248,'TAR FIN'!$A$1:$O$92,15,0))</f>
        <v>488.15</v>
      </c>
      <c r="Y248" s="6"/>
      <c r="Z248" s="6">
        <f ca="1">('TUSD BE'!$AM$15+'TUSD BF_350'!$AM$15+'TUSD CVA'!$AM$15)*1</f>
        <v>911.84</v>
      </c>
      <c r="AA248" s="6">
        <f ca="1">('TE BE'!$AB$7+'TE BF_350'!$AB$7+'TE CVA'!$AB$7)*1</f>
        <v>399.84</v>
      </c>
      <c r="AB248" s="6">
        <f>$K$248*$V$248</f>
        <v>0</v>
      </c>
      <c r="AC248" s="6">
        <f>$M$248*$W$248</f>
        <v>12321.23048</v>
      </c>
      <c r="AD248" s="6">
        <f>$O$248*$X$248</f>
        <v>7617.092599999999</v>
      </c>
      <c r="AE248" s="6">
        <f>$K$248*$Y$248</f>
        <v>0</v>
      </c>
      <c r="AF248" s="6">
        <f ca="1">$M$248*$Z$248</f>
        <v>14228.351360000001</v>
      </c>
      <c r="AG248" s="6">
        <f ca="1">$O$248*$AA$248</f>
        <v>6239.1033599999992</v>
      </c>
    </row>
    <row r="249" spans="1:33" ht="11.25" customHeight="1" x14ac:dyDescent="0.3">
      <c r="A249" s="4" t="s">
        <v>27</v>
      </c>
      <c r="B249" s="4" t="s">
        <v>34</v>
      </c>
      <c r="C249" s="4" t="s">
        <v>35</v>
      </c>
      <c r="D249" s="4" t="s">
        <v>33</v>
      </c>
      <c r="E249" s="4" t="s">
        <v>25</v>
      </c>
      <c r="F249" s="4" t="s">
        <v>25</v>
      </c>
      <c r="G249" s="4" t="s">
        <v>25</v>
      </c>
      <c r="H249" s="4" t="s">
        <v>36</v>
      </c>
      <c r="I249" s="5">
        <v>44682</v>
      </c>
      <c r="J249" s="6">
        <v>0</v>
      </c>
      <c r="K249" s="6">
        <v>0</v>
      </c>
      <c r="L249" s="6">
        <v>0.49231999999999998</v>
      </c>
      <c r="M249" s="6">
        <v>0.49231999999999998</v>
      </c>
      <c r="N249" s="6">
        <v>0.49231999999999998</v>
      </c>
      <c r="O249" s="6">
        <v>0.49231999999999998</v>
      </c>
      <c r="P249" s="6">
        <v>0</v>
      </c>
      <c r="Q249" s="4" t="s">
        <v>26</v>
      </c>
      <c r="R249" s="4">
        <v>0</v>
      </c>
      <c r="S249" s="6">
        <v>0</v>
      </c>
      <c r="T249" s="6">
        <v>21</v>
      </c>
      <c r="U249" s="6">
        <v>83</v>
      </c>
      <c r="V249" s="6">
        <f>IF(ISERROR(VLOOKUP($S$249,'TAR FIN'!$A$1:$O$92,15,0)),0,VLOOKUP($S$249,'TAR FIN'!$A$1:$O$92,15,0))</f>
        <v>0</v>
      </c>
      <c r="W249" s="6">
        <f>IF(ISERROR(VLOOKUP($T$249,'TAR FIN'!$A$1:$O$92,15,0)),0,VLOOKUP($T$249,'TAR FIN'!$A$1:$O$92,15,0))</f>
        <v>789.62</v>
      </c>
      <c r="X249" s="6">
        <f>IF(ISERROR(VLOOKUP($U$249,'TAR FIN'!$A$1:$O$92,15,0)),0,VLOOKUP($U$249,'TAR FIN'!$A$1:$O$92,15,0))</f>
        <v>488.15</v>
      </c>
      <c r="Y249" s="6"/>
      <c r="Z249" s="6">
        <f ca="1">('TUSD BE'!$AM$15+'TUSD BF_350'!$AM$15+'TUSD CVA'!$AM$15)*1</f>
        <v>911.84</v>
      </c>
      <c r="AA249" s="6">
        <f ca="1">('TE BE'!$AB$7+'TE BF_350'!$AB$7+'TE CVA'!$AB$7)*1</f>
        <v>399.84</v>
      </c>
      <c r="AB249" s="6">
        <f>$K$249*$V$249</f>
        <v>0</v>
      </c>
      <c r="AC249" s="6">
        <f>$M$249*$W$249</f>
        <v>388.74571839999999</v>
      </c>
      <c r="AD249" s="6">
        <f>$O$249*$X$249</f>
        <v>240.32600799999997</v>
      </c>
      <c r="AE249" s="6">
        <f>$K$249*$Y$249</f>
        <v>0</v>
      </c>
      <c r="AF249" s="6">
        <f ca="1">$M$249*$Z$249</f>
        <v>448.91706879999998</v>
      </c>
      <c r="AG249" s="6">
        <f ca="1">$O$249*$AA$249</f>
        <v>196.84922879999999</v>
      </c>
    </row>
    <row r="250" spans="1:33" ht="11.25" customHeight="1" x14ac:dyDescent="0.3">
      <c r="A250" s="4" t="s">
        <v>21</v>
      </c>
      <c r="B250" s="4" t="s">
        <v>34</v>
      </c>
      <c r="C250" s="4" t="s">
        <v>35</v>
      </c>
      <c r="D250" s="4" t="s">
        <v>33</v>
      </c>
      <c r="E250" s="4" t="s">
        <v>25</v>
      </c>
      <c r="F250" s="4" t="s">
        <v>25</v>
      </c>
      <c r="G250" s="4" t="s">
        <v>25</v>
      </c>
      <c r="H250" s="4" t="s">
        <v>36</v>
      </c>
      <c r="I250" s="5">
        <v>44713</v>
      </c>
      <c r="J250" s="6">
        <v>0</v>
      </c>
      <c r="K250" s="6">
        <v>0</v>
      </c>
      <c r="L250" s="6">
        <v>14.263</v>
      </c>
      <c r="M250" s="6">
        <v>14.263</v>
      </c>
      <c r="N250" s="6">
        <v>14.263</v>
      </c>
      <c r="O250" s="6">
        <v>14.263</v>
      </c>
      <c r="P250" s="6">
        <v>0</v>
      </c>
      <c r="Q250" s="4" t="s">
        <v>26</v>
      </c>
      <c r="R250" s="4">
        <v>0</v>
      </c>
      <c r="S250" s="6">
        <v>0</v>
      </c>
      <c r="T250" s="6">
        <v>21</v>
      </c>
      <c r="U250" s="6">
        <v>83</v>
      </c>
      <c r="V250" s="6">
        <f>IF(ISERROR(VLOOKUP($S$250,'TAR FIN'!$A$1:$O$92,15,0)),0,VLOOKUP($S$250,'TAR FIN'!$A$1:$O$92,15,0))</f>
        <v>0</v>
      </c>
      <c r="W250" s="6">
        <f>IF(ISERROR(VLOOKUP($T$250,'TAR FIN'!$A$1:$O$92,15,0)),0,VLOOKUP($T$250,'TAR FIN'!$A$1:$O$92,15,0))</f>
        <v>789.62</v>
      </c>
      <c r="X250" s="6">
        <f>IF(ISERROR(VLOOKUP($U$250,'TAR FIN'!$A$1:$O$92,15,0)),0,VLOOKUP($U$250,'TAR FIN'!$A$1:$O$92,15,0))</f>
        <v>488.15</v>
      </c>
      <c r="Y250" s="6"/>
      <c r="Z250" s="6">
        <f ca="1">('TUSD BE'!$AM$15+'TUSD BF_350'!$AM$15+'TUSD CVA'!$AM$15)*1</f>
        <v>911.84</v>
      </c>
      <c r="AA250" s="6">
        <f ca="1">('TE BE'!$AB$7+'TE BF_350'!$AB$7+'TE CVA'!$AB$7)*1</f>
        <v>399.84</v>
      </c>
      <c r="AB250" s="6">
        <f>$K$250*$V$250</f>
        <v>0</v>
      </c>
      <c r="AC250" s="6">
        <f>$M$250*$W$250</f>
        <v>11262.350060000001</v>
      </c>
      <c r="AD250" s="6">
        <f>$O$250*$X$250</f>
        <v>6962.4834499999997</v>
      </c>
      <c r="AE250" s="6">
        <f>$K$250*$Y$250</f>
        <v>0</v>
      </c>
      <c r="AF250" s="6">
        <f ca="1">$M$250*$Z$250</f>
        <v>13005.573920000001</v>
      </c>
      <c r="AG250" s="6">
        <f ca="1">$O$250*$AA$250</f>
        <v>5702.9179199999999</v>
      </c>
    </row>
    <row r="251" spans="1:33" ht="11.25" customHeight="1" x14ac:dyDescent="0.3">
      <c r="A251" s="4" t="s">
        <v>27</v>
      </c>
      <c r="B251" s="4" t="s">
        <v>34</v>
      </c>
      <c r="C251" s="4" t="s">
        <v>35</v>
      </c>
      <c r="D251" s="4" t="s">
        <v>33</v>
      </c>
      <c r="E251" s="4" t="s">
        <v>25</v>
      </c>
      <c r="F251" s="4" t="s">
        <v>25</v>
      </c>
      <c r="G251" s="4" t="s">
        <v>25</v>
      </c>
      <c r="H251" s="4" t="s">
        <v>36</v>
      </c>
      <c r="I251" s="5">
        <v>44713</v>
      </c>
      <c r="J251" s="6">
        <v>0</v>
      </c>
      <c r="K251" s="6">
        <v>0</v>
      </c>
      <c r="L251" s="6">
        <v>0.80052000000000001</v>
      </c>
      <c r="M251" s="6">
        <v>0.80052000000000001</v>
      </c>
      <c r="N251" s="6">
        <v>0.80052000000000001</v>
      </c>
      <c r="O251" s="6">
        <v>0.80052000000000001</v>
      </c>
      <c r="P251" s="6">
        <v>0</v>
      </c>
      <c r="Q251" s="4" t="s">
        <v>26</v>
      </c>
      <c r="R251" s="4">
        <v>0</v>
      </c>
      <c r="S251" s="6">
        <v>0</v>
      </c>
      <c r="T251" s="6">
        <v>21</v>
      </c>
      <c r="U251" s="6">
        <v>83</v>
      </c>
      <c r="V251" s="6">
        <f>IF(ISERROR(VLOOKUP($S$251,'TAR FIN'!$A$1:$O$92,15,0)),0,VLOOKUP($S$251,'TAR FIN'!$A$1:$O$92,15,0))</f>
        <v>0</v>
      </c>
      <c r="W251" s="6">
        <f>IF(ISERROR(VLOOKUP($T$251,'TAR FIN'!$A$1:$O$92,15,0)),0,VLOOKUP($T$251,'TAR FIN'!$A$1:$O$92,15,0))</f>
        <v>789.62</v>
      </c>
      <c r="X251" s="6">
        <f>IF(ISERROR(VLOOKUP($U$251,'TAR FIN'!$A$1:$O$92,15,0)),0,VLOOKUP($U$251,'TAR FIN'!$A$1:$O$92,15,0))</f>
        <v>488.15</v>
      </c>
      <c r="Y251" s="6"/>
      <c r="Z251" s="6">
        <f ca="1">('TUSD BE'!$AM$15+'TUSD BF_350'!$AM$15+'TUSD CVA'!$AM$15)*1</f>
        <v>911.84</v>
      </c>
      <c r="AA251" s="6">
        <f ca="1">('TE BE'!$AB$7+'TE BF_350'!$AB$7+'TE CVA'!$AB$7)*1</f>
        <v>399.84</v>
      </c>
      <c r="AB251" s="6">
        <f>$K$251*$V$251</f>
        <v>0</v>
      </c>
      <c r="AC251" s="6">
        <f>$M$251*$W$251</f>
        <v>632.10660240000004</v>
      </c>
      <c r="AD251" s="6">
        <f>$O$251*$X$251</f>
        <v>390.77383800000001</v>
      </c>
      <c r="AE251" s="6">
        <f>$K$251*$Y$251</f>
        <v>0</v>
      </c>
      <c r="AF251" s="6">
        <f ca="1">$M$251*$Z$251</f>
        <v>729.94615680000004</v>
      </c>
      <c r="AG251" s="6">
        <f ca="1">$O$251*$AA$251</f>
        <v>320.07991679999998</v>
      </c>
    </row>
    <row r="252" spans="1:33" ht="11.25" customHeight="1" x14ac:dyDescent="0.3">
      <c r="A252" s="4" t="s">
        <v>21</v>
      </c>
      <c r="B252" s="4" t="s">
        <v>34</v>
      </c>
      <c r="C252" s="4" t="s">
        <v>35</v>
      </c>
      <c r="D252" s="4" t="s">
        <v>33</v>
      </c>
      <c r="E252" s="4" t="s">
        <v>25</v>
      </c>
      <c r="F252" s="4" t="s">
        <v>25</v>
      </c>
      <c r="G252" s="4" t="s">
        <v>25</v>
      </c>
      <c r="H252" s="4" t="s">
        <v>36</v>
      </c>
      <c r="I252" s="5">
        <v>44743</v>
      </c>
      <c r="J252" s="6">
        <v>0</v>
      </c>
      <c r="K252" s="6">
        <v>0</v>
      </c>
      <c r="L252" s="6">
        <v>13.87434</v>
      </c>
      <c r="M252" s="6">
        <v>13.87434</v>
      </c>
      <c r="N252" s="6">
        <v>13.87434</v>
      </c>
      <c r="O252" s="6">
        <v>13.87434</v>
      </c>
      <c r="P252" s="6">
        <v>0</v>
      </c>
      <c r="Q252" s="4" t="s">
        <v>26</v>
      </c>
      <c r="R252" s="4">
        <v>0</v>
      </c>
      <c r="S252" s="6">
        <v>0</v>
      </c>
      <c r="T252" s="6">
        <v>21</v>
      </c>
      <c r="U252" s="6">
        <v>83</v>
      </c>
      <c r="V252" s="6">
        <f>IF(ISERROR(VLOOKUP($S$252,'TAR FIN'!$A$1:$O$92,15,0)),0,VLOOKUP($S$252,'TAR FIN'!$A$1:$O$92,15,0))</f>
        <v>0</v>
      </c>
      <c r="W252" s="6">
        <f>IF(ISERROR(VLOOKUP($T$252,'TAR FIN'!$A$1:$O$92,15,0)),0,VLOOKUP($T$252,'TAR FIN'!$A$1:$O$92,15,0))</f>
        <v>789.62</v>
      </c>
      <c r="X252" s="6">
        <f>IF(ISERROR(VLOOKUP($U$252,'TAR FIN'!$A$1:$O$92,15,0)),0,VLOOKUP($U$252,'TAR FIN'!$A$1:$O$92,15,0))</f>
        <v>488.15</v>
      </c>
      <c r="Y252" s="6"/>
      <c r="Z252" s="6">
        <f ca="1">('TUSD BE'!$AM$15+'TUSD BF_350'!$AM$15+'TUSD CVA'!$AM$15)*1</f>
        <v>911.84</v>
      </c>
      <c r="AA252" s="6">
        <f ca="1">('TE BE'!$AB$7+'TE BF_350'!$AB$7+'TE CVA'!$AB$7)*1</f>
        <v>399.84</v>
      </c>
      <c r="AB252" s="6">
        <f>$K$252*$V$252</f>
        <v>0</v>
      </c>
      <c r="AC252" s="6">
        <f>$M$252*$W$252</f>
        <v>10955.456350800001</v>
      </c>
      <c r="AD252" s="6">
        <f>$O$252*$X$252</f>
        <v>6772.7590709999995</v>
      </c>
      <c r="AE252" s="6">
        <f>$K$252*$Y$252</f>
        <v>0</v>
      </c>
      <c r="AF252" s="6">
        <f ca="1">$M$252*$Z$252</f>
        <v>12651.1781856</v>
      </c>
      <c r="AG252" s="6">
        <f ca="1">$O$252*$AA$252</f>
        <v>5547.5161055999997</v>
      </c>
    </row>
    <row r="253" spans="1:33" ht="11.25" customHeight="1" x14ac:dyDescent="0.3">
      <c r="A253" s="4" t="s">
        <v>27</v>
      </c>
      <c r="B253" s="4" t="s">
        <v>34</v>
      </c>
      <c r="C253" s="4" t="s">
        <v>35</v>
      </c>
      <c r="D253" s="4" t="s">
        <v>33</v>
      </c>
      <c r="E253" s="4" t="s">
        <v>25</v>
      </c>
      <c r="F253" s="4" t="s">
        <v>25</v>
      </c>
      <c r="G253" s="4" t="s">
        <v>25</v>
      </c>
      <c r="H253" s="4" t="s">
        <v>36</v>
      </c>
      <c r="I253" s="5">
        <v>44743</v>
      </c>
      <c r="J253" s="6">
        <v>0</v>
      </c>
      <c r="K253" s="6">
        <v>0</v>
      </c>
      <c r="L253" s="6">
        <v>1.2235799999999999</v>
      </c>
      <c r="M253" s="6">
        <v>1.2235799999999999</v>
      </c>
      <c r="N253" s="6">
        <v>1.2235799999999999</v>
      </c>
      <c r="O253" s="6">
        <v>1.2235799999999999</v>
      </c>
      <c r="P253" s="6">
        <v>0</v>
      </c>
      <c r="Q253" s="4" t="s">
        <v>26</v>
      </c>
      <c r="R253" s="4">
        <v>0</v>
      </c>
      <c r="S253" s="6">
        <v>0</v>
      </c>
      <c r="T253" s="6">
        <v>21</v>
      </c>
      <c r="U253" s="6">
        <v>83</v>
      </c>
      <c r="V253" s="6">
        <f>IF(ISERROR(VLOOKUP($S$253,'TAR FIN'!$A$1:$O$92,15,0)),0,VLOOKUP($S$253,'TAR FIN'!$A$1:$O$92,15,0))</f>
        <v>0</v>
      </c>
      <c r="W253" s="6">
        <f>IF(ISERROR(VLOOKUP($T$253,'TAR FIN'!$A$1:$O$92,15,0)),0,VLOOKUP($T$253,'TAR FIN'!$A$1:$O$92,15,0))</f>
        <v>789.62</v>
      </c>
      <c r="X253" s="6">
        <f>IF(ISERROR(VLOOKUP($U$253,'TAR FIN'!$A$1:$O$92,15,0)),0,VLOOKUP($U$253,'TAR FIN'!$A$1:$O$92,15,0))</f>
        <v>488.15</v>
      </c>
      <c r="Y253" s="6"/>
      <c r="Z253" s="6">
        <f ca="1">('TUSD BE'!$AM$15+'TUSD BF_350'!$AM$15+'TUSD CVA'!$AM$15)*1</f>
        <v>911.84</v>
      </c>
      <c r="AA253" s="6">
        <f ca="1">('TE BE'!$AB$7+'TE BF_350'!$AB$7+'TE CVA'!$AB$7)*1</f>
        <v>399.84</v>
      </c>
      <c r="AB253" s="6">
        <f>$K$253*$V$253</f>
        <v>0</v>
      </c>
      <c r="AC253" s="6">
        <f>$M$253*$W$253</f>
        <v>966.16323959999988</v>
      </c>
      <c r="AD253" s="6">
        <f>$O$253*$X$253</f>
        <v>597.29057699999987</v>
      </c>
      <c r="AE253" s="6">
        <f>$K$253*$Y$253</f>
        <v>0</v>
      </c>
      <c r="AF253" s="6">
        <f ca="1">$M$253*$Z$253</f>
        <v>1115.7091871999999</v>
      </c>
      <c r="AG253" s="6">
        <f ca="1">$O$253*$AA$253</f>
        <v>489.23622719999992</v>
      </c>
    </row>
    <row r="254" spans="1:33" ht="11.25" customHeight="1" x14ac:dyDescent="0.3">
      <c r="A254" s="4" t="s">
        <v>21</v>
      </c>
      <c r="B254" s="4" t="s">
        <v>34</v>
      </c>
      <c r="C254" s="4" t="s">
        <v>35</v>
      </c>
      <c r="D254" s="4" t="s">
        <v>43</v>
      </c>
      <c r="E254" s="4" t="s">
        <v>25</v>
      </c>
      <c r="F254" s="4" t="s">
        <v>25</v>
      </c>
      <c r="G254" s="4" t="s">
        <v>25</v>
      </c>
      <c r="H254" s="4" t="s">
        <v>37</v>
      </c>
      <c r="I254" s="5">
        <v>44409</v>
      </c>
      <c r="J254" s="6">
        <v>0</v>
      </c>
      <c r="K254" s="6">
        <v>0</v>
      </c>
      <c r="L254" s="6">
        <v>9.8829999999999991</v>
      </c>
      <c r="M254" s="6">
        <v>9.8829999999999991</v>
      </c>
      <c r="N254" s="6">
        <v>9.8829999999999991</v>
      </c>
      <c r="O254" s="6">
        <v>9.8829999999999991</v>
      </c>
      <c r="P254" s="6">
        <v>0</v>
      </c>
      <c r="Q254" s="4" t="s">
        <v>26</v>
      </c>
      <c r="R254" s="4">
        <v>0</v>
      </c>
      <c r="S254" s="6">
        <v>0</v>
      </c>
      <c r="T254" s="6">
        <v>22</v>
      </c>
      <c r="U254" s="6">
        <v>84</v>
      </c>
      <c r="V254" s="6">
        <f>IF(ISERROR(VLOOKUP($S$254,'TAR FIN'!$A$1:$O$92,15,0)),0,VLOOKUP($S$254,'TAR FIN'!$A$1:$O$92,15,0))</f>
        <v>0</v>
      </c>
      <c r="W254" s="6">
        <f>IF(ISERROR(VLOOKUP($T$254,'TAR FIN'!$A$1:$O$92,15,0)),0,VLOOKUP($T$254,'TAR FIN'!$A$1:$O$92,15,0))</f>
        <v>73.28</v>
      </c>
      <c r="X254" s="6">
        <f>IF(ISERROR(VLOOKUP($U$254,'TAR FIN'!$A$1:$O$92,15,0)),0,VLOOKUP($U$254,'TAR FIN'!$A$1:$O$92,15,0))</f>
        <v>286.76</v>
      </c>
      <c r="Y254" s="6"/>
      <c r="Z254" s="6">
        <f ca="1">('TUSD BE'!$AM$16+'TUSD BF_350'!$AM$16+'TUSD CVA'!$AM$16)*1</f>
        <v>126.25</v>
      </c>
      <c r="AA254" s="6">
        <f ca="1">('TE BE'!$AB$8+'TE BF_350'!$AB$8+'TE CVA'!$AB$8)*1</f>
        <v>250.03999999999996</v>
      </c>
      <c r="AB254" s="6">
        <f>$K$254*$V$254</f>
        <v>0</v>
      </c>
      <c r="AC254" s="6">
        <f>$M$254*$W$254</f>
        <v>724.22623999999996</v>
      </c>
      <c r="AD254" s="6">
        <f>$O$254*$X$254</f>
        <v>2834.0490799999998</v>
      </c>
      <c r="AE254" s="6">
        <f>$K$254*$Y$254</f>
        <v>0</v>
      </c>
      <c r="AF254" s="6">
        <f ca="1">$M$254*$Z$254</f>
        <v>1247.72875</v>
      </c>
      <c r="AG254" s="6">
        <f ca="1">$O$254*$AA$254</f>
        <v>2471.1453199999996</v>
      </c>
    </row>
    <row r="255" spans="1:33" ht="11.25" customHeight="1" x14ac:dyDescent="0.3">
      <c r="A255" s="4" t="s">
        <v>21</v>
      </c>
      <c r="B255" s="4" t="s">
        <v>34</v>
      </c>
      <c r="C255" s="4" t="s">
        <v>35</v>
      </c>
      <c r="D255" s="4" t="s">
        <v>43</v>
      </c>
      <c r="E255" s="4" t="s">
        <v>25</v>
      </c>
      <c r="F255" s="4" t="s">
        <v>25</v>
      </c>
      <c r="G255" s="4" t="s">
        <v>25</v>
      </c>
      <c r="H255" s="4" t="s">
        <v>37</v>
      </c>
      <c r="I255" s="5">
        <v>44440</v>
      </c>
      <c r="J255" s="6">
        <v>0</v>
      </c>
      <c r="K255" s="6">
        <v>0</v>
      </c>
      <c r="L255" s="6">
        <v>11.0678</v>
      </c>
      <c r="M255" s="6">
        <v>11.0678</v>
      </c>
      <c r="N255" s="6">
        <v>11.0678</v>
      </c>
      <c r="O255" s="6">
        <v>11.0678</v>
      </c>
      <c r="P255" s="6">
        <v>0</v>
      </c>
      <c r="Q255" s="4" t="s">
        <v>26</v>
      </c>
      <c r="R255" s="4">
        <v>0</v>
      </c>
      <c r="S255" s="6">
        <v>0</v>
      </c>
      <c r="T255" s="6">
        <v>22</v>
      </c>
      <c r="U255" s="6">
        <v>84</v>
      </c>
      <c r="V255" s="6">
        <f>IF(ISERROR(VLOOKUP($S$255,'TAR FIN'!$A$1:$O$92,15,0)),0,VLOOKUP($S$255,'TAR FIN'!$A$1:$O$92,15,0))</f>
        <v>0</v>
      </c>
      <c r="W255" s="6">
        <f>IF(ISERROR(VLOOKUP($T$255,'TAR FIN'!$A$1:$O$92,15,0)),0,VLOOKUP($T$255,'TAR FIN'!$A$1:$O$92,15,0))</f>
        <v>73.28</v>
      </c>
      <c r="X255" s="6">
        <f>IF(ISERROR(VLOOKUP($U$255,'TAR FIN'!$A$1:$O$92,15,0)),0,VLOOKUP($U$255,'TAR FIN'!$A$1:$O$92,15,0))</f>
        <v>286.76</v>
      </c>
      <c r="Y255" s="6"/>
      <c r="Z255" s="6">
        <f ca="1">('TUSD BE'!$AM$16+'TUSD BF_350'!$AM$16+'TUSD CVA'!$AM$16)*1</f>
        <v>126.25</v>
      </c>
      <c r="AA255" s="6">
        <f ca="1">('TE BE'!$AB$8+'TE BF_350'!$AB$8+'TE CVA'!$AB$8)*1</f>
        <v>250.03999999999996</v>
      </c>
      <c r="AB255" s="6">
        <f>$K$255*$V$255</f>
        <v>0</v>
      </c>
      <c r="AC255" s="6">
        <f>$M$255*$W$255</f>
        <v>811.04838400000006</v>
      </c>
      <c r="AD255" s="6">
        <f>$O$255*$X$255</f>
        <v>3173.8023279999998</v>
      </c>
      <c r="AE255" s="6">
        <f>$K$255*$Y$255</f>
        <v>0</v>
      </c>
      <c r="AF255" s="6">
        <f ca="1">$M$255*$Z$255</f>
        <v>1397.3097500000001</v>
      </c>
      <c r="AG255" s="6">
        <f ca="1">$O$255*$AA$255</f>
        <v>2767.3927119999994</v>
      </c>
    </row>
    <row r="256" spans="1:33" ht="11.25" customHeight="1" x14ac:dyDescent="0.3">
      <c r="A256" s="4" t="s">
        <v>21</v>
      </c>
      <c r="B256" s="4" t="s">
        <v>34</v>
      </c>
      <c r="C256" s="4" t="s">
        <v>35</v>
      </c>
      <c r="D256" s="4" t="s">
        <v>43</v>
      </c>
      <c r="E256" s="4" t="s">
        <v>25</v>
      </c>
      <c r="F256" s="4" t="s">
        <v>25</v>
      </c>
      <c r="G256" s="4" t="s">
        <v>25</v>
      </c>
      <c r="H256" s="4" t="s">
        <v>37</v>
      </c>
      <c r="I256" s="5">
        <v>44470</v>
      </c>
      <c r="J256" s="6">
        <v>0</v>
      </c>
      <c r="K256" s="6">
        <v>0</v>
      </c>
      <c r="L256" s="6">
        <v>11.593</v>
      </c>
      <c r="M256" s="6">
        <v>11.593</v>
      </c>
      <c r="N256" s="6">
        <v>11.593</v>
      </c>
      <c r="O256" s="6">
        <v>11.593</v>
      </c>
      <c r="P256" s="6">
        <v>0</v>
      </c>
      <c r="Q256" s="4" t="s">
        <v>26</v>
      </c>
      <c r="R256" s="4">
        <v>0</v>
      </c>
      <c r="S256" s="6">
        <v>0</v>
      </c>
      <c r="T256" s="6">
        <v>22</v>
      </c>
      <c r="U256" s="6">
        <v>84</v>
      </c>
      <c r="V256" s="6">
        <f>IF(ISERROR(VLOOKUP($S$256,'TAR FIN'!$A$1:$O$92,15,0)),0,VLOOKUP($S$256,'TAR FIN'!$A$1:$O$92,15,0))</f>
        <v>0</v>
      </c>
      <c r="W256" s="6">
        <f>IF(ISERROR(VLOOKUP($T$256,'TAR FIN'!$A$1:$O$92,15,0)),0,VLOOKUP($T$256,'TAR FIN'!$A$1:$O$92,15,0))</f>
        <v>73.28</v>
      </c>
      <c r="X256" s="6">
        <f>IF(ISERROR(VLOOKUP($U$256,'TAR FIN'!$A$1:$O$92,15,0)),0,VLOOKUP($U$256,'TAR FIN'!$A$1:$O$92,15,0))</f>
        <v>286.76</v>
      </c>
      <c r="Y256" s="6"/>
      <c r="Z256" s="6">
        <f ca="1">('TUSD BE'!$AM$16+'TUSD BF_350'!$AM$16+'TUSD CVA'!$AM$16)*1</f>
        <v>126.25</v>
      </c>
      <c r="AA256" s="6">
        <f ca="1">('TE BE'!$AB$8+'TE BF_350'!$AB$8+'TE CVA'!$AB$8)*1</f>
        <v>250.03999999999996</v>
      </c>
      <c r="AB256" s="6">
        <f>$K$256*$V$256</f>
        <v>0</v>
      </c>
      <c r="AC256" s="6">
        <f>$M$256*$W$256</f>
        <v>849.53503999999998</v>
      </c>
      <c r="AD256" s="6">
        <f>$O$256*$X$256</f>
        <v>3324.40868</v>
      </c>
      <c r="AE256" s="6">
        <f>$K$256*$Y$256</f>
        <v>0</v>
      </c>
      <c r="AF256" s="6">
        <f ca="1">$M$256*$Z$256</f>
        <v>1463.61625</v>
      </c>
      <c r="AG256" s="6">
        <f ca="1">$O$256*$AA$256</f>
        <v>2898.7137199999997</v>
      </c>
    </row>
    <row r="257" spans="1:33" ht="11.25" customHeight="1" x14ac:dyDescent="0.3">
      <c r="A257" s="4" t="s">
        <v>21</v>
      </c>
      <c r="B257" s="4" t="s">
        <v>34</v>
      </c>
      <c r="C257" s="4" t="s">
        <v>35</v>
      </c>
      <c r="D257" s="4" t="s">
        <v>43</v>
      </c>
      <c r="E257" s="4" t="s">
        <v>25</v>
      </c>
      <c r="F257" s="4" t="s">
        <v>25</v>
      </c>
      <c r="G257" s="4" t="s">
        <v>25</v>
      </c>
      <c r="H257" s="4" t="s">
        <v>37</v>
      </c>
      <c r="I257" s="5">
        <v>44501</v>
      </c>
      <c r="J257" s="6">
        <v>0</v>
      </c>
      <c r="K257" s="6">
        <v>0</v>
      </c>
      <c r="L257" s="6">
        <v>13.98794</v>
      </c>
      <c r="M257" s="6">
        <v>13.98794</v>
      </c>
      <c r="N257" s="6">
        <v>13.98794</v>
      </c>
      <c r="O257" s="6">
        <v>13.98794</v>
      </c>
      <c r="P257" s="6">
        <v>0</v>
      </c>
      <c r="Q257" s="4" t="s">
        <v>26</v>
      </c>
      <c r="R257" s="4">
        <v>0</v>
      </c>
      <c r="S257" s="6">
        <v>0</v>
      </c>
      <c r="T257" s="6">
        <v>22</v>
      </c>
      <c r="U257" s="6">
        <v>84</v>
      </c>
      <c r="V257" s="6">
        <f>IF(ISERROR(VLOOKUP($S$257,'TAR FIN'!$A$1:$O$92,15,0)),0,VLOOKUP($S$257,'TAR FIN'!$A$1:$O$92,15,0))</f>
        <v>0</v>
      </c>
      <c r="W257" s="6">
        <f>IF(ISERROR(VLOOKUP($T$257,'TAR FIN'!$A$1:$O$92,15,0)),0,VLOOKUP($T$257,'TAR FIN'!$A$1:$O$92,15,0))</f>
        <v>73.28</v>
      </c>
      <c r="X257" s="6">
        <f>IF(ISERROR(VLOOKUP($U$257,'TAR FIN'!$A$1:$O$92,15,0)),0,VLOOKUP($U$257,'TAR FIN'!$A$1:$O$92,15,0))</f>
        <v>286.76</v>
      </c>
      <c r="Y257" s="6"/>
      <c r="Z257" s="6">
        <f ca="1">('TUSD BE'!$AM$16+'TUSD BF_350'!$AM$16+'TUSD CVA'!$AM$16)*1</f>
        <v>126.25</v>
      </c>
      <c r="AA257" s="6">
        <f ca="1">('TE BE'!$AB$8+'TE BF_350'!$AB$8+'TE CVA'!$AB$8)*1</f>
        <v>250.03999999999996</v>
      </c>
      <c r="AB257" s="6">
        <f>$K$257*$V$257</f>
        <v>0</v>
      </c>
      <c r="AC257" s="6">
        <f>$M$257*$W$257</f>
        <v>1025.0362431999999</v>
      </c>
      <c r="AD257" s="6">
        <f>$O$257*$X$257</f>
        <v>4011.1816743999998</v>
      </c>
      <c r="AE257" s="6">
        <f>$K$257*$Y$257</f>
        <v>0</v>
      </c>
      <c r="AF257" s="6">
        <f ca="1">$M$257*$Z$257</f>
        <v>1765.977425</v>
      </c>
      <c r="AG257" s="6">
        <f ca="1">$O$257*$AA$257</f>
        <v>3497.5445175999994</v>
      </c>
    </row>
    <row r="258" spans="1:33" ht="11.25" customHeight="1" x14ac:dyDescent="0.3">
      <c r="A258" s="4" t="s">
        <v>21</v>
      </c>
      <c r="B258" s="4" t="s">
        <v>34</v>
      </c>
      <c r="C258" s="4" t="s">
        <v>35</v>
      </c>
      <c r="D258" s="4" t="s">
        <v>43</v>
      </c>
      <c r="E258" s="4" t="s">
        <v>25</v>
      </c>
      <c r="F258" s="4" t="s">
        <v>25</v>
      </c>
      <c r="G258" s="4" t="s">
        <v>25</v>
      </c>
      <c r="H258" s="4" t="s">
        <v>37</v>
      </c>
      <c r="I258" s="5">
        <v>44531</v>
      </c>
      <c r="J258" s="6">
        <v>0</v>
      </c>
      <c r="K258" s="6">
        <v>0</v>
      </c>
      <c r="L258" s="6">
        <v>16.49072</v>
      </c>
      <c r="M258" s="6">
        <v>16.49072</v>
      </c>
      <c r="N258" s="6">
        <v>16.49072</v>
      </c>
      <c r="O258" s="6">
        <v>16.49072</v>
      </c>
      <c r="P258" s="6">
        <v>0</v>
      </c>
      <c r="Q258" s="4" t="s">
        <v>26</v>
      </c>
      <c r="R258" s="4">
        <v>0</v>
      </c>
      <c r="S258" s="6">
        <v>0</v>
      </c>
      <c r="T258" s="6">
        <v>22</v>
      </c>
      <c r="U258" s="6">
        <v>84</v>
      </c>
      <c r="V258" s="6">
        <f>IF(ISERROR(VLOOKUP($S$258,'TAR FIN'!$A$1:$O$92,15,0)),0,VLOOKUP($S$258,'TAR FIN'!$A$1:$O$92,15,0))</f>
        <v>0</v>
      </c>
      <c r="W258" s="6">
        <f>IF(ISERROR(VLOOKUP($T$258,'TAR FIN'!$A$1:$O$92,15,0)),0,VLOOKUP($T$258,'TAR FIN'!$A$1:$O$92,15,0))</f>
        <v>73.28</v>
      </c>
      <c r="X258" s="6">
        <f>IF(ISERROR(VLOOKUP($U$258,'TAR FIN'!$A$1:$O$92,15,0)),0,VLOOKUP($U$258,'TAR FIN'!$A$1:$O$92,15,0))</f>
        <v>286.76</v>
      </c>
      <c r="Y258" s="6"/>
      <c r="Z258" s="6">
        <f ca="1">('TUSD BE'!$AM$16+'TUSD BF_350'!$AM$16+'TUSD CVA'!$AM$16)*1</f>
        <v>126.25</v>
      </c>
      <c r="AA258" s="6">
        <f ca="1">('TE BE'!$AB$8+'TE BF_350'!$AB$8+'TE CVA'!$AB$8)*1</f>
        <v>250.03999999999996</v>
      </c>
      <c r="AB258" s="6">
        <f>$K$258*$V$258</f>
        <v>0</v>
      </c>
      <c r="AC258" s="6">
        <f>$M$258*$W$258</f>
        <v>1208.4399616000001</v>
      </c>
      <c r="AD258" s="6">
        <f>$O$258*$X$258</f>
        <v>4728.8788672000001</v>
      </c>
      <c r="AE258" s="6">
        <f>$K$258*$Y$258</f>
        <v>0</v>
      </c>
      <c r="AF258" s="6">
        <f ca="1">$M$258*$Z$258</f>
        <v>2081.9533999999999</v>
      </c>
      <c r="AG258" s="6">
        <f ca="1">$O$258*$AA$258</f>
        <v>4123.3396287999994</v>
      </c>
    </row>
    <row r="259" spans="1:33" ht="11.25" customHeight="1" x14ac:dyDescent="0.3">
      <c r="A259" s="4" t="s">
        <v>21</v>
      </c>
      <c r="B259" s="4" t="s">
        <v>34</v>
      </c>
      <c r="C259" s="4" t="s">
        <v>35</v>
      </c>
      <c r="D259" s="4" t="s">
        <v>43</v>
      </c>
      <c r="E259" s="4" t="s">
        <v>25</v>
      </c>
      <c r="F259" s="4" t="s">
        <v>25</v>
      </c>
      <c r="G259" s="4" t="s">
        <v>25</v>
      </c>
      <c r="H259" s="4" t="s">
        <v>37</v>
      </c>
      <c r="I259" s="5">
        <v>44562</v>
      </c>
      <c r="J259" s="6">
        <v>0</v>
      </c>
      <c r="K259" s="6">
        <v>0</v>
      </c>
      <c r="L259" s="6">
        <v>20.244700000000002</v>
      </c>
      <c r="M259" s="6">
        <v>20.244700000000002</v>
      </c>
      <c r="N259" s="6">
        <v>20.244700000000002</v>
      </c>
      <c r="O259" s="6">
        <v>20.244700000000002</v>
      </c>
      <c r="P259" s="6">
        <v>0</v>
      </c>
      <c r="Q259" s="4" t="s">
        <v>26</v>
      </c>
      <c r="R259" s="4">
        <v>0</v>
      </c>
      <c r="S259" s="6">
        <v>0</v>
      </c>
      <c r="T259" s="6">
        <v>22</v>
      </c>
      <c r="U259" s="6">
        <v>84</v>
      </c>
      <c r="V259" s="6">
        <f>IF(ISERROR(VLOOKUP($S$259,'TAR FIN'!$A$1:$O$92,15,0)),0,VLOOKUP($S$259,'TAR FIN'!$A$1:$O$92,15,0))</f>
        <v>0</v>
      </c>
      <c r="W259" s="6">
        <f>IF(ISERROR(VLOOKUP($T$259,'TAR FIN'!$A$1:$O$92,15,0)),0,VLOOKUP($T$259,'TAR FIN'!$A$1:$O$92,15,0))</f>
        <v>73.28</v>
      </c>
      <c r="X259" s="6">
        <f>IF(ISERROR(VLOOKUP($U$259,'TAR FIN'!$A$1:$O$92,15,0)),0,VLOOKUP($U$259,'TAR FIN'!$A$1:$O$92,15,0))</f>
        <v>286.76</v>
      </c>
      <c r="Y259" s="6"/>
      <c r="Z259" s="6">
        <f ca="1">('TUSD BE'!$AM$16+'TUSD BF_350'!$AM$16+'TUSD CVA'!$AM$16)*1</f>
        <v>126.25</v>
      </c>
      <c r="AA259" s="6">
        <f ca="1">('TE BE'!$AB$8+'TE BF_350'!$AB$8+'TE CVA'!$AB$8)*1</f>
        <v>250.03999999999996</v>
      </c>
      <c r="AB259" s="6">
        <f>$K$259*$V$259</f>
        <v>0</v>
      </c>
      <c r="AC259" s="6">
        <f>$M$259*$W$259</f>
        <v>1483.5316160000002</v>
      </c>
      <c r="AD259" s="6">
        <f>$O$259*$X$259</f>
        <v>5805.3701719999999</v>
      </c>
      <c r="AE259" s="6">
        <f>$K$259*$Y$259</f>
        <v>0</v>
      </c>
      <c r="AF259" s="6">
        <f ca="1">$M$259*$Z$259</f>
        <v>2555.8933750000001</v>
      </c>
      <c r="AG259" s="6">
        <f ca="1">$O$259*$AA$259</f>
        <v>5061.9847879999998</v>
      </c>
    </row>
    <row r="260" spans="1:33" ht="11.25" customHeight="1" x14ac:dyDescent="0.3">
      <c r="A260" s="4" t="s">
        <v>21</v>
      </c>
      <c r="B260" s="4" t="s">
        <v>34</v>
      </c>
      <c r="C260" s="4" t="s">
        <v>35</v>
      </c>
      <c r="D260" s="4" t="s">
        <v>43</v>
      </c>
      <c r="E260" s="4" t="s">
        <v>25</v>
      </c>
      <c r="F260" s="4" t="s">
        <v>25</v>
      </c>
      <c r="G260" s="4" t="s">
        <v>25</v>
      </c>
      <c r="H260" s="4" t="s">
        <v>37</v>
      </c>
      <c r="I260" s="5">
        <v>44593</v>
      </c>
      <c r="J260" s="6">
        <v>0</v>
      </c>
      <c r="K260" s="6">
        <v>0</v>
      </c>
      <c r="L260" s="6">
        <v>17.725000000000001</v>
      </c>
      <c r="M260" s="6">
        <v>17.725000000000001</v>
      </c>
      <c r="N260" s="6">
        <v>17.725000000000001</v>
      </c>
      <c r="O260" s="6">
        <v>17.725000000000001</v>
      </c>
      <c r="P260" s="6">
        <v>0</v>
      </c>
      <c r="Q260" s="4" t="s">
        <v>26</v>
      </c>
      <c r="R260" s="4">
        <v>0</v>
      </c>
      <c r="S260" s="6">
        <v>0</v>
      </c>
      <c r="T260" s="6">
        <v>22</v>
      </c>
      <c r="U260" s="6">
        <v>84</v>
      </c>
      <c r="V260" s="6">
        <f>IF(ISERROR(VLOOKUP($S$260,'TAR FIN'!$A$1:$O$92,15,0)),0,VLOOKUP($S$260,'TAR FIN'!$A$1:$O$92,15,0))</f>
        <v>0</v>
      </c>
      <c r="W260" s="6">
        <f>IF(ISERROR(VLOOKUP($T$260,'TAR FIN'!$A$1:$O$92,15,0)),0,VLOOKUP($T$260,'TAR FIN'!$A$1:$O$92,15,0))</f>
        <v>73.28</v>
      </c>
      <c r="X260" s="6">
        <f>IF(ISERROR(VLOOKUP($U$260,'TAR FIN'!$A$1:$O$92,15,0)),0,VLOOKUP($U$260,'TAR FIN'!$A$1:$O$92,15,0))</f>
        <v>286.76</v>
      </c>
      <c r="Y260" s="6"/>
      <c r="Z260" s="6">
        <f ca="1">('TUSD BE'!$AM$16+'TUSD BF_350'!$AM$16+'TUSD CVA'!$AM$16)*1</f>
        <v>126.25</v>
      </c>
      <c r="AA260" s="6">
        <f ca="1">('TE BE'!$AB$8+'TE BF_350'!$AB$8+'TE CVA'!$AB$8)*1</f>
        <v>250.03999999999996</v>
      </c>
      <c r="AB260" s="6">
        <f>$K$260*$V$260</f>
        <v>0</v>
      </c>
      <c r="AC260" s="6">
        <f>$M$260*$W$260</f>
        <v>1298.8880000000001</v>
      </c>
      <c r="AD260" s="6">
        <f>$O$260*$X$260</f>
        <v>5082.8209999999999</v>
      </c>
      <c r="AE260" s="6">
        <f>$K$260*$Y$260</f>
        <v>0</v>
      </c>
      <c r="AF260" s="6">
        <f ca="1">$M$260*$Z$260</f>
        <v>2237.78125</v>
      </c>
      <c r="AG260" s="6">
        <f ca="1">$O$260*$AA$260</f>
        <v>4431.9589999999998</v>
      </c>
    </row>
    <row r="261" spans="1:33" ht="11.25" customHeight="1" x14ac:dyDescent="0.3">
      <c r="A261" s="4" t="s">
        <v>21</v>
      </c>
      <c r="B261" s="4" t="s">
        <v>34</v>
      </c>
      <c r="C261" s="4" t="s">
        <v>35</v>
      </c>
      <c r="D261" s="4" t="s">
        <v>43</v>
      </c>
      <c r="E261" s="4" t="s">
        <v>25</v>
      </c>
      <c r="F261" s="4" t="s">
        <v>25</v>
      </c>
      <c r="G261" s="4" t="s">
        <v>25</v>
      </c>
      <c r="H261" s="4" t="s">
        <v>37</v>
      </c>
      <c r="I261" s="5">
        <v>44621</v>
      </c>
      <c r="J261" s="6">
        <v>0</v>
      </c>
      <c r="K261" s="6">
        <v>0</v>
      </c>
      <c r="L261" s="6">
        <v>17.638680000000001</v>
      </c>
      <c r="M261" s="6">
        <v>17.638680000000001</v>
      </c>
      <c r="N261" s="6">
        <v>17.638680000000001</v>
      </c>
      <c r="O261" s="6">
        <v>17.638680000000001</v>
      </c>
      <c r="P261" s="6">
        <v>0</v>
      </c>
      <c r="Q261" s="4" t="s">
        <v>26</v>
      </c>
      <c r="R261" s="4">
        <v>0</v>
      </c>
      <c r="S261" s="6">
        <v>0</v>
      </c>
      <c r="T261" s="6">
        <v>22</v>
      </c>
      <c r="U261" s="6">
        <v>84</v>
      </c>
      <c r="V261" s="6">
        <f>IF(ISERROR(VLOOKUP($S$261,'TAR FIN'!$A$1:$O$92,15,0)),0,VLOOKUP($S$261,'TAR FIN'!$A$1:$O$92,15,0))</f>
        <v>0</v>
      </c>
      <c r="W261" s="6">
        <f>IF(ISERROR(VLOOKUP($T$261,'TAR FIN'!$A$1:$O$92,15,0)),0,VLOOKUP($T$261,'TAR FIN'!$A$1:$O$92,15,0))</f>
        <v>73.28</v>
      </c>
      <c r="X261" s="6">
        <f>IF(ISERROR(VLOOKUP($U$261,'TAR FIN'!$A$1:$O$92,15,0)),0,VLOOKUP($U$261,'TAR FIN'!$A$1:$O$92,15,0))</f>
        <v>286.76</v>
      </c>
      <c r="Y261" s="6"/>
      <c r="Z261" s="6">
        <f ca="1">('TUSD BE'!$AM$16+'TUSD BF_350'!$AM$16+'TUSD CVA'!$AM$16)*1</f>
        <v>126.25</v>
      </c>
      <c r="AA261" s="6">
        <f ca="1">('TE BE'!$AB$8+'TE BF_350'!$AB$8+'TE CVA'!$AB$8)*1</f>
        <v>250.03999999999996</v>
      </c>
      <c r="AB261" s="6">
        <f>$K$261*$V$261</f>
        <v>0</v>
      </c>
      <c r="AC261" s="6">
        <f>$M$261*$W$261</f>
        <v>1292.5624704000002</v>
      </c>
      <c r="AD261" s="6">
        <f>$O$261*$X$261</f>
        <v>5058.0678767999998</v>
      </c>
      <c r="AE261" s="6">
        <f>$K$261*$Y$261</f>
        <v>0</v>
      </c>
      <c r="AF261" s="6">
        <f ca="1">$M$261*$Z$261</f>
        <v>2226.8833500000001</v>
      </c>
      <c r="AG261" s="6">
        <f ca="1">$O$261*$AA$261</f>
        <v>4410.3755471999993</v>
      </c>
    </row>
    <row r="262" spans="1:33" ht="11.25" customHeight="1" x14ac:dyDescent="0.3">
      <c r="A262" s="4" t="s">
        <v>21</v>
      </c>
      <c r="B262" s="4" t="s">
        <v>34</v>
      </c>
      <c r="C262" s="4" t="s">
        <v>35</v>
      </c>
      <c r="D262" s="4" t="s">
        <v>43</v>
      </c>
      <c r="E262" s="4" t="s">
        <v>25</v>
      </c>
      <c r="F262" s="4" t="s">
        <v>25</v>
      </c>
      <c r="G262" s="4" t="s">
        <v>25</v>
      </c>
      <c r="H262" s="4" t="s">
        <v>37</v>
      </c>
      <c r="I262" s="5">
        <v>44652</v>
      </c>
      <c r="J262" s="6">
        <v>0</v>
      </c>
      <c r="K262" s="6">
        <v>0</v>
      </c>
      <c r="L262" s="6">
        <v>12.5853</v>
      </c>
      <c r="M262" s="6">
        <v>12.5853</v>
      </c>
      <c r="N262" s="6">
        <v>12.5853</v>
      </c>
      <c r="O262" s="6">
        <v>12.5853</v>
      </c>
      <c r="P262" s="6">
        <v>0</v>
      </c>
      <c r="Q262" s="4" t="s">
        <v>26</v>
      </c>
      <c r="R262" s="4">
        <v>0</v>
      </c>
      <c r="S262" s="6">
        <v>0</v>
      </c>
      <c r="T262" s="6">
        <v>22</v>
      </c>
      <c r="U262" s="6">
        <v>84</v>
      </c>
      <c r="V262" s="6">
        <f>IF(ISERROR(VLOOKUP($S$262,'TAR FIN'!$A$1:$O$92,15,0)),0,VLOOKUP($S$262,'TAR FIN'!$A$1:$O$92,15,0))</f>
        <v>0</v>
      </c>
      <c r="W262" s="6">
        <f>IF(ISERROR(VLOOKUP($T$262,'TAR FIN'!$A$1:$O$92,15,0)),0,VLOOKUP($T$262,'TAR FIN'!$A$1:$O$92,15,0))</f>
        <v>73.28</v>
      </c>
      <c r="X262" s="6">
        <f>IF(ISERROR(VLOOKUP($U$262,'TAR FIN'!$A$1:$O$92,15,0)),0,VLOOKUP($U$262,'TAR FIN'!$A$1:$O$92,15,0))</f>
        <v>286.76</v>
      </c>
      <c r="Y262" s="6"/>
      <c r="Z262" s="6">
        <f ca="1">('TUSD BE'!$AM$16+'TUSD BF_350'!$AM$16+'TUSD CVA'!$AM$16)*1</f>
        <v>126.25</v>
      </c>
      <c r="AA262" s="6">
        <f ca="1">('TE BE'!$AB$8+'TE BF_350'!$AB$8+'TE CVA'!$AB$8)*1</f>
        <v>250.03999999999996</v>
      </c>
      <c r="AB262" s="6">
        <f>$K$262*$V$262</f>
        <v>0</v>
      </c>
      <c r="AC262" s="6">
        <f>$M$262*$W$262</f>
        <v>922.25078400000007</v>
      </c>
      <c r="AD262" s="6">
        <f>$O$262*$X$262</f>
        <v>3608.9606279999998</v>
      </c>
      <c r="AE262" s="6">
        <f>$K$262*$Y$262</f>
        <v>0</v>
      </c>
      <c r="AF262" s="6">
        <f ca="1">$M$262*$Z$262</f>
        <v>1588.894125</v>
      </c>
      <c r="AG262" s="6">
        <f ca="1">$O$262*$AA$262</f>
        <v>3146.8284119999994</v>
      </c>
    </row>
    <row r="263" spans="1:33" ht="11.25" customHeight="1" x14ac:dyDescent="0.3">
      <c r="A263" s="4" t="s">
        <v>21</v>
      </c>
      <c r="B263" s="4" t="s">
        <v>34</v>
      </c>
      <c r="C263" s="4" t="s">
        <v>35</v>
      </c>
      <c r="D263" s="4" t="s">
        <v>43</v>
      </c>
      <c r="E263" s="4" t="s">
        <v>25</v>
      </c>
      <c r="F263" s="4" t="s">
        <v>25</v>
      </c>
      <c r="G263" s="4" t="s">
        <v>25</v>
      </c>
      <c r="H263" s="4" t="s">
        <v>37</v>
      </c>
      <c r="I263" s="5">
        <v>44682</v>
      </c>
      <c r="J263" s="6">
        <v>0</v>
      </c>
      <c r="K263" s="6">
        <v>0</v>
      </c>
      <c r="L263" s="6">
        <v>9.7867800000000003</v>
      </c>
      <c r="M263" s="6">
        <v>9.7867800000000003</v>
      </c>
      <c r="N263" s="6">
        <v>9.7867800000000003</v>
      </c>
      <c r="O263" s="6">
        <v>9.7867800000000003</v>
      </c>
      <c r="P263" s="6">
        <v>0</v>
      </c>
      <c r="Q263" s="4" t="s">
        <v>26</v>
      </c>
      <c r="R263" s="4">
        <v>0</v>
      </c>
      <c r="S263" s="6">
        <v>0</v>
      </c>
      <c r="T263" s="6">
        <v>22</v>
      </c>
      <c r="U263" s="6">
        <v>84</v>
      </c>
      <c r="V263" s="6">
        <f>IF(ISERROR(VLOOKUP($S$263,'TAR FIN'!$A$1:$O$92,15,0)),0,VLOOKUP($S$263,'TAR FIN'!$A$1:$O$92,15,0))</f>
        <v>0</v>
      </c>
      <c r="W263" s="6">
        <f>IF(ISERROR(VLOOKUP($T$263,'TAR FIN'!$A$1:$O$92,15,0)),0,VLOOKUP($T$263,'TAR FIN'!$A$1:$O$92,15,0))</f>
        <v>73.28</v>
      </c>
      <c r="X263" s="6">
        <f>IF(ISERROR(VLOOKUP($U$263,'TAR FIN'!$A$1:$O$92,15,0)),0,VLOOKUP($U$263,'TAR FIN'!$A$1:$O$92,15,0))</f>
        <v>286.76</v>
      </c>
      <c r="Y263" s="6"/>
      <c r="Z263" s="6">
        <f ca="1">('TUSD BE'!$AM$16+'TUSD BF_350'!$AM$16+'TUSD CVA'!$AM$16)*1</f>
        <v>126.25</v>
      </c>
      <c r="AA263" s="6">
        <f ca="1">('TE BE'!$AB$8+'TE BF_350'!$AB$8+'TE CVA'!$AB$8)*1</f>
        <v>250.03999999999996</v>
      </c>
      <c r="AB263" s="6">
        <f>$K$263*$V$263</f>
        <v>0</v>
      </c>
      <c r="AC263" s="6">
        <f>$M$263*$W$263</f>
        <v>717.17523840000001</v>
      </c>
      <c r="AD263" s="6">
        <f>$O$263*$X$263</f>
        <v>2806.4570328</v>
      </c>
      <c r="AE263" s="6">
        <f>$K$263*$Y$263</f>
        <v>0</v>
      </c>
      <c r="AF263" s="6">
        <f ca="1">$M$263*$Z$263</f>
        <v>1235.5809750000001</v>
      </c>
      <c r="AG263" s="6">
        <f ca="1">$O$263*$AA$263</f>
        <v>2447.0864711999998</v>
      </c>
    </row>
    <row r="264" spans="1:33" ht="11.25" customHeight="1" x14ac:dyDescent="0.3">
      <c r="A264" s="4" t="s">
        <v>21</v>
      </c>
      <c r="B264" s="4" t="s">
        <v>34</v>
      </c>
      <c r="C264" s="4" t="s">
        <v>35</v>
      </c>
      <c r="D264" s="4" t="s">
        <v>43</v>
      </c>
      <c r="E264" s="4" t="s">
        <v>25</v>
      </c>
      <c r="F264" s="4" t="s">
        <v>25</v>
      </c>
      <c r="G264" s="4" t="s">
        <v>25</v>
      </c>
      <c r="H264" s="4" t="s">
        <v>37</v>
      </c>
      <c r="I264" s="5">
        <v>44713</v>
      </c>
      <c r="J264" s="6">
        <v>0</v>
      </c>
      <c r="K264" s="6">
        <v>0</v>
      </c>
      <c r="L264" s="6">
        <v>8.5603899999999999</v>
      </c>
      <c r="M264" s="6">
        <v>8.5603899999999999</v>
      </c>
      <c r="N264" s="6">
        <v>8.5603899999999999</v>
      </c>
      <c r="O264" s="6">
        <v>8.5603899999999999</v>
      </c>
      <c r="P264" s="6">
        <v>0</v>
      </c>
      <c r="Q264" s="4" t="s">
        <v>26</v>
      </c>
      <c r="R264" s="4">
        <v>0</v>
      </c>
      <c r="S264" s="6">
        <v>0</v>
      </c>
      <c r="T264" s="6">
        <v>22</v>
      </c>
      <c r="U264" s="6">
        <v>84</v>
      </c>
      <c r="V264" s="6">
        <f>IF(ISERROR(VLOOKUP($S$264,'TAR FIN'!$A$1:$O$92,15,0)),0,VLOOKUP($S$264,'TAR FIN'!$A$1:$O$92,15,0))</f>
        <v>0</v>
      </c>
      <c r="W264" s="6">
        <f>IF(ISERROR(VLOOKUP($T$264,'TAR FIN'!$A$1:$O$92,15,0)),0,VLOOKUP($T$264,'TAR FIN'!$A$1:$O$92,15,0))</f>
        <v>73.28</v>
      </c>
      <c r="X264" s="6">
        <f>IF(ISERROR(VLOOKUP($U$264,'TAR FIN'!$A$1:$O$92,15,0)),0,VLOOKUP($U$264,'TAR FIN'!$A$1:$O$92,15,0))</f>
        <v>286.76</v>
      </c>
      <c r="Y264" s="6"/>
      <c r="Z264" s="6">
        <f ca="1">('TUSD BE'!$AM$16+'TUSD BF_350'!$AM$16+'TUSD CVA'!$AM$16)*1</f>
        <v>126.25</v>
      </c>
      <c r="AA264" s="6">
        <f ca="1">('TE BE'!$AB$8+'TE BF_350'!$AB$8+'TE CVA'!$AB$8)*1</f>
        <v>250.03999999999996</v>
      </c>
      <c r="AB264" s="6">
        <f>$K$264*$V$264</f>
        <v>0</v>
      </c>
      <c r="AC264" s="6">
        <f>$M$264*$W$264</f>
        <v>627.30537920000006</v>
      </c>
      <c r="AD264" s="6">
        <f>$O$264*$X$264</f>
        <v>2454.7774363999997</v>
      </c>
      <c r="AE264" s="6">
        <f>$K$264*$Y$264</f>
        <v>0</v>
      </c>
      <c r="AF264" s="6">
        <f ca="1">$M$264*$Z$264</f>
        <v>1080.7492374999999</v>
      </c>
      <c r="AG264" s="6">
        <f ca="1">$O$264*$AA$264</f>
        <v>2140.4399155999995</v>
      </c>
    </row>
    <row r="265" spans="1:33" ht="11.25" customHeight="1" x14ac:dyDescent="0.3">
      <c r="A265" s="4" t="s">
        <v>21</v>
      </c>
      <c r="B265" s="4" t="s">
        <v>34</v>
      </c>
      <c r="C265" s="4" t="s">
        <v>35</v>
      </c>
      <c r="D265" s="4" t="s">
        <v>43</v>
      </c>
      <c r="E265" s="4" t="s">
        <v>25</v>
      </c>
      <c r="F265" s="4" t="s">
        <v>25</v>
      </c>
      <c r="G265" s="4" t="s">
        <v>25</v>
      </c>
      <c r="H265" s="4" t="s">
        <v>37</v>
      </c>
      <c r="I265" s="5">
        <v>44743</v>
      </c>
      <c r="J265" s="6">
        <v>0</v>
      </c>
      <c r="K265" s="6">
        <v>0</v>
      </c>
      <c r="L265" s="6">
        <v>10.27472</v>
      </c>
      <c r="M265" s="6">
        <v>10.27472</v>
      </c>
      <c r="N265" s="6">
        <v>10.27472</v>
      </c>
      <c r="O265" s="6">
        <v>10.27472</v>
      </c>
      <c r="P265" s="6">
        <v>0</v>
      </c>
      <c r="Q265" s="4" t="s">
        <v>26</v>
      </c>
      <c r="R265" s="4">
        <v>0</v>
      </c>
      <c r="S265" s="6">
        <v>0</v>
      </c>
      <c r="T265" s="6">
        <v>22</v>
      </c>
      <c r="U265" s="6">
        <v>84</v>
      </c>
      <c r="V265" s="6">
        <f>IF(ISERROR(VLOOKUP($S$265,'TAR FIN'!$A$1:$O$92,15,0)),0,VLOOKUP($S$265,'TAR FIN'!$A$1:$O$92,15,0))</f>
        <v>0</v>
      </c>
      <c r="W265" s="6">
        <f>IF(ISERROR(VLOOKUP($T$265,'TAR FIN'!$A$1:$O$92,15,0)),0,VLOOKUP($T$265,'TAR FIN'!$A$1:$O$92,15,0))</f>
        <v>73.28</v>
      </c>
      <c r="X265" s="6">
        <f>IF(ISERROR(VLOOKUP($U$265,'TAR FIN'!$A$1:$O$92,15,0)),0,VLOOKUP($U$265,'TAR FIN'!$A$1:$O$92,15,0))</f>
        <v>286.76</v>
      </c>
      <c r="Y265" s="6"/>
      <c r="Z265" s="6">
        <f ca="1">('TUSD BE'!$AM$16+'TUSD BF_350'!$AM$16+'TUSD CVA'!$AM$16)*1</f>
        <v>126.25</v>
      </c>
      <c r="AA265" s="6">
        <f ca="1">('TE BE'!$AB$8+'TE BF_350'!$AB$8+'TE CVA'!$AB$8)*1</f>
        <v>250.03999999999996</v>
      </c>
      <c r="AB265" s="6">
        <f>$K$265*$V$265</f>
        <v>0</v>
      </c>
      <c r="AC265" s="6">
        <f>$M$265*$W$265</f>
        <v>752.93148159999998</v>
      </c>
      <c r="AD265" s="6">
        <f>$O$265*$X$265</f>
        <v>2946.3787072</v>
      </c>
      <c r="AE265" s="6">
        <f>$K$265*$Y$265</f>
        <v>0</v>
      </c>
      <c r="AF265" s="6">
        <f ca="1">$M$265*$Z$265</f>
        <v>1297.1834000000001</v>
      </c>
      <c r="AG265" s="6">
        <f ca="1">$O$265*$AA$265</f>
        <v>2569.0909887999996</v>
      </c>
    </row>
    <row r="266" spans="1:33" ht="11.25" customHeight="1" x14ac:dyDescent="0.3">
      <c r="A266" s="4" t="s">
        <v>21</v>
      </c>
      <c r="B266" s="4" t="s">
        <v>34</v>
      </c>
      <c r="C266" s="4" t="s">
        <v>35</v>
      </c>
      <c r="D266" s="4" t="s">
        <v>43</v>
      </c>
      <c r="E266" s="4" t="s">
        <v>25</v>
      </c>
      <c r="F266" s="4" t="s">
        <v>25</v>
      </c>
      <c r="G266" s="4" t="s">
        <v>25</v>
      </c>
      <c r="H266" s="4" t="s">
        <v>25</v>
      </c>
      <c r="I266" s="5">
        <v>44409</v>
      </c>
      <c r="J266" s="6">
        <v>115</v>
      </c>
      <c r="K266" s="6">
        <v>115</v>
      </c>
      <c r="L266" s="6">
        <v>0</v>
      </c>
      <c r="M266" s="6">
        <v>0</v>
      </c>
      <c r="N266" s="6">
        <v>0</v>
      </c>
      <c r="O266" s="6">
        <v>0</v>
      </c>
      <c r="P266" s="6">
        <v>2</v>
      </c>
      <c r="Q266" s="4" t="s">
        <v>26</v>
      </c>
      <c r="R266" s="4">
        <v>0</v>
      </c>
      <c r="S266" s="6">
        <v>18</v>
      </c>
      <c r="T266" s="6">
        <v>0</v>
      </c>
      <c r="U266" s="6">
        <v>0</v>
      </c>
      <c r="V266" s="6">
        <f>IF(ISERROR(VLOOKUP($S$266,'TAR FIN'!$A$1:$O$92,15,0)),0,VLOOKUP($S$266,'TAR FIN'!$A$1:$O$92,15,0))</f>
        <v>18.489999999999998</v>
      </c>
      <c r="W266" s="6">
        <f>IF(ISERROR(VLOOKUP($T$266,'TAR FIN'!$A$1:$O$92,15,0)),0,VLOOKUP($T$266,'TAR FIN'!$A$1:$O$92,15,0))</f>
        <v>0</v>
      </c>
      <c r="X266" s="6">
        <f>IF(ISERROR(VLOOKUP($U$266,'TAR FIN'!$A$1:$O$92,15,0)),0,VLOOKUP($U$266,'TAR FIN'!$A$1:$O$92,15,0))</f>
        <v>0</v>
      </c>
      <c r="Y266" s="6">
        <f ca="1">('TUSD BE'!$AM$14+'TUSD BF_350'!$AM$14+'TUSD CVA'!$AM$14)*1</f>
        <v>15.64</v>
      </c>
      <c r="Z266" s="6"/>
      <c r="AA266" s="6"/>
      <c r="AB266" s="6">
        <f>$K$266*$V$266</f>
        <v>2126.35</v>
      </c>
      <c r="AC266" s="6">
        <f>$M$266*$W$266</f>
        <v>0</v>
      </c>
      <c r="AD266" s="6">
        <f>$O$266*$X$266</f>
        <v>0</v>
      </c>
      <c r="AE266" s="6">
        <f ca="1">$K$266*$Y$266</f>
        <v>1798.6000000000001</v>
      </c>
      <c r="AF266" s="6">
        <f>$M$266*$Z$266</f>
        <v>0</v>
      </c>
      <c r="AG266" s="6">
        <f>$O$266*$AA$266</f>
        <v>0</v>
      </c>
    </row>
    <row r="267" spans="1:33" ht="11.25" customHeight="1" x14ac:dyDescent="0.3">
      <c r="A267" s="4" t="s">
        <v>21</v>
      </c>
      <c r="B267" s="4" t="s">
        <v>34</v>
      </c>
      <c r="C267" s="4" t="s">
        <v>35</v>
      </c>
      <c r="D267" s="4" t="s">
        <v>43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44440</v>
      </c>
      <c r="J267" s="6">
        <v>115</v>
      </c>
      <c r="K267" s="6">
        <v>115</v>
      </c>
      <c r="L267" s="6">
        <v>0</v>
      </c>
      <c r="M267" s="6">
        <v>0</v>
      </c>
      <c r="N267" s="6">
        <v>0</v>
      </c>
      <c r="O267" s="6">
        <v>0</v>
      </c>
      <c r="P267" s="6">
        <v>2</v>
      </c>
      <c r="Q267" s="4" t="s">
        <v>26</v>
      </c>
      <c r="R267" s="4">
        <v>0</v>
      </c>
      <c r="S267" s="6">
        <v>18</v>
      </c>
      <c r="T267" s="6">
        <v>0</v>
      </c>
      <c r="U267" s="6">
        <v>0</v>
      </c>
      <c r="V267" s="6">
        <f>IF(ISERROR(VLOOKUP($S$267,'TAR FIN'!$A$1:$O$92,15,0)),0,VLOOKUP($S$267,'TAR FIN'!$A$1:$O$92,15,0))</f>
        <v>18.489999999999998</v>
      </c>
      <c r="W267" s="6">
        <f>IF(ISERROR(VLOOKUP($T$267,'TAR FIN'!$A$1:$O$92,15,0)),0,VLOOKUP($T$267,'TAR FIN'!$A$1:$O$92,15,0))</f>
        <v>0</v>
      </c>
      <c r="X267" s="6">
        <f>IF(ISERROR(VLOOKUP($U$267,'TAR FIN'!$A$1:$O$92,15,0)),0,VLOOKUP($U$267,'TAR FIN'!$A$1:$O$92,15,0))</f>
        <v>0</v>
      </c>
      <c r="Y267" s="6">
        <f ca="1">('TUSD BE'!$AM$14+'TUSD BF_350'!$AM$14+'TUSD CVA'!$AM$14)*1</f>
        <v>15.64</v>
      </c>
      <c r="Z267" s="6"/>
      <c r="AA267" s="6"/>
      <c r="AB267" s="6">
        <f>$K$267*$V$267</f>
        <v>2126.35</v>
      </c>
      <c r="AC267" s="6">
        <f>$M$267*$W$267</f>
        <v>0</v>
      </c>
      <c r="AD267" s="6">
        <f>$O$267*$X$267</f>
        <v>0</v>
      </c>
      <c r="AE267" s="6">
        <f ca="1">$K$267*$Y$267</f>
        <v>1798.6000000000001</v>
      </c>
      <c r="AF267" s="6">
        <f>$M$267*$Z$267</f>
        <v>0</v>
      </c>
      <c r="AG267" s="6">
        <f>$O$267*$AA$267</f>
        <v>0</v>
      </c>
    </row>
    <row r="268" spans="1:33" ht="11.25" customHeight="1" x14ac:dyDescent="0.3">
      <c r="A268" s="4" t="s">
        <v>21</v>
      </c>
      <c r="B268" s="4" t="s">
        <v>34</v>
      </c>
      <c r="C268" s="4" t="s">
        <v>35</v>
      </c>
      <c r="D268" s="4" t="s">
        <v>43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44470</v>
      </c>
      <c r="J268" s="6">
        <v>115</v>
      </c>
      <c r="K268" s="6">
        <v>115</v>
      </c>
      <c r="L268" s="6">
        <v>0</v>
      </c>
      <c r="M268" s="6">
        <v>0</v>
      </c>
      <c r="N268" s="6">
        <v>0</v>
      </c>
      <c r="O268" s="6">
        <v>0</v>
      </c>
      <c r="P268" s="6">
        <v>2</v>
      </c>
      <c r="Q268" s="4" t="s">
        <v>26</v>
      </c>
      <c r="R268" s="4">
        <v>0</v>
      </c>
      <c r="S268" s="6">
        <v>18</v>
      </c>
      <c r="T268" s="6">
        <v>0</v>
      </c>
      <c r="U268" s="6">
        <v>0</v>
      </c>
      <c r="V268" s="6">
        <f>IF(ISERROR(VLOOKUP($S$268,'TAR FIN'!$A$1:$O$92,15,0)),0,VLOOKUP($S$268,'TAR FIN'!$A$1:$O$92,15,0))</f>
        <v>18.489999999999998</v>
      </c>
      <c r="W268" s="6">
        <f>IF(ISERROR(VLOOKUP($T$268,'TAR FIN'!$A$1:$O$92,15,0)),0,VLOOKUP($T$268,'TAR FIN'!$A$1:$O$92,15,0))</f>
        <v>0</v>
      </c>
      <c r="X268" s="6">
        <f>IF(ISERROR(VLOOKUP($U$268,'TAR FIN'!$A$1:$O$92,15,0)),0,VLOOKUP($U$268,'TAR FIN'!$A$1:$O$92,15,0))</f>
        <v>0</v>
      </c>
      <c r="Y268" s="6">
        <f ca="1">('TUSD BE'!$AM$14+'TUSD BF_350'!$AM$14+'TUSD CVA'!$AM$14)*1</f>
        <v>15.64</v>
      </c>
      <c r="Z268" s="6"/>
      <c r="AA268" s="6"/>
      <c r="AB268" s="6">
        <f>$K$268*$V$268</f>
        <v>2126.35</v>
      </c>
      <c r="AC268" s="6">
        <f>$M$268*$W$268</f>
        <v>0</v>
      </c>
      <c r="AD268" s="6">
        <f>$O$268*$X$268</f>
        <v>0</v>
      </c>
      <c r="AE268" s="6">
        <f ca="1">$K$268*$Y$268</f>
        <v>1798.6000000000001</v>
      </c>
      <c r="AF268" s="6">
        <f>$M$268*$Z$268</f>
        <v>0</v>
      </c>
      <c r="AG268" s="6">
        <f>$O$268*$AA$268</f>
        <v>0</v>
      </c>
    </row>
    <row r="269" spans="1:33" ht="11.25" customHeight="1" x14ac:dyDescent="0.3">
      <c r="A269" s="4" t="s">
        <v>21</v>
      </c>
      <c r="B269" s="4" t="s">
        <v>34</v>
      </c>
      <c r="C269" s="4" t="s">
        <v>35</v>
      </c>
      <c r="D269" s="4" t="s">
        <v>43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44501</v>
      </c>
      <c r="J269" s="6">
        <v>115.01</v>
      </c>
      <c r="K269" s="6">
        <v>115.01</v>
      </c>
      <c r="L269" s="6">
        <v>0</v>
      </c>
      <c r="M269" s="6">
        <v>0</v>
      </c>
      <c r="N269" s="6">
        <v>0</v>
      </c>
      <c r="O269" s="6">
        <v>0</v>
      </c>
      <c r="P269" s="6">
        <v>2</v>
      </c>
      <c r="Q269" s="4" t="s">
        <v>26</v>
      </c>
      <c r="R269" s="4">
        <v>0</v>
      </c>
      <c r="S269" s="6">
        <v>18</v>
      </c>
      <c r="T269" s="6">
        <v>0</v>
      </c>
      <c r="U269" s="6">
        <v>0</v>
      </c>
      <c r="V269" s="6">
        <f>IF(ISERROR(VLOOKUP($S$269,'TAR FIN'!$A$1:$O$92,15,0)),0,VLOOKUP($S$269,'TAR FIN'!$A$1:$O$92,15,0))</f>
        <v>18.489999999999998</v>
      </c>
      <c r="W269" s="6">
        <f>IF(ISERROR(VLOOKUP($T$269,'TAR FIN'!$A$1:$O$92,15,0)),0,VLOOKUP($T$269,'TAR FIN'!$A$1:$O$92,15,0))</f>
        <v>0</v>
      </c>
      <c r="X269" s="6">
        <f>IF(ISERROR(VLOOKUP($U$269,'TAR FIN'!$A$1:$O$92,15,0)),0,VLOOKUP($U$269,'TAR FIN'!$A$1:$O$92,15,0))</f>
        <v>0</v>
      </c>
      <c r="Y269" s="6">
        <f ca="1">('TUSD BE'!$AM$14+'TUSD BF_350'!$AM$14+'TUSD CVA'!$AM$14)*1</f>
        <v>15.64</v>
      </c>
      <c r="Z269" s="6"/>
      <c r="AA269" s="6"/>
      <c r="AB269" s="6">
        <f>$K$269*$V$269</f>
        <v>2126.5349000000001</v>
      </c>
      <c r="AC269" s="6">
        <f>$M$269*$W$269</f>
        <v>0</v>
      </c>
      <c r="AD269" s="6">
        <f>$O$269*$X$269</f>
        <v>0</v>
      </c>
      <c r="AE269" s="6">
        <f ca="1">$K$269*$Y$269</f>
        <v>1798.7564000000002</v>
      </c>
      <c r="AF269" s="6">
        <f>$M$269*$Z$269</f>
        <v>0</v>
      </c>
      <c r="AG269" s="6">
        <f>$O$269*$AA$269</f>
        <v>0</v>
      </c>
    </row>
    <row r="270" spans="1:33" ht="11.25" customHeight="1" x14ac:dyDescent="0.3">
      <c r="A270" s="4" t="s">
        <v>21</v>
      </c>
      <c r="B270" s="4" t="s">
        <v>34</v>
      </c>
      <c r="C270" s="4" t="s">
        <v>35</v>
      </c>
      <c r="D270" s="4" t="s">
        <v>43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44531</v>
      </c>
      <c r="J270" s="6">
        <v>115</v>
      </c>
      <c r="K270" s="6">
        <v>115</v>
      </c>
      <c r="L270" s="6">
        <v>0</v>
      </c>
      <c r="M270" s="6">
        <v>0</v>
      </c>
      <c r="N270" s="6">
        <v>0</v>
      </c>
      <c r="O270" s="6">
        <v>0</v>
      </c>
      <c r="P270" s="6">
        <v>2</v>
      </c>
      <c r="Q270" s="4" t="s">
        <v>26</v>
      </c>
      <c r="R270" s="4">
        <v>0</v>
      </c>
      <c r="S270" s="6">
        <v>18</v>
      </c>
      <c r="T270" s="6">
        <v>0</v>
      </c>
      <c r="U270" s="6">
        <v>0</v>
      </c>
      <c r="V270" s="6">
        <f>IF(ISERROR(VLOOKUP($S$270,'TAR FIN'!$A$1:$O$92,15,0)),0,VLOOKUP($S$270,'TAR FIN'!$A$1:$O$92,15,0))</f>
        <v>18.489999999999998</v>
      </c>
      <c r="W270" s="6">
        <f>IF(ISERROR(VLOOKUP($T$270,'TAR FIN'!$A$1:$O$92,15,0)),0,VLOOKUP($T$270,'TAR FIN'!$A$1:$O$92,15,0))</f>
        <v>0</v>
      </c>
      <c r="X270" s="6">
        <f>IF(ISERROR(VLOOKUP($U$270,'TAR FIN'!$A$1:$O$92,15,0)),0,VLOOKUP($U$270,'TAR FIN'!$A$1:$O$92,15,0))</f>
        <v>0</v>
      </c>
      <c r="Y270" s="6">
        <f ca="1">('TUSD BE'!$AM$14+'TUSD BF_350'!$AM$14+'TUSD CVA'!$AM$14)*1</f>
        <v>15.64</v>
      </c>
      <c r="Z270" s="6"/>
      <c r="AA270" s="6"/>
      <c r="AB270" s="6">
        <f>$K$270*$V$270</f>
        <v>2126.35</v>
      </c>
      <c r="AC270" s="6">
        <f>$M$270*$W$270</f>
        <v>0</v>
      </c>
      <c r="AD270" s="6">
        <f>$O$270*$X$270</f>
        <v>0</v>
      </c>
      <c r="AE270" s="6">
        <f ca="1">$K$270*$Y$270</f>
        <v>1798.6000000000001</v>
      </c>
      <c r="AF270" s="6">
        <f>$M$270*$Z$270</f>
        <v>0</v>
      </c>
      <c r="AG270" s="6">
        <f>$O$270*$AA$270</f>
        <v>0</v>
      </c>
    </row>
    <row r="271" spans="1:33" ht="11.25" customHeight="1" x14ac:dyDescent="0.3">
      <c r="A271" s="4" t="s">
        <v>21</v>
      </c>
      <c r="B271" s="4" t="s">
        <v>34</v>
      </c>
      <c r="C271" s="4" t="s">
        <v>35</v>
      </c>
      <c r="D271" s="4" t="s">
        <v>43</v>
      </c>
      <c r="E271" s="4" t="s">
        <v>25</v>
      </c>
      <c r="F271" s="4" t="s">
        <v>25</v>
      </c>
      <c r="G271" s="4" t="s">
        <v>25</v>
      </c>
      <c r="H271" s="4" t="s">
        <v>25</v>
      </c>
      <c r="I271" s="5">
        <v>44562</v>
      </c>
      <c r="J271" s="6">
        <v>115</v>
      </c>
      <c r="K271" s="6">
        <v>115</v>
      </c>
      <c r="L271" s="6">
        <v>0</v>
      </c>
      <c r="M271" s="6">
        <v>0</v>
      </c>
      <c r="N271" s="6">
        <v>0</v>
      </c>
      <c r="O271" s="6">
        <v>0</v>
      </c>
      <c r="P271" s="6">
        <v>2</v>
      </c>
      <c r="Q271" s="4" t="s">
        <v>26</v>
      </c>
      <c r="R271" s="4">
        <v>0</v>
      </c>
      <c r="S271" s="6">
        <v>18</v>
      </c>
      <c r="T271" s="6">
        <v>0</v>
      </c>
      <c r="U271" s="6">
        <v>0</v>
      </c>
      <c r="V271" s="6">
        <f>IF(ISERROR(VLOOKUP($S$271,'TAR FIN'!$A$1:$O$92,15,0)),0,VLOOKUP($S$271,'TAR FIN'!$A$1:$O$92,15,0))</f>
        <v>18.489999999999998</v>
      </c>
      <c r="W271" s="6">
        <f>IF(ISERROR(VLOOKUP($T$271,'TAR FIN'!$A$1:$O$92,15,0)),0,VLOOKUP($T$271,'TAR FIN'!$A$1:$O$92,15,0))</f>
        <v>0</v>
      </c>
      <c r="X271" s="6">
        <f>IF(ISERROR(VLOOKUP($U$271,'TAR FIN'!$A$1:$O$92,15,0)),0,VLOOKUP($U$271,'TAR FIN'!$A$1:$O$92,15,0))</f>
        <v>0</v>
      </c>
      <c r="Y271" s="6">
        <f ca="1">('TUSD BE'!$AM$14+'TUSD BF_350'!$AM$14+'TUSD CVA'!$AM$14)*1</f>
        <v>15.64</v>
      </c>
      <c r="Z271" s="6"/>
      <c r="AA271" s="6"/>
      <c r="AB271" s="6">
        <f>$K$271*$V$271</f>
        <v>2126.35</v>
      </c>
      <c r="AC271" s="6">
        <f>$M$271*$W$271</f>
        <v>0</v>
      </c>
      <c r="AD271" s="6">
        <f>$O$271*$X$271</f>
        <v>0</v>
      </c>
      <c r="AE271" s="6">
        <f ca="1">$K$271*$Y$271</f>
        <v>1798.6000000000001</v>
      </c>
      <c r="AF271" s="6">
        <f>$M$271*$Z$271</f>
        <v>0</v>
      </c>
      <c r="AG271" s="6">
        <f>$O$271*$AA$271</f>
        <v>0</v>
      </c>
    </row>
    <row r="272" spans="1:33" ht="11.25" customHeight="1" x14ac:dyDescent="0.3">
      <c r="A272" s="4" t="s">
        <v>21</v>
      </c>
      <c r="B272" s="4" t="s">
        <v>34</v>
      </c>
      <c r="C272" s="4" t="s">
        <v>35</v>
      </c>
      <c r="D272" s="4" t="s">
        <v>43</v>
      </c>
      <c r="E272" s="4" t="s">
        <v>25</v>
      </c>
      <c r="F272" s="4" t="s">
        <v>25</v>
      </c>
      <c r="G272" s="4" t="s">
        <v>25</v>
      </c>
      <c r="H272" s="4" t="s">
        <v>25</v>
      </c>
      <c r="I272" s="5">
        <v>44593</v>
      </c>
      <c r="J272" s="6">
        <v>115</v>
      </c>
      <c r="K272" s="6">
        <v>115</v>
      </c>
      <c r="L272" s="6">
        <v>0</v>
      </c>
      <c r="M272" s="6">
        <v>0</v>
      </c>
      <c r="N272" s="6">
        <v>0</v>
      </c>
      <c r="O272" s="6">
        <v>0</v>
      </c>
      <c r="P272" s="6">
        <v>2</v>
      </c>
      <c r="Q272" s="4" t="s">
        <v>26</v>
      </c>
      <c r="R272" s="4">
        <v>0</v>
      </c>
      <c r="S272" s="6">
        <v>18</v>
      </c>
      <c r="T272" s="6">
        <v>0</v>
      </c>
      <c r="U272" s="6">
        <v>0</v>
      </c>
      <c r="V272" s="6">
        <f>IF(ISERROR(VLOOKUP($S$272,'TAR FIN'!$A$1:$O$92,15,0)),0,VLOOKUP($S$272,'TAR FIN'!$A$1:$O$92,15,0))</f>
        <v>18.489999999999998</v>
      </c>
      <c r="W272" s="6">
        <f>IF(ISERROR(VLOOKUP($T$272,'TAR FIN'!$A$1:$O$92,15,0)),0,VLOOKUP($T$272,'TAR FIN'!$A$1:$O$92,15,0))</f>
        <v>0</v>
      </c>
      <c r="X272" s="6">
        <f>IF(ISERROR(VLOOKUP($U$272,'TAR FIN'!$A$1:$O$92,15,0)),0,VLOOKUP($U$272,'TAR FIN'!$A$1:$O$92,15,0))</f>
        <v>0</v>
      </c>
      <c r="Y272" s="6">
        <f ca="1">('TUSD BE'!$AM$14+'TUSD BF_350'!$AM$14+'TUSD CVA'!$AM$14)*1</f>
        <v>15.64</v>
      </c>
      <c r="Z272" s="6"/>
      <c r="AA272" s="6"/>
      <c r="AB272" s="6">
        <f>$K$272*$V$272</f>
        <v>2126.35</v>
      </c>
      <c r="AC272" s="6">
        <f>$M$272*$W$272</f>
        <v>0</v>
      </c>
      <c r="AD272" s="6">
        <f>$O$272*$X$272</f>
        <v>0</v>
      </c>
      <c r="AE272" s="6">
        <f ca="1">$K$272*$Y$272</f>
        <v>1798.6000000000001</v>
      </c>
      <c r="AF272" s="6">
        <f>$M$272*$Z$272</f>
        <v>0</v>
      </c>
      <c r="AG272" s="6">
        <f>$O$272*$AA$272</f>
        <v>0</v>
      </c>
    </row>
    <row r="273" spans="1:33" ht="11.25" customHeight="1" x14ac:dyDescent="0.3">
      <c r="A273" s="4" t="s">
        <v>21</v>
      </c>
      <c r="B273" s="4" t="s">
        <v>34</v>
      </c>
      <c r="C273" s="4" t="s">
        <v>35</v>
      </c>
      <c r="D273" s="4" t="s">
        <v>43</v>
      </c>
      <c r="E273" s="4" t="s">
        <v>25</v>
      </c>
      <c r="F273" s="4" t="s">
        <v>25</v>
      </c>
      <c r="G273" s="4" t="s">
        <v>25</v>
      </c>
      <c r="H273" s="4" t="s">
        <v>25</v>
      </c>
      <c r="I273" s="5">
        <v>44621</v>
      </c>
      <c r="J273" s="6">
        <v>115</v>
      </c>
      <c r="K273" s="6">
        <v>115</v>
      </c>
      <c r="L273" s="6">
        <v>0</v>
      </c>
      <c r="M273" s="6">
        <v>0</v>
      </c>
      <c r="N273" s="6">
        <v>0</v>
      </c>
      <c r="O273" s="6">
        <v>0</v>
      </c>
      <c r="P273" s="6">
        <v>2</v>
      </c>
      <c r="Q273" s="4" t="s">
        <v>26</v>
      </c>
      <c r="R273" s="4">
        <v>0</v>
      </c>
      <c r="S273" s="6">
        <v>18</v>
      </c>
      <c r="T273" s="6">
        <v>0</v>
      </c>
      <c r="U273" s="6">
        <v>0</v>
      </c>
      <c r="V273" s="6">
        <f>IF(ISERROR(VLOOKUP($S$273,'TAR FIN'!$A$1:$O$92,15,0)),0,VLOOKUP($S$273,'TAR FIN'!$A$1:$O$92,15,0))</f>
        <v>18.489999999999998</v>
      </c>
      <c r="W273" s="6">
        <f>IF(ISERROR(VLOOKUP($T$273,'TAR FIN'!$A$1:$O$92,15,0)),0,VLOOKUP($T$273,'TAR FIN'!$A$1:$O$92,15,0))</f>
        <v>0</v>
      </c>
      <c r="X273" s="6">
        <f>IF(ISERROR(VLOOKUP($U$273,'TAR FIN'!$A$1:$O$92,15,0)),0,VLOOKUP($U$273,'TAR FIN'!$A$1:$O$92,15,0))</f>
        <v>0</v>
      </c>
      <c r="Y273" s="6">
        <f ca="1">('TUSD BE'!$AM$14+'TUSD BF_350'!$AM$14+'TUSD CVA'!$AM$14)*1</f>
        <v>15.64</v>
      </c>
      <c r="Z273" s="6"/>
      <c r="AA273" s="6"/>
      <c r="AB273" s="6">
        <f>$K$273*$V$273</f>
        <v>2126.35</v>
      </c>
      <c r="AC273" s="6">
        <f>$M$273*$W$273</f>
        <v>0</v>
      </c>
      <c r="AD273" s="6">
        <f>$O$273*$X$273</f>
        <v>0</v>
      </c>
      <c r="AE273" s="6">
        <f ca="1">$K$273*$Y$273</f>
        <v>1798.6000000000001</v>
      </c>
      <c r="AF273" s="6">
        <f>$M$273*$Z$273</f>
        <v>0</v>
      </c>
      <c r="AG273" s="6">
        <f>$O$273*$AA$273</f>
        <v>0</v>
      </c>
    </row>
    <row r="274" spans="1:33" ht="11.25" customHeight="1" x14ac:dyDescent="0.3">
      <c r="A274" s="4" t="s">
        <v>21</v>
      </c>
      <c r="B274" s="4" t="s">
        <v>34</v>
      </c>
      <c r="C274" s="4" t="s">
        <v>35</v>
      </c>
      <c r="D274" s="4" t="s">
        <v>43</v>
      </c>
      <c r="E274" s="4" t="s">
        <v>25</v>
      </c>
      <c r="F274" s="4" t="s">
        <v>25</v>
      </c>
      <c r="G274" s="4" t="s">
        <v>25</v>
      </c>
      <c r="H274" s="4" t="s">
        <v>25</v>
      </c>
      <c r="I274" s="5">
        <v>44652</v>
      </c>
      <c r="J274" s="6">
        <v>115</v>
      </c>
      <c r="K274" s="6">
        <v>115</v>
      </c>
      <c r="L274" s="6">
        <v>0</v>
      </c>
      <c r="M274" s="6">
        <v>0</v>
      </c>
      <c r="N274" s="6">
        <v>0</v>
      </c>
      <c r="O274" s="6">
        <v>0</v>
      </c>
      <c r="P274" s="6">
        <v>2</v>
      </c>
      <c r="Q274" s="4" t="s">
        <v>26</v>
      </c>
      <c r="R274" s="4">
        <v>0</v>
      </c>
      <c r="S274" s="6">
        <v>18</v>
      </c>
      <c r="T274" s="6">
        <v>0</v>
      </c>
      <c r="U274" s="6">
        <v>0</v>
      </c>
      <c r="V274" s="6">
        <f>IF(ISERROR(VLOOKUP($S$274,'TAR FIN'!$A$1:$O$92,15,0)),0,VLOOKUP($S$274,'TAR FIN'!$A$1:$O$92,15,0))</f>
        <v>18.489999999999998</v>
      </c>
      <c r="W274" s="6">
        <f>IF(ISERROR(VLOOKUP($T$274,'TAR FIN'!$A$1:$O$92,15,0)),0,VLOOKUP($T$274,'TAR FIN'!$A$1:$O$92,15,0))</f>
        <v>0</v>
      </c>
      <c r="X274" s="6">
        <f>IF(ISERROR(VLOOKUP($U$274,'TAR FIN'!$A$1:$O$92,15,0)),0,VLOOKUP($U$274,'TAR FIN'!$A$1:$O$92,15,0))</f>
        <v>0</v>
      </c>
      <c r="Y274" s="6">
        <f ca="1">('TUSD BE'!$AM$14+'TUSD BF_350'!$AM$14+'TUSD CVA'!$AM$14)*1</f>
        <v>15.64</v>
      </c>
      <c r="Z274" s="6"/>
      <c r="AA274" s="6"/>
      <c r="AB274" s="6">
        <f>$K$274*$V$274</f>
        <v>2126.35</v>
      </c>
      <c r="AC274" s="6">
        <f>$M$274*$W$274</f>
        <v>0</v>
      </c>
      <c r="AD274" s="6">
        <f>$O$274*$X$274</f>
        <v>0</v>
      </c>
      <c r="AE274" s="6">
        <f ca="1">$K$274*$Y$274</f>
        <v>1798.6000000000001</v>
      </c>
      <c r="AF274" s="6">
        <f>$M$274*$Z$274</f>
        <v>0</v>
      </c>
      <c r="AG274" s="6">
        <f>$O$274*$AA$274</f>
        <v>0</v>
      </c>
    </row>
    <row r="275" spans="1:33" ht="11.25" customHeight="1" x14ac:dyDescent="0.3">
      <c r="A275" s="4" t="s">
        <v>21</v>
      </c>
      <c r="B275" s="4" t="s">
        <v>34</v>
      </c>
      <c r="C275" s="4" t="s">
        <v>35</v>
      </c>
      <c r="D275" s="4" t="s">
        <v>43</v>
      </c>
      <c r="E275" s="4" t="s">
        <v>25</v>
      </c>
      <c r="F275" s="4" t="s">
        <v>25</v>
      </c>
      <c r="G275" s="4" t="s">
        <v>25</v>
      </c>
      <c r="H275" s="4" t="s">
        <v>25</v>
      </c>
      <c r="I275" s="5">
        <v>44682</v>
      </c>
      <c r="J275" s="6">
        <v>115</v>
      </c>
      <c r="K275" s="6">
        <v>115</v>
      </c>
      <c r="L275" s="6">
        <v>0</v>
      </c>
      <c r="M275" s="6">
        <v>0</v>
      </c>
      <c r="N275" s="6">
        <v>0</v>
      </c>
      <c r="O275" s="6">
        <v>0</v>
      </c>
      <c r="P275" s="6">
        <v>2</v>
      </c>
      <c r="Q275" s="4" t="s">
        <v>26</v>
      </c>
      <c r="R275" s="4">
        <v>0</v>
      </c>
      <c r="S275" s="6">
        <v>18</v>
      </c>
      <c r="T275" s="6">
        <v>0</v>
      </c>
      <c r="U275" s="6">
        <v>0</v>
      </c>
      <c r="V275" s="6">
        <f>IF(ISERROR(VLOOKUP($S$275,'TAR FIN'!$A$1:$O$92,15,0)),0,VLOOKUP($S$275,'TAR FIN'!$A$1:$O$92,15,0))</f>
        <v>18.489999999999998</v>
      </c>
      <c r="W275" s="6">
        <f>IF(ISERROR(VLOOKUP($T$275,'TAR FIN'!$A$1:$O$92,15,0)),0,VLOOKUP($T$275,'TAR FIN'!$A$1:$O$92,15,0))</f>
        <v>0</v>
      </c>
      <c r="X275" s="6">
        <f>IF(ISERROR(VLOOKUP($U$275,'TAR FIN'!$A$1:$O$92,15,0)),0,VLOOKUP($U$275,'TAR FIN'!$A$1:$O$92,15,0))</f>
        <v>0</v>
      </c>
      <c r="Y275" s="6">
        <f ca="1">('TUSD BE'!$AM$14+'TUSD BF_350'!$AM$14+'TUSD CVA'!$AM$14)*1</f>
        <v>15.64</v>
      </c>
      <c r="Z275" s="6"/>
      <c r="AA275" s="6"/>
      <c r="AB275" s="6">
        <f>$K$275*$V$275</f>
        <v>2126.35</v>
      </c>
      <c r="AC275" s="6">
        <f>$M$275*$W$275</f>
        <v>0</v>
      </c>
      <c r="AD275" s="6">
        <f>$O$275*$X$275</f>
        <v>0</v>
      </c>
      <c r="AE275" s="6">
        <f ca="1">$K$275*$Y$275</f>
        <v>1798.6000000000001</v>
      </c>
      <c r="AF275" s="6">
        <f>$M$275*$Z$275</f>
        <v>0</v>
      </c>
      <c r="AG275" s="6">
        <f>$O$275*$AA$275</f>
        <v>0</v>
      </c>
    </row>
    <row r="276" spans="1:33" ht="11.25" customHeight="1" x14ac:dyDescent="0.3">
      <c r="A276" s="4" t="s">
        <v>21</v>
      </c>
      <c r="B276" s="4" t="s">
        <v>34</v>
      </c>
      <c r="C276" s="4" t="s">
        <v>35</v>
      </c>
      <c r="D276" s="4" t="s">
        <v>43</v>
      </c>
      <c r="E276" s="4" t="s">
        <v>25</v>
      </c>
      <c r="F276" s="4" t="s">
        <v>25</v>
      </c>
      <c r="G276" s="4" t="s">
        <v>25</v>
      </c>
      <c r="H276" s="4" t="s">
        <v>25</v>
      </c>
      <c r="I276" s="5">
        <v>44713</v>
      </c>
      <c r="J276" s="6">
        <v>115</v>
      </c>
      <c r="K276" s="6">
        <v>115</v>
      </c>
      <c r="L276" s="6">
        <v>0</v>
      </c>
      <c r="M276" s="6">
        <v>0</v>
      </c>
      <c r="N276" s="6">
        <v>0</v>
      </c>
      <c r="O276" s="6">
        <v>0</v>
      </c>
      <c r="P276" s="6">
        <v>2</v>
      </c>
      <c r="Q276" s="4" t="s">
        <v>26</v>
      </c>
      <c r="R276" s="4">
        <v>0</v>
      </c>
      <c r="S276" s="6">
        <v>18</v>
      </c>
      <c r="T276" s="6">
        <v>0</v>
      </c>
      <c r="U276" s="6">
        <v>0</v>
      </c>
      <c r="V276" s="6">
        <f>IF(ISERROR(VLOOKUP($S$276,'TAR FIN'!$A$1:$O$92,15,0)),0,VLOOKUP($S$276,'TAR FIN'!$A$1:$O$92,15,0))</f>
        <v>18.489999999999998</v>
      </c>
      <c r="W276" s="6">
        <f>IF(ISERROR(VLOOKUP($T$276,'TAR FIN'!$A$1:$O$92,15,0)),0,VLOOKUP($T$276,'TAR FIN'!$A$1:$O$92,15,0))</f>
        <v>0</v>
      </c>
      <c r="X276" s="6">
        <f>IF(ISERROR(VLOOKUP($U$276,'TAR FIN'!$A$1:$O$92,15,0)),0,VLOOKUP($U$276,'TAR FIN'!$A$1:$O$92,15,0))</f>
        <v>0</v>
      </c>
      <c r="Y276" s="6">
        <f ca="1">('TUSD BE'!$AM$14+'TUSD BF_350'!$AM$14+'TUSD CVA'!$AM$14)*1</f>
        <v>15.64</v>
      </c>
      <c r="Z276" s="6"/>
      <c r="AA276" s="6"/>
      <c r="AB276" s="6">
        <f>$K$276*$V$276</f>
        <v>2126.35</v>
      </c>
      <c r="AC276" s="6">
        <f>$M$276*$W$276</f>
        <v>0</v>
      </c>
      <c r="AD276" s="6">
        <f>$O$276*$X$276</f>
        <v>0</v>
      </c>
      <c r="AE276" s="6">
        <f ca="1">$K$276*$Y$276</f>
        <v>1798.6000000000001</v>
      </c>
      <c r="AF276" s="6">
        <f>$M$276*$Z$276</f>
        <v>0</v>
      </c>
      <c r="AG276" s="6">
        <f>$O$276*$AA$276</f>
        <v>0</v>
      </c>
    </row>
    <row r="277" spans="1:33" ht="11.25" customHeight="1" x14ac:dyDescent="0.3">
      <c r="A277" s="4" t="s">
        <v>21</v>
      </c>
      <c r="B277" s="4" t="s">
        <v>34</v>
      </c>
      <c r="C277" s="4" t="s">
        <v>35</v>
      </c>
      <c r="D277" s="4" t="s">
        <v>43</v>
      </c>
      <c r="E277" s="4" t="s">
        <v>25</v>
      </c>
      <c r="F277" s="4" t="s">
        <v>25</v>
      </c>
      <c r="G277" s="4" t="s">
        <v>25</v>
      </c>
      <c r="H277" s="4" t="s">
        <v>25</v>
      </c>
      <c r="I277" s="5">
        <v>44743</v>
      </c>
      <c r="J277" s="6">
        <v>115</v>
      </c>
      <c r="K277" s="6">
        <v>115</v>
      </c>
      <c r="L277" s="6">
        <v>0</v>
      </c>
      <c r="M277" s="6">
        <v>0</v>
      </c>
      <c r="N277" s="6">
        <v>0</v>
      </c>
      <c r="O277" s="6">
        <v>0</v>
      </c>
      <c r="P277" s="6">
        <v>2</v>
      </c>
      <c r="Q277" s="4" t="s">
        <v>26</v>
      </c>
      <c r="R277" s="4">
        <v>0</v>
      </c>
      <c r="S277" s="6">
        <v>18</v>
      </c>
      <c r="T277" s="6">
        <v>0</v>
      </c>
      <c r="U277" s="6">
        <v>0</v>
      </c>
      <c r="V277" s="6">
        <f>IF(ISERROR(VLOOKUP($S$277,'TAR FIN'!$A$1:$O$92,15,0)),0,VLOOKUP($S$277,'TAR FIN'!$A$1:$O$92,15,0))</f>
        <v>18.489999999999998</v>
      </c>
      <c r="W277" s="6">
        <f>IF(ISERROR(VLOOKUP($T$277,'TAR FIN'!$A$1:$O$92,15,0)),0,VLOOKUP($T$277,'TAR FIN'!$A$1:$O$92,15,0))</f>
        <v>0</v>
      </c>
      <c r="X277" s="6">
        <f>IF(ISERROR(VLOOKUP($U$277,'TAR FIN'!$A$1:$O$92,15,0)),0,VLOOKUP($U$277,'TAR FIN'!$A$1:$O$92,15,0))</f>
        <v>0</v>
      </c>
      <c r="Y277" s="6">
        <f ca="1">('TUSD BE'!$AM$14+'TUSD BF_350'!$AM$14+'TUSD CVA'!$AM$14)*1</f>
        <v>15.64</v>
      </c>
      <c r="Z277" s="6"/>
      <c r="AA277" s="6"/>
      <c r="AB277" s="6">
        <f>$K$277*$V$277</f>
        <v>2126.35</v>
      </c>
      <c r="AC277" s="6">
        <f>$M$277*$W$277</f>
        <v>0</v>
      </c>
      <c r="AD277" s="6">
        <f>$O$277*$X$277</f>
        <v>0</v>
      </c>
      <c r="AE277" s="6">
        <f ca="1">$K$277*$Y$277</f>
        <v>1798.6000000000001</v>
      </c>
      <c r="AF277" s="6">
        <f>$M$277*$Z$277</f>
        <v>0</v>
      </c>
      <c r="AG277" s="6">
        <f>$O$277*$AA$277</f>
        <v>0</v>
      </c>
    </row>
    <row r="278" spans="1:33" ht="11.25" customHeight="1" x14ac:dyDescent="0.3">
      <c r="A278" s="4" t="s">
        <v>21</v>
      </c>
      <c r="B278" s="4" t="s">
        <v>34</v>
      </c>
      <c r="C278" s="4" t="s">
        <v>35</v>
      </c>
      <c r="D278" s="4" t="s">
        <v>43</v>
      </c>
      <c r="E278" s="4" t="s">
        <v>25</v>
      </c>
      <c r="F278" s="4" t="s">
        <v>25</v>
      </c>
      <c r="G278" s="4" t="s">
        <v>25</v>
      </c>
      <c r="H278" s="4" t="s">
        <v>36</v>
      </c>
      <c r="I278" s="5">
        <v>44409</v>
      </c>
      <c r="J278" s="6">
        <v>0</v>
      </c>
      <c r="K278" s="6">
        <v>0</v>
      </c>
      <c r="L278" s="6">
        <v>0.81699999999999995</v>
      </c>
      <c r="M278" s="6">
        <v>0.81699999999999995</v>
      </c>
      <c r="N278" s="6">
        <v>0.81699999999999995</v>
      </c>
      <c r="O278" s="6">
        <v>0.81699999999999995</v>
      </c>
      <c r="P278" s="6">
        <v>0</v>
      </c>
      <c r="Q278" s="4" t="s">
        <v>26</v>
      </c>
      <c r="R278" s="4">
        <v>0</v>
      </c>
      <c r="S278" s="6">
        <v>0</v>
      </c>
      <c r="T278" s="6">
        <v>21</v>
      </c>
      <c r="U278" s="6">
        <v>83</v>
      </c>
      <c r="V278" s="6">
        <f>IF(ISERROR(VLOOKUP($S$278,'TAR FIN'!$A$1:$O$92,15,0)),0,VLOOKUP($S$278,'TAR FIN'!$A$1:$O$92,15,0))</f>
        <v>0</v>
      </c>
      <c r="W278" s="6">
        <f>IF(ISERROR(VLOOKUP($T$278,'TAR FIN'!$A$1:$O$92,15,0)),0,VLOOKUP($T$278,'TAR FIN'!$A$1:$O$92,15,0))</f>
        <v>789.62</v>
      </c>
      <c r="X278" s="6">
        <f>IF(ISERROR(VLOOKUP($U$278,'TAR FIN'!$A$1:$O$92,15,0)),0,VLOOKUP($U$278,'TAR FIN'!$A$1:$O$92,15,0))</f>
        <v>488.15</v>
      </c>
      <c r="Y278" s="6"/>
      <c r="Z278" s="6">
        <f ca="1">('TUSD BE'!$AM$15+'TUSD BF_350'!$AM$15+'TUSD CVA'!$AM$15)*1</f>
        <v>911.84</v>
      </c>
      <c r="AA278" s="6">
        <f ca="1">('TE BE'!$AB$7+'TE BF_350'!$AB$7+'TE CVA'!$AB$7)*1</f>
        <v>399.84</v>
      </c>
      <c r="AB278" s="6">
        <f>$K$278*$V$278</f>
        <v>0</v>
      </c>
      <c r="AC278" s="6">
        <f>$M$278*$W$278</f>
        <v>645.11953999999992</v>
      </c>
      <c r="AD278" s="6">
        <f>$O$278*$X$278</f>
        <v>398.81854999999996</v>
      </c>
      <c r="AE278" s="6">
        <f>$K$278*$Y$278</f>
        <v>0</v>
      </c>
      <c r="AF278" s="6">
        <f ca="1">$M$278*$Z$278</f>
        <v>744.97327999999993</v>
      </c>
      <c r="AG278" s="6">
        <f ca="1">$O$278*$AA$278</f>
        <v>326.66927999999996</v>
      </c>
    </row>
    <row r="279" spans="1:33" ht="11.25" customHeight="1" x14ac:dyDescent="0.3">
      <c r="A279" s="4" t="s">
        <v>21</v>
      </c>
      <c r="B279" s="4" t="s">
        <v>34</v>
      </c>
      <c r="C279" s="4" t="s">
        <v>35</v>
      </c>
      <c r="D279" s="4" t="s">
        <v>43</v>
      </c>
      <c r="E279" s="4" t="s">
        <v>25</v>
      </c>
      <c r="F279" s="4" t="s">
        <v>25</v>
      </c>
      <c r="G279" s="4" t="s">
        <v>25</v>
      </c>
      <c r="H279" s="4" t="s">
        <v>36</v>
      </c>
      <c r="I279" s="5">
        <v>44440</v>
      </c>
      <c r="J279" s="6">
        <v>0</v>
      </c>
      <c r="K279" s="6">
        <v>0</v>
      </c>
      <c r="L279" s="6">
        <v>0.82306000000000001</v>
      </c>
      <c r="M279" s="6">
        <v>0.82306000000000001</v>
      </c>
      <c r="N279" s="6">
        <v>0.82306000000000001</v>
      </c>
      <c r="O279" s="6">
        <v>0.82306000000000001</v>
      </c>
      <c r="P279" s="6">
        <v>0</v>
      </c>
      <c r="Q279" s="4" t="s">
        <v>26</v>
      </c>
      <c r="R279" s="4">
        <v>0</v>
      </c>
      <c r="S279" s="6">
        <v>0</v>
      </c>
      <c r="T279" s="6">
        <v>21</v>
      </c>
      <c r="U279" s="6">
        <v>83</v>
      </c>
      <c r="V279" s="6">
        <f>IF(ISERROR(VLOOKUP($S$279,'TAR FIN'!$A$1:$O$92,15,0)),0,VLOOKUP($S$279,'TAR FIN'!$A$1:$O$92,15,0))</f>
        <v>0</v>
      </c>
      <c r="W279" s="6">
        <f>IF(ISERROR(VLOOKUP($T$279,'TAR FIN'!$A$1:$O$92,15,0)),0,VLOOKUP($T$279,'TAR FIN'!$A$1:$O$92,15,0))</f>
        <v>789.62</v>
      </c>
      <c r="X279" s="6">
        <f>IF(ISERROR(VLOOKUP($U$279,'TAR FIN'!$A$1:$O$92,15,0)),0,VLOOKUP($U$279,'TAR FIN'!$A$1:$O$92,15,0))</f>
        <v>488.15</v>
      </c>
      <c r="Y279" s="6"/>
      <c r="Z279" s="6">
        <f ca="1">('TUSD BE'!$AM$15+'TUSD BF_350'!$AM$15+'TUSD CVA'!$AM$15)*1</f>
        <v>911.84</v>
      </c>
      <c r="AA279" s="6">
        <f ca="1">('TE BE'!$AB$7+'TE BF_350'!$AB$7+'TE CVA'!$AB$7)*1</f>
        <v>399.84</v>
      </c>
      <c r="AB279" s="6">
        <f>$K$279*$V$279</f>
        <v>0</v>
      </c>
      <c r="AC279" s="6">
        <f>$M$279*$W$279</f>
        <v>649.90463720000002</v>
      </c>
      <c r="AD279" s="6">
        <f>$O$279*$X$279</f>
        <v>401.77673899999996</v>
      </c>
      <c r="AE279" s="6">
        <f>$K$279*$Y$279</f>
        <v>0</v>
      </c>
      <c r="AF279" s="6">
        <f ca="1">$M$279*$Z$279</f>
        <v>750.49903040000004</v>
      </c>
      <c r="AG279" s="6">
        <f ca="1">$O$279*$AA$279</f>
        <v>329.09231039999997</v>
      </c>
    </row>
    <row r="280" spans="1:33" ht="11.25" customHeight="1" x14ac:dyDescent="0.3">
      <c r="A280" s="4" t="s">
        <v>21</v>
      </c>
      <c r="B280" s="4" t="s">
        <v>34</v>
      </c>
      <c r="C280" s="4" t="s">
        <v>35</v>
      </c>
      <c r="D280" s="4" t="s">
        <v>43</v>
      </c>
      <c r="E280" s="4" t="s">
        <v>25</v>
      </c>
      <c r="F280" s="4" t="s">
        <v>25</v>
      </c>
      <c r="G280" s="4" t="s">
        <v>25</v>
      </c>
      <c r="H280" s="4" t="s">
        <v>36</v>
      </c>
      <c r="I280" s="5">
        <v>44470</v>
      </c>
      <c r="J280" s="6">
        <v>0</v>
      </c>
      <c r="K280" s="6">
        <v>0</v>
      </c>
      <c r="L280" s="6">
        <v>0.76600000000000001</v>
      </c>
      <c r="M280" s="6">
        <v>0.76600000000000001</v>
      </c>
      <c r="N280" s="6">
        <v>0.76600000000000001</v>
      </c>
      <c r="O280" s="6">
        <v>0.76600000000000001</v>
      </c>
      <c r="P280" s="6">
        <v>0</v>
      </c>
      <c r="Q280" s="4" t="s">
        <v>26</v>
      </c>
      <c r="R280" s="4">
        <v>0</v>
      </c>
      <c r="S280" s="6">
        <v>0</v>
      </c>
      <c r="T280" s="6">
        <v>21</v>
      </c>
      <c r="U280" s="6">
        <v>83</v>
      </c>
      <c r="V280" s="6">
        <f>IF(ISERROR(VLOOKUP($S$280,'TAR FIN'!$A$1:$O$92,15,0)),0,VLOOKUP($S$280,'TAR FIN'!$A$1:$O$92,15,0))</f>
        <v>0</v>
      </c>
      <c r="W280" s="6">
        <f>IF(ISERROR(VLOOKUP($T$280,'TAR FIN'!$A$1:$O$92,15,0)),0,VLOOKUP($T$280,'TAR FIN'!$A$1:$O$92,15,0))</f>
        <v>789.62</v>
      </c>
      <c r="X280" s="6">
        <f>IF(ISERROR(VLOOKUP($U$280,'TAR FIN'!$A$1:$O$92,15,0)),0,VLOOKUP($U$280,'TAR FIN'!$A$1:$O$92,15,0))</f>
        <v>488.15</v>
      </c>
      <c r="Y280" s="6"/>
      <c r="Z280" s="6">
        <f ca="1">('TUSD BE'!$AM$15+'TUSD BF_350'!$AM$15+'TUSD CVA'!$AM$15)*1</f>
        <v>911.84</v>
      </c>
      <c r="AA280" s="6">
        <f ca="1">('TE BE'!$AB$7+'TE BF_350'!$AB$7+'TE CVA'!$AB$7)*1</f>
        <v>399.84</v>
      </c>
      <c r="AB280" s="6">
        <f>$K$280*$V$280</f>
        <v>0</v>
      </c>
      <c r="AC280" s="6">
        <f>$M$280*$W$280</f>
        <v>604.84892000000002</v>
      </c>
      <c r="AD280" s="6">
        <f>$O$280*$X$280</f>
        <v>373.92289999999997</v>
      </c>
      <c r="AE280" s="6">
        <f>$K$280*$Y$280</f>
        <v>0</v>
      </c>
      <c r="AF280" s="6">
        <f ca="1">$M$280*$Z$280</f>
        <v>698.46944000000008</v>
      </c>
      <c r="AG280" s="6">
        <f ca="1">$O$280*$AA$280</f>
        <v>306.27744000000001</v>
      </c>
    </row>
    <row r="281" spans="1:33" ht="11.25" customHeight="1" x14ac:dyDescent="0.3">
      <c r="A281" s="4" t="s">
        <v>21</v>
      </c>
      <c r="B281" s="4" t="s">
        <v>34</v>
      </c>
      <c r="C281" s="4" t="s">
        <v>35</v>
      </c>
      <c r="D281" s="4" t="s">
        <v>43</v>
      </c>
      <c r="E281" s="4" t="s">
        <v>25</v>
      </c>
      <c r="F281" s="4" t="s">
        <v>25</v>
      </c>
      <c r="G281" s="4" t="s">
        <v>25</v>
      </c>
      <c r="H281" s="4" t="s">
        <v>36</v>
      </c>
      <c r="I281" s="5">
        <v>44501</v>
      </c>
      <c r="J281" s="6">
        <v>0</v>
      </c>
      <c r="K281" s="6">
        <v>0</v>
      </c>
      <c r="L281" s="6">
        <v>0.80735000000000001</v>
      </c>
      <c r="M281" s="6">
        <v>0.80735000000000001</v>
      </c>
      <c r="N281" s="6">
        <v>0.80735000000000001</v>
      </c>
      <c r="O281" s="6">
        <v>0.80735000000000001</v>
      </c>
      <c r="P281" s="6">
        <v>0</v>
      </c>
      <c r="Q281" s="4" t="s">
        <v>26</v>
      </c>
      <c r="R281" s="4">
        <v>0</v>
      </c>
      <c r="S281" s="6">
        <v>0</v>
      </c>
      <c r="T281" s="6">
        <v>21</v>
      </c>
      <c r="U281" s="6">
        <v>83</v>
      </c>
      <c r="V281" s="6">
        <f>IF(ISERROR(VLOOKUP($S$281,'TAR FIN'!$A$1:$O$92,15,0)),0,VLOOKUP($S$281,'TAR FIN'!$A$1:$O$92,15,0))</f>
        <v>0</v>
      </c>
      <c r="W281" s="6">
        <f>IF(ISERROR(VLOOKUP($T$281,'TAR FIN'!$A$1:$O$92,15,0)),0,VLOOKUP($T$281,'TAR FIN'!$A$1:$O$92,15,0))</f>
        <v>789.62</v>
      </c>
      <c r="X281" s="6">
        <f>IF(ISERROR(VLOOKUP($U$281,'TAR FIN'!$A$1:$O$92,15,0)),0,VLOOKUP($U$281,'TAR FIN'!$A$1:$O$92,15,0))</f>
        <v>488.15</v>
      </c>
      <c r="Y281" s="6"/>
      <c r="Z281" s="6">
        <f ca="1">('TUSD BE'!$AM$15+'TUSD BF_350'!$AM$15+'TUSD CVA'!$AM$15)*1</f>
        <v>911.84</v>
      </c>
      <c r="AA281" s="6">
        <f ca="1">('TE BE'!$AB$7+'TE BF_350'!$AB$7+'TE CVA'!$AB$7)*1</f>
        <v>399.84</v>
      </c>
      <c r="AB281" s="6">
        <f>$K$281*$V$281</f>
        <v>0</v>
      </c>
      <c r="AC281" s="6">
        <f>$M$281*$W$281</f>
        <v>637.49970700000006</v>
      </c>
      <c r="AD281" s="6">
        <f>$O$281*$X$281</f>
        <v>394.10790249999997</v>
      </c>
      <c r="AE281" s="6">
        <f>$K$281*$Y$281</f>
        <v>0</v>
      </c>
      <c r="AF281" s="6">
        <f ca="1">$M$281*$Z$281</f>
        <v>736.17402400000003</v>
      </c>
      <c r="AG281" s="6">
        <f ca="1">$O$281*$AA$281</f>
        <v>322.81082399999997</v>
      </c>
    </row>
    <row r="282" spans="1:33" ht="11.25" customHeight="1" x14ac:dyDescent="0.3">
      <c r="A282" s="4" t="s">
        <v>21</v>
      </c>
      <c r="B282" s="4" t="s">
        <v>34</v>
      </c>
      <c r="C282" s="4" t="s">
        <v>35</v>
      </c>
      <c r="D282" s="4" t="s">
        <v>43</v>
      </c>
      <c r="E282" s="4" t="s">
        <v>25</v>
      </c>
      <c r="F282" s="4" t="s">
        <v>25</v>
      </c>
      <c r="G282" s="4" t="s">
        <v>25</v>
      </c>
      <c r="H282" s="4" t="s">
        <v>36</v>
      </c>
      <c r="I282" s="5">
        <v>44531</v>
      </c>
      <c r="J282" s="6">
        <v>0</v>
      </c>
      <c r="K282" s="6">
        <v>0</v>
      </c>
      <c r="L282" s="6">
        <v>0.97685999999999995</v>
      </c>
      <c r="M282" s="6">
        <v>0.97685999999999995</v>
      </c>
      <c r="N282" s="6">
        <v>0.97685999999999995</v>
      </c>
      <c r="O282" s="6">
        <v>0.97685999999999995</v>
      </c>
      <c r="P282" s="6">
        <v>0</v>
      </c>
      <c r="Q282" s="4" t="s">
        <v>26</v>
      </c>
      <c r="R282" s="4">
        <v>0</v>
      </c>
      <c r="S282" s="6">
        <v>0</v>
      </c>
      <c r="T282" s="6">
        <v>21</v>
      </c>
      <c r="U282" s="6">
        <v>83</v>
      </c>
      <c r="V282" s="6">
        <f>IF(ISERROR(VLOOKUP($S$282,'TAR FIN'!$A$1:$O$92,15,0)),0,VLOOKUP($S$282,'TAR FIN'!$A$1:$O$92,15,0))</f>
        <v>0</v>
      </c>
      <c r="W282" s="6">
        <f>IF(ISERROR(VLOOKUP($T$282,'TAR FIN'!$A$1:$O$92,15,0)),0,VLOOKUP($T$282,'TAR FIN'!$A$1:$O$92,15,0))</f>
        <v>789.62</v>
      </c>
      <c r="X282" s="6">
        <f>IF(ISERROR(VLOOKUP($U$282,'TAR FIN'!$A$1:$O$92,15,0)),0,VLOOKUP($U$282,'TAR FIN'!$A$1:$O$92,15,0))</f>
        <v>488.15</v>
      </c>
      <c r="Y282" s="6"/>
      <c r="Z282" s="6">
        <f ca="1">('TUSD BE'!$AM$15+'TUSD BF_350'!$AM$15+'TUSD CVA'!$AM$15)*1</f>
        <v>911.84</v>
      </c>
      <c r="AA282" s="6">
        <f ca="1">('TE BE'!$AB$7+'TE BF_350'!$AB$7+'TE CVA'!$AB$7)*1</f>
        <v>399.84</v>
      </c>
      <c r="AB282" s="6">
        <f>$K$282*$V$282</f>
        <v>0</v>
      </c>
      <c r="AC282" s="6">
        <f>$M$282*$W$282</f>
        <v>771.34819319999997</v>
      </c>
      <c r="AD282" s="6">
        <f>$O$282*$X$282</f>
        <v>476.85420899999997</v>
      </c>
      <c r="AE282" s="6">
        <f>$K$282*$Y$282</f>
        <v>0</v>
      </c>
      <c r="AF282" s="6">
        <f ca="1">$M$282*$Z$282</f>
        <v>890.74002239999993</v>
      </c>
      <c r="AG282" s="6">
        <f ca="1">$O$282*$AA$282</f>
        <v>390.58770239999996</v>
      </c>
    </row>
    <row r="283" spans="1:33" ht="11.25" customHeight="1" x14ac:dyDescent="0.3">
      <c r="A283" s="4" t="s">
        <v>21</v>
      </c>
      <c r="B283" s="4" t="s">
        <v>34</v>
      </c>
      <c r="C283" s="4" t="s">
        <v>35</v>
      </c>
      <c r="D283" s="4" t="s">
        <v>43</v>
      </c>
      <c r="E283" s="4" t="s">
        <v>25</v>
      </c>
      <c r="F283" s="4" t="s">
        <v>25</v>
      </c>
      <c r="G283" s="4" t="s">
        <v>25</v>
      </c>
      <c r="H283" s="4" t="s">
        <v>36</v>
      </c>
      <c r="I283" s="5">
        <v>44562</v>
      </c>
      <c r="J283" s="6">
        <v>0</v>
      </c>
      <c r="K283" s="6">
        <v>0</v>
      </c>
      <c r="L283" s="6">
        <v>1.06816</v>
      </c>
      <c r="M283" s="6">
        <v>1.06816</v>
      </c>
      <c r="N283" s="6">
        <v>1.06816</v>
      </c>
      <c r="O283" s="6">
        <v>1.06816</v>
      </c>
      <c r="P283" s="6">
        <v>0</v>
      </c>
      <c r="Q283" s="4" t="s">
        <v>26</v>
      </c>
      <c r="R283" s="4">
        <v>0</v>
      </c>
      <c r="S283" s="6">
        <v>0</v>
      </c>
      <c r="T283" s="6">
        <v>21</v>
      </c>
      <c r="U283" s="6">
        <v>83</v>
      </c>
      <c r="V283" s="6">
        <f>IF(ISERROR(VLOOKUP($S$283,'TAR FIN'!$A$1:$O$92,15,0)),0,VLOOKUP($S$283,'TAR FIN'!$A$1:$O$92,15,0))</f>
        <v>0</v>
      </c>
      <c r="W283" s="6">
        <f>IF(ISERROR(VLOOKUP($T$283,'TAR FIN'!$A$1:$O$92,15,0)),0,VLOOKUP($T$283,'TAR FIN'!$A$1:$O$92,15,0))</f>
        <v>789.62</v>
      </c>
      <c r="X283" s="6">
        <f>IF(ISERROR(VLOOKUP($U$283,'TAR FIN'!$A$1:$O$92,15,0)),0,VLOOKUP($U$283,'TAR FIN'!$A$1:$O$92,15,0))</f>
        <v>488.15</v>
      </c>
      <c r="Y283" s="6"/>
      <c r="Z283" s="6">
        <f ca="1">('TUSD BE'!$AM$15+'TUSD BF_350'!$AM$15+'TUSD CVA'!$AM$15)*1</f>
        <v>911.84</v>
      </c>
      <c r="AA283" s="6">
        <f ca="1">('TE BE'!$AB$7+'TE BF_350'!$AB$7+'TE CVA'!$AB$7)*1</f>
        <v>399.84</v>
      </c>
      <c r="AB283" s="6">
        <f>$K$283*$V$283</f>
        <v>0</v>
      </c>
      <c r="AC283" s="6">
        <f>$M$283*$W$283</f>
        <v>843.44049919999998</v>
      </c>
      <c r="AD283" s="6">
        <f>$O$283*$X$283</f>
        <v>521.42230399999994</v>
      </c>
      <c r="AE283" s="6">
        <f>$K$283*$Y$283</f>
        <v>0</v>
      </c>
      <c r="AF283" s="6">
        <f ca="1">$M$283*$Z$283</f>
        <v>973.99101440000004</v>
      </c>
      <c r="AG283" s="6">
        <f ca="1">$O$283*$AA$283</f>
        <v>427.09309439999998</v>
      </c>
    </row>
    <row r="284" spans="1:33" ht="11.25" customHeight="1" x14ac:dyDescent="0.3">
      <c r="A284" s="4" t="s">
        <v>21</v>
      </c>
      <c r="B284" s="4" t="s">
        <v>34</v>
      </c>
      <c r="C284" s="4" t="s">
        <v>35</v>
      </c>
      <c r="D284" s="4" t="s">
        <v>43</v>
      </c>
      <c r="E284" s="4" t="s">
        <v>25</v>
      </c>
      <c r="F284" s="4" t="s">
        <v>25</v>
      </c>
      <c r="G284" s="4" t="s">
        <v>25</v>
      </c>
      <c r="H284" s="4" t="s">
        <v>36</v>
      </c>
      <c r="I284" s="5">
        <v>44593</v>
      </c>
      <c r="J284" s="6">
        <v>0</v>
      </c>
      <c r="K284" s="6">
        <v>0</v>
      </c>
      <c r="L284" s="6">
        <v>0.998</v>
      </c>
      <c r="M284" s="6">
        <v>0.998</v>
      </c>
      <c r="N284" s="6">
        <v>0.998</v>
      </c>
      <c r="O284" s="6">
        <v>0.998</v>
      </c>
      <c r="P284" s="6">
        <v>0</v>
      </c>
      <c r="Q284" s="4" t="s">
        <v>26</v>
      </c>
      <c r="R284" s="4">
        <v>0</v>
      </c>
      <c r="S284" s="6">
        <v>0</v>
      </c>
      <c r="T284" s="6">
        <v>21</v>
      </c>
      <c r="U284" s="6">
        <v>83</v>
      </c>
      <c r="V284" s="6">
        <f>IF(ISERROR(VLOOKUP($S$284,'TAR FIN'!$A$1:$O$92,15,0)),0,VLOOKUP($S$284,'TAR FIN'!$A$1:$O$92,15,0))</f>
        <v>0</v>
      </c>
      <c r="W284" s="6">
        <f>IF(ISERROR(VLOOKUP($T$284,'TAR FIN'!$A$1:$O$92,15,0)),0,VLOOKUP($T$284,'TAR FIN'!$A$1:$O$92,15,0))</f>
        <v>789.62</v>
      </c>
      <c r="X284" s="6">
        <f>IF(ISERROR(VLOOKUP($U$284,'TAR FIN'!$A$1:$O$92,15,0)),0,VLOOKUP($U$284,'TAR FIN'!$A$1:$O$92,15,0))</f>
        <v>488.15</v>
      </c>
      <c r="Y284" s="6"/>
      <c r="Z284" s="6">
        <f ca="1">('TUSD BE'!$AM$15+'TUSD BF_350'!$AM$15+'TUSD CVA'!$AM$15)*1</f>
        <v>911.84</v>
      </c>
      <c r="AA284" s="6">
        <f ca="1">('TE BE'!$AB$7+'TE BF_350'!$AB$7+'TE CVA'!$AB$7)*1</f>
        <v>399.84</v>
      </c>
      <c r="AB284" s="6">
        <f>$K$284*$V$284</f>
        <v>0</v>
      </c>
      <c r="AC284" s="6">
        <f>$M$284*$W$284</f>
        <v>788.04075999999998</v>
      </c>
      <c r="AD284" s="6">
        <f>$O$284*$X$284</f>
        <v>487.1737</v>
      </c>
      <c r="AE284" s="6">
        <f>$K$284*$Y$284</f>
        <v>0</v>
      </c>
      <c r="AF284" s="6">
        <f ca="1">$M$284*$Z$284</f>
        <v>910.01632000000006</v>
      </c>
      <c r="AG284" s="6">
        <f ca="1">$O$284*$AA$284</f>
        <v>399.04031999999995</v>
      </c>
    </row>
    <row r="285" spans="1:33" ht="11.25" customHeight="1" x14ac:dyDescent="0.3">
      <c r="A285" s="4" t="s">
        <v>21</v>
      </c>
      <c r="B285" s="4" t="s">
        <v>34</v>
      </c>
      <c r="C285" s="4" t="s">
        <v>35</v>
      </c>
      <c r="D285" s="4" t="s">
        <v>43</v>
      </c>
      <c r="E285" s="4" t="s">
        <v>25</v>
      </c>
      <c r="F285" s="4" t="s">
        <v>25</v>
      </c>
      <c r="G285" s="4" t="s">
        <v>25</v>
      </c>
      <c r="H285" s="4" t="s">
        <v>36</v>
      </c>
      <c r="I285" s="5">
        <v>44621</v>
      </c>
      <c r="J285" s="6">
        <v>0</v>
      </c>
      <c r="K285" s="6">
        <v>0</v>
      </c>
      <c r="L285" s="6">
        <v>1.04671</v>
      </c>
      <c r="M285" s="6">
        <v>1.04671</v>
      </c>
      <c r="N285" s="6">
        <v>1.04671</v>
      </c>
      <c r="O285" s="6">
        <v>1.04671</v>
      </c>
      <c r="P285" s="6">
        <v>0</v>
      </c>
      <c r="Q285" s="4" t="s">
        <v>26</v>
      </c>
      <c r="R285" s="4">
        <v>0</v>
      </c>
      <c r="S285" s="6">
        <v>0</v>
      </c>
      <c r="T285" s="6">
        <v>21</v>
      </c>
      <c r="U285" s="6">
        <v>83</v>
      </c>
      <c r="V285" s="6">
        <f>IF(ISERROR(VLOOKUP($S$285,'TAR FIN'!$A$1:$O$92,15,0)),0,VLOOKUP($S$285,'TAR FIN'!$A$1:$O$92,15,0))</f>
        <v>0</v>
      </c>
      <c r="W285" s="6">
        <f>IF(ISERROR(VLOOKUP($T$285,'TAR FIN'!$A$1:$O$92,15,0)),0,VLOOKUP($T$285,'TAR FIN'!$A$1:$O$92,15,0))</f>
        <v>789.62</v>
      </c>
      <c r="X285" s="6">
        <f>IF(ISERROR(VLOOKUP($U$285,'TAR FIN'!$A$1:$O$92,15,0)),0,VLOOKUP($U$285,'TAR FIN'!$A$1:$O$92,15,0))</f>
        <v>488.15</v>
      </c>
      <c r="Y285" s="6"/>
      <c r="Z285" s="6">
        <f ca="1">('TUSD BE'!$AM$15+'TUSD BF_350'!$AM$15+'TUSD CVA'!$AM$15)*1</f>
        <v>911.84</v>
      </c>
      <c r="AA285" s="6">
        <f ca="1">('TE BE'!$AB$7+'TE BF_350'!$AB$7+'TE CVA'!$AB$7)*1</f>
        <v>399.84</v>
      </c>
      <c r="AB285" s="6">
        <f>$K$285*$V$285</f>
        <v>0</v>
      </c>
      <c r="AC285" s="6">
        <f>$M$285*$W$285</f>
        <v>826.50315020000005</v>
      </c>
      <c r="AD285" s="6">
        <f>$O$285*$X$285</f>
        <v>510.95148649999999</v>
      </c>
      <c r="AE285" s="6">
        <f>$K$285*$Y$285</f>
        <v>0</v>
      </c>
      <c r="AF285" s="6">
        <f ca="1">$M$285*$Z$285</f>
        <v>954.4320464000001</v>
      </c>
      <c r="AG285" s="6">
        <f ca="1">$O$285*$AA$285</f>
        <v>418.51652639999998</v>
      </c>
    </row>
    <row r="286" spans="1:33" ht="11.25" customHeight="1" x14ac:dyDescent="0.3">
      <c r="A286" s="4" t="s">
        <v>21</v>
      </c>
      <c r="B286" s="4" t="s">
        <v>34</v>
      </c>
      <c r="C286" s="4" t="s">
        <v>35</v>
      </c>
      <c r="D286" s="4" t="s">
        <v>43</v>
      </c>
      <c r="E286" s="4" t="s">
        <v>25</v>
      </c>
      <c r="F286" s="4" t="s">
        <v>25</v>
      </c>
      <c r="G286" s="4" t="s">
        <v>25</v>
      </c>
      <c r="H286" s="4" t="s">
        <v>36</v>
      </c>
      <c r="I286" s="5">
        <v>44652</v>
      </c>
      <c r="J286" s="6">
        <v>0</v>
      </c>
      <c r="K286" s="6">
        <v>0</v>
      </c>
      <c r="L286" s="6">
        <v>0.77219000000000004</v>
      </c>
      <c r="M286" s="6">
        <v>0.77219000000000004</v>
      </c>
      <c r="N286" s="6">
        <v>0.77219000000000004</v>
      </c>
      <c r="O286" s="6">
        <v>0.77219000000000004</v>
      </c>
      <c r="P286" s="6">
        <v>0</v>
      </c>
      <c r="Q286" s="4" t="s">
        <v>26</v>
      </c>
      <c r="R286" s="4">
        <v>0</v>
      </c>
      <c r="S286" s="6">
        <v>0</v>
      </c>
      <c r="T286" s="6">
        <v>21</v>
      </c>
      <c r="U286" s="6">
        <v>83</v>
      </c>
      <c r="V286" s="6">
        <f>IF(ISERROR(VLOOKUP($S$286,'TAR FIN'!$A$1:$O$92,15,0)),0,VLOOKUP($S$286,'TAR FIN'!$A$1:$O$92,15,0))</f>
        <v>0</v>
      </c>
      <c r="W286" s="6">
        <f>IF(ISERROR(VLOOKUP($T$286,'TAR FIN'!$A$1:$O$92,15,0)),0,VLOOKUP($T$286,'TAR FIN'!$A$1:$O$92,15,0))</f>
        <v>789.62</v>
      </c>
      <c r="X286" s="6">
        <f>IF(ISERROR(VLOOKUP($U$286,'TAR FIN'!$A$1:$O$92,15,0)),0,VLOOKUP($U$286,'TAR FIN'!$A$1:$O$92,15,0))</f>
        <v>488.15</v>
      </c>
      <c r="Y286" s="6"/>
      <c r="Z286" s="6">
        <f ca="1">('TUSD BE'!$AM$15+'TUSD BF_350'!$AM$15+'TUSD CVA'!$AM$15)*1</f>
        <v>911.84</v>
      </c>
      <c r="AA286" s="6">
        <f ca="1">('TE BE'!$AB$7+'TE BF_350'!$AB$7+'TE CVA'!$AB$7)*1</f>
        <v>399.84</v>
      </c>
      <c r="AB286" s="6">
        <f>$K$286*$V$286</f>
        <v>0</v>
      </c>
      <c r="AC286" s="6">
        <f>$M$286*$W$286</f>
        <v>609.73666780000008</v>
      </c>
      <c r="AD286" s="6">
        <f>$O$286*$X$286</f>
        <v>376.9445485</v>
      </c>
      <c r="AE286" s="6">
        <f>$K$286*$Y$286</f>
        <v>0</v>
      </c>
      <c r="AF286" s="6">
        <f ca="1">$M$286*$Z$286</f>
        <v>704.11372960000006</v>
      </c>
      <c r="AG286" s="6">
        <f ca="1">$O$286*$AA$286</f>
        <v>308.75244959999998</v>
      </c>
    </row>
    <row r="287" spans="1:33" ht="11.25" customHeight="1" x14ac:dyDescent="0.3">
      <c r="A287" s="4" t="s">
        <v>21</v>
      </c>
      <c r="B287" s="4" t="s">
        <v>34</v>
      </c>
      <c r="C287" s="4" t="s">
        <v>35</v>
      </c>
      <c r="D287" s="4" t="s">
        <v>43</v>
      </c>
      <c r="E287" s="4" t="s">
        <v>25</v>
      </c>
      <c r="F287" s="4" t="s">
        <v>25</v>
      </c>
      <c r="G287" s="4" t="s">
        <v>25</v>
      </c>
      <c r="H287" s="4" t="s">
        <v>36</v>
      </c>
      <c r="I287" s="5">
        <v>44682</v>
      </c>
      <c r="J287" s="6">
        <v>0</v>
      </c>
      <c r="K287" s="6">
        <v>0</v>
      </c>
      <c r="L287" s="6">
        <v>0.79690000000000005</v>
      </c>
      <c r="M287" s="6">
        <v>0.79690000000000005</v>
      </c>
      <c r="N287" s="6">
        <v>0.79690000000000005</v>
      </c>
      <c r="O287" s="6">
        <v>0.79690000000000005</v>
      </c>
      <c r="P287" s="6">
        <v>0</v>
      </c>
      <c r="Q287" s="4" t="s">
        <v>26</v>
      </c>
      <c r="R287" s="4">
        <v>0</v>
      </c>
      <c r="S287" s="6">
        <v>0</v>
      </c>
      <c r="T287" s="6">
        <v>21</v>
      </c>
      <c r="U287" s="6">
        <v>83</v>
      </c>
      <c r="V287" s="6">
        <f>IF(ISERROR(VLOOKUP($S$287,'TAR FIN'!$A$1:$O$92,15,0)),0,VLOOKUP($S$287,'TAR FIN'!$A$1:$O$92,15,0))</f>
        <v>0</v>
      </c>
      <c r="W287" s="6">
        <f>IF(ISERROR(VLOOKUP($T$287,'TAR FIN'!$A$1:$O$92,15,0)),0,VLOOKUP($T$287,'TAR FIN'!$A$1:$O$92,15,0))</f>
        <v>789.62</v>
      </c>
      <c r="X287" s="6">
        <f>IF(ISERROR(VLOOKUP($U$287,'TAR FIN'!$A$1:$O$92,15,0)),0,VLOOKUP($U$287,'TAR FIN'!$A$1:$O$92,15,0))</f>
        <v>488.15</v>
      </c>
      <c r="Y287" s="6"/>
      <c r="Z287" s="6">
        <f ca="1">('TUSD BE'!$AM$15+'TUSD BF_350'!$AM$15+'TUSD CVA'!$AM$15)*1</f>
        <v>911.84</v>
      </c>
      <c r="AA287" s="6">
        <f ca="1">('TE BE'!$AB$7+'TE BF_350'!$AB$7+'TE CVA'!$AB$7)*1</f>
        <v>399.84</v>
      </c>
      <c r="AB287" s="6">
        <f>$K$287*$V$287</f>
        <v>0</v>
      </c>
      <c r="AC287" s="6">
        <f>$M$287*$W$287</f>
        <v>629.24817800000005</v>
      </c>
      <c r="AD287" s="6">
        <f>$O$287*$X$287</f>
        <v>389.00673499999999</v>
      </c>
      <c r="AE287" s="6">
        <f>$K$287*$Y$287</f>
        <v>0</v>
      </c>
      <c r="AF287" s="6">
        <f ca="1">$M$287*$Z$287</f>
        <v>726.64529600000003</v>
      </c>
      <c r="AG287" s="6">
        <f ca="1">$O$287*$AA$287</f>
        <v>318.632496</v>
      </c>
    </row>
    <row r="288" spans="1:33" ht="11.25" customHeight="1" x14ac:dyDescent="0.3">
      <c r="A288" s="4" t="s">
        <v>21</v>
      </c>
      <c r="B288" s="4" t="s">
        <v>34</v>
      </c>
      <c r="C288" s="4" t="s">
        <v>35</v>
      </c>
      <c r="D288" s="4" t="s">
        <v>43</v>
      </c>
      <c r="E288" s="4" t="s">
        <v>25</v>
      </c>
      <c r="F288" s="4" t="s">
        <v>25</v>
      </c>
      <c r="G288" s="4" t="s">
        <v>25</v>
      </c>
      <c r="H288" s="4" t="s">
        <v>36</v>
      </c>
      <c r="I288" s="5">
        <v>44713</v>
      </c>
      <c r="J288" s="6">
        <v>0</v>
      </c>
      <c r="K288" s="6">
        <v>0</v>
      </c>
      <c r="L288" s="6">
        <v>0.72843999999999998</v>
      </c>
      <c r="M288" s="6">
        <v>0.72843999999999998</v>
      </c>
      <c r="N288" s="6">
        <v>0.72843999999999998</v>
      </c>
      <c r="O288" s="6">
        <v>0.72843999999999998</v>
      </c>
      <c r="P288" s="6">
        <v>0</v>
      </c>
      <c r="Q288" s="4" t="s">
        <v>26</v>
      </c>
      <c r="R288" s="4">
        <v>0</v>
      </c>
      <c r="S288" s="6">
        <v>0</v>
      </c>
      <c r="T288" s="6">
        <v>21</v>
      </c>
      <c r="U288" s="6">
        <v>83</v>
      </c>
      <c r="V288" s="6">
        <f>IF(ISERROR(VLOOKUP($S$288,'TAR FIN'!$A$1:$O$92,15,0)),0,VLOOKUP($S$288,'TAR FIN'!$A$1:$O$92,15,0))</f>
        <v>0</v>
      </c>
      <c r="W288" s="6">
        <f>IF(ISERROR(VLOOKUP($T$288,'TAR FIN'!$A$1:$O$92,15,0)),0,VLOOKUP($T$288,'TAR FIN'!$A$1:$O$92,15,0))</f>
        <v>789.62</v>
      </c>
      <c r="X288" s="6">
        <f>IF(ISERROR(VLOOKUP($U$288,'TAR FIN'!$A$1:$O$92,15,0)),0,VLOOKUP($U$288,'TAR FIN'!$A$1:$O$92,15,0))</f>
        <v>488.15</v>
      </c>
      <c r="Y288" s="6"/>
      <c r="Z288" s="6">
        <f ca="1">('TUSD BE'!$AM$15+'TUSD BF_350'!$AM$15+'TUSD CVA'!$AM$15)*1</f>
        <v>911.84</v>
      </c>
      <c r="AA288" s="6">
        <f ca="1">('TE BE'!$AB$7+'TE BF_350'!$AB$7+'TE CVA'!$AB$7)*1</f>
        <v>399.84</v>
      </c>
      <c r="AB288" s="6">
        <f>$K$288*$V$288</f>
        <v>0</v>
      </c>
      <c r="AC288" s="6">
        <f>$M$288*$W$288</f>
        <v>575.19079279999994</v>
      </c>
      <c r="AD288" s="6">
        <f>$O$288*$X$288</f>
        <v>355.58798599999994</v>
      </c>
      <c r="AE288" s="6">
        <f>$K$288*$Y$288</f>
        <v>0</v>
      </c>
      <c r="AF288" s="6">
        <f ca="1">$M$288*$Z$288</f>
        <v>664.22072960000003</v>
      </c>
      <c r="AG288" s="6">
        <f ca="1">$O$288*$AA$288</f>
        <v>291.25944959999998</v>
      </c>
    </row>
    <row r="289" spans="1:33" ht="11.25" customHeight="1" x14ac:dyDescent="0.3">
      <c r="A289" s="4" t="s">
        <v>21</v>
      </c>
      <c r="B289" s="4" t="s">
        <v>34</v>
      </c>
      <c r="C289" s="4" t="s">
        <v>35</v>
      </c>
      <c r="D289" s="4" t="s">
        <v>43</v>
      </c>
      <c r="E289" s="4" t="s">
        <v>25</v>
      </c>
      <c r="F289" s="4" t="s">
        <v>25</v>
      </c>
      <c r="G289" s="4" t="s">
        <v>25</v>
      </c>
      <c r="H289" s="4" t="s">
        <v>36</v>
      </c>
      <c r="I289" s="5">
        <v>44743</v>
      </c>
      <c r="J289" s="6">
        <v>0</v>
      </c>
      <c r="K289" s="6">
        <v>0</v>
      </c>
      <c r="L289" s="6">
        <v>0.79681999999999997</v>
      </c>
      <c r="M289" s="6">
        <v>0.79681999999999997</v>
      </c>
      <c r="N289" s="6">
        <v>0.79681999999999997</v>
      </c>
      <c r="O289" s="6">
        <v>0.79681999999999997</v>
      </c>
      <c r="P289" s="6">
        <v>0</v>
      </c>
      <c r="Q289" s="4" t="s">
        <v>26</v>
      </c>
      <c r="R289" s="4">
        <v>0</v>
      </c>
      <c r="S289" s="6">
        <v>0</v>
      </c>
      <c r="T289" s="6">
        <v>21</v>
      </c>
      <c r="U289" s="6">
        <v>83</v>
      </c>
      <c r="V289" s="6">
        <f>IF(ISERROR(VLOOKUP($S$289,'TAR FIN'!$A$1:$O$92,15,0)),0,VLOOKUP($S$289,'TAR FIN'!$A$1:$O$92,15,0))</f>
        <v>0</v>
      </c>
      <c r="W289" s="6">
        <f>IF(ISERROR(VLOOKUP($T$289,'TAR FIN'!$A$1:$O$92,15,0)),0,VLOOKUP($T$289,'TAR FIN'!$A$1:$O$92,15,0))</f>
        <v>789.62</v>
      </c>
      <c r="X289" s="6">
        <f>IF(ISERROR(VLOOKUP($U$289,'TAR FIN'!$A$1:$O$92,15,0)),0,VLOOKUP($U$289,'TAR FIN'!$A$1:$O$92,15,0))</f>
        <v>488.15</v>
      </c>
      <c r="Y289" s="6"/>
      <c r="Z289" s="6">
        <f ca="1">('TUSD BE'!$AM$15+'TUSD BF_350'!$AM$15+'TUSD CVA'!$AM$15)*1</f>
        <v>911.84</v>
      </c>
      <c r="AA289" s="6">
        <f ca="1">('TE BE'!$AB$7+'TE BF_350'!$AB$7+'TE CVA'!$AB$7)*1</f>
        <v>399.84</v>
      </c>
      <c r="AB289" s="6">
        <f>$K$289*$V$289</f>
        <v>0</v>
      </c>
      <c r="AC289" s="6">
        <f>$M$289*$W$289</f>
        <v>629.18500840000002</v>
      </c>
      <c r="AD289" s="6">
        <f>$O$289*$X$289</f>
        <v>388.96768299999997</v>
      </c>
      <c r="AE289" s="6">
        <f>$K$289*$Y$289</f>
        <v>0</v>
      </c>
      <c r="AF289" s="6">
        <f ca="1">$M$289*$Z$289</f>
        <v>726.57234879999999</v>
      </c>
      <c r="AG289" s="6">
        <f ca="1">$O$289*$AA$289</f>
        <v>318.60050879999994</v>
      </c>
    </row>
    <row r="290" spans="1:33" ht="11.25" customHeight="1" x14ac:dyDescent="0.3">
      <c r="A290" s="4" t="s">
        <v>21</v>
      </c>
      <c r="B290" s="4" t="s">
        <v>22</v>
      </c>
      <c r="C290" s="4" t="s">
        <v>23</v>
      </c>
      <c r="D290" s="4" t="s">
        <v>24</v>
      </c>
      <c r="E290" s="4" t="s">
        <v>24</v>
      </c>
      <c r="F290" s="4" t="s">
        <v>25</v>
      </c>
      <c r="G290" s="4" t="s">
        <v>25</v>
      </c>
      <c r="H290" s="4" t="s">
        <v>25</v>
      </c>
      <c r="I290" s="5">
        <v>44409</v>
      </c>
      <c r="J290" s="6">
        <v>0</v>
      </c>
      <c r="K290" s="6">
        <v>0</v>
      </c>
      <c r="L290" s="6">
        <v>905.87900000000002</v>
      </c>
      <c r="M290" s="6">
        <v>905.87900000000002</v>
      </c>
      <c r="N290" s="6">
        <v>905.87900000000002</v>
      </c>
      <c r="O290" s="6">
        <v>905.87900000000002</v>
      </c>
      <c r="P290" s="6">
        <v>5048</v>
      </c>
      <c r="Q290" s="4" t="s">
        <v>26</v>
      </c>
      <c r="R290" s="4">
        <v>0</v>
      </c>
      <c r="S290" s="6">
        <v>0</v>
      </c>
      <c r="T290" s="6">
        <v>38</v>
      </c>
      <c r="U290" s="6">
        <v>89</v>
      </c>
      <c r="V290" s="6">
        <f>IF(ISERROR(VLOOKUP($S$290,'TAR FIN'!$A$1:$O$92,15,0)),0,VLOOKUP($S$290,'TAR FIN'!$A$1:$O$92,15,0))</f>
        <v>0</v>
      </c>
      <c r="W290" s="104">
        <f>IF(ISERROR(VLOOKUP($T$290,'TAR FIN CELESC'!$A$1:$O$92,15,0)),0,VLOOKUP($T$290,'TAR FIN CELESC'!$A$1:$O$92,15,0))</f>
        <v>244.85</v>
      </c>
      <c r="X290" s="104">
        <f>IF(ISERROR(VLOOKUP($U$290,'TAR FIN CELESC'!$A$1:$O$92,15,0)),0,VLOOKUP($U$290,'TAR FIN CELESC'!$A$1:$O$92,15,0))</f>
        <v>287.39</v>
      </c>
      <c r="Y290" s="6"/>
      <c r="Z290" s="6">
        <f ca="1">('TUSD BE'!$AM$24+'TUSD BF_350'!$AM$24+'TUSD CVA'!$AM$24)*1</f>
        <v>310.49</v>
      </c>
      <c r="AA290" s="6">
        <f ca="1">('TE BE'!$AB$12+'TE BF_350'!$AB$12+'TE CVA'!$AB$12)*1</f>
        <v>262.52999999999997</v>
      </c>
      <c r="AB290" s="6">
        <f>$K$290*$V$290</f>
        <v>0</v>
      </c>
      <c r="AC290" s="6">
        <f>$M$290*$W$290</f>
        <v>221804.47315000001</v>
      </c>
      <c r="AD290" s="6">
        <f>$O$290*$X$290</f>
        <v>260340.56581</v>
      </c>
      <c r="AE290" s="6">
        <f>$K$290*$Y$290</f>
        <v>0</v>
      </c>
      <c r="AF290" s="6">
        <f ca="1">$M$290*$Z$290</f>
        <v>281266.37070999999</v>
      </c>
      <c r="AG290" s="6">
        <f ca="1">$O$290*$AA$290</f>
        <v>237820.41386999999</v>
      </c>
    </row>
    <row r="291" spans="1:33" ht="11.25" customHeight="1" x14ac:dyDescent="0.3">
      <c r="A291" s="4" t="s">
        <v>27</v>
      </c>
      <c r="B291" s="4" t="s">
        <v>22</v>
      </c>
      <c r="C291" s="4" t="s">
        <v>23</v>
      </c>
      <c r="D291" s="4" t="s">
        <v>24</v>
      </c>
      <c r="E291" s="4" t="s">
        <v>24</v>
      </c>
      <c r="F291" s="4" t="s">
        <v>25</v>
      </c>
      <c r="G291" s="4" t="s">
        <v>25</v>
      </c>
      <c r="H291" s="4" t="s">
        <v>25</v>
      </c>
      <c r="I291" s="5">
        <v>44409</v>
      </c>
      <c r="J291" s="6">
        <v>0</v>
      </c>
      <c r="K291" s="6">
        <v>0</v>
      </c>
      <c r="L291" s="6">
        <v>8.3460000000000001</v>
      </c>
      <c r="M291" s="6">
        <v>8.3460000000000001</v>
      </c>
      <c r="N291" s="6">
        <v>8.3460000000000001</v>
      </c>
      <c r="O291" s="6">
        <v>8.3460000000000001</v>
      </c>
      <c r="P291" s="6">
        <v>66</v>
      </c>
      <c r="Q291" s="4" t="s">
        <v>26</v>
      </c>
      <c r="R291" s="4">
        <v>0</v>
      </c>
      <c r="S291" s="6">
        <v>0</v>
      </c>
      <c r="T291" s="6">
        <v>38</v>
      </c>
      <c r="U291" s="6">
        <v>89</v>
      </c>
      <c r="V291" s="6">
        <f>IF(ISERROR(VLOOKUP($S$291,'TAR FIN'!$A$1:$O$92,15,0)),0,VLOOKUP($S$291,'TAR FIN'!$A$1:$O$92,15,0))</f>
        <v>0</v>
      </c>
      <c r="W291" s="104">
        <f>IF(ISERROR(VLOOKUP($T$290,'TAR FIN CELESC'!$A$1:$O$92,15,0)),0,VLOOKUP($T$290,'TAR FIN CELESC'!$A$1:$O$92,15,0))</f>
        <v>244.85</v>
      </c>
      <c r="X291" s="104">
        <f>IF(ISERROR(VLOOKUP($U$290,'TAR FIN CELESC'!$A$1:$O$92,15,0)),0,VLOOKUP($U$290,'TAR FIN CELESC'!$A$1:$O$92,15,0))</f>
        <v>287.39</v>
      </c>
      <c r="Y291" s="6"/>
      <c r="Z291" s="6">
        <f ca="1">('TUSD BE'!$AM$24+'TUSD BF_350'!$AM$24+'TUSD CVA'!$AM$24)*1</f>
        <v>310.49</v>
      </c>
      <c r="AA291" s="6">
        <f ca="1">('TE BE'!$AB$12+'TE BF_350'!$AB$12+'TE CVA'!$AB$12)*1</f>
        <v>262.52999999999997</v>
      </c>
      <c r="AB291" s="6">
        <f>$K$291*$V$291</f>
        <v>0</v>
      </c>
      <c r="AC291" s="6">
        <f>$M$291*$W$291</f>
        <v>2043.5181</v>
      </c>
      <c r="AD291" s="6">
        <f>$O$291*$X$291</f>
        <v>2398.5569399999999</v>
      </c>
      <c r="AE291" s="6">
        <f>$K$291*$Y$291</f>
        <v>0</v>
      </c>
      <c r="AF291" s="6">
        <f ca="1">$M$291*$Z$291</f>
        <v>2591.3495400000002</v>
      </c>
      <c r="AG291" s="6">
        <f ca="1">$O$291*$AA$291</f>
        <v>2191.0753799999998</v>
      </c>
    </row>
    <row r="292" spans="1:33" ht="11.25" customHeight="1" x14ac:dyDescent="0.3">
      <c r="A292" s="4" t="s">
        <v>21</v>
      </c>
      <c r="B292" s="4" t="s">
        <v>22</v>
      </c>
      <c r="C292" s="4" t="s">
        <v>23</v>
      </c>
      <c r="D292" s="4" t="s">
        <v>24</v>
      </c>
      <c r="E292" s="4" t="s">
        <v>24</v>
      </c>
      <c r="F292" s="4" t="s">
        <v>25</v>
      </c>
      <c r="G292" s="4" t="s">
        <v>25</v>
      </c>
      <c r="H292" s="4" t="s">
        <v>25</v>
      </c>
      <c r="I292" s="5">
        <v>44440</v>
      </c>
      <c r="J292" s="6">
        <v>0</v>
      </c>
      <c r="K292" s="6">
        <v>0</v>
      </c>
      <c r="L292" s="6">
        <v>965.36699999999996</v>
      </c>
      <c r="M292" s="6">
        <v>965.36699999999996</v>
      </c>
      <c r="N292" s="6">
        <v>965.36699999999996</v>
      </c>
      <c r="O292" s="6">
        <v>965.36699999999996</v>
      </c>
      <c r="P292" s="6">
        <v>5063</v>
      </c>
      <c r="Q292" s="4" t="s">
        <v>26</v>
      </c>
      <c r="R292" s="4">
        <v>0</v>
      </c>
      <c r="S292" s="6">
        <v>0</v>
      </c>
      <c r="T292" s="6">
        <v>38</v>
      </c>
      <c r="U292" s="6">
        <v>89</v>
      </c>
      <c r="V292" s="6">
        <f>IF(ISERROR(VLOOKUP($S$292,'TAR FIN'!$A$1:$O$92,15,0)),0,VLOOKUP($S$292,'TAR FIN'!$A$1:$O$92,15,0))</f>
        <v>0</v>
      </c>
      <c r="W292" s="104">
        <f>IF(ISERROR(VLOOKUP($T$290,'TAR FIN CELESC'!$A$1:$O$92,15,0)),0,VLOOKUP($T$290,'TAR FIN CELESC'!$A$1:$O$92,15,0))</f>
        <v>244.85</v>
      </c>
      <c r="X292" s="104">
        <f>IF(ISERROR(VLOOKUP($U$290,'TAR FIN CELESC'!$A$1:$O$92,15,0)),0,VLOOKUP($U$290,'TAR FIN CELESC'!$A$1:$O$92,15,0))</f>
        <v>287.39</v>
      </c>
      <c r="Y292" s="6"/>
      <c r="Z292" s="6">
        <f ca="1">('TUSD BE'!$AM$24+'TUSD BF_350'!$AM$24+'TUSD CVA'!$AM$24)*1</f>
        <v>310.49</v>
      </c>
      <c r="AA292" s="6">
        <f ca="1">('TE BE'!$AB$12+'TE BF_350'!$AB$12+'TE CVA'!$AB$12)*1</f>
        <v>262.52999999999997</v>
      </c>
      <c r="AB292" s="6">
        <f>$K$292*$V$292</f>
        <v>0</v>
      </c>
      <c r="AC292" s="6">
        <f>$M$292*$W$292</f>
        <v>236370.10994999998</v>
      </c>
      <c r="AD292" s="6">
        <f>$O$292*$X$292</f>
        <v>277436.82212999999</v>
      </c>
      <c r="AE292" s="6">
        <f>$K$292*$Y$292</f>
        <v>0</v>
      </c>
      <c r="AF292" s="6">
        <f ca="1">$M$292*$Z$292</f>
        <v>299736.79982999997</v>
      </c>
      <c r="AG292" s="6">
        <f ca="1">$O$292*$AA$292</f>
        <v>253437.79850999996</v>
      </c>
    </row>
    <row r="293" spans="1:33" ht="11.25" customHeight="1" x14ac:dyDescent="0.3">
      <c r="A293" s="4" t="s">
        <v>27</v>
      </c>
      <c r="B293" s="4" t="s">
        <v>22</v>
      </c>
      <c r="C293" s="4" t="s">
        <v>23</v>
      </c>
      <c r="D293" s="4" t="s">
        <v>24</v>
      </c>
      <c r="E293" s="4" t="s">
        <v>24</v>
      </c>
      <c r="F293" s="4" t="s">
        <v>25</v>
      </c>
      <c r="G293" s="4" t="s">
        <v>25</v>
      </c>
      <c r="H293" s="4" t="s">
        <v>25</v>
      </c>
      <c r="I293" s="5">
        <v>44440</v>
      </c>
      <c r="J293" s="6">
        <v>0</v>
      </c>
      <c r="K293" s="6">
        <v>0</v>
      </c>
      <c r="L293" s="6">
        <v>8.8989999999999991</v>
      </c>
      <c r="M293" s="6">
        <v>8.8989999999999991</v>
      </c>
      <c r="N293" s="6">
        <v>8.8989999999999991</v>
      </c>
      <c r="O293" s="6">
        <v>8.8989999999999991</v>
      </c>
      <c r="P293" s="6">
        <v>70</v>
      </c>
      <c r="Q293" s="4" t="s">
        <v>26</v>
      </c>
      <c r="R293" s="4">
        <v>0</v>
      </c>
      <c r="S293" s="6">
        <v>0</v>
      </c>
      <c r="T293" s="6">
        <v>38</v>
      </c>
      <c r="U293" s="6">
        <v>89</v>
      </c>
      <c r="V293" s="6">
        <f>IF(ISERROR(VLOOKUP($S$293,'TAR FIN'!$A$1:$O$92,15,0)),0,VLOOKUP($S$293,'TAR FIN'!$A$1:$O$92,15,0))</f>
        <v>0</v>
      </c>
      <c r="W293" s="104">
        <f>IF(ISERROR(VLOOKUP($T$290,'TAR FIN CELESC'!$A$1:$O$92,15,0)),0,VLOOKUP($T$290,'TAR FIN CELESC'!$A$1:$O$92,15,0))</f>
        <v>244.85</v>
      </c>
      <c r="X293" s="104">
        <f>IF(ISERROR(VLOOKUP($U$290,'TAR FIN CELESC'!$A$1:$O$92,15,0)),0,VLOOKUP($U$290,'TAR FIN CELESC'!$A$1:$O$92,15,0))</f>
        <v>287.39</v>
      </c>
      <c r="Y293" s="6"/>
      <c r="Z293" s="6">
        <f ca="1">('TUSD BE'!$AM$24+'TUSD BF_350'!$AM$24+'TUSD CVA'!$AM$24)*1</f>
        <v>310.49</v>
      </c>
      <c r="AA293" s="6">
        <f ca="1">('TE BE'!$AB$12+'TE BF_350'!$AB$12+'TE CVA'!$AB$12)*1</f>
        <v>262.52999999999997</v>
      </c>
      <c r="AB293" s="6">
        <f>$K$293*$V$293</f>
        <v>0</v>
      </c>
      <c r="AC293" s="6">
        <f>$M$293*$W$293</f>
        <v>2178.9201499999999</v>
      </c>
      <c r="AD293" s="6">
        <f>$O$293*$X$293</f>
        <v>2557.4836099999998</v>
      </c>
      <c r="AE293" s="6">
        <f>$K$293*$Y$293</f>
        <v>0</v>
      </c>
      <c r="AF293" s="6">
        <f ca="1">$M$293*$Z$293</f>
        <v>2763.05051</v>
      </c>
      <c r="AG293" s="6">
        <f ca="1">$O$293*$AA$293</f>
        <v>2336.2544699999994</v>
      </c>
    </row>
    <row r="294" spans="1:33" ht="11.25" customHeight="1" x14ac:dyDescent="0.3">
      <c r="A294" s="4" t="s">
        <v>21</v>
      </c>
      <c r="B294" s="4" t="s">
        <v>22</v>
      </c>
      <c r="C294" s="4" t="s">
        <v>23</v>
      </c>
      <c r="D294" s="4" t="s">
        <v>24</v>
      </c>
      <c r="E294" s="4" t="s">
        <v>24</v>
      </c>
      <c r="F294" s="4" t="s">
        <v>25</v>
      </c>
      <c r="G294" s="4" t="s">
        <v>25</v>
      </c>
      <c r="H294" s="4" t="s">
        <v>25</v>
      </c>
      <c r="I294" s="5">
        <v>44470</v>
      </c>
      <c r="J294" s="6">
        <v>0</v>
      </c>
      <c r="K294" s="6">
        <v>0</v>
      </c>
      <c r="L294" s="6">
        <v>857.79</v>
      </c>
      <c r="M294" s="6">
        <v>857.79</v>
      </c>
      <c r="N294" s="6">
        <v>857.79</v>
      </c>
      <c r="O294" s="6">
        <v>857.79</v>
      </c>
      <c r="P294" s="6">
        <v>5084</v>
      </c>
      <c r="Q294" s="4" t="s">
        <v>26</v>
      </c>
      <c r="R294" s="4">
        <v>0</v>
      </c>
      <c r="S294" s="6">
        <v>0</v>
      </c>
      <c r="T294" s="6">
        <v>38</v>
      </c>
      <c r="U294" s="6">
        <v>89</v>
      </c>
      <c r="V294" s="6">
        <f>IF(ISERROR(VLOOKUP($S$294,'TAR FIN'!$A$1:$O$92,15,0)),0,VLOOKUP($S$294,'TAR FIN'!$A$1:$O$92,15,0))</f>
        <v>0</v>
      </c>
      <c r="W294" s="104">
        <f>IF(ISERROR(VLOOKUP($T$290,'TAR FIN CELESC'!$A$1:$O$92,15,0)),0,VLOOKUP($T$290,'TAR FIN CELESC'!$A$1:$O$92,15,0))</f>
        <v>244.85</v>
      </c>
      <c r="X294" s="104">
        <f>IF(ISERROR(VLOOKUP($U$290,'TAR FIN CELESC'!$A$1:$O$92,15,0)),0,VLOOKUP($U$290,'TAR FIN CELESC'!$A$1:$O$92,15,0))</f>
        <v>287.39</v>
      </c>
      <c r="Y294" s="6"/>
      <c r="Z294" s="6">
        <f ca="1">('TUSD BE'!$AM$24+'TUSD BF_350'!$AM$24+'TUSD CVA'!$AM$24)*1</f>
        <v>310.49</v>
      </c>
      <c r="AA294" s="6">
        <f ca="1">('TE BE'!$AB$12+'TE BF_350'!$AB$12+'TE CVA'!$AB$12)*1</f>
        <v>262.52999999999997</v>
      </c>
      <c r="AB294" s="6">
        <f>$K$294*$V$294</f>
        <v>0</v>
      </c>
      <c r="AC294" s="6">
        <f>$M$294*$W$294</f>
        <v>210029.88149999999</v>
      </c>
      <c r="AD294" s="6">
        <f>$O$294*$X$294</f>
        <v>246520.26809999999</v>
      </c>
      <c r="AE294" s="6">
        <f>$K$294*$Y$294</f>
        <v>0</v>
      </c>
      <c r="AF294" s="6">
        <f ca="1">$M$294*$Z$294</f>
        <v>266335.21710000001</v>
      </c>
      <c r="AG294" s="6">
        <f ca="1">$O$294*$AA$294</f>
        <v>225195.60869999995</v>
      </c>
    </row>
    <row r="295" spans="1:33" ht="11.25" customHeight="1" x14ac:dyDescent="0.3">
      <c r="A295" s="4" t="s">
        <v>27</v>
      </c>
      <c r="B295" s="4" t="s">
        <v>22</v>
      </c>
      <c r="C295" s="4" t="s">
        <v>23</v>
      </c>
      <c r="D295" s="4" t="s">
        <v>24</v>
      </c>
      <c r="E295" s="4" t="s">
        <v>24</v>
      </c>
      <c r="F295" s="4" t="s">
        <v>25</v>
      </c>
      <c r="G295" s="4" t="s">
        <v>25</v>
      </c>
      <c r="H295" s="4" t="s">
        <v>25</v>
      </c>
      <c r="I295" s="5">
        <v>44470</v>
      </c>
      <c r="J295" s="6">
        <v>0</v>
      </c>
      <c r="K295" s="6">
        <v>0</v>
      </c>
      <c r="L295" s="6">
        <v>7.76</v>
      </c>
      <c r="M295" s="6">
        <v>7.76</v>
      </c>
      <c r="N295" s="6">
        <v>7.76</v>
      </c>
      <c r="O295" s="6">
        <v>7.76</v>
      </c>
      <c r="P295" s="6">
        <v>71</v>
      </c>
      <c r="Q295" s="4" t="s">
        <v>26</v>
      </c>
      <c r="R295" s="4">
        <v>0</v>
      </c>
      <c r="S295" s="6">
        <v>0</v>
      </c>
      <c r="T295" s="6">
        <v>38</v>
      </c>
      <c r="U295" s="6">
        <v>89</v>
      </c>
      <c r="V295" s="6">
        <f>IF(ISERROR(VLOOKUP($S$295,'TAR FIN'!$A$1:$O$92,15,0)),0,VLOOKUP($S$295,'TAR FIN'!$A$1:$O$92,15,0))</f>
        <v>0</v>
      </c>
      <c r="W295" s="104">
        <f>IF(ISERROR(VLOOKUP($T$290,'TAR FIN CELESC'!$A$1:$O$92,15,0)),0,VLOOKUP($T$290,'TAR FIN CELESC'!$A$1:$O$92,15,0))</f>
        <v>244.85</v>
      </c>
      <c r="X295" s="104">
        <f>IF(ISERROR(VLOOKUP($U$290,'TAR FIN CELESC'!$A$1:$O$92,15,0)),0,VLOOKUP($U$290,'TAR FIN CELESC'!$A$1:$O$92,15,0))</f>
        <v>287.39</v>
      </c>
      <c r="Y295" s="6"/>
      <c r="Z295" s="6">
        <f ca="1">('TUSD BE'!$AM$24+'TUSD BF_350'!$AM$24+'TUSD CVA'!$AM$24)*1</f>
        <v>310.49</v>
      </c>
      <c r="AA295" s="6">
        <f ca="1">('TE BE'!$AB$12+'TE BF_350'!$AB$12+'TE CVA'!$AB$12)*1</f>
        <v>262.52999999999997</v>
      </c>
      <c r="AB295" s="6">
        <f>$K$295*$V$295</f>
        <v>0</v>
      </c>
      <c r="AC295" s="6">
        <f>$M$295*$W$295</f>
        <v>1900.0359999999998</v>
      </c>
      <c r="AD295" s="6">
        <f>$O$295*$X$295</f>
        <v>2230.1463999999996</v>
      </c>
      <c r="AE295" s="6">
        <f>$K$295*$Y$295</f>
        <v>0</v>
      </c>
      <c r="AF295" s="6">
        <f ca="1">$M$295*$Z$295</f>
        <v>2409.4023999999999</v>
      </c>
      <c r="AG295" s="6">
        <f ca="1">$O$295*$AA$295</f>
        <v>2037.2327999999998</v>
      </c>
    </row>
    <row r="296" spans="1:33" ht="11.25" customHeight="1" x14ac:dyDescent="0.3">
      <c r="A296" s="4" t="s">
        <v>21</v>
      </c>
      <c r="B296" s="4" t="s">
        <v>22</v>
      </c>
      <c r="C296" s="4" t="s">
        <v>23</v>
      </c>
      <c r="D296" s="4" t="s">
        <v>24</v>
      </c>
      <c r="E296" s="4" t="s">
        <v>24</v>
      </c>
      <c r="F296" s="4" t="s">
        <v>25</v>
      </c>
      <c r="G296" s="4" t="s">
        <v>25</v>
      </c>
      <c r="H296" s="4" t="s">
        <v>25</v>
      </c>
      <c r="I296" s="5">
        <v>44501</v>
      </c>
      <c r="J296" s="6">
        <v>0</v>
      </c>
      <c r="K296" s="6">
        <v>0</v>
      </c>
      <c r="L296" s="6">
        <v>850.14300000000003</v>
      </c>
      <c r="M296" s="6">
        <v>850.14300000000003</v>
      </c>
      <c r="N296" s="6">
        <v>850.14300000000003</v>
      </c>
      <c r="O296" s="6">
        <v>850.14300000000003</v>
      </c>
      <c r="P296" s="6">
        <v>5097</v>
      </c>
      <c r="Q296" s="4" t="s">
        <v>26</v>
      </c>
      <c r="R296" s="4">
        <v>0</v>
      </c>
      <c r="S296" s="6">
        <v>0</v>
      </c>
      <c r="T296" s="6">
        <v>38</v>
      </c>
      <c r="U296" s="6">
        <v>89</v>
      </c>
      <c r="V296" s="6">
        <f>IF(ISERROR(VLOOKUP($S$296,'TAR FIN'!$A$1:$O$92,15,0)),0,VLOOKUP($S$296,'TAR FIN'!$A$1:$O$92,15,0))</f>
        <v>0</v>
      </c>
      <c r="W296" s="104">
        <f>IF(ISERROR(VLOOKUP($T$290,'TAR FIN CELESC'!$A$1:$O$92,15,0)),0,VLOOKUP($T$290,'TAR FIN CELESC'!$A$1:$O$92,15,0))</f>
        <v>244.85</v>
      </c>
      <c r="X296" s="104">
        <f>IF(ISERROR(VLOOKUP($U$290,'TAR FIN CELESC'!$A$1:$O$92,15,0)),0,VLOOKUP($U$290,'TAR FIN CELESC'!$A$1:$O$92,15,0))</f>
        <v>287.39</v>
      </c>
      <c r="Y296" s="6"/>
      <c r="Z296" s="6">
        <f ca="1">('TUSD BE'!$AM$24+'TUSD BF_350'!$AM$24+'TUSD CVA'!$AM$24)*1</f>
        <v>310.49</v>
      </c>
      <c r="AA296" s="6">
        <f ca="1">('TE BE'!$AB$12+'TE BF_350'!$AB$12+'TE CVA'!$AB$12)*1</f>
        <v>262.52999999999997</v>
      </c>
      <c r="AB296" s="6">
        <f>$K$296*$V$296</f>
        <v>0</v>
      </c>
      <c r="AC296" s="6">
        <f>$M$296*$W$296</f>
        <v>208157.51355</v>
      </c>
      <c r="AD296" s="6">
        <f>$O$296*$X$296</f>
        <v>244322.59677</v>
      </c>
      <c r="AE296" s="6">
        <f>$K$296*$Y$296</f>
        <v>0</v>
      </c>
      <c r="AF296" s="6">
        <f ca="1">$M$296*$Z$296</f>
        <v>263960.90007000003</v>
      </c>
      <c r="AG296" s="6">
        <f ca="1">$O$296*$AA$296</f>
        <v>223188.04178999999</v>
      </c>
    </row>
    <row r="297" spans="1:33" ht="11.25" customHeight="1" x14ac:dyDescent="0.3">
      <c r="A297" s="4" t="s">
        <v>27</v>
      </c>
      <c r="B297" s="4" t="s">
        <v>22</v>
      </c>
      <c r="C297" s="4" t="s">
        <v>23</v>
      </c>
      <c r="D297" s="4" t="s">
        <v>24</v>
      </c>
      <c r="E297" s="4" t="s">
        <v>24</v>
      </c>
      <c r="F297" s="4" t="s">
        <v>25</v>
      </c>
      <c r="G297" s="4" t="s">
        <v>25</v>
      </c>
      <c r="H297" s="4" t="s">
        <v>25</v>
      </c>
      <c r="I297" s="5">
        <v>44501</v>
      </c>
      <c r="J297" s="6">
        <v>0</v>
      </c>
      <c r="K297" s="6">
        <v>0</v>
      </c>
      <c r="L297" s="6">
        <v>6.6920000000000002</v>
      </c>
      <c r="M297" s="6">
        <v>6.6920000000000002</v>
      </c>
      <c r="N297" s="6">
        <v>6.6920000000000002</v>
      </c>
      <c r="O297" s="6">
        <v>6.6920000000000002</v>
      </c>
      <c r="P297" s="6">
        <v>72</v>
      </c>
      <c r="Q297" s="4" t="s">
        <v>26</v>
      </c>
      <c r="R297" s="4">
        <v>0</v>
      </c>
      <c r="S297" s="6">
        <v>0</v>
      </c>
      <c r="T297" s="6">
        <v>38</v>
      </c>
      <c r="U297" s="6">
        <v>89</v>
      </c>
      <c r="V297" s="6">
        <f>IF(ISERROR(VLOOKUP($S$297,'TAR FIN'!$A$1:$O$92,15,0)),0,VLOOKUP($S$297,'TAR FIN'!$A$1:$O$92,15,0))</f>
        <v>0</v>
      </c>
      <c r="W297" s="104">
        <f>IF(ISERROR(VLOOKUP($T$290,'TAR FIN CELESC'!$A$1:$O$92,15,0)),0,VLOOKUP($T$290,'TAR FIN CELESC'!$A$1:$O$92,15,0))</f>
        <v>244.85</v>
      </c>
      <c r="X297" s="104">
        <f>IF(ISERROR(VLOOKUP($U$290,'TAR FIN CELESC'!$A$1:$O$92,15,0)),0,VLOOKUP($U$290,'TAR FIN CELESC'!$A$1:$O$92,15,0))</f>
        <v>287.39</v>
      </c>
      <c r="Y297" s="6"/>
      <c r="Z297" s="6">
        <f ca="1">('TUSD BE'!$AM$24+'TUSD BF_350'!$AM$24+'TUSD CVA'!$AM$24)*1</f>
        <v>310.49</v>
      </c>
      <c r="AA297" s="6">
        <f ca="1">('TE BE'!$AB$12+'TE BF_350'!$AB$12+'TE CVA'!$AB$12)*1</f>
        <v>262.52999999999997</v>
      </c>
      <c r="AB297" s="6">
        <f>$K$297*$V$297</f>
        <v>0</v>
      </c>
      <c r="AC297" s="6">
        <f>$M$297*$W$297</f>
        <v>1638.5362</v>
      </c>
      <c r="AD297" s="6">
        <f>$O$297*$X$297</f>
        <v>1923.21388</v>
      </c>
      <c r="AE297" s="6">
        <f>$K$297*$Y$297</f>
        <v>0</v>
      </c>
      <c r="AF297" s="6">
        <f ca="1">$M$297*$Z$297</f>
        <v>2077.7990800000002</v>
      </c>
      <c r="AG297" s="6">
        <f ca="1">$O$297*$AA$297</f>
        <v>1756.8507599999998</v>
      </c>
    </row>
    <row r="298" spans="1:33" ht="11.25" customHeight="1" x14ac:dyDescent="0.3">
      <c r="A298" s="4" t="s">
        <v>21</v>
      </c>
      <c r="B298" s="4" t="s">
        <v>22</v>
      </c>
      <c r="C298" s="4" t="s">
        <v>23</v>
      </c>
      <c r="D298" s="4" t="s">
        <v>24</v>
      </c>
      <c r="E298" s="4" t="s">
        <v>24</v>
      </c>
      <c r="F298" s="4" t="s">
        <v>25</v>
      </c>
      <c r="G298" s="4" t="s">
        <v>25</v>
      </c>
      <c r="H298" s="4" t="s">
        <v>25</v>
      </c>
      <c r="I298" s="5">
        <v>44531</v>
      </c>
      <c r="J298" s="6">
        <v>0</v>
      </c>
      <c r="K298" s="6">
        <v>0</v>
      </c>
      <c r="L298" s="6">
        <v>960.702</v>
      </c>
      <c r="M298" s="6">
        <v>960.702</v>
      </c>
      <c r="N298" s="6">
        <v>960.702</v>
      </c>
      <c r="O298" s="6">
        <v>960.702</v>
      </c>
      <c r="P298" s="6">
        <v>5105</v>
      </c>
      <c r="Q298" s="4" t="s">
        <v>26</v>
      </c>
      <c r="R298" s="4">
        <v>0</v>
      </c>
      <c r="S298" s="6">
        <v>0</v>
      </c>
      <c r="T298" s="6">
        <v>38</v>
      </c>
      <c r="U298" s="6">
        <v>89</v>
      </c>
      <c r="V298" s="6">
        <f>IF(ISERROR(VLOOKUP($S$298,'TAR FIN'!$A$1:$O$92,15,0)),0,VLOOKUP($S$298,'TAR FIN'!$A$1:$O$92,15,0))</f>
        <v>0</v>
      </c>
      <c r="W298" s="104">
        <f>IF(ISERROR(VLOOKUP($T$290,'TAR FIN CELESC'!$A$1:$O$92,15,0)),0,VLOOKUP($T$290,'TAR FIN CELESC'!$A$1:$O$92,15,0))</f>
        <v>244.85</v>
      </c>
      <c r="X298" s="104">
        <f>IF(ISERROR(VLOOKUP($U$290,'TAR FIN CELESC'!$A$1:$O$92,15,0)),0,VLOOKUP($U$290,'TAR FIN CELESC'!$A$1:$O$92,15,0))</f>
        <v>287.39</v>
      </c>
      <c r="Y298" s="6"/>
      <c r="Z298" s="6">
        <f ca="1">('TUSD BE'!$AM$24+'TUSD BF_350'!$AM$24+'TUSD CVA'!$AM$24)*1</f>
        <v>310.49</v>
      </c>
      <c r="AA298" s="6">
        <f ca="1">('TE BE'!$AB$12+'TE BF_350'!$AB$12+'TE CVA'!$AB$12)*1</f>
        <v>262.52999999999997</v>
      </c>
      <c r="AB298" s="6">
        <f>$K$298*$V$298</f>
        <v>0</v>
      </c>
      <c r="AC298" s="6">
        <f>$M$298*$W$298</f>
        <v>235227.8847</v>
      </c>
      <c r="AD298" s="6">
        <f>$O$298*$X$298</f>
        <v>276096.14778</v>
      </c>
      <c r="AE298" s="6">
        <f>$K$298*$Y$298</f>
        <v>0</v>
      </c>
      <c r="AF298" s="6">
        <f ca="1">$M$298*$Z$298</f>
        <v>298288.36398000002</v>
      </c>
      <c r="AG298" s="6">
        <f ca="1">$O$298*$AA$298</f>
        <v>252213.09605999998</v>
      </c>
    </row>
    <row r="299" spans="1:33" ht="11.25" customHeight="1" x14ac:dyDescent="0.3">
      <c r="A299" s="4" t="s">
        <v>27</v>
      </c>
      <c r="B299" s="4" t="s">
        <v>22</v>
      </c>
      <c r="C299" s="4" t="s">
        <v>23</v>
      </c>
      <c r="D299" s="4" t="s">
        <v>24</v>
      </c>
      <c r="E299" s="4" t="s">
        <v>24</v>
      </c>
      <c r="F299" s="4" t="s">
        <v>25</v>
      </c>
      <c r="G299" s="4" t="s">
        <v>25</v>
      </c>
      <c r="H299" s="4" t="s">
        <v>25</v>
      </c>
      <c r="I299" s="5">
        <v>44531</v>
      </c>
      <c r="J299" s="6">
        <v>0</v>
      </c>
      <c r="K299" s="6">
        <v>0</v>
      </c>
      <c r="L299" s="6">
        <v>7.8049999999999997</v>
      </c>
      <c r="M299" s="6">
        <v>7.8049999999999997</v>
      </c>
      <c r="N299" s="6">
        <v>7.8049999999999997</v>
      </c>
      <c r="O299" s="6">
        <v>7.8049999999999997</v>
      </c>
      <c r="P299" s="6">
        <v>78</v>
      </c>
      <c r="Q299" s="4" t="s">
        <v>26</v>
      </c>
      <c r="R299" s="4">
        <v>0</v>
      </c>
      <c r="S299" s="6">
        <v>0</v>
      </c>
      <c r="T299" s="6">
        <v>38</v>
      </c>
      <c r="U299" s="6">
        <v>89</v>
      </c>
      <c r="V299" s="6">
        <f>IF(ISERROR(VLOOKUP($S$299,'TAR FIN'!$A$1:$O$92,15,0)),0,VLOOKUP($S$299,'TAR FIN'!$A$1:$O$92,15,0))</f>
        <v>0</v>
      </c>
      <c r="W299" s="104">
        <f>IF(ISERROR(VLOOKUP($T$290,'TAR FIN CELESC'!$A$1:$O$92,15,0)),0,VLOOKUP($T$290,'TAR FIN CELESC'!$A$1:$O$92,15,0))</f>
        <v>244.85</v>
      </c>
      <c r="X299" s="104">
        <f>IF(ISERROR(VLOOKUP($U$290,'TAR FIN CELESC'!$A$1:$O$92,15,0)),0,VLOOKUP($U$290,'TAR FIN CELESC'!$A$1:$O$92,15,0))</f>
        <v>287.39</v>
      </c>
      <c r="Y299" s="6"/>
      <c r="Z299" s="6">
        <f ca="1">('TUSD BE'!$AM$24+'TUSD BF_350'!$AM$24+'TUSD CVA'!$AM$24)*1</f>
        <v>310.49</v>
      </c>
      <c r="AA299" s="6">
        <f ca="1">('TE BE'!$AB$12+'TE BF_350'!$AB$12+'TE CVA'!$AB$12)*1</f>
        <v>262.52999999999997</v>
      </c>
      <c r="AB299" s="6">
        <f>$K$299*$V$299</f>
        <v>0</v>
      </c>
      <c r="AC299" s="6">
        <f>$M$299*$W$299</f>
        <v>1911.0542499999999</v>
      </c>
      <c r="AD299" s="6">
        <f>$O$299*$X$299</f>
        <v>2243.0789499999996</v>
      </c>
      <c r="AE299" s="6">
        <f>$K$299*$Y$299</f>
        <v>0</v>
      </c>
      <c r="AF299" s="6">
        <f ca="1">$M$299*$Z$299</f>
        <v>2423.3744499999998</v>
      </c>
      <c r="AG299" s="6">
        <f ca="1">$O$299*$AA$299</f>
        <v>2049.0466499999998</v>
      </c>
    </row>
    <row r="300" spans="1:33" ht="11.25" customHeight="1" x14ac:dyDescent="0.3">
      <c r="A300" s="4" t="s">
        <v>21</v>
      </c>
      <c r="B300" s="4" t="s">
        <v>22</v>
      </c>
      <c r="C300" s="4" t="s">
        <v>23</v>
      </c>
      <c r="D300" s="4" t="s">
        <v>24</v>
      </c>
      <c r="E300" s="4" t="s">
        <v>24</v>
      </c>
      <c r="F300" s="4" t="s">
        <v>25</v>
      </c>
      <c r="G300" s="4" t="s">
        <v>25</v>
      </c>
      <c r="H300" s="4" t="s">
        <v>25</v>
      </c>
      <c r="I300" s="5">
        <v>44562</v>
      </c>
      <c r="J300" s="6">
        <v>0</v>
      </c>
      <c r="K300" s="6">
        <v>0</v>
      </c>
      <c r="L300" s="6">
        <v>935.45699999999999</v>
      </c>
      <c r="M300" s="6">
        <v>935.45699999999999</v>
      </c>
      <c r="N300" s="6">
        <v>935.45699999999999</v>
      </c>
      <c r="O300" s="6">
        <v>935.45699999999999</v>
      </c>
      <c r="P300" s="6">
        <v>5108</v>
      </c>
      <c r="Q300" s="4" t="s">
        <v>26</v>
      </c>
      <c r="R300" s="4">
        <v>0</v>
      </c>
      <c r="S300" s="6">
        <v>0</v>
      </c>
      <c r="T300" s="6">
        <v>38</v>
      </c>
      <c r="U300" s="6">
        <v>89</v>
      </c>
      <c r="V300" s="6">
        <f>IF(ISERROR(VLOOKUP($S$300,'TAR FIN'!$A$1:$O$92,15,0)),0,VLOOKUP($S$300,'TAR FIN'!$A$1:$O$92,15,0))</f>
        <v>0</v>
      </c>
      <c r="W300" s="104">
        <f>IF(ISERROR(VLOOKUP($T$290,'TAR FIN CELESC'!$A$1:$O$92,15,0)),0,VLOOKUP($T$290,'TAR FIN CELESC'!$A$1:$O$92,15,0))</f>
        <v>244.85</v>
      </c>
      <c r="X300" s="104">
        <f>IF(ISERROR(VLOOKUP($U$290,'TAR FIN CELESC'!$A$1:$O$92,15,0)),0,VLOOKUP($U$290,'TAR FIN CELESC'!$A$1:$O$92,15,0))</f>
        <v>287.39</v>
      </c>
      <c r="Y300" s="6"/>
      <c r="Z300" s="6">
        <f ca="1">('TUSD BE'!$AM$24+'TUSD BF_350'!$AM$24+'TUSD CVA'!$AM$24)*1</f>
        <v>310.49</v>
      </c>
      <c r="AA300" s="6">
        <f ca="1">('TE BE'!$AB$12+'TE BF_350'!$AB$12+'TE CVA'!$AB$12)*1</f>
        <v>262.52999999999997</v>
      </c>
      <c r="AB300" s="6">
        <f>$K$300*$V$300</f>
        <v>0</v>
      </c>
      <c r="AC300" s="6">
        <f>$M$300*$W$300</f>
        <v>229046.64645</v>
      </c>
      <c r="AD300" s="6">
        <f>$O$300*$X$300</f>
        <v>268840.98722999997</v>
      </c>
      <c r="AE300" s="6">
        <f>$K$300*$Y$300</f>
        <v>0</v>
      </c>
      <c r="AF300" s="6">
        <f ca="1">$M$300*$Z$300</f>
        <v>290450.04392999999</v>
      </c>
      <c r="AG300" s="6">
        <f ca="1">$O$300*$AA$300</f>
        <v>245585.52620999998</v>
      </c>
    </row>
    <row r="301" spans="1:33" ht="11.25" customHeight="1" x14ac:dyDescent="0.3">
      <c r="A301" s="4" t="s">
        <v>27</v>
      </c>
      <c r="B301" s="4" t="s">
        <v>22</v>
      </c>
      <c r="C301" s="4" t="s">
        <v>23</v>
      </c>
      <c r="D301" s="4" t="s">
        <v>24</v>
      </c>
      <c r="E301" s="4" t="s">
        <v>24</v>
      </c>
      <c r="F301" s="4" t="s">
        <v>25</v>
      </c>
      <c r="G301" s="4" t="s">
        <v>25</v>
      </c>
      <c r="H301" s="4" t="s">
        <v>25</v>
      </c>
      <c r="I301" s="5">
        <v>44562</v>
      </c>
      <c r="J301" s="6">
        <v>0</v>
      </c>
      <c r="K301" s="6">
        <v>0</v>
      </c>
      <c r="L301" s="6">
        <v>8.8699999999999992</v>
      </c>
      <c r="M301" s="6">
        <v>8.8699999999999992</v>
      </c>
      <c r="N301" s="6">
        <v>8.8699999999999992</v>
      </c>
      <c r="O301" s="6">
        <v>8.8699999999999992</v>
      </c>
      <c r="P301" s="6">
        <v>84</v>
      </c>
      <c r="Q301" s="4" t="s">
        <v>26</v>
      </c>
      <c r="R301" s="4">
        <v>0</v>
      </c>
      <c r="S301" s="6">
        <v>0</v>
      </c>
      <c r="T301" s="6">
        <v>38</v>
      </c>
      <c r="U301" s="6">
        <v>89</v>
      </c>
      <c r="V301" s="6">
        <f>IF(ISERROR(VLOOKUP($S$301,'TAR FIN'!$A$1:$O$92,15,0)),0,VLOOKUP($S$301,'TAR FIN'!$A$1:$O$92,15,0))</f>
        <v>0</v>
      </c>
      <c r="W301" s="104">
        <f>IF(ISERROR(VLOOKUP($T$290,'TAR FIN CELESC'!$A$1:$O$92,15,0)),0,VLOOKUP($T$290,'TAR FIN CELESC'!$A$1:$O$92,15,0))</f>
        <v>244.85</v>
      </c>
      <c r="X301" s="104">
        <f>IF(ISERROR(VLOOKUP($U$290,'TAR FIN CELESC'!$A$1:$O$92,15,0)),0,VLOOKUP($U$290,'TAR FIN CELESC'!$A$1:$O$92,15,0))</f>
        <v>287.39</v>
      </c>
      <c r="Y301" s="6"/>
      <c r="Z301" s="6">
        <f ca="1">('TUSD BE'!$AM$24+'TUSD BF_350'!$AM$24+'TUSD CVA'!$AM$24)*1</f>
        <v>310.49</v>
      </c>
      <c r="AA301" s="6">
        <f ca="1">('TE BE'!$AB$12+'TE BF_350'!$AB$12+'TE CVA'!$AB$12)*1</f>
        <v>262.52999999999997</v>
      </c>
      <c r="AB301" s="6">
        <f>$K$301*$V$301</f>
        <v>0</v>
      </c>
      <c r="AC301" s="6">
        <f>$M$301*$W$301</f>
        <v>2171.8194999999996</v>
      </c>
      <c r="AD301" s="6">
        <f>$O$301*$X$301</f>
        <v>2549.1492999999996</v>
      </c>
      <c r="AE301" s="6">
        <f>$K$301*$Y$301</f>
        <v>0</v>
      </c>
      <c r="AF301" s="6">
        <f ca="1">$M$301*$Z$301</f>
        <v>2754.0463</v>
      </c>
      <c r="AG301" s="6">
        <f ca="1">$O$301*$AA$301</f>
        <v>2328.6410999999994</v>
      </c>
    </row>
    <row r="302" spans="1:33" ht="11.25" customHeight="1" x14ac:dyDescent="0.3">
      <c r="A302" s="4" t="s">
        <v>21</v>
      </c>
      <c r="B302" s="4" t="s">
        <v>22</v>
      </c>
      <c r="C302" s="4" t="s">
        <v>23</v>
      </c>
      <c r="D302" s="4" t="s">
        <v>24</v>
      </c>
      <c r="E302" s="4" t="s">
        <v>24</v>
      </c>
      <c r="F302" s="4" t="s">
        <v>25</v>
      </c>
      <c r="G302" s="4" t="s">
        <v>25</v>
      </c>
      <c r="H302" s="4" t="s">
        <v>25</v>
      </c>
      <c r="I302" s="5">
        <v>44593</v>
      </c>
      <c r="J302" s="6">
        <v>0</v>
      </c>
      <c r="K302" s="6">
        <v>0</v>
      </c>
      <c r="L302" s="6">
        <v>1210.3520000000001</v>
      </c>
      <c r="M302" s="6">
        <v>1210.3520000000001</v>
      </c>
      <c r="N302" s="6">
        <v>1210.3520000000001</v>
      </c>
      <c r="O302" s="6">
        <v>1210.3520000000001</v>
      </c>
      <c r="P302" s="6">
        <v>5094</v>
      </c>
      <c r="Q302" s="4" t="s">
        <v>26</v>
      </c>
      <c r="R302" s="4">
        <v>0</v>
      </c>
      <c r="S302" s="6">
        <v>0</v>
      </c>
      <c r="T302" s="6">
        <v>38</v>
      </c>
      <c r="U302" s="6">
        <v>89</v>
      </c>
      <c r="V302" s="6">
        <f>IF(ISERROR(VLOOKUP($S$302,'TAR FIN'!$A$1:$O$92,15,0)),0,VLOOKUP($S$302,'TAR FIN'!$A$1:$O$92,15,0))</f>
        <v>0</v>
      </c>
      <c r="W302" s="104">
        <f>IF(ISERROR(VLOOKUP($T$290,'TAR FIN CELESC'!$A$1:$O$92,15,0)),0,VLOOKUP($T$290,'TAR FIN CELESC'!$A$1:$O$92,15,0))</f>
        <v>244.85</v>
      </c>
      <c r="X302" s="104">
        <f>IF(ISERROR(VLOOKUP($U$290,'TAR FIN CELESC'!$A$1:$O$92,15,0)),0,VLOOKUP($U$290,'TAR FIN CELESC'!$A$1:$O$92,15,0))</f>
        <v>287.39</v>
      </c>
      <c r="Y302" s="6"/>
      <c r="Z302" s="6">
        <f ca="1">('TUSD BE'!$AM$24+'TUSD BF_350'!$AM$24+'TUSD CVA'!$AM$24)*1</f>
        <v>310.49</v>
      </c>
      <c r="AA302" s="6">
        <f ca="1">('TE BE'!$AB$12+'TE BF_350'!$AB$12+'TE CVA'!$AB$12)*1</f>
        <v>262.52999999999997</v>
      </c>
      <c r="AB302" s="6">
        <f>$K$302*$V$302</f>
        <v>0</v>
      </c>
      <c r="AC302" s="6">
        <f>$M$302*$W$302</f>
        <v>296354.68720000004</v>
      </c>
      <c r="AD302" s="6">
        <f>$O$302*$X$302</f>
        <v>347843.06128000002</v>
      </c>
      <c r="AE302" s="6">
        <f>$K$302*$Y$302</f>
        <v>0</v>
      </c>
      <c r="AF302" s="6">
        <f ca="1">$M$302*$Z$302</f>
        <v>375802.19248000003</v>
      </c>
      <c r="AG302" s="6">
        <f ca="1">$O$302*$AA$302</f>
        <v>317753.71055999998</v>
      </c>
    </row>
    <row r="303" spans="1:33" ht="11.25" customHeight="1" x14ac:dyDescent="0.3">
      <c r="A303" s="4" t="s">
        <v>27</v>
      </c>
      <c r="B303" s="4" t="s">
        <v>22</v>
      </c>
      <c r="C303" s="4" t="s">
        <v>23</v>
      </c>
      <c r="D303" s="4" t="s">
        <v>24</v>
      </c>
      <c r="E303" s="4" t="s">
        <v>24</v>
      </c>
      <c r="F303" s="4" t="s">
        <v>25</v>
      </c>
      <c r="G303" s="4" t="s">
        <v>25</v>
      </c>
      <c r="H303" s="4" t="s">
        <v>25</v>
      </c>
      <c r="I303" s="5">
        <v>44593</v>
      </c>
      <c r="J303" s="6">
        <v>0</v>
      </c>
      <c r="K303" s="6">
        <v>0</v>
      </c>
      <c r="L303" s="6">
        <v>12.363</v>
      </c>
      <c r="M303" s="6">
        <v>12.363</v>
      </c>
      <c r="N303" s="6">
        <v>12.363</v>
      </c>
      <c r="O303" s="6">
        <v>12.363</v>
      </c>
      <c r="P303" s="6">
        <v>85</v>
      </c>
      <c r="Q303" s="4" t="s">
        <v>26</v>
      </c>
      <c r="R303" s="4">
        <v>0</v>
      </c>
      <c r="S303" s="6">
        <v>0</v>
      </c>
      <c r="T303" s="6">
        <v>38</v>
      </c>
      <c r="U303" s="6">
        <v>89</v>
      </c>
      <c r="V303" s="6">
        <f>IF(ISERROR(VLOOKUP($S$303,'TAR FIN'!$A$1:$O$92,15,0)),0,VLOOKUP($S$303,'TAR FIN'!$A$1:$O$92,15,0))</f>
        <v>0</v>
      </c>
      <c r="W303" s="104">
        <f>IF(ISERROR(VLOOKUP($T$290,'TAR FIN CELESC'!$A$1:$O$92,15,0)),0,VLOOKUP($T$290,'TAR FIN CELESC'!$A$1:$O$92,15,0))</f>
        <v>244.85</v>
      </c>
      <c r="X303" s="104">
        <f>IF(ISERROR(VLOOKUP($U$290,'TAR FIN CELESC'!$A$1:$O$92,15,0)),0,VLOOKUP($U$290,'TAR FIN CELESC'!$A$1:$O$92,15,0))</f>
        <v>287.39</v>
      </c>
      <c r="Y303" s="6"/>
      <c r="Z303" s="6">
        <f ca="1">('TUSD BE'!$AM$24+'TUSD BF_350'!$AM$24+'TUSD CVA'!$AM$24)*1</f>
        <v>310.49</v>
      </c>
      <c r="AA303" s="6">
        <f ca="1">('TE BE'!$AB$12+'TE BF_350'!$AB$12+'TE CVA'!$AB$12)*1</f>
        <v>262.52999999999997</v>
      </c>
      <c r="AB303" s="6">
        <f>$K$303*$V$303</f>
        <v>0</v>
      </c>
      <c r="AC303" s="6">
        <f>$M$303*$W$303</f>
        <v>3027.0805499999997</v>
      </c>
      <c r="AD303" s="6">
        <f>$O$303*$X$303</f>
        <v>3553.0025699999997</v>
      </c>
      <c r="AE303" s="6">
        <f>$K$303*$Y$303</f>
        <v>0</v>
      </c>
      <c r="AF303" s="6">
        <f ca="1">$M$303*$Z$303</f>
        <v>3838.5878699999998</v>
      </c>
      <c r="AG303" s="6">
        <f ca="1">$O$303*$AA$303</f>
        <v>3245.6583899999996</v>
      </c>
    </row>
    <row r="304" spans="1:33" ht="11.25" customHeight="1" x14ac:dyDescent="0.3">
      <c r="A304" s="4" t="s">
        <v>21</v>
      </c>
      <c r="B304" s="4" t="s">
        <v>22</v>
      </c>
      <c r="C304" s="4" t="s">
        <v>23</v>
      </c>
      <c r="D304" s="4" t="s">
        <v>24</v>
      </c>
      <c r="E304" s="4" t="s">
        <v>24</v>
      </c>
      <c r="F304" s="4" t="s">
        <v>25</v>
      </c>
      <c r="G304" s="4" t="s">
        <v>25</v>
      </c>
      <c r="H304" s="4" t="s">
        <v>25</v>
      </c>
      <c r="I304" s="5">
        <v>44621</v>
      </c>
      <c r="J304" s="6">
        <v>0</v>
      </c>
      <c r="K304" s="6">
        <v>0</v>
      </c>
      <c r="L304" s="6">
        <v>1064.2370000000001</v>
      </c>
      <c r="M304" s="6">
        <v>1064.2370000000001</v>
      </c>
      <c r="N304" s="6">
        <v>1064.2370000000001</v>
      </c>
      <c r="O304" s="6">
        <v>1064.2370000000001</v>
      </c>
      <c r="P304" s="6">
        <v>5065</v>
      </c>
      <c r="Q304" s="4" t="s">
        <v>26</v>
      </c>
      <c r="R304" s="4">
        <v>0</v>
      </c>
      <c r="S304" s="6">
        <v>0</v>
      </c>
      <c r="T304" s="6">
        <v>38</v>
      </c>
      <c r="U304" s="6">
        <v>89</v>
      </c>
      <c r="V304" s="6">
        <f>IF(ISERROR(VLOOKUP($S$304,'TAR FIN'!$A$1:$O$92,15,0)),0,VLOOKUP($S$304,'TAR FIN'!$A$1:$O$92,15,0))</f>
        <v>0</v>
      </c>
      <c r="W304" s="104">
        <f>IF(ISERROR(VLOOKUP($T$290,'TAR FIN CELESC'!$A$1:$O$92,15,0)),0,VLOOKUP($T$290,'TAR FIN CELESC'!$A$1:$O$92,15,0))</f>
        <v>244.85</v>
      </c>
      <c r="X304" s="104">
        <f>IF(ISERROR(VLOOKUP($U$290,'TAR FIN CELESC'!$A$1:$O$92,15,0)),0,VLOOKUP($U$290,'TAR FIN CELESC'!$A$1:$O$92,15,0))</f>
        <v>287.39</v>
      </c>
      <c r="Y304" s="6"/>
      <c r="Z304" s="6">
        <f ca="1">('TUSD BE'!$AM$24+'TUSD BF_350'!$AM$24+'TUSD CVA'!$AM$24)*1</f>
        <v>310.49</v>
      </c>
      <c r="AA304" s="6">
        <f ca="1">('TE BE'!$AB$12+'TE BF_350'!$AB$12+'TE CVA'!$AB$12)*1</f>
        <v>262.52999999999997</v>
      </c>
      <c r="AB304" s="6">
        <f>$K$304*$V$304</f>
        <v>0</v>
      </c>
      <c r="AC304" s="6">
        <f>$M$304*$W$304</f>
        <v>260578.42945000003</v>
      </c>
      <c r="AD304" s="6">
        <f>$O$304*$X$304</f>
        <v>305851.07143000001</v>
      </c>
      <c r="AE304" s="6">
        <f>$K$304*$Y$304</f>
        <v>0</v>
      </c>
      <c r="AF304" s="6">
        <f ca="1">$M$304*$Z$304</f>
        <v>330434.94613000005</v>
      </c>
      <c r="AG304" s="6">
        <f ca="1">$O$304*$AA$304</f>
        <v>279394.13961000001</v>
      </c>
    </row>
    <row r="305" spans="1:33" ht="11.25" customHeight="1" x14ac:dyDescent="0.3">
      <c r="A305" s="4" t="s">
        <v>27</v>
      </c>
      <c r="B305" s="4" t="s">
        <v>22</v>
      </c>
      <c r="C305" s="4" t="s">
        <v>23</v>
      </c>
      <c r="D305" s="4" t="s">
        <v>24</v>
      </c>
      <c r="E305" s="4" t="s">
        <v>24</v>
      </c>
      <c r="F305" s="4" t="s">
        <v>25</v>
      </c>
      <c r="G305" s="4" t="s">
        <v>25</v>
      </c>
      <c r="H305" s="4" t="s">
        <v>25</v>
      </c>
      <c r="I305" s="5">
        <v>44621</v>
      </c>
      <c r="J305" s="6">
        <v>0</v>
      </c>
      <c r="K305" s="6">
        <v>0</v>
      </c>
      <c r="L305" s="6">
        <v>11.416</v>
      </c>
      <c r="M305" s="6">
        <v>11.416</v>
      </c>
      <c r="N305" s="6">
        <v>11.416</v>
      </c>
      <c r="O305" s="6">
        <v>11.416</v>
      </c>
      <c r="P305" s="6">
        <v>91</v>
      </c>
      <c r="Q305" s="4" t="s">
        <v>26</v>
      </c>
      <c r="R305" s="4">
        <v>0</v>
      </c>
      <c r="S305" s="6">
        <v>0</v>
      </c>
      <c r="T305" s="6">
        <v>38</v>
      </c>
      <c r="U305" s="6">
        <v>89</v>
      </c>
      <c r="V305" s="6">
        <f>IF(ISERROR(VLOOKUP($S$305,'TAR FIN'!$A$1:$O$92,15,0)),0,VLOOKUP($S$305,'TAR FIN'!$A$1:$O$92,15,0))</f>
        <v>0</v>
      </c>
      <c r="W305" s="104">
        <f>IF(ISERROR(VLOOKUP($T$290,'TAR FIN CELESC'!$A$1:$O$92,15,0)),0,VLOOKUP($T$290,'TAR FIN CELESC'!$A$1:$O$92,15,0))</f>
        <v>244.85</v>
      </c>
      <c r="X305" s="104">
        <f>IF(ISERROR(VLOOKUP($U$290,'TAR FIN CELESC'!$A$1:$O$92,15,0)),0,VLOOKUP($U$290,'TAR FIN CELESC'!$A$1:$O$92,15,0))</f>
        <v>287.39</v>
      </c>
      <c r="Y305" s="6"/>
      <c r="Z305" s="6">
        <f ca="1">('TUSD BE'!$AM$24+'TUSD BF_350'!$AM$24+'TUSD CVA'!$AM$24)*1</f>
        <v>310.49</v>
      </c>
      <c r="AA305" s="6">
        <f ca="1">('TE BE'!$AB$12+'TE BF_350'!$AB$12+'TE CVA'!$AB$12)*1</f>
        <v>262.52999999999997</v>
      </c>
      <c r="AB305" s="6">
        <f>$K$305*$V$305</f>
        <v>0</v>
      </c>
      <c r="AC305" s="6">
        <f>$M$305*$W$305</f>
        <v>2795.2076000000002</v>
      </c>
      <c r="AD305" s="6">
        <f>$O$305*$X$305</f>
        <v>3280.8442399999999</v>
      </c>
      <c r="AE305" s="6">
        <f>$K$305*$Y$305</f>
        <v>0</v>
      </c>
      <c r="AF305" s="6">
        <f ca="1">$M$305*$Z$305</f>
        <v>3544.55384</v>
      </c>
      <c r="AG305" s="6">
        <f ca="1">$O$305*$AA$305</f>
        <v>2997.0424799999996</v>
      </c>
    </row>
    <row r="306" spans="1:33" ht="11.25" customHeight="1" x14ac:dyDescent="0.3">
      <c r="A306" s="4" t="s">
        <v>21</v>
      </c>
      <c r="B306" s="4" t="s">
        <v>22</v>
      </c>
      <c r="C306" s="4" t="s">
        <v>23</v>
      </c>
      <c r="D306" s="4" t="s">
        <v>24</v>
      </c>
      <c r="E306" s="4" t="s">
        <v>24</v>
      </c>
      <c r="F306" s="4" t="s">
        <v>25</v>
      </c>
      <c r="G306" s="4" t="s">
        <v>25</v>
      </c>
      <c r="H306" s="4" t="s">
        <v>25</v>
      </c>
      <c r="I306" s="5">
        <v>44652</v>
      </c>
      <c r="J306" s="6">
        <v>0</v>
      </c>
      <c r="K306" s="6">
        <v>0</v>
      </c>
      <c r="L306" s="6">
        <v>938.63199999999995</v>
      </c>
      <c r="M306" s="6">
        <v>938.63199999999995</v>
      </c>
      <c r="N306" s="6">
        <v>938.63199999999995</v>
      </c>
      <c r="O306" s="6">
        <v>938.63199999999995</v>
      </c>
      <c r="P306" s="6">
        <v>5073</v>
      </c>
      <c r="Q306" s="4" t="s">
        <v>26</v>
      </c>
      <c r="R306" s="4">
        <v>0</v>
      </c>
      <c r="S306" s="6">
        <v>0</v>
      </c>
      <c r="T306" s="6">
        <v>38</v>
      </c>
      <c r="U306" s="6">
        <v>89</v>
      </c>
      <c r="V306" s="6">
        <f>IF(ISERROR(VLOOKUP($S$306,'TAR FIN'!$A$1:$O$92,15,0)),0,VLOOKUP($S$306,'TAR FIN'!$A$1:$O$92,15,0))</f>
        <v>0</v>
      </c>
      <c r="W306" s="104">
        <f>IF(ISERROR(VLOOKUP($T$290,'TAR FIN CELESC'!$A$1:$O$92,15,0)),0,VLOOKUP($T$290,'TAR FIN CELESC'!$A$1:$O$92,15,0))</f>
        <v>244.85</v>
      </c>
      <c r="X306" s="104">
        <f>IF(ISERROR(VLOOKUP($U$290,'TAR FIN CELESC'!$A$1:$O$92,15,0)),0,VLOOKUP($U$290,'TAR FIN CELESC'!$A$1:$O$92,15,0))</f>
        <v>287.39</v>
      </c>
      <c r="Y306" s="6"/>
      <c r="Z306" s="6">
        <f ca="1">('TUSD BE'!$AM$24+'TUSD BF_350'!$AM$24+'TUSD CVA'!$AM$24)*1</f>
        <v>310.49</v>
      </c>
      <c r="AA306" s="6">
        <f ca="1">('TE BE'!$AB$12+'TE BF_350'!$AB$12+'TE CVA'!$AB$12)*1</f>
        <v>262.52999999999997</v>
      </c>
      <c r="AB306" s="6">
        <f>$K$306*$V$306</f>
        <v>0</v>
      </c>
      <c r="AC306" s="6">
        <f>$M$306*$W$306</f>
        <v>229824.04519999999</v>
      </c>
      <c r="AD306" s="6">
        <f>$O$306*$X$306</f>
        <v>269753.45048</v>
      </c>
      <c r="AE306" s="6">
        <f>$K$306*$Y$306</f>
        <v>0</v>
      </c>
      <c r="AF306" s="6">
        <f ca="1">$M$306*$Z$306</f>
        <v>291435.84967999998</v>
      </c>
      <c r="AG306" s="6">
        <f ca="1">$O$306*$AA$306</f>
        <v>246419.05895999997</v>
      </c>
    </row>
    <row r="307" spans="1:33" ht="11.25" customHeight="1" x14ac:dyDescent="0.3">
      <c r="A307" s="4" t="s">
        <v>27</v>
      </c>
      <c r="B307" s="4" t="s">
        <v>22</v>
      </c>
      <c r="C307" s="4" t="s">
        <v>23</v>
      </c>
      <c r="D307" s="4" t="s">
        <v>24</v>
      </c>
      <c r="E307" s="4" t="s">
        <v>24</v>
      </c>
      <c r="F307" s="4" t="s">
        <v>25</v>
      </c>
      <c r="G307" s="4" t="s">
        <v>25</v>
      </c>
      <c r="H307" s="4" t="s">
        <v>25</v>
      </c>
      <c r="I307" s="5">
        <v>44652</v>
      </c>
      <c r="J307" s="6">
        <v>0</v>
      </c>
      <c r="K307" s="6">
        <v>0</v>
      </c>
      <c r="L307" s="6">
        <v>11.135999999999999</v>
      </c>
      <c r="M307" s="6">
        <v>11.135999999999999</v>
      </c>
      <c r="N307" s="6">
        <v>11.135999999999999</v>
      </c>
      <c r="O307" s="6">
        <v>11.135999999999999</v>
      </c>
      <c r="P307" s="6">
        <v>94</v>
      </c>
      <c r="Q307" s="4" t="s">
        <v>26</v>
      </c>
      <c r="R307" s="4">
        <v>0</v>
      </c>
      <c r="S307" s="6">
        <v>0</v>
      </c>
      <c r="T307" s="6">
        <v>38</v>
      </c>
      <c r="U307" s="6">
        <v>89</v>
      </c>
      <c r="V307" s="6">
        <f>IF(ISERROR(VLOOKUP($S$307,'TAR FIN'!$A$1:$O$92,15,0)),0,VLOOKUP($S$307,'TAR FIN'!$A$1:$O$92,15,0))</f>
        <v>0</v>
      </c>
      <c r="W307" s="104">
        <f>IF(ISERROR(VLOOKUP($T$290,'TAR FIN CELESC'!$A$1:$O$92,15,0)),0,VLOOKUP($T$290,'TAR FIN CELESC'!$A$1:$O$92,15,0))</f>
        <v>244.85</v>
      </c>
      <c r="X307" s="104">
        <f>IF(ISERROR(VLOOKUP($U$290,'TAR FIN CELESC'!$A$1:$O$92,15,0)),0,VLOOKUP($U$290,'TAR FIN CELESC'!$A$1:$O$92,15,0))</f>
        <v>287.39</v>
      </c>
      <c r="Y307" s="6"/>
      <c r="Z307" s="6">
        <f ca="1">('TUSD BE'!$AM$24+'TUSD BF_350'!$AM$24+'TUSD CVA'!$AM$24)*1</f>
        <v>310.49</v>
      </c>
      <c r="AA307" s="6">
        <f ca="1">('TE BE'!$AB$12+'TE BF_350'!$AB$12+'TE CVA'!$AB$12)*1</f>
        <v>262.52999999999997</v>
      </c>
      <c r="AB307" s="6">
        <f>$K$307*$V$307</f>
        <v>0</v>
      </c>
      <c r="AC307" s="6">
        <f>$M$307*$W$307</f>
        <v>2726.6495999999997</v>
      </c>
      <c r="AD307" s="6">
        <f>$O$307*$X$307</f>
        <v>3200.3750399999994</v>
      </c>
      <c r="AE307" s="6">
        <f>$K$307*$Y$307</f>
        <v>0</v>
      </c>
      <c r="AF307" s="6">
        <f ca="1">$M$307*$Z$307</f>
        <v>3457.6166399999997</v>
      </c>
      <c r="AG307" s="6">
        <f ca="1">$O$307*$AA$307</f>
        <v>2923.5340799999994</v>
      </c>
    </row>
    <row r="308" spans="1:33" ht="11.25" customHeight="1" x14ac:dyDescent="0.3">
      <c r="A308" s="4" t="s">
        <v>21</v>
      </c>
      <c r="B308" s="4" t="s">
        <v>22</v>
      </c>
      <c r="C308" s="4" t="s">
        <v>23</v>
      </c>
      <c r="D308" s="4" t="s">
        <v>24</v>
      </c>
      <c r="E308" s="4" t="s">
        <v>24</v>
      </c>
      <c r="F308" s="4" t="s">
        <v>25</v>
      </c>
      <c r="G308" s="4" t="s">
        <v>25</v>
      </c>
      <c r="H308" s="4" t="s">
        <v>25</v>
      </c>
      <c r="I308" s="5">
        <v>44682</v>
      </c>
      <c r="J308" s="6">
        <v>0</v>
      </c>
      <c r="K308" s="6">
        <v>0</v>
      </c>
      <c r="L308" s="6">
        <v>825.43399999999997</v>
      </c>
      <c r="M308" s="6">
        <v>825.43399999999997</v>
      </c>
      <c r="N308" s="6">
        <v>825.43399999999997</v>
      </c>
      <c r="O308" s="6">
        <v>825.43399999999997</v>
      </c>
      <c r="P308" s="6">
        <v>5049</v>
      </c>
      <c r="Q308" s="4" t="s">
        <v>26</v>
      </c>
      <c r="R308" s="4">
        <v>0</v>
      </c>
      <c r="S308" s="6">
        <v>0</v>
      </c>
      <c r="T308" s="6">
        <v>38</v>
      </c>
      <c r="U308" s="6">
        <v>89</v>
      </c>
      <c r="V308" s="6">
        <f>IF(ISERROR(VLOOKUP($S$308,'TAR FIN'!$A$1:$O$92,15,0)),0,VLOOKUP($S$308,'TAR FIN'!$A$1:$O$92,15,0))</f>
        <v>0</v>
      </c>
      <c r="W308" s="104">
        <f>IF(ISERROR(VLOOKUP($T$290,'TAR FIN CELESC'!$A$1:$O$92,15,0)),0,VLOOKUP($T$290,'TAR FIN CELESC'!$A$1:$O$92,15,0))</f>
        <v>244.85</v>
      </c>
      <c r="X308" s="104">
        <f>IF(ISERROR(VLOOKUP($U$290,'TAR FIN CELESC'!$A$1:$O$92,15,0)),0,VLOOKUP($U$290,'TAR FIN CELESC'!$A$1:$O$92,15,0))</f>
        <v>287.39</v>
      </c>
      <c r="Y308" s="6"/>
      <c r="Z308" s="6">
        <f ca="1">('TUSD BE'!$AM$24+'TUSD BF_350'!$AM$24+'TUSD CVA'!$AM$24)*1</f>
        <v>310.49</v>
      </c>
      <c r="AA308" s="6">
        <f ca="1">('TE BE'!$AB$12+'TE BF_350'!$AB$12+'TE CVA'!$AB$12)*1</f>
        <v>262.52999999999997</v>
      </c>
      <c r="AB308" s="6">
        <f>$K$308*$V$308</f>
        <v>0</v>
      </c>
      <c r="AC308" s="6">
        <f>$M$308*$W$308</f>
        <v>202107.51489999998</v>
      </c>
      <c r="AD308" s="6">
        <f>$O$308*$X$308</f>
        <v>237221.47725999999</v>
      </c>
      <c r="AE308" s="6">
        <f>$K$308*$Y$308</f>
        <v>0</v>
      </c>
      <c r="AF308" s="6">
        <f ca="1">$M$308*$Z$308</f>
        <v>256289.00266</v>
      </c>
      <c r="AG308" s="6">
        <f ca="1">$O$308*$AA$308</f>
        <v>216701.18801999997</v>
      </c>
    </row>
    <row r="309" spans="1:33" ht="11.25" customHeight="1" x14ac:dyDescent="0.3">
      <c r="A309" s="4" t="s">
        <v>27</v>
      </c>
      <c r="B309" s="4" t="s">
        <v>22</v>
      </c>
      <c r="C309" s="4" t="s">
        <v>23</v>
      </c>
      <c r="D309" s="4" t="s">
        <v>24</v>
      </c>
      <c r="E309" s="4" t="s">
        <v>24</v>
      </c>
      <c r="F309" s="4" t="s">
        <v>25</v>
      </c>
      <c r="G309" s="4" t="s">
        <v>25</v>
      </c>
      <c r="H309" s="4" t="s">
        <v>25</v>
      </c>
      <c r="I309" s="5">
        <v>44682</v>
      </c>
      <c r="J309" s="6">
        <v>0</v>
      </c>
      <c r="K309" s="6">
        <v>0</v>
      </c>
      <c r="L309" s="6">
        <v>8.3059999999999992</v>
      </c>
      <c r="M309" s="6">
        <v>8.3059999999999992</v>
      </c>
      <c r="N309" s="6">
        <v>8.3059999999999992</v>
      </c>
      <c r="O309" s="6">
        <v>8.3059999999999992</v>
      </c>
      <c r="P309" s="6">
        <v>100</v>
      </c>
      <c r="Q309" s="4" t="s">
        <v>26</v>
      </c>
      <c r="R309" s="4">
        <v>0</v>
      </c>
      <c r="S309" s="6">
        <v>0</v>
      </c>
      <c r="T309" s="6">
        <v>38</v>
      </c>
      <c r="U309" s="6">
        <v>89</v>
      </c>
      <c r="V309" s="6">
        <f>IF(ISERROR(VLOOKUP($S$309,'TAR FIN'!$A$1:$O$92,15,0)),0,VLOOKUP($S$309,'TAR FIN'!$A$1:$O$92,15,0))</f>
        <v>0</v>
      </c>
      <c r="W309" s="104">
        <f>IF(ISERROR(VLOOKUP($T$290,'TAR FIN CELESC'!$A$1:$O$92,15,0)),0,VLOOKUP($T$290,'TAR FIN CELESC'!$A$1:$O$92,15,0))</f>
        <v>244.85</v>
      </c>
      <c r="X309" s="104">
        <f>IF(ISERROR(VLOOKUP($U$290,'TAR FIN CELESC'!$A$1:$O$92,15,0)),0,VLOOKUP($U$290,'TAR FIN CELESC'!$A$1:$O$92,15,0))</f>
        <v>287.39</v>
      </c>
      <c r="Y309" s="6"/>
      <c r="Z309" s="6">
        <f ca="1">('TUSD BE'!$AM$24+'TUSD BF_350'!$AM$24+'TUSD CVA'!$AM$24)*1</f>
        <v>310.49</v>
      </c>
      <c r="AA309" s="6">
        <f ca="1">('TE BE'!$AB$12+'TE BF_350'!$AB$12+'TE CVA'!$AB$12)*1</f>
        <v>262.52999999999997</v>
      </c>
      <c r="AB309" s="6">
        <f>$K$309*$V$309</f>
        <v>0</v>
      </c>
      <c r="AC309" s="6">
        <f>$M$309*$W$309</f>
        <v>2033.7240999999997</v>
      </c>
      <c r="AD309" s="6">
        <f>$O$309*$X$309</f>
        <v>2387.0613399999997</v>
      </c>
      <c r="AE309" s="6">
        <f>$K$309*$Y$309</f>
        <v>0</v>
      </c>
      <c r="AF309" s="6">
        <f ca="1">$M$309*$Z$309</f>
        <v>2578.92994</v>
      </c>
      <c r="AG309" s="6">
        <f ca="1">$O$309*$AA$309</f>
        <v>2180.5741799999996</v>
      </c>
    </row>
    <row r="310" spans="1:33" ht="11.25" customHeight="1" x14ac:dyDescent="0.3">
      <c r="A310" s="4" t="s">
        <v>21</v>
      </c>
      <c r="B310" s="4" t="s">
        <v>22</v>
      </c>
      <c r="C310" s="4" t="s">
        <v>23</v>
      </c>
      <c r="D310" s="4" t="s">
        <v>24</v>
      </c>
      <c r="E310" s="4" t="s">
        <v>24</v>
      </c>
      <c r="F310" s="4" t="s">
        <v>25</v>
      </c>
      <c r="G310" s="4" t="s">
        <v>25</v>
      </c>
      <c r="H310" s="4" t="s">
        <v>25</v>
      </c>
      <c r="I310" s="5">
        <v>44713</v>
      </c>
      <c r="J310" s="6">
        <v>0</v>
      </c>
      <c r="K310" s="6">
        <v>0</v>
      </c>
      <c r="L310" s="6">
        <v>939.94399999999996</v>
      </c>
      <c r="M310" s="6">
        <v>939.94399999999996</v>
      </c>
      <c r="N310" s="6">
        <v>939.94399999999996</v>
      </c>
      <c r="O310" s="6">
        <v>939.94399999999996</v>
      </c>
      <c r="P310" s="6">
        <v>5130</v>
      </c>
      <c r="Q310" s="4" t="s">
        <v>26</v>
      </c>
      <c r="R310" s="4">
        <v>0</v>
      </c>
      <c r="S310" s="6">
        <v>0</v>
      </c>
      <c r="T310" s="6">
        <v>38</v>
      </c>
      <c r="U310" s="6">
        <v>89</v>
      </c>
      <c r="V310" s="6">
        <f>IF(ISERROR(VLOOKUP($S$310,'TAR FIN'!$A$1:$O$92,15,0)),0,VLOOKUP($S$310,'TAR FIN'!$A$1:$O$92,15,0))</f>
        <v>0</v>
      </c>
      <c r="W310" s="104">
        <f>IF(ISERROR(VLOOKUP($T$290,'TAR FIN CELESC'!$A$1:$O$92,15,0)),0,VLOOKUP($T$290,'TAR FIN CELESC'!$A$1:$O$92,15,0))</f>
        <v>244.85</v>
      </c>
      <c r="X310" s="104">
        <f>IF(ISERROR(VLOOKUP($U$290,'TAR FIN CELESC'!$A$1:$O$92,15,0)),0,VLOOKUP($U$290,'TAR FIN CELESC'!$A$1:$O$92,15,0))</f>
        <v>287.39</v>
      </c>
      <c r="Y310" s="6"/>
      <c r="Z310" s="6">
        <f ca="1">('TUSD BE'!$AM$24+'TUSD BF_350'!$AM$24+'TUSD CVA'!$AM$24)*1</f>
        <v>310.49</v>
      </c>
      <c r="AA310" s="6">
        <f ca="1">('TE BE'!$AB$12+'TE BF_350'!$AB$12+'TE CVA'!$AB$12)*1</f>
        <v>262.52999999999997</v>
      </c>
      <c r="AB310" s="6">
        <f>$K$310*$V$310</f>
        <v>0</v>
      </c>
      <c r="AC310" s="6">
        <f>$M$310*$W$310</f>
        <v>230145.28839999999</v>
      </c>
      <c r="AD310" s="6">
        <f>$O$310*$X$310</f>
        <v>270130.50615999999</v>
      </c>
      <c r="AE310" s="6">
        <f>$K$310*$Y$310</f>
        <v>0</v>
      </c>
      <c r="AF310" s="6">
        <f ca="1">$M$310*$Z$310</f>
        <v>291843.21256000001</v>
      </c>
      <c r="AG310" s="6">
        <f ca="1">$O$310*$AA$310</f>
        <v>246763.49831999996</v>
      </c>
    </row>
    <row r="311" spans="1:33" ht="11.25" customHeight="1" x14ac:dyDescent="0.3">
      <c r="A311" s="4" t="s">
        <v>27</v>
      </c>
      <c r="B311" s="4" t="s">
        <v>22</v>
      </c>
      <c r="C311" s="4" t="s">
        <v>23</v>
      </c>
      <c r="D311" s="4" t="s">
        <v>24</v>
      </c>
      <c r="E311" s="4" t="s">
        <v>24</v>
      </c>
      <c r="F311" s="4" t="s">
        <v>25</v>
      </c>
      <c r="G311" s="4" t="s">
        <v>25</v>
      </c>
      <c r="H311" s="4" t="s">
        <v>25</v>
      </c>
      <c r="I311" s="5">
        <v>44713</v>
      </c>
      <c r="J311" s="6">
        <v>0</v>
      </c>
      <c r="K311" s="6">
        <v>0</v>
      </c>
      <c r="L311" s="6">
        <v>12.606</v>
      </c>
      <c r="M311" s="6">
        <v>12.606</v>
      </c>
      <c r="N311" s="6">
        <v>12.606</v>
      </c>
      <c r="O311" s="6">
        <v>12.606</v>
      </c>
      <c r="P311" s="6">
        <v>101</v>
      </c>
      <c r="Q311" s="4" t="s">
        <v>26</v>
      </c>
      <c r="R311" s="4">
        <v>0</v>
      </c>
      <c r="S311" s="6">
        <v>0</v>
      </c>
      <c r="T311" s="6">
        <v>38</v>
      </c>
      <c r="U311" s="6">
        <v>89</v>
      </c>
      <c r="V311" s="6">
        <f>IF(ISERROR(VLOOKUP($S$311,'TAR FIN'!$A$1:$O$92,15,0)),0,VLOOKUP($S$311,'TAR FIN'!$A$1:$O$92,15,0))</f>
        <v>0</v>
      </c>
      <c r="W311" s="104">
        <f>IF(ISERROR(VLOOKUP($T$290,'TAR FIN CELESC'!$A$1:$O$92,15,0)),0,VLOOKUP($T$290,'TAR FIN CELESC'!$A$1:$O$92,15,0))</f>
        <v>244.85</v>
      </c>
      <c r="X311" s="104">
        <f>IF(ISERROR(VLOOKUP($U$290,'TAR FIN CELESC'!$A$1:$O$92,15,0)),0,VLOOKUP($U$290,'TAR FIN CELESC'!$A$1:$O$92,15,0))</f>
        <v>287.39</v>
      </c>
      <c r="Y311" s="6"/>
      <c r="Z311" s="6">
        <f ca="1">('TUSD BE'!$AM$24+'TUSD BF_350'!$AM$24+'TUSD CVA'!$AM$24)*1</f>
        <v>310.49</v>
      </c>
      <c r="AA311" s="6">
        <f ca="1">('TE BE'!$AB$12+'TE BF_350'!$AB$12+'TE CVA'!$AB$12)*1</f>
        <v>262.52999999999997</v>
      </c>
      <c r="AB311" s="6">
        <f>$K$311*$V$311</f>
        <v>0</v>
      </c>
      <c r="AC311" s="6">
        <f>$M$311*$W$311</f>
        <v>3086.5790999999999</v>
      </c>
      <c r="AD311" s="6">
        <f>$O$311*$X$311</f>
        <v>3622.8383399999998</v>
      </c>
      <c r="AE311" s="6">
        <f>$K$311*$Y$311</f>
        <v>0</v>
      </c>
      <c r="AF311" s="6">
        <f ca="1">$M$311*$Z$311</f>
        <v>3914.03694</v>
      </c>
      <c r="AG311" s="6">
        <f ca="1">$O$311*$AA$311</f>
        <v>3309.4531799999995</v>
      </c>
    </row>
    <row r="312" spans="1:33" ht="11.25" customHeight="1" x14ac:dyDescent="0.3">
      <c r="A312" s="4" t="s">
        <v>21</v>
      </c>
      <c r="B312" s="4" t="s">
        <v>22</v>
      </c>
      <c r="C312" s="4" t="s">
        <v>23</v>
      </c>
      <c r="D312" s="4" t="s">
        <v>24</v>
      </c>
      <c r="E312" s="4" t="s">
        <v>24</v>
      </c>
      <c r="F312" s="4" t="s">
        <v>25</v>
      </c>
      <c r="G312" s="4" t="s">
        <v>25</v>
      </c>
      <c r="H312" s="4" t="s">
        <v>25</v>
      </c>
      <c r="I312" s="5">
        <v>44743</v>
      </c>
      <c r="J312" s="6">
        <v>0</v>
      </c>
      <c r="K312" s="6">
        <v>0</v>
      </c>
      <c r="L312" s="6">
        <v>954.72799999999995</v>
      </c>
      <c r="M312" s="6">
        <v>954.72799999999995</v>
      </c>
      <c r="N312" s="6">
        <v>954.72799999999995</v>
      </c>
      <c r="O312" s="6">
        <v>954.72799999999995</v>
      </c>
      <c r="P312" s="6">
        <v>5090</v>
      </c>
      <c r="Q312" s="4" t="s">
        <v>26</v>
      </c>
      <c r="R312" s="4">
        <v>0</v>
      </c>
      <c r="S312" s="6">
        <v>0</v>
      </c>
      <c r="T312" s="6">
        <v>38</v>
      </c>
      <c r="U312" s="6">
        <v>89</v>
      </c>
      <c r="V312" s="6">
        <f>IF(ISERROR(VLOOKUP($S$312,'TAR FIN'!$A$1:$O$92,15,0)),0,VLOOKUP($S$312,'TAR FIN'!$A$1:$O$92,15,0))</f>
        <v>0</v>
      </c>
      <c r="W312" s="104">
        <f>IF(ISERROR(VLOOKUP($T$290,'TAR FIN CELESC'!$A$1:$O$92,15,0)),0,VLOOKUP($T$290,'TAR FIN CELESC'!$A$1:$O$92,15,0))</f>
        <v>244.85</v>
      </c>
      <c r="X312" s="104">
        <f>IF(ISERROR(VLOOKUP($U$290,'TAR FIN CELESC'!$A$1:$O$92,15,0)),0,VLOOKUP($U$290,'TAR FIN CELESC'!$A$1:$O$92,15,0))</f>
        <v>287.39</v>
      </c>
      <c r="Y312" s="6"/>
      <c r="Z312" s="6">
        <f ca="1">('TUSD BE'!$AM$24+'TUSD BF_350'!$AM$24+'TUSD CVA'!$AM$24)*1</f>
        <v>310.49</v>
      </c>
      <c r="AA312" s="6">
        <f ca="1">('TE BE'!$AB$12+'TE BF_350'!$AB$12+'TE CVA'!$AB$12)*1</f>
        <v>262.52999999999997</v>
      </c>
      <c r="AB312" s="6">
        <f>$K$312*$V$312</f>
        <v>0</v>
      </c>
      <c r="AC312" s="6">
        <f>$M$312*$W$312</f>
        <v>233765.15079999997</v>
      </c>
      <c r="AD312" s="6">
        <f>$O$312*$X$312</f>
        <v>274379.27992</v>
      </c>
      <c r="AE312" s="6">
        <f>$K$312*$Y$312</f>
        <v>0</v>
      </c>
      <c r="AF312" s="6">
        <f ca="1">$M$312*$Z$312</f>
        <v>296433.49672</v>
      </c>
      <c r="AG312" s="6">
        <f ca="1">$O$312*$AA$312</f>
        <v>250644.74183999997</v>
      </c>
    </row>
    <row r="313" spans="1:33" ht="11.25" customHeight="1" x14ac:dyDescent="0.3">
      <c r="A313" s="4" t="s">
        <v>27</v>
      </c>
      <c r="B313" s="4" t="s">
        <v>22</v>
      </c>
      <c r="C313" s="4" t="s">
        <v>23</v>
      </c>
      <c r="D313" s="4" t="s">
        <v>24</v>
      </c>
      <c r="E313" s="4" t="s">
        <v>24</v>
      </c>
      <c r="F313" s="4" t="s">
        <v>25</v>
      </c>
      <c r="G313" s="4" t="s">
        <v>25</v>
      </c>
      <c r="H313" s="4" t="s">
        <v>25</v>
      </c>
      <c r="I313" s="5">
        <v>44743</v>
      </c>
      <c r="J313" s="6">
        <v>0</v>
      </c>
      <c r="K313" s="6">
        <v>0</v>
      </c>
      <c r="L313" s="6">
        <v>17.584</v>
      </c>
      <c r="M313" s="6">
        <v>17.584</v>
      </c>
      <c r="N313" s="6">
        <v>17.584</v>
      </c>
      <c r="O313" s="6">
        <v>17.584</v>
      </c>
      <c r="P313" s="6">
        <v>104</v>
      </c>
      <c r="Q313" s="4" t="s">
        <v>26</v>
      </c>
      <c r="R313" s="4">
        <v>0</v>
      </c>
      <c r="S313" s="6">
        <v>0</v>
      </c>
      <c r="T313" s="6">
        <v>38</v>
      </c>
      <c r="U313" s="6">
        <v>89</v>
      </c>
      <c r="V313" s="6">
        <f>IF(ISERROR(VLOOKUP($S$313,'TAR FIN'!$A$1:$O$92,15,0)),0,VLOOKUP($S$313,'TAR FIN'!$A$1:$O$92,15,0))</f>
        <v>0</v>
      </c>
      <c r="W313" s="104">
        <f>IF(ISERROR(VLOOKUP($T$290,'TAR FIN CELESC'!$A$1:$O$92,15,0)),0,VLOOKUP($T$290,'TAR FIN CELESC'!$A$1:$O$92,15,0))</f>
        <v>244.85</v>
      </c>
      <c r="X313" s="104">
        <f>IF(ISERROR(VLOOKUP($U$290,'TAR FIN CELESC'!$A$1:$O$92,15,0)),0,VLOOKUP($U$290,'TAR FIN CELESC'!$A$1:$O$92,15,0))</f>
        <v>287.39</v>
      </c>
      <c r="Y313" s="6"/>
      <c r="Z313" s="6">
        <f ca="1">('TUSD BE'!$AM$24+'TUSD BF_350'!$AM$24+'TUSD CVA'!$AM$24)*1</f>
        <v>310.49</v>
      </c>
      <c r="AA313" s="6">
        <f ca="1">('TE BE'!$AB$12+'TE BF_350'!$AB$12+'TE CVA'!$AB$12)*1</f>
        <v>262.52999999999997</v>
      </c>
      <c r="AB313" s="6">
        <f>$K$313*$V$313</f>
        <v>0</v>
      </c>
      <c r="AC313" s="6">
        <f>$M$313*$W$313</f>
        <v>4305.4423999999999</v>
      </c>
      <c r="AD313" s="6">
        <f>$O$313*$X$313</f>
        <v>5053.46576</v>
      </c>
      <c r="AE313" s="6">
        <f>$K$313*$Y$313</f>
        <v>0</v>
      </c>
      <c r="AF313" s="6">
        <f ca="1">$M$313*$Z$313</f>
        <v>5459.6561600000005</v>
      </c>
      <c r="AG313" s="6">
        <f ca="1">$O$313*$AA$313</f>
        <v>4616.3275199999998</v>
      </c>
    </row>
    <row r="314" spans="1:33" ht="11.25" customHeight="1" x14ac:dyDescent="0.3">
      <c r="A314" s="4" t="s">
        <v>21</v>
      </c>
      <c r="B314" s="4" t="s">
        <v>22</v>
      </c>
      <c r="C314" s="4" t="s">
        <v>23</v>
      </c>
      <c r="D314" s="4" t="s">
        <v>24</v>
      </c>
      <c r="E314" s="4" t="s">
        <v>28</v>
      </c>
      <c r="F314" s="4" t="s">
        <v>25</v>
      </c>
      <c r="G314" s="4" t="s">
        <v>25</v>
      </c>
      <c r="H314" s="4" t="s">
        <v>25</v>
      </c>
      <c r="I314" s="5">
        <v>44409</v>
      </c>
      <c r="J314" s="6">
        <v>0</v>
      </c>
      <c r="K314" s="6">
        <v>0</v>
      </c>
      <c r="L314" s="6">
        <v>8.9700000000000006</v>
      </c>
      <c r="M314" s="6">
        <v>8.9700000000000006</v>
      </c>
      <c r="N314" s="6">
        <v>8.9700000000000006</v>
      </c>
      <c r="O314" s="6">
        <v>8.9700000000000006</v>
      </c>
      <c r="P314" s="6">
        <v>14</v>
      </c>
      <c r="Q314" s="4" t="s">
        <v>26</v>
      </c>
      <c r="R314" s="4">
        <v>0</v>
      </c>
      <c r="S314" s="6">
        <v>0</v>
      </c>
      <c r="T314" s="6">
        <v>41</v>
      </c>
      <c r="U314" s="6">
        <v>90</v>
      </c>
      <c r="V314" s="6">
        <f>IF(ISERROR(VLOOKUP($S$314,'TAR FIN'!$A$1:$O$92,15,0)),0,VLOOKUP($S$314,'TAR FIN'!$A$1:$O$92,15,0))</f>
        <v>0</v>
      </c>
      <c r="W314" s="104">
        <f>IF(ISERROR(VLOOKUP($T$314,'TAR FIN CELESC'!$A$1:$O$92,15,0)),0,VLOOKUP($T$314,'TAR FIN'!$A$1:$O$92,15,0))</f>
        <v>94.95</v>
      </c>
      <c r="X314" s="104">
        <f>IF(ISERROR(VLOOKUP($U$314,'TAR FIN'!$A$1:$O$92,15,0)),0,VLOOKUP($U$314,'TAR FIN CELESC'!$A$1:$O$92,15,0))</f>
        <v>100.59</v>
      </c>
      <c r="Y314" s="6"/>
      <c r="Z314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14" s="6">
        <f ca="1">('TE BE'!$AB$13+'TE BF_350'!$AB$13+'TE CVA'!$AB$13)*(1-CUSTOS!$M$34)</f>
        <v>91.885499999999979</v>
      </c>
      <c r="AB314" s="6">
        <f>$K$314*$V$314</f>
        <v>0</v>
      </c>
      <c r="AC314" s="6">
        <f>$M$314*$W$314</f>
        <v>851.70150000000012</v>
      </c>
      <c r="AD314" s="6">
        <f>$O$314*$X$314</f>
        <v>902.29230000000007</v>
      </c>
      <c r="AE314" s="6">
        <f>$K$314*$Y$314</f>
        <v>0</v>
      </c>
      <c r="AF314" s="6">
        <f ca="1">$M$314*$Z$314</f>
        <v>589.53530999999998</v>
      </c>
      <c r="AG314" s="6">
        <f ca="1">$O$314*$AA$314</f>
        <v>824.2129349999999</v>
      </c>
    </row>
    <row r="315" spans="1:33" ht="11.25" customHeight="1" x14ac:dyDescent="0.3">
      <c r="A315" s="4" t="s">
        <v>21</v>
      </c>
      <c r="B315" s="4" t="s">
        <v>22</v>
      </c>
      <c r="C315" s="4" t="s">
        <v>23</v>
      </c>
      <c r="D315" s="4" t="s">
        <v>24</v>
      </c>
      <c r="E315" s="4" t="s">
        <v>28</v>
      </c>
      <c r="F315" s="4" t="s">
        <v>25</v>
      </c>
      <c r="G315" s="4" t="s">
        <v>25</v>
      </c>
      <c r="H315" s="4" t="s">
        <v>25</v>
      </c>
      <c r="I315" s="5">
        <v>44440</v>
      </c>
      <c r="J315" s="6">
        <v>0</v>
      </c>
      <c r="K315" s="6">
        <v>0</v>
      </c>
      <c r="L315" s="6">
        <v>9.2100000000000009</v>
      </c>
      <c r="M315" s="6">
        <v>9.2100000000000009</v>
      </c>
      <c r="N315" s="6">
        <v>9.2100000000000009</v>
      </c>
      <c r="O315" s="6">
        <v>9.2100000000000009</v>
      </c>
      <c r="P315" s="6">
        <v>10</v>
      </c>
      <c r="Q315" s="4" t="s">
        <v>26</v>
      </c>
      <c r="R315" s="4">
        <v>0</v>
      </c>
      <c r="S315" s="6">
        <v>0</v>
      </c>
      <c r="T315" s="6">
        <v>41</v>
      </c>
      <c r="U315" s="6">
        <v>90</v>
      </c>
      <c r="V315" s="6">
        <f>IF(ISERROR(VLOOKUP($S$315,'TAR FIN'!$A$1:$O$92,15,0)),0,VLOOKUP($S$315,'TAR FIN'!$A$1:$O$92,15,0))</f>
        <v>0</v>
      </c>
      <c r="W315" s="104">
        <f>IF(ISERROR(VLOOKUP($T$314,'TAR FIN CELESC'!$A$1:$O$92,15,0)),0,VLOOKUP($T$314,'TAR FIN'!$A$1:$O$92,15,0))</f>
        <v>94.95</v>
      </c>
      <c r="X315" s="104">
        <f>IF(ISERROR(VLOOKUP($U$314,'TAR FIN'!$A$1:$O$92,15,0)),0,VLOOKUP($U$314,'TAR FIN CELESC'!$A$1:$O$92,15,0))</f>
        <v>100.59</v>
      </c>
      <c r="Y315" s="6"/>
      <c r="Z315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15" s="6">
        <f ca="1">('TE BE'!$AB$13+'TE BF_350'!$AB$13+'TE CVA'!$AB$13)*(1-CUSTOS!$M$34)</f>
        <v>91.885499999999979</v>
      </c>
      <c r="AB315" s="6">
        <f>$K$315*$V$315</f>
        <v>0</v>
      </c>
      <c r="AC315" s="6">
        <f>$M$315*$W$315</f>
        <v>874.48950000000013</v>
      </c>
      <c r="AD315" s="6">
        <f>$O$315*$X$315</f>
        <v>926.43390000000011</v>
      </c>
      <c r="AE315" s="6">
        <f>$K$315*$Y$315</f>
        <v>0</v>
      </c>
      <c r="AF315" s="6">
        <f ca="1">$M$315*$Z$315</f>
        <v>605.30883000000006</v>
      </c>
      <c r="AG315" s="6">
        <f ca="1">$O$315*$AA$315</f>
        <v>846.26545499999986</v>
      </c>
    </row>
    <row r="316" spans="1:33" ht="11.25" customHeight="1" x14ac:dyDescent="0.3">
      <c r="A316" s="4" t="s">
        <v>21</v>
      </c>
      <c r="B316" s="4" t="s">
        <v>22</v>
      </c>
      <c r="C316" s="4" t="s">
        <v>23</v>
      </c>
      <c r="D316" s="4" t="s">
        <v>24</v>
      </c>
      <c r="E316" s="4" t="s">
        <v>28</v>
      </c>
      <c r="F316" s="4" t="s">
        <v>25</v>
      </c>
      <c r="G316" s="4" t="s">
        <v>25</v>
      </c>
      <c r="H316" s="4" t="s">
        <v>25</v>
      </c>
      <c r="I316" s="5">
        <v>44470</v>
      </c>
      <c r="J316" s="6">
        <v>0</v>
      </c>
      <c r="K316" s="6">
        <v>0</v>
      </c>
      <c r="L316" s="6">
        <v>9.09</v>
      </c>
      <c r="M316" s="6">
        <v>9.09</v>
      </c>
      <c r="N316" s="6">
        <v>9.09</v>
      </c>
      <c r="O316" s="6">
        <v>9.09</v>
      </c>
      <c r="P316" s="6">
        <v>11</v>
      </c>
      <c r="Q316" s="4" t="s">
        <v>26</v>
      </c>
      <c r="R316" s="4">
        <v>0</v>
      </c>
      <c r="S316" s="6">
        <v>0</v>
      </c>
      <c r="T316" s="6">
        <v>41</v>
      </c>
      <c r="U316" s="6">
        <v>90</v>
      </c>
      <c r="V316" s="6">
        <f>IF(ISERROR(VLOOKUP($S$316,'TAR FIN'!$A$1:$O$92,15,0)),0,VLOOKUP($S$316,'TAR FIN'!$A$1:$O$92,15,0))</f>
        <v>0</v>
      </c>
      <c r="W316" s="104">
        <f>IF(ISERROR(VLOOKUP($T$314,'TAR FIN CELESC'!$A$1:$O$92,15,0)),0,VLOOKUP($T$314,'TAR FIN'!$A$1:$O$92,15,0))</f>
        <v>94.95</v>
      </c>
      <c r="X316" s="104">
        <f>IF(ISERROR(VLOOKUP($U$314,'TAR FIN'!$A$1:$O$92,15,0)),0,VLOOKUP($U$314,'TAR FIN CELESC'!$A$1:$O$92,15,0))</f>
        <v>100.59</v>
      </c>
      <c r="Y316" s="6"/>
      <c r="Z316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16" s="6">
        <f ca="1">('TE BE'!$AB$13+'TE BF_350'!$AB$13+'TE CVA'!$AB$13)*(1-CUSTOS!$M$34)</f>
        <v>91.885499999999979</v>
      </c>
      <c r="AB316" s="6">
        <f>$K$316*$V$316</f>
        <v>0</v>
      </c>
      <c r="AC316" s="6">
        <f>$M$316*$W$316</f>
        <v>863.09550000000002</v>
      </c>
      <c r="AD316" s="6">
        <f>$O$316*$X$316</f>
        <v>914.36310000000003</v>
      </c>
      <c r="AE316" s="6">
        <f>$K$316*$Y$316</f>
        <v>0</v>
      </c>
      <c r="AF316" s="6">
        <f ca="1">$M$316*$Z$316</f>
        <v>597.42206999999996</v>
      </c>
      <c r="AG316" s="6">
        <f ca="1">$O$316*$AA$316</f>
        <v>835.23919499999977</v>
      </c>
    </row>
    <row r="317" spans="1:33" ht="11.25" customHeight="1" x14ac:dyDescent="0.3">
      <c r="A317" s="4" t="s">
        <v>21</v>
      </c>
      <c r="B317" s="4" t="s">
        <v>22</v>
      </c>
      <c r="C317" s="4" t="s">
        <v>23</v>
      </c>
      <c r="D317" s="4" t="s">
        <v>24</v>
      </c>
      <c r="E317" s="4" t="s">
        <v>28</v>
      </c>
      <c r="F317" s="4" t="s">
        <v>25</v>
      </c>
      <c r="G317" s="4" t="s">
        <v>25</v>
      </c>
      <c r="H317" s="4" t="s">
        <v>25</v>
      </c>
      <c r="I317" s="5">
        <v>44501</v>
      </c>
      <c r="J317" s="6">
        <v>0</v>
      </c>
      <c r="K317" s="6">
        <v>0</v>
      </c>
      <c r="L317" s="6">
        <v>9.27</v>
      </c>
      <c r="M317" s="6">
        <v>9.27</v>
      </c>
      <c r="N317" s="6">
        <v>9.27</v>
      </c>
      <c r="O317" s="6">
        <v>9.27</v>
      </c>
      <c r="P317" s="6">
        <v>12</v>
      </c>
      <c r="Q317" s="4" t="s">
        <v>26</v>
      </c>
      <c r="R317" s="4">
        <v>0</v>
      </c>
      <c r="S317" s="6">
        <v>0</v>
      </c>
      <c r="T317" s="6">
        <v>41</v>
      </c>
      <c r="U317" s="6">
        <v>90</v>
      </c>
      <c r="V317" s="6">
        <f>IF(ISERROR(VLOOKUP($S$317,'TAR FIN'!$A$1:$O$92,15,0)),0,VLOOKUP($S$317,'TAR FIN'!$A$1:$O$92,15,0))</f>
        <v>0</v>
      </c>
      <c r="W317" s="104">
        <f>IF(ISERROR(VLOOKUP($T$314,'TAR FIN CELESC'!$A$1:$O$92,15,0)),0,VLOOKUP($T$314,'TAR FIN'!$A$1:$O$92,15,0))</f>
        <v>94.95</v>
      </c>
      <c r="X317" s="104">
        <f>IF(ISERROR(VLOOKUP($U$314,'TAR FIN'!$A$1:$O$92,15,0)),0,VLOOKUP($U$314,'TAR FIN CELESC'!$A$1:$O$92,15,0))</f>
        <v>100.59</v>
      </c>
      <c r="Y317" s="6"/>
      <c r="Z317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17" s="6">
        <f ca="1">('TE BE'!$AB$13+'TE BF_350'!$AB$13+'TE CVA'!$AB$13)*(1-CUSTOS!$M$34)</f>
        <v>91.885499999999979</v>
      </c>
      <c r="AB317" s="6">
        <f>$K$317*$V$317</f>
        <v>0</v>
      </c>
      <c r="AC317" s="6">
        <f>$M$317*$W$317</f>
        <v>880.18650000000002</v>
      </c>
      <c r="AD317" s="6">
        <f>$O$317*$X$317</f>
        <v>932.46929999999998</v>
      </c>
      <c r="AE317" s="6">
        <f>$K$317*$Y$317</f>
        <v>0</v>
      </c>
      <c r="AF317" s="6">
        <f ca="1">$M$317*$Z$317</f>
        <v>609.25220999999999</v>
      </c>
      <c r="AG317" s="6">
        <f ca="1">$O$317*$AA$317</f>
        <v>851.77858499999979</v>
      </c>
    </row>
    <row r="318" spans="1:33" ht="11.25" customHeight="1" x14ac:dyDescent="0.3">
      <c r="A318" s="4" t="s">
        <v>21</v>
      </c>
      <c r="B318" s="4" t="s">
        <v>22</v>
      </c>
      <c r="C318" s="4" t="s">
        <v>23</v>
      </c>
      <c r="D318" s="4" t="s">
        <v>24</v>
      </c>
      <c r="E318" s="4" t="s">
        <v>28</v>
      </c>
      <c r="F318" s="4" t="s">
        <v>25</v>
      </c>
      <c r="G318" s="4" t="s">
        <v>25</v>
      </c>
      <c r="H318" s="4" t="s">
        <v>25</v>
      </c>
      <c r="I318" s="5">
        <v>44531</v>
      </c>
      <c r="J318" s="6">
        <v>0</v>
      </c>
      <c r="K318" s="6">
        <v>0</v>
      </c>
      <c r="L318" s="6">
        <v>9.48</v>
      </c>
      <c r="M318" s="6">
        <v>9.48</v>
      </c>
      <c r="N318" s="6">
        <v>9.48</v>
      </c>
      <c r="O318" s="6">
        <v>9.48</v>
      </c>
      <c r="P318" s="6">
        <v>11</v>
      </c>
      <c r="Q318" s="4" t="s">
        <v>26</v>
      </c>
      <c r="R318" s="4">
        <v>0</v>
      </c>
      <c r="S318" s="6">
        <v>0</v>
      </c>
      <c r="T318" s="6">
        <v>41</v>
      </c>
      <c r="U318" s="6">
        <v>90</v>
      </c>
      <c r="V318" s="6">
        <f>IF(ISERROR(VLOOKUP($S$318,'TAR FIN'!$A$1:$O$92,15,0)),0,VLOOKUP($S$318,'TAR FIN'!$A$1:$O$92,15,0))</f>
        <v>0</v>
      </c>
      <c r="W318" s="104">
        <f>IF(ISERROR(VLOOKUP($T$314,'TAR FIN CELESC'!$A$1:$O$92,15,0)),0,VLOOKUP($T$314,'TAR FIN'!$A$1:$O$92,15,0))</f>
        <v>94.95</v>
      </c>
      <c r="X318" s="104">
        <f>IF(ISERROR(VLOOKUP($U$314,'TAR FIN'!$A$1:$O$92,15,0)),0,VLOOKUP($U$314,'TAR FIN CELESC'!$A$1:$O$92,15,0))</f>
        <v>100.59</v>
      </c>
      <c r="Y318" s="6"/>
      <c r="Z318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18" s="6">
        <f ca="1">('TE BE'!$AB$13+'TE BF_350'!$AB$13+'TE CVA'!$AB$13)*(1-CUSTOS!$M$34)</f>
        <v>91.885499999999979</v>
      </c>
      <c r="AB318" s="6">
        <f>$K$318*$V$318</f>
        <v>0</v>
      </c>
      <c r="AC318" s="6">
        <f>$M$318*$W$318</f>
        <v>900.12600000000009</v>
      </c>
      <c r="AD318" s="6">
        <f>$O$318*$X$318</f>
        <v>953.59320000000002</v>
      </c>
      <c r="AE318" s="6">
        <f>$K$318*$Y$318</f>
        <v>0</v>
      </c>
      <c r="AF318" s="6">
        <f ca="1">$M$318*$Z$318</f>
        <v>623.05403999999999</v>
      </c>
      <c r="AG318" s="6">
        <f ca="1">$O$318*$AA$318</f>
        <v>871.07453999999984</v>
      </c>
    </row>
    <row r="319" spans="1:33" ht="11.25" customHeight="1" x14ac:dyDescent="0.3">
      <c r="A319" s="4" t="s">
        <v>21</v>
      </c>
      <c r="B319" s="4" t="s">
        <v>22</v>
      </c>
      <c r="C319" s="4" t="s">
        <v>23</v>
      </c>
      <c r="D319" s="4" t="s">
        <v>24</v>
      </c>
      <c r="E319" s="4" t="s">
        <v>28</v>
      </c>
      <c r="F319" s="4" t="s">
        <v>25</v>
      </c>
      <c r="G319" s="4" t="s">
        <v>25</v>
      </c>
      <c r="H319" s="4" t="s">
        <v>25</v>
      </c>
      <c r="I319" s="5">
        <v>44562</v>
      </c>
      <c r="J319" s="6">
        <v>0</v>
      </c>
      <c r="K319" s="6">
        <v>0</v>
      </c>
      <c r="L319" s="6">
        <v>9.69</v>
      </c>
      <c r="M319" s="6">
        <v>9.69</v>
      </c>
      <c r="N319" s="6">
        <v>9.69</v>
      </c>
      <c r="O319" s="6">
        <v>9.69</v>
      </c>
      <c r="P319" s="6">
        <v>10</v>
      </c>
      <c r="Q319" s="4" t="s">
        <v>26</v>
      </c>
      <c r="R319" s="4">
        <v>0</v>
      </c>
      <c r="S319" s="6">
        <v>0</v>
      </c>
      <c r="T319" s="6">
        <v>41</v>
      </c>
      <c r="U319" s="6">
        <v>90</v>
      </c>
      <c r="V319" s="6">
        <f>IF(ISERROR(VLOOKUP($S$319,'TAR FIN'!$A$1:$O$92,15,0)),0,VLOOKUP($S$319,'TAR FIN'!$A$1:$O$92,15,0))</f>
        <v>0</v>
      </c>
      <c r="W319" s="104">
        <f>IF(ISERROR(VLOOKUP($T$314,'TAR FIN CELESC'!$A$1:$O$92,15,0)),0,VLOOKUP($T$314,'TAR FIN'!$A$1:$O$92,15,0))</f>
        <v>94.95</v>
      </c>
      <c r="X319" s="104">
        <f>IF(ISERROR(VLOOKUP($U$314,'TAR FIN'!$A$1:$O$92,15,0)),0,VLOOKUP($U$314,'TAR FIN CELESC'!$A$1:$O$92,15,0))</f>
        <v>100.59</v>
      </c>
      <c r="Y319" s="6"/>
      <c r="Z319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19" s="6">
        <f ca="1">('TE BE'!$AB$13+'TE BF_350'!$AB$13+'TE CVA'!$AB$13)*(1-CUSTOS!$M$34)</f>
        <v>91.885499999999979</v>
      </c>
      <c r="AB319" s="6">
        <f>$K$319*$V$319</f>
        <v>0</v>
      </c>
      <c r="AC319" s="6">
        <f>$M$319*$W$319</f>
        <v>920.06549999999993</v>
      </c>
      <c r="AD319" s="6">
        <f>$O$319*$X$319</f>
        <v>974.71709999999996</v>
      </c>
      <c r="AE319" s="6">
        <f>$K$319*$Y$319</f>
        <v>0</v>
      </c>
      <c r="AF319" s="6">
        <f ca="1">$M$319*$Z$319</f>
        <v>636.85586999999998</v>
      </c>
      <c r="AG319" s="6">
        <f ca="1">$O$319*$AA$319</f>
        <v>890.37049499999978</v>
      </c>
    </row>
    <row r="320" spans="1:33" ht="11.25" customHeight="1" x14ac:dyDescent="0.3">
      <c r="A320" s="4" t="s">
        <v>21</v>
      </c>
      <c r="B320" s="4" t="s">
        <v>22</v>
      </c>
      <c r="C320" s="4" t="s">
        <v>23</v>
      </c>
      <c r="D320" s="4" t="s">
        <v>24</v>
      </c>
      <c r="E320" s="4" t="s">
        <v>28</v>
      </c>
      <c r="F320" s="4" t="s">
        <v>25</v>
      </c>
      <c r="G320" s="4" t="s">
        <v>25</v>
      </c>
      <c r="H320" s="4" t="s">
        <v>25</v>
      </c>
      <c r="I320" s="5">
        <v>44593</v>
      </c>
      <c r="J320" s="6">
        <v>0</v>
      </c>
      <c r="K320" s="6">
        <v>0</v>
      </c>
      <c r="L320" s="6">
        <v>10.56</v>
      </c>
      <c r="M320" s="6">
        <v>10.56</v>
      </c>
      <c r="N320" s="6">
        <v>10.56</v>
      </c>
      <c r="O320" s="6">
        <v>10.56</v>
      </c>
      <c r="P320" s="6">
        <v>9</v>
      </c>
      <c r="Q320" s="4" t="s">
        <v>26</v>
      </c>
      <c r="R320" s="4">
        <v>0</v>
      </c>
      <c r="S320" s="6">
        <v>0</v>
      </c>
      <c r="T320" s="6">
        <v>41</v>
      </c>
      <c r="U320" s="6">
        <v>90</v>
      </c>
      <c r="V320" s="6">
        <f>IF(ISERROR(VLOOKUP($S$320,'TAR FIN'!$A$1:$O$92,15,0)),0,VLOOKUP($S$320,'TAR FIN'!$A$1:$O$92,15,0))</f>
        <v>0</v>
      </c>
      <c r="W320" s="104">
        <f>IF(ISERROR(VLOOKUP($T$314,'TAR FIN CELESC'!$A$1:$O$92,15,0)),0,VLOOKUP($T$314,'TAR FIN'!$A$1:$O$92,15,0))</f>
        <v>94.95</v>
      </c>
      <c r="X320" s="104">
        <f>IF(ISERROR(VLOOKUP($U$314,'TAR FIN'!$A$1:$O$92,15,0)),0,VLOOKUP($U$314,'TAR FIN CELESC'!$A$1:$O$92,15,0))</f>
        <v>100.59</v>
      </c>
      <c r="Y320" s="6"/>
      <c r="Z320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20" s="6">
        <f ca="1">('TE BE'!$AB$13+'TE BF_350'!$AB$13+'TE CVA'!$AB$13)*(1-CUSTOS!$M$34)</f>
        <v>91.885499999999979</v>
      </c>
      <c r="AB320" s="6">
        <f>$K$320*$V$320</f>
        <v>0</v>
      </c>
      <c r="AC320" s="6">
        <f>$M$320*$W$320</f>
        <v>1002.672</v>
      </c>
      <c r="AD320" s="6">
        <f>$O$320*$X$320</f>
        <v>1062.2304000000001</v>
      </c>
      <c r="AE320" s="6">
        <f>$K$320*$Y$320</f>
        <v>0</v>
      </c>
      <c r="AF320" s="6">
        <f ca="1">$M$320*$Z$320</f>
        <v>694.03488000000004</v>
      </c>
      <c r="AG320" s="6">
        <f ca="1">$O$320*$AA$320</f>
        <v>970.31087999999977</v>
      </c>
    </row>
    <row r="321" spans="1:33" ht="11.25" customHeight="1" x14ac:dyDescent="0.3">
      <c r="A321" s="4" t="s">
        <v>21</v>
      </c>
      <c r="B321" s="4" t="s">
        <v>22</v>
      </c>
      <c r="C321" s="4" t="s">
        <v>23</v>
      </c>
      <c r="D321" s="4" t="s">
        <v>24</v>
      </c>
      <c r="E321" s="4" t="s">
        <v>28</v>
      </c>
      <c r="F321" s="4" t="s">
        <v>25</v>
      </c>
      <c r="G321" s="4" t="s">
        <v>25</v>
      </c>
      <c r="H321" s="4" t="s">
        <v>25</v>
      </c>
      <c r="I321" s="5">
        <v>44621</v>
      </c>
      <c r="J321" s="6">
        <v>0</v>
      </c>
      <c r="K321" s="6">
        <v>0</v>
      </c>
      <c r="L321" s="6">
        <v>11.22</v>
      </c>
      <c r="M321" s="6">
        <v>11.22</v>
      </c>
      <c r="N321" s="6">
        <v>11.22</v>
      </c>
      <c r="O321" s="6">
        <v>11.22</v>
      </c>
      <c r="P321" s="6">
        <v>11</v>
      </c>
      <c r="Q321" s="4" t="s">
        <v>26</v>
      </c>
      <c r="R321" s="4">
        <v>0</v>
      </c>
      <c r="S321" s="6">
        <v>0</v>
      </c>
      <c r="T321" s="6">
        <v>41</v>
      </c>
      <c r="U321" s="6">
        <v>90</v>
      </c>
      <c r="V321" s="6">
        <f>IF(ISERROR(VLOOKUP($S$321,'TAR FIN'!$A$1:$O$92,15,0)),0,VLOOKUP($S$321,'TAR FIN'!$A$1:$O$92,15,0))</f>
        <v>0</v>
      </c>
      <c r="W321" s="104">
        <f>IF(ISERROR(VLOOKUP($T$314,'TAR FIN CELESC'!$A$1:$O$92,15,0)),0,VLOOKUP($T$314,'TAR FIN'!$A$1:$O$92,15,0))</f>
        <v>94.95</v>
      </c>
      <c r="X321" s="104">
        <f>IF(ISERROR(VLOOKUP($U$314,'TAR FIN'!$A$1:$O$92,15,0)),0,VLOOKUP($U$314,'TAR FIN CELESC'!$A$1:$O$92,15,0))</f>
        <v>100.59</v>
      </c>
      <c r="Y321" s="6"/>
      <c r="Z321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21" s="6">
        <f ca="1">('TE BE'!$AB$13+'TE BF_350'!$AB$13+'TE CVA'!$AB$13)*(1-CUSTOS!$M$34)</f>
        <v>91.885499999999979</v>
      </c>
      <c r="AB321" s="6">
        <f>$K$321*$V$321</f>
        <v>0</v>
      </c>
      <c r="AC321" s="6">
        <f>$M$321*$W$321</f>
        <v>1065.3390000000002</v>
      </c>
      <c r="AD321" s="6">
        <f>$O$321*$X$321</f>
        <v>1128.6198000000002</v>
      </c>
      <c r="AE321" s="6">
        <f>$K$321*$Y$321</f>
        <v>0</v>
      </c>
      <c r="AF321" s="6">
        <f ca="1">$M$321*$Z$321</f>
        <v>737.41206</v>
      </c>
      <c r="AG321" s="6">
        <f ca="1">$O$321*$AA$321</f>
        <v>1030.9553099999998</v>
      </c>
    </row>
    <row r="322" spans="1:33" ht="11.25" customHeight="1" x14ac:dyDescent="0.3">
      <c r="A322" s="4" t="s">
        <v>21</v>
      </c>
      <c r="B322" s="4" t="s">
        <v>22</v>
      </c>
      <c r="C322" s="4" t="s">
        <v>23</v>
      </c>
      <c r="D322" s="4" t="s">
        <v>24</v>
      </c>
      <c r="E322" s="4" t="s">
        <v>28</v>
      </c>
      <c r="F322" s="4" t="s">
        <v>25</v>
      </c>
      <c r="G322" s="4" t="s">
        <v>25</v>
      </c>
      <c r="H322" s="4" t="s">
        <v>25</v>
      </c>
      <c r="I322" s="5">
        <v>44652</v>
      </c>
      <c r="J322" s="6">
        <v>0</v>
      </c>
      <c r="K322" s="6">
        <v>0</v>
      </c>
      <c r="L322" s="6">
        <v>11.37</v>
      </c>
      <c r="M322" s="6">
        <v>11.37</v>
      </c>
      <c r="N322" s="6">
        <v>11.37</v>
      </c>
      <c r="O322" s="6">
        <v>11.37</v>
      </c>
      <c r="P322" s="6">
        <v>14</v>
      </c>
      <c r="Q322" s="4" t="s">
        <v>26</v>
      </c>
      <c r="R322" s="4">
        <v>0</v>
      </c>
      <c r="S322" s="6">
        <v>0</v>
      </c>
      <c r="T322" s="6">
        <v>41</v>
      </c>
      <c r="U322" s="6">
        <v>90</v>
      </c>
      <c r="V322" s="6">
        <f>IF(ISERROR(VLOOKUP($S$322,'TAR FIN'!$A$1:$O$92,15,0)),0,VLOOKUP($S$322,'TAR FIN'!$A$1:$O$92,15,0))</f>
        <v>0</v>
      </c>
      <c r="W322" s="104">
        <f>IF(ISERROR(VLOOKUP($T$314,'TAR FIN CELESC'!$A$1:$O$92,15,0)),0,VLOOKUP($T$314,'TAR FIN'!$A$1:$O$92,15,0))</f>
        <v>94.95</v>
      </c>
      <c r="X322" s="104">
        <f>IF(ISERROR(VLOOKUP($U$314,'TAR FIN'!$A$1:$O$92,15,0)),0,VLOOKUP($U$314,'TAR FIN CELESC'!$A$1:$O$92,15,0))</f>
        <v>100.59</v>
      </c>
      <c r="Y322" s="6"/>
      <c r="Z322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22" s="6">
        <f ca="1">('TE BE'!$AB$13+'TE BF_350'!$AB$13+'TE CVA'!$AB$13)*(1-CUSTOS!$M$34)</f>
        <v>91.885499999999979</v>
      </c>
      <c r="AB322" s="6">
        <f>$K$322*$V$322</f>
        <v>0</v>
      </c>
      <c r="AC322" s="6">
        <f>$M$322*$W$322</f>
        <v>1079.5815</v>
      </c>
      <c r="AD322" s="6">
        <f>$O$322*$X$322</f>
        <v>1143.7083</v>
      </c>
      <c r="AE322" s="6">
        <f>$K$322*$Y$322</f>
        <v>0</v>
      </c>
      <c r="AF322" s="6">
        <f ca="1">$M$322*$Z$322</f>
        <v>747.27050999999994</v>
      </c>
      <c r="AG322" s="6">
        <f ca="1">$O$322*$AA$322</f>
        <v>1044.7381349999996</v>
      </c>
    </row>
    <row r="323" spans="1:33" ht="11.25" customHeight="1" x14ac:dyDescent="0.3">
      <c r="A323" s="4" t="s">
        <v>21</v>
      </c>
      <c r="B323" s="4" t="s">
        <v>22</v>
      </c>
      <c r="C323" s="4" t="s">
        <v>23</v>
      </c>
      <c r="D323" s="4" t="s">
        <v>24</v>
      </c>
      <c r="E323" s="4" t="s">
        <v>28</v>
      </c>
      <c r="F323" s="4" t="s">
        <v>25</v>
      </c>
      <c r="G323" s="4" t="s">
        <v>25</v>
      </c>
      <c r="H323" s="4" t="s">
        <v>25</v>
      </c>
      <c r="I323" s="5">
        <v>44682</v>
      </c>
      <c r="J323" s="6">
        <v>0</v>
      </c>
      <c r="K323" s="6">
        <v>0</v>
      </c>
      <c r="L323" s="6">
        <v>11.82</v>
      </c>
      <c r="M323" s="6">
        <v>11.82</v>
      </c>
      <c r="N323" s="6">
        <v>11.82</v>
      </c>
      <c r="O323" s="6">
        <v>11.82</v>
      </c>
      <c r="P323" s="6">
        <v>9</v>
      </c>
      <c r="Q323" s="4" t="s">
        <v>26</v>
      </c>
      <c r="R323" s="4">
        <v>0</v>
      </c>
      <c r="S323" s="6">
        <v>0</v>
      </c>
      <c r="T323" s="6">
        <v>41</v>
      </c>
      <c r="U323" s="6">
        <v>90</v>
      </c>
      <c r="V323" s="6">
        <f>IF(ISERROR(VLOOKUP($S$323,'TAR FIN'!$A$1:$O$92,15,0)),0,VLOOKUP($S$323,'TAR FIN'!$A$1:$O$92,15,0))</f>
        <v>0</v>
      </c>
      <c r="W323" s="104">
        <f>IF(ISERROR(VLOOKUP($T$314,'TAR FIN CELESC'!$A$1:$O$92,15,0)),0,VLOOKUP($T$314,'TAR FIN'!$A$1:$O$92,15,0))</f>
        <v>94.95</v>
      </c>
      <c r="X323" s="104">
        <f>IF(ISERROR(VLOOKUP($U$314,'TAR FIN'!$A$1:$O$92,15,0)),0,VLOOKUP($U$314,'TAR FIN CELESC'!$A$1:$O$92,15,0))</f>
        <v>100.59</v>
      </c>
      <c r="Y323" s="6"/>
      <c r="Z323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23" s="6">
        <f ca="1">('TE BE'!$AB$13+'TE BF_350'!$AB$13+'TE CVA'!$AB$13)*(1-CUSTOS!$M$34)</f>
        <v>91.885499999999979</v>
      </c>
      <c r="AB323" s="6">
        <f>$K$323*$V$323</f>
        <v>0</v>
      </c>
      <c r="AC323" s="6">
        <f>$M$323*$W$323</f>
        <v>1122.309</v>
      </c>
      <c r="AD323" s="6">
        <f>$O$323*$X$323</f>
        <v>1188.9738</v>
      </c>
      <c r="AE323" s="6">
        <f>$K$323*$Y$323</f>
        <v>0</v>
      </c>
      <c r="AF323" s="6">
        <f ca="1">$M$323*$Z$323</f>
        <v>776.84586000000002</v>
      </c>
      <c r="AG323" s="6">
        <f ca="1">$O$323*$AA$323</f>
        <v>1086.0866099999998</v>
      </c>
    </row>
    <row r="324" spans="1:33" ht="11.25" customHeight="1" x14ac:dyDescent="0.3">
      <c r="A324" s="4" t="s">
        <v>21</v>
      </c>
      <c r="B324" s="4" t="s">
        <v>22</v>
      </c>
      <c r="C324" s="4" t="s">
        <v>23</v>
      </c>
      <c r="D324" s="4" t="s">
        <v>24</v>
      </c>
      <c r="E324" s="4" t="s">
        <v>28</v>
      </c>
      <c r="F324" s="4" t="s">
        <v>25</v>
      </c>
      <c r="G324" s="4" t="s">
        <v>25</v>
      </c>
      <c r="H324" s="4" t="s">
        <v>25</v>
      </c>
      <c r="I324" s="5">
        <v>44713</v>
      </c>
      <c r="J324" s="6">
        <v>0</v>
      </c>
      <c r="K324" s="6">
        <v>0</v>
      </c>
      <c r="L324" s="6">
        <v>9.6300000000000008</v>
      </c>
      <c r="M324" s="6">
        <v>9.6300000000000008</v>
      </c>
      <c r="N324" s="6">
        <v>9.6300000000000008</v>
      </c>
      <c r="O324" s="6">
        <v>9.6300000000000008</v>
      </c>
      <c r="P324" s="6">
        <v>10</v>
      </c>
      <c r="Q324" s="4" t="s">
        <v>26</v>
      </c>
      <c r="R324" s="4">
        <v>0</v>
      </c>
      <c r="S324" s="6">
        <v>0</v>
      </c>
      <c r="T324" s="6">
        <v>41</v>
      </c>
      <c r="U324" s="6">
        <v>90</v>
      </c>
      <c r="V324" s="6">
        <f>IF(ISERROR(VLOOKUP($S$324,'TAR FIN'!$A$1:$O$92,15,0)),0,VLOOKUP($S$324,'TAR FIN'!$A$1:$O$92,15,0))</f>
        <v>0</v>
      </c>
      <c r="W324" s="104">
        <f>IF(ISERROR(VLOOKUP($T$314,'TAR FIN CELESC'!$A$1:$O$92,15,0)),0,VLOOKUP($T$314,'TAR FIN'!$A$1:$O$92,15,0))</f>
        <v>94.95</v>
      </c>
      <c r="X324" s="104">
        <f>IF(ISERROR(VLOOKUP($U$314,'TAR FIN'!$A$1:$O$92,15,0)),0,VLOOKUP($U$314,'TAR FIN CELESC'!$A$1:$O$92,15,0))</f>
        <v>100.59</v>
      </c>
      <c r="Y324" s="6"/>
      <c r="Z324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24" s="6">
        <f ca="1">('TE BE'!$AB$13+'TE BF_350'!$AB$13+'TE CVA'!$AB$13)*(1-CUSTOS!$M$34)</f>
        <v>91.885499999999979</v>
      </c>
      <c r="AB324" s="6">
        <f>$K$324*$V$324</f>
        <v>0</v>
      </c>
      <c r="AC324" s="6">
        <f>$M$324*$W$324</f>
        <v>914.36850000000015</v>
      </c>
      <c r="AD324" s="6">
        <f>$O$324*$X$324</f>
        <v>968.68170000000009</v>
      </c>
      <c r="AE324" s="6">
        <f>$K$324*$Y$324</f>
        <v>0</v>
      </c>
      <c r="AF324" s="6">
        <f ca="1">$M$324*$Z$324</f>
        <v>632.91249000000005</v>
      </c>
      <c r="AG324" s="6">
        <f ca="1">$O$324*$AA$324</f>
        <v>884.85736499999985</v>
      </c>
    </row>
    <row r="325" spans="1:33" ht="11.25" customHeight="1" x14ac:dyDescent="0.3">
      <c r="A325" s="4" t="s">
        <v>21</v>
      </c>
      <c r="B325" s="4" t="s">
        <v>22</v>
      </c>
      <c r="C325" s="4" t="s">
        <v>23</v>
      </c>
      <c r="D325" s="4" t="s">
        <v>24</v>
      </c>
      <c r="E325" s="4" t="s">
        <v>28</v>
      </c>
      <c r="F325" s="4" t="s">
        <v>25</v>
      </c>
      <c r="G325" s="4" t="s">
        <v>25</v>
      </c>
      <c r="H325" s="4" t="s">
        <v>25</v>
      </c>
      <c r="I325" s="5">
        <v>44743</v>
      </c>
      <c r="J325" s="6">
        <v>0</v>
      </c>
      <c r="K325" s="6">
        <v>0</v>
      </c>
      <c r="L325" s="6">
        <v>10.95</v>
      </c>
      <c r="M325" s="6">
        <v>10.95</v>
      </c>
      <c r="N325" s="6">
        <v>10.95</v>
      </c>
      <c r="O325" s="6">
        <v>10.95</v>
      </c>
      <c r="P325" s="6">
        <v>17</v>
      </c>
      <c r="Q325" s="4" t="s">
        <v>26</v>
      </c>
      <c r="R325" s="4">
        <v>0</v>
      </c>
      <c r="S325" s="6">
        <v>0</v>
      </c>
      <c r="T325" s="6">
        <v>41</v>
      </c>
      <c r="U325" s="6">
        <v>90</v>
      </c>
      <c r="V325" s="6">
        <f>IF(ISERROR(VLOOKUP($S$325,'TAR FIN'!$A$1:$O$92,15,0)),0,VLOOKUP($S$325,'TAR FIN'!$A$1:$O$92,15,0))</f>
        <v>0</v>
      </c>
      <c r="W325" s="104">
        <f>IF(ISERROR(VLOOKUP($T$314,'TAR FIN CELESC'!$A$1:$O$92,15,0)),0,VLOOKUP($T$314,'TAR FIN'!$A$1:$O$92,15,0))</f>
        <v>94.95</v>
      </c>
      <c r="X325" s="104">
        <f>IF(ISERROR(VLOOKUP($U$314,'TAR FIN'!$A$1:$O$92,15,0)),0,VLOOKUP($U$314,'TAR FIN CELESC'!$A$1:$O$92,15,0))</f>
        <v>100.59</v>
      </c>
      <c r="Y325" s="6"/>
      <c r="Z325" s="6">
        <f ca="1">('TUSD BE'!$AM$25+'TUSD BF_350'!$AM$25+'TUSD CVA'!$AM$25-('TUSD BE'!$P$25+'TUSD BF_350'!$P$25+'TUSD CVA'!$P$25)-('TUSD BE'!$Q$25+'TUSD BF_350'!$Q$25+'TUSD CVA'!$Q$25)-('TUSD BE'!$R$25+'TUSD BF_350'!$R$25+'TUSD CVA'!$R$25))*(1-CUSTOS!$M$34)</f>
        <v>65.722999999999999</v>
      </c>
      <c r="AA325" s="6">
        <f ca="1">('TE BE'!$AB$13+'TE BF_350'!$AB$13+'TE CVA'!$AB$13)*(1-CUSTOS!$M$34)</f>
        <v>91.885499999999979</v>
      </c>
      <c r="AB325" s="6">
        <f>$K$325*$V$325</f>
        <v>0</v>
      </c>
      <c r="AC325" s="6">
        <f>$M$325*$W$325</f>
        <v>1039.7024999999999</v>
      </c>
      <c r="AD325" s="6">
        <f>$O$325*$X$325</f>
        <v>1101.4604999999999</v>
      </c>
      <c r="AE325" s="6">
        <f>$K$325*$Y$325</f>
        <v>0</v>
      </c>
      <c r="AF325" s="6">
        <f ca="1">$M$325*$Z$325</f>
        <v>719.66684999999995</v>
      </c>
      <c r="AG325" s="6">
        <f ca="1">$O$325*$AA$325</f>
        <v>1006.1462249999997</v>
      </c>
    </row>
    <row r="326" spans="1:33" ht="11.25" customHeight="1" x14ac:dyDescent="0.3">
      <c r="A326" s="4" t="s">
        <v>21</v>
      </c>
      <c r="B326" s="4" t="s">
        <v>22</v>
      </c>
      <c r="C326" s="4" t="s">
        <v>23</v>
      </c>
      <c r="D326" s="4" t="s">
        <v>24</v>
      </c>
      <c r="E326" s="4" t="s">
        <v>29</v>
      </c>
      <c r="F326" s="4" t="s">
        <v>25</v>
      </c>
      <c r="G326" s="4" t="s">
        <v>25</v>
      </c>
      <c r="H326" s="4" t="s">
        <v>25</v>
      </c>
      <c r="I326" s="5">
        <v>44409</v>
      </c>
      <c r="J326" s="6">
        <v>0</v>
      </c>
      <c r="K326" s="6">
        <v>0</v>
      </c>
      <c r="L326" s="6">
        <v>18.370999999999999</v>
      </c>
      <c r="M326" s="6">
        <v>18.370999999999999</v>
      </c>
      <c r="N326" s="6">
        <v>18.370999999999999</v>
      </c>
      <c r="O326" s="6">
        <v>18.370999999999999</v>
      </c>
      <c r="P326" s="6">
        <v>56</v>
      </c>
      <c r="Q326" s="4" t="s">
        <v>26</v>
      </c>
      <c r="R326" s="4">
        <v>0</v>
      </c>
      <c r="S326" s="6">
        <v>0</v>
      </c>
      <c r="T326" s="6">
        <v>42</v>
      </c>
      <c r="U326" s="6">
        <v>91</v>
      </c>
      <c r="V326" s="6">
        <f>IF(ISERROR(VLOOKUP($S$326,'TAR FIN'!$A$1:$O$92,15,0)),0,VLOOKUP($S$326,'TAR FIN'!$A$1:$O$92,15,0))</f>
        <v>0</v>
      </c>
      <c r="W326" s="104">
        <f>IF(ISERROR(VLOOKUP($T$326,'TAR FIN CELESC'!$A$1:$O$92,15,0)),0,VLOOKUP($T$326,'TAR FIN CELESC'!$A$1:$O$92,15,0))</f>
        <v>103.93</v>
      </c>
      <c r="X326" s="104">
        <f>IF(ISERROR(VLOOKUP($U$326,'TAR FIN CELESC'!$A$1:$O$92,15,0)),0,VLOOKUP($U$326,'TAR FIN CELESC'!$A$1:$O$92,15,0))</f>
        <v>172.43</v>
      </c>
      <c r="Y326" s="6"/>
      <c r="Z326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26" s="6">
        <f ca="1">('TE BE'!$AB$14+'TE BF_350'!$AB$14+'TE CVA'!$AB$14)*(1-CUSTOS!$M$35)</f>
        <v>157.51799999999997</v>
      </c>
      <c r="AB326" s="6">
        <f>$K$326*$V$326</f>
        <v>0</v>
      </c>
      <c r="AC326" s="6">
        <f>$M$326*$W$326</f>
        <v>1909.2980299999999</v>
      </c>
      <c r="AD326" s="6">
        <f>$O$326*$X$326</f>
        <v>3167.71153</v>
      </c>
      <c r="AE326" s="6">
        <f>$K$326*$Y$326</f>
        <v>0</v>
      </c>
      <c r="AF326" s="6">
        <f ca="1">$M$326*$Z$326</f>
        <v>2069.8238279999996</v>
      </c>
      <c r="AG326" s="6">
        <f ca="1">$O$326*$AA$326</f>
        <v>2893.7631779999992</v>
      </c>
    </row>
    <row r="327" spans="1:33" ht="11.25" customHeight="1" x14ac:dyDescent="0.3">
      <c r="A327" s="4" t="s">
        <v>21</v>
      </c>
      <c r="B327" s="4" t="s">
        <v>22</v>
      </c>
      <c r="C327" s="4" t="s">
        <v>23</v>
      </c>
      <c r="D327" s="4" t="s">
        <v>24</v>
      </c>
      <c r="E327" s="4" t="s">
        <v>29</v>
      </c>
      <c r="F327" s="4" t="s">
        <v>25</v>
      </c>
      <c r="G327" s="4" t="s">
        <v>25</v>
      </c>
      <c r="H327" s="4" t="s">
        <v>25</v>
      </c>
      <c r="I327" s="5">
        <v>44440</v>
      </c>
      <c r="J327" s="6">
        <v>0</v>
      </c>
      <c r="K327" s="6">
        <v>0</v>
      </c>
      <c r="L327" s="6">
        <v>19.5</v>
      </c>
      <c r="M327" s="6">
        <v>19.5</v>
      </c>
      <c r="N327" s="6">
        <v>19.5</v>
      </c>
      <c r="O327" s="6">
        <v>19.5</v>
      </c>
      <c r="P327" s="6">
        <v>42</v>
      </c>
      <c r="Q327" s="4" t="s">
        <v>26</v>
      </c>
      <c r="R327" s="4">
        <v>0</v>
      </c>
      <c r="S327" s="6">
        <v>0</v>
      </c>
      <c r="T327" s="6">
        <v>42</v>
      </c>
      <c r="U327" s="6">
        <v>91</v>
      </c>
      <c r="V327" s="6">
        <f>IF(ISERROR(VLOOKUP($S$327,'TAR FIN'!$A$1:$O$92,15,0)),0,VLOOKUP($S$327,'TAR FIN'!$A$1:$O$92,15,0))</f>
        <v>0</v>
      </c>
      <c r="W327" s="104">
        <f>IF(ISERROR(VLOOKUP($T$326,'TAR FIN CELESC'!$A$1:$O$92,15,0)),0,VLOOKUP($T$326,'TAR FIN CELESC'!$A$1:$O$92,15,0))</f>
        <v>103.93</v>
      </c>
      <c r="X327" s="104">
        <f>IF(ISERROR(VLOOKUP($U$326,'TAR FIN CELESC'!$A$1:$O$92,15,0)),0,VLOOKUP($U$326,'TAR FIN CELESC'!$A$1:$O$92,15,0))</f>
        <v>172.43</v>
      </c>
      <c r="Y327" s="6"/>
      <c r="Z327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27" s="6">
        <f ca="1">('TE BE'!$AB$14+'TE BF_350'!$AB$14+'TE CVA'!$AB$14)*(1-CUSTOS!$M$35)</f>
        <v>157.51799999999997</v>
      </c>
      <c r="AB327" s="6">
        <f>$K$327*$V$327</f>
        <v>0</v>
      </c>
      <c r="AC327" s="6">
        <f>$M$327*$W$327</f>
        <v>2026.6350000000002</v>
      </c>
      <c r="AD327" s="6">
        <f>$O$327*$X$327</f>
        <v>3362.3850000000002</v>
      </c>
      <c r="AE327" s="6">
        <f>$K$327*$Y$327</f>
        <v>0</v>
      </c>
      <c r="AF327" s="6">
        <f ca="1">$M$327*$Z$327</f>
        <v>2197.0259999999998</v>
      </c>
      <c r="AG327" s="6">
        <f ca="1">$O$327*$AA$327</f>
        <v>3071.6009999999997</v>
      </c>
    </row>
    <row r="328" spans="1:33" ht="11.25" customHeight="1" x14ac:dyDescent="0.3">
      <c r="A328" s="4" t="s">
        <v>21</v>
      </c>
      <c r="B328" s="4" t="s">
        <v>22</v>
      </c>
      <c r="C328" s="4" t="s">
        <v>23</v>
      </c>
      <c r="D328" s="4" t="s">
        <v>24</v>
      </c>
      <c r="E328" s="4" t="s">
        <v>29</v>
      </c>
      <c r="F328" s="4" t="s">
        <v>25</v>
      </c>
      <c r="G328" s="4" t="s">
        <v>25</v>
      </c>
      <c r="H328" s="4" t="s">
        <v>25</v>
      </c>
      <c r="I328" s="5">
        <v>44470</v>
      </c>
      <c r="J328" s="6">
        <v>0</v>
      </c>
      <c r="K328" s="6">
        <v>0</v>
      </c>
      <c r="L328" s="6">
        <v>19.084</v>
      </c>
      <c r="M328" s="6">
        <v>19.084</v>
      </c>
      <c r="N328" s="6">
        <v>19.084</v>
      </c>
      <c r="O328" s="6">
        <v>19.084</v>
      </c>
      <c r="P328" s="6">
        <v>58</v>
      </c>
      <c r="Q328" s="4" t="s">
        <v>26</v>
      </c>
      <c r="R328" s="4">
        <v>0</v>
      </c>
      <c r="S328" s="6">
        <v>0</v>
      </c>
      <c r="T328" s="6">
        <v>42</v>
      </c>
      <c r="U328" s="6">
        <v>91</v>
      </c>
      <c r="V328" s="6">
        <f>IF(ISERROR(VLOOKUP($S$328,'TAR FIN'!$A$1:$O$92,15,0)),0,VLOOKUP($S$328,'TAR FIN'!$A$1:$O$92,15,0))</f>
        <v>0</v>
      </c>
      <c r="W328" s="104">
        <f>IF(ISERROR(VLOOKUP($T$326,'TAR FIN CELESC'!$A$1:$O$92,15,0)),0,VLOOKUP($T$326,'TAR FIN CELESC'!$A$1:$O$92,15,0))</f>
        <v>103.93</v>
      </c>
      <c r="X328" s="104">
        <f>IF(ISERROR(VLOOKUP($U$326,'TAR FIN CELESC'!$A$1:$O$92,15,0)),0,VLOOKUP($U$326,'TAR FIN CELESC'!$A$1:$O$92,15,0))</f>
        <v>172.43</v>
      </c>
      <c r="Y328" s="6"/>
      <c r="Z328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28" s="6">
        <f ca="1">('TE BE'!$AB$14+'TE BF_350'!$AB$14+'TE CVA'!$AB$14)*(1-CUSTOS!$M$35)</f>
        <v>157.51799999999997</v>
      </c>
      <c r="AB328" s="6">
        <f>$K$328*$V$328</f>
        <v>0</v>
      </c>
      <c r="AC328" s="6">
        <f>$M$328*$W$328</f>
        <v>1983.40012</v>
      </c>
      <c r="AD328" s="6">
        <f>$O$328*$X$328</f>
        <v>3290.6541200000001</v>
      </c>
      <c r="AE328" s="6">
        <f>$K$328*$Y$328</f>
        <v>0</v>
      </c>
      <c r="AF328" s="6">
        <f ca="1">$M$328*$Z$328</f>
        <v>2150.1561119999997</v>
      </c>
      <c r="AG328" s="6">
        <f ca="1">$O$328*$AA$328</f>
        <v>3006.0735119999995</v>
      </c>
    </row>
    <row r="329" spans="1:33" ht="11.25" customHeight="1" x14ac:dyDescent="0.3">
      <c r="A329" s="4" t="s">
        <v>21</v>
      </c>
      <c r="B329" s="4" t="s">
        <v>22</v>
      </c>
      <c r="C329" s="4" t="s">
        <v>23</v>
      </c>
      <c r="D329" s="4" t="s">
        <v>24</v>
      </c>
      <c r="E329" s="4" t="s">
        <v>29</v>
      </c>
      <c r="F329" s="4" t="s">
        <v>25</v>
      </c>
      <c r="G329" s="4" t="s">
        <v>25</v>
      </c>
      <c r="H329" s="4" t="s">
        <v>25</v>
      </c>
      <c r="I329" s="5">
        <v>44501</v>
      </c>
      <c r="J329" s="6">
        <v>0</v>
      </c>
      <c r="K329" s="6">
        <v>0</v>
      </c>
      <c r="L329" s="6">
        <v>18.992999999999999</v>
      </c>
      <c r="M329" s="6">
        <v>18.992999999999999</v>
      </c>
      <c r="N329" s="6">
        <v>18.992999999999999</v>
      </c>
      <c r="O329" s="6">
        <v>18.992999999999999</v>
      </c>
      <c r="P329" s="6">
        <v>67</v>
      </c>
      <c r="Q329" s="4" t="s">
        <v>26</v>
      </c>
      <c r="R329" s="4">
        <v>0</v>
      </c>
      <c r="S329" s="6">
        <v>0</v>
      </c>
      <c r="T329" s="6">
        <v>42</v>
      </c>
      <c r="U329" s="6">
        <v>91</v>
      </c>
      <c r="V329" s="6">
        <f>IF(ISERROR(VLOOKUP($S$329,'TAR FIN'!$A$1:$O$92,15,0)),0,VLOOKUP($S$329,'TAR FIN'!$A$1:$O$92,15,0))</f>
        <v>0</v>
      </c>
      <c r="W329" s="104">
        <f>IF(ISERROR(VLOOKUP($T$326,'TAR FIN CELESC'!$A$1:$O$92,15,0)),0,VLOOKUP($T$326,'TAR FIN CELESC'!$A$1:$O$92,15,0))</f>
        <v>103.93</v>
      </c>
      <c r="X329" s="104">
        <f>IF(ISERROR(VLOOKUP($U$326,'TAR FIN CELESC'!$A$1:$O$92,15,0)),0,VLOOKUP($U$326,'TAR FIN CELESC'!$A$1:$O$92,15,0))</f>
        <v>172.43</v>
      </c>
      <c r="Y329" s="6"/>
      <c r="Z329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29" s="6">
        <f ca="1">('TE BE'!$AB$14+'TE BF_350'!$AB$14+'TE CVA'!$AB$14)*(1-CUSTOS!$M$35)</f>
        <v>157.51799999999997</v>
      </c>
      <c r="AB329" s="6">
        <f>$K$329*$V$329</f>
        <v>0</v>
      </c>
      <c r="AC329" s="6">
        <f>$M$329*$W$329</f>
        <v>1973.9424899999999</v>
      </c>
      <c r="AD329" s="6">
        <f>$O$329*$X$329</f>
        <v>3274.96299</v>
      </c>
      <c r="AE329" s="6">
        <f>$K$329*$Y$329</f>
        <v>0</v>
      </c>
      <c r="AF329" s="6">
        <f ca="1">$M$329*$Z$329</f>
        <v>2139.9033239999999</v>
      </c>
      <c r="AG329" s="6">
        <f ca="1">$O$329*$AA$329</f>
        <v>2991.7393739999993</v>
      </c>
    </row>
    <row r="330" spans="1:33" ht="11.25" customHeight="1" x14ac:dyDescent="0.3">
      <c r="A330" s="4" t="s">
        <v>21</v>
      </c>
      <c r="B330" s="4" t="s">
        <v>22</v>
      </c>
      <c r="C330" s="4" t="s">
        <v>23</v>
      </c>
      <c r="D330" s="4" t="s">
        <v>24</v>
      </c>
      <c r="E330" s="4" t="s">
        <v>29</v>
      </c>
      <c r="F330" s="4" t="s">
        <v>25</v>
      </c>
      <c r="G330" s="4" t="s">
        <v>25</v>
      </c>
      <c r="H330" s="4" t="s">
        <v>25</v>
      </c>
      <c r="I330" s="5">
        <v>44531</v>
      </c>
      <c r="J330" s="6">
        <v>0</v>
      </c>
      <c r="K330" s="6">
        <v>0</v>
      </c>
      <c r="L330" s="6">
        <v>20.306999999999999</v>
      </c>
      <c r="M330" s="6">
        <v>20.306999999999999</v>
      </c>
      <c r="N330" s="6">
        <v>20.306999999999999</v>
      </c>
      <c r="O330" s="6">
        <v>20.306999999999999</v>
      </c>
      <c r="P330" s="6">
        <v>47</v>
      </c>
      <c r="Q330" s="4" t="s">
        <v>26</v>
      </c>
      <c r="R330" s="4">
        <v>0</v>
      </c>
      <c r="S330" s="6">
        <v>0</v>
      </c>
      <c r="T330" s="6">
        <v>42</v>
      </c>
      <c r="U330" s="6">
        <v>91</v>
      </c>
      <c r="V330" s="6">
        <f>IF(ISERROR(VLOOKUP($S$330,'TAR FIN'!$A$1:$O$92,15,0)),0,VLOOKUP($S$330,'TAR FIN'!$A$1:$O$92,15,0))</f>
        <v>0</v>
      </c>
      <c r="W330" s="104">
        <f>IF(ISERROR(VLOOKUP($T$326,'TAR FIN CELESC'!$A$1:$O$92,15,0)),0,VLOOKUP($T$326,'TAR FIN CELESC'!$A$1:$O$92,15,0))</f>
        <v>103.93</v>
      </c>
      <c r="X330" s="104">
        <f>IF(ISERROR(VLOOKUP($U$326,'TAR FIN CELESC'!$A$1:$O$92,15,0)),0,VLOOKUP($U$326,'TAR FIN CELESC'!$A$1:$O$92,15,0))</f>
        <v>172.43</v>
      </c>
      <c r="Y330" s="6"/>
      <c r="Z330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30" s="6">
        <f ca="1">('TE BE'!$AB$14+'TE BF_350'!$AB$14+'TE CVA'!$AB$14)*(1-CUSTOS!$M$35)</f>
        <v>157.51799999999997</v>
      </c>
      <c r="AB330" s="6">
        <f>$K$330*$V$330</f>
        <v>0</v>
      </c>
      <c r="AC330" s="6">
        <f>$M$330*$W$330</f>
        <v>2110.5065100000002</v>
      </c>
      <c r="AD330" s="6">
        <f>$O$330*$X$330</f>
        <v>3501.5360099999998</v>
      </c>
      <c r="AE330" s="6">
        <f>$K$330*$Y$330</f>
        <v>0</v>
      </c>
      <c r="AF330" s="6">
        <f ca="1">$M$330*$Z$330</f>
        <v>2287.9490759999999</v>
      </c>
      <c r="AG330" s="6">
        <f ca="1">$O$330*$AA$330</f>
        <v>3198.7180259999991</v>
      </c>
    </row>
    <row r="331" spans="1:33" ht="11.25" customHeight="1" x14ac:dyDescent="0.3">
      <c r="A331" s="4" t="s">
        <v>21</v>
      </c>
      <c r="B331" s="4" t="s">
        <v>22</v>
      </c>
      <c r="C331" s="4" t="s">
        <v>23</v>
      </c>
      <c r="D331" s="4" t="s">
        <v>24</v>
      </c>
      <c r="E331" s="4" t="s">
        <v>29</v>
      </c>
      <c r="F331" s="4" t="s">
        <v>25</v>
      </c>
      <c r="G331" s="4" t="s">
        <v>25</v>
      </c>
      <c r="H331" s="4" t="s">
        <v>25</v>
      </c>
      <c r="I331" s="5">
        <v>44562</v>
      </c>
      <c r="J331" s="6">
        <v>0</v>
      </c>
      <c r="K331" s="6">
        <v>0</v>
      </c>
      <c r="L331" s="6">
        <v>20.56</v>
      </c>
      <c r="M331" s="6">
        <v>20.56</v>
      </c>
      <c r="N331" s="6">
        <v>20.56</v>
      </c>
      <c r="O331" s="6">
        <v>20.56</v>
      </c>
      <c r="P331" s="6">
        <v>54</v>
      </c>
      <c r="Q331" s="4" t="s">
        <v>26</v>
      </c>
      <c r="R331" s="4">
        <v>0</v>
      </c>
      <c r="S331" s="6">
        <v>0</v>
      </c>
      <c r="T331" s="6">
        <v>42</v>
      </c>
      <c r="U331" s="6">
        <v>91</v>
      </c>
      <c r="V331" s="6">
        <f>IF(ISERROR(VLOOKUP($S$331,'TAR FIN'!$A$1:$O$92,15,0)),0,VLOOKUP($S$331,'TAR FIN'!$A$1:$O$92,15,0))</f>
        <v>0</v>
      </c>
      <c r="W331" s="104">
        <f>IF(ISERROR(VLOOKUP($T$326,'TAR FIN CELESC'!$A$1:$O$92,15,0)),0,VLOOKUP($T$326,'TAR FIN CELESC'!$A$1:$O$92,15,0))</f>
        <v>103.93</v>
      </c>
      <c r="X331" s="104">
        <f>IF(ISERROR(VLOOKUP($U$326,'TAR FIN CELESC'!$A$1:$O$92,15,0)),0,VLOOKUP($U$326,'TAR FIN CELESC'!$A$1:$O$92,15,0))</f>
        <v>172.43</v>
      </c>
      <c r="Y331" s="6"/>
      <c r="Z331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31" s="6">
        <f ca="1">('TE BE'!$AB$14+'TE BF_350'!$AB$14+'TE CVA'!$AB$14)*(1-CUSTOS!$M$35)</f>
        <v>157.51799999999997</v>
      </c>
      <c r="AB331" s="6">
        <f>$K$331*$V$331</f>
        <v>0</v>
      </c>
      <c r="AC331" s="6">
        <f>$M$331*$W$331</f>
        <v>2136.8008</v>
      </c>
      <c r="AD331" s="6">
        <f>$O$331*$X$331</f>
        <v>3545.1608000000001</v>
      </c>
      <c r="AE331" s="6">
        <f>$K$331*$Y$331</f>
        <v>0</v>
      </c>
      <c r="AF331" s="6">
        <f ca="1">$M$331*$Z$331</f>
        <v>2316.4540799999995</v>
      </c>
      <c r="AG331" s="6">
        <f ca="1">$O$331*$AA$331</f>
        <v>3238.5700799999991</v>
      </c>
    </row>
    <row r="332" spans="1:33" ht="11.25" customHeight="1" x14ac:dyDescent="0.3">
      <c r="A332" s="4" t="s">
        <v>21</v>
      </c>
      <c r="B332" s="4" t="s">
        <v>22</v>
      </c>
      <c r="C332" s="4" t="s">
        <v>23</v>
      </c>
      <c r="D332" s="4" t="s">
        <v>24</v>
      </c>
      <c r="E332" s="4" t="s">
        <v>29</v>
      </c>
      <c r="F332" s="4" t="s">
        <v>25</v>
      </c>
      <c r="G332" s="4" t="s">
        <v>25</v>
      </c>
      <c r="H332" s="4" t="s">
        <v>25</v>
      </c>
      <c r="I332" s="5">
        <v>44593</v>
      </c>
      <c r="J332" s="6">
        <v>0</v>
      </c>
      <c r="K332" s="6">
        <v>0</v>
      </c>
      <c r="L332" s="6">
        <v>23.015999999999998</v>
      </c>
      <c r="M332" s="6">
        <v>23.015999999999998</v>
      </c>
      <c r="N332" s="6">
        <v>23.015999999999998</v>
      </c>
      <c r="O332" s="6">
        <v>23.015999999999998</v>
      </c>
      <c r="P332" s="6">
        <v>37</v>
      </c>
      <c r="Q332" s="4" t="s">
        <v>26</v>
      </c>
      <c r="R332" s="4">
        <v>0</v>
      </c>
      <c r="S332" s="6">
        <v>0</v>
      </c>
      <c r="T332" s="6">
        <v>42</v>
      </c>
      <c r="U332" s="6">
        <v>91</v>
      </c>
      <c r="V332" s="6">
        <f>IF(ISERROR(VLOOKUP($S$332,'TAR FIN'!$A$1:$O$92,15,0)),0,VLOOKUP($S$332,'TAR FIN'!$A$1:$O$92,15,0))</f>
        <v>0</v>
      </c>
      <c r="W332" s="104">
        <f>IF(ISERROR(VLOOKUP($T$326,'TAR FIN CELESC'!$A$1:$O$92,15,0)),0,VLOOKUP($T$326,'TAR FIN CELESC'!$A$1:$O$92,15,0))</f>
        <v>103.93</v>
      </c>
      <c r="X332" s="104">
        <f>IF(ISERROR(VLOOKUP($U$326,'TAR FIN CELESC'!$A$1:$O$92,15,0)),0,VLOOKUP($U$326,'TAR FIN CELESC'!$A$1:$O$92,15,0))</f>
        <v>172.43</v>
      </c>
      <c r="Y332" s="6"/>
      <c r="Z332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32" s="6">
        <f ca="1">('TE BE'!$AB$14+'TE BF_350'!$AB$14+'TE CVA'!$AB$14)*(1-CUSTOS!$M$35)</f>
        <v>157.51799999999997</v>
      </c>
      <c r="AB332" s="6">
        <f>$K$332*$V$332</f>
        <v>0</v>
      </c>
      <c r="AC332" s="6">
        <f>$M$332*$W$332</f>
        <v>2392.0528800000002</v>
      </c>
      <c r="AD332" s="6">
        <f>$O$332*$X$332</f>
        <v>3968.6488799999997</v>
      </c>
      <c r="AE332" s="6">
        <f>$K$332*$Y$332</f>
        <v>0</v>
      </c>
      <c r="AF332" s="6">
        <f ca="1">$M$332*$Z$332</f>
        <v>2593.1666879999998</v>
      </c>
      <c r="AG332" s="6">
        <f ca="1">$O$332*$AA$332</f>
        <v>3625.434287999999</v>
      </c>
    </row>
    <row r="333" spans="1:33" ht="11.25" customHeight="1" x14ac:dyDescent="0.3">
      <c r="A333" s="4" t="s">
        <v>21</v>
      </c>
      <c r="B333" s="4" t="s">
        <v>22</v>
      </c>
      <c r="C333" s="4" t="s">
        <v>23</v>
      </c>
      <c r="D333" s="4" t="s">
        <v>24</v>
      </c>
      <c r="E333" s="4" t="s">
        <v>29</v>
      </c>
      <c r="F333" s="4" t="s">
        <v>25</v>
      </c>
      <c r="G333" s="4" t="s">
        <v>25</v>
      </c>
      <c r="H333" s="4" t="s">
        <v>25</v>
      </c>
      <c r="I333" s="5">
        <v>44621</v>
      </c>
      <c r="J333" s="6">
        <v>0</v>
      </c>
      <c r="K333" s="6">
        <v>0</v>
      </c>
      <c r="L333" s="6">
        <v>24</v>
      </c>
      <c r="M333" s="6">
        <v>24</v>
      </c>
      <c r="N333" s="6">
        <v>24</v>
      </c>
      <c r="O333" s="6">
        <v>24</v>
      </c>
      <c r="P333" s="6">
        <v>55</v>
      </c>
      <c r="Q333" s="4" t="s">
        <v>26</v>
      </c>
      <c r="R333" s="4">
        <v>0</v>
      </c>
      <c r="S333" s="6">
        <v>0</v>
      </c>
      <c r="T333" s="6">
        <v>42</v>
      </c>
      <c r="U333" s="6">
        <v>91</v>
      </c>
      <c r="V333" s="6">
        <f>IF(ISERROR(VLOOKUP($S$333,'TAR FIN'!$A$1:$O$92,15,0)),0,VLOOKUP($S$333,'TAR FIN'!$A$1:$O$92,15,0))</f>
        <v>0</v>
      </c>
      <c r="W333" s="104">
        <f>IF(ISERROR(VLOOKUP($T$326,'TAR FIN CELESC'!$A$1:$O$92,15,0)),0,VLOOKUP($T$326,'TAR FIN CELESC'!$A$1:$O$92,15,0))</f>
        <v>103.93</v>
      </c>
      <c r="X333" s="104">
        <f>IF(ISERROR(VLOOKUP($U$326,'TAR FIN CELESC'!$A$1:$O$92,15,0)),0,VLOOKUP($U$326,'TAR FIN CELESC'!$A$1:$O$92,15,0))</f>
        <v>172.43</v>
      </c>
      <c r="Y333" s="6"/>
      <c r="Z333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33" s="6">
        <f ca="1">('TE BE'!$AB$14+'TE BF_350'!$AB$14+'TE CVA'!$AB$14)*(1-CUSTOS!$M$35)</f>
        <v>157.51799999999997</v>
      </c>
      <c r="AB333" s="6">
        <f>$K$333*$V$333</f>
        <v>0</v>
      </c>
      <c r="AC333" s="6">
        <f>$M$333*$W$333</f>
        <v>2494.3200000000002</v>
      </c>
      <c r="AD333" s="6">
        <f>$O$333*$X$333</f>
        <v>4138.32</v>
      </c>
      <c r="AE333" s="6">
        <f>$K$333*$Y$333</f>
        <v>0</v>
      </c>
      <c r="AF333" s="6">
        <f ca="1">$M$333*$Z$333</f>
        <v>2704.0319999999997</v>
      </c>
      <c r="AG333" s="6">
        <f ca="1">$O$333*$AA$333</f>
        <v>3780.4319999999993</v>
      </c>
    </row>
    <row r="334" spans="1:33" ht="11.25" customHeight="1" x14ac:dyDescent="0.3">
      <c r="A334" s="4" t="s">
        <v>21</v>
      </c>
      <c r="B334" s="4" t="s">
        <v>22</v>
      </c>
      <c r="C334" s="4" t="s">
        <v>23</v>
      </c>
      <c r="D334" s="4" t="s">
        <v>24</v>
      </c>
      <c r="E334" s="4" t="s">
        <v>29</v>
      </c>
      <c r="F334" s="4" t="s">
        <v>25</v>
      </c>
      <c r="G334" s="4" t="s">
        <v>25</v>
      </c>
      <c r="H334" s="4" t="s">
        <v>25</v>
      </c>
      <c r="I334" s="5">
        <v>44652</v>
      </c>
      <c r="J334" s="6">
        <v>0</v>
      </c>
      <c r="K334" s="6">
        <v>0</v>
      </c>
      <c r="L334" s="6">
        <v>23.969000000000001</v>
      </c>
      <c r="M334" s="6">
        <v>23.969000000000001</v>
      </c>
      <c r="N334" s="6">
        <v>23.969000000000001</v>
      </c>
      <c r="O334" s="6">
        <v>23.969000000000001</v>
      </c>
      <c r="P334" s="6">
        <v>65</v>
      </c>
      <c r="Q334" s="4" t="s">
        <v>26</v>
      </c>
      <c r="R334" s="4">
        <v>0</v>
      </c>
      <c r="S334" s="6">
        <v>0</v>
      </c>
      <c r="T334" s="6">
        <v>42</v>
      </c>
      <c r="U334" s="6">
        <v>91</v>
      </c>
      <c r="V334" s="6">
        <f>IF(ISERROR(VLOOKUP($S$334,'TAR FIN'!$A$1:$O$92,15,0)),0,VLOOKUP($S$334,'TAR FIN'!$A$1:$O$92,15,0))</f>
        <v>0</v>
      </c>
      <c r="W334" s="104">
        <f>IF(ISERROR(VLOOKUP($T$326,'TAR FIN CELESC'!$A$1:$O$92,15,0)),0,VLOOKUP($T$326,'TAR FIN CELESC'!$A$1:$O$92,15,0))</f>
        <v>103.93</v>
      </c>
      <c r="X334" s="104">
        <f>IF(ISERROR(VLOOKUP($U$326,'TAR FIN CELESC'!$A$1:$O$92,15,0)),0,VLOOKUP($U$326,'TAR FIN CELESC'!$A$1:$O$92,15,0))</f>
        <v>172.43</v>
      </c>
      <c r="Y334" s="6"/>
      <c r="Z334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34" s="6">
        <f ca="1">('TE BE'!$AB$14+'TE BF_350'!$AB$14+'TE CVA'!$AB$14)*(1-CUSTOS!$M$35)</f>
        <v>157.51799999999997</v>
      </c>
      <c r="AB334" s="6">
        <f>$K$334*$V$334</f>
        <v>0</v>
      </c>
      <c r="AC334" s="6">
        <f>$M$334*$W$334</f>
        <v>2491.0981700000002</v>
      </c>
      <c r="AD334" s="6">
        <f>$O$334*$X$334</f>
        <v>4132.9746700000005</v>
      </c>
      <c r="AE334" s="6">
        <f>$K$334*$Y$334</f>
        <v>0</v>
      </c>
      <c r="AF334" s="6">
        <f ca="1">$M$334*$Z$334</f>
        <v>2700.5392919999999</v>
      </c>
      <c r="AG334" s="6">
        <f ca="1">$O$334*$AA$334</f>
        <v>3775.5489419999994</v>
      </c>
    </row>
    <row r="335" spans="1:33" ht="11.25" customHeight="1" x14ac:dyDescent="0.3">
      <c r="A335" s="4" t="s">
        <v>21</v>
      </c>
      <c r="B335" s="4" t="s">
        <v>22</v>
      </c>
      <c r="C335" s="4" t="s">
        <v>23</v>
      </c>
      <c r="D335" s="4" t="s">
        <v>24</v>
      </c>
      <c r="E335" s="4" t="s">
        <v>29</v>
      </c>
      <c r="F335" s="4" t="s">
        <v>25</v>
      </c>
      <c r="G335" s="4" t="s">
        <v>25</v>
      </c>
      <c r="H335" s="4" t="s">
        <v>25</v>
      </c>
      <c r="I335" s="5">
        <v>44682</v>
      </c>
      <c r="J335" s="6">
        <v>0</v>
      </c>
      <c r="K335" s="6">
        <v>0</v>
      </c>
      <c r="L335" s="6">
        <v>24.436</v>
      </c>
      <c r="M335" s="6">
        <v>24.436</v>
      </c>
      <c r="N335" s="6">
        <v>24.436</v>
      </c>
      <c r="O335" s="6">
        <v>24.436</v>
      </c>
      <c r="P335" s="6">
        <v>97</v>
      </c>
      <c r="Q335" s="4" t="s">
        <v>26</v>
      </c>
      <c r="R335" s="4">
        <v>0</v>
      </c>
      <c r="S335" s="6">
        <v>0</v>
      </c>
      <c r="T335" s="6">
        <v>42</v>
      </c>
      <c r="U335" s="6">
        <v>91</v>
      </c>
      <c r="V335" s="6">
        <f>IF(ISERROR(VLOOKUP($S$335,'TAR FIN'!$A$1:$O$92,15,0)),0,VLOOKUP($S$335,'TAR FIN'!$A$1:$O$92,15,0))</f>
        <v>0</v>
      </c>
      <c r="W335" s="104">
        <f>IF(ISERROR(VLOOKUP($T$326,'TAR FIN CELESC'!$A$1:$O$92,15,0)),0,VLOOKUP($T$326,'TAR FIN CELESC'!$A$1:$O$92,15,0))</f>
        <v>103.93</v>
      </c>
      <c r="X335" s="104">
        <f>IF(ISERROR(VLOOKUP($U$326,'TAR FIN CELESC'!$A$1:$O$92,15,0)),0,VLOOKUP($U$326,'TAR FIN CELESC'!$A$1:$O$92,15,0))</f>
        <v>172.43</v>
      </c>
      <c r="Y335" s="6"/>
      <c r="Z335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35" s="6">
        <f ca="1">('TE BE'!$AB$14+'TE BF_350'!$AB$14+'TE CVA'!$AB$14)*(1-CUSTOS!$M$35)</f>
        <v>157.51799999999997</v>
      </c>
      <c r="AB335" s="6">
        <f>$K$335*$V$335</f>
        <v>0</v>
      </c>
      <c r="AC335" s="6">
        <f>$M$335*$W$335</f>
        <v>2539.63348</v>
      </c>
      <c r="AD335" s="6">
        <f>$O$335*$X$335</f>
        <v>4213.4994800000004</v>
      </c>
      <c r="AE335" s="6">
        <f>$K$335*$Y$335</f>
        <v>0</v>
      </c>
      <c r="AF335" s="6">
        <f ca="1">$M$335*$Z$335</f>
        <v>2753.155248</v>
      </c>
      <c r="AG335" s="6">
        <f ca="1">$O$335*$AA$335</f>
        <v>3849.1098479999991</v>
      </c>
    </row>
    <row r="336" spans="1:33" ht="11.25" customHeight="1" x14ac:dyDescent="0.3">
      <c r="A336" s="4" t="s">
        <v>21</v>
      </c>
      <c r="B336" s="4" t="s">
        <v>22</v>
      </c>
      <c r="C336" s="4" t="s">
        <v>23</v>
      </c>
      <c r="D336" s="4" t="s">
        <v>24</v>
      </c>
      <c r="E336" s="4" t="s">
        <v>29</v>
      </c>
      <c r="F336" s="4" t="s">
        <v>25</v>
      </c>
      <c r="G336" s="4" t="s">
        <v>25</v>
      </c>
      <c r="H336" s="4" t="s">
        <v>25</v>
      </c>
      <c r="I336" s="5">
        <v>44713</v>
      </c>
      <c r="J336" s="6">
        <v>0</v>
      </c>
      <c r="K336" s="6">
        <v>0</v>
      </c>
      <c r="L336" s="6">
        <v>19.992999999999999</v>
      </c>
      <c r="M336" s="6">
        <v>19.992999999999999</v>
      </c>
      <c r="N336" s="6">
        <v>19.992999999999999</v>
      </c>
      <c r="O336" s="6">
        <v>19.992999999999999</v>
      </c>
      <c r="P336" s="6">
        <v>64</v>
      </c>
      <c r="Q336" s="4" t="s">
        <v>26</v>
      </c>
      <c r="R336" s="4">
        <v>0</v>
      </c>
      <c r="S336" s="6">
        <v>0</v>
      </c>
      <c r="T336" s="6">
        <v>42</v>
      </c>
      <c r="U336" s="6">
        <v>91</v>
      </c>
      <c r="V336" s="6">
        <f>IF(ISERROR(VLOOKUP($S$336,'TAR FIN'!$A$1:$O$92,15,0)),0,VLOOKUP($S$336,'TAR FIN'!$A$1:$O$92,15,0))</f>
        <v>0</v>
      </c>
      <c r="W336" s="104">
        <f>IF(ISERROR(VLOOKUP($T$326,'TAR FIN CELESC'!$A$1:$O$92,15,0)),0,VLOOKUP($T$326,'TAR FIN CELESC'!$A$1:$O$92,15,0))</f>
        <v>103.93</v>
      </c>
      <c r="X336" s="104">
        <f>IF(ISERROR(VLOOKUP($U$326,'TAR FIN CELESC'!$A$1:$O$92,15,0)),0,VLOOKUP($U$326,'TAR FIN CELESC'!$A$1:$O$92,15,0))</f>
        <v>172.43</v>
      </c>
      <c r="Y336" s="6"/>
      <c r="Z336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36" s="6">
        <f ca="1">('TE BE'!$AB$14+'TE BF_350'!$AB$14+'TE CVA'!$AB$14)*(1-CUSTOS!$M$35)</f>
        <v>157.51799999999997</v>
      </c>
      <c r="AB336" s="6">
        <f>$K$336*$V$336</f>
        <v>0</v>
      </c>
      <c r="AC336" s="6">
        <f>$M$336*$W$336</f>
        <v>2077.8724900000002</v>
      </c>
      <c r="AD336" s="6">
        <f>$O$336*$X$336</f>
        <v>3447.3929899999998</v>
      </c>
      <c r="AE336" s="6">
        <f>$K$336*$Y$336</f>
        <v>0</v>
      </c>
      <c r="AF336" s="6">
        <f ca="1">$M$336*$Z$336</f>
        <v>2252.5713239999995</v>
      </c>
      <c r="AG336" s="6">
        <f ca="1">$O$336*$AA$336</f>
        <v>3149.2573739999993</v>
      </c>
    </row>
    <row r="337" spans="1:33" ht="11.25" customHeight="1" x14ac:dyDescent="0.3">
      <c r="A337" s="4" t="s">
        <v>21</v>
      </c>
      <c r="B337" s="4" t="s">
        <v>22</v>
      </c>
      <c r="C337" s="4" t="s">
        <v>23</v>
      </c>
      <c r="D337" s="4" t="s">
        <v>24</v>
      </c>
      <c r="E337" s="4" t="s">
        <v>29</v>
      </c>
      <c r="F337" s="4" t="s">
        <v>25</v>
      </c>
      <c r="G337" s="4" t="s">
        <v>25</v>
      </c>
      <c r="H337" s="4" t="s">
        <v>25</v>
      </c>
      <c r="I337" s="5">
        <v>44743</v>
      </c>
      <c r="J337" s="6">
        <v>0</v>
      </c>
      <c r="K337" s="6">
        <v>0</v>
      </c>
      <c r="L337" s="6">
        <v>22.091000000000001</v>
      </c>
      <c r="M337" s="6">
        <v>22.091000000000001</v>
      </c>
      <c r="N337" s="6">
        <v>22.091000000000001</v>
      </c>
      <c r="O337" s="6">
        <v>22.091000000000001</v>
      </c>
      <c r="P337" s="6">
        <v>78</v>
      </c>
      <c r="Q337" s="4" t="s">
        <v>26</v>
      </c>
      <c r="R337" s="4">
        <v>0</v>
      </c>
      <c r="S337" s="6">
        <v>0</v>
      </c>
      <c r="T337" s="6">
        <v>42</v>
      </c>
      <c r="U337" s="6">
        <v>91</v>
      </c>
      <c r="V337" s="6">
        <f>IF(ISERROR(VLOOKUP($S$337,'TAR FIN'!$A$1:$O$92,15,0)),0,VLOOKUP($S$337,'TAR FIN'!$A$1:$O$92,15,0))</f>
        <v>0</v>
      </c>
      <c r="W337" s="104">
        <f>IF(ISERROR(VLOOKUP($T$326,'TAR FIN CELESC'!$A$1:$O$92,15,0)),0,VLOOKUP($T$326,'TAR FIN CELESC'!$A$1:$O$92,15,0))</f>
        <v>103.93</v>
      </c>
      <c r="X337" s="104">
        <f>IF(ISERROR(VLOOKUP($U$326,'TAR FIN CELESC'!$A$1:$O$92,15,0)),0,VLOOKUP($U$326,'TAR FIN CELESC'!$A$1:$O$92,15,0))</f>
        <v>172.43</v>
      </c>
      <c r="Y337" s="6"/>
      <c r="Z337" s="6">
        <f ca="1">('TUSD BE'!$AM$26+'TUSD BF_350'!$AM$26+'TUSD CVA'!$AM$26-('TUSD BE'!$P$26+'TUSD BF_350'!$P$26+'TUSD CVA'!$P$26)-('TUSD BE'!$Q$26+'TUSD BF_350'!$Q$26+'TUSD CVA'!$Q$26)-('TUSD BE'!$R$26+'TUSD BF_350'!$R$26+'TUSD CVA'!$R$26))*(1-CUSTOS!$M$35)</f>
        <v>112.66799999999999</v>
      </c>
      <c r="AA337" s="6">
        <f ca="1">('TE BE'!$AB$14+'TE BF_350'!$AB$14+'TE CVA'!$AB$14)*(1-CUSTOS!$M$35)</f>
        <v>157.51799999999997</v>
      </c>
      <c r="AB337" s="6">
        <f>$K$337*$V$337</f>
        <v>0</v>
      </c>
      <c r="AC337" s="6">
        <f>$M$337*$W$337</f>
        <v>2295.9176300000004</v>
      </c>
      <c r="AD337" s="6">
        <f>$O$337*$X$337</f>
        <v>3809.1511300000002</v>
      </c>
      <c r="AE337" s="6">
        <f>$K$337*$Y$337</f>
        <v>0</v>
      </c>
      <c r="AF337" s="6">
        <f ca="1">$M$337*$Z$337</f>
        <v>2488.9487880000001</v>
      </c>
      <c r="AG337" s="6">
        <f ca="1">$O$337*$AA$337</f>
        <v>3479.7301379999994</v>
      </c>
    </row>
    <row r="338" spans="1:33" ht="11.25" customHeight="1" x14ac:dyDescent="0.3">
      <c r="A338" s="4" t="s">
        <v>21</v>
      </c>
      <c r="B338" s="4" t="s">
        <v>22</v>
      </c>
      <c r="C338" s="4" t="s">
        <v>23</v>
      </c>
      <c r="D338" s="4" t="s">
        <v>24</v>
      </c>
      <c r="E338" s="4" t="s">
        <v>30</v>
      </c>
      <c r="F338" s="4" t="s">
        <v>25</v>
      </c>
      <c r="G338" s="4" t="s">
        <v>25</v>
      </c>
      <c r="H338" s="4" t="s">
        <v>25</v>
      </c>
      <c r="I338" s="5">
        <v>44409</v>
      </c>
      <c r="J338" s="6">
        <v>0</v>
      </c>
      <c r="K338" s="6">
        <v>0</v>
      </c>
      <c r="L338" s="6">
        <v>17.896999999999998</v>
      </c>
      <c r="M338" s="6">
        <v>17.896999999999998</v>
      </c>
      <c r="N338" s="6">
        <v>17.896999999999998</v>
      </c>
      <c r="O338" s="6">
        <v>17.896999999999998</v>
      </c>
      <c r="P338" s="6">
        <v>147</v>
      </c>
      <c r="Q338" s="4" t="s">
        <v>26</v>
      </c>
      <c r="R338" s="4">
        <v>0</v>
      </c>
      <c r="S338" s="6">
        <v>0</v>
      </c>
      <c r="T338" s="6">
        <v>45</v>
      </c>
      <c r="U338" s="6">
        <v>2</v>
      </c>
      <c r="V338" s="6">
        <f>IF(ISERROR(VLOOKUP($S$338,'TAR FIN'!$A$1:$O$92,15,0)),0,VLOOKUP($S$338,'TAR FIN'!$A$1:$O$92,15,0))</f>
        <v>0</v>
      </c>
      <c r="W338" s="104">
        <f>IF(ISERROR(VLOOKUP($T$338,'TAR FIN CELESC'!$A$1:$O$92,15,0)),0,VLOOKUP($T$338,'TAR FIN CELESC'!$A$1:$O$92,15,0))</f>
        <v>155.88999999999999</v>
      </c>
      <c r="X338" s="58">
        <f>IF(ISERROR(VLOOKUP($U$338,'TAR FIN CELESC'!$A$1:$O$92,15,0)),0,VLOOKUP($U$338,'TAR FIN CELESC'!$A$1:$O$92,15,0))</f>
        <v>0</v>
      </c>
      <c r="Y338" s="6"/>
      <c r="Z338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38" s="6">
        <f ca="1">('TE BE'!$AB$15+'TE BF_350'!$AB$15+'TE CVA'!$AB$15)*(1-CUSTOS!$M$36)</f>
        <v>236.27699999999999</v>
      </c>
      <c r="AB338" s="6">
        <f>$K$338*$V$338</f>
        <v>0</v>
      </c>
      <c r="AC338" s="6">
        <f>$M$338*$W$338</f>
        <v>2789.9633299999996</v>
      </c>
      <c r="AD338" s="6">
        <f>$O$338*$X$338</f>
        <v>0</v>
      </c>
      <c r="AE338" s="6">
        <f>$K$338*$Y$338</f>
        <v>0</v>
      </c>
      <c r="AF338" s="6">
        <f ca="1">$M$338*$Z$338</f>
        <v>3024.6287939999997</v>
      </c>
      <c r="AG338" s="6">
        <f ca="1">$O$338*$AA$338</f>
        <v>4228.649468999999</v>
      </c>
    </row>
    <row r="339" spans="1:33" ht="11.25" customHeight="1" x14ac:dyDescent="0.3">
      <c r="A339" s="4" t="s">
        <v>21</v>
      </c>
      <c r="B339" s="4" t="s">
        <v>22</v>
      </c>
      <c r="C339" s="4" t="s">
        <v>23</v>
      </c>
      <c r="D339" s="4" t="s">
        <v>24</v>
      </c>
      <c r="E339" s="4" t="s">
        <v>30</v>
      </c>
      <c r="F339" s="4" t="s">
        <v>25</v>
      </c>
      <c r="G339" s="4" t="s">
        <v>25</v>
      </c>
      <c r="H339" s="4" t="s">
        <v>25</v>
      </c>
      <c r="I339" s="5">
        <v>44440</v>
      </c>
      <c r="J339" s="6">
        <v>0</v>
      </c>
      <c r="K339" s="6">
        <v>0</v>
      </c>
      <c r="L339" s="6">
        <v>20.79</v>
      </c>
      <c r="M339" s="6">
        <v>20.79</v>
      </c>
      <c r="N339" s="6">
        <v>20.79</v>
      </c>
      <c r="O339" s="6">
        <v>20.79</v>
      </c>
      <c r="P339" s="6">
        <v>159</v>
      </c>
      <c r="Q339" s="4" t="s">
        <v>26</v>
      </c>
      <c r="R339" s="4">
        <v>0</v>
      </c>
      <c r="S339" s="6">
        <v>0</v>
      </c>
      <c r="T339" s="6">
        <v>45</v>
      </c>
      <c r="U339" s="6">
        <v>2</v>
      </c>
      <c r="V339" s="6">
        <f>IF(ISERROR(VLOOKUP($S$339,'TAR FIN'!$A$1:$O$92,15,0)),0,VLOOKUP($S$339,'TAR FIN'!$A$1:$O$92,15,0))</f>
        <v>0</v>
      </c>
      <c r="W339" s="104">
        <f>IF(ISERROR(VLOOKUP($T$338,'TAR FIN CELESC'!$A$1:$O$92,15,0)),0,VLOOKUP($T$338,'TAR FIN CELESC'!$A$1:$O$92,15,0))</f>
        <v>155.88999999999999</v>
      </c>
      <c r="X339" s="58">
        <f>IF(ISERROR(VLOOKUP($U$339,'TAR FIN CELESC'!$A$1:$O$92,15,0)),0,VLOOKUP($U$339,'TAR FIN CELESC'!$A$1:$O$92,15,0))</f>
        <v>0</v>
      </c>
      <c r="Y339" s="6"/>
      <c r="Z339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39" s="6">
        <f ca="1">('TE BE'!$AB$15+'TE BF_350'!$AB$15+'TE CVA'!$AB$15)*(1-CUSTOS!$M$36)</f>
        <v>236.27699999999999</v>
      </c>
      <c r="AB339" s="6">
        <f>$K$339*$V$339</f>
        <v>0</v>
      </c>
      <c r="AC339" s="6">
        <f>$M$339*$W$339</f>
        <v>3240.9530999999997</v>
      </c>
      <c r="AD339" s="6">
        <f>$O$339*$X$339</f>
        <v>0</v>
      </c>
      <c r="AE339" s="6">
        <f>$K$339*$Y$339</f>
        <v>0</v>
      </c>
      <c r="AF339" s="6">
        <f ca="1">$M$339*$Z$339</f>
        <v>3513.5515799999998</v>
      </c>
      <c r="AG339" s="6">
        <f ca="1">$O$339*$AA$339</f>
        <v>4912.1988299999994</v>
      </c>
    </row>
    <row r="340" spans="1:33" ht="11.25" customHeight="1" x14ac:dyDescent="0.3">
      <c r="A340" s="4" t="s">
        <v>21</v>
      </c>
      <c r="B340" s="4" t="s">
        <v>22</v>
      </c>
      <c r="C340" s="4" t="s">
        <v>23</v>
      </c>
      <c r="D340" s="4" t="s">
        <v>24</v>
      </c>
      <c r="E340" s="4" t="s">
        <v>30</v>
      </c>
      <c r="F340" s="4" t="s">
        <v>25</v>
      </c>
      <c r="G340" s="4" t="s">
        <v>25</v>
      </c>
      <c r="H340" s="4" t="s">
        <v>25</v>
      </c>
      <c r="I340" s="5">
        <v>44470</v>
      </c>
      <c r="J340" s="6">
        <v>0</v>
      </c>
      <c r="K340" s="6">
        <v>0</v>
      </c>
      <c r="L340" s="6">
        <v>17.515999999999998</v>
      </c>
      <c r="M340" s="6">
        <v>17.515999999999998</v>
      </c>
      <c r="N340" s="6">
        <v>17.515999999999998</v>
      </c>
      <c r="O340" s="6">
        <v>17.515999999999998</v>
      </c>
      <c r="P340" s="6">
        <v>170</v>
      </c>
      <c r="Q340" s="4" t="s">
        <v>26</v>
      </c>
      <c r="R340" s="4">
        <v>0</v>
      </c>
      <c r="S340" s="6">
        <v>0</v>
      </c>
      <c r="T340" s="6">
        <v>45</v>
      </c>
      <c r="U340" s="6">
        <v>2</v>
      </c>
      <c r="V340" s="6">
        <f>IF(ISERROR(VLOOKUP($S$340,'TAR FIN'!$A$1:$O$92,15,0)),0,VLOOKUP($S$340,'TAR FIN'!$A$1:$O$92,15,0))</f>
        <v>0</v>
      </c>
      <c r="W340" s="104">
        <f>IF(ISERROR(VLOOKUP($T$338,'TAR FIN CELESC'!$A$1:$O$92,15,0)),0,VLOOKUP($T$338,'TAR FIN CELESC'!$A$1:$O$92,15,0))</f>
        <v>155.88999999999999</v>
      </c>
      <c r="X340" s="58">
        <f>IF(ISERROR(VLOOKUP($U$339,'TAR FIN CELESC'!$A$1:$O$92,15,0)),0,VLOOKUP($U$339,'TAR FIN CELESC'!$A$1:$O$92,15,0))</f>
        <v>0</v>
      </c>
      <c r="Y340" s="6"/>
      <c r="Z340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40" s="6">
        <f ca="1">('TE BE'!$AB$15+'TE BF_350'!$AB$15+'TE CVA'!$AB$15)*(1-CUSTOS!$M$36)</f>
        <v>236.27699999999999</v>
      </c>
      <c r="AB340" s="6">
        <f>$K$340*$V$340</f>
        <v>0</v>
      </c>
      <c r="AC340" s="6">
        <f>$M$340*$W$340</f>
        <v>2730.5692399999994</v>
      </c>
      <c r="AD340" s="6">
        <f>$O$340*$X$340</f>
        <v>0</v>
      </c>
      <c r="AE340" s="6">
        <f>$K$340*$Y$340</f>
        <v>0</v>
      </c>
      <c r="AF340" s="6">
        <f ca="1">$M$340*$Z$340</f>
        <v>2960.239032</v>
      </c>
      <c r="AG340" s="6">
        <f ca="1">$O$340*$AA$340</f>
        <v>4138.6279319999994</v>
      </c>
    </row>
    <row r="341" spans="1:33" ht="11.25" customHeight="1" x14ac:dyDescent="0.3">
      <c r="A341" s="4" t="s">
        <v>21</v>
      </c>
      <c r="B341" s="4" t="s">
        <v>22</v>
      </c>
      <c r="C341" s="4" t="s">
        <v>23</v>
      </c>
      <c r="D341" s="4" t="s">
        <v>24</v>
      </c>
      <c r="E341" s="4" t="s">
        <v>30</v>
      </c>
      <c r="F341" s="4" t="s">
        <v>25</v>
      </c>
      <c r="G341" s="4" t="s">
        <v>25</v>
      </c>
      <c r="H341" s="4" t="s">
        <v>25</v>
      </c>
      <c r="I341" s="5">
        <v>44501</v>
      </c>
      <c r="J341" s="6">
        <v>0</v>
      </c>
      <c r="K341" s="6">
        <v>0</v>
      </c>
      <c r="L341" s="6">
        <v>16.582999999999998</v>
      </c>
      <c r="M341" s="6">
        <v>16.582999999999998</v>
      </c>
      <c r="N341" s="6">
        <v>16.582999999999998</v>
      </c>
      <c r="O341" s="6">
        <v>16.582999999999998</v>
      </c>
      <c r="P341" s="6">
        <v>170</v>
      </c>
      <c r="Q341" s="4" t="s">
        <v>26</v>
      </c>
      <c r="R341" s="4">
        <v>0</v>
      </c>
      <c r="S341" s="6">
        <v>0</v>
      </c>
      <c r="T341" s="6">
        <v>45</v>
      </c>
      <c r="U341" s="6">
        <v>2</v>
      </c>
      <c r="V341" s="6">
        <f>IF(ISERROR(VLOOKUP($S$341,'TAR FIN'!$A$1:$O$92,15,0)),0,VLOOKUP($S$341,'TAR FIN'!$A$1:$O$92,15,0))</f>
        <v>0</v>
      </c>
      <c r="W341" s="104">
        <f>IF(ISERROR(VLOOKUP($T$338,'TAR FIN CELESC'!$A$1:$O$92,15,0)),0,VLOOKUP($T$338,'TAR FIN CELESC'!$A$1:$O$92,15,0))</f>
        <v>155.88999999999999</v>
      </c>
      <c r="X341" s="58">
        <f>IF(ISERROR(VLOOKUP($U$339,'TAR FIN CELESC'!$A$1:$O$92,15,0)),0,VLOOKUP($U$339,'TAR FIN CELESC'!$A$1:$O$92,15,0))</f>
        <v>0</v>
      </c>
      <c r="Y341" s="6"/>
      <c r="Z341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41" s="6">
        <f ca="1">('TE BE'!$AB$15+'TE BF_350'!$AB$15+'TE CVA'!$AB$15)*(1-CUSTOS!$M$36)</f>
        <v>236.27699999999999</v>
      </c>
      <c r="AB341" s="6">
        <f>$K$341*$V$341</f>
        <v>0</v>
      </c>
      <c r="AC341" s="6">
        <f>$M$341*$W$341</f>
        <v>2585.1238699999994</v>
      </c>
      <c r="AD341" s="6">
        <f>$O$341*$X$341</f>
        <v>0</v>
      </c>
      <c r="AE341" s="6">
        <f>$K$341*$Y$341</f>
        <v>0</v>
      </c>
      <c r="AF341" s="6">
        <f ca="1">$M$341*$Z$341</f>
        <v>2802.5601659999998</v>
      </c>
      <c r="AG341" s="6">
        <f ca="1">$O$341*$AA$341</f>
        <v>3918.1814909999994</v>
      </c>
    </row>
    <row r="342" spans="1:33" ht="11.25" customHeight="1" x14ac:dyDescent="0.3">
      <c r="A342" s="4" t="s">
        <v>21</v>
      </c>
      <c r="B342" s="4" t="s">
        <v>22</v>
      </c>
      <c r="C342" s="4" t="s">
        <v>23</v>
      </c>
      <c r="D342" s="4" t="s">
        <v>24</v>
      </c>
      <c r="E342" s="4" t="s">
        <v>30</v>
      </c>
      <c r="F342" s="4" t="s">
        <v>25</v>
      </c>
      <c r="G342" s="4" t="s">
        <v>25</v>
      </c>
      <c r="H342" s="4" t="s">
        <v>25</v>
      </c>
      <c r="I342" s="5">
        <v>44531</v>
      </c>
      <c r="J342" s="6">
        <v>0</v>
      </c>
      <c r="K342" s="6">
        <v>0</v>
      </c>
      <c r="L342" s="6">
        <v>20.638999999999999</v>
      </c>
      <c r="M342" s="6">
        <v>20.638999999999999</v>
      </c>
      <c r="N342" s="6">
        <v>20.638999999999999</v>
      </c>
      <c r="O342" s="6">
        <v>20.638999999999999</v>
      </c>
      <c r="P342" s="6">
        <v>161</v>
      </c>
      <c r="Q342" s="4" t="s">
        <v>26</v>
      </c>
      <c r="R342" s="4">
        <v>0</v>
      </c>
      <c r="S342" s="6">
        <v>0</v>
      </c>
      <c r="T342" s="6">
        <v>45</v>
      </c>
      <c r="U342" s="6">
        <v>2</v>
      </c>
      <c r="V342" s="6">
        <f>IF(ISERROR(VLOOKUP($S$342,'TAR FIN'!$A$1:$O$92,15,0)),0,VLOOKUP($S$342,'TAR FIN'!$A$1:$O$92,15,0))</f>
        <v>0</v>
      </c>
      <c r="W342" s="104">
        <f>IF(ISERROR(VLOOKUP($T$338,'TAR FIN CELESC'!$A$1:$O$92,15,0)),0,VLOOKUP($T$338,'TAR FIN CELESC'!$A$1:$O$92,15,0))</f>
        <v>155.88999999999999</v>
      </c>
      <c r="X342" s="58">
        <f>IF(ISERROR(VLOOKUP($U$339,'TAR FIN CELESC'!$A$1:$O$92,15,0)),0,VLOOKUP($U$339,'TAR FIN CELESC'!$A$1:$O$92,15,0))</f>
        <v>0</v>
      </c>
      <c r="Y342" s="6"/>
      <c r="Z342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42" s="6">
        <f ca="1">('TE BE'!$AB$15+'TE BF_350'!$AB$15+'TE CVA'!$AB$15)*(1-CUSTOS!$M$36)</f>
        <v>236.27699999999999</v>
      </c>
      <c r="AB342" s="6">
        <f>$K$342*$V$342</f>
        <v>0</v>
      </c>
      <c r="AC342" s="6">
        <f>$M$342*$W$342</f>
        <v>3217.4137099999998</v>
      </c>
      <c r="AD342" s="6">
        <f>$O$342*$X$342</f>
        <v>0</v>
      </c>
      <c r="AE342" s="6">
        <f>$K$342*$Y$342</f>
        <v>0</v>
      </c>
      <c r="AF342" s="6">
        <f ca="1">$M$342*$Z$342</f>
        <v>3488.0322780000001</v>
      </c>
      <c r="AG342" s="6">
        <f ca="1">$O$342*$AA$342</f>
        <v>4876.5210029999998</v>
      </c>
    </row>
    <row r="343" spans="1:33" ht="11.25" customHeight="1" x14ac:dyDescent="0.3">
      <c r="A343" s="4" t="s">
        <v>21</v>
      </c>
      <c r="B343" s="4" t="s">
        <v>22</v>
      </c>
      <c r="C343" s="4" t="s">
        <v>23</v>
      </c>
      <c r="D343" s="4" t="s">
        <v>24</v>
      </c>
      <c r="E343" s="4" t="s">
        <v>30</v>
      </c>
      <c r="F343" s="4" t="s">
        <v>25</v>
      </c>
      <c r="G343" s="4" t="s">
        <v>25</v>
      </c>
      <c r="H343" s="4" t="s">
        <v>25</v>
      </c>
      <c r="I343" s="5">
        <v>44562</v>
      </c>
      <c r="J343" s="6">
        <v>0</v>
      </c>
      <c r="K343" s="6">
        <v>0</v>
      </c>
      <c r="L343" s="6">
        <v>19.594000000000001</v>
      </c>
      <c r="M343" s="6">
        <v>19.594000000000001</v>
      </c>
      <c r="N343" s="6">
        <v>19.594000000000001</v>
      </c>
      <c r="O343" s="6">
        <v>19.594000000000001</v>
      </c>
      <c r="P343" s="6">
        <v>172</v>
      </c>
      <c r="Q343" s="4" t="s">
        <v>26</v>
      </c>
      <c r="R343" s="4">
        <v>0</v>
      </c>
      <c r="S343" s="6">
        <v>0</v>
      </c>
      <c r="T343" s="6">
        <v>45</v>
      </c>
      <c r="U343" s="6">
        <v>2</v>
      </c>
      <c r="V343" s="6">
        <f>IF(ISERROR(VLOOKUP($S$343,'TAR FIN'!$A$1:$O$92,15,0)),0,VLOOKUP($S$343,'TAR FIN'!$A$1:$O$92,15,0))</f>
        <v>0</v>
      </c>
      <c r="W343" s="104">
        <f>IF(ISERROR(VLOOKUP($T$338,'TAR FIN CELESC'!$A$1:$O$92,15,0)),0,VLOOKUP($T$338,'TAR FIN CELESC'!$A$1:$O$92,15,0))</f>
        <v>155.88999999999999</v>
      </c>
      <c r="X343" s="58">
        <f>IF(ISERROR(VLOOKUP($U$339,'TAR FIN CELESC'!$A$1:$O$92,15,0)),0,VLOOKUP($U$339,'TAR FIN CELESC'!$A$1:$O$92,15,0))</f>
        <v>0</v>
      </c>
      <c r="Y343" s="6"/>
      <c r="Z343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43" s="6">
        <f ca="1">('TE BE'!$AB$15+'TE BF_350'!$AB$15+'TE CVA'!$AB$15)*(1-CUSTOS!$M$36)</f>
        <v>236.27699999999999</v>
      </c>
      <c r="AB343" s="6">
        <f>$K$343*$V$343</f>
        <v>0</v>
      </c>
      <c r="AC343" s="6">
        <f>$M$343*$W$343</f>
        <v>3054.50866</v>
      </c>
      <c r="AD343" s="6">
        <f>$O$343*$X$343</f>
        <v>0</v>
      </c>
      <c r="AE343" s="6">
        <f>$K$343*$Y$343</f>
        <v>0</v>
      </c>
      <c r="AF343" s="6">
        <f ca="1">$M$343*$Z$343</f>
        <v>3311.4251880000002</v>
      </c>
      <c r="AG343" s="6">
        <f ca="1">$O$343*$AA$343</f>
        <v>4629.6115380000001</v>
      </c>
    </row>
    <row r="344" spans="1:33" ht="11.25" customHeight="1" x14ac:dyDescent="0.3">
      <c r="A344" s="4" t="s">
        <v>21</v>
      </c>
      <c r="B344" s="4" t="s">
        <v>22</v>
      </c>
      <c r="C344" s="4" t="s">
        <v>23</v>
      </c>
      <c r="D344" s="4" t="s">
        <v>24</v>
      </c>
      <c r="E344" s="4" t="s">
        <v>30</v>
      </c>
      <c r="F344" s="4" t="s">
        <v>25</v>
      </c>
      <c r="G344" s="4" t="s">
        <v>25</v>
      </c>
      <c r="H344" s="4" t="s">
        <v>25</v>
      </c>
      <c r="I344" s="5">
        <v>44593</v>
      </c>
      <c r="J344" s="6">
        <v>0</v>
      </c>
      <c r="K344" s="6">
        <v>0</v>
      </c>
      <c r="L344" s="6">
        <v>26.75</v>
      </c>
      <c r="M344" s="6">
        <v>26.75</v>
      </c>
      <c r="N344" s="6">
        <v>26.75</v>
      </c>
      <c r="O344" s="6">
        <v>26.75</v>
      </c>
      <c r="P344" s="6">
        <v>163</v>
      </c>
      <c r="Q344" s="4" t="s">
        <v>26</v>
      </c>
      <c r="R344" s="4">
        <v>0</v>
      </c>
      <c r="S344" s="6">
        <v>0</v>
      </c>
      <c r="T344" s="6">
        <v>45</v>
      </c>
      <c r="U344" s="6">
        <v>2</v>
      </c>
      <c r="V344" s="6">
        <f>IF(ISERROR(VLOOKUP($S$344,'TAR FIN'!$A$1:$O$92,15,0)),0,VLOOKUP($S$344,'TAR FIN'!$A$1:$O$92,15,0))</f>
        <v>0</v>
      </c>
      <c r="W344" s="104">
        <f>IF(ISERROR(VLOOKUP($T$338,'TAR FIN CELESC'!$A$1:$O$92,15,0)),0,VLOOKUP($T$338,'TAR FIN CELESC'!$A$1:$O$92,15,0))</f>
        <v>155.88999999999999</v>
      </c>
      <c r="X344" s="58">
        <f>IF(ISERROR(VLOOKUP($U$339,'TAR FIN CELESC'!$A$1:$O$92,15,0)),0,VLOOKUP($U$339,'TAR FIN CELESC'!$A$1:$O$92,15,0))</f>
        <v>0</v>
      </c>
      <c r="Y344" s="6"/>
      <c r="Z344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44" s="6">
        <f ca="1">('TE BE'!$AB$15+'TE BF_350'!$AB$15+'TE CVA'!$AB$15)*(1-CUSTOS!$M$36)</f>
        <v>236.27699999999999</v>
      </c>
      <c r="AB344" s="6">
        <f>$K$344*$V$344</f>
        <v>0</v>
      </c>
      <c r="AC344" s="6">
        <f>$M$344*$W$344</f>
        <v>4170.0574999999999</v>
      </c>
      <c r="AD344" s="6">
        <f>$O$344*$X$344</f>
        <v>0</v>
      </c>
      <c r="AE344" s="6">
        <f>$K$344*$Y$344</f>
        <v>0</v>
      </c>
      <c r="AF344" s="6">
        <f ca="1">$M$344*$Z$344</f>
        <v>4520.8035</v>
      </c>
      <c r="AG344" s="6">
        <f ca="1">$O$344*$AA$344</f>
        <v>6320.4097499999998</v>
      </c>
    </row>
    <row r="345" spans="1:33" ht="11.25" customHeight="1" x14ac:dyDescent="0.3">
      <c r="A345" s="4" t="s">
        <v>21</v>
      </c>
      <c r="B345" s="4" t="s">
        <v>22</v>
      </c>
      <c r="C345" s="4" t="s">
        <v>23</v>
      </c>
      <c r="D345" s="4" t="s">
        <v>24</v>
      </c>
      <c r="E345" s="4" t="s">
        <v>30</v>
      </c>
      <c r="F345" s="4" t="s">
        <v>25</v>
      </c>
      <c r="G345" s="4" t="s">
        <v>25</v>
      </c>
      <c r="H345" s="4" t="s">
        <v>25</v>
      </c>
      <c r="I345" s="5">
        <v>44621</v>
      </c>
      <c r="J345" s="6">
        <v>0</v>
      </c>
      <c r="K345" s="6">
        <v>0</v>
      </c>
      <c r="L345" s="6">
        <v>25.718</v>
      </c>
      <c r="M345" s="6">
        <v>25.718</v>
      </c>
      <c r="N345" s="6">
        <v>25.718</v>
      </c>
      <c r="O345" s="6">
        <v>25.718</v>
      </c>
      <c r="P345" s="6">
        <v>190</v>
      </c>
      <c r="Q345" s="4" t="s">
        <v>26</v>
      </c>
      <c r="R345" s="4">
        <v>0</v>
      </c>
      <c r="S345" s="6">
        <v>0</v>
      </c>
      <c r="T345" s="6">
        <v>45</v>
      </c>
      <c r="U345" s="6">
        <v>2</v>
      </c>
      <c r="V345" s="6">
        <f>IF(ISERROR(VLOOKUP($S$345,'TAR FIN'!$A$1:$O$92,15,0)),0,VLOOKUP($S$345,'TAR FIN'!$A$1:$O$92,15,0))</f>
        <v>0</v>
      </c>
      <c r="W345" s="104">
        <f>IF(ISERROR(VLOOKUP($T$338,'TAR FIN CELESC'!$A$1:$O$92,15,0)),0,VLOOKUP($T$338,'TAR FIN CELESC'!$A$1:$O$92,15,0))</f>
        <v>155.88999999999999</v>
      </c>
      <c r="X345" s="58">
        <f>IF(ISERROR(VLOOKUP($U$339,'TAR FIN CELESC'!$A$1:$O$92,15,0)),0,VLOOKUP($U$339,'TAR FIN CELESC'!$A$1:$O$92,15,0))</f>
        <v>0</v>
      </c>
      <c r="Y345" s="6"/>
      <c r="Z345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45" s="6">
        <f ca="1">('TE BE'!$AB$15+'TE BF_350'!$AB$15+'TE CVA'!$AB$15)*(1-CUSTOS!$M$36)</f>
        <v>236.27699999999999</v>
      </c>
      <c r="AB345" s="6">
        <f>$K$345*$V$345</f>
        <v>0</v>
      </c>
      <c r="AC345" s="6">
        <f>$M$345*$W$345</f>
        <v>4009.1790199999996</v>
      </c>
      <c r="AD345" s="6">
        <f>$O$345*$X$345</f>
        <v>0</v>
      </c>
      <c r="AE345" s="6">
        <f>$K$345*$Y$345</f>
        <v>0</v>
      </c>
      <c r="AF345" s="6">
        <f ca="1">$M$345*$Z$345</f>
        <v>4346.3934360000003</v>
      </c>
      <c r="AG345" s="6">
        <f ca="1">$O$345*$AA$345</f>
        <v>6076.5718859999997</v>
      </c>
    </row>
    <row r="346" spans="1:33" ht="11.25" customHeight="1" x14ac:dyDescent="0.3">
      <c r="A346" s="4" t="s">
        <v>21</v>
      </c>
      <c r="B346" s="4" t="s">
        <v>22</v>
      </c>
      <c r="C346" s="4" t="s">
        <v>23</v>
      </c>
      <c r="D346" s="4" t="s">
        <v>24</v>
      </c>
      <c r="E346" s="4" t="s">
        <v>30</v>
      </c>
      <c r="F346" s="4" t="s">
        <v>25</v>
      </c>
      <c r="G346" s="4" t="s">
        <v>25</v>
      </c>
      <c r="H346" s="4" t="s">
        <v>25</v>
      </c>
      <c r="I346" s="5">
        <v>44652</v>
      </c>
      <c r="J346" s="6">
        <v>0</v>
      </c>
      <c r="K346" s="6">
        <v>0</v>
      </c>
      <c r="L346" s="6">
        <v>22.731999999999999</v>
      </c>
      <c r="M346" s="6">
        <v>22.731999999999999</v>
      </c>
      <c r="N346" s="6">
        <v>22.731999999999999</v>
      </c>
      <c r="O346" s="6">
        <v>22.731999999999999</v>
      </c>
      <c r="P346" s="6">
        <v>205</v>
      </c>
      <c r="Q346" s="4" t="s">
        <v>26</v>
      </c>
      <c r="R346" s="4">
        <v>0</v>
      </c>
      <c r="S346" s="6">
        <v>0</v>
      </c>
      <c r="T346" s="6">
        <v>45</v>
      </c>
      <c r="U346" s="6">
        <v>2</v>
      </c>
      <c r="V346" s="6">
        <f>IF(ISERROR(VLOOKUP($S$346,'TAR FIN'!$A$1:$O$92,15,0)),0,VLOOKUP($S$346,'TAR FIN'!$A$1:$O$92,15,0))</f>
        <v>0</v>
      </c>
      <c r="W346" s="104">
        <f>IF(ISERROR(VLOOKUP($T$338,'TAR FIN CELESC'!$A$1:$O$92,15,0)),0,VLOOKUP($T$338,'TAR FIN CELESC'!$A$1:$O$92,15,0))</f>
        <v>155.88999999999999</v>
      </c>
      <c r="X346" s="58">
        <f>IF(ISERROR(VLOOKUP($U$339,'TAR FIN CELESC'!$A$1:$O$92,15,0)),0,VLOOKUP($U$339,'TAR FIN CELESC'!$A$1:$O$92,15,0))</f>
        <v>0</v>
      </c>
      <c r="Y346" s="6"/>
      <c r="Z346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46" s="6">
        <f ca="1">('TE BE'!$AB$15+'TE BF_350'!$AB$15+'TE CVA'!$AB$15)*(1-CUSTOS!$M$36)</f>
        <v>236.27699999999999</v>
      </c>
      <c r="AB346" s="6">
        <f>$K$346*$V$346</f>
        <v>0</v>
      </c>
      <c r="AC346" s="6">
        <f>$M$346*$W$346</f>
        <v>3543.6914799999995</v>
      </c>
      <c r="AD346" s="6">
        <f>$O$346*$X$346</f>
        <v>0</v>
      </c>
      <c r="AE346" s="6">
        <f>$K$346*$Y$346</f>
        <v>0</v>
      </c>
      <c r="AF346" s="6">
        <f ca="1">$M$346*$Z$346</f>
        <v>3841.7534639999999</v>
      </c>
      <c r="AG346" s="6">
        <f ca="1">$O$346*$AA$346</f>
        <v>5371.0487639999992</v>
      </c>
    </row>
    <row r="347" spans="1:33" ht="11.25" customHeight="1" x14ac:dyDescent="0.3">
      <c r="A347" s="4" t="s">
        <v>21</v>
      </c>
      <c r="B347" s="4" t="s">
        <v>22</v>
      </c>
      <c r="C347" s="4" t="s">
        <v>23</v>
      </c>
      <c r="D347" s="4" t="s">
        <v>24</v>
      </c>
      <c r="E347" s="4" t="s">
        <v>30</v>
      </c>
      <c r="F347" s="4" t="s">
        <v>25</v>
      </c>
      <c r="G347" s="4" t="s">
        <v>25</v>
      </c>
      <c r="H347" s="4" t="s">
        <v>25</v>
      </c>
      <c r="I347" s="5">
        <v>44682</v>
      </c>
      <c r="J347" s="6">
        <v>0</v>
      </c>
      <c r="K347" s="6">
        <v>0</v>
      </c>
      <c r="L347" s="6">
        <v>21.222999999999999</v>
      </c>
      <c r="M347" s="6">
        <v>21.222999999999999</v>
      </c>
      <c r="N347" s="6">
        <v>21.222999999999999</v>
      </c>
      <c r="O347" s="6">
        <v>21.222999999999999</v>
      </c>
      <c r="P347" s="6">
        <v>212</v>
      </c>
      <c r="Q347" s="4" t="s">
        <v>26</v>
      </c>
      <c r="R347" s="4">
        <v>0</v>
      </c>
      <c r="S347" s="6">
        <v>0</v>
      </c>
      <c r="T347" s="6">
        <v>45</v>
      </c>
      <c r="U347" s="6">
        <v>2</v>
      </c>
      <c r="V347" s="6">
        <f>IF(ISERROR(VLOOKUP($S$347,'TAR FIN'!$A$1:$O$92,15,0)),0,VLOOKUP($S$347,'TAR FIN'!$A$1:$O$92,15,0))</f>
        <v>0</v>
      </c>
      <c r="W347" s="104">
        <f>IF(ISERROR(VLOOKUP($T$338,'TAR FIN CELESC'!$A$1:$O$92,15,0)),0,VLOOKUP($T$338,'TAR FIN CELESC'!$A$1:$O$92,15,0))</f>
        <v>155.88999999999999</v>
      </c>
      <c r="X347" s="58">
        <f>IF(ISERROR(VLOOKUP($U$339,'TAR FIN CELESC'!$A$1:$O$92,15,0)),0,VLOOKUP($U$339,'TAR FIN CELESC'!$A$1:$O$92,15,0))</f>
        <v>0</v>
      </c>
      <c r="Y347" s="6"/>
      <c r="Z347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47" s="6">
        <f ca="1">('TE BE'!$AB$15+'TE BF_350'!$AB$15+'TE CVA'!$AB$15)*(1-CUSTOS!$M$36)</f>
        <v>236.27699999999999</v>
      </c>
      <c r="AB347" s="6">
        <f>$K$347*$V$347</f>
        <v>0</v>
      </c>
      <c r="AC347" s="6">
        <f>$M$347*$W$347</f>
        <v>3308.4534699999995</v>
      </c>
      <c r="AD347" s="6">
        <f>$O$347*$X$347</f>
        <v>0</v>
      </c>
      <c r="AE347" s="6">
        <f>$K$347*$Y$347</f>
        <v>0</v>
      </c>
      <c r="AF347" s="6">
        <f ca="1">$M$347*$Z$347</f>
        <v>3586.7294459999998</v>
      </c>
      <c r="AG347" s="6">
        <f ca="1">$O$347*$AA$347</f>
        <v>5014.5067709999994</v>
      </c>
    </row>
    <row r="348" spans="1:33" ht="11.25" customHeight="1" x14ac:dyDescent="0.3">
      <c r="A348" s="4" t="s">
        <v>21</v>
      </c>
      <c r="B348" s="4" t="s">
        <v>22</v>
      </c>
      <c r="C348" s="4" t="s">
        <v>23</v>
      </c>
      <c r="D348" s="4" t="s">
        <v>24</v>
      </c>
      <c r="E348" s="4" t="s">
        <v>30</v>
      </c>
      <c r="F348" s="4" t="s">
        <v>25</v>
      </c>
      <c r="G348" s="4" t="s">
        <v>25</v>
      </c>
      <c r="H348" s="4" t="s">
        <v>25</v>
      </c>
      <c r="I348" s="5">
        <v>44713</v>
      </c>
      <c r="J348" s="6">
        <v>0</v>
      </c>
      <c r="K348" s="6">
        <v>0</v>
      </c>
      <c r="L348" s="6">
        <v>18.413</v>
      </c>
      <c r="M348" s="6">
        <v>18.413</v>
      </c>
      <c r="N348" s="6">
        <v>18.413</v>
      </c>
      <c r="O348" s="6">
        <v>18.413</v>
      </c>
      <c r="P348" s="6">
        <v>178</v>
      </c>
      <c r="Q348" s="4" t="s">
        <v>26</v>
      </c>
      <c r="R348" s="4">
        <v>0</v>
      </c>
      <c r="S348" s="6">
        <v>0</v>
      </c>
      <c r="T348" s="6">
        <v>45</v>
      </c>
      <c r="U348" s="6">
        <v>2</v>
      </c>
      <c r="V348" s="6">
        <f>IF(ISERROR(VLOOKUP($S$348,'TAR FIN'!$A$1:$O$92,15,0)),0,VLOOKUP($S$348,'TAR FIN'!$A$1:$O$92,15,0))</f>
        <v>0</v>
      </c>
      <c r="W348" s="104">
        <f>IF(ISERROR(VLOOKUP($T$338,'TAR FIN CELESC'!$A$1:$O$92,15,0)),0,VLOOKUP($T$338,'TAR FIN CELESC'!$A$1:$O$92,15,0))</f>
        <v>155.88999999999999</v>
      </c>
      <c r="X348" s="58">
        <f>IF(ISERROR(VLOOKUP($U$339,'TAR FIN CELESC'!$A$1:$O$92,15,0)),0,VLOOKUP($U$339,'TAR FIN CELESC'!$A$1:$O$92,15,0))</f>
        <v>0</v>
      </c>
      <c r="Y348" s="6"/>
      <c r="Z348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48" s="6">
        <f ca="1">('TE BE'!$AB$15+'TE BF_350'!$AB$15+'TE CVA'!$AB$15)*(1-CUSTOS!$M$36)</f>
        <v>236.27699999999999</v>
      </c>
      <c r="AB348" s="6">
        <f>$K$348*$V$348</f>
        <v>0</v>
      </c>
      <c r="AC348" s="6">
        <f>$M$348*$W$348</f>
        <v>2870.4025699999997</v>
      </c>
      <c r="AD348" s="6">
        <f>$O$348*$X$348</f>
        <v>0</v>
      </c>
      <c r="AE348" s="6">
        <f>$K$348*$Y$348</f>
        <v>0</v>
      </c>
      <c r="AF348" s="6">
        <f ca="1">$M$348*$Z$348</f>
        <v>3111.833826</v>
      </c>
      <c r="AG348" s="6">
        <f ca="1">$O$348*$AA$348</f>
        <v>4350.5684009999995</v>
      </c>
    </row>
    <row r="349" spans="1:33" ht="11.25" customHeight="1" x14ac:dyDescent="0.3">
      <c r="A349" s="4" t="s">
        <v>21</v>
      </c>
      <c r="B349" s="4" t="s">
        <v>22</v>
      </c>
      <c r="C349" s="4" t="s">
        <v>23</v>
      </c>
      <c r="D349" s="4" t="s">
        <v>24</v>
      </c>
      <c r="E349" s="4" t="s">
        <v>30</v>
      </c>
      <c r="F349" s="4" t="s">
        <v>25</v>
      </c>
      <c r="G349" s="4" t="s">
        <v>25</v>
      </c>
      <c r="H349" s="4" t="s">
        <v>25</v>
      </c>
      <c r="I349" s="5">
        <v>44743</v>
      </c>
      <c r="J349" s="6">
        <v>0</v>
      </c>
      <c r="K349" s="6">
        <v>0</v>
      </c>
      <c r="L349" s="6">
        <v>20.666</v>
      </c>
      <c r="M349" s="6">
        <v>20.666</v>
      </c>
      <c r="N349" s="6">
        <v>20.666</v>
      </c>
      <c r="O349" s="6">
        <v>20.666</v>
      </c>
      <c r="P349" s="6">
        <v>180</v>
      </c>
      <c r="Q349" s="4" t="s">
        <v>26</v>
      </c>
      <c r="R349" s="4">
        <v>0</v>
      </c>
      <c r="S349" s="6">
        <v>0</v>
      </c>
      <c r="T349" s="6">
        <v>45</v>
      </c>
      <c r="U349" s="6">
        <v>2</v>
      </c>
      <c r="V349" s="6">
        <f>IF(ISERROR(VLOOKUP($S$349,'TAR FIN'!$A$1:$O$92,15,0)),0,VLOOKUP($S$349,'TAR FIN'!$A$1:$O$92,15,0))</f>
        <v>0</v>
      </c>
      <c r="W349" s="104">
        <f>IF(ISERROR(VLOOKUP($T$338,'TAR FIN CELESC'!$A$1:$O$92,15,0)),0,VLOOKUP($T$338,'TAR FIN CELESC'!$A$1:$O$92,15,0))</f>
        <v>155.88999999999999</v>
      </c>
      <c r="X349" s="58">
        <f>IF(ISERROR(VLOOKUP($U$339,'TAR FIN CELESC'!$A$1:$O$92,15,0)),0,VLOOKUP($U$339,'TAR FIN CELESC'!$A$1:$O$92,15,0))</f>
        <v>0</v>
      </c>
      <c r="Y349" s="6"/>
      <c r="Z349" s="6">
        <f ca="1">('TUSD BE'!$AM$27+'TUSD BF_350'!$AM$27+'TUSD CVA'!$AM$27-('TUSD BE'!$P$27+'TUSD BF_350'!$P$27+'TUSD CVA'!$P$27)-('TUSD BE'!$Q$27+'TUSD BF_350'!$Q$27+'TUSD CVA'!$Q$27)-('TUSD BE'!$R$27+'TUSD BF_350'!$R$27+'TUSD CVA'!$R$27))*(1-CUSTOS!$M$36)</f>
        <v>169.00200000000001</v>
      </c>
      <c r="AA349" s="6">
        <f ca="1">('TE BE'!$AB$15+'TE BF_350'!$AB$15+'TE CVA'!$AB$15)*(1-CUSTOS!$M$36)</f>
        <v>236.27699999999999</v>
      </c>
      <c r="AB349" s="6">
        <f>$K$349*$V$349</f>
        <v>0</v>
      </c>
      <c r="AC349" s="6">
        <f>$M$349*$W$349</f>
        <v>3221.6227399999998</v>
      </c>
      <c r="AD349" s="6">
        <f>$O$349*$X$349</f>
        <v>0</v>
      </c>
      <c r="AE349" s="6">
        <f>$K$349*$Y$349</f>
        <v>0</v>
      </c>
      <c r="AF349" s="6">
        <f ca="1">$M$349*$Z$349</f>
        <v>3492.5953320000003</v>
      </c>
      <c r="AG349" s="6">
        <f ca="1">$O$349*$AA$349</f>
        <v>4882.900482</v>
      </c>
    </row>
    <row r="350" spans="1:33" ht="11.25" customHeight="1" x14ac:dyDescent="0.3">
      <c r="A350" s="4" t="s">
        <v>21</v>
      </c>
      <c r="B350" s="4" t="s">
        <v>22</v>
      </c>
      <c r="C350" s="4" t="s">
        <v>23</v>
      </c>
      <c r="D350" s="4" t="s">
        <v>24</v>
      </c>
      <c r="E350" s="4" t="s">
        <v>31</v>
      </c>
      <c r="F350" s="4" t="s">
        <v>25</v>
      </c>
      <c r="G350" s="4" t="s">
        <v>25</v>
      </c>
      <c r="H350" s="4" t="s">
        <v>25</v>
      </c>
      <c r="I350" s="5">
        <v>44409</v>
      </c>
      <c r="J350" s="6">
        <v>0</v>
      </c>
      <c r="K350" s="6">
        <v>0</v>
      </c>
      <c r="L350" s="6">
        <v>5.9829999999999997</v>
      </c>
      <c r="M350" s="6">
        <v>5.9829999999999997</v>
      </c>
      <c r="N350" s="6">
        <v>5.9829999999999997</v>
      </c>
      <c r="O350" s="6">
        <v>5.9829999999999997</v>
      </c>
      <c r="P350" s="6">
        <v>82</v>
      </c>
      <c r="Q350" s="4" t="s">
        <v>26</v>
      </c>
      <c r="R350" s="4">
        <v>0</v>
      </c>
      <c r="S350" s="6">
        <v>0</v>
      </c>
      <c r="T350" s="6">
        <v>46</v>
      </c>
      <c r="U350" s="6">
        <v>4</v>
      </c>
      <c r="V350" s="6">
        <f>IF(ISERROR(VLOOKUP($S$350,'TAR FIN'!$A$1:$O$92,15,0)),0,VLOOKUP($S$350,'TAR FIN'!$A$1:$O$92,15,0))</f>
        <v>0</v>
      </c>
      <c r="W350" s="104">
        <f>IF(ISERROR(VLOOKUP($T$350,'TAR FIN CELESC'!$A$1:$O$92,15,0)),0,VLOOKUP($T$350,'TAR FIN CELESC'!$A$1:$O$92,15,0))</f>
        <v>173.21</v>
      </c>
      <c r="X350" s="104">
        <f>IF(ISERROR(VLOOKUP($U$350,'TAR FIN CELESC'!$A$1:$O$92,15,0)),0,VLOOKUP($U$350,'TAR FIN CELESC'!$A$1:$O$92,15,0))</f>
        <v>287.39</v>
      </c>
      <c r="Y350" s="6"/>
      <c r="Z350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50" s="6">
        <f ca="1">('TE BE'!$AB$16+'TE BF_350'!$AB$16+'TE CVA'!$AB$16)*(1-CUSTOS!$M$37)</f>
        <v>262.52999999999997</v>
      </c>
      <c r="AB350" s="6">
        <f>$K$350*$V$350</f>
        <v>0</v>
      </c>
      <c r="AC350" s="6">
        <f>$M$350*$W$350</f>
        <v>1036.3154299999999</v>
      </c>
      <c r="AD350" s="6">
        <f>$O$350*$X$350</f>
        <v>1719.4543699999999</v>
      </c>
      <c r="AE350" s="6">
        <f>$K$350*$Y$350</f>
        <v>0</v>
      </c>
      <c r="AF350" s="6">
        <f ca="1">$M$350*$Z$350</f>
        <v>1123.48774</v>
      </c>
      <c r="AG350" s="6">
        <f ca="1">$O$350*$AA$350</f>
        <v>1570.7169899999997</v>
      </c>
    </row>
    <row r="351" spans="1:33" ht="11.25" customHeight="1" x14ac:dyDescent="0.3">
      <c r="A351" s="4" t="s">
        <v>21</v>
      </c>
      <c r="B351" s="4" t="s">
        <v>22</v>
      </c>
      <c r="C351" s="4" t="s">
        <v>23</v>
      </c>
      <c r="D351" s="4" t="s">
        <v>24</v>
      </c>
      <c r="E351" s="4" t="s">
        <v>31</v>
      </c>
      <c r="F351" s="4" t="s">
        <v>25</v>
      </c>
      <c r="G351" s="4" t="s">
        <v>25</v>
      </c>
      <c r="H351" s="4" t="s">
        <v>25</v>
      </c>
      <c r="I351" s="5">
        <v>44440</v>
      </c>
      <c r="J351" s="6">
        <v>0</v>
      </c>
      <c r="K351" s="6">
        <v>0</v>
      </c>
      <c r="L351" s="6">
        <v>7.6020000000000003</v>
      </c>
      <c r="M351" s="6">
        <v>7.6020000000000003</v>
      </c>
      <c r="N351" s="6">
        <v>7.6020000000000003</v>
      </c>
      <c r="O351" s="6">
        <v>7.6020000000000003</v>
      </c>
      <c r="P351" s="6">
        <v>96</v>
      </c>
      <c r="Q351" s="4" t="s">
        <v>26</v>
      </c>
      <c r="R351" s="4">
        <v>0</v>
      </c>
      <c r="S351" s="6">
        <v>0</v>
      </c>
      <c r="T351" s="6">
        <v>46</v>
      </c>
      <c r="U351" s="6">
        <v>4</v>
      </c>
      <c r="V351" s="6">
        <f>IF(ISERROR(VLOOKUP($S$351,'TAR FIN'!$A$1:$O$92,15,0)),0,VLOOKUP($S$351,'TAR FIN'!$A$1:$O$92,15,0))</f>
        <v>0</v>
      </c>
      <c r="W351" s="104">
        <f>IF(ISERROR(VLOOKUP($T$350,'TAR FIN CELESC'!$A$1:$O$92,15,0)),0,VLOOKUP($T$350,'TAR FIN CELESC'!$A$1:$O$92,15,0))</f>
        <v>173.21</v>
      </c>
      <c r="X351" s="104">
        <f>IF(ISERROR(VLOOKUP($U$350,'TAR FIN CELESC'!$A$1:$O$92,15,0)),0,VLOOKUP($U$350,'TAR FIN CELESC'!$A$1:$O$92,15,0))</f>
        <v>287.39</v>
      </c>
      <c r="Y351" s="6"/>
      <c r="Z351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51" s="6">
        <f ca="1">('TE BE'!$AB$16+'TE BF_350'!$AB$16+'TE CVA'!$AB$16)*(1-CUSTOS!$M$37)</f>
        <v>262.52999999999997</v>
      </c>
      <c r="AB351" s="6">
        <f>$K$351*$V$351</f>
        <v>0</v>
      </c>
      <c r="AC351" s="6">
        <f>$M$351*$W$351</f>
        <v>1316.74242</v>
      </c>
      <c r="AD351" s="6">
        <f>$O$351*$X$351</f>
        <v>2184.7387800000001</v>
      </c>
      <c r="AE351" s="6">
        <f>$K$351*$Y$351</f>
        <v>0</v>
      </c>
      <c r="AF351" s="6">
        <f ca="1">$M$351*$Z$351</f>
        <v>1427.5035600000001</v>
      </c>
      <c r="AG351" s="6">
        <f ca="1">$O$351*$AA$351</f>
        <v>1995.7530599999998</v>
      </c>
    </row>
    <row r="352" spans="1:33" ht="11.25" customHeight="1" x14ac:dyDescent="0.3">
      <c r="A352" s="4" t="s">
        <v>21</v>
      </c>
      <c r="B352" s="4" t="s">
        <v>22</v>
      </c>
      <c r="C352" s="4" t="s">
        <v>23</v>
      </c>
      <c r="D352" s="4" t="s">
        <v>24</v>
      </c>
      <c r="E352" s="4" t="s">
        <v>31</v>
      </c>
      <c r="F352" s="4" t="s">
        <v>25</v>
      </c>
      <c r="G352" s="4" t="s">
        <v>25</v>
      </c>
      <c r="H352" s="4" t="s">
        <v>25</v>
      </c>
      <c r="I352" s="5">
        <v>44470</v>
      </c>
      <c r="J352" s="6">
        <v>0</v>
      </c>
      <c r="K352" s="6">
        <v>0</v>
      </c>
      <c r="L352" s="6">
        <v>4.5890000000000004</v>
      </c>
      <c r="M352" s="6">
        <v>4.5890000000000004</v>
      </c>
      <c r="N352" s="6">
        <v>4.5890000000000004</v>
      </c>
      <c r="O352" s="6">
        <v>4.5890000000000004</v>
      </c>
      <c r="P352" s="6">
        <v>64</v>
      </c>
      <c r="Q352" s="4" t="s">
        <v>26</v>
      </c>
      <c r="R352" s="4">
        <v>0</v>
      </c>
      <c r="S352" s="6">
        <v>0</v>
      </c>
      <c r="T352" s="6">
        <v>46</v>
      </c>
      <c r="U352" s="6">
        <v>4</v>
      </c>
      <c r="V352" s="6">
        <f>IF(ISERROR(VLOOKUP($S$352,'TAR FIN'!$A$1:$O$92,15,0)),0,VLOOKUP($S$352,'TAR FIN'!$A$1:$O$92,15,0))</f>
        <v>0</v>
      </c>
      <c r="W352" s="104">
        <f>IF(ISERROR(VLOOKUP($T$350,'TAR FIN CELESC'!$A$1:$O$92,15,0)),0,VLOOKUP($T$350,'TAR FIN CELESC'!$A$1:$O$92,15,0))</f>
        <v>173.21</v>
      </c>
      <c r="X352" s="104">
        <f>IF(ISERROR(VLOOKUP($U$350,'TAR FIN CELESC'!$A$1:$O$92,15,0)),0,VLOOKUP($U$350,'TAR FIN CELESC'!$A$1:$O$92,15,0))</f>
        <v>287.39</v>
      </c>
      <c r="Y352" s="6"/>
      <c r="Z352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52" s="6">
        <f ca="1">('TE BE'!$AB$16+'TE BF_350'!$AB$16+'TE CVA'!$AB$16)*(1-CUSTOS!$M$37)</f>
        <v>262.52999999999997</v>
      </c>
      <c r="AB352" s="6">
        <f>$K$352*$V$352</f>
        <v>0</v>
      </c>
      <c r="AC352" s="6">
        <f>$M$352*$W$352</f>
        <v>794.86069000000009</v>
      </c>
      <c r="AD352" s="6">
        <f>$O$352*$X$352</f>
        <v>1318.8327100000001</v>
      </c>
      <c r="AE352" s="6">
        <f>$K$352*$Y$352</f>
        <v>0</v>
      </c>
      <c r="AF352" s="6">
        <f ca="1">$M$352*$Z$352</f>
        <v>861.72242000000006</v>
      </c>
      <c r="AG352" s="6">
        <f ca="1">$O$352*$AA$352</f>
        <v>1204.75017</v>
      </c>
    </row>
    <row r="353" spans="1:33" ht="11.25" customHeight="1" x14ac:dyDescent="0.3">
      <c r="A353" s="4" t="s">
        <v>21</v>
      </c>
      <c r="B353" s="4" t="s">
        <v>22</v>
      </c>
      <c r="C353" s="4" t="s">
        <v>23</v>
      </c>
      <c r="D353" s="4" t="s">
        <v>24</v>
      </c>
      <c r="E353" s="4" t="s">
        <v>31</v>
      </c>
      <c r="F353" s="4" t="s">
        <v>25</v>
      </c>
      <c r="G353" s="4" t="s">
        <v>25</v>
      </c>
      <c r="H353" s="4" t="s">
        <v>25</v>
      </c>
      <c r="I353" s="5">
        <v>44501</v>
      </c>
      <c r="J353" s="6">
        <v>0</v>
      </c>
      <c r="K353" s="6">
        <v>0</v>
      </c>
      <c r="L353" s="6">
        <v>3.7509999999999999</v>
      </c>
      <c r="M353" s="6">
        <v>3.7509999999999999</v>
      </c>
      <c r="N353" s="6">
        <v>3.7509999999999999</v>
      </c>
      <c r="O353" s="6">
        <v>3.7509999999999999</v>
      </c>
      <c r="P353" s="6">
        <v>60</v>
      </c>
      <c r="Q353" s="4" t="s">
        <v>26</v>
      </c>
      <c r="R353" s="4">
        <v>0</v>
      </c>
      <c r="S353" s="6">
        <v>0</v>
      </c>
      <c r="T353" s="6">
        <v>46</v>
      </c>
      <c r="U353" s="6">
        <v>4</v>
      </c>
      <c r="V353" s="6">
        <f>IF(ISERROR(VLOOKUP($S$353,'TAR FIN'!$A$1:$O$92,15,0)),0,VLOOKUP($S$353,'TAR FIN'!$A$1:$O$92,15,0))</f>
        <v>0</v>
      </c>
      <c r="W353" s="104">
        <f>IF(ISERROR(VLOOKUP($T$350,'TAR FIN CELESC'!$A$1:$O$92,15,0)),0,VLOOKUP($T$350,'TAR FIN CELESC'!$A$1:$O$92,15,0))</f>
        <v>173.21</v>
      </c>
      <c r="X353" s="104">
        <f>IF(ISERROR(VLOOKUP($U$350,'TAR FIN CELESC'!$A$1:$O$92,15,0)),0,VLOOKUP($U$350,'TAR FIN CELESC'!$A$1:$O$92,15,0))</f>
        <v>287.39</v>
      </c>
      <c r="Y353" s="6"/>
      <c r="Z353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53" s="6">
        <f ca="1">('TE BE'!$AB$16+'TE BF_350'!$AB$16+'TE CVA'!$AB$16)*(1-CUSTOS!$M$37)</f>
        <v>262.52999999999997</v>
      </c>
      <c r="AB353" s="6">
        <f>$K$353*$V$353</f>
        <v>0</v>
      </c>
      <c r="AC353" s="6">
        <f>$M$353*$W$353</f>
        <v>649.71071000000006</v>
      </c>
      <c r="AD353" s="6">
        <f>$O$353*$X$353</f>
        <v>1077.9998899999998</v>
      </c>
      <c r="AE353" s="6">
        <f>$K$353*$Y$353</f>
        <v>0</v>
      </c>
      <c r="AF353" s="6">
        <f ca="1">$M$353*$Z$353</f>
        <v>704.36277999999993</v>
      </c>
      <c r="AG353" s="6">
        <f ca="1">$O$353*$AA$353</f>
        <v>984.75002999999992</v>
      </c>
    </row>
    <row r="354" spans="1:33" ht="11.25" customHeight="1" x14ac:dyDescent="0.3">
      <c r="A354" s="4" t="s">
        <v>21</v>
      </c>
      <c r="B354" s="4" t="s">
        <v>22</v>
      </c>
      <c r="C354" s="4" t="s">
        <v>23</v>
      </c>
      <c r="D354" s="4" t="s">
        <v>24</v>
      </c>
      <c r="E354" s="4" t="s">
        <v>31</v>
      </c>
      <c r="F354" s="4" t="s">
        <v>25</v>
      </c>
      <c r="G354" s="4" t="s">
        <v>25</v>
      </c>
      <c r="H354" s="4" t="s">
        <v>25</v>
      </c>
      <c r="I354" s="5">
        <v>44531</v>
      </c>
      <c r="J354" s="6">
        <v>0</v>
      </c>
      <c r="K354" s="6">
        <v>0</v>
      </c>
      <c r="L354" s="6">
        <v>7.5640000000000001</v>
      </c>
      <c r="M354" s="6">
        <v>7.5640000000000001</v>
      </c>
      <c r="N354" s="6">
        <v>7.5640000000000001</v>
      </c>
      <c r="O354" s="6">
        <v>7.5640000000000001</v>
      </c>
      <c r="P354" s="6">
        <v>97</v>
      </c>
      <c r="Q354" s="4" t="s">
        <v>26</v>
      </c>
      <c r="R354" s="4">
        <v>0</v>
      </c>
      <c r="S354" s="6">
        <v>0</v>
      </c>
      <c r="T354" s="6">
        <v>46</v>
      </c>
      <c r="U354" s="6">
        <v>4</v>
      </c>
      <c r="V354" s="6">
        <f>IF(ISERROR(VLOOKUP($S$354,'TAR FIN'!$A$1:$O$92,15,0)),0,VLOOKUP($S$354,'TAR FIN'!$A$1:$O$92,15,0))</f>
        <v>0</v>
      </c>
      <c r="W354" s="104">
        <f>IF(ISERROR(VLOOKUP($T$350,'TAR FIN CELESC'!$A$1:$O$92,15,0)),0,VLOOKUP($T$350,'TAR FIN CELESC'!$A$1:$O$92,15,0))</f>
        <v>173.21</v>
      </c>
      <c r="X354" s="104">
        <f>IF(ISERROR(VLOOKUP($U$350,'TAR FIN CELESC'!$A$1:$O$92,15,0)),0,VLOOKUP($U$350,'TAR FIN CELESC'!$A$1:$O$92,15,0))</f>
        <v>287.39</v>
      </c>
      <c r="Y354" s="6"/>
      <c r="Z354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54" s="6">
        <f ca="1">('TE BE'!$AB$16+'TE BF_350'!$AB$16+'TE CVA'!$AB$16)*(1-CUSTOS!$M$37)</f>
        <v>262.52999999999997</v>
      </c>
      <c r="AB354" s="6">
        <f>$K$354*$V$354</f>
        <v>0</v>
      </c>
      <c r="AC354" s="6">
        <f>$M$354*$W$354</f>
        <v>1310.1604400000001</v>
      </c>
      <c r="AD354" s="6">
        <f>$O$354*$X$354</f>
        <v>2173.8179599999999</v>
      </c>
      <c r="AE354" s="6">
        <f>$K$354*$Y$354</f>
        <v>0</v>
      </c>
      <c r="AF354" s="6">
        <f ca="1">$M$354*$Z$354</f>
        <v>1420.3679199999999</v>
      </c>
      <c r="AG354" s="6">
        <f ca="1">$O$354*$AA$354</f>
        <v>1985.7769199999998</v>
      </c>
    </row>
    <row r="355" spans="1:33" ht="11.25" customHeight="1" x14ac:dyDescent="0.3">
      <c r="A355" s="4" t="s">
        <v>21</v>
      </c>
      <c r="B355" s="4" t="s">
        <v>22</v>
      </c>
      <c r="C355" s="4" t="s">
        <v>23</v>
      </c>
      <c r="D355" s="4" t="s">
        <v>24</v>
      </c>
      <c r="E355" s="4" t="s">
        <v>31</v>
      </c>
      <c r="F355" s="4" t="s">
        <v>25</v>
      </c>
      <c r="G355" s="4" t="s">
        <v>25</v>
      </c>
      <c r="H355" s="4" t="s">
        <v>25</v>
      </c>
      <c r="I355" s="5">
        <v>44562</v>
      </c>
      <c r="J355" s="6">
        <v>0</v>
      </c>
      <c r="K355" s="6">
        <v>0</v>
      </c>
      <c r="L355" s="6">
        <v>6.6920000000000002</v>
      </c>
      <c r="M355" s="6">
        <v>6.6920000000000002</v>
      </c>
      <c r="N355" s="6">
        <v>6.6920000000000002</v>
      </c>
      <c r="O355" s="6">
        <v>6.6920000000000002</v>
      </c>
      <c r="P355" s="6">
        <v>87</v>
      </c>
      <c r="Q355" s="4" t="s">
        <v>26</v>
      </c>
      <c r="R355" s="4">
        <v>0</v>
      </c>
      <c r="S355" s="6">
        <v>0</v>
      </c>
      <c r="T355" s="6">
        <v>46</v>
      </c>
      <c r="U355" s="6">
        <v>4</v>
      </c>
      <c r="V355" s="6">
        <f>IF(ISERROR(VLOOKUP($S$355,'TAR FIN'!$A$1:$O$92,15,0)),0,VLOOKUP($S$355,'TAR FIN'!$A$1:$O$92,15,0))</f>
        <v>0</v>
      </c>
      <c r="W355" s="104">
        <f>IF(ISERROR(VLOOKUP($T$350,'TAR FIN CELESC'!$A$1:$O$92,15,0)),0,VLOOKUP($T$350,'TAR FIN CELESC'!$A$1:$O$92,15,0))</f>
        <v>173.21</v>
      </c>
      <c r="X355" s="104">
        <f>IF(ISERROR(VLOOKUP($U$350,'TAR FIN CELESC'!$A$1:$O$92,15,0)),0,VLOOKUP($U$350,'TAR FIN CELESC'!$A$1:$O$92,15,0))</f>
        <v>287.39</v>
      </c>
      <c r="Y355" s="6"/>
      <c r="Z355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55" s="6">
        <f ca="1">('TE BE'!$AB$16+'TE BF_350'!$AB$16+'TE CVA'!$AB$16)*(1-CUSTOS!$M$37)</f>
        <v>262.52999999999997</v>
      </c>
      <c r="AB355" s="6">
        <f>$K$355*$V$355</f>
        <v>0</v>
      </c>
      <c r="AC355" s="6">
        <f>$M$355*$W$355</f>
        <v>1159.1213200000002</v>
      </c>
      <c r="AD355" s="6">
        <f>$O$355*$X$355</f>
        <v>1923.21388</v>
      </c>
      <c r="AE355" s="6">
        <f>$K$355*$Y$355</f>
        <v>0</v>
      </c>
      <c r="AF355" s="6">
        <f ca="1">$M$355*$Z$355</f>
        <v>1256.6237599999999</v>
      </c>
      <c r="AG355" s="6">
        <f ca="1">$O$355*$AA$355</f>
        <v>1756.8507599999998</v>
      </c>
    </row>
    <row r="356" spans="1:33" ht="11.25" customHeight="1" x14ac:dyDescent="0.3">
      <c r="A356" s="4" t="s">
        <v>21</v>
      </c>
      <c r="B356" s="4" t="s">
        <v>22</v>
      </c>
      <c r="C356" s="4" t="s">
        <v>23</v>
      </c>
      <c r="D356" s="4" t="s">
        <v>24</v>
      </c>
      <c r="E356" s="4" t="s">
        <v>31</v>
      </c>
      <c r="F356" s="4" t="s">
        <v>25</v>
      </c>
      <c r="G356" s="4" t="s">
        <v>25</v>
      </c>
      <c r="H356" s="4" t="s">
        <v>25</v>
      </c>
      <c r="I356" s="5">
        <v>44593</v>
      </c>
      <c r="J356" s="6">
        <v>0</v>
      </c>
      <c r="K356" s="6">
        <v>0</v>
      </c>
      <c r="L356" s="6">
        <v>15.93</v>
      </c>
      <c r="M356" s="6">
        <v>15.93</v>
      </c>
      <c r="N356" s="6">
        <v>15.93</v>
      </c>
      <c r="O356" s="6">
        <v>15.93</v>
      </c>
      <c r="P356" s="6">
        <v>143</v>
      </c>
      <c r="Q356" s="4" t="s">
        <v>26</v>
      </c>
      <c r="R356" s="4">
        <v>0</v>
      </c>
      <c r="S356" s="6">
        <v>0</v>
      </c>
      <c r="T356" s="6">
        <v>46</v>
      </c>
      <c r="U356" s="6">
        <v>4</v>
      </c>
      <c r="V356" s="6">
        <f>IF(ISERROR(VLOOKUP($S$356,'TAR FIN'!$A$1:$O$92,15,0)),0,VLOOKUP($S$356,'TAR FIN'!$A$1:$O$92,15,0))</f>
        <v>0</v>
      </c>
      <c r="W356" s="104">
        <f>IF(ISERROR(VLOOKUP($T$350,'TAR FIN CELESC'!$A$1:$O$92,15,0)),0,VLOOKUP($T$350,'TAR FIN CELESC'!$A$1:$O$92,15,0))</f>
        <v>173.21</v>
      </c>
      <c r="X356" s="104">
        <f>IF(ISERROR(VLOOKUP($U$350,'TAR FIN CELESC'!$A$1:$O$92,15,0)),0,VLOOKUP($U$350,'TAR FIN CELESC'!$A$1:$O$92,15,0))</f>
        <v>287.39</v>
      </c>
      <c r="Y356" s="6"/>
      <c r="Z356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56" s="6">
        <f ca="1">('TE BE'!$AB$16+'TE BF_350'!$AB$16+'TE CVA'!$AB$16)*(1-CUSTOS!$M$37)</f>
        <v>262.52999999999997</v>
      </c>
      <c r="AB356" s="6">
        <f>$K$356*$V$356</f>
        <v>0</v>
      </c>
      <c r="AC356" s="6">
        <f>$M$356*$W$356</f>
        <v>2759.2353000000003</v>
      </c>
      <c r="AD356" s="6">
        <f>$O$356*$X$356</f>
        <v>4578.1226999999999</v>
      </c>
      <c r="AE356" s="6">
        <f>$K$356*$Y$356</f>
        <v>0</v>
      </c>
      <c r="AF356" s="6">
        <f ca="1">$M$356*$Z$356</f>
        <v>2991.3353999999999</v>
      </c>
      <c r="AG356" s="6">
        <f ca="1">$O$356*$AA$356</f>
        <v>4182.1028999999999</v>
      </c>
    </row>
    <row r="357" spans="1:33" ht="11.25" customHeight="1" x14ac:dyDescent="0.3">
      <c r="A357" s="4" t="s">
        <v>21</v>
      </c>
      <c r="B357" s="4" t="s">
        <v>22</v>
      </c>
      <c r="C357" s="4" t="s">
        <v>23</v>
      </c>
      <c r="D357" s="4" t="s">
        <v>24</v>
      </c>
      <c r="E357" s="4" t="s">
        <v>31</v>
      </c>
      <c r="F357" s="4" t="s">
        <v>25</v>
      </c>
      <c r="G357" s="4" t="s">
        <v>25</v>
      </c>
      <c r="H357" s="4" t="s">
        <v>25</v>
      </c>
      <c r="I357" s="5">
        <v>44621</v>
      </c>
      <c r="J357" s="6">
        <v>0</v>
      </c>
      <c r="K357" s="6">
        <v>0</v>
      </c>
      <c r="L357" s="6">
        <v>12.44</v>
      </c>
      <c r="M357" s="6">
        <v>12.44</v>
      </c>
      <c r="N357" s="6">
        <v>12.44</v>
      </c>
      <c r="O357" s="6">
        <v>12.44</v>
      </c>
      <c r="P357" s="6">
        <v>118</v>
      </c>
      <c r="Q357" s="4" t="s">
        <v>26</v>
      </c>
      <c r="R357" s="4">
        <v>0</v>
      </c>
      <c r="S357" s="6">
        <v>0</v>
      </c>
      <c r="T357" s="6">
        <v>46</v>
      </c>
      <c r="U357" s="6">
        <v>4</v>
      </c>
      <c r="V357" s="6">
        <f>IF(ISERROR(VLOOKUP($S$357,'TAR FIN'!$A$1:$O$92,15,0)),0,VLOOKUP($S$357,'TAR FIN'!$A$1:$O$92,15,0))</f>
        <v>0</v>
      </c>
      <c r="W357" s="104">
        <f>IF(ISERROR(VLOOKUP($T$350,'TAR FIN CELESC'!$A$1:$O$92,15,0)),0,VLOOKUP($T$350,'TAR FIN CELESC'!$A$1:$O$92,15,0))</f>
        <v>173.21</v>
      </c>
      <c r="X357" s="104">
        <f>IF(ISERROR(VLOOKUP($U$350,'TAR FIN CELESC'!$A$1:$O$92,15,0)),0,VLOOKUP($U$350,'TAR FIN CELESC'!$A$1:$O$92,15,0))</f>
        <v>287.39</v>
      </c>
      <c r="Y357" s="6"/>
      <c r="Z357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57" s="6">
        <f ca="1">('TE BE'!$AB$16+'TE BF_350'!$AB$16+'TE CVA'!$AB$16)*(1-CUSTOS!$M$37)</f>
        <v>262.52999999999997</v>
      </c>
      <c r="AB357" s="6">
        <f>$K$357*$V$357</f>
        <v>0</v>
      </c>
      <c r="AC357" s="6">
        <f>$M$357*$W$357</f>
        <v>2154.7323999999999</v>
      </c>
      <c r="AD357" s="6">
        <f>$O$357*$X$357</f>
        <v>3575.1315999999997</v>
      </c>
      <c r="AE357" s="6">
        <f>$K$357*$Y$357</f>
        <v>0</v>
      </c>
      <c r="AF357" s="6">
        <f ca="1">$M$357*$Z$357</f>
        <v>2335.9832000000001</v>
      </c>
      <c r="AG357" s="6">
        <f ca="1">$O$357*$AA$357</f>
        <v>3265.8731999999995</v>
      </c>
    </row>
    <row r="358" spans="1:33" ht="11.25" customHeight="1" x14ac:dyDescent="0.3">
      <c r="A358" s="4" t="s">
        <v>21</v>
      </c>
      <c r="B358" s="4" t="s">
        <v>22</v>
      </c>
      <c r="C358" s="4" t="s">
        <v>23</v>
      </c>
      <c r="D358" s="4" t="s">
        <v>24</v>
      </c>
      <c r="E358" s="4" t="s">
        <v>31</v>
      </c>
      <c r="F358" s="4" t="s">
        <v>25</v>
      </c>
      <c r="G358" s="4" t="s">
        <v>25</v>
      </c>
      <c r="H358" s="4" t="s">
        <v>25</v>
      </c>
      <c r="I358" s="5">
        <v>44652</v>
      </c>
      <c r="J358" s="6">
        <v>0</v>
      </c>
      <c r="K358" s="6">
        <v>0</v>
      </c>
      <c r="L358" s="6">
        <v>7.141</v>
      </c>
      <c r="M358" s="6">
        <v>7.141</v>
      </c>
      <c r="N358" s="6">
        <v>7.141</v>
      </c>
      <c r="O358" s="6">
        <v>7.141</v>
      </c>
      <c r="P358" s="6">
        <v>95</v>
      </c>
      <c r="Q358" s="4" t="s">
        <v>26</v>
      </c>
      <c r="R358" s="4">
        <v>0</v>
      </c>
      <c r="S358" s="6">
        <v>0</v>
      </c>
      <c r="T358" s="6">
        <v>46</v>
      </c>
      <c r="U358" s="6">
        <v>4</v>
      </c>
      <c r="V358" s="6">
        <f>IF(ISERROR(VLOOKUP($S$358,'TAR FIN'!$A$1:$O$92,15,0)),0,VLOOKUP($S$358,'TAR FIN'!$A$1:$O$92,15,0))</f>
        <v>0</v>
      </c>
      <c r="W358" s="104">
        <f>IF(ISERROR(VLOOKUP($T$350,'TAR FIN CELESC'!$A$1:$O$92,15,0)),0,VLOOKUP($T$350,'TAR FIN CELESC'!$A$1:$O$92,15,0))</f>
        <v>173.21</v>
      </c>
      <c r="X358" s="104">
        <f>IF(ISERROR(VLOOKUP($U$350,'TAR FIN CELESC'!$A$1:$O$92,15,0)),0,VLOOKUP($U$350,'TAR FIN CELESC'!$A$1:$O$92,15,0))</f>
        <v>287.39</v>
      </c>
      <c r="Y358" s="6"/>
      <c r="Z358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58" s="6">
        <f ca="1">('TE BE'!$AB$16+'TE BF_350'!$AB$16+'TE CVA'!$AB$16)*(1-CUSTOS!$M$37)</f>
        <v>262.52999999999997</v>
      </c>
      <c r="AB358" s="6">
        <f>$K$358*$V$358</f>
        <v>0</v>
      </c>
      <c r="AC358" s="6">
        <f>$M$358*$W$358</f>
        <v>1236.8926100000001</v>
      </c>
      <c r="AD358" s="6">
        <f>$O$358*$X$358</f>
        <v>2052.2519899999998</v>
      </c>
      <c r="AE358" s="6">
        <f>$K$358*$Y$358</f>
        <v>0</v>
      </c>
      <c r="AF358" s="6">
        <f ca="1">$M$358*$Z$358</f>
        <v>1340.9369799999999</v>
      </c>
      <c r="AG358" s="6">
        <f ca="1">$O$358*$AA$358</f>
        <v>1874.7267299999999</v>
      </c>
    </row>
    <row r="359" spans="1:33" ht="11.25" customHeight="1" x14ac:dyDescent="0.3">
      <c r="A359" s="4" t="s">
        <v>21</v>
      </c>
      <c r="B359" s="4" t="s">
        <v>22</v>
      </c>
      <c r="C359" s="4" t="s">
        <v>23</v>
      </c>
      <c r="D359" s="4" t="s">
        <v>24</v>
      </c>
      <c r="E359" s="4" t="s">
        <v>31</v>
      </c>
      <c r="F359" s="4" t="s">
        <v>25</v>
      </c>
      <c r="G359" s="4" t="s">
        <v>25</v>
      </c>
      <c r="H359" s="4" t="s">
        <v>25</v>
      </c>
      <c r="I359" s="5">
        <v>44682</v>
      </c>
      <c r="J359" s="6">
        <v>0</v>
      </c>
      <c r="K359" s="6">
        <v>0</v>
      </c>
      <c r="L359" s="6">
        <v>5.4130000000000003</v>
      </c>
      <c r="M359" s="6">
        <v>5.4130000000000003</v>
      </c>
      <c r="N359" s="6">
        <v>5.4130000000000003</v>
      </c>
      <c r="O359" s="6">
        <v>5.4130000000000003</v>
      </c>
      <c r="P359" s="6">
        <v>76</v>
      </c>
      <c r="Q359" s="4" t="s">
        <v>26</v>
      </c>
      <c r="R359" s="4">
        <v>0</v>
      </c>
      <c r="S359" s="6">
        <v>0</v>
      </c>
      <c r="T359" s="6">
        <v>46</v>
      </c>
      <c r="U359" s="6">
        <v>4</v>
      </c>
      <c r="V359" s="6">
        <f>IF(ISERROR(VLOOKUP($S$359,'TAR FIN'!$A$1:$O$92,15,0)),0,VLOOKUP($S$359,'TAR FIN'!$A$1:$O$92,15,0))</f>
        <v>0</v>
      </c>
      <c r="W359" s="104">
        <f>IF(ISERROR(VLOOKUP($T$350,'TAR FIN CELESC'!$A$1:$O$92,15,0)),0,VLOOKUP($T$350,'TAR FIN CELESC'!$A$1:$O$92,15,0))</f>
        <v>173.21</v>
      </c>
      <c r="X359" s="104">
        <f>IF(ISERROR(VLOOKUP($U$350,'TAR FIN CELESC'!$A$1:$O$92,15,0)),0,VLOOKUP($U$350,'TAR FIN CELESC'!$A$1:$O$92,15,0))</f>
        <v>287.39</v>
      </c>
      <c r="Y359" s="6"/>
      <c r="Z359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59" s="6">
        <f ca="1">('TE BE'!$AB$16+'TE BF_350'!$AB$16+'TE CVA'!$AB$16)*(1-CUSTOS!$M$37)</f>
        <v>262.52999999999997</v>
      </c>
      <c r="AB359" s="6">
        <f>$K$359*$V$359</f>
        <v>0</v>
      </c>
      <c r="AC359" s="6">
        <f>$M$359*$W$359</f>
        <v>937.58573000000013</v>
      </c>
      <c r="AD359" s="6">
        <f>$O$359*$X$359</f>
        <v>1555.6420700000001</v>
      </c>
      <c r="AE359" s="6">
        <f>$K$359*$Y$359</f>
        <v>0</v>
      </c>
      <c r="AF359" s="6">
        <f ca="1">$M$359*$Z$359</f>
        <v>1016.4531400000001</v>
      </c>
      <c r="AG359" s="6">
        <f ca="1">$O$359*$AA$359</f>
        <v>1421.0748899999999</v>
      </c>
    </row>
    <row r="360" spans="1:33" ht="11.25" customHeight="1" x14ac:dyDescent="0.3">
      <c r="A360" s="4" t="s">
        <v>21</v>
      </c>
      <c r="B360" s="4" t="s">
        <v>22</v>
      </c>
      <c r="C360" s="4" t="s">
        <v>23</v>
      </c>
      <c r="D360" s="4" t="s">
        <v>24</v>
      </c>
      <c r="E360" s="4" t="s">
        <v>31</v>
      </c>
      <c r="F360" s="4" t="s">
        <v>25</v>
      </c>
      <c r="G360" s="4" t="s">
        <v>25</v>
      </c>
      <c r="H360" s="4" t="s">
        <v>25</v>
      </c>
      <c r="I360" s="5">
        <v>44713</v>
      </c>
      <c r="J360" s="6">
        <v>0</v>
      </c>
      <c r="K360" s="6">
        <v>0</v>
      </c>
      <c r="L360" s="6">
        <v>6.1180000000000003</v>
      </c>
      <c r="M360" s="6">
        <v>6.1180000000000003</v>
      </c>
      <c r="N360" s="6">
        <v>6.1180000000000003</v>
      </c>
      <c r="O360" s="6">
        <v>6.1180000000000003</v>
      </c>
      <c r="P360" s="6">
        <v>69</v>
      </c>
      <c r="Q360" s="4" t="s">
        <v>26</v>
      </c>
      <c r="R360" s="4">
        <v>0</v>
      </c>
      <c r="S360" s="6">
        <v>0</v>
      </c>
      <c r="T360" s="6">
        <v>46</v>
      </c>
      <c r="U360" s="6">
        <v>4</v>
      </c>
      <c r="V360" s="6">
        <f>IF(ISERROR(VLOOKUP($S$360,'TAR FIN'!$A$1:$O$92,15,0)),0,VLOOKUP($S$360,'TAR FIN'!$A$1:$O$92,15,0))</f>
        <v>0</v>
      </c>
      <c r="W360" s="104">
        <f>IF(ISERROR(VLOOKUP($T$350,'TAR FIN CELESC'!$A$1:$O$92,15,0)),0,VLOOKUP($T$350,'TAR FIN CELESC'!$A$1:$O$92,15,0))</f>
        <v>173.21</v>
      </c>
      <c r="X360" s="104">
        <f>IF(ISERROR(VLOOKUP($U$350,'TAR FIN CELESC'!$A$1:$O$92,15,0)),0,VLOOKUP($U$350,'TAR FIN CELESC'!$A$1:$O$92,15,0))</f>
        <v>287.39</v>
      </c>
      <c r="Y360" s="6"/>
      <c r="Z360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60" s="6">
        <f ca="1">('TE BE'!$AB$16+'TE BF_350'!$AB$16+'TE CVA'!$AB$16)*(1-CUSTOS!$M$37)</f>
        <v>262.52999999999997</v>
      </c>
      <c r="AB360" s="6">
        <f>$K$360*$V$360</f>
        <v>0</v>
      </c>
      <c r="AC360" s="6">
        <f>$M$360*$W$360</f>
        <v>1059.6987800000002</v>
      </c>
      <c r="AD360" s="6">
        <f>$O$360*$X$360</f>
        <v>1758.2520199999999</v>
      </c>
      <c r="AE360" s="6">
        <f>$K$360*$Y$360</f>
        <v>0</v>
      </c>
      <c r="AF360" s="6">
        <f ca="1">$M$360*$Z$360</f>
        <v>1148.8380400000001</v>
      </c>
      <c r="AG360" s="6">
        <f ca="1">$O$360*$AA$360</f>
        <v>1606.1585399999999</v>
      </c>
    </row>
    <row r="361" spans="1:33" ht="11.25" customHeight="1" x14ac:dyDescent="0.3">
      <c r="A361" s="4" t="s">
        <v>21</v>
      </c>
      <c r="B361" s="4" t="s">
        <v>22</v>
      </c>
      <c r="C361" s="4" t="s">
        <v>23</v>
      </c>
      <c r="D361" s="4" t="s">
        <v>24</v>
      </c>
      <c r="E361" s="4" t="s">
        <v>31</v>
      </c>
      <c r="F361" s="4" t="s">
        <v>25</v>
      </c>
      <c r="G361" s="4" t="s">
        <v>25</v>
      </c>
      <c r="H361" s="4" t="s">
        <v>25</v>
      </c>
      <c r="I361" s="5">
        <v>44743</v>
      </c>
      <c r="J361" s="6">
        <v>0</v>
      </c>
      <c r="K361" s="6">
        <v>0</v>
      </c>
      <c r="L361" s="6">
        <v>8.77</v>
      </c>
      <c r="M361" s="6">
        <v>8.77</v>
      </c>
      <c r="N361" s="6">
        <v>8.77</v>
      </c>
      <c r="O361" s="6">
        <v>8.77</v>
      </c>
      <c r="P361" s="6">
        <v>90</v>
      </c>
      <c r="Q361" s="4" t="s">
        <v>26</v>
      </c>
      <c r="R361" s="4">
        <v>0</v>
      </c>
      <c r="S361" s="6">
        <v>0</v>
      </c>
      <c r="T361" s="6">
        <v>46</v>
      </c>
      <c r="U361" s="6">
        <v>4</v>
      </c>
      <c r="V361" s="6">
        <f>IF(ISERROR(VLOOKUP($S$361,'TAR FIN'!$A$1:$O$92,15,0)),0,VLOOKUP($S$361,'TAR FIN'!$A$1:$O$92,15,0))</f>
        <v>0</v>
      </c>
      <c r="W361" s="104">
        <f>IF(ISERROR(VLOOKUP($T$350,'TAR FIN CELESC'!$A$1:$O$92,15,0)),0,VLOOKUP($T$350,'TAR FIN CELESC'!$A$1:$O$92,15,0))</f>
        <v>173.21</v>
      </c>
      <c r="X361" s="104">
        <f>IF(ISERROR(VLOOKUP($U$350,'TAR FIN CELESC'!$A$1:$O$92,15,0)),0,VLOOKUP($U$350,'TAR FIN CELESC'!$A$1:$O$92,15,0))</f>
        <v>287.39</v>
      </c>
      <c r="Y361" s="6"/>
      <c r="Z361" s="6">
        <f ca="1">('TUSD BE'!$AM$28+'TUSD BF_350'!$AM$28+'TUSD CVA'!$AM$28-('TUSD BE'!$P$28+'TUSD BF_350'!$P$28+'TUSD CVA'!$P$28)-('TUSD BE'!$Q$28+'TUSD BF_350'!$Q$28+'TUSD CVA'!$Q$28)-('TUSD BE'!$R$28+'TUSD BF_350'!$R$28+'TUSD CVA'!$R$28))*(1-CUSTOS!$M$37)</f>
        <v>187.78</v>
      </c>
      <c r="AA361" s="6">
        <f ca="1">('TE BE'!$AB$16+'TE BF_350'!$AB$16+'TE CVA'!$AB$16)*(1-CUSTOS!$M$37)</f>
        <v>262.52999999999997</v>
      </c>
      <c r="AB361" s="6">
        <f>$K$361*$V$361</f>
        <v>0</v>
      </c>
      <c r="AC361" s="6">
        <f>$M$361*$W$361</f>
        <v>1519.0517</v>
      </c>
      <c r="AD361" s="6">
        <f>$O$361*$X$361</f>
        <v>2520.4102999999996</v>
      </c>
      <c r="AE361" s="6">
        <f>$K$361*$Y$361</f>
        <v>0</v>
      </c>
      <c r="AF361" s="6">
        <f ca="1">$M$361*$Z$361</f>
        <v>1646.8306</v>
      </c>
      <c r="AG361" s="6">
        <f ca="1">$O$361*$AA$361</f>
        <v>2302.3880999999997</v>
      </c>
    </row>
    <row r="362" spans="1:33" ht="11.25" customHeight="1" x14ac:dyDescent="0.3">
      <c r="A362" s="4" t="s">
        <v>21</v>
      </c>
      <c r="B362" s="4" t="s">
        <v>41</v>
      </c>
      <c r="C362" s="4" t="s">
        <v>23</v>
      </c>
      <c r="D362" s="4" t="s">
        <v>42</v>
      </c>
      <c r="E362" s="4" t="s">
        <v>50</v>
      </c>
      <c r="F362" s="4" t="s">
        <v>51</v>
      </c>
      <c r="G362" s="4" t="s">
        <v>25</v>
      </c>
      <c r="H362" s="4" t="s">
        <v>25</v>
      </c>
      <c r="I362" s="5">
        <v>44409</v>
      </c>
      <c r="J362" s="6">
        <v>0</v>
      </c>
      <c r="K362" s="6">
        <v>0</v>
      </c>
      <c r="L362" s="6">
        <v>0.1</v>
      </c>
      <c r="M362" s="6">
        <v>0.1</v>
      </c>
      <c r="N362" s="6">
        <v>0.1</v>
      </c>
      <c r="O362" s="6">
        <v>0.1</v>
      </c>
      <c r="P362" s="6">
        <v>0</v>
      </c>
      <c r="Q362" s="4" t="s">
        <v>26</v>
      </c>
      <c r="R362" s="4">
        <v>0</v>
      </c>
      <c r="S362" s="6">
        <v>0</v>
      </c>
      <c r="T362" s="6">
        <v>62</v>
      </c>
      <c r="U362" s="6">
        <v>23</v>
      </c>
      <c r="V362" s="6">
        <f>IF(ISERROR(VLOOKUP($S$362,'TAR FIN'!$A$1:$O$92,15,0)),0,VLOOKUP($S$362,'TAR FIN'!$A$1:$O$92,15,0))</f>
        <v>0</v>
      </c>
      <c r="W362" s="104">
        <f>IF(ISERROR(VLOOKUP($T$362,'TAR FIN CELESC'!$A$1:$O$92,15,0)),0,VLOOKUP($T$362,'TAR FIN CELESC'!$A$1:$O$92,15,0))</f>
        <v>215.47</v>
      </c>
      <c r="X362" s="104">
        <f>IF(ISERROR(VLOOKUP($U$362,'TAR FIN CELESC'!$A$1:$O$92,15,0)),0,VLOOKUP($U$362,'TAR FIN CELESC'!$A$1:$O$92,15,0))</f>
        <v>252.9</v>
      </c>
      <c r="Y362" s="6"/>
      <c r="Z362" s="6">
        <f ca="1">('TUSD BE'!$AM$37+'TUSD BF_350'!$AM$37+'TUSD CVA'!$AM$37)*(1-CUSTOS!$M$38)</f>
        <v>291.86059999999998</v>
      </c>
      <c r="AA362" s="6">
        <f ca="1">('TE BE'!$AB$25+'TE BF_350'!$AB$25+'TE CVA'!$AB$25)*(1-CUSTOS!$M$38)</f>
        <v>246.77819999999997</v>
      </c>
      <c r="AB362" s="6">
        <f>$K$362*$V$362</f>
        <v>0</v>
      </c>
      <c r="AC362" s="6">
        <f>$M$362*$W$362</f>
        <v>21.547000000000001</v>
      </c>
      <c r="AD362" s="6">
        <f>$O$362*$X$362</f>
        <v>25.290000000000003</v>
      </c>
      <c r="AE362" s="6">
        <f>$K$362*$Y$362</f>
        <v>0</v>
      </c>
      <c r="AF362" s="6">
        <f ca="1">$M$362*$Z$362</f>
        <v>29.186059999999998</v>
      </c>
      <c r="AG362" s="6">
        <f ca="1">$O$362*$AA$362</f>
        <v>24.677819999999997</v>
      </c>
    </row>
    <row r="363" spans="1:33" ht="11.25" customHeight="1" x14ac:dyDescent="0.3">
      <c r="A363" s="4" t="s">
        <v>21</v>
      </c>
      <c r="B363" s="4" t="s">
        <v>41</v>
      </c>
      <c r="C363" s="4" t="s">
        <v>23</v>
      </c>
      <c r="D363" s="4" t="s">
        <v>42</v>
      </c>
      <c r="E363" s="4" t="s">
        <v>50</v>
      </c>
      <c r="F363" s="4" t="s">
        <v>51</v>
      </c>
      <c r="G363" s="4" t="s">
        <v>25</v>
      </c>
      <c r="H363" s="4" t="s">
        <v>25</v>
      </c>
      <c r="I363" s="5">
        <v>44440</v>
      </c>
      <c r="J363" s="6">
        <v>0</v>
      </c>
      <c r="K363" s="6">
        <v>0</v>
      </c>
      <c r="L363" s="6">
        <v>0.1</v>
      </c>
      <c r="M363" s="6">
        <v>0.1</v>
      </c>
      <c r="N363" s="6">
        <v>0.1</v>
      </c>
      <c r="O363" s="6">
        <v>0.1</v>
      </c>
      <c r="P363" s="6">
        <v>0</v>
      </c>
      <c r="Q363" s="4" t="s">
        <v>26</v>
      </c>
      <c r="R363" s="4">
        <v>0</v>
      </c>
      <c r="S363" s="6">
        <v>0</v>
      </c>
      <c r="T363" s="6">
        <v>62</v>
      </c>
      <c r="U363" s="6">
        <v>23</v>
      </c>
      <c r="V363" s="6">
        <f>IF(ISERROR(VLOOKUP($S$363,'TAR FIN'!$A$1:$O$92,15,0)),0,VLOOKUP($S$363,'TAR FIN'!$A$1:$O$92,15,0))</f>
        <v>0</v>
      </c>
      <c r="W363" s="104">
        <f>IF(ISERROR(VLOOKUP($T$362,'TAR FIN CELESC'!$A$1:$O$92,15,0)),0,VLOOKUP($T$362,'TAR FIN CELESC'!$A$1:$O$92,15,0))</f>
        <v>215.47</v>
      </c>
      <c r="X363" s="104">
        <f>IF(ISERROR(VLOOKUP($U$362,'TAR FIN CELESC'!$A$1:$O$92,15,0)),0,VLOOKUP($U$362,'TAR FIN CELESC'!$A$1:$O$92,15,0))</f>
        <v>252.9</v>
      </c>
      <c r="Y363" s="6"/>
      <c r="Z363" s="6">
        <f ca="1">('TUSD BE'!$AM$37+'TUSD BF_350'!$AM$37+'TUSD CVA'!$AM$37)*(1-CUSTOS!$M$38)</f>
        <v>291.86059999999998</v>
      </c>
      <c r="AA363" s="6">
        <f ca="1">('TE BE'!$AB$25+'TE BF_350'!$AB$25+'TE CVA'!$AB$25)*(1-CUSTOS!$M$38)</f>
        <v>246.77819999999997</v>
      </c>
      <c r="AB363" s="6">
        <f>$K$363*$V$363</f>
        <v>0</v>
      </c>
      <c r="AC363" s="6">
        <f>$M$363*$W$363</f>
        <v>21.547000000000001</v>
      </c>
      <c r="AD363" s="6">
        <f>$O$363*$X$363</f>
        <v>25.290000000000003</v>
      </c>
      <c r="AE363" s="6">
        <f>$K$363*$Y$363</f>
        <v>0</v>
      </c>
      <c r="AF363" s="6">
        <f ca="1">$M$363*$Z$363</f>
        <v>29.186059999999998</v>
      </c>
      <c r="AG363" s="6">
        <f ca="1">$O$363*$AA$363</f>
        <v>24.677819999999997</v>
      </c>
    </row>
    <row r="364" spans="1:33" ht="11.25" customHeight="1" x14ac:dyDescent="0.3">
      <c r="A364" s="4" t="s">
        <v>21</v>
      </c>
      <c r="B364" s="4" t="s">
        <v>41</v>
      </c>
      <c r="C364" s="4" t="s">
        <v>23</v>
      </c>
      <c r="D364" s="4" t="s">
        <v>42</v>
      </c>
      <c r="E364" s="4" t="s">
        <v>50</v>
      </c>
      <c r="F364" s="4" t="s">
        <v>51</v>
      </c>
      <c r="G364" s="4" t="s">
        <v>25</v>
      </c>
      <c r="H364" s="4" t="s">
        <v>25</v>
      </c>
      <c r="I364" s="5">
        <v>44470</v>
      </c>
      <c r="J364" s="6">
        <v>0</v>
      </c>
      <c r="K364" s="6">
        <v>0</v>
      </c>
      <c r="L364" s="6">
        <v>0.221</v>
      </c>
      <c r="M364" s="6">
        <v>0.221</v>
      </c>
      <c r="N364" s="6">
        <v>0.221</v>
      </c>
      <c r="O364" s="6">
        <v>0.221</v>
      </c>
      <c r="P364" s="6">
        <v>0</v>
      </c>
      <c r="Q364" s="4" t="s">
        <v>26</v>
      </c>
      <c r="R364" s="4">
        <v>0</v>
      </c>
      <c r="S364" s="6">
        <v>0</v>
      </c>
      <c r="T364" s="6">
        <v>62</v>
      </c>
      <c r="U364" s="6">
        <v>23</v>
      </c>
      <c r="V364" s="6">
        <f>IF(ISERROR(VLOOKUP($S$364,'TAR FIN'!$A$1:$O$92,15,0)),0,VLOOKUP($S$364,'TAR FIN'!$A$1:$O$92,15,0))</f>
        <v>0</v>
      </c>
      <c r="W364" s="104">
        <f>IF(ISERROR(VLOOKUP($T$362,'TAR FIN CELESC'!$A$1:$O$92,15,0)),0,VLOOKUP($T$362,'TAR FIN CELESC'!$A$1:$O$92,15,0))</f>
        <v>215.47</v>
      </c>
      <c r="X364" s="104">
        <f>IF(ISERROR(VLOOKUP($U$362,'TAR FIN CELESC'!$A$1:$O$92,15,0)),0,VLOOKUP($U$362,'TAR FIN CELESC'!$A$1:$O$92,15,0))</f>
        <v>252.9</v>
      </c>
      <c r="Y364" s="6"/>
      <c r="Z364" s="6">
        <f ca="1">('TUSD BE'!$AM$37+'TUSD BF_350'!$AM$37+'TUSD CVA'!$AM$37)*(1-CUSTOS!$M$38)</f>
        <v>291.86059999999998</v>
      </c>
      <c r="AA364" s="6">
        <f ca="1">('TE BE'!$AB$25+'TE BF_350'!$AB$25+'TE CVA'!$AB$25)*(1-CUSTOS!$M$38)</f>
        <v>246.77819999999997</v>
      </c>
      <c r="AB364" s="6">
        <f>$K$364*$V$364</f>
        <v>0</v>
      </c>
      <c r="AC364" s="6">
        <f>$M$364*$W$364</f>
        <v>47.618870000000001</v>
      </c>
      <c r="AD364" s="6">
        <f>$O$364*$X$364</f>
        <v>55.890900000000002</v>
      </c>
      <c r="AE364" s="6">
        <f>$K$364*$Y$364</f>
        <v>0</v>
      </c>
      <c r="AF364" s="6">
        <f ca="1">$M$364*$Z$364</f>
        <v>64.501192599999996</v>
      </c>
      <c r="AG364" s="6">
        <f ca="1">$O$364*$AA$364</f>
        <v>54.537982199999995</v>
      </c>
    </row>
    <row r="365" spans="1:33" ht="11.25" customHeight="1" x14ac:dyDescent="0.3">
      <c r="A365" s="4" t="s">
        <v>21</v>
      </c>
      <c r="B365" s="4" t="s">
        <v>41</v>
      </c>
      <c r="C365" s="4" t="s">
        <v>23</v>
      </c>
      <c r="D365" s="4" t="s">
        <v>42</v>
      </c>
      <c r="E365" s="4" t="s">
        <v>50</v>
      </c>
      <c r="F365" s="4" t="s">
        <v>51</v>
      </c>
      <c r="G365" s="4" t="s">
        <v>25</v>
      </c>
      <c r="H365" s="4" t="s">
        <v>25</v>
      </c>
      <c r="I365" s="5">
        <v>44501</v>
      </c>
      <c r="J365" s="6">
        <v>0</v>
      </c>
      <c r="K365" s="6">
        <v>0</v>
      </c>
      <c r="L365" s="6">
        <v>0.16200000000000001</v>
      </c>
      <c r="M365" s="6">
        <v>0.16200000000000001</v>
      </c>
      <c r="N365" s="6">
        <v>0.16200000000000001</v>
      </c>
      <c r="O365" s="6">
        <v>0.16200000000000001</v>
      </c>
      <c r="P365" s="6">
        <v>0</v>
      </c>
      <c r="Q365" s="4" t="s">
        <v>26</v>
      </c>
      <c r="R365" s="4">
        <v>0</v>
      </c>
      <c r="S365" s="6">
        <v>0</v>
      </c>
      <c r="T365" s="6">
        <v>62</v>
      </c>
      <c r="U365" s="6">
        <v>23</v>
      </c>
      <c r="V365" s="6">
        <f>IF(ISERROR(VLOOKUP($S$365,'TAR FIN'!$A$1:$O$92,15,0)),0,VLOOKUP($S$365,'TAR FIN'!$A$1:$O$92,15,0))</f>
        <v>0</v>
      </c>
      <c r="W365" s="104">
        <f>IF(ISERROR(VLOOKUP($T$362,'TAR FIN CELESC'!$A$1:$O$92,15,0)),0,VLOOKUP($T$362,'TAR FIN CELESC'!$A$1:$O$92,15,0))</f>
        <v>215.47</v>
      </c>
      <c r="X365" s="104">
        <f>IF(ISERROR(VLOOKUP($U$362,'TAR FIN CELESC'!$A$1:$O$92,15,0)),0,VLOOKUP($U$362,'TAR FIN CELESC'!$A$1:$O$92,15,0))</f>
        <v>252.9</v>
      </c>
      <c r="Y365" s="6"/>
      <c r="Z365" s="6">
        <f ca="1">('TUSD BE'!$AM$37+'TUSD BF_350'!$AM$37+'TUSD CVA'!$AM$37)*(1-CUSTOS!$M$38)</f>
        <v>291.86059999999998</v>
      </c>
      <c r="AA365" s="6">
        <f ca="1">('TE BE'!$AB$25+'TE BF_350'!$AB$25+'TE CVA'!$AB$25)*(1-CUSTOS!$M$38)</f>
        <v>246.77819999999997</v>
      </c>
      <c r="AB365" s="6">
        <f>$K$365*$V$365</f>
        <v>0</v>
      </c>
      <c r="AC365" s="6">
        <f>$M$365*$W$365</f>
        <v>34.906140000000001</v>
      </c>
      <c r="AD365" s="6">
        <f>$O$365*$X$365</f>
        <v>40.969799999999999</v>
      </c>
      <c r="AE365" s="6">
        <f>$K$365*$Y$365</f>
        <v>0</v>
      </c>
      <c r="AF365" s="6">
        <f ca="1">$M$365*$Z$365</f>
        <v>47.2814172</v>
      </c>
      <c r="AG365" s="6">
        <f ca="1">$O$365*$AA$365</f>
        <v>39.978068399999998</v>
      </c>
    </row>
    <row r="366" spans="1:33" ht="11.25" customHeight="1" x14ac:dyDescent="0.3">
      <c r="A366" s="4" t="s">
        <v>21</v>
      </c>
      <c r="B366" s="4" t="s">
        <v>41</v>
      </c>
      <c r="C366" s="4" t="s">
        <v>23</v>
      </c>
      <c r="D366" s="4" t="s">
        <v>42</v>
      </c>
      <c r="E366" s="4" t="s">
        <v>50</v>
      </c>
      <c r="F366" s="4" t="s">
        <v>51</v>
      </c>
      <c r="G366" s="4" t="s">
        <v>25</v>
      </c>
      <c r="H366" s="4" t="s">
        <v>25</v>
      </c>
      <c r="I366" s="5">
        <v>44531</v>
      </c>
      <c r="J366" s="6">
        <v>0</v>
      </c>
      <c r="K366" s="6">
        <v>0</v>
      </c>
      <c r="L366" s="6">
        <v>0.20599999999999999</v>
      </c>
      <c r="M366" s="6">
        <v>0.20599999999999999</v>
      </c>
      <c r="N366" s="6">
        <v>0.20599999999999999</v>
      </c>
      <c r="O366" s="6">
        <v>0.20599999999999999</v>
      </c>
      <c r="P366" s="6">
        <v>0</v>
      </c>
      <c r="Q366" s="4" t="s">
        <v>26</v>
      </c>
      <c r="R366" s="4">
        <v>0</v>
      </c>
      <c r="S366" s="6">
        <v>0</v>
      </c>
      <c r="T366" s="6">
        <v>62</v>
      </c>
      <c r="U366" s="6">
        <v>23</v>
      </c>
      <c r="V366" s="6">
        <f>IF(ISERROR(VLOOKUP($S$366,'TAR FIN'!$A$1:$O$92,15,0)),0,VLOOKUP($S$366,'TAR FIN'!$A$1:$O$92,15,0))</f>
        <v>0</v>
      </c>
      <c r="W366" s="104">
        <f>IF(ISERROR(VLOOKUP($T$362,'TAR FIN CELESC'!$A$1:$O$92,15,0)),0,VLOOKUP($T$362,'TAR FIN CELESC'!$A$1:$O$92,15,0))</f>
        <v>215.47</v>
      </c>
      <c r="X366" s="104">
        <f>IF(ISERROR(VLOOKUP($U$362,'TAR FIN CELESC'!$A$1:$O$92,15,0)),0,VLOOKUP($U$362,'TAR FIN CELESC'!$A$1:$O$92,15,0))</f>
        <v>252.9</v>
      </c>
      <c r="Y366" s="6"/>
      <c r="Z366" s="6">
        <f ca="1">('TUSD BE'!$AM$37+'TUSD BF_350'!$AM$37+'TUSD CVA'!$AM$37)*(1-CUSTOS!$M$38)</f>
        <v>291.86059999999998</v>
      </c>
      <c r="AA366" s="6">
        <f ca="1">('TE BE'!$AB$25+'TE BF_350'!$AB$25+'TE CVA'!$AB$25)*(1-CUSTOS!$M$38)</f>
        <v>246.77819999999997</v>
      </c>
      <c r="AB366" s="6">
        <f>$K$366*$V$366</f>
        <v>0</v>
      </c>
      <c r="AC366" s="6">
        <f>$M$366*$W$366</f>
        <v>44.38682</v>
      </c>
      <c r="AD366" s="6">
        <f>$O$366*$X$366</f>
        <v>52.0974</v>
      </c>
      <c r="AE366" s="6">
        <f>$K$366*$Y$366</f>
        <v>0</v>
      </c>
      <c r="AF366" s="6">
        <f ca="1">$M$366*$Z$366</f>
        <v>60.123283599999993</v>
      </c>
      <c r="AG366" s="6">
        <f ca="1">$O$366*$AA$366</f>
        <v>50.836309199999988</v>
      </c>
    </row>
    <row r="367" spans="1:33" ht="11.25" customHeight="1" x14ac:dyDescent="0.3">
      <c r="A367" s="4" t="s">
        <v>21</v>
      </c>
      <c r="B367" s="4" t="s">
        <v>41</v>
      </c>
      <c r="C367" s="4" t="s">
        <v>23</v>
      </c>
      <c r="D367" s="4" t="s">
        <v>42</v>
      </c>
      <c r="E367" s="4" t="s">
        <v>50</v>
      </c>
      <c r="F367" s="4" t="s">
        <v>51</v>
      </c>
      <c r="G367" s="4" t="s">
        <v>25</v>
      </c>
      <c r="H367" s="4" t="s">
        <v>25</v>
      </c>
      <c r="I367" s="5">
        <v>44562</v>
      </c>
      <c r="J367" s="6">
        <v>0</v>
      </c>
      <c r="K367" s="6">
        <v>0</v>
      </c>
      <c r="L367" s="6">
        <v>0.1</v>
      </c>
      <c r="M367" s="6">
        <v>0.1</v>
      </c>
      <c r="N367" s="6">
        <v>0.1</v>
      </c>
      <c r="O367" s="6">
        <v>0.1</v>
      </c>
      <c r="P367" s="6">
        <v>0</v>
      </c>
      <c r="Q367" s="4" t="s">
        <v>26</v>
      </c>
      <c r="R367" s="4">
        <v>0</v>
      </c>
      <c r="S367" s="6">
        <v>0</v>
      </c>
      <c r="T367" s="6">
        <v>62</v>
      </c>
      <c r="U367" s="6">
        <v>23</v>
      </c>
      <c r="V367" s="6">
        <f>IF(ISERROR(VLOOKUP($S$367,'TAR FIN'!$A$1:$O$92,15,0)),0,VLOOKUP($S$367,'TAR FIN'!$A$1:$O$92,15,0))</f>
        <v>0</v>
      </c>
      <c r="W367" s="104">
        <f>IF(ISERROR(VLOOKUP($T$362,'TAR FIN CELESC'!$A$1:$O$92,15,0)),0,VLOOKUP($T$362,'TAR FIN CELESC'!$A$1:$O$92,15,0))</f>
        <v>215.47</v>
      </c>
      <c r="X367" s="104">
        <f>IF(ISERROR(VLOOKUP($U$362,'TAR FIN CELESC'!$A$1:$O$92,15,0)),0,VLOOKUP($U$362,'TAR FIN CELESC'!$A$1:$O$92,15,0))</f>
        <v>252.9</v>
      </c>
      <c r="Y367" s="6"/>
      <c r="Z367" s="6">
        <f ca="1">('TUSD BE'!$AM$37+'TUSD BF_350'!$AM$37+'TUSD CVA'!$AM$37)*(1-CUSTOS!$M$38)</f>
        <v>291.86059999999998</v>
      </c>
      <c r="AA367" s="6">
        <f ca="1">('TE BE'!$AB$25+'TE BF_350'!$AB$25+'TE CVA'!$AB$25)*(1-CUSTOS!$M$38)</f>
        <v>246.77819999999997</v>
      </c>
      <c r="AB367" s="6">
        <f>$K$367*$V$367</f>
        <v>0</v>
      </c>
      <c r="AC367" s="6">
        <f>$M$367*$W$367</f>
        <v>21.547000000000001</v>
      </c>
      <c r="AD367" s="6">
        <f>$O$367*$X$367</f>
        <v>25.290000000000003</v>
      </c>
      <c r="AE367" s="6">
        <f>$K$367*$Y$367</f>
        <v>0</v>
      </c>
      <c r="AF367" s="6">
        <f ca="1">$M$367*$Z$367</f>
        <v>29.186059999999998</v>
      </c>
      <c r="AG367" s="6">
        <f ca="1">$O$367*$AA$367</f>
        <v>24.677819999999997</v>
      </c>
    </row>
    <row r="368" spans="1:33" ht="11.25" customHeight="1" x14ac:dyDescent="0.3">
      <c r="A368" s="4" t="s">
        <v>21</v>
      </c>
      <c r="B368" s="4" t="s">
        <v>41</v>
      </c>
      <c r="C368" s="4" t="s">
        <v>23</v>
      </c>
      <c r="D368" s="4" t="s">
        <v>42</v>
      </c>
      <c r="E368" s="4" t="s">
        <v>50</v>
      </c>
      <c r="F368" s="4" t="s">
        <v>51</v>
      </c>
      <c r="G368" s="4" t="s">
        <v>25</v>
      </c>
      <c r="H368" s="4" t="s">
        <v>25</v>
      </c>
      <c r="I368" s="5">
        <v>44593</v>
      </c>
      <c r="J368" s="6">
        <v>0</v>
      </c>
      <c r="K368" s="6">
        <v>0</v>
      </c>
      <c r="L368" s="6">
        <v>0.5</v>
      </c>
      <c r="M368" s="6">
        <v>0.5</v>
      </c>
      <c r="N368" s="6">
        <v>0.5</v>
      </c>
      <c r="O368" s="6">
        <v>0.5</v>
      </c>
      <c r="P368" s="6">
        <v>0</v>
      </c>
      <c r="Q368" s="4" t="s">
        <v>26</v>
      </c>
      <c r="R368" s="4">
        <v>0</v>
      </c>
      <c r="S368" s="6">
        <v>0</v>
      </c>
      <c r="T368" s="6">
        <v>62</v>
      </c>
      <c r="U368" s="6">
        <v>23</v>
      </c>
      <c r="V368" s="6">
        <f>IF(ISERROR(VLOOKUP($S$368,'TAR FIN'!$A$1:$O$92,15,0)),0,VLOOKUP($S$368,'TAR FIN'!$A$1:$O$92,15,0))</f>
        <v>0</v>
      </c>
      <c r="W368" s="104">
        <f>IF(ISERROR(VLOOKUP($T$362,'TAR FIN CELESC'!$A$1:$O$92,15,0)),0,VLOOKUP($T$362,'TAR FIN CELESC'!$A$1:$O$92,15,0))</f>
        <v>215.47</v>
      </c>
      <c r="X368" s="104">
        <f>IF(ISERROR(VLOOKUP($U$362,'TAR FIN CELESC'!$A$1:$O$92,15,0)),0,VLOOKUP($U$362,'TAR FIN CELESC'!$A$1:$O$92,15,0))</f>
        <v>252.9</v>
      </c>
      <c r="Y368" s="6"/>
      <c r="Z368" s="6">
        <f ca="1">('TUSD BE'!$AM$37+'TUSD BF_350'!$AM$37+'TUSD CVA'!$AM$37)*(1-CUSTOS!$M$38)</f>
        <v>291.86059999999998</v>
      </c>
      <c r="AA368" s="6">
        <f ca="1">('TE BE'!$AB$25+'TE BF_350'!$AB$25+'TE CVA'!$AB$25)*(1-CUSTOS!$M$38)</f>
        <v>246.77819999999997</v>
      </c>
      <c r="AB368" s="6">
        <f>$K$368*$V$368</f>
        <v>0</v>
      </c>
      <c r="AC368" s="6">
        <f>$M$368*$W$368</f>
        <v>107.735</v>
      </c>
      <c r="AD368" s="6">
        <f>$O$368*$X$368</f>
        <v>126.45</v>
      </c>
      <c r="AE368" s="6">
        <f>$K$368*$Y$368</f>
        <v>0</v>
      </c>
      <c r="AF368" s="6">
        <f ca="1">$M$368*$Z$368</f>
        <v>145.93029999999999</v>
      </c>
      <c r="AG368" s="6">
        <f ca="1">$O$368*$AA$368</f>
        <v>123.38909999999998</v>
      </c>
    </row>
    <row r="369" spans="1:33" ht="11.25" customHeight="1" x14ac:dyDescent="0.3">
      <c r="A369" s="4" t="s">
        <v>21</v>
      </c>
      <c r="B369" s="4" t="s">
        <v>41</v>
      </c>
      <c r="C369" s="4" t="s">
        <v>23</v>
      </c>
      <c r="D369" s="4" t="s">
        <v>42</v>
      </c>
      <c r="E369" s="4" t="s">
        <v>50</v>
      </c>
      <c r="F369" s="4" t="s">
        <v>51</v>
      </c>
      <c r="G369" s="4" t="s">
        <v>25</v>
      </c>
      <c r="H369" s="4" t="s">
        <v>25</v>
      </c>
      <c r="I369" s="5">
        <v>44621</v>
      </c>
      <c r="J369" s="6">
        <v>0</v>
      </c>
      <c r="K369" s="6">
        <v>0</v>
      </c>
      <c r="L369" s="6">
        <v>0.313</v>
      </c>
      <c r="M369" s="6">
        <v>0.313</v>
      </c>
      <c r="N369" s="6">
        <v>0.313</v>
      </c>
      <c r="O369" s="6">
        <v>0.313</v>
      </c>
      <c r="P369" s="6">
        <v>0</v>
      </c>
      <c r="Q369" s="4" t="s">
        <v>26</v>
      </c>
      <c r="R369" s="4">
        <v>0</v>
      </c>
      <c r="S369" s="6">
        <v>0</v>
      </c>
      <c r="T369" s="6">
        <v>62</v>
      </c>
      <c r="U369" s="6">
        <v>23</v>
      </c>
      <c r="V369" s="6">
        <f>IF(ISERROR(VLOOKUP($S$369,'TAR FIN'!$A$1:$O$92,15,0)),0,VLOOKUP($S$369,'TAR FIN'!$A$1:$O$92,15,0))</f>
        <v>0</v>
      </c>
      <c r="W369" s="104">
        <f>IF(ISERROR(VLOOKUP($T$362,'TAR FIN CELESC'!$A$1:$O$92,15,0)),0,VLOOKUP($T$362,'TAR FIN CELESC'!$A$1:$O$92,15,0))</f>
        <v>215.47</v>
      </c>
      <c r="X369" s="104">
        <f>IF(ISERROR(VLOOKUP($U$362,'TAR FIN CELESC'!$A$1:$O$92,15,0)),0,VLOOKUP($U$362,'TAR FIN CELESC'!$A$1:$O$92,15,0))</f>
        <v>252.9</v>
      </c>
      <c r="Y369" s="6"/>
      <c r="Z369" s="6">
        <f ca="1">('TUSD BE'!$AM$37+'TUSD BF_350'!$AM$37+'TUSD CVA'!$AM$37)*(1-CUSTOS!$M$38)</f>
        <v>291.86059999999998</v>
      </c>
      <c r="AA369" s="6">
        <f ca="1">('TE BE'!$AB$25+'TE BF_350'!$AB$25+'TE CVA'!$AB$25)*(1-CUSTOS!$M$38)</f>
        <v>246.77819999999997</v>
      </c>
      <c r="AB369" s="6">
        <f>$K$369*$V$369</f>
        <v>0</v>
      </c>
      <c r="AC369" s="6">
        <f>$M$369*$W$369</f>
        <v>67.44211</v>
      </c>
      <c r="AD369" s="6">
        <f>$O$369*$X$369</f>
        <v>79.157700000000006</v>
      </c>
      <c r="AE369" s="6">
        <f>$K$369*$Y$369</f>
        <v>0</v>
      </c>
      <c r="AF369" s="6">
        <f ca="1">$M$369*$Z$369</f>
        <v>91.352367799999996</v>
      </c>
      <c r="AG369" s="6">
        <f ca="1">$O$369*$AA$369</f>
        <v>77.241576599999988</v>
      </c>
    </row>
    <row r="370" spans="1:33" ht="11.25" customHeight="1" x14ac:dyDescent="0.3">
      <c r="A370" s="4" t="s">
        <v>21</v>
      </c>
      <c r="B370" s="4" t="s">
        <v>41</v>
      </c>
      <c r="C370" s="4" t="s">
        <v>23</v>
      </c>
      <c r="D370" s="4" t="s">
        <v>42</v>
      </c>
      <c r="E370" s="4" t="s">
        <v>50</v>
      </c>
      <c r="F370" s="4" t="s">
        <v>51</v>
      </c>
      <c r="G370" s="4" t="s">
        <v>25</v>
      </c>
      <c r="H370" s="4" t="s">
        <v>25</v>
      </c>
      <c r="I370" s="5">
        <v>44652</v>
      </c>
      <c r="J370" s="6">
        <v>0</v>
      </c>
      <c r="K370" s="6">
        <v>0</v>
      </c>
      <c r="L370" s="6">
        <v>0.24299999999999999</v>
      </c>
      <c r="M370" s="6">
        <v>0.24299999999999999</v>
      </c>
      <c r="N370" s="6">
        <v>0.24299999999999999</v>
      </c>
      <c r="O370" s="6">
        <v>0.24299999999999999</v>
      </c>
      <c r="P370" s="6">
        <v>0</v>
      </c>
      <c r="Q370" s="4" t="s">
        <v>26</v>
      </c>
      <c r="R370" s="4">
        <v>0</v>
      </c>
      <c r="S370" s="6">
        <v>0</v>
      </c>
      <c r="T370" s="6">
        <v>62</v>
      </c>
      <c r="U370" s="6">
        <v>23</v>
      </c>
      <c r="V370" s="6">
        <f>IF(ISERROR(VLOOKUP($S$370,'TAR FIN'!$A$1:$O$92,15,0)),0,VLOOKUP($S$370,'TAR FIN'!$A$1:$O$92,15,0))</f>
        <v>0</v>
      </c>
      <c r="W370" s="104">
        <f>IF(ISERROR(VLOOKUP($T$362,'TAR FIN CELESC'!$A$1:$O$92,15,0)),0,VLOOKUP($T$362,'TAR FIN CELESC'!$A$1:$O$92,15,0))</f>
        <v>215.47</v>
      </c>
      <c r="X370" s="104">
        <f>IF(ISERROR(VLOOKUP($U$362,'TAR FIN CELESC'!$A$1:$O$92,15,0)),0,VLOOKUP($U$362,'TAR FIN CELESC'!$A$1:$O$92,15,0))</f>
        <v>252.9</v>
      </c>
      <c r="Y370" s="6"/>
      <c r="Z370" s="6">
        <f ca="1">('TUSD BE'!$AM$37+'TUSD BF_350'!$AM$37+'TUSD CVA'!$AM$37)*(1-CUSTOS!$M$38)</f>
        <v>291.86059999999998</v>
      </c>
      <c r="AA370" s="6">
        <f ca="1">('TE BE'!$AB$25+'TE BF_350'!$AB$25+'TE CVA'!$AB$25)*(1-CUSTOS!$M$38)</f>
        <v>246.77819999999997</v>
      </c>
      <c r="AB370" s="6">
        <f>$K$370*$V$370</f>
        <v>0</v>
      </c>
      <c r="AC370" s="6">
        <f>$M$370*$W$370</f>
        <v>52.359209999999997</v>
      </c>
      <c r="AD370" s="6">
        <f>$O$370*$X$370</f>
        <v>61.454700000000003</v>
      </c>
      <c r="AE370" s="6">
        <f>$K$370*$Y$370</f>
        <v>0</v>
      </c>
      <c r="AF370" s="6">
        <f ca="1">$M$370*$Z$370</f>
        <v>70.922125799999989</v>
      </c>
      <c r="AG370" s="6">
        <f ca="1">$O$370*$AA$370</f>
        <v>59.96710259999999</v>
      </c>
    </row>
    <row r="371" spans="1:33" ht="11.25" customHeight="1" x14ac:dyDescent="0.3">
      <c r="A371" s="4" t="s">
        <v>21</v>
      </c>
      <c r="B371" s="4" t="s">
        <v>41</v>
      </c>
      <c r="C371" s="4" t="s">
        <v>23</v>
      </c>
      <c r="D371" s="4" t="s">
        <v>42</v>
      </c>
      <c r="E371" s="4" t="s">
        <v>50</v>
      </c>
      <c r="F371" s="4" t="s">
        <v>51</v>
      </c>
      <c r="G371" s="4" t="s">
        <v>25</v>
      </c>
      <c r="H371" s="4" t="s">
        <v>25</v>
      </c>
      <c r="I371" s="5">
        <v>44682</v>
      </c>
      <c r="J371" s="6">
        <v>0</v>
      </c>
      <c r="K371" s="6">
        <v>0</v>
      </c>
      <c r="L371" s="6">
        <v>0.309</v>
      </c>
      <c r="M371" s="6">
        <v>0.309</v>
      </c>
      <c r="N371" s="6">
        <v>0.309</v>
      </c>
      <c r="O371" s="6">
        <v>0.309</v>
      </c>
      <c r="P371" s="6">
        <v>0</v>
      </c>
      <c r="Q371" s="4" t="s">
        <v>26</v>
      </c>
      <c r="R371" s="4">
        <v>0</v>
      </c>
      <c r="S371" s="6">
        <v>0</v>
      </c>
      <c r="T371" s="6">
        <v>62</v>
      </c>
      <c r="U371" s="6">
        <v>23</v>
      </c>
      <c r="V371" s="6">
        <f>IF(ISERROR(VLOOKUP($S$371,'TAR FIN'!$A$1:$O$92,15,0)),0,VLOOKUP($S$371,'TAR FIN'!$A$1:$O$92,15,0))</f>
        <v>0</v>
      </c>
      <c r="W371" s="104">
        <f>IF(ISERROR(VLOOKUP($T$362,'TAR FIN CELESC'!$A$1:$O$92,15,0)),0,VLOOKUP($T$362,'TAR FIN CELESC'!$A$1:$O$92,15,0))</f>
        <v>215.47</v>
      </c>
      <c r="X371" s="104">
        <f>IF(ISERROR(VLOOKUP($U$362,'TAR FIN CELESC'!$A$1:$O$92,15,0)),0,VLOOKUP($U$362,'TAR FIN CELESC'!$A$1:$O$92,15,0))</f>
        <v>252.9</v>
      </c>
      <c r="Y371" s="6"/>
      <c r="Z371" s="6">
        <f ca="1">('TUSD BE'!$AM$37+'TUSD BF_350'!$AM$37+'TUSD CVA'!$AM$37)*(1-CUSTOS!$M$38)</f>
        <v>291.86059999999998</v>
      </c>
      <c r="AA371" s="6">
        <f ca="1">('TE BE'!$AB$25+'TE BF_350'!$AB$25+'TE CVA'!$AB$25)*(1-CUSTOS!$M$38)</f>
        <v>246.77819999999997</v>
      </c>
      <c r="AB371" s="6">
        <f>$K$371*$V$371</f>
        <v>0</v>
      </c>
      <c r="AC371" s="6">
        <f>$M$371*$W$371</f>
        <v>66.58023</v>
      </c>
      <c r="AD371" s="6">
        <f>$O$371*$X$371</f>
        <v>78.146100000000004</v>
      </c>
      <c r="AE371" s="6">
        <f>$K$371*$Y$371</f>
        <v>0</v>
      </c>
      <c r="AF371" s="6">
        <f ca="1">$M$371*$Z$371</f>
        <v>90.184925399999997</v>
      </c>
      <c r="AG371" s="6">
        <f ca="1">$O$371*$AA$371</f>
        <v>76.254463799999996</v>
      </c>
    </row>
    <row r="372" spans="1:33" ht="11.25" customHeight="1" x14ac:dyDescent="0.3">
      <c r="A372" s="4" t="s">
        <v>21</v>
      </c>
      <c r="B372" s="4" t="s">
        <v>41</v>
      </c>
      <c r="C372" s="4" t="s">
        <v>23</v>
      </c>
      <c r="D372" s="4" t="s">
        <v>42</v>
      </c>
      <c r="E372" s="4" t="s">
        <v>50</v>
      </c>
      <c r="F372" s="4" t="s">
        <v>51</v>
      </c>
      <c r="G372" s="4" t="s">
        <v>25</v>
      </c>
      <c r="H372" s="4" t="s">
        <v>25</v>
      </c>
      <c r="I372" s="5">
        <v>44713</v>
      </c>
      <c r="J372" s="6">
        <v>0</v>
      </c>
      <c r="K372" s="6">
        <v>0</v>
      </c>
      <c r="L372" s="6">
        <v>0.2</v>
      </c>
      <c r="M372" s="6">
        <v>0.2</v>
      </c>
      <c r="N372" s="6">
        <v>0.2</v>
      </c>
      <c r="O372" s="6">
        <v>0.2</v>
      </c>
      <c r="P372" s="6">
        <v>0</v>
      </c>
      <c r="Q372" s="4" t="s">
        <v>26</v>
      </c>
      <c r="R372" s="4">
        <v>0</v>
      </c>
      <c r="S372" s="6">
        <v>0</v>
      </c>
      <c r="T372" s="6">
        <v>62</v>
      </c>
      <c r="U372" s="6">
        <v>23</v>
      </c>
      <c r="V372" s="6">
        <f>IF(ISERROR(VLOOKUP($S$372,'TAR FIN'!$A$1:$O$92,15,0)),0,VLOOKUP($S$372,'TAR FIN'!$A$1:$O$92,15,0))</f>
        <v>0</v>
      </c>
      <c r="W372" s="104">
        <f>IF(ISERROR(VLOOKUP($T$362,'TAR FIN CELESC'!$A$1:$O$92,15,0)),0,VLOOKUP($T$362,'TAR FIN CELESC'!$A$1:$O$92,15,0))</f>
        <v>215.47</v>
      </c>
      <c r="X372" s="104">
        <f>IF(ISERROR(VLOOKUP($U$362,'TAR FIN CELESC'!$A$1:$O$92,15,0)),0,VLOOKUP($U$362,'TAR FIN CELESC'!$A$1:$O$92,15,0))</f>
        <v>252.9</v>
      </c>
      <c r="Y372" s="6"/>
      <c r="Z372" s="6">
        <f ca="1">('TUSD BE'!$AM$37+'TUSD BF_350'!$AM$37+'TUSD CVA'!$AM$37)*(1-CUSTOS!$M$38)</f>
        <v>291.86059999999998</v>
      </c>
      <c r="AA372" s="6">
        <f ca="1">('TE BE'!$AB$25+'TE BF_350'!$AB$25+'TE CVA'!$AB$25)*(1-CUSTOS!$M$38)</f>
        <v>246.77819999999997</v>
      </c>
      <c r="AB372" s="6">
        <f>$K$372*$V$372</f>
        <v>0</v>
      </c>
      <c r="AC372" s="6">
        <f>$M$372*$W$372</f>
        <v>43.094000000000001</v>
      </c>
      <c r="AD372" s="6">
        <f>$O$372*$X$372</f>
        <v>50.580000000000005</v>
      </c>
      <c r="AE372" s="6">
        <f>$K$372*$Y$372</f>
        <v>0</v>
      </c>
      <c r="AF372" s="6">
        <f ca="1">$M$372*$Z$372</f>
        <v>58.372119999999995</v>
      </c>
      <c r="AG372" s="6">
        <f ca="1">$O$372*$AA$372</f>
        <v>49.355639999999994</v>
      </c>
    </row>
    <row r="373" spans="1:33" ht="11.25" customHeight="1" x14ac:dyDescent="0.3">
      <c r="A373" s="4" t="s">
        <v>21</v>
      </c>
      <c r="B373" s="4" t="s">
        <v>41</v>
      </c>
      <c r="C373" s="4" t="s">
        <v>23</v>
      </c>
      <c r="D373" s="4" t="s">
        <v>42</v>
      </c>
      <c r="E373" s="4" t="s">
        <v>50</v>
      </c>
      <c r="F373" s="4" t="s">
        <v>51</v>
      </c>
      <c r="G373" s="4" t="s">
        <v>25</v>
      </c>
      <c r="H373" s="4" t="s">
        <v>25</v>
      </c>
      <c r="I373" s="5">
        <v>44743</v>
      </c>
      <c r="J373" s="6">
        <v>0</v>
      </c>
      <c r="K373" s="6">
        <v>0</v>
      </c>
      <c r="L373" s="6">
        <v>0.22500000000000001</v>
      </c>
      <c r="M373" s="6">
        <v>0.22500000000000001</v>
      </c>
      <c r="N373" s="6">
        <v>0.22500000000000001</v>
      </c>
      <c r="O373" s="6">
        <v>0.22500000000000001</v>
      </c>
      <c r="P373" s="6">
        <v>0</v>
      </c>
      <c r="Q373" s="4" t="s">
        <v>26</v>
      </c>
      <c r="R373" s="4">
        <v>0</v>
      </c>
      <c r="S373" s="6">
        <v>0</v>
      </c>
      <c r="T373" s="6">
        <v>62</v>
      </c>
      <c r="U373" s="6">
        <v>23</v>
      </c>
      <c r="V373" s="6">
        <f>IF(ISERROR(VLOOKUP($S$373,'TAR FIN'!$A$1:$O$92,15,0)),0,VLOOKUP($S$373,'TAR FIN'!$A$1:$O$92,15,0))</f>
        <v>0</v>
      </c>
      <c r="W373" s="104">
        <f>IF(ISERROR(VLOOKUP($T$362,'TAR FIN CELESC'!$A$1:$O$92,15,0)),0,VLOOKUP($T$362,'TAR FIN CELESC'!$A$1:$O$92,15,0))</f>
        <v>215.47</v>
      </c>
      <c r="X373" s="104">
        <f>IF(ISERROR(VLOOKUP($U$362,'TAR FIN CELESC'!$A$1:$O$92,15,0)),0,VLOOKUP($U$362,'TAR FIN CELESC'!$A$1:$O$92,15,0))</f>
        <v>252.9</v>
      </c>
      <c r="Y373" s="6"/>
      <c r="Z373" s="6">
        <f ca="1">('TUSD BE'!$AM$37+'TUSD BF_350'!$AM$37+'TUSD CVA'!$AM$37)*(1-CUSTOS!$M$38)</f>
        <v>291.86059999999998</v>
      </c>
      <c r="AA373" s="6">
        <f ca="1">('TE BE'!$AB$25+'TE BF_350'!$AB$25+'TE CVA'!$AB$25)*(1-CUSTOS!$M$38)</f>
        <v>246.77819999999997</v>
      </c>
      <c r="AB373" s="6">
        <f>$K$373*$V$373</f>
        <v>0</v>
      </c>
      <c r="AC373" s="6">
        <f>$M$373*$W$373</f>
        <v>48.48075</v>
      </c>
      <c r="AD373" s="6">
        <f>$O$373*$X$373</f>
        <v>56.902500000000003</v>
      </c>
      <c r="AE373" s="6">
        <f>$K$373*$Y$373</f>
        <v>0</v>
      </c>
      <c r="AF373" s="6">
        <f ca="1">$M$373*$Z$373</f>
        <v>65.668634999999995</v>
      </c>
      <c r="AG373" s="6">
        <f ca="1">$O$373*$AA$373</f>
        <v>55.525094999999993</v>
      </c>
    </row>
    <row r="374" spans="1:33" ht="11.25" customHeight="1" x14ac:dyDescent="0.3">
      <c r="A374" s="4" t="s">
        <v>21</v>
      </c>
      <c r="B374" s="4" t="s">
        <v>41</v>
      </c>
      <c r="C374" s="4" t="s">
        <v>23</v>
      </c>
      <c r="D374" s="4" t="s">
        <v>42</v>
      </c>
      <c r="E374" s="4" t="s">
        <v>50</v>
      </c>
      <c r="F374" s="4" t="s">
        <v>53</v>
      </c>
      <c r="G374" s="4" t="s">
        <v>25</v>
      </c>
      <c r="H374" s="4" t="s">
        <v>25</v>
      </c>
      <c r="I374" s="5">
        <v>44501</v>
      </c>
      <c r="J374" s="6">
        <v>0</v>
      </c>
      <c r="K374" s="6">
        <v>0</v>
      </c>
      <c r="L374" s="6">
        <v>1.9E-2</v>
      </c>
      <c r="M374" s="6">
        <v>7.6E-3</v>
      </c>
      <c r="N374" s="6">
        <v>1.9E-2</v>
      </c>
      <c r="O374" s="6">
        <v>7.6E-3</v>
      </c>
      <c r="P374" s="6">
        <v>0</v>
      </c>
      <c r="Q374" s="4" t="s">
        <v>26</v>
      </c>
      <c r="R374" s="4">
        <v>0</v>
      </c>
      <c r="S374" s="6">
        <v>0</v>
      </c>
      <c r="T374" s="6">
        <v>62</v>
      </c>
      <c r="U374" s="6">
        <v>23</v>
      </c>
      <c r="V374" s="6">
        <f>IF(ISERROR(VLOOKUP($S$374,'TAR FIN'!$A$1:$O$92,15,0)),0,VLOOKUP($S$374,'TAR FIN'!$A$1:$O$92,15,0))</f>
        <v>0</v>
      </c>
      <c r="W374" s="104">
        <f>IF(ISERROR(VLOOKUP($T$362,'TAR FIN CELESC'!$A$1:$O$92,15,0)),0,VLOOKUP($T$362,'TAR FIN CELESC'!$A$1:$O$92,15,0))</f>
        <v>215.47</v>
      </c>
      <c r="X374" s="104">
        <f>IF(ISERROR(VLOOKUP($U$362,'TAR FIN CELESC'!$A$1:$O$92,15,0)),0,VLOOKUP($U$362,'TAR FIN CELESC'!$A$1:$O$92,15,0))</f>
        <v>252.9</v>
      </c>
      <c r="Y374" s="6"/>
      <c r="Z374" s="6">
        <f ca="1">('TUSD BE'!$AM$37+'TUSD BF_350'!$AM$37+'TUSD CVA'!$AM$37)*(1-CUSTOS!$M$38)</f>
        <v>291.86059999999998</v>
      </c>
      <c r="AA374" s="6">
        <f ca="1">('TE BE'!$AB$25+'TE BF_350'!$AB$25+'TE CVA'!$AB$25)*(1-CUSTOS!$M$38)</f>
        <v>246.77819999999997</v>
      </c>
      <c r="AB374" s="6">
        <f>$K$374*$V$374</f>
        <v>0</v>
      </c>
      <c r="AC374" s="6">
        <f>$M$374*$W$374</f>
        <v>1.637572</v>
      </c>
      <c r="AD374" s="6">
        <f>$O$374*$X$374</f>
        <v>1.92204</v>
      </c>
      <c r="AE374" s="6">
        <f>$K$374*$Y$374</f>
        <v>0</v>
      </c>
      <c r="AF374" s="6">
        <f ca="1">$M$374*$Z$374</f>
        <v>2.2181405599999997</v>
      </c>
      <c r="AG374" s="6">
        <f ca="1">$O$374*$AA$374</f>
        <v>1.8755143199999997</v>
      </c>
    </row>
    <row r="375" spans="1:33" ht="11.25" customHeight="1" x14ac:dyDescent="0.3">
      <c r="A375" s="4" t="s">
        <v>21</v>
      </c>
      <c r="B375" s="4" t="s">
        <v>41</v>
      </c>
      <c r="C375" s="4" t="s">
        <v>23</v>
      </c>
      <c r="D375" s="4" t="s">
        <v>42</v>
      </c>
      <c r="E375" s="4" t="s">
        <v>50</v>
      </c>
      <c r="F375" s="4" t="s">
        <v>53</v>
      </c>
      <c r="G375" s="4" t="s">
        <v>25</v>
      </c>
      <c r="H375" s="4" t="s">
        <v>25</v>
      </c>
      <c r="I375" s="5">
        <v>44621</v>
      </c>
      <c r="J375" s="6">
        <v>0</v>
      </c>
      <c r="K375" s="6">
        <v>0</v>
      </c>
      <c r="L375" s="6">
        <v>0.93799999999999994</v>
      </c>
      <c r="M375" s="6">
        <v>0.37519999999999998</v>
      </c>
      <c r="N375" s="6">
        <v>0.93799999999999994</v>
      </c>
      <c r="O375" s="6">
        <v>0.37519999999999998</v>
      </c>
      <c r="P375" s="6">
        <v>0</v>
      </c>
      <c r="Q375" s="4" t="s">
        <v>26</v>
      </c>
      <c r="R375" s="4">
        <v>0</v>
      </c>
      <c r="S375" s="6">
        <v>0</v>
      </c>
      <c r="T375" s="6">
        <v>62</v>
      </c>
      <c r="U375" s="6">
        <v>23</v>
      </c>
      <c r="V375" s="6">
        <f>IF(ISERROR(VLOOKUP($S$375,'TAR FIN'!$A$1:$O$92,15,0)),0,VLOOKUP($S$375,'TAR FIN'!$A$1:$O$92,15,0))</f>
        <v>0</v>
      </c>
      <c r="W375" s="104">
        <f>IF(ISERROR(VLOOKUP($T$362,'TAR FIN CELESC'!$A$1:$O$92,15,0)),0,VLOOKUP($T$362,'TAR FIN CELESC'!$A$1:$O$92,15,0))</f>
        <v>215.47</v>
      </c>
      <c r="X375" s="104">
        <f>IF(ISERROR(VLOOKUP($U$362,'TAR FIN CELESC'!$A$1:$O$92,15,0)),0,VLOOKUP($U$362,'TAR FIN CELESC'!$A$1:$O$92,15,0))</f>
        <v>252.9</v>
      </c>
      <c r="Y375" s="6"/>
      <c r="Z375" s="6">
        <f ca="1">('TUSD BE'!$AM$37+'TUSD BF_350'!$AM$37+'TUSD CVA'!$AM$37)*(1-CUSTOS!$M$38)</f>
        <v>291.86059999999998</v>
      </c>
      <c r="AA375" s="6">
        <f ca="1">('TE BE'!$AB$25+'TE BF_350'!$AB$25+'TE CVA'!$AB$25)*(1-CUSTOS!$M$38)</f>
        <v>246.77819999999997</v>
      </c>
      <c r="AB375" s="6">
        <f>$K$375*$V$375</f>
        <v>0</v>
      </c>
      <c r="AC375" s="6">
        <f>$M$375*$W$375</f>
        <v>80.844343999999992</v>
      </c>
      <c r="AD375" s="6">
        <f>$O$375*$X$375</f>
        <v>94.888080000000002</v>
      </c>
      <c r="AE375" s="6">
        <f>$K$375*$Y$375</f>
        <v>0</v>
      </c>
      <c r="AF375" s="6">
        <f ca="1">$M$375*$Z$375</f>
        <v>109.50609711999998</v>
      </c>
      <c r="AG375" s="6">
        <f ca="1">$O$375*$AA$375</f>
        <v>92.591180639999976</v>
      </c>
    </row>
    <row r="376" spans="1:33" ht="11.25" customHeight="1" x14ac:dyDescent="0.3">
      <c r="A376" s="4" t="s">
        <v>21</v>
      </c>
      <c r="B376" s="4" t="s">
        <v>41</v>
      </c>
      <c r="C376" s="4" t="s">
        <v>23</v>
      </c>
      <c r="D376" s="4" t="s">
        <v>42</v>
      </c>
      <c r="E376" s="4" t="s">
        <v>50</v>
      </c>
      <c r="F376" s="4" t="s">
        <v>53</v>
      </c>
      <c r="G376" s="4" t="s">
        <v>25</v>
      </c>
      <c r="H376" s="4" t="s">
        <v>25</v>
      </c>
      <c r="I376" s="5">
        <v>44652</v>
      </c>
      <c r="J376" s="6">
        <v>0</v>
      </c>
      <c r="K376" s="6">
        <v>0</v>
      </c>
      <c r="L376" s="6">
        <v>0.309</v>
      </c>
      <c r="M376" s="6">
        <v>0.1236</v>
      </c>
      <c r="N376" s="6">
        <v>0.309</v>
      </c>
      <c r="O376" s="6">
        <v>0.1236</v>
      </c>
      <c r="P376" s="6">
        <v>0</v>
      </c>
      <c r="Q376" s="4" t="s">
        <v>26</v>
      </c>
      <c r="R376" s="4">
        <v>0</v>
      </c>
      <c r="S376" s="6">
        <v>0</v>
      </c>
      <c r="T376" s="6">
        <v>62</v>
      </c>
      <c r="U376" s="6">
        <v>23</v>
      </c>
      <c r="V376" s="6">
        <f>IF(ISERROR(VLOOKUP($S$376,'TAR FIN'!$A$1:$O$92,15,0)),0,VLOOKUP($S$376,'TAR FIN'!$A$1:$O$92,15,0))</f>
        <v>0</v>
      </c>
      <c r="W376" s="104">
        <f>IF(ISERROR(VLOOKUP($T$362,'TAR FIN CELESC'!$A$1:$O$92,15,0)),0,VLOOKUP($T$362,'TAR FIN CELESC'!$A$1:$O$92,15,0))</f>
        <v>215.47</v>
      </c>
      <c r="X376" s="104">
        <f>IF(ISERROR(VLOOKUP($U$362,'TAR FIN CELESC'!$A$1:$O$92,15,0)),0,VLOOKUP($U$362,'TAR FIN CELESC'!$A$1:$O$92,15,0))</f>
        <v>252.9</v>
      </c>
      <c r="Y376" s="6"/>
      <c r="Z376" s="6">
        <f ca="1">('TUSD BE'!$AM$37+'TUSD BF_350'!$AM$37+'TUSD CVA'!$AM$37)*(1-CUSTOS!$M$38)</f>
        <v>291.86059999999998</v>
      </c>
      <c r="AA376" s="6">
        <f ca="1">('TE BE'!$AB$25+'TE BF_350'!$AB$25+'TE CVA'!$AB$25)*(1-CUSTOS!$M$38)</f>
        <v>246.77819999999997</v>
      </c>
      <c r="AB376" s="6">
        <f>$K$376*$V$376</f>
        <v>0</v>
      </c>
      <c r="AC376" s="6">
        <f>$M$376*$W$376</f>
        <v>26.632092</v>
      </c>
      <c r="AD376" s="6">
        <f>$O$376*$X$376</f>
        <v>31.25844</v>
      </c>
      <c r="AE376" s="6">
        <f>$K$376*$Y$376</f>
        <v>0</v>
      </c>
      <c r="AF376" s="6">
        <f ca="1">$M$376*$Z$376</f>
        <v>36.073970159999995</v>
      </c>
      <c r="AG376" s="6">
        <f ca="1">$O$376*$AA$376</f>
        <v>30.501785519999995</v>
      </c>
    </row>
    <row r="377" spans="1:33" ht="11.25" customHeight="1" x14ac:dyDescent="0.3">
      <c r="A377" s="4" t="s">
        <v>21</v>
      </c>
      <c r="B377" s="4" t="s">
        <v>41</v>
      </c>
      <c r="C377" s="4" t="s">
        <v>23</v>
      </c>
      <c r="D377" s="4" t="s">
        <v>42</v>
      </c>
      <c r="E377" s="4" t="s">
        <v>52</v>
      </c>
      <c r="F377" s="4" t="s">
        <v>51</v>
      </c>
      <c r="G377" s="4" t="s">
        <v>25</v>
      </c>
      <c r="H377" s="4" t="s">
        <v>25</v>
      </c>
      <c r="I377" s="5">
        <v>44409</v>
      </c>
      <c r="J377" s="6">
        <v>0</v>
      </c>
      <c r="K377" s="6">
        <v>0</v>
      </c>
      <c r="L377" s="6">
        <v>0.96799999999999997</v>
      </c>
      <c r="M377" s="6">
        <v>0.96799999999999997</v>
      </c>
      <c r="N377" s="6">
        <v>0.96799999999999997</v>
      </c>
      <c r="O377" s="6">
        <v>0.96799999999999997</v>
      </c>
      <c r="P377" s="6">
        <v>0</v>
      </c>
      <c r="Q377" s="4" t="s">
        <v>26</v>
      </c>
      <c r="R377" s="4">
        <v>0</v>
      </c>
      <c r="S377" s="6">
        <v>0</v>
      </c>
      <c r="T377" s="6">
        <v>62</v>
      </c>
      <c r="U377" s="6">
        <v>23</v>
      </c>
      <c r="V377" s="6">
        <f>IF(ISERROR(VLOOKUP($S$377,'TAR FIN'!$A$1:$O$92,15,0)),0,VLOOKUP($S$377,'TAR FIN'!$A$1:$O$92,15,0))</f>
        <v>0</v>
      </c>
      <c r="W377" s="104">
        <f>IF(ISERROR(VLOOKUP($T$362,'TAR FIN CELESC'!$A$1:$O$92,15,0)),0,VLOOKUP($T$362,'TAR FIN CELESC'!$A$1:$O$92,15,0))</f>
        <v>215.47</v>
      </c>
      <c r="X377" s="104">
        <f>IF(ISERROR(VLOOKUP($U$362,'TAR FIN CELESC'!$A$1:$O$92,15,0)),0,VLOOKUP($U$362,'TAR FIN CELESC'!$A$1:$O$92,15,0))</f>
        <v>252.9</v>
      </c>
      <c r="Y377" s="6"/>
      <c r="Z377" s="6">
        <f ca="1">('TUSD BE'!$AM$37+'TUSD BF_350'!$AM$37+'TUSD CVA'!$AM$37)*(1-CUSTOS!$M$38)</f>
        <v>291.86059999999998</v>
      </c>
      <c r="AA377" s="6">
        <f ca="1">('TE BE'!$AB$25+'TE BF_350'!$AB$25+'TE CVA'!$AB$25)*(1-CUSTOS!$M$38)</f>
        <v>246.77819999999997</v>
      </c>
      <c r="AB377" s="6">
        <f>$K$377*$V$377</f>
        <v>0</v>
      </c>
      <c r="AC377" s="6">
        <f>$M$377*$W$377</f>
        <v>208.57496</v>
      </c>
      <c r="AD377" s="6">
        <f>$O$377*$X$377</f>
        <v>244.80719999999999</v>
      </c>
      <c r="AE377" s="6">
        <f>$K$377*$Y$377</f>
        <v>0</v>
      </c>
      <c r="AF377" s="6">
        <f ca="1">$M$377*$Z$377</f>
        <v>282.52106079999999</v>
      </c>
      <c r="AG377" s="6">
        <f ca="1">$O$377*$AA$377</f>
        <v>238.88129759999995</v>
      </c>
    </row>
    <row r="378" spans="1:33" ht="11.25" customHeight="1" x14ac:dyDescent="0.3">
      <c r="A378" s="4" t="s">
        <v>21</v>
      </c>
      <c r="B378" s="4" t="s">
        <v>41</v>
      </c>
      <c r="C378" s="4" t="s">
        <v>23</v>
      </c>
      <c r="D378" s="4" t="s">
        <v>42</v>
      </c>
      <c r="E378" s="4" t="s">
        <v>52</v>
      </c>
      <c r="F378" s="4" t="s">
        <v>51</v>
      </c>
      <c r="G378" s="4" t="s">
        <v>25</v>
      </c>
      <c r="H378" s="4" t="s">
        <v>25</v>
      </c>
      <c r="I378" s="5">
        <v>44440</v>
      </c>
      <c r="J378" s="6">
        <v>0</v>
      </c>
      <c r="K378" s="6">
        <v>0</v>
      </c>
      <c r="L378" s="6">
        <v>0.85199999999999998</v>
      </c>
      <c r="M378" s="6">
        <v>0.85199999999999998</v>
      </c>
      <c r="N378" s="6">
        <v>0.85199999999999998</v>
      </c>
      <c r="O378" s="6">
        <v>0.85199999999999998</v>
      </c>
      <c r="P378" s="6">
        <v>0</v>
      </c>
      <c r="Q378" s="4" t="s">
        <v>26</v>
      </c>
      <c r="R378" s="4">
        <v>0</v>
      </c>
      <c r="S378" s="6">
        <v>0</v>
      </c>
      <c r="T378" s="6">
        <v>62</v>
      </c>
      <c r="U378" s="6">
        <v>23</v>
      </c>
      <c r="V378" s="6">
        <f>IF(ISERROR(VLOOKUP($S$378,'TAR FIN'!$A$1:$O$92,15,0)),0,VLOOKUP($S$378,'TAR FIN'!$A$1:$O$92,15,0))</f>
        <v>0</v>
      </c>
      <c r="W378" s="104">
        <f>IF(ISERROR(VLOOKUP($T$362,'TAR FIN CELESC'!$A$1:$O$92,15,0)),0,VLOOKUP($T$362,'TAR FIN CELESC'!$A$1:$O$92,15,0))</f>
        <v>215.47</v>
      </c>
      <c r="X378" s="104">
        <f>IF(ISERROR(VLOOKUP($U$362,'TAR FIN CELESC'!$A$1:$O$92,15,0)),0,VLOOKUP($U$362,'TAR FIN CELESC'!$A$1:$O$92,15,0))</f>
        <v>252.9</v>
      </c>
      <c r="Y378" s="6"/>
      <c r="Z378" s="6">
        <f ca="1">('TUSD BE'!$AM$37+'TUSD BF_350'!$AM$37+'TUSD CVA'!$AM$37)*(1-CUSTOS!$M$38)</f>
        <v>291.86059999999998</v>
      </c>
      <c r="AA378" s="6">
        <f ca="1">('TE BE'!$AB$25+'TE BF_350'!$AB$25+'TE CVA'!$AB$25)*(1-CUSTOS!$M$38)</f>
        <v>246.77819999999997</v>
      </c>
      <c r="AB378" s="6">
        <f>$K$378*$V$378</f>
        <v>0</v>
      </c>
      <c r="AC378" s="6">
        <f>$M$378*$W$378</f>
        <v>183.58043999999998</v>
      </c>
      <c r="AD378" s="6">
        <f>$O$378*$X$378</f>
        <v>215.4708</v>
      </c>
      <c r="AE378" s="6">
        <f>$K$378*$Y$378</f>
        <v>0</v>
      </c>
      <c r="AF378" s="6">
        <f ca="1">$M$378*$Z$378</f>
        <v>248.66523119999997</v>
      </c>
      <c r="AG378" s="6">
        <f ca="1">$O$378*$AA$378</f>
        <v>210.25502639999996</v>
      </c>
    </row>
    <row r="379" spans="1:33" ht="11.25" customHeight="1" x14ac:dyDescent="0.3">
      <c r="A379" s="4" t="s">
        <v>21</v>
      </c>
      <c r="B379" s="4" t="s">
        <v>41</v>
      </c>
      <c r="C379" s="4" t="s">
        <v>23</v>
      </c>
      <c r="D379" s="4" t="s">
        <v>42</v>
      </c>
      <c r="E379" s="4" t="s">
        <v>52</v>
      </c>
      <c r="F379" s="4" t="s">
        <v>51</v>
      </c>
      <c r="G379" s="4" t="s">
        <v>25</v>
      </c>
      <c r="H379" s="4" t="s">
        <v>25</v>
      </c>
      <c r="I379" s="5">
        <v>44470</v>
      </c>
      <c r="J379" s="6">
        <v>0</v>
      </c>
      <c r="K379" s="6">
        <v>0</v>
      </c>
      <c r="L379" s="6">
        <v>1.4</v>
      </c>
      <c r="M379" s="6">
        <v>1.4</v>
      </c>
      <c r="N379" s="6">
        <v>1.4</v>
      </c>
      <c r="O379" s="6">
        <v>1.4</v>
      </c>
      <c r="P379" s="6">
        <v>0</v>
      </c>
      <c r="Q379" s="4" t="s">
        <v>26</v>
      </c>
      <c r="R379" s="4">
        <v>0</v>
      </c>
      <c r="S379" s="6">
        <v>0</v>
      </c>
      <c r="T379" s="6">
        <v>62</v>
      </c>
      <c r="U379" s="6">
        <v>23</v>
      </c>
      <c r="V379" s="6">
        <f>IF(ISERROR(VLOOKUP($S$379,'TAR FIN'!$A$1:$O$92,15,0)),0,VLOOKUP($S$379,'TAR FIN'!$A$1:$O$92,15,0))</f>
        <v>0</v>
      </c>
      <c r="W379" s="104">
        <f>IF(ISERROR(VLOOKUP($T$362,'TAR FIN CELESC'!$A$1:$O$92,15,0)),0,VLOOKUP($T$362,'TAR FIN CELESC'!$A$1:$O$92,15,0))</f>
        <v>215.47</v>
      </c>
      <c r="X379" s="104">
        <f>IF(ISERROR(VLOOKUP($U$362,'TAR FIN CELESC'!$A$1:$O$92,15,0)),0,VLOOKUP($U$362,'TAR FIN CELESC'!$A$1:$O$92,15,0))</f>
        <v>252.9</v>
      </c>
      <c r="Y379" s="6"/>
      <c r="Z379" s="6">
        <f ca="1">('TUSD BE'!$AM$37+'TUSD BF_350'!$AM$37+'TUSD CVA'!$AM$37)*(1-CUSTOS!$M$38)</f>
        <v>291.86059999999998</v>
      </c>
      <c r="AA379" s="6">
        <f ca="1">('TE BE'!$AB$25+'TE BF_350'!$AB$25+'TE CVA'!$AB$25)*(1-CUSTOS!$M$38)</f>
        <v>246.77819999999997</v>
      </c>
      <c r="AB379" s="6">
        <f>$K$379*$V$379</f>
        <v>0</v>
      </c>
      <c r="AC379" s="6">
        <f>$M$379*$W$379</f>
        <v>301.65799999999996</v>
      </c>
      <c r="AD379" s="6">
        <f>$O$379*$X$379</f>
        <v>354.06</v>
      </c>
      <c r="AE379" s="6">
        <f>$K$379*$Y$379</f>
        <v>0</v>
      </c>
      <c r="AF379" s="6">
        <f ca="1">$M$379*$Z$379</f>
        <v>408.60483999999997</v>
      </c>
      <c r="AG379" s="6">
        <f ca="1">$O$379*$AA$379</f>
        <v>345.48947999999996</v>
      </c>
    </row>
    <row r="380" spans="1:33" ht="11.25" customHeight="1" x14ac:dyDescent="0.3">
      <c r="A380" s="4" t="s">
        <v>21</v>
      </c>
      <c r="B380" s="4" t="s">
        <v>41</v>
      </c>
      <c r="C380" s="4" t="s">
        <v>23</v>
      </c>
      <c r="D380" s="4" t="s">
        <v>42</v>
      </c>
      <c r="E380" s="4" t="s">
        <v>52</v>
      </c>
      <c r="F380" s="4" t="s">
        <v>51</v>
      </c>
      <c r="G380" s="4" t="s">
        <v>25</v>
      </c>
      <c r="H380" s="4" t="s">
        <v>25</v>
      </c>
      <c r="I380" s="5">
        <v>44501</v>
      </c>
      <c r="J380" s="6">
        <v>0</v>
      </c>
      <c r="K380" s="6">
        <v>0</v>
      </c>
      <c r="L380" s="6">
        <v>0.52100000000000002</v>
      </c>
      <c r="M380" s="6">
        <v>0.52100000000000002</v>
      </c>
      <c r="N380" s="6">
        <v>0.52100000000000002</v>
      </c>
      <c r="O380" s="6">
        <v>0.52100000000000002</v>
      </c>
      <c r="P380" s="6">
        <v>0</v>
      </c>
      <c r="Q380" s="4" t="s">
        <v>26</v>
      </c>
      <c r="R380" s="4">
        <v>0</v>
      </c>
      <c r="S380" s="6">
        <v>0</v>
      </c>
      <c r="T380" s="6">
        <v>62</v>
      </c>
      <c r="U380" s="6">
        <v>23</v>
      </c>
      <c r="V380" s="6">
        <f>IF(ISERROR(VLOOKUP($S$380,'TAR FIN'!$A$1:$O$92,15,0)),0,VLOOKUP($S$380,'TAR FIN'!$A$1:$O$92,15,0))</f>
        <v>0</v>
      </c>
      <c r="W380" s="104">
        <f>IF(ISERROR(VLOOKUP($T$362,'TAR FIN CELESC'!$A$1:$O$92,15,0)),0,VLOOKUP($T$362,'TAR FIN CELESC'!$A$1:$O$92,15,0))</f>
        <v>215.47</v>
      </c>
      <c r="X380" s="104">
        <f>IF(ISERROR(VLOOKUP($U$362,'TAR FIN CELESC'!$A$1:$O$92,15,0)),0,VLOOKUP($U$362,'TAR FIN CELESC'!$A$1:$O$92,15,0))</f>
        <v>252.9</v>
      </c>
      <c r="Y380" s="6"/>
      <c r="Z380" s="6">
        <f ca="1">('TUSD BE'!$AM$37+'TUSD BF_350'!$AM$37+'TUSD CVA'!$AM$37)*(1-CUSTOS!$M$38)</f>
        <v>291.86059999999998</v>
      </c>
      <c r="AA380" s="6">
        <f ca="1">('TE BE'!$AB$25+'TE BF_350'!$AB$25+'TE CVA'!$AB$25)*(1-CUSTOS!$M$38)</f>
        <v>246.77819999999997</v>
      </c>
      <c r="AB380" s="6">
        <f>$K$380*$V$380</f>
        <v>0</v>
      </c>
      <c r="AC380" s="6">
        <f>$M$380*$W$380</f>
        <v>112.25987000000001</v>
      </c>
      <c r="AD380" s="6">
        <f>$O$380*$X$380</f>
        <v>131.76090000000002</v>
      </c>
      <c r="AE380" s="6">
        <f>$K$380*$Y$380</f>
        <v>0</v>
      </c>
      <c r="AF380" s="6">
        <f ca="1">$M$380*$Z$380</f>
        <v>152.05937259999999</v>
      </c>
      <c r="AG380" s="6">
        <f ca="1">$O$380*$AA$380</f>
        <v>128.57144219999998</v>
      </c>
    </row>
    <row r="381" spans="1:33" ht="11.25" customHeight="1" x14ac:dyDescent="0.3">
      <c r="A381" s="4" t="s">
        <v>21</v>
      </c>
      <c r="B381" s="4" t="s">
        <v>41</v>
      </c>
      <c r="C381" s="4" t="s">
        <v>23</v>
      </c>
      <c r="D381" s="4" t="s">
        <v>42</v>
      </c>
      <c r="E381" s="4" t="s">
        <v>52</v>
      </c>
      <c r="F381" s="4" t="s">
        <v>51</v>
      </c>
      <c r="G381" s="4" t="s">
        <v>25</v>
      </c>
      <c r="H381" s="4" t="s">
        <v>25</v>
      </c>
      <c r="I381" s="5">
        <v>44531</v>
      </c>
      <c r="J381" s="6">
        <v>0</v>
      </c>
      <c r="K381" s="6">
        <v>0</v>
      </c>
      <c r="L381" s="6">
        <v>1.2849999999999999</v>
      </c>
      <c r="M381" s="6">
        <v>1.2849999999999999</v>
      </c>
      <c r="N381" s="6">
        <v>1.2849999999999999</v>
      </c>
      <c r="O381" s="6">
        <v>1.2849999999999999</v>
      </c>
      <c r="P381" s="6">
        <v>0</v>
      </c>
      <c r="Q381" s="4" t="s">
        <v>26</v>
      </c>
      <c r="R381" s="4">
        <v>0</v>
      </c>
      <c r="S381" s="6">
        <v>0</v>
      </c>
      <c r="T381" s="6">
        <v>62</v>
      </c>
      <c r="U381" s="6">
        <v>23</v>
      </c>
      <c r="V381" s="6">
        <f>IF(ISERROR(VLOOKUP($S$381,'TAR FIN'!$A$1:$O$92,15,0)),0,VLOOKUP($S$381,'TAR FIN'!$A$1:$O$92,15,0))</f>
        <v>0</v>
      </c>
      <c r="W381" s="104">
        <f>IF(ISERROR(VLOOKUP($T$362,'TAR FIN CELESC'!$A$1:$O$92,15,0)),0,VLOOKUP($T$362,'TAR FIN CELESC'!$A$1:$O$92,15,0))</f>
        <v>215.47</v>
      </c>
      <c r="X381" s="104">
        <f>IF(ISERROR(VLOOKUP($U$362,'TAR FIN CELESC'!$A$1:$O$92,15,0)),0,VLOOKUP($U$362,'TAR FIN CELESC'!$A$1:$O$92,15,0))</f>
        <v>252.9</v>
      </c>
      <c r="Y381" s="6"/>
      <c r="Z381" s="6">
        <f ca="1">('TUSD BE'!$AM$37+'TUSD BF_350'!$AM$37+'TUSD CVA'!$AM$37)*(1-CUSTOS!$M$38)</f>
        <v>291.86059999999998</v>
      </c>
      <c r="AA381" s="6">
        <f ca="1">('TE BE'!$AB$25+'TE BF_350'!$AB$25+'TE CVA'!$AB$25)*(1-CUSTOS!$M$38)</f>
        <v>246.77819999999997</v>
      </c>
      <c r="AB381" s="6">
        <f>$K$381*$V$381</f>
        <v>0</v>
      </c>
      <c r="AC381" s="6">
        <f>$M$381*$W$381</f>
        <v>276.87894999999997</v>
      </c>
      <c r="AD381" s="6">
        <f>$O$381*$X$381</f>
        <v>324.97649999999999</v>
      </c>
      <c r="AE381" s="6">
        <f>$K$381*$Y$381</f>
        <v>0</v>
      </c>
      <c r="AF381" s="6">
        <f ca="1">$M$381*$Z$381</f>
        <v>375.04087099999992</v>
      </c>
      <c r="AG381" s="6">
        <f ca="1">$O$381*$AA$381</f>
        <v>317.10998699999993</v>
      </c>
    </row>
    <row r="382" spans="1:33" ht="11.25" customHeight="1" x14ac:dyDescent="0.3">
      <c r="A382" s="4" t="s">
        <v>21</v>
      </c>
      <c r="B382" s="4" t="s">
        <v>41</v>
      </c>
      <c r="C382" s="4" t="s">
        <v>23</v>
      </c>
      <c r="D382" s="4" t="s">
        <v>42</v>
      </c>
      <c r="E382" s="4" t="s">
        <v>52</v>
      </c>
      <c r="F382" s="4" t="s">
        <v>51</v>
      </c>
      <c r="G382" s="4" t="s">
        <v>25</v>
      </c>
      <c r="H382" s="4" t="s">
        <v>25</v>
      </c>
      <c r="I382" s="5">
        <v>44562</v>
      </c>
      <c r="J382" s="6">
        <v>0</v>
      </c>
      <c r="K382" s="6">
        <v>0</v>
      </c>
      <c r="L382" s="6">
        <v>1.57</v>
      </c>
      <c r="M382" s="6">
        <v>1.57</v>
      </c>
      <c r="N382" s="6">
        <v>1.57</v>
      </c>
      <c r="O382" s="6">
        <v>1.57</v>
      </c>
      <c r="P382" s="6">
        <v>0</v>
      </c>
      <c r="Q382" s="4" t="s">
        <v>26</v>
      </c>
      <c r="R382" s="4">
        <v>0</v>
      </c>
      <c r="S382" s="6">
        <v>0</v>
      </c>
      <c r="T382" s="6">
        <v>62</v>
      </c>
      <c r="U382" s="6">
        <v>23</v>
      </c>
      <c r="V382" s="6">
        <f>IF(ISERROR(VLOOKUP($S$382,'TAR FIN'!$A$1:$O$92,15,0)),0,VLOOKUP($S$382,'TAR FIN'!$A$1:$O$92,15,0))</f>
        <v>0</v>
      </c>
      <c r="W382" s="104">
        <f>IF(ISERROR(VLOOKUP($T$362,'TAR FIN CELESC'!$A$1:$O$92,15,0)),0,VLOOKUP($T$362,'TAR FIN CELESC'!$A$1:$O$92,15,0))</f>
        <v>215.47</v>
      </c>
      <c r="X382" s="104">
        <f>IF(ISERROR(VLOOKUP($U$362,'TAR FIN CELESC'!$A$1:$O$92,15,0)),0,VLOOKUP($U$362,'TAR FIN CELESC'!$A$1:$O$92,15,0))</f>
        <v>252.9</v>
      </c>
      <c r="Y382" s="6"/>
      <c r="Z382" s="6">
        <f ca="1">('TUSD BE'!$AM$37+'TUSD BF_350'!$AM$37+'TUSD CVA'!$AM$37)*(1-CUSTOS!$M$38)</f>
        <v>291.86059999999998</v>
      </c>
      <c r="AA382" s="6">
        <f ca="1">('TE BE'!$AB$25+'TE BF_350'!$AB$25+'TE CVA'!$AB$25)*(1-CUSTOS!$M$38)</f>
        <v>246.77819999999997</v>
      </c>
      <c r="AB382" s="6">
        <f>$K$382*$V$382</f>
        <v>0</v>
      </c>
      <c r="AC382" s="6">
        <f>$M$382*$W$382</f>
        <v>338.28790000000004</v>
      </c>
      <c r="AD382" s="6">
        <f>$O$382*$X$382</f>
        <v>397.053</v>
      </c>
      <c r="AE382" s="6">
        <f>$K$382*$Y$382</f>
        <v>0</v>
      </c>
      <c r="AF382" s="6">
        <f ca="1">$M$382*$Z$382</f>
        <v>458.22114199999999</v>
      </c>
      <c r="AG382" s="6">
        <f ca="1">$O$382*$AA$382</f>
        <v>387.44177399999995</v>
      </c>
    </row>
    <row r="383" spans="1:33" ht="11.25" customHeight="1" x14ac:dyDescent="0.3">
      <c r="A383" s="4" t="s">
        <v>21</v>
      </c>
      <c r="B383" s="4" t="s">
        <v>41</v>
      </c>
      <c r="C383" s="4" t="s">
        <v>23</v>
      </c>
      <c r="D383" s="4" t="s">
        <v>42</v>
      </c>
      <c r="E383" s="4" t="s">
        <v>52</v>
      </c>
      <c r="F383" s="4" t="s">
        <v>51</v>
      </c>
      <c r="G383" s="4" t="s">
        <v>25</v>
      </c>
      <c r="H383" s="4" t="s">
        <v>25</v>
      </c>
      <c r="I383" s="5">
        <v>44593</v>
      </c>
      <c r="J383" s="6">
        <v>0</v>
      </c>
      <c r="K383" s="6">
        <v>0</v>
      </c>
      <c r="L383" s="6">
        <v>1.621</v>
      </c>
      <c r="M383" s="6">
        <v>1.621</v>
      </c>
      <c r="N383" s="6">
        <v>1.621</v>
      </c>
      <c r="O383" s="6">
        <v>1.621</v>
      </c>
      <c r="P383" s="6">
        <v>0</v>
      </c>
      <c r="Q383" s="4" t="s">
        <v>26</v>
      </c>
      <c r="R383" s="4">
        <v>0</v>
      </c>
      <c r="S383" s="6">
        <v>0</v>
      </c>
      <c r="T383" s="6">
        <v>62</v>
      </c>
      <c r="U383" s="6">
        <v>23</v>
      </c>
      <c r="V383" s="6">
        <f>IF(ISERROR(VLOOKUP($S$383,'TAR FIN'!$A$1:$O$92,15,0)),0,VLOOKUP($S$383,'TAR FIN'!$A$1:$O$92,15,0))</f>
        <v>0</v>
      </c>
      <c r="W383" s="104">
        <f>IF(ISERROR(VLOOKUP($T$362,'TAR FIN CELESC'!$A$1:$O$92,15,0)),0,VLOOKUP($T$362,'TAR FIN CELESC'!$A$1:$O$92,15,0))</f>
        <v>215.47</v>
      </c>
      <c r="X383" s="104">
        <f>IF(ISERROR(VLOOKUP($U$362,'TAR FIN CELESC'!$A$1:$O$92,15,0)),0,VLOOKUP($U$362,'TAR FIN CELESC'!$A$1:$O$92,15,0))</f>
        <v>252.9</v>
      </c>
      <c r="Y383" s="6"/>
      <c r="Z383" s="6">
        <f ca="1">('TUSD BE'!$AM$37+'TUSD BF_350'!$AM$37+'TUSD CVA'!$AM$37)*(1-CUSTOS!$M$38)</f>
        <v>291.86059999999998</v>
      </c>
      <c r="AA383" s="6">
        <f ca="1">('TE BE'!$AB$25+'TE BF_350'!$AB$25+'TE CVA'!$AB$25)*(1-CUSTOS!$M$38)</f>
        <v>246.77819999999997</v>
      </c>
      <c r="AB383" s="6">
        <f>$K$383*$V$383</f>
        <v>0</v>
      </c>
      <c r="AC383" s="6">
        <f>$M$383*$W$383</f>
        <v>349.27686999999997</v>
      </c>
      <c r="AD383" s="6">
        <f>$O$383*$X$383</f>
        <v>409.95089999999999</v>
      </c>
      <c r="AE383" s="6">
        <f>$K$383*$Y$383</f>
        <v>0</v>
      </c>
      <c r="AF383" s="6">
        <f ca="1">$M$383*$Z$383</f>
        <v>473.10603259999993</v>
      </c>
      <c r="AG383" s="6">
        <f ca="1">$O$383*$AA$383</f>
        <v>400.02746219999995</v>
      </c>
    </row>
    <row r="384" spans="1:33" ht="11.25" customHeight="1" x14ac:dyDescent="0.3">
      <c r="A384" s="4" t="s">
        <v>21</v>
      </c>
      <c r="B384" s="4" t="s">
        <v>41</v>
      </c>
      <c r="C384" s="4" t="s">
        <v>23</v>
      </c>
      <c r="D384" s="4" t="s">
        <v>42</v>
      </c>
      <c r="E384" s="4" t="s">
        <v>52</v>
      </c>
      <c r="F384" s="4" t="s">
        <v>51</v>
      </c>
      <c r="G384" s="4" t="s">
        <v>25</v>
      </c>
      <c r="H384" s="4" t="s">
        <v>25</v>
      </c>
      <c r="I384" s="5">
        <v>44621</v>
      </c>
      <c r="J384" s="6">
        <v>0</v>
      </c>
      <c r="K384" s="6">
        <v>0</v>
      </c>
      <c r="L384" s="6">
        <v>0.90700000000000003</v>
      </c>
      <c r="M384" s="6">
        <v>0.90700000000000003</v>
      </c>
      <c r="N384" s="6">
        <v>0.90700000000000003</v>
      </c>
      <c r="O384" s="6">
        <v>0.90700000000000003</v>
      </c>
      <c r="P384" s="6">
        <v>0</v>
      </c>
      <c r="Q384" s="4" t="s">
        <v>26</v>
      </c>
      <c r="R384" s="4">
        <v>0</v>
      </c>
      <c r="S384" s="6">
        <v>0</v>
      </c>
      <c r="T384" s="6">
        <v>62</v>
      </c>
      <c r="U384" s="6">
        <v>23</v>
      </c>
      <c r="V384" s="6">
        <f>IF(ISERROR(VLOOKUP($S$384,'TAR FIN'!$A$1:$O$92,15,0)),0,VLOOKUP($S$384,'TAR FIN'!$A$1:$O$92,15,0))</f>
        <v>0</v>
      </c>
      <c r="W384" s="104">
        <f>IF(ISERROR(VLOOKUP($T$362,'TAR FIN CELESC'!$A$1:$O$92,15,0)),0,VLOOKUP($T$362,'TAR FIN CELESC'!$A$1:$O$92,15,0))</f>
        <v>215.47</v>
      </c>
      <c r="X384" s="104">
        <f>IF(ISERROR(VLOOKUP($U$362,'TAR FIN CELESC'!$A$1:$O$92,15,0)),0,VLOOKUP($U$362,'TAR FIN CELESC'!$A$1:$O$92,15,0))</f>
        <v>252.9</v>
      </c>
      <c r="Y384" s="6"/>
      <c r="Z384" s="6">
        <f ca="1">('TUSD BE'!$AM$37+'TUSD BF_350'!$AM$37+'TUSD CVA'!$AM$37)*(1-CUSTOS!$M$38)</f>
        <v>291.86059999999998</v>
      </c>
      <c r="AA384" s="6">
        <f ca="1">('TE BE'!$AB$25+'TE BF_350'!$AB$25+'TE CVA'!$AB$25)*(1-CUSTOS!$M$38)</f>
        <v>246.77819999999997</v>
      </c>
      <c r="AB384" s="6">
        <f>$K$384*$V$384</f>
        <v>0</v>
      </c>
      <c r="AC384" s="6">
        <f>$M$384*$W$384</f>
        <v>195.43129000000002</v>
      </c>
      <c r="AD384" s="6">
        <f>$O$384*$X$384</f>
        <v>229.38030000000001</v>
      </c>
      <c r="AE384" s="6">
        <f>$K$384*$Y$384</f>
        <v>0</v>
      </c>
      <c r="AF384" s="6">
        <f ca="1">$M$384*$Z$384</f>
        <v>264.71756419999997</v>
      </c>
      <c r="AG384" s="6">
        <f ca="1">$O$384*$AA$384</f>
        <v>223.82782739999999</v>
      </c>
    </row>
    <row r="385" spans="1:33" ht="11.25" customHeight="1" x14ac:dyDescent="0.3">
      <c r="A385" s="4" t="s">
        <v>21</v>
      </c>
      <c r="B385" s="4" t="s">
        <v>41</v>
      </c>
      <c r="C385" s="4" t="s">
        <v>23</v>
      </c>
      <c r="D385" s="4" t="s">
        <v>42</v>
      </c>
      <c r="E385" s="4" t="s">
        <v>52</v>
      </c>
      <c r="F385" s="4" t="s">
        <v>51</v>
      </c>
      <c r="G385" s="4" t="s">
        <v>25</v>
      </c>
      <c r="H385" s="4" t="s">
        <v>25</v>
      </c>
      <c r="I385" s="5">
        <v>44652</v>
      </c>
      <c r="J385" s="6">
        <v>0</v>
      </c>
      <c r="K385" s="6">
        <v>0</v>
      </c>
      <c r="L385" s="6">
        <v>1.081</v>
      </c>
      <c r="M385" s="6">
        <v>1.081</v>
      </c>
      <c r="N385" s="6">
        <v>1.081</v>
      </c>
      <c r="O385" s="6">
        <v>1.081</v>
      </c>
      <c r="P385" s="6">
        <v>0</v>
      </c>
      <c r="Q385" s="4" t="s">
        <v>26</v>
      </c>
      <c r="R385" s="4">
        <v>0</v>
      </c>
      <c r="S385" s="6">
        <v>0</v>
      </c>
      <c r="T385" s="6">
        <v>62</v>
      </c>
      <c r="U385" s="6">
        <v>23</v>
      </c>
      <c r="V385" s="6">
        <f>IF(ISERROR(VLOOKUP($S$385,'TAR FIN'!$A$1:$O$92,15,0)),0,VLOOKUP($S$385,'TAR FIN'!$A$1:$O$92,15,0))</f>
        <v>0</v>
      </c>
      <c r="W385" s="104">
        <f>IF(ISERROR(VLOOKUP($T$362,'TAR FIN CELESC'!$A$1:$O$92,15,0)),0,VLOOKUP($T$362,'TAR FIN CELESC'!$A$1:$O$92,15,0))</f>
        <v>215.47</v>
      </c>
      <c r="X385" s="104">
        <f>IF(ISERROR(VLOOKUP($U$362,'TAR FIN CELESC'!$A$1:$O$92,15,0)),0,VLOOKUP($U$362,'TAR FIN CELESC'!$A$1:$O$92,15,0))</f>
        <v>252.9</v>
      </c>
      <c r="Y385" s="6"/>
      <c r="Z385" s="6">
        <f ca="1">('TUSD BE'!$AM$37+'TUSD BF_350'!$AM$37+'TUSD CVA'!$AM$37)*(1-CUSTOS!$M$38)</f>
        <v>291.86059999999998</v>
      </c>
      <c r="AA385" s="6">
        <f ca="1">('TE BE'!$AB$25+'TE BF_350'!$AB$25+'TE CVA'!$AB$25)*(1-CUSTOS!$M$38)</f>
        <v>246.77819999999997</v>
      </c>
      <c r="AB385" s="6">
        <f>$K$385*$V$385</f>
        <v>0</v>
      </c>
      <c r="AC385" s="6">
        <f>$M$385*$W$385</f>
        <v>232.92307</v>
      </c>
      <c r="AD385" s="6">
        <f>$O$385*$X$385</f>
        <v>273.38490000000002</v>
      </c>
      <c r="AE385" s="6">
        <f>$K$385*$Y$385</f>
        <v>0</v>
      </c>
      <c r="AF385" s="6">
        <f ca="1">$M$385*$Z$385</f>
        <v>315.50130859999996</v>
      </c>
      <c r="AG385" s="6">
        <f ca="1">$O$385*$AA$385</f>
        <v>266.76723419999996</v>
      </c>
    </row>
    <row r="386" spans="1:33" ht="11.25" customHeight="1" x14ac:dyDescent="0.3">
      <c r="A386" s="4" t="s">
        <v>21</v>
      </c>
      <c r="B386" s="4" t="s">
        <v>41</v>
      </c>
      <c r="C386" s="4" t="s">
        <v>23</v>
      </c>
      <c r="D386" s="4" t="s">
        <v>42</v>
      </c>
      <c r="E386" s="4" t="s">
        <v>52</v>
      </c>
      <c r="F386" s="4" t="s">
        <v>51</v>
      </c>
      <c r="G386" s="4" t="s">
        <v>25</v>
      </c>
      <c r="H386" s="4" t="s">
        <v>25</v>
      </c>
      <c r="I386" s="5">
        <v>44682</v>
      </c>
      <c r="J386" s="6">
        <v>0</v>
      </c>
      <c r="K386" s="6">
        <v>0</v>
      </c>
      <c r="L386" s="6">
        <v>1.173</v>
      </c>
      <c r="M386" s="6">
        <v>1.173</v>
      </c>
      <c r="N386" s="6">
        <v>1.173</v>
      </c>
      <c r="O386" s="6">
        <v>1.173</v>
      </c>
      <c r="P386" s="6">
        <v>0</v>
      </c>
      <c r="Q386" s="4" t="s">
        <v>26</v>
      </c>
      <c r="R386" s="4">
        <v>0</v>
      </c>
      <c r="S386" s="6">
        <v>0</v>
      </c>
      <c r="T386" s="6">
        <v>62</v>
      </c>
      <c r="U386" s="6">
        <v>23</v>
      </c>
      <c r="V386" s="6">
        <f>IF(ISERROR(VLOOKUP($S$386,'TAR FIN'!$A$1:$O$92,15,0)),0,VLOOKUP($S$386,'TAR FIN'!$A$1:$O$92,15,0))</f>
        <v>0</v>
      </c>
      <c r="W386" s="104">
        <f>IF(ISERROR(VLOOKUP($T$362,'TAR FIN CELESC'!$A$1:$O$92,15,0)),0,VLOOKUP($T$362,'TAR FIN CELESC'!$A$1:$O$92,15,0))</f>
        <v>215.47</v>
      </c>
      <c r="X386" s="104">
        <f>IF(ISERROR(VLOOKUP($U$362,'TAR FIN CELESC'!$A$1:$O$92,15,0)),0,VLOOKUP($U$362,'TAR FIN CELESC'!$A$1:$O$92,15,0))</f>
        <v>252.9</v>
      </c>
      <c r="Y386" s="6"/>
      <c r="Z386" s="6">
        <f ca="1">('TUSD BE'!$AM$37+'TUSD BF_350'!$AM$37+'TUSD CVA'!$AM$37)*(1-CUSTOS!$M$38)</f>
        <v>291.86059999999998</v>
      </c>
      <c r="AA386" s="6">
        <f ca="1">('TE BE'!$AB$25+'TE BF_350'!$AB$25+'TE CVA'!$AB$25)*(1-CUSTOS!$M$38)</f>
        <v>246.77819999999997</v>
      </c>
      <c r="AB386" s="6">
        <f>$K$386*$V$386</f>
        <v>0</v>
      </c>
      <c r="AC386" s="6">
        <f>$M$386*$W$386</f>
        <v>252.74630999999999</v>
      </c>
      <c r="AD386" s="6">
        <f>$O$386*$X$386</f>
        <v>296.65170000000001</v>
      </c>
      <c r="AE386" s="6">
        <f>$K$386*$Y$386</f>
        <v>0</v>
      </c>
      <c r="AF386" s="6">
        <f ca="1">$M$386*$Z$386</f>
        <v>342.35248379999996</v>
      </c>
      <c r="AG386" s="6">
        <f ca="1">$O$386*$AA$386</f>
        <v>289.47082859999995</v>
      </c>
    </row>
    <row r="387" spans="1:33" ht="11.25" customHeight="1" x14ac:dyDescent="0.3">
      <c r="A387" s="4" t="s">
        <v>21</v>
      </c>
      <c r="B387" s="4" t="s">
        <v>41</v>
      </c>
      <c r="C387" s="4" t="s">
        <v>23</v>
      </c>
      <c r="D387" s="4" t="s">
        <v>42</v>
      </c>
      <c r="E387" s="4" t="s">
        <v>52</v>
      </c>
      <c r="F387" s="4" t="s">
        <v>51</v>
      </c>
      <c r="G387" s="4" t="s">
        <v>25</v>
      </c>
      <c r="H387" s="4" t="s">
        <v>25</v>
      </c>
      <c r="I387" s="5">
        <v>44713</v>
      </c>
      <c r="J387" s="6">
        <v>0</v>
      </c>
      <c r="K387" s="6">
        <v>0</v>
      </c>
      <c r="L387" s="6">
        <v>0.95299999999999996</v>
      </c>
      <c r="M387" s="6">
        <v>0.95299999999999996</v>
      </c>
      <c r="N387" s="6">
        <v>0.95299999999999996</v>
      </c>
      <c r="O387" s="6">
        <v>0.95299999999999996</v>
      </c>
      <c r="P387" s="6">
        <v>0</v>
      </c>
      <c r="Q387" s="4" t="s">
        <v>26</v>
      </c>
      <c r="R387" s="4">
        <v>0</v>
      </c>
      <c r="S387" s="6">
        <v>0</v>
      </c>
      <c r="T387" s="6">
        <v>62</v>
      </c>
      <c r="U387" s="6">
        <v>23</v>
      </c>
      <c r="V387" s="6">
        <f>IF(ISERROR(VLOOKUP($S$387,'TAR FIN'!$A$1:$O$92,15,0)),0,VLOOKUP($S$387,'TAR FIN'!$A$1:$O$92,15,0))</f>
        <v>0</v>
      </c>
      <c r="W387" s="104">
        <f>IF(ISERROR(VLOOKUP($T$362,'TAR FIN CELESC'!$A$1:$O$92,15,0)),0,VLOOKUP($T$362,'TAR FIN CELESC'!$A$1:$O$92,15,0))</f>
        <v>215.47</v>
      </c>
      <c r="X387" s="104">
        <f>IF(ISERROR(VLOOKUP($U$362,'TAR FIN CELESC'!$A$1:$O$92,15,0)),0,VLOOKUP($U$362,'TAR FIN CELESC'!$A$1:$O$92,15,0))</f>
        <v>252.9</v>
      </c>
      <c r="Y387" s="6"/>
      <c r="Z387" s="6">
        <f ca="1">('TUSD BE'!$AM$37+'TUSD BF_350'!$AM$37+'TUSD CVA'!$AM$37)*(1-CUSTOS!$M$38)</f>
        <v>291.86059999999998</v>
      </c>
      <c r="AA387" s="6">
        <f ca="1">('TE BE'!$AB$25+'TE BF_350'!$AB$25+'TE CVA'!$AB$25)*(1-CUSTOS!$M$38)</f>
        <v>246.77819999999997</v>
      </c>
      <c r="AB387" s="6">
        <f>$K$387*$V$387</f>
        <v>0</v>
      </c>
      <c r="AC387" s="6">
        <f>$M$387*$W$387</f>
        <v>205.34290999999999</v>
      </c>
      <c r="AD387" s="6">
        <f>$O$387*$X$387</f>
        <v>241.0137</v>
      </c>
      <c r="AE387" s="6">
        <f>$K$387*$Y$387</f>
        <v>0</v>
      </c>
      <c r="AF387" s="6">
        <f ca="1">$M$387*$Z$387</f>
        <v>278.14315179999994</v>
      </c>
      <c r="AG387" s="6">
        <f ca="1">$O$387*$AA$387</f>
        <v>235.17962459999995</v>
      </c>
    </row>
    <row r="388" spans="1:33" ht="11.25" customHeight="1" x14ac:dyDescent="0.3">
      <c r="A388" s="4" t="s">
        <v>21</v>
      </c>
      <c r="B388" s="4" t="s">
        <v>41</v>
      </c>
      <c r="C388" s="4" t="s">
        <v>23</v>
      </c>
      <c r="D388" s="4" t="s">
        <v>42</v>
      </c>
      <c r="E388" s="4" t="s">
        <v>52</v>
      </c>
      <c r="F388" s="4" t="s">
        <v>51</v>
      </c>
      <c r="G388" s="4" t="s">
        <v>25</v>
      </c>
      <c r="H388" s="4" t="s">
        <v>25</v>
      </c>
      <c r="I388" s="5">
        <v>44743</v>
      </c>
      <c r="J388" s="6">
        <v>0</v>
      </c>
      <c r="K388" s="6">
        <v>0</v>
      </c>
      <c r="L388" s="6">
        <v>0.73699999999999999</v>
      </c>
      <c r="M388" s="6">
        <v>0.73699999999999999</v>
      </c>
      <c r="N388" s="6">
        <v>0.73699999999999999</v>
      </c>
      <c r="O388" s="6">
        <v>0.73699999999999999</v>
      </c>
      <c r="P388" s="6">
        <v>0</v>
      </c>
      <c r="Q388" s="4" t="s">
        <v>26</v>
      </c>
      <c r="R388" s="4">
        <v>0</v>
      </c>
      <c r="S388" s="6">
        <v>0</v>
      </c>
      <c r="T388" s="6">
        <v>62</v>
      </c>
      <c r="U388" s="6">
        <v>23</v>
      </c>
      <c r="V388" s="6">
        <f>IF(ISERROR(VLOOKUP($S$388,'TAR FIN'!$A$1:$O$92,15,0)),0,VLOOKUP($S$388,'TAR FIN'!$A$1:$O$92,15,0))</f>
        <v>0</v>
      </c>
      <c r="W388" s="104">
        <f>IF(ISERROR(VLOOKUP($T$362,'TAR FIN CELESC'!$A$1:$O$92,15,0)),0,VLOOKUP($T$362,'TAR FIN CELESC'!$A$1:$O$92,15,0))</f>
        <v>215.47</v>
      </c>
      <c r="X388" s="104">
        <f>IF(ISERROR(VLOOKUP($U$362,'TAR FIN CELESC'!$A$1:$O$92,15,0)),0,VLOOKUP($U$362,'TAR FIN CELESC'!$A$1:$O$92,15,0))</f>
        <v>252.9</v>
      </c>
      <c r="Y388" s="6"/>
      <c r="Z388" s="6">
        <f ca="1">('TUSD BE'!$AM$37+'TUSD BF_350'!$AM$37+'TUSD CVA'!$AM$37)*(1-CUSTOS!$M$38)</f>
        <v>291.86059999999998</v>
      </c>
      <c r="AA388" s="6">
        <f ca="1">('TE BE'!$AB$25+'TE BF_350'!$AB$25+'TE CVA'!$AB$25)*(1-CUSTOS!$M$38)</f>
        <v>246.77819999999997</v>
      </c>
      <c r="AB388" s="6">
        <f>$K$388*$V$388</f>
        <v>0</v>
      </c>
      <c r="AC388" s="6">
        <f>$M$388*$W$388</f>
        <v>158.80139</v>
      </c>
      <c r="AD388" s="6">
        <f>$O$388*$X$388</f>
        <v>186.38730000000001</v>
      </c>
      <c r="AE388" s="6">
        <f>$K$388*$Y$388</f>
        <v>0</v>
      </c>
      <c r="AF388" s="6">
        <f ca="1">$M$388*$Z$388</f>
        <v>215.10126219999998</v>
      </c>
      <c r="AG388" s="6">
        <f ca="1">$O$388*$AA$388</f>
        <v>181.87553339999997</v>
      </c>
    </row>
    <row r="389" spans="1:33" ht="11.25" customHeight="1" x14ac:dyDescent="0.3">
      <c r="A389" s="4" t="s">
        <v>21</v>
      </c>
      <c r="B389" s="4" t="s">
        <v>41</v>
      </c>
      <c r="C389" s="4" t="s">
        <v>23</v>
      </c>
      <c r="D389" s="4" t="s">
        <v>42</v>
      </c>
      <c r="E389" s="4" t="s">
        <v>52</v>
      </c>
      <c r="F389" s="4" t="s">
        <v>53</v>
      </c>
      <c r="G389" s="4" t="s">
        <v>25</v>
      </c>
      <c r="H389" s="4" t="s">
        <v>25</v>
      </c>
      <c r="I389" s="5">
        <v>44409</v>
      </c>
      <c r="J389" s="6">
        <v>0</v>
      </c>
      <c r="K389" s="6">
        <v>0</v>
      </c>
      <c r="L389" s="6">
        <v>1.992</v>
      </c>
      <c r="M389" s="6">
        <v>0.79679999999999995</v>
      </c>
      <c r="N389" s="6">
        <v>1.992</v>
      </c>
      <c r="O389" s="6">
        <v>0.79679999999999995</v>
      </c>
      <c r="P389" s="6">
        <v>0</v>
      </c>
      <c r="Q389" s="4" t="s">
        <v>26</v>
      </c>
      <c r="R389" s="4">
        <v>0</v>
      </c>
      <c r="S389" s="6">
        <v>0</v>
      </c>
      <c r="T389" s="6">
        <v>62</v>
      </c>
      <c r="U389" s="6">
        <v>23</v>
      </c>
      <c r="V389" s="6">
        <f>IF(ISERROR(VLOOKUP($S$389,'TAR FIN'!$A$1:$O$92,15,0)),0,VLOOKUP($S$389,'TAR FIN'!$A$1:$O$92,15,0))</f>
        <v>0</v>
      </c>
      <c r="W389" s="104">
        <f>IF(ISERROR(VLOOKUP($T$362,'TAR FIN CELESC'!$A$1:$O$92,15,0)),0,VLOOKUP($T$362,'TAR FIN CELESC'!$A$1:$O$92,15,0))</f>
        <v>215.47</v>
      </c>
      <c r="X389" s="104">
        <f>IF(ISERROR(VLOOKUP($U$362,'TAR FIN CELESC'!$A$1:$O$92,15,0)),0,VLOOKUP($U$362,'TAR FIN CELESC'!$A$1:$O$92,15,0))</f>
        <v>252.9</v>
      </c>
      <c r="Y389" s="6"/>
      <c r="Z389" s="6">
        <f ca="1">('TUSD BE'!$AM$37+'TUSD BF_350'!$AM$37+'TUSD CVA'!$AM$37)*(1-CUSTOS!$M$38)</f>
        <v>291.86059999999998</v>
      </c>
      <c r="AA389" s="6">
        <f ca="1">('TE BE'!$AB$25+'TE BF_350'!$AB$25+'TE CVA'!$AB$25)*(1-CUSTOS!$M$38)</f>
        <v>246.77819999999997</v>
      </c>
      <c r="AB389" s="6">
        <f>$K$389*$V$389</f>
        <v>0</v>
      </c>
      <c r="AC389" s="6">
        <f>$M$389*$W$389</f>
        <v>171.68649599999998</v>
      </c>
      <c r="AD389" s="6">
        <f>$O$389*$X$389</f>
        <v>201.51071999999999</v>
      </c>
      <c r="AE389" s="6">
        <f>$K$389*$Y$389</f>
        <v>0</v>
      </c>
      <c r="AF389" s="6">
        <f ca="1">$M$389*$Z$389</f>
        <v>232.55452607999996</v>
      </c>
      <c r="AG389" s="6">
        <f ca="1">$O$389*$AA$389</f>
        <v>196.63286975999998</v>
      </c>
    </row>
    <row r="390" spans="1:33" ht="11.25" customHeight="1" x14ac:dyDescent="0.3">
      <c r="A390" s="4" t="s">
        <v>21</v>
      </c>
      <c r="B390" s="4" t="s">
        <v>41</v>
      </c>
      <c r="C390" s="4" t="s">
        <v>23</v>
      </c>
      <c r="D390" s="4" t="s">
        <v>42</v>
      </c>
      <c r="E390" s="4" t="s">
        <v>52</v>
      </c>
      <c r="F390" s="4" t="s">
        <v>53</v>
      </c>
      <c r="G390" s="4" t="s">
        <v>25</v>
      </c>
      <c r="H390" s="4" t="s">
        <v>25</v>
      </c>
      <c r="I390" s="5">
        <v>44440</v>
      </c>
      <c r="J390" s="6">
        <v>0</v>
      </c>
      <c r="K390" s="6">
        <v>0</v>
      </c>
      <c r="L390" s="6">
        <v>2.012</v>
      </c>
      <c r="M390" s="6">
        <v>0.80479999999999996</v>
      </c>
      <c r="N390" s="6">
        <v>2.012</v>
      </c>
      <c r="O390" s="6">
        <v>0.80479999999999996</v>
      </c>
      <c r="P390" s="6">
        <v>0</v>
      </c>
      <c r="Q390" s="4" t="s">
        <v>26</v>
      </c>
      <c r="R390" s="4">
        <v>0</v>
      </c>
      <c r="S390" s="6">
        <v>0</v>
      </c>
      <c r="T390" s="6">
        <v>62</v>
      </c>
      <c r="U390" s="6">
        <v>23</v>
      </c>
      <c r="V390" s="6">
        <f>IF(ISERROR(VLOOKUP($S$390,'TAR FIN'!$A$1:$O$92,15,0)),0,VLOOKUP($S$390,'TAR FIN'!$A$1:$O$92,15,0))</f>
        <v>0</v>
      </c>
      <c r="W390" s="104">
        <f>IF(ISERROR(VLOOKUP($T$362,'TAR FIN CELESC'!$A$1:$O$92,15,0)),0,VLOOKUP($T$362,'TAR FIN CELESC'!$A$1:$O$92,15,0))</f>
        <v>215.47</v>
      </c>
      <c r="X390" s="104">
        <f>IF(ISERROR(VLOOKUP($U$362,'TAR FIN CELESC'!$A$1:$O$92,15,0)),0,VLOOKUP($U$362,'TAR FIN CELESC'!$A$1:$O$92,15,0))</f>
        <v>252.9</v>
      </c>
      <c r="Y390" s="6"/>
      <c r="Z390" s="6">
        <f ca="1">('TUSD BE'!$AM$37+'TUSD BF_350'!$AM$37+'TUSD CVA'!$AM$37)*(1-CUSTOS!$M$38)</f>
        <v>291.86059999999998</v>
      </c>
      <c r="AA390" s="6">
        <f ca="1">('TE BE'!$AB$25+'TE BF_350'!$AB$25+'TE CVA'!$AB$25)*(1-CUSTOS!$M$38)</f>
        <v>246.77819999999997</v>
      </c>
      <c r="AB390" s="6">
        <f>$K$390*$V$390</f>
        <v>0</v>
      </c>
      <c r="AC390" s="6">
        <f>$M$390*$W$390</f>
        <v>173.410256</v>
      </c>
      <c r="AD390" s="6">
        <f>$O$390*$X$390</f>
        <v>203.53391999999999</v>
      </c>
      <c r="AE390" s="6">
        <f>$K$390*$Y$390</f>
        <v>0</v>
      </c>
      <c r="AF390" s="6">
        <f ca="1">$M$390*$Z$390</f>
        <v>234.88941087999996</v>
      </c>
      <c r="AG390" s="6">
        <f ca="1">$O$390*$AA$390</f>
        <v>198.60709535999996</v>
      </c>
    </row>
    <row r="391" spans="1:33" ht="11.25" customHeight="1" x14ac:dyDescent="0.3">
      <c r="A391" s="4" t="s">
        <v>21</v>
      </c>
      <c r="B391" s="4" t="s">
        <v>41</v>
      </c>
      <c r="C391" s="4" t="s">
        <v>23</v>
      </c>
      <c r="D391" s="4" t="s">
        <v>42</v>
      </c>
      <c r="E391" s="4" t="s">
        <v>52</v>
      </c>
      <c r="F391" s="4" t="s">
        <v>53</v>
      </c>
      <c r="G391" s="4" t="s">
        <v>25</v>
      </c>
      <c r="H391" s="4" t="s">
        <v>25</v>
      </c>
      <c r="I391" s="5">
        <v>44470</v>
      </c>
      <c r="J391" s="6">
        <v>0</v>
      </c>
      <c r="K391" s="6">
        <v>0</v>
      </c>
      <c r="L391" s="6">
        <v>1.7290000000000001</v>
      </c>
      <c r="M391" s="6">
        <v>0.69159999999999999</v>
      </c>
      <c r="N391" s="6">
        <v>1.7290000000000001</v>
      </c>
      <c r="O391" s="6">
        <v>0.69159999999999999</v>
      </c>
      <c r="P391" s="6">
        <v>0</v>
      </c>
      <c r="Q391" s="4" t="s">
        <v>26</v>
      </c>
      <c r="R391" s="4">
        <v>0</v>
      </c>
      <c r="S391" s="6">
        <v>0</v>
      </c>
      <c r="T391" s="6">
        <v>62</v>
      </c>
      <c r="U391" s="6">
        <v>23</v>
      </c>
      <c r="V391" s="6">
        <f>IF(ISERROR(VLOOKUP($S$391,'TAR FIN'!$A$1:$O$92,15,0)),0,VLOOKUP($S$391,'TAR FIN'!$A$1:$O$92,15,0))</f>
        <v>0</v>
      </c>
      <c r="W391" s="104">
        <f>IF(ISERROR(VLOOKUP($T$362,'TAR FIN CELESC'!$A$1:$O$92,15,0)),0,VLOOKUP($T$362,'TAR FIN CELESC'!$A$1:$O$92,15,0))</f>
        <v>215.47</v>
      </c>
      <c r="X391" s="104">
        <f>IF(ISERROR(VLOOKUP($U$362,'TAR FIN CELESC'!$A$1:$O$92,15,0)),0,VLOOKUP($U$362,'TAR FIN CELESC'!$A$1:$O$92,15,0))</f>
        <v>252.9</v>
      </c>
      <c r="Y391" s="6"/>
      <c r="Z391" s="6">
        <f ca="1">('TUSD BE'!$AM$37+'TUSD BF_350'!$AM$37+'TUSD CVA'!$AM$37)*(1-CUSTOS!$M$38)</f>
        <v>291.86059999999998</v>
      </c>
      <c r="AA391" s="6">
        <f ca="1">('TE BE'!$AB$25+'TE BF_350'!$AB$25+'TE CVA'!$AB$25)*(1-CUSTOS!$M$38)</f>
        <v>246.77819999999997</v>
      </c>
      <c r="AB391" s="6">
        <f>$K$391*$V$391</f>
        <v>0</v>
      </c>
      <c r="AC391" s="6">
        <f>$M$391*$W$391</f>
        <v>149.01905199999999</v>
      </c>
      <c r="AD391" s="6">
        <f>$O$391*$X$391</f>
        <v>174.90564000000001</v>
      </c>
      <c r="AE391" s="6">
        <f>$K$391*$Y$391</f>
        <v>0</v>
      </c>
      <c r="AF391" s="6">
        <f ca="1">$M$391*$Z$391</f>
        <v>201.85079095999998</v>
      </c>
      <c r="AG391" s="6">
        <f ca="1">$O$391*$AA$391</f>
        <v>170.67180311999996</v>
      </c>
    </row>
    <row r="392" spans="1:33" ht="11.25" customHeight="1" x14ac:dyDescent="0.3">
      <c r="A392" s="4" t="s">
        <v>21</v>
      </c>
      <c r="B392" s="4" t="s">
        <v>41</v>
      </c>
      <c r="C392" s="4" t="s">
        <v>23</v>
      </c>
      <c r="D392" s="4" t="s">
        <v>42</v>
      </c>
      <c r="E392" s="4" t="s">
        <v>52</v>
      </c>
      <c r="F392" s="4" t="s">
        <v>53</v>
      </c>
      <c r="G392" s="4" t="s">
        <v>25</v>
      </c>
      <c r="H392" s="4" t="s">
        <v>25</v>
      </c>
      <c r="I392" s="5">
        <v>44501</v>
      </c>
      <c r="J392" s="6">
        <v>0</v>
      </c>
      <c r="K392" s="6">
        <v>0</v>
      </c>
      <c r="L392" s="6">
        <v>0.91200000000000003</v>
      </c>
      <c r="M392" s="6">
        <v>0.36480000000000001</v>
      </c>
      <c r="N392" s="6">
        <v>0.91200000000000003</v>
      </c>
      <c r="O392" s="6">
        <v>0.36480000000000001</v>
      </c>
      <c r="P392" s="6">
        <v>0</v>
      </c>
      <c r="Q392" s="4" t="s">
        <v>26</v>
      </c>
      <c r="R392" s="4">
        <v>0</v>
      </c>
      <c r="S392" s="6">
        <v>0</v>
      </c>
      <c r="T392" s="6">
        <v>62</v>
      </c>
      <c r="U392" s="6">
        <v>23</v>
      </c>
      <c r="V392" s="6">
        <f>IF(ISERROR(VLOOKUP($S$392,'TAR FIN'!$A$1:$O$92,15,0)),0,VLOOKUP($S$392,'TAR FIN'!$A$1:$O$92,15,0))</f>
        <v>0</v>
      </c>
      <c r="W392" s="104">
        <f>IF(ISERROR(VLOOKUP($T$362,'TAR FIN CELESC'!$A$1:$O$92,15,0)),0,VLOOKUP($T$362,'TAR FIN CELESC'!$A$1:$O$92,15,0))</f>
        <v>215.47</v>
      </c>
      <c r="X392" s="104">
        <f>IF(ISERROR(VLOOKUP($U$362,'TAR FIN CELESC'!$A$1:$O$92,15,0)),0,VLOOKUP($U$362,'TAR FIN CELESC'!$A$1:$O$92,15,0))</f>
        <v>252.9</v>
      </c>
      <c r="Y392" s="6"/>
      <c r="Z392" s="6">
        <f ca="1">('TUSD BE'!$AM$37+'TUSD BF_350'!$AM$37+'TUSD CVA'!$AM$37)*(1-CUSTOS!$M$38)</f>
        <v>291.86059999999998</v>
      </c>
      <c r="AA392" s="6">
        <f ca="1">('TE BE'!$AB$25+'TE BF_350'!$AB$25+'TE CVA'!$AB$25)*(1-CUSTOS!$M$38)</f>
        <v>246.77819999999997</v>
      </c>
      <c r="AB392" s="6">
        <f>$K$392*$V$392</f>
        <v>0</v>
      </c>
      <c r="AC392" s="6">
        <f>$M$392*$W$392</f>
        <v>78.603456000000008</v>
      </c>
      <c r="AD392" s="6">
        <f>$O$392*$X$392</f>
        <v>92.257919999999999</v>
      </c>
      <c r="AE392" s="6">
        <f>$K$392*$Y$392</f>
        <v>0</v>
      </c>
      <c r="AF392" s="6">
        <f ca="1">$M$392*$Z$392</f>
        <v>106.47074687999999</v>
      </c>
      <c r="AG392" s="6">
        <f ca="1">$O$392*$AA$392</f>
        <v>90.024687359999987</v>
      </c>
    </row>
    <row r="393" spans="1:33" ht="11.25" customHeight="1" x14ac:dyDescent="0.3">
      <c r="A393" s="4" t="s">
        <v>21</v>
      </c>
      <c r="B393" s="4" t="s">
        <v>41</v>
      </c>
      <c r="C393" s="4" t="s">
        <v>23</v>
      </c>
      <c r="D393" s="4" t="s">
        <v>42</v>
      </c>
      <c r="E393" s="4" t="s">
        <v>52</v>
      </c>
      <c r="F393" s="4" t="s">
        <v>53</v>
      </c>
      <c r="G393" s="4" t="s">
        <v>25</v>
      </c>
      <c r="H393" s="4" t="s">
        <v>25</v>
      </c>
      <c r="I393" s="5">
        <v>44531</v>
      </c>
      <c r="J393" s="6">
        <v>0</v>
      </c>
      <c r="K393" s="6">
        <v>0</v>
      </c>
      <c r="L393" s="6">
        <v>1.5309999999999999</v>
      </c>
      <c r="M393" s="6">
        <v>0.61240000000000006</v>
      </c>
      <c r="N393" s="6">
        <v>1.5309999999999999</v>
      </c>
      <c r="O393" s="6">
        <v>0.61240000000000006</v>
      </c>
      <c r="P393" s="6">
        <v>0</v>
      </c>
      <c r="Q393" s="4" t="s">
        <v>26</v>
      </c>
      <c r="R393" s="4">
        <v>0</v>
      </c>
      <c r="S393" s="6">
        <v>0</v>
      </c>
      <c r="T393" s="6">
        <v>62</v>
      </c>
      <c r="U393" s="6">
        <v>23</v>
      </c>
      <c r="V393" s="6">
        <f>IF(ISERROR(VLOOKUP($S$393,'TAR FIN'!$A$1:$O$92,15,0)),0,VLOOKUP($S$393,'TAR FIN'!$A$1:$O$92,15,0))</f>
        <v>0</v>
      </c>
      <c r="W393" s="104">
        <f>IF(ISERROR(VLOOKUP($T$362,'TAR FIN CELESC'!$A$1:$O$92,15,0)),0,VLOOKUP($T$362,'TAR FIN CELESC'!$A$1:$O$92,15,0))</f>
        <v>215.47</v>
      </c>
      <c r="X393" s="104">
        <f>IF(ISERROR(VLOOKUP($U$362,'TAR FIN CELESC'!$A$1:$O$92,15,0)),0,VLOOKUP($U$362,'TAR FIN CELESC'!$A$1:$O$92,15,0))</f>
        <v>252.9</v>
      </c>
      <c r="Y393" s="6"/>
      <c r="Z393" s="6">
        <f ca="1">('TUSD BE'!$AM$37+'TUSD BF_350'!$AM$37+'TUSD CVA'!$AM$37)*(1-CUSTOS!$M$38)</f>
        <v>291.86059999999998</v>
      </c>
      <c r="AA393" s="6">
        <f ca="1">('TE BE'!$AB$25+'TE BF_350'!$AB$25+'TE CVA'!$AB$25)*(1-CUSTOS!$M$38)</f>
        <v>246.77819999999997</v>
      </c>
      <c r="AB393" s="6">
        <f>$K$393*$V$393</f>
        <v>0</v>
      </c>
      <c r="AC393" s="6">
        <f>$M$393*$W$393</f>
        <v>131.95382800000002</v>
      </c>
      <c r="AD393" s="6">
        <f>$O$393*$X$393</f>
        <v>154.87596000000002</v>
      </c>
      <c r="AE393" s="6">
        <f>$K$393*$Y$393</f>
        <v>0</v>
      </c>
      <c r="AF393" s="6">
        <f ca="1">$M$393*$Z$393</f>
        <v>178.73543144000001</v>
      </c>
      <c r="AG393" s="6">
        <f ca="1">$O$393*$AA$393</f>
        <v>151.12696968</v>
      </c>
    </row>
    <row r="394" spans="1:33" ht="11.25" customHeight="1" x14ac:dyDescent="0.3">
      <c r="A394" s="4" t="s">
        <v>21</v>
      </c>
      <c r="B394" s="4" t="s">
        <v>41</v>
      </c>
      <c r="C394" s="4" t="s">
        <v>23</v>
      </c>
      <c r="D394" s="4" t="s">
        <v>42</v>
      </c>
      <c r="E394" s="4" t="s">
        <v>52</v>
      </c>
      <c r="F394" s="4" t="s">
        <v>53</v>
      </c>
      <c r="G394" s="4" t="s">
        <v>25</v>
      </c>
      <c r="H394" s="4" t="s">
        <v>25</v>
      </c>
      <c r="I394" s="5">
        <v>44562</v>
      </c>
      <c r="J394" s="6">
        <v>0</v>
      </c>
      <c r="K394" s="6">
        <v>0</v>
      </c>
      <c r="L394" s="6">
        <v>1.302</v>
      </c>
      <c r="M394" s="6">
        <v>0.52080000000000004</v>
      </c>
      <c r="N394" s="6">
        <v>1.302</v>
      </c>
      <c r="O394" s="6">
        <v>0.52080000000000004</v>
      </c>
      <c r="P394" s="6">
        <v>0</v>
      </c>
      <c r="Q394" s="4" t="s">
        <v>26</v>
      </c>
      <c r="R394" s="4">
        <v>0</v>
      </c>
      <c r="S394" s="6">
        <v>0</v>
      </c>
      <c r="T394" s="6">
        <v>62</v>
      </c>
      <c r="U394" s="6">
        <v>23</v>
      </c>
      <c r="V394" s="6">
        <f>IF(ISERROR(VLOOKUP($S$394,'TAR FIN'!$A$1:$O$92,15,0)),0,VLOOKUP($S$394,'TAR FIN'!$A$1:$O$92,15,0))</f>
        <v>0</v>
      </c>
      <c r="W394" s="104">
        <f>IF(ISERROR(VLOOKUP($T$362,'TAR FIN CELESC'!$A$1:$O$92,15,0)),0,VLOOKUP($T$362,'TAR FIN CELESC'!$A$1:$O$92,15,0))</f>
        <v>215.47</v>
      </c>
      <c r="X394" s="104">
        <f>IF(ISERROR(VLOOKUP($U$362,'TAR FIN CELESC'!$A$1:$O$92,15,0)),0,VLOOKUP($U$362,'TAR FIN CELESC'!$A$1:$O$92,15,0))</f>
        <v>252.9</v>
      </c>
      <c r="Y394" s="6"/>
      <c r="Z394" s="6">
        <f ca="1">('TUSD BE'!$AM$37+'TUSD BF_350'!$AM$37+'TUSD CVA'!$AM$37)*(1-CUSTOS!$M$38)</f>
        <v>291.86059999999998</v>
      </c>
      <c r="AA394" s="6">
        <f ca="1">('TE BE'!$AB$25+'TE BF_350'!$AB$25+'TE CVA'!$AB$25)*(1-CUSTOS!$M$38)</f>
        <v>246.77819999999997</v>
      </c>
      <c r="AB394" s="6">
        <f>$K$394*$V$394</f>
        <v>0</v>
      </c>
      <c r="AC394" s="6">
        <f>$M$394*$W$394</f>
        <v>112.21677600000001</v>
      </c>
      <c r="AD394" s="6">
        <f>$O$394*$X$394</f>
        <v>131.71032000000002</v>
      </c>
      <c r="AE394" s="6">
        <f>$K$394*$Y$394</f>
        <v>0</v>
      </c>
      <c r="AF394" s="6">
        <f ca="1">$M$394*$Z$394</f>
        <v>152.00100047999999</v>
      </c>
      <c r="AG394" s="6">
        <f ca="1">$O$394*$AA$394</f>
        <v>128.52208655999999</v>
      </c>
    </row>
    <row r="395" spans="1:33" ht="11.25" customHeight="1" x14ac:dyDescent="0.3">
      <c r="A395" s="4" t="s">
        <v>21</v>
      </c>
      <c r="B395" s="4" t="s">
        <v>41</v>
      </c>
      <c r="C395" s="4" t="s">
        <v>23</v>
      </c>
      <c r="D395" s="4" t="s">
        <v>42</v>
      </c>
      <c r="E395" s="4" t="s">
        <v>52</v>
      </c>
      <c r="F395" s="4" t="s">
        <v>53</v>
      </c>
      <c r="G395" s="4" t="s">
        <v>25</v>
      </c>
      <c r="H395" s="4" t="s">
        <v>25</v>
      </c>
      <c r="I395" s="5">
        <v>44593</v>
      </c>
      <c r="J395" s="6">
        <v>0</v>
      </c>
      <c r="K395" s="6">
        <v>0</v>
      </c>
      <c r="L395" s="6">
        <v>1.1479999999999999</v>
      </c>
      <c r="M395" s="6">
        <v>0.4592</v>
      </c>
      <c r="N395" s="6">
        <v>1.1479999999999999</v>
      </c>
      <c r="O395" s="6">
        <v>0.4592</v>
      </c>
      <c r="P395" s="6">
        <v>0</v>
      </c>
      <c r="Q395" s="4" t="s">
        <v>26</v>
      </c>
      <c r="R395" s="4">
        <v>0</v>
      </c>
      <c r="S395" s="6">
        <v>0</v>
      </c>
      <c r="T395" s="6">
        <v>62</v>
      </c>
      <c r="U395" s="6">
        <v>23</v>
      </c>
      <c r="V395" s="6">
        <f>IF(ISERROR(VLOOKUP($S$395,'TAR FIN'!$A$1:$O$92,15,0)),0,VLOOKUP($S$395,'TAR FIN'!$A$1:$O$92,15,0))</f>
        <v>0</v>
      </c>
      <c r="W395" s="104">
        <f>IF(ISERROR(VLOOKUP($T$362,'TAR FIN CELESC'!$A$1:$O$92,15,0)),0,VLOOKUP($T$362,'TAR FIN CELESC'!$A$1:$O$92,15,0))</f>
        <v>215.47</v>
      </c>
      <c r="X395" s="104">
        <f>IF(ISERROR(VLOOKUP($U$362,'TAR FIN CELESC'!$A$1:$O$92,15,0)),0,VLOOKUP($U$362,'TAR FIN CELESC'!$A$1:$O$92,15,0))</f>
        <v>252.9</v>
      </c>
      <c r="Y395" s="6"/>
      <c r="Z395" s="6">
        <f ca="1">('TUSD BE'!$AM$37+'TUSD BF_350'!$AM$37+'TUSD CVA'!$AM$37)*(1-CUSTOS!$M$38)</f>
        <v>291.86059999999998</v>
      </c>
      <c r="AA395" s="6">
        <f ca="1">('TE BE'!$AB$25+'TE BF_350'!$AB$25+'TE CVA'!$AB$25)*(1-CUSTOS!$M$38)</f>
        <v>246.77819999999997</v>
      </c>
      <c r="AB395" s="6">
        <f>$K$395*$V$395</f>
        <v>0</v>
      </c>
      <c r="AC395" s="6">
        <f>$M$395*$W$395</f>
        <v>98.943823999999992</v>
      </c>
      <c r="AD395" s="6">
        <f>$O$395*$X$395</f>
        <v>116.13168</v>
      </c>
      <c r="AE395" s="6">
        <f>$K$395*$Y$395</f>
        <v>0</v>
      </c>
      <c r="AF395" s="6">
        <f ca="1">$M$395*$Z$395</f>
        <v>134.02238752</v>
      </c>
      <c r="AG395" s="6">
        <f ca="1">$O$395*$AA$395</f>
        <v>113.32054943999998</v>
      </c>
    </row>
    <row r="396" spans="1:33" ht="11.25" customHeight="1" x14ac:dyDescent="0.3">
      <c r="A396" s="4" t="s">
        <v>21</v>
      </c>
      <c r="B396" s="4" t="s">
        <v>41</v>
      </c>
      <c r="C396" s="4" t="s">
        <v>23</v>
      </c>
      <c r="D396" s="4" t="s">
        <v>42</v>
      </c>
      <c r="E396" s="4" t="s">
        <v>52</v>
      </c>
      <c r="F396" s="4" t="s">
        <v>53</v>
      </c>
      <c r="G396" s="4" t="s">
        <v>25</v>
      </c>
      <c r="H396" s="4" t="s">
        <v>25</v>
      </c>
      <c r="I396" s="5">
        <v>44621</v>
      </c>
      <c r="J396" s="6">
        <v>0</v>
      </c>
      <c r="K396" s="6">
        <v>0</v>
      </c>
      <c r="L396" s="6">
        <v>0.73399999999999999</v>
      </c>
      <c r="M396" s="6">
        <v>0.29360000000000003</v>
      </c>
      <c r="N396" s="6">
        <v>0.73399999999999999</v>
      </c>
      <c r="O396" s="6">
        <v>0.29360000000000003</v>
      </c>
      <c r="P396" s="6">
        <v>0</v>
      </c>
      <c r="Q396" s="4" t="s">
        <v>26</v>
      </c>
      <c r="R396" s="4">
        <v>0</v>
      </c>
      <c r="S396" s="6">
        <v>0</v>
      </c>
      <c r="T396" s="6">
        <v>62</v>
      </c>
      <c r="U396" s="6">
        <v>23</v>
      </c>
      <c r="V396" s="6">
        <f>IF(ISERROR(VLOOKUP($S$396,'TAR FIN'!$A$1:$O$92,15,0)),0,VLOOKUP($S$396,'TAR FIN'!$A$1:$O$92,15,0))</f>
        <v>0</v>
      </c>
      <c r="W396" s="104">
        <f>IF(ISERROR(VLOOKUP($T$362,'TAR FIN CELESC'!$A$1:$O$92,15,0)),0,VLOOKUP($T$362,'TAR FIN CELESC'!$A$1:$O$92,15,0))</f>
        <v>215.47</v>
      </c>
      <c r="X396" s="104">
        <f>IF(ISERROR(VLOOKUP($U$362,'TAR FIN CELESC'!$A$1:$O$92,15,0)),0,VLOOKUP($U$362,'TAR FIN CELESC'!$A$1:$O$92,15,0))</f>
        <v>252.9</v>
      </c>
      <c r="Y396" s="6"/>
      <c r="Z396" s="6">
        <f ca="1">('TUSD BE'!$AM$37+'TUSD BF_350'!$AM$37+'TUSD CVA'!$AM$37)*(1-CUSTOS!$M$38)</f>
        <v>291.86059999999998</v>
      </c>
      <c r="AA396" s="6">
        <f ca="1">('TE BE'!$AB$25+'TE BF_350'!$AB$25+'TE CVA'!$AB$25)*(1-CUSTOS!$M$38)</f>
        <v>246.77819999999997</v>
      </c>
      <c r="AB396" s="6">
        <f>$K$396*$V$396</f>
        <v>0</v>
      </c>
      <c r="AC396" s="6">
        <f>$M$396*$W$396</f>
        <v>63.261992000000006</v>
      </c>
      <c r="AD396" s="6">
        <f>$O$396*$X$396</f>
        <v>74.251440000000002</v>
      </c>
      <c r="AE396" s="6">
        <f>$K$396*$Y$396</f>
        <v>0</v>
      </c>
      <c r="AF396" s="6">
        <f ca="1">$M$396*$Z$396</f>
        <v>85.690272160000006</v>
      </c>
      <c r="AG396" s="6">
        <f ca="1">$O$396*$AA$396</f>
        <v>72.454079519999993</v>
      </c>
    </row>
    <row r="397" spans="1:33" ht="11.25" customHeight="1" x14ac:dyDescent="0.3">
      <c r="A397" s="4" t="s">
        <v>21</v>
      </c>
      <c r="B397" s="4" t="s">
        <v>41</v>
      </c>
      <c r="C397" s="4" t="s">
        <v>23</v>
      </c>
      <c r="D397" s="4" t="s">
        <v>42</v>
      </c>
      <c r="E397" s="4" t="s">
        <v>52</v>
      </c>
      <c r="F397" s="4" t="s">
        <v>53</v>
      </c>
      <c r="G397" s="4" t="s">
        <v>25</v>
      </c>
      <c r="H397" s="4" t="s">
        <v>25</v>
      </c>
      <c r="I397" s="5">
        <v>44652</v>
      </c>
      <c r="J397" s="6">
        <v>0</v>
      </c>
      <c r="K397" s="6">
        <v>0</v>
      </c>
      <c r="L397" s="6">
        <v>0.89300000000000002</v>
      </c>
      <c r="M397" s="6">
        <v>0.35720000000000002</v>
      </c>
      <c r="N397" s="6">
        <v>0.89300000000000002</v>
      </c>
      <c r="O397" s="6">
        <v>0.35720000000000002</v>
      </c>
      <c r="P397" s="6">
        <v>0</v>
      </c>
      <c r="Q397" s="4" t="s">
        <v>26</v>
      </c>
      <c r="R397" s="4">
        <v>0</v>
      </c>
      <c r="S397" s="6">
        <v>0</v>
      </c>
      <c r="T397" s="6">
        <v>62</v>
      </c>
      <c r="U397" s="6">
        <v>23</v>
      </c>
      <c r="V397" s="6">
        <f>IF(ISERROR(VLOOKUP($S$397,'TAR FIN'!$A$1:$O$92,15,0)),0,VLOOKUP($S$397,'TAR FIN'!$A$1:$O$92,15,0))</f>
        <v>0</v>
      </c>
      <c r="W397" s="104">
        <f>IF(ISERROR(VLOOKUP($T$362,'TAR FIN CELESC'!$A$1:$O$92,15,0)),0,VLOOKUP($T$362,'TAR FIN CELESC'!$A$1:$O$92,15,0))</f>
        <v>215.47</v>
      </c>
      <c r="X397" s="104">
        <f>IF(ISERROR(VLOOKUP($U$362,'TAR FIN CELESC'!$A$1:$O$92,15,0)),0,VLOOKUP($U$362,'TAR FIN CELESC'!$A$1:$O$92,15,0))</f>
        <v>252.9</v>
      </c>
      <c r="Y397" s="6"/>
      <c r="Z397" s="6">
        <f ca="1">('TUSD BE'!$AM$37+'TUSD BF_350'!$AM$37+'TUSD CVA'!$AM$37)*(1-CUSTOS!$M$38)</f>
        <v>291.86059999999998</v>
      </c>
      <c r="AA397" s="6">
        <f ca="1">('TE BE'!$AB$25+'TE BF_350'!$AB$25+'TE CVA'!$AB$25)*(1-CUSTOS!$M$38)</f>
        <v>246.77819999999997</v>
      </c>
      <c r="AB397" s="6">
        <f>$K$397*$V$397</f>
        <v>0</v>
      </c>
      <c r="AC397" s="6">
        <f>$M$397*$W$397</f>
        <v>76.965884000000003</v>
      </c>
      <c r="AD397" s="6">
        <f>$O$397*$X$397</f>
        <v>90.335880000000003</v>
      </c>
      <c r="AE397" s="6">
        <f>$K$397*$Y$397</f>
        <v>0</v>
      </c>
      <c r="AF397" s="6">
        <f ca="1">$M$397*$Z$397</f>
        <v>104.25260632</v>
      </c>
      <c r="AG397" s="6">
        <f ca="1">$O$397*$AA$397</f>
        <v>88.149173039999994</v>
      </c>
    </row>
    <row r="398" spans="1:33" ht="11.25" customHeight="1" x14ac:dyDescent="0.3">
      <c r="A398" s="4" t="s">
        <v>21</v>
      </c>
      <c r="B398" s="4" t="s">
        <v>41</v>
      </c>
      <c r="C398" s="4" t="s">
        <v>23</v>
      </c>
      <c r="D398" s="4" t="s">
        <v>42</v>
      </c>
      <c r="E398" s="4" t="s">
        <v>52</v>
      </c>
      <c r="F398" s="4" t="s">
        <v>53</v>
      </c>
      <c r="G398" s="4" t="s">
        <v>25</v>
      </c>
      <c r="H398" s="4" t="s">
        <v>25</v>
      </c>
      <c r="I398" s="5">
        <v>44682</v>
      </c>
      <c r="J398" s="6">
        <v>0</v>
      </c>
      <c r="K398" s="6">
        <v>0</v>
      </c>
      <c r="L398" s="6">
        <v>1.534</v>
      </c>
      <c r="M398" s="6">
        <v>0.61360000000000003</v>
      </c>
      <c r="N398" s="6">
        <v>1.534</v>
      </c>
      <c r="O398" s="6">
        <v>0.61360000000000003</v>
      </c>
      <c r="P398" s="6">
        <v>0</v>
      </c>
      <c r="Q398" s="4" t="s">
        <v>26</v>
      </c>
      <c r="R398" s="4">
        <v>0</v>
      </c>
      <c r="S398" s="6">
        <v>0</v>
      </c>
      <c r="T398" s="6">
        <v>62</v>
      </c>
      <c r="U398" s="6">
        <v>23</v>
      </c>
      <c r="V398" s="6">
        <f>IF(ISERROR(VLOOKUP($S$398,'TAR FIN'!$A$1:$O$92,15,0)),0,VLOOKUP($S$398,'TAR FIN'!$A$1:$O$92,15,0))</f>
        <v>0</v>
      </c>
      <c r="W398" s="104">
        <f>IF(ISERROR(VLOOKUP($T$362,'TAR FIN CELESC'!$A$1:$O$92,15,0)),0,VLOOKUP($T$362,'TAR FIN CELESC'!$A$1:$O$92,15,0))</f>
        <v>215.47</v>
      </c>
      <c r="X398" s="104">
        <f>IF(ISERROR(VLOOKUP($U$362,'TAR FIN CELESC'!$A$1:$O$92,15,0)),0,VLOOKUP($U$362,'TAR FIN CELESC'!$A$1:$O$92,15,0))</f>
        <v>252.9</v>
      </c>
      <c r="Y398" s="6"/>
      <c r="Z398" s="6">
        <f ca="1">('TUSD BE'!$AM$37+'TUSD BF_350'!$AM$37+'TUSD CVA'!$AM$37)*(1-CUSTOS!$M$38)</f>
        <v>291.86059999999998</v>
      </c>
      <c r="AA398" s="6">
        <f ca="1">('TE BE'!$AB$25+'TE BF_350'!$AB$25+'TE CVA'!$AB$25)*(1-CUSTOS!$M$38)</f>
        <v>246.77819999999997</v>
      </c>
      <c r="AB398" s="6">
        <f>$K$398*$V$398</f>
        <v>0</v>
      </c>
      <c r="AC398" s="6">
        <f>$M$398*$W$398</f>
        <v>132.21239199999999</v>
      </c>
      <c r="AD398" s="6">
        <f>$O$398*$X$398</f>
        <v>155.17944</v>
      </c>
      <c r="AE398" s="6">
        <f>$K$398*$Y$398</f>
        <v>0</v>
      </c>
      <c r="AF398" s="6">
        <f ca="1">$M$398*$Z$398</f>
        <v>179.08566415999999</v>
      </c>
      <c r="AG398" s="6">
        <f ca="1">$O$398*$AA$398</f>
        <v>151.42310351999998</v>
      </c>
    </row>
    <row r="399" spans="1:33" ht="11.25" customHeight="1" x14ac:dyDescent="0.3">
      <c r="A399" s="4" t="s">
        <v>21</v>
      </c>
      <c r="B399" s="4" t="s">
        <v>41</v>
      </c>
      <c r="C399" s="4" t="s">
        <v>23</v>
      </c>
      <c r="D399" s="4" t="s">
        <v>42</v>
      </c>
      <c r="E399" s="4" t="s">
        <v>52</v>
      </c>
      <c r="F399" s="4" t="s">
        <v>53</v>
      </c>
      <c r="G399" s="4" t="s">
        <v>25</v>
      </c>
      <c r="H399" s="4" t="s">
        <v>25</v>
      </c>
      <c r="I399" s="5">
        <v>44713</v>
      </c>
      <c r="J399" s="6">
        <v>0</v>
      </c>
      <c r="K399" s="6">
        <v>0</v>
      </c>
      <c r="L399" s="6">
        <v>1.4730000000000001</v>
      </c>
      <c r="M399" s="6">
        <v>0.58919999999999995</v>
      </c>
      <c r="N399" s="6">
        <v>1.4730000000000001</v>
      </c>
      <c r="O399" s="6">
        <v>0.58919999999999995</v>
      </c>
      <c r="P399" s="6">
        <v>0</v>
      </c>
      <c r="Q399" s="4" t="s">
        <v>26</v>
      </c>
      <c r="R399" s="4">
        <v>0</v>
      </c>
      <c r="S399" s="6">
        <v>0</v>
      </c>
      <c r="T399" s="6">
        <v>62</v>
      </c>
      <c r="U399" s="6">
        <v>23</v>
      </c>
      <c r="V399" s="6">
        <f>IF(ISERROR(VLOOKUP($S$399,'TAR FIN'!$A$1:$O$92,15,0)),0,VLOOKUP($S$399,'TAR FIN'!$A$1:$O$92,15,0))</f>
        <v>0</v>
      </c>
      <c r="W399" s="104">
        <f>IF(ISERROR(VLOOKUP($T$362,'TAR FIN CELESC'!$A$1:$O$92,15,0)),0,VLOOKUP($T$362,'TAR FIN CELESC'!$A$1:$O$92,15,0))</f>
        <v>215.47</v>
      </c>
      <c r="X399" s="104">
        <f>IF(ISERROR(VLOOKUP($U$362,'TAR FIN CELESC'!$A$1:$O$92,15,0)),0,VLOOKUP($U$362,'TAR FIN CELESC'!$A$1:$O$92,15,0))</f>
        <v>252.9</v>
      </c>
      <c r="Y399" s="6"/>
      <c r="Z399" s="6">
        <f ca="1">('TUSD BE'!$AM$37+'TUSD BF_350'!$AM$37+'TUSD CVA'!$AM$37)*(1-CUSTOS!$M$38)</f>
        <v>291.86059999999998</v>
      </c>
      <c r="AA399" s="6">
        <f ca="1">('TE BE'!$AB$25+'TE BF_350'!$AB$25+'TE CVA'!$AB$25)*(1-CUSTOS!$M$38)</f>
        <v>246.77819999999997</v>
      </c>
      <c r="AB399" s="6">
        <f>$K$399*$V$399</f>
        <v>0</v>
      </c>
      <c r="AC399" s="6">
        <f>$M$399*$W$399</f>
        <v>126.95492399999999</v>
      </c>
      <c r="AD399" s="6">
        <f>$O$399*$X$399</f>
        <v>149.00868</v>
      </c>
      <c r="AE399" s="6">
        <f>$K$399*$Y$399</f>
        <v>0</v>
      </c>
      <c r="AF399" s="6">
        <f ca="1">$M$399*$Z$399</f>
        <v>171.96426551999997</v>
      </c>
      <c r="AG399" s="6">
        <f ca="1">$O$399*$AA$399</f>
        <v>145.40171543999998</v>
      </c>
    </row>
    <row r="400" spans="1:33" ht="11.25" customHeight="1" x14ac:dyDescent="0.3">
      <c r="A400" s="4" t="s">
        <v>21</v>
      </c>
      <c r="B400" s="4" t="s">
        <v>41</v>
      </c>
      <c r="C400" s="4" t="s">
        <v>23</v>
      </c>
      <c r="D400" s="4" t="s">
        <v>42</v>
      </c>
      <c r="E400" s="4" t="s">
        <v>52</v>
      </c>
      <c r="F400" s="4" t="s">
        <v>53</v>
      </c>
      <c r="G400" s="4" t="s">
        <v>25</v>
      </c>
      <c r="H400" s="4" t="s">
        <v>25</v>
      </c>
      <c r="I400" s="5">
        <v>44743</v>
      </c>
      <c r="J400" s="6">
        <v>0</v>
      </c>
      <c r="K400" s="6">
        <v>0</v>
      </c>
      <c r="L400" s="6">
        <v>0.89500000000000002</v>
      </c>
      <c r="M400" s="6">
        <v>0.35799999999999998</v>
      </c>
      <c r="N400" s="6">
        <v>0.89500000000000002</v>
      </c>
      <c r="O400" s="6">
        <v>0.35799999999999998</v>
      </c>
      <c r="P400" s="6">
        <v>0</v>
      </c>
      <c r="Q400" s="4" t="s">
        <v>26</v>
      </c>
      <c r="R400" s="4">
        <v>0</v>
      </c>
      <c r="S400" s="6">
        <v>0</v>
      </c>
      <c r="T400" s="6">
        <v>62</v>
      </c>
      <c r="U400" s="6">
        <v>23</v>
      </c>
      <c r="V400" s="6">
        <f>IF(ISERROR(VLOOKUP($S$400,'TAR FIN'!$A$1:$O$92,15,0)),0,VLOOKUP($S$400,'TAR FIN'!$A$1:$O$92,15,0))</f>
        <v>0</v>
      </c>
      <c r="W400" s="104">
        <f>IF(ISERROR(VLOOKUP($T$362,'TAR FIN CELESC'!$A$1:$O$92,15,0)),0,VLOOKUP($T$362,'TAR FIN CELESC'!$A$1:$O$92,15,0))</f>
        <v>215.47</v>
      </c>
      <c r="X400" s="104">
        <f>IF(ISERROR(VLOOKUP($U$362,'TAR FIN CELESC'!$A$1:$O$92,15,0)),0,VLOOKUP($U$362,'TAR FIN CELESC'!$A$1:$O$92,15,0))</f>
        <v>252.9</v>
      </c>
      <c r="Y400" s="6"/>
      <c r="Z400" s="6">
        <f ca="1">('TUSD BE'!$AM$37+'TUSD BF_350'!$AM$37+'TUSD CVA'!$AM$37)*(1-CUSTOS!$M$38)</f>
        <v>291.86059999999998</v>
      </c>
      <c r="AA400" s="6">
        <f ca="1">('TE BE'!$AB$25+'TE BF_350'!$AB$25+'TE CVA'!$AB$25)*(1-CUSTOS!$M$38)</f>
        <v>246.77819999999997</v>
      </c>
      <c r="AB400" s="6">
        <f>$K$400*$V$400</f>
        <v>0</v>
      </c>
      <c r="AC400" s="6">
        <f>$M$400*$W$400</f>
        <v>77.138260000000002</v>
      </c>
      <c r="AD400" s="6">
        <f>$O$400*$X$400</f>
        <v>90.538200000000003</v>
      </c>
      <c r="AE400" s="6">
        <f>$K$400*$Y$400</f>
        <v>0</v>
      </c>
      <c r="AF400" s="6">
        <f ca="1">$M$400*$Z$400</f>
        <v>104.48609479999999</v>
      </c>
      <c r="AG400" s="6">
        <f ca="1">$O$400*$AA$400</f>
        <v>88.346595599999986</v>
      </c>
    </row>
    <row r="401" spans="1:33" ht="11.25" customHeight="1" x14ac:dyDescent="0.3">
      <c r="A401" s="4" t="s">
        <v>21</v>
      </c>
      <c r="B401" s="4" t="s">
        <v>41</v>
      </c>
      <c r="C401" s="4" t="s">
        <v>23</v>
      </c>
      <c r="D401" s="4" t="s">
        <v>42</v>
      </c>
      <c r="E401" s="4" t="s">
        <v>25</v>
      </c>
      <c r="F401" s="4" t="s">
        <v>25</v>
      </c>
      <c r="G401" s="4" t="s">
        <v>25</v>
      </c>
      <c r="H401" s="4" t="s">
        <v>25</v>
      </c>
      <c r="I401" s="5">
        <v>44409</v>
      </c>
      <c r="J401" s="6">
        <v>0</v>
      </c>
      <c r="K401" s="6">
        <v>0</v>
      </c>
      <c r="L401" s="6">
        <v>201.24</v>
      </c>
      <c r="M401" s="6">
        <v>201.24</v>
      </c>
      <c r="N401" s="6">
        <v>201.24</v>
      </c>
      <c r="O401" s="6">
        <v>201.24</v>
      </c>
      <c r="P401" s="6">
        <v>794</v>
      </c>
      <c r="Q401" s="4" t="s">
        <v>26</v>
      </c>
      <c r="R401" s="4">
        <v>0</v>
      </c>
      <c r="S401" s="6">
        <v>0</v>
      </c>
      <c r="T401" s="6">
        <v>62</v>
      </c>
      <c r="U401" s="6">
        <v>23</v>
      </c>
      <c r="V401" s="6">
        <f>IF(ISERROR(VLOOKUP($S$401,'TAR FIN'!$A$1:$O$92,15,0)),0,VLOOKUP($S$401,'TAR FIN'!$A$1:$O$92,15,0))</f>
        <v>0</v>
      </c>
      <c r="W401" s="104">
        <f>IF(ISERROR(VLOOKUP($T$362,'TAR FIN CELESC'!$A$1:$O$92,15,0)),0,VLOOKUP($T$362,'TAR FIN CELESC'!$A$1:$O$92,15,0))</f>
        <v>215.47</v>
      </c>
      <c r="X401" s="104">
        <f>IF(ISERROR(VLOOKUP($U$362,'TAR FIN CELESC'!$A$1:$O$92,15,0)),0,VLOOKUP($U$362,'TAR FIN CELESC'!$A$1:$O$92,15,0))</f>
        <v>252.9</v>
      </c>
      <c r="Y401" s="6"/>
      <c r="Z401" s="6">
        <f ca="1">('TUSD BE'!$AM$37+'TUSD BF_350'!$AM$37+'TUSD CVA'!$AM$37)*(1-CUSTOS!$M$38)</f>
        <v>291.86059999999998</v>
      </c>
      <c r="AA401" s="6">
        <f ca="1">('TE BE'!$AB$25+'TE BF_350'!$AB$25+'TE CVA'!$AB$25)*(1-CUSTOS!$M$38)</f>
        <v>246.77819999999997</v>
      </c>
      <c r="AB401" s="6">
        <f>$K$401*$V$401</f>
        <v>0</v>
      </c>
      <c r="AC401" s="6">
        <f>$M$401*$W$401</f>
        <v>43361.182800000002</v>
      </c>
      <c r="AD401" s="6">
        <f>$O$401*$X$401</f>
        <v>50893.596000000005</v>
      </c>
      <c r="AE401" s="6">
        <f>$K$401*$Y$401</f>
        <v>0</v>
      </c>
      <c r="AF401" s="6">
        <f ca="1">$M$401*$Z$401</f>
        <v>58734.027144</v>
      </c>
      <c r="AG401" s="6">
        <f ca="1">$O$401*$AA$401</f>
        <v>49661.644967999993</v>
      </c>
    </row>
    <row r="402" spans="1:33" ht="11.25" customHeight="1" x14ac:dyDescent="0.3">
      <c r="A402" s="4" t="s">
        <v>27</v>
      </c>
      <c r="B402" s="4" t="s">
        <v>41</v>
      </c>
      <c r="C402" s="4" t="s">
        <v>23</v>
      </c>
      <c r="D402" s="4" t="s">
        <v>42</v>
      </c>
      <c r="E402" s="4" t="s">
        <v>25</v>
      </c>
      <c r="F402" s="4" t="s">
        <v>25</v>
      </c>
      <c r="G402" s="4" t="s">
        <v>25</v>
      </c>
      <c r="H402" s="4" t="s">
        <v>25</v>
      </c>
      <c r="I402" s="5">
        <v>44409</v>
      </c>
      <c r="J402" s="6">
        <v>0</v>
      </c>
      <c r="K402" s="6">
        <v>0</v>
      </c>
      <c r="L402" s="6">
        <v>4.51</v>
      </c>
      <c r="M402" s="6">
        <v>4.51</v>
      </c>
      <c r="N402" s="6">
        <v>4.51</v>
      </c>
      <c r="O402" s="6">
        <v>4.51</v>
      </c>
      <c r="P402" s="6">
        <v>32</v>
      </c>
      <c r="Q402" s="4" t="s">
        <v>26</v>
      </c>
      <c r="R402" s="4">
        <v>0</v>
      </c>
      <c r="S402" s="6">
        <v>0</v>
      </c>
      <c r="T402" s="6">
        <v>62</v>
      </c>
      <c r="U402" s="6">
        <v>23</v>
      </c>
      <c r="V402" s="6">
        <f>IF(ISERROR(VLOOKUP($S$402,'TAR FIN'!$A$1:$O$92,15,0)),0,VLOOKUP($S$402,'TAR FIN'!$A$1:$O$92,15,0))</f>
        <v>0</v>
      </c>
      <c r="W402" s="104">
        <f>IF(ISERROR(VLOOKUP($T$362,'TAR FIN CELESC'!$A$1:$O$92,15,0)),0,VLOOKUP($T$362,'TAR FIN CELESC'!$A$1:$O$92,15,0))</f>
        <v>215.47</v>
      </c>
      <c r="X402" s="104">
        <f>IF(ISERROR(VLOOKUP($U$362,'TAR FIN CELESC'!$A$1:$O$92,15,0)),0,VLOOKUP($U$362,'TAR FIN CELESC'!$A$1:$O$92,15,0))</f>
        <v>252.9</v>
      </c>
      <c r="Y402" s="6"/>
      <c r="Z402" s="6">
        <f ca="1">('TUSD BE'!$AM$37+'TUSD BF_350'!$AM$37+'TUSD CVA'!$AM$37)*(1-CUSTOS!$M$38)</f>
        <v>291.86059999999998</v>
      </c>
      <c r="AA402" s="6">
        <f ca="1">('TE BE'!$AB$25+'TE BF_350'!$AB$25+'TE CVA'!$AB$25)*(1-CUSTOS!$M$38)</f>
        <v>246.77819999999997</v>
      </c>
      <c r="AB402" s="6">
        <f>$K$402*$V$402</f>
        <v>0</v>
      </c>
      <c r="AC402" s="6">
        <f>$M$402*$W$402</f>
        <v>971.76969999999994</v>
      </c>
      <c r="AD402" s="6">
        <f>$O$402*$X$402</f>
        <v>1140.579</v>
      </c>
      <c r="AE402" s="6">
        <f>$K$402*$Y$402</f>
        <v>0</v>
      </c>
      <c r="AF402" s="6">
        <f ca="1">$M$402*$Z$402</f>
        <v>1316.2913059999998</v>
      </c>
      <c r="AG402" s="6">
        <f ca="1">$O$402*$AA$402</f>
        <v>1112.9696819999999</v>
      </c>
    </row>
    <row r="403" spans="1:33" ht="11.25" customHeight="1" x14ac:dyDescent="0.3">
      <c r="A403" s="4" t="s">
        <v>21</v>
      </c>
      <c r="B403" s="4" t="s">
        <v>41</v>
      </c>
      <c r="C403" s="4" t="s">
        <v>23</v>
      </c>
      <c r="D403" s="4" t="s">
        <v>42</v>
      </c>
      <c r="E403" s="4" t="s">
        <v>25</v>
      </c>
      <c r="F403" s="4" t="s">
        <v>25</v>
      </c>
      <c r="G403" s="4" t="s">
        <v>25</v>
      </c>
      <c r="H403" s="4" t="s">
        <v>25</v>
      </c>
      <c r="I403" s="5">
        <v>44440</v>
      </c>
      <c r="J403" s="6">
        <v>0</v>
      </c>
      <c r="K403" s="6">
        <v>0</v>
      </c>
      <c r="L403" s="6">
        <v>228.11099999999999</v>
      </c>
      <c r="M403" s="6">
        <v>228.11099999999999</v>
      </c>
      <c r="N403" s="6">
        <v>228.11099999999999</v>
      </c>
      <c r="O403" s="6">
        <v>228.11099999999999</v>
      </c>
      <c r="P403" s="6">
        <v>791</v>
      </c>
      <c r="Q403" s="4" t="s">
        <v>26</v>
      </c>
      <c r="R403" s="4">
        <v>0</v>
      </c>
      <c r="S403" s="6">
        <v>0</v>
      </c>
      <c r="T403" s="6">
        <v>62</v>
      </c>
      <c r="U403" s="6">
        <v>23</v>
      </c>
      <c r="V403" s="6">
        <f>IF(ISERROR(VLOOKUP($S$403,'TAR FIN'!$A$1:$O$92,15,0)),0,VLOOKUP($S$403,'TAR FIN'!$A$1:$O$92,15,0))</f>
        <v>0</v>
      </c>
      <c r="W403" s="104">
        <f>IF(ISERROR(VLOOKUP($T$362,'TAR FIN CELESC'!$A$1:$O$92,15,0)),0,VLOOKUP($T$362,'TAR FIN CELESC'!$A$1:$O$92,15,0))</f>
        <v>215.47</v>
      </c>
      <c r="X403" s="104">
        <f>IF(ISERROR(VLOOKUP($U$362,'TAR FIN CELESC'!$A$1:$O$92,15,0)),0,VLOOKUP($U$362,'TAR FIN CELESC'!$A$1:$O$92,15,0))</f>
        <v>252.9</v>
      </c>
      <c r="Y403" s="6"/>
      <c r="Z403" s="6">
        <f ca="1">('TUSD BE'!$AM$37+'TUSD BF_350'!$AM$37+'TUSD CVA'!$AM$37)*(1-CUSTOS!$M$38)</f>
        <v>291.86059999999998</v>
      </c>
      <c r="AA403" s="6">
        <f ca="1">('TE BE'!$AB$25+'TE BF_350'!$AB$25+'TE CVA'!$AB$25)*(1-CUSTOS!$M$38)</f>
        <v>246.77819999999997</v>
      </c>
      <c r="AB403" s="6">
        <f>$K$403*$V$403</f>
        <v>0</v>
      </c>
      <c r="AC403" s="6">
        <f>$M$403*$W$403</f>
        <v>49151.077169999997</v>
      </c>
      <c r="AD403" s="6">
        <f>$O$403*$X$403</f>
        <v>57689.2719</v>
      </c>
      <c r="AE403" s="6">
        <f>$K$403*$Y$403</f>
        <v>0</v>
      </c>
      <c r="AF403" s="6">
        <f ca="1">$M$403*$Z$403</f>
        <v>66576.613326599996</v>
      </c>
      <c r="AG403" s="6">
        <f ca="1">$O$403*$AA$403</f>
        <v>56292.821980199988</v>
      </c>
    </row>
    <row r="404" spans="1:33" ht="11.25" customHeight="1" x14ac:dyDescent="0.3">
      <c r="A404" s="4" t="s">
        <v>27</v>
      </c>
      <c r="B404" s="4" t="s">
        <v>41</v>
      </c>
      <c r="C404" s="4" t="s">
        <v>23</v>
      </c>
      <c r="D404" s="4" t="s">
        <v>42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44440</v>
      </c>
      <c r="J404" s="6">
        <v>0</v>
      </c>
      <c r="K404" s="6">
        <v>0</v>
      </c>
      <c r="L404" s="6">
        <v>7.26</v>
      </c>
      <c r="M404" s="6">
        <v>7.26</v>
      </c>
      <c r="N404" s="6">
        <v>7.26</v>
      </c>
      <c r="O404" s="6">
        <v>7.26</v>
      </c>
      <c r="P404" s="6">
        <v>33</v>
      </c>
      <c r="Q404" s="4" t="s">
        <v>26</v>
      </c>
      <c r="R404" s="4">
        <v>0</v>
      </c>
      <c r="S404" s="6">
        <v>0</v>
      </c>
      <c r="T404" s="6">
        <v>62</v>
      </c>
      <c r="U404" s="6">
        <v>23</v>
      </c>
      <c r="V404" s="6">
        <f>IF(ISERROR(VLOOKUP($S$404,'TAR FIN'!$A$1:$O$92,15,0)),0,VLOOKUP($S$404,'TAR FIN'!$A$1:$O$92,15,0))</f>
        <v>0</v>
      </c>
      <c r="W404" s="104">
        <f>IF(ISERROR(VLOOKUP($T$362,'TAR FIN CELESC'!$A$1:$O$92,15,0)),0,VLOOKUP($T$362,'TAR FIN CELESC'!$A$1:$O$92,15,0))</f>
        <v>215.47</v>
      </c>
      <c r="X404" s="104">
        <f>IF(ISERROR(VLOOKUP($U$362,'TAR FIN CELESC'!$A$1:$O$92,15,0)),0,VLOOKUP($U$362,'TAR FIN CELESC'!$A$1:$O$92,15,0))</f>
        <v>252.9</v>
      </c>
      <c r="Y404" s="6"/>
      <c r="Z404" s="6">
        <f ca="1">('TUSD BE'!$AM$37+'TUSD BF_350'!$AM$37+'TUSD CVA'!$AM$37)*(1-CUSTOS!$M$38)</f>
        <v>291.86059999999998</v>
      </c>
      <c r="AA404" s="6">
        <f ca="1">('TE BE'!$AB$25+'TE BF_350'!$AB$25+'TE CVA'!$AB$25)*(1-CUSTOS!$M$38)</f>
        <v>246.77819999999997</v>
      </c>
      <c r="AB404" s="6">
        <f>$K$404*$V$404</f>
        <v>0</v>
      </c>
      <c r="AC404" s="6">
        <f>$M$404*$W$404</f>
        <v>1564.3121999999998</v>
      </c>
      <c r="AD404" s="6">
        <f>$O$404*$X$404</f>
        <v>1836.0540000000001</v>
      </c>
      <c r="AE404" s="6">
        <f>$K$404*$Y$404</f>
        <v>0</v>
      </c>
      <c r="AF404" s="6">
        <f ca="1">$M$404*$Z$404</f>
        <v>2118.9079559999996</v>
      </c>
      <c r="AG404" s="6">
        <f ca="1">$O$404*$AA$404</f>
        <v>1791.6097319999997</v>
      </c>
    </row>
    <row r="405" spans="1:33" ht="11.25" customHeight="1" x14ac:dyDescent="0.3">
      <c r="A405" s="4" t="s">
        <v>21</v>
      </c>
      <c r="B405" s="4" t="s">
        <v>41</v>
      </c>
      <c r="C405" s="4" t="s">
        <v>23</v>
      </c>
      <c r="D405" s="4" t="s">
        <v>42</v>
      </c>
      <c r="E405" s="4" t="s">
        <v>25</v>
      </c>
      <c r="F405" s="4" t="s">
        <v>25</v>
      </c>
      <c r="G405" s="4" t="s">
        <v>25</v>
      </c>
      <c r="H405" s="4" t="s">
        <v>25</v>
      </c>
      <c r="I405" s="5">
        <v>44470</v>
      </c>
      <c r="J405" s="6">
        <v>0</v>
      </c>
      <c r="K405" s="6">
        <v>0</v>
      </c>
      <c r="L405" s="6">
        <v>223.05</v>
      </c>
      <c r="M405" s="6">
        <v>223.05</v>
      </c>
      <c r="N405" s="6">
        <v>223.05</v>
      </c>
      <c r="O405" s="6">
        <v>223.05</v>
      </c>
      <c r="P405" s="6">
        <v>797</v>
      </c>
      <c r="Q405" s="4" t="s">
        <v>26</v>
      </c>
      <c r="R405" s="4">
        <v>0</v>
      </c>
      <c r="S405" s="6">
        <v>0</v>
      </c>
      <c r="T405" s="6">
        <v>62</v>
      </c>
      <c r="U405" s="6">
        <v>23</v>
      </c>
      <c r="V405" s="6">
        <f>IF(ISERROR(VLOOKUP($S$405,'TAR FIN'!$A$1:$O$92,15,0)),0,VLOOKUP($S$405,'TAR FIN'!$A$1:$O$92,15,0))</f>
        <v>0</v>
      </c>
      <c r="W405" s="104">
        <f>IF(ISERROR(VLOOKUP($T$362,'TAR FIN CELESC'!$A$1:$O$92,15,0)),0,VLOOKUP($T$362,'TAR FIN CELESC'!$A$1:$O$92,15,0))</f>
        <v>215.47</v>
      </c>
      <c r="X405" s="104">
        <f>IF(ISERROR(VLOOKUP($U$362,'TAR FIN CELESC'!$A$1:$O$92,15,0)),0,VLOOKUP($U$362,'TAR FIN CELESC'!$A$1:$O$92,15,0))</f>
        <v>252.9</v>
      </c>
      <c r="Y405" s="6"/>
      <c r="Z405" s="6">
        <f ca="1">('TUSD BE'!$AM$37+'TUSD BF_350'!$AM$37+'TUSD CVA'!$AM$37)*(1-CUSTOS!$M$38)</f>
        <v>291.86059999999998</v>
      </c>
      <c r="AA405" s="6">
        <f ca="1">('TE BE'!$AB$25+'TE BF_350'!$AB$25+'TE CVA'!$AB$25)*(1-CUSTOS!$M$38)</f>
        <v>246.77819999999997</v>
      </c>
      <c r="AB405" s="6">
        <f>$K$405*$V$405</f>
        <v>0</v>
      </c>
      <c r="AC405" s="6">
        <f>$M$405*$W$405</f>
        <v>48060.583500000001</v>
      </c>
      <c r="AD405" s="6">
        <f>$O$405*$X$405</f>
        <v>56409.345000000001</v>
      </c>
      <c r="AE405" s="6">
        <f>$K$405*$Y$405</f>
        <v>0</v>
      </c>
      <c r="AF405" s="6">
        <f ca="1">$M$405*$Z$405</f>
        <v>65099.506829999998</v>
      </c>
      <c r="AG405" s="6">
        <f ca="1">$O$405*$AA$405</f>
        <v>55043.877509999998</v>
      </c>
    </row>
    <row r="406" spans="1:33" ht="11.25" customHeight="1" x14ac:dyDescent="0.3">
      <c r="A406" s="4" t="s">
        <v>27</v>
      </c>
      <c r="B406" s="4" t="s">
        <v>41</v>
      </c>
      <c r="C406" s="4" t="s">
        <v>23</v>
      </c>
      <c r="D406" s="4" t="s">
        <v>42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44470</v>
      </c>
      <c r="J406" s="6">
        <v>0</v>
      </c>
      <c r="K406" s="6">
        <v>0</v>
      </c>
      <c r="L406" s="6">
        <v>10.824</v>
      </c>
      <c r="M406" s="6">
        <v>10.824</v>
      </c>
      <c r="N406" s="6">
        <v>10.824</v>
      </c>
      <c r="O406" s="6">
        <v>10.824</v>
      </c>
      <c r="P406" s="6">
        <v>33</v>
      </c>
      <c r="Q406" s="4" t="s">
        <v>26</v>
      </c>
      <c r="R406" s="4">
        <v>0</v>
      </c>
      <c r="S406" s="6">
        <v>0</v>
      </c>
      <c r="T406" s="6">
        <v>62</v>
      </c>
      <c r="U406" s="6">
        <v>23</v>
      </c>
      <c r="V406" s="6">
        <f>IF(ISERROR(VLOOKUP($S$406,'TAR FIN'!$A$1:$O$92,15,0)),0,VLOOKUP($S$406,'TAR FIN'!$A$1:$O$92,15,0))</f>
        <v>0</v>
      </c>
      <c r="W406" s="104">
        <f>IF(ISERROR(VLOOKUP($T$362,'TAR FIN CELESC'!$A$1:$O$92,15,0)),0,VLOOKUP($T$362,'TAR FIN CELESC'!$A$1:$O$92,15,0))</f>
        <v>215.47</v>
      </c>
      <c r="X406" s="104">
        <f>IF(ISERROR(VLOOKUP($U$362,'TAR FIN CELESC'!$A$1:$O$92,15,0)),0,VLOOKUP($U$362,'TAR FIN CELESC'!$A$1:$O$92,15,0))</f>
        <v>252.9</v>
      </c>
      <c r="Y406" s="6"/>
      <c r="Z406" s="6">
        <f ca="1">('TUSD BE'!$AM$37+'TUSD BF_350'!$AM$37+'TUSD CVA'!$AM$37)*(1-CUSTOS!$M$38)</f>
        <v>291.86059999999998</v>
      </c>
      <c r="AA406" s="6">
        <f ca="1">('TE BE'!$AB$25+'TE BF_350'!$AB$25+'TE CVA'!$AB$25)*(1-CUSTOS!$M$38)</f>
        <v>246.77819999999997</v>
      </c>
      <c r="AB406" s="6">
        <f>$K$406*$V$406</f>
        <v>0</v>
      </c>
      <c r="AC406" s="6">
        <f>$M$406*$W$406</f>
        <v>2332.24728</v>
      </c>
      <c r="AD406" s="6">
        <f>$O$406*$X$406</f>
        <v>2737.3896</v>
      </c>
      <c r="AE406" s="6">
        <f>$K$406*$Y$406</f>
        <v>0</v>
      </c>
      <c r="AF406" s="6">
        <f ca="1">$M$406*$Z$406</f>
        <v>3159.0991343999999</v>
      </c>
      <c r="AG406" s="6">
        <f ca="1">$O$406*$AA$406</f>
        <v>2671.1272367999995</v>
      </c>
    </row>
    <row r="407" spans="1:33" ht="11.25" customHeight="1" x14ac:dyDescent="0.3">
      <c r="A407" s="4" t="s">
        <v>21</v>
      </c>
      <c r="B407" s="4" t="s">
        <v>41</v>
      </c>
      <c r="C407" s="4" t="s">
        <v>23</v>
      </c>
      <c r="D407" s="4" t="s">
        <v>42</v>
      </c>
      <c r="E407" s="4" t="s">
        <v>25</v>
      </c>
      <c r="F407" s="4" t="s">
        <v>25</v>
      </c>
      <c r="G407" s="4" t="s">
        <v>25</v>
      </c>
      <c r="H407" s="4" t="s">
        <v>25</v>
      </c>
      <c r="I407" s="5">
        <v>44501</v>
      </c>
      <c r="J407" s="6">
        <v>0</v>
      </c>
      <c r="K407" s="6">
        <v>0</v>
      </c>
      <c r="L407" s="6">
        <v>284.45699999999999</v>
      </c>
      <c r="M407" s="6">
        <v>284.45699999999999</v>
      </c>
      <c r="N407" s="6">
        <v>284.45699999999999</v>
      </c>
      <c r="O407" s="6">
        <v>284.45699999999999</v>
      </c>
      <c r="P407" s="6">
        <v>797</v>
      </c>
      <c r="Q407" s="4" t="s">
        <v>26</v>
      </c>
      <c r="R407" s="4">
        <v>0</v>
      </c>
      <c r="S407" s="6">
        <v>0</v>
      </c>
      <c r="T407" s="6">
        <v>62</v>
      </c>
      <c r="U407" s="6">
        <v>23</v>
      </c>
      <c r="V407" s="6">
        <f>IF(ISERROR(VLOOKUP($S$407,'TAR FIN'!$A$1:$O$92,15,0)),0,VLOOKUP($S$407,'TAR FIN'!$A$1:$O$92,15,0))</f>
        <v>0</v>
      </c>
      <c r="W407" s="104">
        <f>IF(ISERROR(VLOOKUP($T$362,'TAR FIN CELESC'!$A$1:$O$92,15,0)),0,VLOOKUP($T$362,'TAR FIN CELESC'!$A$1:$O$92,15,0))</f>
        <v>215.47</v>
      </c>
      <c r="X407" s="104">
        <f>IF(ISERROR(VLOOKUP($U$362,'TAR FIN CELESC'!$A$1:$O$92,15,0)),0,VLOOKUP($U$362,'TAR FIN CELESC'!$A$1:$O$92,15,0))</f>
        <v>252.9</v>
      </c>
      <c r="Y407" s="6"/>
      <c r="Z407" s="6">
        <f ca="1">('TUSD BE'!$AM$37+'TUSD BF_350'!$AM$37+'TUSD CVA'!$AM$37)*(1-CUSTOS!$M$38)</f>
        <v>291.86059999999998</v>
      </c>
      <c r="AA407" s="6">
        <f ca="1">('TE BE'!$AB$25+'TE BF_350'!$AB$25+'TE CVA'!$AB$25)*(1-CUSTOS!$M$38)</f>
        <v>246.77819999999997</v>
      </c>
      <c r="AB407" s="6">
        <f>$K$407*$V$407</f>
        <v>0</v>
      </c>
      <c r="AC407" s="6">
        <f>$M$407*$W$407</f>
        <v>61291.949789999999</v>
      </c>
      <c r="AD407" s="6">
        <f>$O$407*$X$407</f>
        <v>71939.175300000003</v>
      </c>
      <c r="AE407" s="6">
        <f>$K$407*$Y$407</f>
        <v>0</v>
      </c>
      <c r="AF407" s="6">
        <f ca="1">$M$407*$Z$407</f>
        <v>83021.790694199997</v>
      </c>
      <c r="AG407" s="6">
        <f ca="1">$O$407*$AA$407</f>
        <v>70197.786437399991</v>
      </c>
    </row>
    <row r="408" spans="1:33" ht="11.25" customHeight="1" x14ac:dyDescent="0.3">
      <c r="A408" s="4" t="s">
        <v>27</v>
      </c>
      <c r="B408" s="4" t="s">
        <v>41</v>
      </c>
      <c r="C408" s="4" t="s">
        <v>23</v>
      </c>
      <c r="D408" s="4" t="s">
        <v>42</v>
      </c>
      <c r="E408" s="4" t="s">
        <v>25</v>
      </c>
      <c r="F408" s="4" t="s">
        <v>25</v>
      </c>
      <c r="G408" s="4" t="s">
        <v>25</v>
      </c>
      <c r="H408" s="4" t="s">
        <v>25</v>
      </c>
      <c r="I408" s="5">
        <v>44501</v>
      </c>
      <c r="J408" s="6">
        <v>0</v>
      </c>
      <c r="K408" s="6">
        <v>0</v>
      </c>
      <c r="L408" s="6">
        <v>16.957999999999998</v>
      </c>
      <c r="M408" s="6">
        <v>16.957999999999998</v>
      </c>
      <c r="N408" s="6">
        <v>16.957999999999998</v>
      </c>
      <c r="O408" s="6">
        <v>16.957999999999998</v>
      </c>
      <c r="P408" s="6">
        <v>33</v>
      </c>
      <c r="Q408" s="4" t="s">
        <v>26</v>
      </c>
      <c r="R408" s="4">
        <v>0</v>
      </c>
      <c r="S408" s="6">
        <v>0</v>
      </c>
      <c r="T408" s="6">
        <v>62</v>
      </c>
      <c r="U408" s="6">
        <v>23</v>
      </c>
      <c r="V408" s="6">
        <f>IF(ISERROR(VLOOKUP($S$408,'TAR FIN'!$A$1:$O$92,15,0)),0,VLOOKUP($S$408,'TAR FIN'!$A$1:$O$92,15,0))</f>
        <v>0</v>
      </c>
      <c r="W408" s="104">
        <f>IF(ISERROR(VLOOKUP($T$362,'TAR FIN CELESC'!$A$1:$O$92,15,0)),0,VLOOKUP($T$362,'TAR FIN CELESC'!$A$1:$O$92,15,0))</f>
        <v>215.47</v>
      </c>
      <c r="X408" s="104">
        <f>IF(ISERROR(VLOOKUP($U$362,'TAR FIN CELESC'!$A$1:$O$92,15,0)),0,VLOOKUP($U$362,'TAR FIN CELESC'!$A$1:$O$92,15,0))</f>
        <v>252.9</v>
      </c>
      <c r="Y408" s="6"/>
      <c r="Z408" s="6">
        <f ca="1">('TUSD BE'!$AM$37+'TUSD BF_350'!$AM$37+'TUSD CVA'!$AM$37)*(1-CUSTOS!$M$38)</f>
        <v>291.86059999999998</v>
      </c>
      <c r="AA408" s="6">
        <f ca="1">('TE BE'!$AB$25+'TE BF_350'!$AB$25+'TE CVA'!$AB$25)*(1-CUSTOS!$M$38)</f>
        <v>246.77819999999997</v>
      </c>
      <c r="AB408" s="6">
        <f>$K$408*$V$408</f>
        <v>0</v>
      </c>
      <c r="AC408" s="6">
        <f>$M$408*$W$408</f>
        <v>3653.9402599999999</v>
      </c>
      <c r="AD408" s="6">
        <f>$O$408*$X$408</f>
        <v>4288.6781999999994</v>
      </c>
      <c r="AE408" s="6">
        <f>$K$408*$Y$408</f>
        <v>0</v>
      </c>
      <c r="AF408" s="6">
        <f ca="1">$M$408*$Z$408</f>
        <v>4949.3720547999992</v>
      </c>
      <c r="AG408" s="6">
        <f ca="1">$O$408*$AA$408</f>
        <v>4184.8647155999988</v>
      </c>
    </row>
    <row r="409" spans="1:33" ht="11.25" customHeight="1" x14ac:dyDescent="0.3">
      <c r="A409" s="4" t="s">
        <v>21</v>
      </c>
      <c r="B409" s="4" t="s">
        <v>41</v>
      </c>
      <c r="C409" s="4" t="s">
        <v>23</v>
      </c>
      <c r="D409" s="4" t="s">
        <v>42</v>
      </c>
      <c r="E409" s="4" t="s">
        <v>25</v>
      </c>
      <c r="F409" s="4" t="s">
        <v>25</v>
      </c>
      <c r="G409" s="4" t="s">
        <v>25</v>
      </c>
      <c r="H409" s="4" t="s">
        <v>25</v>
      </c>
      <c r="I409" s="5">
        <v>44531</v>
      </c>
      <c r="J409" s="6">
        <v>0</v>
      </c>
      <c r="K409" s="6">
        <v>0</v>
      </c>
      <c r="L409" s="6">
        <v>345.952</v>
      </c>
      <c r="M409" s="6">
        <v>345.952</v>
      </c>
      <c r="N409" s="6">
        <v>345.952</v>
      </c>
      <c r="O409" s="6">
        <v>345.952</v>
      </c>
      <c r="P409" s="6">
        <v>797</v>
      </c>
      <c r="Q409" s="4" t="s">
        <v>26</v>
      </c>
      <c r="R409" s="4">
        <v>0</v>
      </c>
      <c r="S409" s="6">
        <v>0</v>
      </c>
      <c r="T409" s="6">
        <v>62</v>
      </c>
      <c r="U409" s="6">
        <v>23</v>
      </c>
      <c r="V409" s="6">
        <f>IF(ISERROR(VLOOKUP($S$409,'TAR FIN'!$A$1:$O$92,15,0)),0,VLOOKUP($S$409,'TAR FIN'!$A$1:$O$92,15,0))</f>
        <v>0</v>
      </c>
      <c r="W409" s="104">
        <f>IF(ISERROR(VLOOKUP($T$362,'TAR FIN CELESC'!$A$1:$O$92,15,0)),0,VLOOKUP($T$362,'TAR FIN CELESC'!$A$1:$O$92,15,0))</f>
        <v>215.47</v>
      </c>
      <c r="X409" s="104">
        <f>IF(ISERROR(VLOOKUP($U$362,'TAR FIN CELESC'!$A$1:$O$92,15,0)),0,VLOOKUP($U$362,'TAR FIN CELESC'!$A$1:$O$92,15,0))</f>
        <v>252.9</v>
      </c>
      <c r="Y409" s="6"/>
      <c r="Z409" s="6">
        <f ca="1">('TUSD BE'!$AM$37+'TUSD BF_350'!$AM$37+'TUSD CVA'!$AM$37)*(1-CUSTOS!$M$38)</f>
        <v>291.86059999999998</v>
      </c>
      <c r="AA409" s="6">
        <f ca="1">('TE BE'!$AB$25+'TE BF_350'!$AB$25+'TE CVA'!$AB$25)*(1-CUSTOS!$M$38)</f>
        <v>246.77819999999997</v>
      </c>
      <c r="AB409" s="6">
        <f>$K$409*$V$409</f>
        <v>0</v>
      </c>
      <c r="AC409" s="6">
        <f>$M$409*$W$409</f>
        <v>74542.277440000005</v>
      </c>
      <c r="AD409" s="6">
        <f>$O$409*$X$409</f>
        <v>87491.260800000004</v>
      </c>
      <c r="AE409" s="6">
        <f>$K$409*$Y$409</f>
        <v>0</v>
      </c>
      <c r="AF409" s="6">
        <f ca="1">$M$409*$Z$409</f>
        <v>100969.75829119999</v>
      </c>
      <c r="AG409" s="6">
        <f ca="1">$O$409*$AA$409</f>
        <v>85373.411846399991</v>
      </c>
    </row>
    <row r="410" spans="1:33" ht="11.25" customHeight="1" x14ac:dyDescent="0.3">
      <c r="A410" s="4" t="s">
        <v>27</v>
      </c>
      <c r="B410" s="4" t="s">
        <v>41</v>
      </c>
      <c r="C410" s="4" t="s">
        <v>23</v>
      </c>
      <c r="D410" s="4" t="s">
        <v>42</v>
      </c>
      <c r="E410" s="4" t="s">
        <v>25</v>
      </c>
      <c r="F410" s="4" t="s">
        <v>25</v>
      </c>
      <c r="G410" s="4" t="s">
        <v>25</v>
      </c>
      <c r="H410" s="4" t="s">
        <v>25</v>
      </c>
      <c r="I410" s="5">
        <v>44531</v>
      </c>
      <c r="J410" s="6">
        <v>0</v>
      </c>
      <c r="K410" s="6">
        <v>0</v>
      </c>
      <c r="L410" s="6">
        <v>36.584000000000003</v>
      </c>
      <c r="M410" s="6">
        <v>36.584000000000003</v>
      </c>
      <c r="N410" s="6">
        <v>36.584000000000003</v>
      </c>
      <c r="O410" s="6">
        <v>36.584000000000003</v>
      </c>
      <c r="P410" s="6">
        <v>34</v>
      </c>
      <c r="Q410" s="4" t="s">
        <v>26</v>
      </c>
      <c r="R410" s="4">
        <v>0</v>
      </c>
      <c r="S410" s="6">
        <v>0</v>
      </c>
      <c r="T410" s="6">
        <v>62</v>
      </c>
      <c r="U410" s="6">
        <v>23</v>
      </c>
      <c r="V410" s="6">
        <f>IF(ISERROR(VLOOKUP($S$410,'TAR FIN'!$A$1:$O$92,15,0)),0,VLOOKUP($S$410,'TAR FIN'!$A$1:$O$92,15,0))</f>
        <v>0</v>
      </c>
      <c r="W410" s="104">
        <f>IF(ISERROR(VLOOKUP($T$362,'TAR FIN CELESC'!$A$1:$O$92,15,0)),0,VLOOKUP($T$362,'TAR FIN CELESC'!$A$1:$O$92,15,0))</f>
        <v>215.47</v>
      </c>
      <c r="X410" s="104">
        <f>IF(ISERROR(VLOOKUP($U$362,'TAR FIN CELESC'!$A$1:$O$92,15,0)),0,VLOOKUP($U$362,'TAR FIN CELESC'!$A$1:$O$92,15,0))</f>
        <v>252.9</v>
      </c>
      <c r="Y410" s="6"/>
      <c r="Z410" s="6">
        <f ca="1">('TUSD BE'!$AM$37+'TUSD BF_350'!$AM$37+'TUSD CVA'!$AM$37)*(1-CUSTOS!$M$38)</f>
        <v>291.86059999999998</v>
      </c>
      <c r="AA410" s="6">
        <f ca="1">('TE BE'!$AB$25+'TE BF_350'!$AB$25+'TE CVA'!$AB$25)*(1-CUSTOS!$M$38)</f>
        <v>246.77819999999997</v>
      </c>
      <c r="AB410" s="6">
        <f>$K$410*$V$410</f>
        <v>0</v>
      </c>
      <c r="AC410" s="6">
        <f>$M$410*$W$410</f>
        <v>7882.7544800000005</v>
      </c>
      <c r="AD410" s="6">
        <f>$O$410*$X$410</f>
        <v>9252.0936000000002</v>
      </c>
      <c r="AE410" s="6">
        <f>$K$410*$Y$410</f>
        <v>0</v>
      </c>
      <c r="AF410" s="6">
        <f ca="1">$M$410*$Z$410</f>
        <v>10677.4281904</v>
      </c>
      <c r="AG410" s="6">
        <f ca="1">$O$410*$AA$410</f>
        <v>9028.1336687999992</v>
      </c>
    </row>
    <row r="411" spans="1:33" ht="11.25" customHeight="1" x14ac:dyDescent="0.3">
      <c r="A411" s="4" t="s">
        <v>21</v>
      </c>
      <c r="B411" s="4" t="s">
        <v>41</v>
      </c>
      <c r="C411" s="4" t="s">
        <v>23</v>
      </c>
      <c r="D411" s="4" t="s">
        <v>42</v>
      </c>
      <c r="E411" s="4" t="s">
        <v>25</v>
      </c>
      <c r="F411" s="4" t="s">
        <v>25</v>
      </c>
      <c r="G411" s="4" t="s">
        <v>25</v>
      </c>
      <c r="H411" s="4" t="s">
        <v>25</v>
      </c>
      <c r="I411" s="5">
        <v>44562</v>
      </c>
      <c r="J411" s="6">
        <v>0</v>
      </c>
      <c r="K411" s="6">
        <v>0</v>
      </c>
      <c r="L411" s="6">
        <v>302.08199999999999</v>
      </c>
      <c r="M411" s="6">
        <v>302.08199999999999</v>
      </c>
      <c r="N411" s="6">
        <v>302.08199999999999</v>
      </c>
      <c r="O411" s="6">
        <v>302.08199999999999</v>
      </c>
      <c r="P411" s="6">
        <v>792</v>
      </c>
      <c r="Q411" s="4" t="s">
        <v>26</v>
      </c>
      <c r="R411" s="4">
        <v>0</v>
      </c>
      <c r="S411" s="6">
        <v>0</v>
      </c>
      <c r="T411" s="6">
        <v>62</v>
      </c>
      <c r="U411" s="6">
        <v>23</v>
      </c>
      <c r="V411" s="6">
        <f>IF(ISERROR(VLOOKUP($S$411,'TAR FIN'!$A$1:$O$92,15,0)),0,VLOOKUP($S$411,'TAR FIN'!$A$1:$O$92,15,0))</f>
        <v>0</v>
      </c>
      <c r="W411" s="104">
        <f>IF(ISERROR(VLOOKUP($T$362,'TAR FIN CELESC'!$A$1:$O$92,15,0)),0,VLOOKUP($T$362,'TAR FIN CELESC'!$A$1:$O$92,15,0))</f>
        <v>215.47</v>
      </c>
      <c r="X411" s="104">
        <f>IF(ISERROR(VLOOKUP($U$362,'TAR FIN CELESC'!$A$1:$O$92,15,0)),0,VLOOKUP($U$362,'TAR FIN CELESC'!$A$1:$O$92,15,0))</f>
        <v>252.9</v>
      </c>
      <c r="Y411" s="6"/>
      <c r="Z411" s="6">
        <f ca="1">('TUSD BE'!$AM$37+'TUSD BF_350'!$AM$37+'TUSD CVA'!$AM$37)*(1-CUSTOS!$M$38)</f>
        <v>291.86059999999998</v>
      </c>
      <c r="AA411" s="6">
        <f ca="1">('TE BE'!$AB$25+'TE BF_350'!$AB$25+'TE CVA'!$AB$25)*(1-CUSTOS!$M$38)</f>
        <v>246.77819999999997</v>
      </c>
      <c r="AB411" s="6">
        <f>$K$411*$V$411</f>
        <v>0</v>
      </c>
      <c r="AC411" s="6">
        <f>$M$411*$W$411</f>
        <v>65089.608540000001</v>
      </c>
      <c r="AD411" s="6">
        <f>$O$411*$X$411</f>
        <v>76396.537800000006</v>
      </c>
      <c r="AE411" s="6">
        <f>$K$411*$Y$411</f>
        <v>0</v>
      </c>
      <c r="AF411" s="6">
        <f ca="1">$M$411*$Z$411</f>
        <v>88165.833769199991</v>
      </c>
      <c r="AG411" s="6">
        <f ca="1">$O$411*$AA$411</f>
        <v>74547.252212399995</v>
      </c>
    </row>
    <row r="412" spans="1:33" ht="11.25" customHeight="1" x14ac:dyDescent="0.3">
      <c r="A412" s="4" t="s">
        <v>27</v>
      </c>
      <c r="B412" s="4" t="s">
        <v>41</v>
      </c>
      <c r="C412" s="4" t="s">
        <v>23</v>
      </c>
      <c r="D412" s="4" t="s">
        <v>42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44562</v>
      </c>
      <c r="J412" s="6">
        <v>0</v>
      </c>
      <c r="K412" s="6">
        <v>0</v>
      </c>
      <c r="L412" s="6">
        <v>26.65</v>
      </c>
      <c r="M412" s="6">
        <v>26.65</v>
      </c>
      <c r="N412" s="6">
        <v>26.65</v>
      </c>
      <c r="O412" s="6">
        <v>26.65</v>
      </c>
      <c r="P412" s="6">
        <v>38</v>
      </c>
      <c r="Q412" s="4" t="s">
        <v>26</v>
      </c>
      <c r="R412" s="4">
        <v>0</v>
      </c>
      <c r="S412" s="6">
        <v>0</v>
      </c>
      <c r="T412" s="6">
        <v>62</v>
      </c>
      <c r="U412" s="6">
        <v>23</v>
      </c>
      <c r="V412" s="6">
        <f>IF(ISERROR(VLOOKUP($S$412,'TAR FIN'!$A$1:$O$92,15,0)),0,VLOOKUP($S$412,'TAR FIN'!$A$1:$O$92,15,0))</f>
        <v>0</v>
      </c>
      <c r="W412" s="104">
        <f>IF(ISERROR(VLOOKUP($T$362,'TAR FIN CELESC'!$A$1:$O$92,15,0)),0,VLOOKUP($T$362,'TAR FIN CELESC'!$A$1:$O$92,15,0))</f>
        <v>215.47</v>
      </c>
      <c r="X412" s="104">
        <f>IF(ISERROR(VLOOKUP($U$362,'TAR FIN CELESC'!$A$1:$O$92,15,0)),0,VLOOKUP($U$362,'TAR FIN CELESC'!$A$1:$O$92,15,0))</f>
        <v>252.9</v>
      </c>
      <c r="Y412" s="6"/>
      <c r="Z412" s="6">
        <f ca="1">('TUSD BE'!$AM$37+'TUSD BF_350'!$AM$37+'TUSD CVA'!$AM$37)*(1-CUSTOS!$M$38)</f>
        <v>291.86059999999998</v>
      </c>
      <c r="AA412" s="6">
        <f ca="1">('TE BE'!$AB$25+'TE BF_350'!$AB$25+'TE CVA'!$AB$25)*(1-CUSTOS!$M$38)</f>
        <v>246.77819999999997</v>
      </c>
      <c r="AB412" s="6">
        <f>$K$412*$V$412</f>
        <v>0</v>
      </c>
      <c r="AC412" s="6">
        <f>$M$412*$W$412</f>
        <v>5742.2754999999997</v>
      </c>
      <c r="AD412" s="6">
        <f>$O$412*$X$412</f>
        <v>6739.7849999999999</v>
      </c>
      <c r="AE412" s="6">
        <f>$K$412*$Y$412</f>
        <v>0</v>
      </c>
      <c r="AF412" s="6">
        <f ca="1">$M$412*$Z$412</f>
        <v>7778.0849899999994</v>
      </c>
      <c r="AG412" s="6">
        <f ca="1">$O$412*$AA$412</f>
        <v>6576.6390299999985</v>
      </c>
    </row>
    <row r="413" spans="1:33" ht="11.25" customHeight="1" x14ac:dyDescent="0.3">
      <c r="A413" s="4" t="s">
        <v>21</v>
      </c>
      <c r="B413" s="4" t="s">
        <v>41</v>
      </c>
      <c r="C413" s="4" t="s">
        <v>23</v>
      </c>
      <c r="D413" s="4" t="s">
        <v>42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44593</v>
      </c>
      <c r="J413" s="6">
        <v>0</v>
      </c>
      <c r="K413" s="6">
        <v>0</v>
      </c>
      <c r="L413" s="6">
        <v>276.39600000000002</v>
      </c>
      <c r="M413" s="6">
        <v>276.39600000000002</v>
      </c>
      <c r="N413" s="6">
        <v>276.39600000000002</v>
      </c>
      <c r="O413" s="6">
        <v>276.39600000000002</v>
      </c>
      <c r="P413" s="6">
        <v>790</v>
      </c>
      <c r="Q413" s="4" t="s">
        <v>26</v>
      </c>
      <c r="R413" s="4">
        <v>0</v>
      </c>
      <c r="S413" s="6">
        <v>0</v>
      </c>
      <c r="T413" s="6">
        <v>62</v>
      </c>
      <c r="U413" s="6">
        <v>23</v>
      </c>
      <c r="V413" s="6">
        <f>IF(ISERROR(VLOOKUP($S$413,'TAR FIN'!$A$1:$O$92,15,0)),0,VLOOKUP($S$413,'TAR FIN'!$A$1:$O$92,15,0))</f>
        <v>0</v>
      </c>
      <c r="W413" s="104">
        <f>IF(ISERROR(VLOOKUP($T$362,'TAR FIN CELESC'!$A$1:$O$92,15,0)),0,VLOOKUP($T$362,'TAR FIN CELESC'!$A$1:$O$92,15,0))</f>
        <v>215.47</v>
      </c>
      <c r="X413" s="104">
        <f>IF(ISERROR(VLOOKUP($U$362,'TAR FIN CELESC'!$A$1:$O$92,15,0)),0,VLOOKUP($U$362,'TAR FIN CELESC'!$A$1:$O$92,15,0))</f>
        <v>252.9</v>
      </c>
      <c r="Y413" s="6"/>
      <c r="Z413" s="6">
        <f ca="1">('TUSD BE'!$AM$37+'TUSD BF_350'!$AM$37+'TUSD CVA'!$AM$37)*(1-CUSTOS!$M$38)</f>
        <v>291.86059999999998</v>
      </c>
      <c r="AA413" s="6">
        <f ca="1">('TE BE'!$AB$25+'TE BF_350'!$AB$25+'TE CVA'!$AB$25)*(1-CUSTOS!$M$38)</f>
        <v>246.77819999999997</v>
      </c>
      <c r="AB413" s="6">
        <f>$K$413*$V$413</f>
        <v>0</v>
      </c>
      <c r="AC413" s="6">
        <f>$M$413*$W$413</f>
        <v>59555.046120000006</v>
      </c>
      <c r="AD413" s="6">
        <f>$O$413*$X$413</f>
        <v>69900.5484</v>
      </c>
      <c r="AE413" s="6">
        <f>$K$413*$Y$413</f>
        <v>0</v>
      </c>
      <c r="AF413" s="6">
        <f ca="1">$M$413*$Z$413</f>
        <v>80669.1023976</v>
      </c>
      <c r="AG413" s="6">
        <f ca="1">$O$413*$AA$413</f>
        <v>68208.5073672</v>
      </c>
    </row>
    <row r="414" spans="1:33" ht="11.25" customHeight="1" x14ac:dyDescent="0.3">
      <c r="A414" s="4" t="s">
        <v>27</v>
      </c>
      <c r="B414" s="4" t="s">
        <v>41</v>
      </c>
      <c r="C414" s="4" t="s">
        <v>23</v>
      </c>
      <c r="D414" s="4" t="s">
        <v>42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44593</v>
      </c>
      <c r="J414" s="6">
        <v>0</v>
      </c>
      <c r="K414" s="6">
        <v>0</v>
      </c>
      <c r="L414" s="6">
        <v>38.256999999999998</v>
      </c>
      <c r="M414" s="6">
        <v>38.256999999999998</v>
      </c>
      <c r="N414" s="6">
        <v>38.256999999999998</v>
      </c>
      <c r="O414" s="6">
        <v>38.256999999999998</v>
      </c>
      <c r="P414" s="6">
        <v>38</v>
      </c>
      <c r="Q414" s="4" t="s">
        <v>26</v>
      </c>
      <c r="R414" s="4">
        <v>0</v>
      </c>
      <c r="S414" s="6">
        <v>0</v>
      </c>
      <c r="T414" s="6">
        <v>62</v>
      </c>
      <c r="U414" s="6">
        <v>23</v>
      </c>
      <c r="V414" s="6">
        <f>IF(ISERROR(VLOOKUP($S$414,'TAR FIN'!$A$1:$O$92,15,0)),0,VLOOKUP($S$414,'TAR FIN'!$A$1:$O$92,15,0))</f>
        <v>0</v>
      </c>
      <c r="W414" s="104">
        <f>IF(ISERROR(VLOOKUP($T$362,'TAR FIN CELESC'!$A$1:$O$92,15,0)),0,VLOOKUP($T$362,'TAR FIN CELESC'!$A$1:$O$92,15,0))</f>
        <v>215.47</v>
      </c>
      <c r="X414" s="104">
        <f>IF(ISERROR(VLOOKUP($U$362,'TAR FIN CELESC'!$A$1:$O$92,15,0)),0,VLOOKUP($U$362,'TAR FIN CELESC'!$A$1:$O$92,15,0))</f>
        <v>252.9</v>
      </c>
      <c r="Y414" s="6"/>
      <c r="Z414" s="6">
        <f ca="1">('TUSD BE'!$AM$37+'TUSD BF_350'!$AM$37+'TUSD CVA'!$AM$37)*(1-CUSTOS!$M$38)</f>
        <v>291.86059999999998</v>
      </c>
      <c r="AA414" s="6">
        <f ca="1">('TE BE'!$AB$25+'TE BF_350'!$AB$25+'TE CVA'!$AB$25)*(1-CUSTOS!$M$38)</f>
        <v>246.77819999999997</v>
      </c>
      <c r="AB414" s="6">
        <f>$K$414*$V$414</f>
        <v>0</v>
      </c>
      <c r="AC414" s="6">
        <f>$M$414*$W$414</f>
        <v>8243.2357899999988</v>
      </c>
      <c r="AD414" s="6">
        <f>$O$414*$X$414</f>
        <v>9675.1952999999994</v>
      </c>
      <c r="AE414" s="6">
        <f>$K$414*$Y$414</f>
        <v>0</v>
      </c>
      <c r="AF414" s="6">
        <f ca="1">$M$414*$Z$414</f>
        <v>11165.710974199999</v>
      </c>
      <c r="AG414" s="6">
        <f ca="1">$O$414*$AA$414</f>
        <v>9440.9935973999982</v>
      </c>
    </row>
    <row r="415" spans="1:33" ht="11.25" customHeight="1" x14ac:dyDescent="0.3">
      <c r="A415" s="4" t="s">
        <v>21</v>
      </c>
      <c r="B415" s="4" t="s">
        <v>41</v>
      </c>
      <c r="C415" s="4" t="s">
        <v>23</v>
      </c>
      <c r="D415" s="4" t="s">
        <v>42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44621</v>
      </c>
      <c r="J415" s="6">
        <v>0</v>
      </c>
      <c r="K415" s="6">
        <v>0</v>
      </c>
      <c r="L415" s="6">
        <v>228.57900000000001</v>
      </c>
      <c r="M415" s="6">
        <v>228.57900000000001</v>
      </c>
      <c r="N415" s="6">
        <v>228.57900000000001</v>
      </c>
      <c r="O415" s="6">
        <v>228.57900000000001</v>
      </c>
      <c r="P415" s="6">
        <v>788</v>
      </c>
      <c r="Q415" s="4" t="s">
        <v>26</v>
      </c>
      <c r="R415" s="4">
        <v>0</v>
      </c>
      <c r="S415" s="6">
        <v>0</v>
      </c>
      <c r="T415" s="6">
        <v>62</v>
      </c>
      <c r="U415" s="6">
        <v>23</v>
      </c>
      <c r="V415" s="6">
        <f>IF(ISERROR(VLOOKUP($S$415,'TAR FIN'!$A$1:$O$92,15,0)),0,VLOOKUP($S$415,'TAR FIN'!$A$1:$O$92,15,0))</f>
        <v>0</v>
      </c>
      <c r="W415" s="104">
        <f>IF(ISERROR(VLOOKUP($T$362,'TAR FIN CELESC'!$A$1:$O$92,15,0)),0,VLOOKUP($T$362,'TAR FIN CELESC'!$A$1:$O$92,15,0))</f>
        <v>215.47</v>
      </c>
      <c r="X415" s="104">
        <f>IF(ISERROR(VLOOKUP($U$362,'TAR FIN CELESC'!$A$1:$O$92,15,0)),0,VLOOKUP($U$362,'TAR FIN CELESC'!$A$1:$O$92,15,0))</f>
        <v>252.9</v>
      </c>
      <c r="Y415" s="6"/>
      <c r="Z415" s="6">
        <f ca="1">('TUSD BE'!$AM$37+'TUSD BF_350'!$AM$37+'TUSD CVA'!$AM$37)*(1-CUSTOS!$M$38)</f>
        <v>291.86059999999998</v>
      </c>
      <c r="AA415" s="6">
        <f ca="1">('TE BE'!$AB$25+'TE BF_350'!$AB$25+'TE CVA'!$AB$25)*(1-CUSTOS!$M$38)</f>
        <v>246.77819999999997</v>
      </c>
      <c r="AB415" s="6">
        <f>$K$415*$V$415</f>
        <v>0</v>
      </c>
      <c r="AC415" s="6">
        <f>$M$415*$W$415</f>
        <v>49251.917130000002</v>
      </c>
      <c r="AD415" s="6">
        <f>$O$415*$X$415</f>
        <v>57807.629100000006</v>
      </c>
      <c r="AE415" s="6">
        <f>$K$415*$Y$415</f>
        <v>0</v>
      </c>
      <c r="AF415" s="6">
        <f ca="1">$M$415*$Z$415</f>
        <v>66713.204087399994</v>
      </c>
      <c r="AG415" s="6">
        <f ca="1">$O$415*$AA$415</f>
        <v>56408.314177799992</v>
      </c>
    </row>
    <row r="416" spans="1:33" ht="11.25" customHeight="1" x14ac:dyDescent="0.3">
      <c r="A416" s="4" t="s">
        <v>27</v>
      </c>
      <c r="B416" s="4" t="s">
        <v>41</v>
      </c>
      <c r="C416" s="4" t="s">
        <v>23</v>
      </c>
      <c r="D416" s="4" t="s">
        <v>42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44621</v>
      </c>
      <c r="J416" s="6">
        <v>0</v>
      </c>
      <c r="K416" s="6">
        <v>0</v>
      </c>
      <c r="L416" s="6">
        <v>8.7840000000000007</v>
      </c>
      <c r="M416" s="6">
        <v>8.7840000000000007</v>
      </c>
      <c r="N416" s="6">
        <v>8.7840000000000007</v>
      </c>
      <c r="O416" s="6">
        <v>8.7840000000000007</v>
      </c>
      <c r="P416" s="6">
        <v>38</v>
      </c>
      <c r="Q416" s="4" t="s">
        <v>26</v>
      </c>
      <c r="R416" s="4">
        <v>0</v>
      </c>
      <c r="S416" s="6">
        <v>0</v>
      </c>
      <c r="T416" s="6">
        <v>62</v>
      </c>
      <c r="U416" s="6">
        <v>23</v>
      </c>
      <c r="V416" s="6">
        <f>IF(ISERROR(VLOOKUP($S$416,'TAR FIN'!$A$1:$O$92,15,0)),0,VLOOKUP($S$416,'TAR FIN'!$A$1:$O$92,15,0))</f>
        <v>0</v>
      </c>
      <c r="W416" s="104">
        <f>IF(ISERROR(VLOOKUP($T$362,'TAR FIN CELESC'!$A$1:$O$92,15,0)),0,VLOOKUP($T$362,'TAR FIN CELESC'!$A$1:$O$92,15,0))</f>
        <v>215.47</v>
      </c>
      <c r="X416" s="104">
        <f>IF(ISERROR(VLOOKUP($U$362,'TAR FIN CELESC'!$A$1:$O$92,15,0)),0,VLOOKUP($U$362,'TAR FIN CELESC'!$A$1:$O$92,15,0))</f>
        <v>252.9</v>
      </c>
      <c r="Y416" s="6"/>
      <c r="Z416" s="6">
        <f ca="1">('TUSD BE'!$AM$37+'TUSD BF_350'!$AM$37+'TUSD CVA'!$AM$37)*(1-CUSTOS!$M$38)</f>
        <v>291.86059999999998</v>
      </c>
      <c r="AA416" s="6">
        <f ca="1">('TE BE'!$AB$25+'TE BF_350'!$AB$25+'TE CVA'!$AB$25)*(1-CUSTOS!$M$38)</f>
        <v>246.77819999999997</v>
      </c>
      <c r="AB416" s="6">
        <f>$K$416*$V$416</f>
        <v>0</v>
      </c>
      <c r="AC416" s="6">
        <f>$M$416*$W$416</f>
        <v>1892.68848</v>
      </c>
      <c r="AD416" s="6">
        <f>$O$416*$X$416</f>
        <v>2221.4736000000003</v>
      </c>
      <c r="AE416" s="6">
        <f>$K$416*$Y$416</f>
        <v>0</v>
      </c>
      <c r="AF416" s="6">
        <f ca="1">$M$416*$Z$416</f>
        <v>2563.7035104000001</v>
      </c>
      <c r="AG416" s="6">
        <f ca="1">$O$416*$AA$416</f>
        <v>2167.6997087999998</v>
      </c>
    </row>
    <row r="417" spans="1:33" ht="11.25" customHeight="1" x14ac:dyDescent="0.3">
      <c r="A417" s="4" t="s">
        <v>21</v>
      </c>
      <c r="B417" s="4" t="s">
        <v>41</v>
      </c>
      <c r="C417" s="4" t="s">
        <v>23</v>
      </c>
      <c r="D417" s="4" t="s">
        <v>42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44652</v>
      </c>
      <c r="J417" s="6">
        <v>0</v>
      </c>
      <c r="K417" s="6">
        <v>0</v>
      </c>
      <c r="L417" s="6">
        <v>197.05199999999999</v>
      </c>
      <c r="M417" s="6">
        <v>197.05199999999999</v>
      </c>
      <c r="N417" s="6">
        <v>197.05199999999999</v>
      </c>
      <c r="O417" s="6">
        <v>197.05199999999999</v>
      </c>
      <c r="P417" s="6">
        <v>790</v>
      </c>
      <c r="Q417" s="4" t="s">
        <v>26</v>
      </c>
      <c r="R417" s="4">
        <v>0</v>
      </c>
      <c r="S417" s="6">
        <v>0</v>
      </c>
      <c r="T417" s="6">
        <v>62</v>
      </c>
      <c r="U417" s="6">
        <v>23</v>
      </c>
      <c r="V417" s="6">
        <f>IF(ISERROR(VLOOKUP($S$417,'TAR FIN'!$A$1:$O$92,15,0)),0,VLOOKUP($S$417,'TAR FIN'!$A$1:$O$92,15,0))</f>
        <v>0</v>
      </c>
      <c r="W417" s="104">
        <f>IF(ISERROR(VLOOKUP($T$362,'TAR FIN CELESC'!$A$1:$O$92,15,0)),0,VLOOKUP($T$362,'TAR FIN CELESC'!$A$1:$O$92,15,0))</f>
        <v>215.47</v>
      </c>
      <c r="X417" s="104">
        <f>IF(ISERROR(VLOOKUP($U$362,'TAR FIN CELESC'!$A$1:$O$92,15,0)),0,VLOOKUP($U$362,'TAR FIN CELESC'!$A$1:$O$92,15,0))</f>
        <v>252.9</v>
      </c>
      <c r="Y417" s="6"/>
      <c r="Z417" s="6">
        <f ca="1">('TUSD BE'!$AM$37+'TUSD BF_350'!$AM$37+'TUSD CVA'!$AM$37)*(1-CUSTOS!$M$38)</f>
        <v>291.86059999999998</v>
      </c>
      <c r="AA417" s="6">
        <f ca="1">('TE BE'!$AB$25+'TE BF_350'!$AB$25+'TE CVA'!$AB$25)*(1-CUSTOS!$M$38)</f>
        <v>246.77819999999997</v>
      </c>
      <c r="AB417" s="6">
        <f>$K$417*$V$417</f>
        <v>0</v>
      </c>
      <c r="AC417" s="6">
        <f>$M$417*$W$417</f>
        <v>42458.794439999998</v>
      </c>
      <c r="AD417" s="6">
        <f>$O$417*$X$417</f>
        <v>49834.450799999999</v>
      </c>
      <c r="AE417" s="6">
        <f>$K$417*$Y$417</f>
        <v>0</v>
      </c>
      <c r="AF417" s="6">
        <f ca="1">$M$417*$Z$417</f>
        <v>57511.714951199996</v>
      </c>
      <c r="AG417" s="6">
        <f ca="1">$O$417*$AA$417</f>
        <v>48628.137866399993</v>
      </c>
    </row>
    <row r="418" spans="1:33" ht="11.25" customHeight="1" x14ac:dyDescent="0.3">
      <c r="A418" s="4" t="s">
        <v>27</v>
      </c>
      <c r="B418" s="4" t="s">
        <v>41</v>
      </c>
      <c r="C418" s="4" t="s">
        <v>23</v>
      </c>
      <c r="D418" s="4" t="s">
        <v>42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44652</v>
      </c>
      <c r="J418" s="6">
        <v>0</v>
      </c>
      <c r="K418" s="6">
        <v>0</v>
      </c>
      <c r="L418" s="6">
        <v>13.965999999999999</v>
      </c>
      <c r="M418" s="6">
        <v>13.965999999999999</v>
      </c>
      <c r="N418" s="6">
        <v>13.965999999999999</v>
      </c>
      <c r="O418" s="6">
        <v>13.965999999999999</v>
      </c>
      <c r="P418" s="6">
        <v>39</v>
      </c>
      <c r="Q418" s="4" t="s">
        <v>26</v>
      </c>
      <c r="R418" s="4">
        <v>0</v>
      </c>
      <c r="S418" s="6">
        <v>0</v>
      </c>
      <c r="T418" s="6">
        <v>62</v>
      </c>
      <c r="U418" s="6">
        <v>23</v>
      </c>
      <c r="V418" s="6">
        <f>IF(ISERROR(VLOOKUP($S$418,'TAR FIN'!$A$1:$O$92,15,0)),0,VLOOKUP($S$418,'TAR FIN'!$A$1:$O$92,15,0))</f>
        <v>0</v>
      </c>
      <c r="W418" s="104">
        <f>IF(ISERROR(VLOOKUP($T$362,'TAR FIN CELESC'!$A$1:$O$92,15,0)),0,VLOOKUP($T$362,'TAR FIN CELESC'!$A$1:$O$92,15,0))</f>
        <v>215.47</v>
      </c>
      <c r="X418" s="104">
        <f>IF(ISERROR(VLOOKUP($U$362,'TAR FIN CELESC'!$A$1:$O$92,15,0)),0,VLOOKUP($U$362,'TAR FIN CELESC'!$A$1:$O$92,15,0))</f>
        <v>252.9</v>
      </c>
      <c r="Y418" s="6"/>
      <c r="Z418" s="6">
        <f ca="1">('TUSD BE'!$AM$37+'TUSD BF_350'!$AM$37+'TUSD CVA'!$AM$37)*(1-CUSTOS!$M$38)</f>
        <v>291.86059999999998</v>
      </c>
      <c r="AA418" s="6">
        <f ca="1">('TE BE'!$AB$25+'TE BF_350'!$AB$25+'TE CVA'!$AB$25)*(1-CUSTOS!$M$38)</f>
        <v>246.77819999999997</v>
      </c>
      <c r="AB418" s="6">
        <f>$K$418*$V$418</f>
        <v>0</v>
      </c>
      <c r="AC418" s="6">
        <f>$M$418*$W$418</f>
        <v>3009.2540199999999</v>
      </c>
      <c r="AD418" s="6">
        <f>$O$418*$X$418</f>
        <v>3532.0014000000001</v>
      </c>
      <c r="AE418" s="6">
        <f>$K$418*$Y$418</f>
        <v>0</v>
      </c>
      <c r="AF418" s="6">
        <f ca="1">$M$418*$Z$418</f>
        <v>4076.1251395999993</v>
      </c>
      <c r="AG418" s="6">
        <f ca="1">$O$418*$AA$418</f>
        <v>3446.5043411999995</v>
      </c>
    </row>
    <row r="419" spans="1:33" ht="11.25" customHeight="1" x14ac:dyDescent="0.3">
      <c r="A419" s="4" t="s">
        <v>21</v>
      </c>
      <c r="B419" s="4" t="s">
        <v>41</v>
      </c>
      <c r="C419" s="4" t="s">
        <v>23</v>
      </c>
      <c r="D419" s="4" t="s">
        <v>42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44682</v>
      </c>
      <c r="J419" s="6">
        <v>0</v>
      </c>
      <c r="K419" s="6">
        <v>0</v>
      </c>
      <c r="L419" s="6">
        <v>186.18</v>
      </c>
      <c r="M419" s="6">
        <v>186.18</v>
      </c>
      <c r="N419" s="6">
        <v>186.18</v>
      </c>
      <c r="O419" s="6">
        <v>186.18</v>
      </c>
      <c r="P419" s="6">
        <v>789</v>
      </c>
      <c r="Q419" s="4" t="s">
        <v>26</v>
      </c>
      <c r="R419" s="4">
        <v>0</v>
      </c>
      <c r="S419" s="6">
        <v>0</v>
      </c>
      <c r="T419" s="6">
        <v>62</v>
      </c>
      <c r="U419" s="6">
        <v>23</v>
      </c>
      <c r="V419" s="6">
        <f>IF(ISERROR(VLOOKUP($S$419,'TAR FIN'!$A$1:$O$92,15,0)),0,VLOOKUP($S$419,'TAR FIN'!$A$1:$O$92,15,0))</f>
        <v>0</v>
      </c>
      <c r="W419" s="104">
        <f>IF(ISERROR(VLOOKUP($T$362,'TAR FIN CELESC'!$A$1:$O$92,15,0)),0,VLOOKUP($T$362,'TAR FIN CELESC'!$A$1:$O$92,15,0))</f>
        <v>215.47</v>
      </c>
      <c r="X419" s="104">
        <f>IF(ISERROR(VLOOKUP($U$362,'TAR FIN CELESC'!$A$1:$O$92,15,0)),0,VLOOKUP($U$362,'TAR FIN CELESC'!$A$1:$O$92,15,0))</f>
        <v>252.9</v>
      </c>
      <c r="Y419" s="6"/>
      <c r="Z419" s="6">
        <f ca="1">('TUSD BE'!$AM$37+'TUSD BF_350'!$AM$37+'TUSD CVA'!$AM$37)*(1-CUSTOS!$M$38)</f>
        <v>291.86059999999998</v>
      </c>
      <c r="AA419" s="6">
        <f ca="1">('TE BE'!$AB$25+'TE BF_350'!$AB$25+'TE CVA'!$AB$25)*(1-CUSTOS!$M$38)</f>
        <v>246.77819999999997</v>
      </c>
      <c r="AB419" s="6">
        <f>$K$419*$V$419</f>
        <v>0</v>
      </c>
      <c r="AC419" s="6">
        <f>$M$419*$W$419</f>
        <v>40116.204600000005</v>
      </c>
      <c r="AD419" s="6">
        <f>$O$419*$X$419</f>
        <v>47084.922000000006</v>
      </c>
      <c r="AE419" s="6">
        <f>$K$419*$Y$419</f>
        <v>0</v>
      </c>
      <c r="AF419" s="6">
        <f ca="1">$M$419*$Z$419</f>
        <v>54338.606507999997</v>
      </c>
      <c r="AG419" s="6">
        <f ca="1">$O$419*$AA$419</f>
        <v>45945.165275999992</v>
      </c>
    </row>
    <row r="420" spans="1:33" ht="11.25" customHeight="1" x14ac:dyDescent="0.3">
      <c r="A420" s="4" t="s">
        <v>27</v>
      </c>
      <c r="B420" s="4" t="s">
        <v>41</v>
      </c>
      <c r="C420" s="4" t="s">
        <v>23</v>
      </c>
      <c r="D420" s="4" t="s">
        <v>42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44682</v>
      </c>
      <c r="J420" s="6">
        <v>0</v>
      </c>
      <c r="K420" s="6">
        <v>0</v>
      </c>
      <c r="L420" s="6">
        <v>8.7940000000000005</v>
      </c>
      <c r="M420" s="6">
        <v>8.7940000000000005</v>
      </c>
      <c r="N420" s="6">
        <v>8.7940000000000005</v>
      </c>
      <c r="O420" s="6">
        <v>8.7940000000000005</v>
      </c>
      <c r="P420" s="6">
        <v>40</v>
      </c>
      <c r="Q420" s="4" t="s">
        <v>26</v>
      </c>
      <c r="R420" s="4">
        <v>0</v>
      </c>
      <c r="S420" s="6">
        <v>0</v>
      </c>
      <c r="T420" s="6">
        <v>62</v>
      </c>
      <c r="U420" s="6">
        <v>23</v>
      </c>
      <c r="V420" s="6">
        <f>IF(ISERROR(VLOOKUP($S$420,'TAR FIN'!$A$1:$O$92,15,0)),0,VLOOKUP($S$420,'TAR FIN'!$A$1:$O$92,15,0))</f>
        <v>0</v>
      </c>
      <c r="W420" s="104">
        <f>IF(ISERROR(VLOOKUP($T$362,'TAR FIN CELESC'!$A$1:$O$92,15,0)),0,VLOOKUP($T$362,'TAR FIN CELESC'!$A$1:$O$92,15,0))</f>
        <v>215.47</v>
      </c>
      <c r="X420" s="104">
        <f>IF(ISERROR(VLOOKUP($U$362,'TAR FIN CELESC'!$A$1:$O$92,15,0)),0,VLOOKUP($U$362,'TAR FIN CELESC'!$A$1:$O$92,15,0))</f>
        <v>252.9</v>
      </c>
      <c r="Y420" s="6"/>
      <c r="Z420" s="6">
        <f ca="1">('TUSD BE'!$AM$37+'TUSD BF_350'!$AM$37+'TUSD CVA'!$AM$37)*(1-CUSTOS!$M$38)</f>
        <v>291.86059999999998</v>
      </c>
      <c r="AA420" s="6">
        <f ca="1">('TE BE'!$AB$25+'TE BF_350'!$AB$25+'TE CVA'!$AB$25)*(1-CUSTOS!$M$38)</f>
        <v>246.77819999999997</v>
      </c>
      <c r="AB420" s="6">
        <f>$K$420*$V$420</f>
        <v>0</v>
      </c>
      <c r="AC420" s="6">
        <f>$M$420*$W$420</f>
        <v>1894.8431800000001</v>
      </c>
      <c r="AD420" s="6">
        <f>$O$420*$X$420</f>
        <v>2224.0026000000003</v>
      </c>
      <c r="AE420" s="6">
        <f>$K$420*$Y$420</f>
        <v>0</v>
      </c>
      <c r="AF420" s="6">
        <f ca="1">$M$420*$Z$420</f>
        <v>2566.6221163999999</v>
      </c>
      <c r="AG420" s="6">
        <f ca="1">$O$420*$AA$420</f>
        <v>2170.1674908</v>
      </c>
    </row>
    <row r="421" spans="1:33" ht="11.25" customHeight="1" x14ac:dyDescent="0.3">
      <c r="A421" s="4" t="s">
        <v>21</v>
      </c>
      <c r="B421" s="4" t="s">
        <v>41</v>
      </c>
      <c r="C421" s="4" t="s">
        <v>23</v>
      </c>
      <c r="D421" s="4" t="s">
        <v>42</v>
      </c>
      <c r="E421" s="4" t="s">
        <v>25</v>
      </c>
      <c r="F421" s="4" t="s">
        <v>25</v>
      </c>
      <c r="G421" s="4" t="s">
        <v>25</v>
      </c>
      <c r="H421" s="4" t="s">
        <v>25</v>
      </c>
      <c r="I421" s="5">
        <v>44713</v>
      </c>
      <c r="J421" s="6">
        <v>0</v>
      </c>
      <c r="K421" s="6">
        <v>0</v>
      </c>
      <c r="L421" s="6">
        <v>202.459</v>
      </c>
      <c r="M421" s="6">
        <v>202.459</v>
      </c>
      <c r="N421" s="6">
        <v>202.459</v>
      </c>
      <c r="O421" s="6">
        <v>202.459</v>
      </c>
      <c r="P421" s="6">
        <v>792</v>
      </c>
      <c r="Q421" s="4" t="s">
        <v>26</v>
      </c>
      <c r="R421" s="4">
        <v>0</v>
      </c>
      <c r="S421" s="6">
        <v>0</v>
      </c>
      <c r="T421" s="6">
        <v>62</v>
      </c>
      <c r="U421" s="6">
        <v>23</v>
      </c>
      <c r="V421" s="6">
        <f>IF(ISERROR(VLOOKUP($S$421,'TAR FIN'!$A$1:$O$92,15,0)),0,VLOOKUP($S$421,'TAR FIN'!$A$1:$O$92,15,0))</f>
        <v>0</v>
      </c>
      <c r="W421" s="104">
        <f>IF(ISERROR(VLOOKUP($T$362,'TAR FIN CELESC'!$A$1:$O$92,15,0)),0,VLOOKUP($T$362,'TAR FIN CELESC'!$A$1:$O$92,15,0))</f>
        <v>215.47</v>
      </c>
      <c r="X421" s="104">
        <f>IF(ISERROR(VLOOKUP($U$362,'TAR FIN CELESC'!$A$1:$O$92,15,0)),0,VLOOKUP($U$362,'TAR FIN CELESC'!$A$1:$O$92,15,0))</f>
        <v>252.9</v>
      </c>
      <c r="Y421" s="6"/>
      <c r="Z421" s="6">
        <f ca="1">('TUSD BE'!$AM$37+'TUSD BF_350'!$AM$37+'TUSD CVA'!$AM$37)*(1-CUSTOS!$M$38)</f>
        <v>291.86059999999998</v>
      </c>
      <c r="AA421" s="6">
        <f ca="1">('TE BE'!$AB$25+'TE BF_350'!$AB$25+'TE CVA'!$AB$25)*(1-CUSTOS!$M$38)</f>
        <v>246.77819999999997</v>
      </c>
      <c r="AB421" s="6">
        <f>$K$421*$V$421</f>
        <v>0</v>
      </c>
      <c r="AC421" s="6">
        <f>$M$421*$W$421</f>
        <v>43623.840730000004</v>
      </c>
      <c r="AD421" s="6">
        <f>$O$421*$X$421</f>
        <v>51201.881099999999</v>
      </c>
      <c r="AE421" s="6">
        <f>$K$421*$Y$421</f>
        <v>0</v>
      </c>
      <c r="AF421" s="6">
        <f ca="1">$M$421*$Z$421</f>
        <v>59089.805215399996</v>
      </c>
      <c r="AG421" s="6">
        <f ca="1">$O$421*$AA$421</f>
        <v>49962.467593799993</v>
      </c>
    </row>
    <row r="422" spans="1:33" ht="11.25" customHeight="1" x14ac:dyDescent="0.3">
      <c r="A422" s="4" t="s">
        <v>27</v>
      </c>
      <c r="B422" s="4" t="s">
        <v>41</v>
      </c>
      <c r="C422" s="4" t="s">
        <v>23</v>
      </c>
      <c r="D422" s="4" t="s">
        <v>42</v>
      </c>
      <c r="E422" s="4" t="s">
        <v>25</v>
      </c>
      <c r="F422" s="4" t="s">
        <v>25</v>
      </c>
      <c r="G422" s="4" t="s">
        <v>25</v>
      </c>
      <c r="H422" s="4" t="s">
        <v>25</v>
      </c>
      <c r="I422" s="5">
        <v>44713</v>
      </c>
      <c r="J422" s="6">
        <v>0</v>
      </c>
      <c r="K422" s="6">
        <v>0</v>
      </c>
      <c r="L422" s="6">
        <v>12.084</v>
      </c>
      <c r="M422" s="6">
        <v>12.084</v>
      </c>
      <c r="N422" s="6">
        <v>12.084</v>
      </c>
      <c r="O422" s="6">
        <v>12.084</v>
      </c>
      <c r="P422" s="6">
        <v>41</v>
      </c>
      <c r="Q422" s="4" t="s">
        <v>26</v>
      </c>
      <c r="R422" s="4">
        <v>0</v>
      </c>
      <c r="S422" s="6">
        <v>0</v>
      </c>
      <c r="T422" s="6">
        <v>62</v>
      </c>
      <c r="U422" s="6">
        <v>23</v>
      </c>
      <c r="V422" s="6">
        <f>IF(ISERROR(VLOOKUP($S$422,'TAR FIN'!$A$1:$O$92,15,0)),0,VLOOKUP($S$422,'TAR FIN'!$A$1:$O$92,15,0))</f>
        <v>0</v>
      </c>
      <c r="W422" s="104">
        <f>IF(ISERROR(VLOOKUP($T$362,'TAR FIN CELESC'!$A$1:$O$92,15,0)),0,VLOOKUP($T$362,'TAR FIN CELESC'!$A$1:$O$92,15,0))</f>
        <v>215.47</v>
      </c>
      <c r="X422" s="104">
        <f>IF(ISERROR(VLOOKUP($U$362,'TAR FIN CELESC'!$A$1:$O$92,15,0)),0,VLOOKUP($U$362,'TAR FIN CELESC'!$A$1:$O$92,15,0))</f>
        <v>252.9</v>
      </c>
      <c r="Y422" s="6"/>
      <c r="Z422" s="6">
        <f ca="1">('TUSD BE'!$AM$37+'TUSD BF_350'!$AM$37+'TUSD CVA'!$AM$37)*(1-CUSTOS!$M$38)</f>
        <v>291.86059999999998</v>
      </c>
      <c r="AA422" s="6">
        <f ca="1">('TE BE'!$AB$25+'TE BF_350'!$AB$25+'TE CVA'!$AB$25)*(1-CUSTOS!$M$38)</f>
        <v>246.77819999999997</v>
      </c>
      <c r="AB422" s="6">
        <f>$K$422*$V$422</f>
        <v>0</v>
      </c>
      <c r="AC422" s="6">
        <f>$M$422*$W$422</f>
        <v>2603.7394799999997</v>
      </c>
      <c r="AD422" s="6">
        <f>$O$422*$X$422</f>
        <v>3056.0436</v>
      </c>
      <c r="AE422" s="6">
        <f>$K$422*$Y$422</f>
        <v>0</v>
      </c>
      <c r="AF422" s="6">
        <f ca="1">$M$422*$Z$422</f>
        <v>3526.8434903999996</v>
      </c>
      <c r="AG422" s="6">
        <f ca="1">$O$422*$AA$422</f>
        <v>2982.0677687999996</v>
      </c>
    </row>
    <row r="423" spans="1:33" ht="11.25" customHeight="1" x14ac:dyDescent="0.3">
      <c r="A423" s="4" t="s">
        <v>21</v>
      </c>
      <c r="B423" s="4" t="s">
        <v>41</v>
      </c>
      <c r="C423" s="4" t="s">
        <v>23</v>
      </c>
      <c r="D423" s="4" t="s">
        <v>42</v>
      </c>
      <c r="E423" s="4" t="s">
        <v>25</v>
      </c>
      <c r="F423" s="4" t="s">
        <v>25</v>
      </c>
      <c r="G423" s="4" t="s">
        <v>25</v>
      </c>
      <c r="H423" s="4" t="s">
        <v>25</v>
      </c>
      <c r="I423" s="5">
        <v>44743</v>
      </c>
      <c r="J423" s="6">
        <v>0</v>
      </c>
      <c r="K423" s="6">
        <v>0</v>
      </c>
      <c r="L423" s="6">
        <v>207.00899999999999</v>
      </c>
      <c r="M423" s="6">
        <v>207.00899999999999</v>
      </c>
      <c r="N423" s="6">
        <v>207.00899999999999</v>
      </c>
      <c r="O423" s="6">
        <v>207.00899999999999</v>
      </c>
      <c r="P423" s="6">
        <v>791</v>
      </c>
      <c r="Q423" s="4" t="s">
        <v>26</v>
      </c>
      <c r="R423" s="4">
        <v>0</v>
      </c>
      <c r="S423" s="6">
        <v>0</v>
      </c>
      <c r="T423" s="6">
        <v>62</v>
      </c>
      <c r="U423" s="6">
        <v>23</v>
      </c>
      <c r="V423" s="6">
        <f>IF(ISERROR(VLOOKUP($S$423,'TAR FIN'!$A$1:$O$92,15,0)),0,VLOOKUP($S$423,'TAR FIN'!$A$1:$O$92,15,0))</f>
        <v>0</v>
      </c>
      <c r="W423" s="104">
        <f>IF(ISERROR(VLOOKUP($T$362,'TAR FIN CELESC'!$A$1:$O$92,15,0)),0,VLOOKUP($T$362,'TAR FIN CELESC'!$A$1:$O$92,15,0))</f>
        <v>215.47</v>
      </c>
      <c r="X423" s="104">
        <f>IF(ISERROR(VLOOKUP($U$362,'TAR FIN CELESC'!$A$1:$O$92,15,0)),0,VLOOKUP($U$362,'TAR FIN CELESC'!$A$1:$O$92,15,0))</f>
        <v>252.9</v>
      </c>
      <c r="Y423" s="6"/>
      <c r="Z423" s="6">
        <f ca="1">('TUSD BE'!$AM$37+'TUSD BF_350'!$AM$37+'TUSD CVA'!$AM$37)*(1-CUSTOS!$M$38)</f>
        <v>291.86059999999998</v>
      </c>
      <c r="AA423" s="6">
        <f ca="1">('TE BE'!$AB$25+'TE BF_350'!$AB$25+'TE CVA'!$AB$25)*(1-CUSTOS!$M$38)</f>
        <v>246.77819999999997</v>
      </c>
      <c r="AB423" s="6">
        <f>$K$423*$V$423</f>
        <v>0</v>
      </c>
      <c r="AC423" s="6">
        <f>$M$423*$W$423</f>
        <v>44604.229229999997</v>
      </c>
      <c r="AD423" s="6">
        <f>$O$423*$X$423</f>
        <v>52352.576099999998</v>
      </c>
      <c r="AE423" s="6">
        <f>$K$423*$Y$423</f>
        <v>0</v>
      </c>
      <c r="AF423" s="6">
        <f ca="1">$M$423*$Z$423</f>
        <v>60417.770945399992</v>
      </c>
      <c r="AG423" s="6">
        <f ca="1">$O$423*$AA$423</f>
        <v>51085.308403799987</v>
      </c>
    </row>
    <row r="424" spans="1:33" ht="11.25" customHeight="1" x14ac:dyDescent="0.3">
      <c r="A424" s="4" t="s">
        <v>27</v>
      </c>
      <c r="B424" s="4" t="s">
        <v>41</v>
      </c>
      <c r="C424" s="4" t="s">
        <v>23</v>
      </c>
      <c r="D424" s="4" t="s">
        <v>42</v>
      </c>
      <c r="E424" s="4" t="s">
        <v>25</v>
      </c>
      <c r="F424" s="4" t="s">
        <v>25</v>
      </c>
      <c r="G424" s="4" t="s">
        <v>25</v>
      </c>
      <c r="H424" s="4" t="s">
        <v>25</v>
      </c>
      <c r="I424" s="5">
        <v>44743</v>
      </c>
      <c r="J424" s="6">
        <v>0</v>
      </c>
      <c r="K424" s="6">
        <v>0</v>
      </c>
      <c r="L424" s="6">
        <v>12.455</v>
      </c>
      <c r="M424" s="6">
        <v>12.455</v>
      </c>
      <c r="N424" s="6">
        <v>12.455</v>
      </c>
      <c r="O424" s="6">
        <v>12.455</v>
      </c>
      <c r="P424" s="6">
        <v>41</v>
      </c>
      <c r="Q424" s="4" t="s">
        <v>26</v>
      </c>
      <c r="R424" s="4">
        <v>0</v>
      </c>
      <c r="S424" s="6">
        <v>0</v>
      </c>
      <c r="T424" s="6">
        <v>62</v>
      </c>
      <c r="U424" s="6">
        <v>23</v>
      </c>
      <c r="V424" s="6">
        <f>IF(ISERROR(VLOOKUP($S$424,'TAR FIN'!$A$1:$O$92,15,0)),0,VLOOKUP($S$424,'TAR FIN'!$A$1:$O$92,15,0))</f>
        <v>0</v>
      </c>
      <c r="W424" s="104">
        <f>IF(ISERROR(VLOOKUP($T$362,'TAR FIN CELESC'!$A$1:$O$92,15,0)),0,VLOOKUP($T$362,'TAR FIN CELESC'!$A$1:$O$92,15,0))</f>
        <v>215.47</v>
      </c>
      <c r="X424" s="104">
        <f>IF(ISERROR(VLOOKUP($U$362,'TAR FIN CELESC'!$A$1:$O$92,15,0)),0,VLOOKUP($U$362,'TAR FIN CELESC'!$A$1:$O$92,15,0))</f>
        <v>252.9</v>
      </c>
      <c r="Y424" s="6"/>
      <c r="Z424" s="6">
        <f ca="1">('TUSD BE'!$AM$37+'TUSD BF_350'!$AM$37+'TUSD CVA'!$AM$37)*(1-CUSTOS!$M$38)</f>
        <v>291.86059999999998</v>
      </c>
      <c r="AA424" s="6">
        <f ca="1">('TE BE'!$AB$25+'TE BF_350'!$AB$25+'TE CVA'!$AB$25)*(1-CUSTOS!$M$38)</f>
        <v>246.77819999999997</v>
      </c>
      <c r="AB424" s="6">
        <f>$K$424*$V$424</f>
        <v>0</v>
      </c>
      <c r="AC424" s="6">
        <f>$M$424*$W$424</f>
        <v>2683.6788499999998</v>
      </c>
      <c r="AD424" s="6">
        <f>$O$424*$X$424</f>
        <v>3149.8695000000002</v>
      </c>
      <c r="AE424" s="6">
        <f>$K$424*$Y$424</f>
        <v>0</v>
      </c>
      <c r="AF424" s="6">
        <f ca="1">$M$424*$Z$424</f>
        <v>3635.1237729999998</v>
      </c>
      <c r="AG424" s="6">
        <f ca="1">$O$424*$AA$424</f>
        <v>3073.6224809999994</v>
      </c>
    </row>
    <row r="425" spans="1:33" ht="11.25" customHeight="1" x14ac:dyDescent="0.3">
      <c r="A425" s="4" t="s">
        <v>21</v>
      </c>
      <c r="B425" s="4" t="s">
        <v>32</v>
      </c>
      <c r="C425" s="4" t="s">
        <v>38</v>
      </c>
      <c r="D425" s="4" t="s">
        <v>40</v>
      </c>
      <c r="E425" s="4" t="s">
        <v>25</v>
      </c>
      <c r="F425" s="4" t="s">
        <v>25</v>
      </c>
      <c r="G425" s="4" t="s">
        <v>25</v>
      </c>
      <c r="H425" s="4" t="s">
        <v>37</v>
      </c>
      <c r="I425" s="5">
        <v>44409</v>
      </c>
      <c r="J425" s="6">
        <v>0</v>
      </c>
      <c r="K425" s="6">
        <v>0</v>
      </c>
      <c r="L425" s="6">
        <v>4.5380000000000003</v>
      </c>
      <c r="M425" s="6">
        <v>4.5380000000000003</v>
      </c>
      <c r="N425" s="6">
        <v>4.5380000000000003</v>
      </c>
      <c r="O425" s="6">
        <v>4.5380000000000003</v>
      </c>
      <c r="P425" s="6">
        <v>0</v>
      </c>
      <c r="Q425" s="4" t="s">
        <v>26</v>
      </c>
      <c r="R425" s="4">
        <v>0</v>
      </c>
      <c r="S425" s="6">
        <v>0</v>
      </c>
      <c r="T425" s="6">
        <v>76</v>
      </c>
      <c r="U425" s="6">
        <v>51</v>
      </c>
      <c r="V425" s="6">
        <f>IF(ISERROR(VLOOKUP($S$425,'TAR FIN'!$A$1:$O$92,15,0)),0,VLOOKUP($S$425,'TAR FIN'!$A$1:$O$92,15,0))</f>
        <v>0</v>
      </c>
      <c r="W425" s="104">
        <f>IF(ISERROR(VLOOKUP($T$425,'TAR FIN CELESC'!$A$1:$O$92,15,0)),0,VLOOKUP($T$425,'TAR FIN CELESC'!$A$1:$O$92,15,0))</f>
        <v>201.87</v>
      </c>
      <c r="X425" s="104">
        <f>IF(ISERROR(VLOOKUP($U$425,'TAR FIN CELESC'!$A$1:$O$92,15,0)),0,VLOOKUP($U$425,'TAR FIN CELESC'!$A$1:$O$92,15,0))</f>
        <v>272.48</v>
      </c>
      <c r="Y425" s="6"/>
      <c r="Z425" s="6">
        <f ca="1">('TUSD BE'!$AM$51+'TUSD BF_350'!$AM$51+'TUSD CVA'!$AM$51)*1</f>
        <v>261.33999999999997</v>
      </c>
      <c r="AA425" s="6">
        <f ca="1">('TE BE'!$AB$39+'TE BF_350'!$AB$39+'TE CVA'!$AB$39)*1</f>
        <v>250.03999999999996</v>
      </c>
      <c r="AB425" s="6">
        <f>$K$425*$V$425</f>
        <v>0</v>
      </c>
      <c r="AC425" s="6">
        <f>$M$425*$W$425</f>
        <v>916.08606000000009</v>
      </c>
      <c r="AD425" s="6">
        <f>$O$425*$X$425</f>
        <v>1236.5142400000002</v>
      </c>
      <c r="AE425" s="6">
        <f>$K$425*$Y$425</f>
        <v>0</v>
      </c>
      <c r="AF425" s="6">
        <f ca="1">$M$425*$Z$425</f>
        <v>1185.96092</v>
      </c>
      <c r="AG425" s="6">
        <f ca="1">$O$425*$AA$425</f>
        <v>1134.6815199999999</v>
      </c>
    </row>
    <row r="426" spans="1:33" ht="11.25" customHeight="1" x14ac:dyDescent="0.3">
      <c r="A426" s="4" t="s">
        <v>21</v>
      </c>
      <c r="B426" s="4" t="s">
        <v>32</v>
      </c>
      <c r="C426" s="4" t="s">
        <v>38</v>
      </c>
      <c r="D426" s="4" t="s">
        <v>40</v>
      </c>
      <c r="E426" s="4" t="s">
        <v>25</v>
      </c>
      <c r="F426" s="4" t="s">
        <v>25</v>
      </c>
      <c r="G426" s="4" t="s">
        <v>25</v>
      </c>
      <c r="H426" s="4" t="s">
        <v>37</v>
      </c>
      <c r="I426" s="5">
        <v>44440</v>
      </c>
      <c r="J426" s="6">
        <v>0</v>
      </c>
      <c r="K426" s="6">
        <v>0</v>
      </c>
      <c r="L426" s="6">
        <v>4.0140000000000002</v>
      </c>
      <c r="M426" s="6">
        <v>4.0140000000000002</v>
      </c>
      <c r="N426" s="6">
        <v>4.0140000000000002</v>
      </c>
      <c r="O426" s="6">
        <v>4.0140000000000002</v>
      </c>
      <c r="P426" s="6">
        <v>0</v>
      </c>
      <c r="Q426" s="4" t="s">
        <v>26</v>
      </c>
      <c r="R426" s="4">
        <v>0</v>
      </c>
      <c r="S426" s="6">
        <v>0</v>
      </c>
      <c r="T426" s="6">
        <v>76</v>
      </c>
      <c r="U426" s="6">
        <v>51</v>
      </c>
      <c r="V426" s="6">
        <f>IF(ISERROR(VLOOKUP($S$426,'TAR FIN'!$A$1:$O$92,15,0)),0,VLOOKUP($S$426,'TAR FIN'!$A$1:$O$92,15,0))</f>
        <v>0</v>
      </c>
      <c r="W426" s="104">
        <f>IF(ISERROR(VLOOKUP($T$425,'TAR FIN CELESC'!$A$1:$O$92,15,0)),0,VLOOKUP($T$425,'TAR FIN CELESC'!$A$1:$O$92,15,0))</f>
        <v>201.87</v>
      </c>
      <c r="X426" s="104">
        <f>IF(ISERROR(VLOOKUP($U$425,'TAR FIN CELESC'!$A$1:$O$92,15,0)),0,VLOOKUP($U$425,'TAR FIN CELESC'!$A$1:$O$92,15,0))</f>
        <v>272.48</v>
      </c>
      <c r="Y426" s="6"/>
      <c r="Z426" s="6">
        <f ca="1">('TUSD BE'!$AM$51+'TUSD BF_350'!$AM$51+'TUSD CVA'!$AM$51)*1</f>
        <v>261.33999999999997</v>
      </c>
      <c r="AA426" s="6">
        <f ca="1">('TE BE'!$AB$39+'TE BF_350'!$AB$39+'TE CVA'!$AB$39)*1</f>
        <v>250.03999999999996</v>
      </c>
      <c r="AB426" s="6">
        <f>$K$426*$V$426</f>
        <v>0</v>
      </c>
      <c r="AC426" s="6">
        <f>$M$426*$W$426</f>
        <v>810.30618000000004</v>
      </c>
      <c r="AD426" s="6">
        <f>$O$426*$X$426</f>
        <v>1093.7347200000002</v>
      </c>
      <c r="AE426" s="6">
        <f>$K$426*$Y$426</f>
        <v>0</v>
      </c>
      <c r="AF426" s="6">
        <f ca="1">$M$426*$Z$426</f>
        <v>1049.0187599999999</v>
      </c>
      <c r="AG426" s="6">
        <f ca="1">$O$426*$AA$426</f>
        <v>1003.6605599999999</v>
      </c>
    </row>
    <row r="427" spans="1:33" ht="11.25" customHeight="1" x14ac:dyDescent="0.3">
      <c r="A427" s="4" t="s">
        <v>21</v>
      </c>
      <c r="B427" s="4" t="s">
        <v>32</v>
      </c>
      <c r="C427" s="4" t="s">
        <v>38</v>
      </c>
      <c r="D427" s="4" t="s">
        <v>40</v>
      </c>
      <c r="E427" s="4" t="s">
        <v>25</v>
      </c>
      <c r="F427" s="4" t="s">
        <v>25</v>
      </c>
      <c r="G427" s="4" t="s">
        <v>25</v>
      </c>
      <c r="H427" s="4" t="s">
        <v>37</v>
      </c>
      <c r="I427" s="5">
        <v>44470</v>
      </c>
      <c r="J427" s="6">
        <v>0</v>
      </c>
      <c r="K427" s="6">
        <v>0</v>
      </c>
      <c r="L427" s="6">
        <v>4.2480000000000002</v>
      </c>
      <c r="M427" s="6">
        <v>4.2480000000000002</v>
      </c>
      <c r="N427" s="6">
        <v>4.2480000000000002</v>
      </c>
      <c r="O427" s="6">
        <v>4.2480000000000002</v>
      </c>
      <c r="P427" s="6">
        <v>0</v>
      </c>
      <c r="Q427" s="4" t="s">
        <v>26</v>
      </c>
      <c r="R427" s="4">
        <v>0</v>
      </c>
      <c r="S427" s="6">
        <v>0</v>
      </c>
      <c r="T427" s="6">
        <v>76</v>
      </c>
      <c r="U427" s="6">
        <v>51</v>
      </c>
      <c r="V427" s="6">
        <f>IF(ISERROR(VLOOKUP($S$427,'TAR FIN'!$A$1:$O$92,15,0)),0,VLOOKUP($S$427,'TAR FIN'!$A$1:$O$92,15,0))</f>
        <v>0</v>
      </c>
      <c r="W427" s="104">
        <f>IF(ISERROR(VLOOKUP($T$425,'TAR FIN CELESC'!$A$1:$O$92,15,0)),0,VLOOKUP($T$425,'TAR FIN CELESC'!$A$1:$O$92,15,0))</f>
        <v>201.87</v>
      </c>
      <c r="X427" s="104">
        <f>IF(ISERROR(VLOOKUP($U$425,'TAR FIN CELESC'!$A$1:$O$92,15,0)),0,VLOOKUP($U$425,'TAR FIN CELESC'!$A$1:$O$92,15,0))</f>
        <v>272.48</v>
      </c>
      <c r="Y427" s="6"/>
      <c r="Z427" s="6">
        <f ca="1">('TUSD BE'!$AM$51+'TUSD BF_350'!$AM$51+'TUSD CVA'!$AM$51)*1</f>
        <v>261.33999999999997</v>
      </c>
      <c r="AA427" s="6">
        <f ca="1">('TE BE'!$AB$39+'TE BF_350'!$AB$39+'TE CVA'!$AB$39)*1</f>
        <v>250.03999999999996</v>
      </c>
      <c r="AB427" s="6">
        <f>$K$427*$V$427</f>
        <v>0</v>
      </c>
      <c r="AC427" s="6">
        <f>$M$427*$W$427</f>
        <v>857.54376000000002</v>
      </c>
      <c r="AD427" s="6">
        <f>$O$427*$X$427</f>
        <v>1157.4950400000002</v>
      </c>
      <c r="AE427" s="6">
        <f>$K$427*$Y$427</f>
        <v>0</v>
      </c>
      <c r="AF427" s="6">
        <f ca="1">$M$427*$Z$427</f>
        <v>1110.1723199999999</v>
      </c>
      <c r="AG427" s="6">
        <f ca="1">$O$427*$AA$427</f>
        <v>1062.1699199999998</v>
      </c>
    </row>
    <row r="428" spans="1:33" ht="11.25" customHeight="1" x14ac:dyDescent="0.3">
      <c r="A428" s="4" t="s">
        <v>21</v>
      </c>
      <c r="B428" s="4" t="s">
        <v>32</v>
      </c>
      <c r="C428" s="4" t="s">
        <v>38</v>
      </c>
      <c r="D428" s="4" t="s">
        <v>40</v>
      </c>
      <c r="E428" s="4" t="s">
        <v>25</v>
      </c>
      <c r="F428" s="4" t="s">
        <v>25</v>
      </c>
      <c r="G428" s="4" t="s">
        <v>25</v>
      </c>
      <c r="H428" s="4" t="s">
        <v>37</v>
      </c>
      <c r="I428" s="5">
        <v>44501</v>
      </c>
      <c r="J428" s="6">
        <v>0</v>
      </c>
      <c r="K428" s="6">
        <v>0</v>
      </c>
      <c r="L428" s="6">
        <v>4.3120000000000003</v>
      </c>
      <c r="M428" s="6">
        <v>4.3120000000000003</v>
      </c>
      <c r="N428" s="6">
        <v>4.3120000000000003</v>
      </c>
      <c r="O428" s="6">
        <v>4.3120000000000003</v>
      </c>
      <c r="P428" s="6">
        <v>0</v>
      </c>
      <c r="Q428" s="4" t="s">
        <v>26</v>
      </c>
      <c r="R428" s="4">
        <v>0</v>
      </c>
      <c r="S428" s="6">
        <v>0</v>
      </c>
      <c r="T428" s="6">
        <v>76</v>
      </c>
      <c r="U428" s="6">
        <v>51</v>
      </c>
      <c r="V428" s="6">
        <f>IF(ISERROR(VLOOKUP($S$428,'TAR FIN'!$A$1:$O$92,15,0)),0,VLOOKUP($S$428,'TAR FIN'!$A$1:$O$92,15,0))</f>
        <v>0</v>
      </c>
      <c r="W428" s="104">
        <f>IF(ISERROR(VLOOKUP($T$425,'TAR FIN CELESC'!$A$1:$O$92,15,0)),0,VLOOKUP($T$425,'TAR FIN CELESC'!$A$1:$O$92,15,0))</f>
        <v>201.87</v>
      </c>
      <c r="X428" s="104">
        <f>IF(ISERROR(VLOOKUP($U$425,'TAR FIN CELESC'!$A$1:$O$92,15,0)),0,VLOOKUP($U$425,'TAR FIN CELESC'!$A$1:$O$92,15,0))</f>
        <v>272.48</v>
      </c>
      <c r="Y428" s="6"/>
      <c r="Z428" s="6">
        <f ca="1">('TUSD BE'!$AM$51+'TUSD BF_350'!$AM$51+'TUSD CVA'!$AM$51)*1</f>
        <v>261.33999999999997</v>
      </c>
      <c r="AA428" s="6">
        <f ca="1">('TE BE'!$AB$39+'TE BF_350'!$AB$39+'TE CVA'!$AB$39)*1</f>
        <v>250.03999999999996</v>
      </c>
      <c r="AB428" s="6">
        <f>$K$428*$V$428</f>
        <v>0</v>
      </c>
      <c r="AC428" s="6">
        <f>$M$428*$W$428</f>
        <v>870.46344000000011</v>
      </c>
      <c r="AD428" s="6">
        <f>$O$428*$X$428</f>
        <v>1174.9337600000001</v>
      </c>
      <c r="AE428" s="6">
        <f>$K$428*$Y$428</f>
        <v>0</v>
      </c>
      <c r="AF428" s="6">
        <f ca="1">$M$428*$Z$428</f>
        <v>1126.8980799999999</v>
      </c>
      <c r="AG428" s="6">
        <f ca="1">$O$428*$AA$428</f>
        <v>1078.17248</v>
      </c>
    </row>
    <row r="429" spans="1:33" ht="11.25" customHeight="1" x14ac:dyDescent="0.3">
      <c r="A429" s="4" t="s">
        <v>21</v>
      </c>
      <c r="B429" s="4" t="s">
        <v>32</v>
      </c>
      <c r="C429" s="4" t="s">
        <v>38</v>
      </c>
      <c r="D429" s="4" t="s">
        <v>40</v>
      </c>
      <c r="E429" s="4" t="s">
        <v>25</v>
      </c>
      <c r="F429" s="4" t="s">
        <v>25</v>
      </c>
      <c r="G429" s="4" t="s">
        <v>25</v>
      </c>
      <c r="H429" s="4" t="s">
        <v>37</v>
      </c>
      <c r="I429" s="5">
        <v>44531</v>
      </c>
      <c r="J429" s="6">
        <v>0</v>
      </c>
      <c r="K429" s="6">
        <v>0</v>
      </c>
      <c r="L429" s="6">
        <v>4.9260000000000002</v>
      </c>
      <c r="M429" s="6">
        <v>4.9260000000000002</v>
      </c>
      <c r="N429" s="6">
        <v>4.9260000000000002</v>
      </c>
      <c r="O429" s="6">
        <v>4.9260000000000002</v>
      </c>
      <c r="P429" s="6">
        <v>0</v>
      </c>
      <c r="Q429" s="4" t="s">
        <v>26</v>
      </c>
      <c r="R429" s="4">
        <v>0</v>
      </c>
      <c r="S429" s="6">
        <v>0</v>
      </c>
      <c r="T429" s="6">
        <v>76</v>
      </c>
      <c r="U429" s="6">
        <v>51</v>
      </c>
      <c r="V429" s="6">
        <f>IF(ISERROR(VLOOKUP($S$429,'TAR FIN'!$A$1:$O$92,15,0)),0,VLOOKUP($S$429,'TAR FIN'!$A$1:$O$92,15,0))</f>
        <v>0</v>
      </c>
      <c r="W429" s="104">
        <f>IF(ISERROR(VLOOKUP($T$425,'TAR FIN CELESC'!$A$1:$O$92,15,0)),0,VLOOKUP($T$425,'TAR FIN CELESC'!$A$1:$O$92,15,0))</f>
        <v>201.87</v>
      </c>
      <c r="X429" s="104">
        <f>IF(ISERROR(VLOOKUP($U$425,'TAR FIN CELESC'!$A$1:$O$92,15,0)),0,VLOOKUP($U$425,'TAR FIN CELESC'!$A$1:$O$92,15,0))</f>
        <v>272.48</v>
      </c>
      <c r="Y429" s="6"/>
      <c r="Z429" s="6">
        <f ca="1">('TUSD BE'!$AM$51+'TUSD BF_350'!$AM$51+'TUSD CVA'!$AM$51)*1</f>
        <v>261.33999999999997</v>
      </c>
      <c r="AA429" s="6">
        <f ca="1">('TE BE'!$AB$39+'TE BF_350'!$AB$39+'TE CVA'!$AB$39)*1</f>
        <v>250.03999999999996</v>
      </c>
      <c r="AB429" s="6">
        <f>$K$429*$V$429</f>
        <v>0</v>
      </c>
      <c r="AC429" s="6">
        <f>$M$429*$W$429</f>
        <v>994.41162000000008</v>
      </c>
      <c r="AD429" s="6">
        <f>$O$429*$X$429</f>
        <v>1342.23648</v>
      </c>
      <c r="AE429" s="6">
        <f>$K$429*$Y$429</f>
        <v>0</v>
      </c>
      <c r="AF429" s="6">
        <f ca="1">$M$429*$Z$429</f>
        <v>1287.3608399999998</v>
      </c>
      <c r="AG429" s="6">
        <f ca="1">$O$429*$AA$429</f>
        <v>1231.6970399999998</v>
      </c>
    </row>
    <row r="430" spans="1:33" ht="11.25" customHeight="1" x14ac:dyDescent="0.3">
      <c r="A430" s="4" t="s">
        <v>21</v>
      </c>
      <c r="B430" s="4" t="s">
        <v>32</v>
      </c>
      <c r="C430" s="4" t="s">
        <v>38</v>
      </c>
      <c r="D430" s="4" t="s">
        <v>40</v>
      </c>
      <c r="E430" s="4" t="s">
        <v>25</v>
      </c>
      <c r="F430" s="4" t="s">
        <v>25</v>
      </c>
      <c r="G430" s="4" t="s">
        <v>25</v>
      </c>
      <c r="H430" s="4" t="s">
        <v>37</v>
      </c>
      <c r="I430" s="5">
        <v>44562</v>
      </c>
      <c r="J430" s="6">
        <v>0</v>
      </c>
      <c r="K430" s="6">
        <v>0</v>
      </c>
      <c r="L430" s="6">
        <v>6.1130000000000004</v>
      </c>
      <c r="M430" s="6">
        <v>6.1130000000000004</v>
      </c>
      <c r="N430" s="6">
        <v>6.1130000000000004</v>
      </c>
      <c r="O430" s="6">
        <v>6.1130000000000004</v>
      </c>
      <c r="P430" s="6">
        <v>0</v>
      </c>
      <c r="Q430" s="4" t="s">
        <v>26</v>
      </c>
      <c r="R430" s="4">
        <v>0</v>
      </c>
      <c r="S430" s="6">
        <v>0</v>
      </c>
      <c r="T430" s="6">
        <v>76</v>
      </c>
      <c r="U430" s="6">
        <v>51</v>
      </c>
      <c r="V430" s="6">
        <f>IF(ISERROR(VLOOKUP($S$430,'TAR FIN'!$A$1:$O$92,15,0)),0,VLOOKUP($S$430,'TAR FIN'!$A$1:$O$92,15,0))</f>
        <v>0</v>
      </c>
      <c r="W430" s="104">
        <f>IF(ISERROR(VLOOKUP($T$425,'TAR FIN CELESC'!$A$1:$O$92,15,0)),0,VLOOKUP($T$425,'TAR FIN CELESC'!$A$1:$O$92,15,0))</f>
        <v>201.87</v>
      </c>
      <c r="X430" s="104">
        <f>IF(ISERROR(VLOOKUP($U$425,'TAR FIN CELESC'!$A$1:$O$92,15,0)),0,VLOOKUP($U$425,'TAR FIN CELESC'!$A$1:$O$92,15,0))</f>
        <v>272.48</v>
      </c>
      <c r="Y430" s="6"/>
      <c r="Z430" s="6">
        <f ca="1">('TUSD BE'!$AM$51+'TUSD BF_350'!$AM$51+'TUSD CVA'!$AM$51)*1</f>
        <v>261.33999999999997</v>
      </c>
      <c r="AA430" s="6">
        <f ca="1">('TE BE'!$AB$39+'TE BF_350'!$AB$39+'TE CVA'!$AB$39)*1</f>
        <v>250.03999999999996</v>
      </c>
      <c r="AB430" s="6">
        <f>$K$430*$V$430</f>
        <v>0</v>
      </c>
      <c r="AC430" s="6">
        <f>$M$430*$W$430</f>
        <v>1234.0313100000001</v>
      </c>
      <c r="AD430" s="6">
        <f>$O$430*$X$430</f>
        <v>1665.6702400000001</v>
      </c>
      <c r="AE430" s="6">
        <f>$K$430*$Y$430</f>
        <v>0</v>
      </c>
      <c r="AF430" s="6">
        <f ca="1">$M$430*$Z$430</f>
        <v>1597.57142</v>
      </c>
      <c r="AG430" s="6">
        <f ca="1">$O$430*$AA$430</f>
        <v>1528.49452</v>
      </c>
    </row>
    <row r="431" spans="1:33" ht="11.25" customHeight="1" x14ac:dyDescent="0.3">
      <c r="A431" s="4" t="s">
        <v>21</v>
      </c>
      <c r="B431" s="4" t="s">
        <v>32</v>
      </c>
      <c r="C431" s="4" t="s">
        <v>38</v>
      </c>
      <c r="D431" s="4" t="s">
        <v>40</v>
      </c>
      <c r="E431" s="4" t="s">
        <v>25</v>
      </c>
      <c r="F431" s="4" t="s">
        <v>25</v>
      </c>
      <c r="G431" s="4" t="s">
        <v>25</v>
      </c>
      <c r="H431" s="4" t="s">
        <v>37</v>
      </c>
      <c r="I431" s="5">
        <v>44593</v>
      </c>
      <c r="J431" s="6">
        <v>0</v>
      </c>
      <c r="K431" s="6">
        <v>0</v>
      </c>
      <c r="L431" s="6">
        <v>7.43</v>
      </c>
      <c r="M431" s="6">
        <v>7.43</v>
      </c>
      <c r="N431" s="6">
        <v>7.43</v>
      </c>
      <c r="O431" s="6">
        <v>7.43</v>
      </c>
      <c r="P431" s="6">
        <v>0</v>
      </c>
      <c r="Q431" s="4" t="s">
        <v>26</v>
      </c>
      <c r="R431" s="4">
        <v>0</v>
      </c>
      <c r="S431" s="6">
        <v>0</v>
      </c>
      <c r="T431" s="6">
        <v>76</v>
      </c>
      <c r="U431" s="6">
        <v>51</v>
      </c>
      <c r="V431" s="6">
        <f>IF(ISERROR(VLOOKUP($S$431,'TAR FIN'!$A$1:$O$92,15,0)),0,VLOOKUP($S$431,'TAR FIN'!$A$1:$O$92,15,0))</f>
        <v>0</v>
      </c>
      <c r="W431" s="104">
        <f>IF(ISERROR(VLOOKUP($T$425,'TAR FIN CELESC'!$A$1:$O$92,15,0)),0,VLOOKUP($T$425,'TAR FIN CELESC'!$A$1:$O$92,15,0))</f>
        <v>201.87</v>
      </c>
      <c r="X431" s="104">
        <f>IF(ISERROR(VLOOKUP($U$425,'TAR FIN CELESC'!$A$1:$O$92,15,0)),0,VLOOKUP($U$425,'TAR FIN CELESC'!$A$1:$O$92,15,0))</f>
        <v>272.48</v>
      </c>
      <c r="Y431" s="6"/>
      <c r="Z431" s="6">
        <f ca="1">('TUSD BE'!$AM$51+'TUSD BF_350'!$AM$51+'TUSD CVA'!$AM$51)*1</f>
        <v>261.33999999999997</v>
      </c>
      <c r="AA431" s="6">
        <f ca="1">('TE BE'!$AB$39+'TE BF_350'!$AB$39+'TE CVA'!$AB$39)*1</f>
        <v>250.03999999999996</v>
      </c>
      <c r="AB431" s="6">
        <f>$K$431*$V$431</f>
        <v>0</v>
      </c>
      <c r="AC431" s="6">
        <f>$M$431*$W$431</f>
        <v>1499.8941</v>
      </c>
      <c r="AD431" s="6">
        <f>$O$431*$X$431</f>
        <v>2024.5264</v>
      </c>
      <c r="AE431" s="6">
        <f>$K$431*$Y$431</f>
        <v>0</v>
      </c>
      <c r="AF431" s="6">
        <f ca="1">$M$431*$Z$431</f>
        <v>1941.7561999999998</v>
      </c>
      <c r="AG431" s="6">
        <f ca="1">$O$431*$AA$431</f>
        <v>1857.7971999999997</v>
      </c>
    </row>
    <row r="432" spans="1:33" ht="11.25" customHeight="1" x14ac:dyDescent="0.3">
      <c r="A432" s="4" t="s">
        <v>21</v>
      </c>
      <c r="B432" s="4" t="s">
        <v>32</v>
      </c>
      <c r="C432" s="4" t="s">
        <v>38</v>
      </c>
      <c r="D432" s="4" t="s">
        <v>40</v>
      </c>
      <c r="E432" s="4" t="s">
        <v>25</v>
      </c>
      <c r="F432" s="4" t="s">
        <v>25</v>
      </c>
      <c r="G432" s="4" t="s">
        <v>25</v>
      </c>
      <c r="H432" s="4" t="s">
        <v>37</v>
      </c>
      <c r="I432" s="5">
        <v>44621</v>
      </c>
      <c r="J432" s="6">
        <v>0</v>
      </c>
      <c r="K432" s="6">
        <v>0</v>
      </c>
      <c r="L432" s="6">
        <v>6.3680000000000003</v>
      </c>
      <c r="M432" s="6">
        <v>6.3680000000000003</v>
      </c>
      <c r="N432" s="6">
        <v>6.3680000000000003</v>
      </c>
      <c r="O432" s="6">
        <v>6.3680000000000003</v>
      </c>
      <c r="P432" s="6">
        <v>0</v>
      </c>
      <c r="Q432" s="4" t="s">
        <v>26</v>
      </c>
      <c r="R432" s="4">
        <v>0</v>
      </c>
      <c r="S432" s="6">
        <v>0</v>
      </c>
      <c r="T432" s="6">
        <v>76</v>
      </c>
      <c r="U432" s="6">
        <v>51</v>
      </c>
      <c r="V432" s="6">
        <f>IF(ISERROR(VLOOKUP($S$432,'TAR FIN'!$A$1:$O$92,15,0)),0,VLOOKUP($S$432,'TAR FIN'!$A$1:$O$92,15,0))</f>
        <v>0</v>
      </c>
      <c r="W432" s="104">
        <f>IF(ISERROR(VLOOKUP($T$425,'TAR FIN CELESC'!$A$1:$O$92,15,0)),0,VLOOKUP($T$425,'TAR FIN CELESC'!$A$1:$O$92,15,0))</f>
        <v>201.87</v>
      </c>
      <c r="X432" s="104">
        <f>IF(ISERROR(VLOOKUP($U$425,'TAR FIN CELESC'!$A$1:$O$92,15,0)),0,VLOOKUP($U$425,'TAR FIN CELESC'!$A$1:$O$92,15,0))</f>
        <v>272.48</v>
      </c>
      <c r="Y432" s="6"/>
      <c r="Z432" s="6">
        <f ca="1">('TUSD BE'!$AM$51+'TUSD BF_350'!$AM$51+'TUSD CVA'!$AM$51)*1</f>
        <v>261.33999999999997</v>
      </c>
      <c r="AA432" s="6">
        <f ca="1">('TE BE'!$AB$39+'TE BF_350'!$AB$39+'TE CVA'!$AB$39)*1</f>
        <v>250.03999999999996</v>
      </c>
      <c r="AB432" s="6">
        <f>$K$432*$V$432</f>
        <v>0</v>
      </c>
      <c r="AC432" s="6">
        <f>$M$432*$W$432</f>
        <v>1285.5081600000001</v>
      </c>
      <c r="AD432" s="6">
        <f>$O$432*$X$432</f>
        <v>1735.1526400000002</v>
      </c>
      <c r="AE432" s="6">
        <f>$K$432*$Y$432</f>
        <v>0</v>
      </c>
      <c r="AF432" s="6">
        <f ca="1">$M$432*$Z$432</f>
        <v>1664.2131199999999</v>
      </c>
      <c r="AG432" s="6">
        <f ca="1">$O$432*$AA$432</f>
        <v>1592.2547199999999</v>
      </c>
    </row>
    <row r="433" spans="1:33" ht="11.25" customHeight="1" x14ac:dyDescent="0.3">
      <c r="A433" s="4" t="s">
        <v>21</v>
      </c>
      <c r="B433" s="4" t="s">
        <v>32</v>
      </c>
      <c r="C433" s="4" t="s">
        <v>38</v>
      </c>
      <c r="D433" s="4" t="s">
        <v>40</v>
      </c>
      <c r="E433" s="4" t="s">
        <v>25</v>
      </c>
      <c r="F433" s="4" t="s">
        <v>25</v>
      </c>
      <c r="G433" s="4" t="s">
        <v>25</v>
      </c>
      <c r="H433" s="4" t="s">
        <v>37</v>
      </c>
      <c r="I433" s="5">
        <v>44652</v>
      </c>
      <c r="J433" s="6">
        <v>0</v>
      </c>
      <c r="K433" s="6">
        <v>0</v>
      </c>
      <c r="L433" s="6">
        <v>5.8129999999999997</v>
      </c>
      <c r="M433" s="6">
        <v>5.8129999999999997</v>
      </c>
      <c r="N433" s="6">
        <v>5.8129999999999997</v>
      </c>
      <c r="O433" s="6">
        <v>5.8129999999999997</v>
      </c>
      <c r="P433" s="6">
        <v>0</v>
      </c>
      <c r="Q433" s="4" t="s">
        <v>26</v>
      </c>
      <c r="R433" s="4">
        <v>0</v>
      </c>
      <c r="S433" s="6">
        <v>0</v>
      </c>
      <c r="T433" s="6">
        <v>76</v>
      </c>
      <c r="U433" s="6">
        <v>51</v>
      </c>
      <c r="V433" s="6">
        <f>IF(ISERROR(VLOOKUP($S$433,'TAR FIN'!$A$1:$O$92,15,0)),0,VLOOKUP($S$433,'TAR FIN'!$A$1:$O$92,15,0))</f>
        <v>0</v>
      </c>
      <c r="W433" s="104">
        <f>IF(ISERROR(VLOOKUP($T$425,'TAR FIN CELESC'!$A$1:$O$92,15,0)),0,VLOOKUP($T$425,'TAR FIN CELESC'!$A$1:$O$92,15,0))</f>
        <v>201.87</v>
      </c>
      <c r="X433" s="104">
        <f>IF(ISERROR(VLOOKUP($U$425,'TAR FIN CELESC'!$A$1:$O$92,15,0)),0,VLOOKUP($U$425,'TAR FIN CELESC'!$A$1:$O$92,15,0))</f>
        <v>272.48</v>
      </c>
      <c r="Y433" s="6"/>
      <c r="Z433" s="6">
        <f ca="1">('TUSD BE'!$AM$51+'TUSD BF_350'!$AM$51+'TUSD CVA'!$AM$51)*1</f>
        <v>261.33999999999997</v>
      </c>
      <c r="AA433" s="6">
        <f ca="1">('TE BE'!$AB$39+'TE BF_350'!$AB$39+'TE CVA'!$AB$39)*1</f>
        <v>250.03999999999996</v>
      </c>
      <c r="AB433" s="6">
        <f>$K$433*$V$433</f>
        <v>0</v>
      </c>
      <c r="AC433" s="6">
        <f>$M$433*$W$433</f>
        <v>1173.4703099999999</v>
      </c>
      <c r="AD433" s="6">
        <f>$O$433*$X$433</f>
        <v>1583.92624</v>
      </c>
      <c r="AE433" s="6">
        <f>$K$433*$Y$433</f>
        <v>0</v>
      </c>
      <c r="AF433" s="6">
        <f ca="1">$M$433*$Z$433</f>
        <v>1519.1694199999997</v>
      </c>
      <c r="AG433" s="6">
        <f ca="1">$O$433*$AA$433</f>
        <v>1453.4825199999998</v>
      </c>
    </row>
    <row r="434" spans="1:33" ht="11.25" customHeight="1" x14ac:dyDescent="0.3">
      <c r="A434" s="4" t="s">
        <v>21</v>
      </c>
      <c r="B434" s="4" t="s">
        <v>32</v>
      </c>
      <c r="C434" s="4" t="s">
        <v>38</v>
      </c>
      <c r="D434" s="4" t="s">
        <v>40</v>
      </c>
      <c r="E434" s="4" t="s">
        <v>25</v>
      </c>
      <c r="F434" s="4" t="s">
        <v>25</v>
      </c>
      <c r="G434" s="4" t="s">
        <v>25</v>
      </c>
      <c r="H434" s="4" t="s">
        <v>37</v>
      </c>
      <c r="I434" s="5">
        <v>44682</v>
      </c>
      <c r="J434" s="6">
        <v>0</v>
      </c>
      <c r="K434" s="6">
        <v>0</v>
      </c>
      <c r="L434" s="6">
        <v>4.8</v>
      </c>
      <c r="M434" s="6">
        <v>4.8</v>
      </c>
      <c r="N434" s="6">
        <v>4.8</v>
      </c>
      <c r="O434" s="6">
        <v>4.8</v>
      </c>
      <c r="P434" s="6">
        <v>0</v>
      </c>
      <c r="Q434" s="4" t="s">
        <v>26</v>
      </c>
      <c r="R434" s="4">
        <v>0</v>
      </c>
      <c r="S434" s="6">
        <v>0</v>
      </c>
      <c r="T434" s="6">
        <v>76</v>
      </c>
      <c r="U434" s="6">
        <v>51</v>
      </c>
      <c r="V434" s="6">
        <f>IF(ISERROR(VLOOKUP($S$434,'TAR FIN'!$A$1:$O$92,15,0)),0,VLOOKUP($S$434,'TAR FIN'!$A$1:$O$92,15,0))</f>
        <v>0</v>
      </c>
      <c r="W434" s="104">
        <f>IF(ISERROR(VLOOKUP($T$425,'TAR FIN CELESC'!$A$1:$O$92,15,0)),0,VLOOKUP($T$425,'TAR FIN CELESC'!$A$1:$O$92,15,0))</f>
        <v>201.87</v>
      </c>
      <c r="X434" s="104">
        <f>IF(ISERROR(VLOOKUP($U$425,'TAR FIN CELESC'!$A$1:$O$92,15,0)),0,VLOOKUP($U$425,'TAR FIN CELESC'!$A$1:$O$92,15,0))</f>
        <v>272.48</v>
      </c>
      <c r="Y434" s="6"/>
      <c r="Z434" s="6">
        <f ca="1">('TUSD BE'!$AM$51+'TUSD BF_350'!$AM$51+'TUSD CVA'!$AM$51)*1</f>
        <v>261.33999999999997</v>
      </c>
      <c r="AA434" s="6">
        <f ca="1">('TE BE'!$AB$39+'TE BF_350'!$AB$39+'TE CVA'!$AB$39)*1</f>
        <v>250.03999999999996</v>
      </c>
      <c r="AB434" s="6">
        <f>$K$434*$V$434</f>
        <v>0</v>
      </c>
      <c r="AC434" s="6">
        <f>$M$434*$W$434</f>
        <v>968.976</v>
      </c>
      <c r="AD434" s="6">
        <f>$O$434*$X$434</f>
        <v>1307.904</v>
      </c>
      <c r="AE434" s="6">
        <f>$K$434*$Y$434</f>
        <v>0</v>
      </c>
      <c r="AF434" s="6">
        <f ca="1">$M$434*$Z$434</f>
        <v>1254.4319999999998</v>
      </c>
      <c r="AG434" s="6">
        <f ca="1">$O$434*$AA$434</f>
        <v>1200.1919999999998</v>
      </c>
    </row>
    <row r="435" spans="1:33" ht="11.25" customHeight="1" x14ac:dyDescent="0.3">
      <c r="A435" s="4" t="s">
        <v>21</v>
      </c>
      <c r="B435" s="4" t="s">
        <v>32</v>
      </c>
      <c r="C435" s="4" t="s">
        <v>38</v>
      </c>
      <c r="D435" s="4" t="s">
        <v>40</v>
      </c>
      <c r="E435" s="4" t="s">
        <v>25</v>
      </c>
      <c r="F435" s="4" t="s">
        <v>25</v>
      </c>
      <c r="G435" s="4" t="s">
        <v>25</v>
      </c>
      <c r="H435" s="4" t="s">
        <v>37</v>
      </c>
      <c r="I435" s="5">
        <v>44713</v>
      </c>
      <c r="J435" s="6">
        <v>0</v>
      </c>
      <c r="K435" s="6">
        <v>0</v>
      </c>
      <c r="L435" s="6">
        <v>5.0640000000000001</v>
      </c>
      <c r="M435" s="6">
        <v>5.0640000000000001</v>
      </c>
      <c r="N435" s="6">
        <v>5.0640000000000001</v>
      </c>
      <c r="O435" s="6">
        <v>5.0640000000000001</v>
      </c>
      <c r="P435" s="6">
        <v>0</v>
      </c>
      <c r="Q435" s="4" t="s">
        <v>26</v>
      </c>
      <c r="R435" s="4">
        <v>0</v>
      </c>
      <c r="S435" s="6">
        <v>0</v>
      </c>
      <c r="T435" s="6">
        <v>76</v>
      </c>
      <c r="U435" s="6">
        <v>51</v>
      </c>
      <c r="V435" s="6">
        <f>IF(ISERROR(VLOOKUP($S$435,'TAR FIN'!$A$1:$O$92,15,0)),0,VLOOKUP($S$435,'TAR FIN'!$A$1:$O$92,15,0))</f>
        <v>0</v>
      </c>
      <c r="W435" s="104">
        <f>IF(ISERROR(VLOOKUP($T$425,'TAR FIN CELESC'!$A$1:$O$92,15,0)),0,VLOOKUP($T$425,'TAR FIN CELESC'!$A$1:$O$92,15,0))</f>
        <v>201.87</v>
      </c>
      <c r="X435" s="104">
        <f>IF(ISERROR(VLOOKUP($U$425,'TAR FIN CELESC'!$A$1:$O$92,15,0)),0,VLOOKUP($U$425,'TAR FIN CELESC'!$A$1:$O$92,15,0))</f>
        <v>272.48</v>
      </c>
      <c r="Y435" s="6"/>
      <c r="Z435" s="6">
        <f ca="1">('TUSD BE'!$AM$51+'TUSD BF_350'!$AM$51+'TUSD CVA'!$AM$51)*1</f>
        <v>261.33999999999997</v>
      </c>
      <c r="AA435" s="6">
        <f ca="1">('TE BE'!$AB$39+'TE BF_350'!$AB$39+'TE CVA'!$AB$39)*1</f>
        <v>250.03999999999996</v>
      </c>
      <c r="AB435" s="6">
        <f>$K$435*$V$435</f>
        <v>0</v>
      </c>
      <c r="AC435" s="6">
        <f>$M$435*$W$435</f>
        <v>1022.26968</v>
      </c>
      <c r="AD435" s="6">
        <f>$O$435*$X$435</f>
        <v>1379.8387200000002</v>
      </c>
      <c r="AE435" s="6">
        <f>$K$435*$Y$435</f>
        <v>0</v>
      </c>
      <c r="AF435" s="6">
        <f ca="1">$M$435*$Z$435</f>
        <v>1323.4257599999999</v>
      </c>
      <c r="AG435" s="6">
        <f ca="1">$O$435*$AA$435</f>
        <v>1266.2025599999997</v>
      </c>
    </row>
    <row r="436" spans="1:33" ht="11.25" customHeight="1" x14ac:dyDescent="0.3">
      <c r="A436" s="4" t="s">
        <v>21</v>
      </c>
      <c r="B436" s="4" t="s">
        <v>32</v>
      </c>
      <c r="C436" s="4" t="s">
        <v>38</v>
      </c>
      <c r="D436" s="4" t="s">
        <v>40</v>
      </c>
      <c r="E436" s="4" t="s">
        <v>25</v>
      </c>
      <c r="F436" s="4" t="s">
        <v>25</v>
      </c>
      <c r="G436" s="4" t="s">
        <v>25</v>
      </c>
      <c r="H436" s="4" t="s">
        <v>37</v>
      </c>
      <c r="I436" s="5">
        <v>44743</v>
      </c>
      <c r="J436" s="6">
        <v>0</v>
      </c>
      <c r="K436" s="6">
        <v>0</v>
      </c>
      <c r="L436" s="6">
        <v>5.016</v>
      </c>
      <c r="M436" s="6">
        <v>5.016</v>
      </c>
      <c r="N436" s="6">
        <v>5.016</v>
      </c>
      <c r="O436" s="6">
        <v>5.016</v>
      </c>
      <c r="P436" s="6">
        <v>0</v>
      </c>
      <c r="Q436" s="4" t="s">
        <v>26</v>
      </c>
      <c r="R436" s="4">
        <v>0</v>
      </c>
      <c r="S436" s="6">
        <v>0</v>
      </c>
      <c r="T436" s="6">
        <v>76</v>
      </c>
      <c r="U436" s="6">
        <v>51</v>
      </c>
      <c r="V436" s="6">
        <f>IF(ISERROR(VLOOKUP($S$436,'TAR FIN'!$A$1:$O$92,15,0)),0,VLOOKUP($S$436,'TAR FIN'!$A$1:$O$92,15,0))</f>
        <v>0</v>
      </c>
      <c r="W436" s="104">
        <f>IF(ISERROR(VLOOKUP($T$425,'TAR FIN CELESC'!$A$1:$O$92,15,0)),0,VLOOKUP($T$425,'TAR FIN CELESC'!$A$1:$O$92,15,0))</f>
        <v>201.87</v>
      </c>
      <c r="X436" s="104">
        <f>IF(ISERROR(VLOOKUP($U$425,'TAR FIN CELESC'!$A$1:$O$92,15,0)),0,VLOOKUP($U$425,'TAR FIN CELESC'!$A$1:$O$92,15,0))</f>
        <v>272.48</v>
      </c>
      <c r="Y436" s="6"/>
      <c r="Z436" s="6">
        <f ca="1">('TUSD BE'!$AM$51+'TUSD BF_350'!$AM$51+'TUSD CVA'!$AM$51)*1</f>
        <v>261.33999999999997</v>
      </c>
      <c r="AA436" s="6">
        <f ca="1">('TE BE'!$AB$39+'TE BF_350'!$AB$39+'TE CVA'!$AB$39)*1</f>
        <v>250.03999999999996</v>
      </c>
      <c r="AB436" s="6">
        <f>$K$436*$V$436</f>
        <v>0</v>
      </c>
      <c r="AC436" s="6">
        <f>$M$436*$W$436</f>
        <v>1012.57992</v>
      </c>
      <c r="AD436" s="6">
        <f>$O$436*$X$436</f>
        <v>1366.7596800000001</v>
      </c>
      <c r="AE436" s="6">
        <f>$K$436*$Y$436</f>
        <v>0</v>
      </c>
      <c r="AF436" s="6">
        <f ca="1">$M$436*$Z$436</f>
        <v>1310.8814399999999</v>
      </c>
      <c r="AG436" s="6">
        <f ca="1">$O$436*$AA$436</f>
        <v>1254.2006399999998</v>
      </c>
    </row>
    <row r="437" spans="1:33" ht="11.25" customHeight="1" x14ac:dyDescent="0.3">
      <c r="A437" s="4" t="s">
        <v>21</v>
      </c>
      <c r="B437" s="4" t="s">
        <v>32</v>
      </c>
      <c r="C437" s="4" t="s">
        <v>38</v>
      </c>
      <c r="D437" s="4" t="s">
        <v>40</v>
      </c>
      <c r="E437" s="4" t="s">
        <v>25</v>
      </c>
      <c r="F437" s="4" t="s">
        <v>25</v>
      </c>
      <c r="G437" s="4" t="s">
        <v>25</v>
      </c>
      <c r="H437" s="4" t="s">
        <v>39</v>
      </c>
      <c r="I437" s="5">
        <v>44409</v>
      </c>
      <c r="J437" s="6">
        <v>0</v>
      </c>
      <c r="K437" s="6">
        <v>0</v>
      </c>
      <c r="L437" s="6">
        <v>0.317</v>
      </c>
      <c r="M437" s="6">
        <v>0.317</v>
      </c>
      <c r="N437" s="6">
        <v>0.317</v>
      </c>
      <c r="O437" s="6">
        <v>0.317</v>
      </c>
      <c r="P437" s="6">
        <v>0</v>
      </c>
      <c r="Q437" s="4" t="s">
        <v>26</v>
      </c>
      <c r="R437" s="4">
        <v>0</v>
      </c>
      <c r="S437" s="6">
        <v>0</v>
      </c>
      <c r="T437" s="6">
        <v>75</v>
      </c>
      <c r="U437" s="6">
        <v>48</v>
      </c>
      <c r="V437" s="6">
        <f>IF(ISERROR(VLOOKUP($S$437,'TAR FIN'!$A$1:$O$92,15,0)),0,VLOOKUP($S$437,'TAR FIN'!$A$1:$O$92,15,0))</f>
        <v>0</v>
      </c>
      <c r="W437" s="104">
        <f>IF(ISERROR(VLOOKUP($T$437,'TAR FIN CELESC'!$A$1:$O$92,15,0)),0,VLOOKUP($T$437,'TAR FIN CELESC'!$A$1:$O$92,15,0))</f>
        <v>384.56</v>
      </c>
      <c r="X437" s="104">
        <f>IF(ISERROR(VLOOKUP($U$437,'TAR FIN CELESC'!$A$1:$O$92,15,0)),0,VLOOKUP($U$437,'TAR FIN CELESC'!$A$1:$O$92,15,0))</f>
        <v>272.48</v>
      </c>
      <c r="Y437" s="6"/>
      <c r="Z437" s="6">
        <f ca="1">('TUSD BE'!$AM$50+'TUSD BF_350'!$AM$50+'TUSD CVA'!$AM$50)*1</f>
        <v>470.22</v>
      </c>
      <c r="AA437" s="6">
        <f ca="1">('TE BE'!$AB$38+'TE BF_350'!$AB$38+'TE CVA'!$AB$38)*1</f>
        <v>250.03999999999996</v>
      </c>
      <c r="AB437" s="6">
        <f>$K$437*$V$437</f>
        <v>0</v>
      </c>
      <c r="AC437" s="6">
        <f>$M$437*$W$437</f>
        <v>121.90552</v>
      </c>
      <c r="AD437" s="6">
        <f>$O$437*$X$437</f>
        <v>86.376160000000013</v>
      </c>
      <c r="AE437" s="6">
        <f>$K$437*$Y$437</f>
        <v>0</v>
      </c>
      <c r="AF437" s="6">
        <f ca="1">$M$437*$Z$437</f>
        <v>149.05974000000001</v>
      </c>
      <c r="AG437" s="6">
        <f ca="1">$O$437*$AA$437</f>
        <v>79.262679999999989</v>
      </c>
    </row>
    <row r="438" spans="1:33" ht="11.25" customHeight="1" x14ac:dyDescent="0.3">
      <c r="A438" s="4" t="s">
        <v>21</v>
      </c>
      <c r="B438" s="4" t="s">
        <v>32</v>
      </c>
      <c r="C438" s="4" t="s">
        <v>38</v>
      </c>
      <c r="D438" s="4" t="s">
        <v>40</v>
      </c>
      <c r="E438" s="4" t="s">
        <v>25</v>
      </c>
      <c r="F438" s="4" t="s">
        <v>25</v>
      </c>
      <c r="G438" s="4" t="s">
        <v>25</v>
      </c>
      <c r="H438" s="4" t="s">
        <v>39</v>
      </c>
      <c r="I438" s="5">
        <v>44440</v>
      </c>
      <c r="J438" s="6">
        <v>0</v>
      </c>
      <c r="K438" s="6">
        <v>0</v>
      </c>
      <c r="L438" s="6">
        <v>0.27900000000000003</v>
      </c>
      <c r="M438" s="6">
        <v>0.27900000000000003</v>
      </c>
      <c r="N438" s="6">
        <v>0.27900000000000003</v>
      </c>
      <c r="O438" s="6">
        <v>0.27900000000000003</v>
      </c>
      <c r="P438" s="6">
        <v>0</v>
      </c>
      <c r="Q438" s="4" t="s">
        <v>26</v>
      </c>
      <c r="R438" s="4">
        <v>0</v>
      </c>
      <c r="S438" s="6">
        <v>0</v>
      </c>
      <c r="T438" s="6">
        <v>75</v>
      </c>
      <c r="U438" s="6">
        <v>48</v>
      </c>
      <c r="V438" s="6">
        <f>IF(ISERROR(VLOOKUP($S$438,'TAR FIN'!$A$1:$O$92,15,0)),0,VLOOKUP($S$438,'TAR FIN'!$A$1:$O$92,15,0))</f>
        <v>0</v>
      </c>
      <c r="W438" s="104">
        <f>IF(ISERROR(VLOOKUP($T$437,'TAR FIN CELESC'!$A$1:$O$92,15,0)),0,VLOOKUP($T$437,'TAR FIN CELESC'!$A$1:$O$92,15,0))</f>
        <v>384.56</v>
      </c>
      <c r="X438" s="104">
        <f>IF(ISERROR(VLOOKUP($U$437,'TAR FIN CELESC'!$A$1:$O$92,15,0)),0,VLOOKUP($U$437,'TAR FIN CELESC'!$A$1:$O$92,15,0))</f>
        <v>272.48</v>
      </c>
      <c r="Y438" s="6"/>
      <c r="Z438" s="6">
        <f ca="1">('TUSD BE'!$AM$50+'TUSD BF_350'!$AM$50+'TUSD CVA'!$AM$50)*1</f>
        <v>470.22</v>
      </c>
      <c r="AA438" s="6">
        <f ca="1">('TE BE'!$AB$38+'TE BF_350'!$AB$38+'TE CVA'!$AB$38)*1</f>
        <v>250.03999999999996</v>
      </c>
      <c r="AB438" s="6">
        <f>$K$438*$V$438</f>
        <v>0</v>
      </c>
      <c r="AC438" s="6">
        <f>$M$438*$W$438</f>
        <v>107.29224000000001</v>
      </c>
      <c r="AD438" s="6">
        <f>$O$438*$X$438</f>
        <v>76.021920000000009</v>
      </c>
      <c r="AE438" s="6">
        <f>$K$438*$Y$438</f>
        <v>0</v>
      </c>
      <c r="AF438" s="6">
        <f ca="1">$M$438*$Z$438</f>
        <v>131.19138000000001</v>
      </c>
      <c r="AG438" s="6">
        <f ca="1">$O$438*$AA$438</f>
        <v>69.76115999999999</v>
      </c>
    </row>
    <row r="439" spans="1:33" ht="11.25" customHeight="1" x14ac:dyDescent="0.3">
      <c r="A439" s="4" t="s">
        <v>21</v>
      </c>
      <c r="B439" s="4" t="s">
        <v>32</v>
      </c>
      <c r="C439" s="4" t="s">
        <v>38</v>
      </c>
      <c r="D439" s="4" t="s">
        <v>40</v>
      </c>
      <c r="E439" s="4" t="s">
        <v>25</v>
      </c>
      <c r="F439" s="4" t="s">
        <v>25</v>
      </c>
      <c r="G439" s="4" t="s">
        <v>25</v>
      </c>
      <c r="H439" s="4" t="s">
        <v>39</v>
      </c>
      <c r="I439" s="5">
        <v>44470</v>
      </c>
      <c r="J439" s="6">
        <v>0</v>
      </c>
      <c r="K439" s="6">
        <v>0</v>
      </c>
      <c r="L439" s="6">
        <v>0.27600000000000002</v>
      </c>
      <c r="M439" s="6">
        <v>0.27600000000000002</v>
      </c>
      <c r="N439" s="6">
        <v>0.27600000000000002</v>
      </c>
      <c r="O439" s="6">
        <v>0.27600000000000002</v>
      </c>
      <c r="P439" s="6">
        <v>0</v>
      </c>
      <c r="Q439" s="4" t="s">
        <v>26</v>
      </c>
      <c r="R439" s="4">
        <v>0</v>
      </c>
      <c r="S439" s="6">
        <v>0</v>
      </c>
      <c r="T439" s="6">
        <v>75</v>
      </c>
      <c r="U439" s="6">
        <v>48</v>
      </c>
      <c r="V439" s="6">
        <f>IF(ISERROR(VLOOKUP($S$439,'TAR FIN'!$A$1:$O$92,15,0)),0,VLOOKUP($S$439,'TAR FIN'!$A$1:$O$92,15,0))</f>
        <v>0</v>
      </c>
      <c r="W439" s="104">
        <f>IF(ISERROR(VLOOKUP($T$437,'TAR FIN CELESC'!$A$1:$O$92,15,0)),0,VLOOKUP($T$437,'TAR FIN CELESC'!$A$1:$O$92,15,0))</f>
        <v>384.56</v>
      </c>
      <c r="X439" s="104">
        <f>IF(ISERROR(VLOOKUP($U$437,'TAR FIN CELESC'!$A$1:$O$92,15,0)),0,VLOOKUP($U$437,'TAR FIN CELESC'!$A$1:$O$92,15,0))</f>
        <v>272.48</v>
      </c>
      <c r="Y439" s="6"/>
      <c r="Z439" s="6">
        <f ca="1">('TUSD BE'!$AM$50+'TUSD BF_350'!$AM$50+'TUSD CVA'!$AM$50)*1</f>
        <v>470.22</v>
      </c>
      <c r="AA439" s="6">
        <f ca="1">('TE BE'!$AB$38+'TE BF_350'!$AB$38+'TE CVA'!$AB$38)*1</f>
        <v>250.03999999999996</v>
      </c>
      <c r="AB439" s="6">
        <f>$K$439*$V$439</f>
        <v>0</v>
      </c>
      <c r="AC439" s="6">
        <f>$M$439*$W$439</f>
        <v>106.13856000000001</v>
      </c>
      <c r="AD439" s="6">
        <f>$O$439*$X$439</f>
        <v>75.204480000000018</v>
      </c>
      <c r="AE439" s="6">
        <f>$K$439*$Y$439</f>
        <v>0</v>
      </c>
      <c r="AF439" s="6">
        <f ca="1">$M$439*$Z$439</f>
        <v>129.78072000000003</v>
      </c>
      <c r="AG439" s="6">
        <f ca="1">$O$439*$AA$439</f>
        <v>69.011039999999994</v>
      </c>
    </row>
    <row r="440" spans="1:33" ht="11.25" customHeight="1" x14ac:dyDescent="0.3">
      <c r="A440" s="4" t="s">
        <v>21</v>
      </c>
      <c r="B440" s="4" t="s">
        <v>32</v>
      </c>
      <c r="C440" s="4" t="s">
        <v>38</v>
      </c>
      <c r="D440" s="4" t="s">
        <v>40</v>
      </c>
      <c r="E440" s="4" t="s">
        <v>25</v>
      </c>
      <c r="F440" s="4" t="s">
        <v>25</v>
      </c>
      <c r="G440" s="4" t="s">
        <v>25</v>
      </c>
      <c r="H440" s="4" t="s">
        <v>39</v>
      </c>
      <c r="I440" s="5">
        <v>44501</v>
      </c>
      <c r="J440" s="6">
        <v>0</v>
      </c>
      <c r="K440" s="6">
        <v>0</v>
      </c>
      <c r="L440" s="6">
        <v>0.26500000000000001</v>
      </c>
      <c r="M440" s="6">
        <v>0.26500000000000001</v>
      </c>
      <c r="N440" s="6">
        <v>0.26500000000000001</v>
      </c>
      <c r="O440" s="6">
        <v>0.26500000000000001</v>
      </c>
      <c r="P440" s="6">
        <v>0</v>
      </c>
      <c r="Q440" s="4" t="s">
        <v>26</v>
      </c>
      <c r="R440" s="4">
        <v>0</v>
      </c>
      <c r="S440" s="6">
        <v>0</v>
      </c>
      <c r="T440" s="6">
        <v>75</v>
      </c>
      <c r="U440" s="6">
        <v>48</v>
      </c>
      <c r="V440" s="6">
        <f>IF(ISERROR(VLOOKUP($S$440,'TAR FIN'!$A$1:$O$92,15,0)),0,VLOOKUP($S$440,'TAR FIN'!$A$1:$O$92,15,0))</f>
        <v>0</v>
      </c>
      <c r="W440" s="104">
        <f>IF(ISERROR(VLOOKUP($T$437,'TAR FIN CELESC'!$A$1:$O$92,15,0)),0,VLOOKUP($T$437,'TAR FIN CELESC'!$A$1:$O$92,15,0))</f>
        <v>384.56</v>
      </c>
      <c r="X440" s="104">
        <f>IF(ISERROR(VLOOKUP($U$437,'TAR FIN CELESC'!$A$1:$O$92,15,0)),0,VLOOKUP($U$437,'TAR FIN CELESC'!$A$1:$O$92,15,0))</f>
        <v>272.48</v>
      </c>
      <c r="Y440" s="6"/>
      <c r="Z440" s="6">
        <f ca="1">('TUSD BE'!$AM$50+'TUSD BF_350'!$AM$50+'TUSD CVA'!$AM$50)*1</f>
        <v>470.22</v>
      </c>
      <c r="AA440" s="6">
        <f ca="1">('TE BE'!$AB$38+'TE BF_350'!$AB$38+'TE CVA'!$AB$38)*1</f>
        <v>250.03999999999996</v>
      </c>
      <c r="AB440" s="6">
        <f>$K$440*$V$440</f>
        <v>0</v>
      </c>
      <c r="AC440" s="6">
        <f>$M$440*$W$440</f>
        <v>101.9084</v>
      </c>
      <c r="AD440" s="6">
        <f>$O$440*$X$440</f>
        <v>72.207200000000014</v>
      </c>
      <c r="AE440" s="6">
        <f>$K$440*$Y$440</f>
        <v>0</v>
      </c>
      <c r="AF440" s="6">
        <f ca="1">$M$440*$Z$440</f>
        <v>124.60830000000001</v>
      </c>
      <c r="AG440" s="6">
        <f ca="1">$O$440*$AA$440</f>
        <v>66.260599999999997</v>
      </c>
    </row>
    <row r="441" spans="1:33" ht="11.25" customHeight="1" x14ac:dyDescent="0.3">
      <c r="A441" s="4" t="s">
        <v>21</v>
      </c>
      <c r="B441" s="4" t="s">
        <v>32</v>
      </c>
      <c r="C441" s="4" t="s">
        <v>38</v>
      </c>
      <c r="D441" s="4" t="s">
        <v>40</v>
      </c>
      <c r="E441" s="4" t="s">
        <v>25</v>
      </c>
      <c r="F441" s="4" t="s">
        <v>25</v>
      </c>
      <c r="G441" s="4" t="s">
        <v>25</v>
      </c>
      <c r="H441" s="4" t="s">
        <v>39</v>
      </c>
      <c r="I441" s="5">
        <v>44531</v>
      </c>
      <c r="J441" s="6">
        <v>0</v>
      </c>
      <c r="K441" s="6">
        <v>0</v>
      </c>
      <c r="L441" s="6">
        <v>0.27800000000000002</v>
      </c>
      <c r="M441" s="6">
        <v>0.27800000000000002</v>
      </c>
      <c r="N441" s="6">
        <v>0.27800000000000002</v>
      </c>
      <c r="O441" s="6">
        <v>0.27800000000000002</v>
      </c>
      <c r="P441" s="6">
        <v>0</v>
      </c>
      <c r="Q441" s="4" t="s">
        <v>26</v>
      </c>
      <c r="R441" s="4">
        <v>0</v>
      </c>
      <c r="S441" s="6">
        <v>0</v>
      </c>
      <c r="T441" s="6">
        <v>75</v>
      </c>
      <c r="U441" s="6">
        <v>48</v>
      </c>
      <c r="V441" s="6">
        <f>IF(ISERROR(VLOOKUP($S$441,'TAR FIN'!$A$1:$O$92,15,0)),0,VLOOKUP($S$441,'TAR FIN'!$A$1:$O$92,15,0))</f>
        <v>0</v>
      </c>
      <c r="W441" s="104">
        <f>IF(ISERROR(VLOOKUP($T$437,'TAR FIN CELESC'!$A$1:$O$92,15,0)),0,VLOOKUP($T$437,'TAR FIN CELESC'!$A$1:$O$92,15,0))</f>
        <v>384.56</v>
      </c>
      <c r="X441" s="104">
        <f>IF(ISERROR(VLOOKUP($U$437,'TAR FIN CELESC'!$A$1:$O$92,15,0)),0,VLOOKUP($U$437,'TAR FIN CELESC'!$A$1:$O$92,15,0))</f>
        <v>272.48</v>
      </c>
      <c r="Y441" s="6"/>
      <c r="Z441" s="6">
        <f ca="1">('TUSD BE'!$AM$50+'TUSD BF_350'!$AM$50+'TUSD CVA'!$AM$50)*1</f>
        <v>470.22</v>
      </c>
      <c r="AA441" s="6">
        <f ca="1">('TE BE'!$AB$38+'TE BF_350'!$AB$38+'TE CVA'!$AB$38)*1</f>
        <v>250.03999999999996</v>
      </c>
      <c r="AB441" s="6">
        <f>$K$441*$V$441</f>
        <v>0</v>
      </c>
      <c r="AC441" s="6">
        <f>$M$441*$W$441</f>
        <v>106.90768000000001</v>
      </c>
      <c r="AD441" s="6">
        <f>$O$441*$X$441</f>
        <v>75.749440000000007</v>
      </c>
      <c r="AE441" s="6">
        <f>$K$441*$Y$441</f>
        <v>0</v>
      </c>
      <c r="AF441" s="6">
        <f ca="1">$M$441*$Z$441</f>
        <v>130.72116000000003</v>
      </c>
      <c r="AG441" s="6">
        <f ca="1">$O$441*$AA$441</f>
        <v>69.511119999999991</v>
      </c>
    </row>
    <row r="442" spans="1:33" ht="11.25" customHeight="1" x14ac:dyDescent="0.3">
      <c r="A442" s="4" t="s">
        <v>21</v>
      </c>
      <c r="B442" s="4" t="s">
        <v>32</v>
      </c>
      <c r="C442" s="4" t="s">
        <v>38</v>
      </c>
      <c r="D442" s="4" t="s">
        <v>40</v>
      </c>
      <c r="E442" s="4" t="s">
        <v>25</v>
      </c>
      <c r="F442" s="4" t="s">
        <v>25</v>
      </c>
      <c r="G442" s="4" t="s">
        <v>25</v>
      </c>
      <c r="H442" s="4" t="s">
        <v>39</v>
      </c>
      <c r="I442" s="5">
        <v>44562</v>
      </c>
      <c r="J442" s="6">
        <v>0</v>
      </c>
      <c r="K442" s="6">
        <v>0</v>
      </c>
      <c r="L442" s="6">
        <v>0.309</v>
      </c>
      <c r="M442" s="6">
        <v>0.309</v>
      </c>
      <c r="N442" s="6">
        <v>0.309</v>
      </c>
      <c r="O442" s="6">
        <v>0.309</v>
      </c>
      <c r="P442" s="6">
        <v>0</v>
      </c>
      <c r="Q442" s="4" t="s">
        <v>26</v>
      </c>
      <c r="R442" s="4">
        <v>0</v>
      </c>
      <c r="S442" s="6">
        <v>0</v>
      </c>
      <c r="T442" s="6">
        <v>75</v>
      </c>
      <c r="U442" s="6">
        <v>48</v>
      </c>
      <c r="V442" s="6">
        <f>IF(ISERROR(VLOOKUP($S$442,'TAR FIN'!$A$1:$O$92,15,0)),0,VLOOKUP($S$442,'TAR FIN'!$A$1:$O$92,15,0))</f>
        <v>0</v>
      </c>
      <c r="W442" s="104">
        <f>IF(ISERROR(VLOOKUP($T$437,'TAR FIN CELESC'!$A$1:$O$92,15,0)),0,VLOOKUP($T$437,'TAR FIN CELESC'!$A$1:$O$92,15,0))</f>
        <v>384.56</v>
      </c>
      <c r="X442" s="104">
        <f>IF(ISERROR(VLOOKUP($U$437,'TAR FIN CELESC'!$A$1:$O$92,15,0)),0,VLOOKUP($U$437,'TAR FIN CELESC'!$A$1:$O$92,15,0))</f>
        <v>272.48</v>
      </c>
      <c r="Y442" s="6"/>
      <c r="Z442" s="6">
        <f ca="1">('TUSD BE'!$AM$50+'TUSD BF_350'!$AM$50+'TUSD CVA'!$AM$50)*1</f>
        <v>470.22</v>
      </c>
      <c r="AA442" s="6">
        <f ca="1">('TE BE'!$AB$38+'TE BF_350'!$AB$38+'TE CVA'!$AB$38)*1</f>
        <v>250.03999999999996</v>
      </c>
      <c r="AB442" s="6">
        <f>$K$442*$V$442</f>
        <v>0</v>
      </c>
      <c r="AC442" s="6">
        <f>$M$442*$W$442</f>
        <v>118.82904000000001</v>
      </c>
      <c r="AD442" s="6">
        <f>$O$442*$X$442</f>
        <v>84.19632</v>
      </c>
      <c r="AE442" s="6">
        <f>$K$442*$Y$442</f>
        <v>0</v>
      </c>
      <c r="AF442" s="6">
        <f ca="1">$M$442*$Z$442</f>
        <v>145.29798</v>
      </c>
      <c r="AG442" s="6">
        <f ca="1">$O$442*$AA$442</f>
        <v>77.262359999999987</v>
      </c>
    </row>
    <row r="443" spans="1:33" ht="11.25" customHeight="1" x14ac:dyDescent="0.3">
      <c r="A443" s="4" t="s">
        <v>21</v>
      </c>
      <c r="B443" s="4" t="s">
        <v>32</v>
      </c>
      <c r="C443" s="4" t="s">
        <v>38</v>
      </c>
      <c r="D443" s="4" t="s">
        <v>40</v>
      </c>
      <c r="E443" s="4" t="s">
        <v>25</v>
      </c>
      <c r="F443" s="4" t="s">
        <v>25</v>
      </c>
      <c r="G443" s="4" t="s">
        <v>25</v>
      </c>
      <c r="H443" s="4" t="s">
        <v>39</v>
      </c>
      <c r="I443" s="5">
        <v>44593</v>
      </c>
      <c r="J443" s="6">
        <v>0</v>
      </c>
      <c r="K443" s="6">
        <v>0</v>
      </c>
      <c r="L443" s="6">
        <v>0.38400000000000001</v>
      </c>
      <c r="M443" s="6">
        <v>0.38400000000000001</v>
      </c>
      <c r="N443" s="6">
        <v>0.38400000000000001</v>
      </c>
      <c r="O443" s="6">
        <v>0.38400000000000001</v>
      </c>
      <c r="P443" s="6">
        <v>0</v>
      </c>
      <c r="Q443" s="4" t="s">
        <v>26</v>
      </c>
      <c r="R443" s="4">
        <v>0</v>
      </c>
      <c r="S443" s="6">
        <v>0</v>
      </c>
      <c r="T443" s="6">
        <v>75</v>
      </c>
      <c r="U443" s="6">
        <v>48</v>
      </c>
      <c r="V443" s="6">
        <f>IF(ISERROR(VLOOKUP($S$443,'TAR FIN'!$A$1:$O$92,15,0)),0,VLOOKUP($S$443,'TAR FIN'!$A$1:$O$92,15,0))</f>
        <v>0</v>
      </c>
      <c r="W443" s="104">
        <f>IF(ISERROR(VLOOKUP($T$437,'TAR FIN CELESC'!$A$1:$O$92,15,0)),0,VLOOKUP($T$437,'TAR FIN CELESC'!$A$1:$O$92,15,0))</f>
        <v>384.56</v>
      </c>
      <c r="X443" s="104">
        <f>IF(ISERROR(VLOOKUP($U$437,'TAR FIN CELESC'!$A$1:$O$92,15,0)),0,VLOOKUP($U$437,'TAR FIN CELESC'!$A$1:$O$92,15,0))</f>
        <v>272.48</v>
      </c>
      <c r="Y443" s="6"/>
      <c r="Z443" s="6">
        <f ca="1">('TUSD BE'!$AM$50+'TUSD BF_350'!$AM$50+'TUSD CVA'!$AM$50)*1</f>
        <v>470.22</v>
      </c>
      <c r="AA443" s="6">
        <f ca="1">('TE BE'!$AB$38+'TE BF_350'!$AB$38+'TE CVA'!$AB$38)*1</f>
        <v>250.03999999999996</v>
      </c>
      <c r="AB443" s="6">
        <f>$K$443*$V$443</f>
        <v>0</v>
      </c>
      <c r="AC443" s="6">
        <f>$M$443*$W$443</f>
        <v>147.67104</v>
      </c>
      <c r="AD443" s="6">
        <f>$O$443*$X$443</f>
        <v>104.63232000000001</v>
      </c>
      <c r="AE443" s="6">
        <f>$K$443*$Y$443</f>
        <v>0</v>
      </c>
      <c r="AF443" s="6">
        <f ca="1">$M$443*$Z$443</f>
        <v>180.56448</v>
      </c>
      <c r="AG443" s="6">
        <f ca="1">$O$443*$AA$443</f>
        <v>96.015359999999987</v>
      </c>
    </row>
    <row r="444" spans="1:33" ht="11.25" customHeight="1" x14ac:dyDescent="0.3">
      <c r="A444" s="4" t="s">
        <v>21</v>
      </c>
      <c r="B444" s="4" t="s">
        <v>32</v>
      </c>
      <c r="C444" s="4" t="s">
        <v>38</v>
      </c>
      <c r="D444" s="4" t="s">
        <v>40</v>
      </c>
      <c r="E444" s="4" t="s">
        <v>25</v>
      </c>
      <c r="F444" s="4" t="s">
        <v>25</v>
      </c>
      <c r="G444" s="4" t="s">
        <v>25</v>
      </c>
      <c r="H444" s="4" t="s">
        <v>39</v>
      </c>
      <c r="I444" s="5">
        <v>44621</v>
      </c>
      <c r="J444" s="6">
        <v>0</v>
      </c>
      <c r="K444" s="6">
        <v>0</v>
      </c>
      <c r="L444" s="6">
        <v>0.29599999999999999</v>
      </c>
      <c r="M444" s="6">
        <v>0.29599999999999999</v>
      </c>
      <c r="N444" s="6">
        <v>0.29599999999999999</v>
      </c>
      <c r="O444" s="6">
        <v>0.29599999999999999</v>
      </c>
      <c r="P444" s="6">
        <v>0</v>
      </c>
      <c r="Q444" s="4" t="s">
        <v>26</v>
      </c>
      <c r="R444" s="4">
        <v>0</v>
      </c>
      <c r="S444" s="6">
        <v>0</v>
      </c>
      <c r="T444" s="6">
        <v>75</v>
      </c>
      <c r="U444" s="6">
        <v>48</v>
      </c>
      <c r="V444" s="6">
        <f>IF(ISERROR(VLOOKUP($S$444,'TAR FIN'!$A$1:$O$92,15,0)),0,VLOOKUP($S$444,'TAR FIN'!$A$1:$O$92,15,0))</f>
        <v>0</v>
      </c>
      <c r="W444" s="104">
        <f>IF(ISERROR(VLOOKUP($T$437,'TAR FIN CELESC'!$A$1:$O$92,15,0)),0,VLOOKUP($T$437,'TAR FIN CELESC'!$A$1:$O$92,15,0))</f>
        <v>384.56</v>
      </c>
      <c r="X444" s="104">
        <f>IF(ISERROR(VLOOKUP($U$437,'TAR FIN CELESC'!$A$1:$O$92,15,0)),0,VLOOKUP($U$437,'TAR FIN CELESC'!$A$1:$O$92,15,0))</f>
        <v>272.48</v>
      </c>
      <c r="Y444" s="6"/>
      <c r="Z444" s="6">
        <f ca="1">('TUSD BE'!$AM$50+'TUSD BF_350'!$AM$50+'TUSD CVA'!$AM$50)*1</f>
        <v>470.22</v>
      </c>
      <c r="AA444" s="6">
        <f ca="1">('TE BE'!$AB$38+'TE BF_350'!$AB$38+'TE CVA'!$AB$38)*1</f>
        <v>250.03999999999996</v>
      </c>
      <c r="AB444" s="6">
        <f>$K$444*$V$444</f>
        <v>0</v>
      </c>
      <c r="AC444" s="6">
        <f>$M$444*$W$444</f>
        <v>113.82975999999999</v>
      </c>
      <c r="AD444" s="6">
        <f>$O$444*$X$444</f>
        <v>80.654080000000008</v>
      </c>
      <c r="AE444" s="6">
        <f>$K$444*$Y$444</f>
        <v>0</v>
      </c>
      <c r="AF444" s="6">
        <f ca="1">$M$444*$Z$444</f>
        <v>139.18512000000001</v>
      </c>
      <c r="AG444" s="6">
        <f ca="1">$O$444*$AA$444</f>
        <v>74.011839999999992</v>
      </c>
    </row>
    <row r="445" spans="1:33" ht="11.25" customHeight="1" x14ac:dyDescent="0.3">
      <c r="A445" s="4" t="s">
        <v>21</v>
      </c>
      <c r="B445" s="4" t="s">
        <v>32</v>
      </c>
      <c r="C445" s="4" t="s">
        <v>38</v>
      </c>
      <c r="D445" s="4" t="s">
        <v>40</v>
      </c>
      <c r="E445" s="4" t="s">
        <v>25</v>
      </c>
      <c r="F445" s="4" t="s">
        <v>25</v>
      </c>
      <c r="G445" s="4" t="s">
        <v>25</v>
      </c>
      <c r="H445" s="4" t="s">
        <v>39</v>
      </c>
      <c r="I445" s="5">
        <v>44652</v>
      </c>
      <c r="J445" s="6">
        <v>0</v>
      </c>
      <c r="K445" s="6">
        <v>0</v>
      </c>
      <c r="L445" s="6">
        <v>0.317</v>
      </c>
      <c r="M445" s="6">
        <v>0.317</v>
      </c>
      <c r="N445" s="6">
        <v>0.317</v>
      </c>
      <c r="O445" s="6">
        <v>0.317</v>
      </c>
      <c r="P445" s="6">
        <v>0</v>
      </c>
      <c r="Q445" s="4" t="s">
        <v>26</v>
      </c>
      <c r="R445" s="4">
        <v>0</v>
      </c>
      <c r="S445" s="6">
        <v>0</v>
      </c>
      <c r="T445" s="6">
        <v>75</v>
      </c>
      <c r="U445" s="6">
        <v>48</v>
      </c>
      <c r="V445" s="6">
        <f>IF(ISERROR(VLOOKUP($S$445,'TAR FIN'!$A$1:$O$92,15,0)),0,VLOOKUP($S$445,'TAR FIN'!$A$1:$O$92,15,0))</f>
        <v>0</v>
      </c>
      <c r="W445" s="104">
        <f>IF(ISERROR(VLOOKUP($T$437,'TAR FIN CELESC'!$A$1:$O$92,15,0)),0,VLOOKUP($T$437,'TAR FIN CELESC'!$A$1:$O$92,15,0))</f>
        <v>384.56</v>
      </c>
      <c r="X445" s="104">
        <f>IF(ISERROR(VLOOKUP($U$437,'TAR FIN CELESC'!$A$1:$O$92,15,0)),0,VLOOKUP($U$437,'TAR FIN CELESC'!$A$1:$O$92,15,0))</f>
        <v>272.48</v>
      </c>
      <c r="Y445" s="6"/>
      <c r="Z445" s="6">
        <f ca="1">('TUSD BE'!$AM$50+'TUSD BF_350'!$AM$50+'TUSD CVA'!$AM$50)*1</f>
        <v>470.22</v>
      </c>
      <c r="AA445" s="6">
        <f ca="1">('TE BE'!$AB$38+'TE BF_350'!$AB$38+'TE CVA'!$AB$38)*1</f>
        <v>250.03999999999996</v>
      </c>
      <c r="AB445" s="6">
        <f>$K$445*$V$445</f>
        <v>0</v>
      </c>
      <c r="AC445" s="6">
        <f>$M$445*$W$445</f>
        <v>121.90552</v>
      </c>
      <c r="AD445" s="6">
        <f>$O$445*$X$445</f>
        <v>86.376160000000013</v>
      </c>
      <c r="AE445" s="6">
        <f>$K$445*$Y$445</f>
        <v>0</v>
      </c>
      <c r="AF445" s="6">
        <f ca="1">$M$445*$Z$445</f>
        <v>149.05974000000001</v>
      </c>
      <c r="AG445" s="6">
        <f ca="1">$O$445*$AA$445</f>
        <v>79.262679999999989</v>
      </c>
    </row>
    <row r="446" spans="1:33" ht="11.25" customHeight="1" x14ac:dyDescent="0.3">
      <c r="A446" s="4" t="s">
        <v>21</v>
      </c>
      <c r="B446" s="4" t="s">
        <v>32</v>
      </c>
      <c r="C446" s="4" t="s">
        <v>38</v>
      </c>
      <c r="D446" s="4" t="s">
        <v>40</v>
      </c>
      <c r="E446" s="4" t="s">
        <v>25</v>
      </c>
      <c r="F446" s="4" t="s">
        <v>25</v>
      </c>
      <c r="G446" s="4" t="s">
        <v>25</v>
      </c>
      <c r="H446" s="4" t="s">
        <v>39</v>
      </c>
      <c r="I446" s="5">
        <v>44682</v>
      </c>
      <c r="J446" s="6">
        <v>0</v>
      </c>
      <c r="K446" s="6">
        <v>0</v>
      </c>
      <c r="L446" s="6">
        <v>0.32100000000000001</v>
      </c>
      <c r="M446" s="6">
        <v>0.32100000000000001</v>
      </c>
      <c r="N446" s="6">
        <v>0.32100000000000001</v>
      </c>
      <c r="O446" s="6">
        <v>0.32100000000000001</v>
      </c>
      <c r="P446" s="6">
        <v>0</v>
      </c>
      <c r="Q446" s="4" t="s">
        <v>26</v>
      </c>
      <c r="R446" s="4">
        <v>0</v>
      </c>
      <c r="S446" s="6">
        <v>0</v>
      </c>
      <c r="T446" s="6">
        <v>75</v>
      </c>
      <c r="U446" s="6">
        <v>48</v>
      </c>
      <c r="V446" s="6">
        <f>IF(ISERROR(VLOOKUP($S$446,'TAR FIN'!$A$1:$O$92,15,0)),0,VLOOKUP($S$446,'TAR FIN'!$A$1:$O$92,15,0))</f>
        <v>0</v>
      </c>
      <c r="W446" s="104">
        <f>IF(ISERROR(VLOOKUP($T$437,'TAR FIN CELESC'!$A$1:$O$92,15,0)),0,VLOOKUP($T$437,'TAR FIN CELESC'!$A$1:$O$92,15,0))</f>
        <v>384.56</v>
      </c>
      <c r="X446" s="104">
        <f>IF(ISERROR(VLOOKUP($U$437,'TAR FIN CELESC'!$A$1:$O$92,15,0)),0,VLOOKUP($U$437,'TAR FIN CELESC'!$A$1:$O$92,15,0))</f>
        <v>272.48</v>
      </c>
      <c r="Y446" s="6"/>
      <c r="Z446" s="6">
        <f ca="1">('TUSD BE'!$AM$50+'TUSD BF_350'!$AM$50+'TUSD CVA'!$AM$50)*1</f>
        <v>470.22</v>
      </c>
      <c r="AA446" s="6">
        <f ca="1">('TE BE'!$AB$38+'TE BF_350'!$AB$38+'TE CVA'!$AB$38)*1</f>
        <v>250.03999999999996</v>
      </c>
      <c r="AB446" s="6">
        <f>$K$446*$V$446</f>
        <v>0</v>
      </c>
      <c r="AC446" s="6">
        <f>$M$446*$W$446</f>
        <v>123.44376</v>
      </c>
      <c r="AD446" s="6">
        <f>$O$446*$X$446</f>
        <v>87.466080000000005</v>
      </c>
      <c r="AE446" s="6">
        <f>$K$446*$Y$446</f>
        <v>0</v>
      </c>
      <c r="AF446" s="6">
        <f ca="1">$M$446*$Z$446</f>
        <v>150.94062000000002</v>
      </c>
      <c r="AG446" s="6">
        <f ca="1">$O$446*$AA$446</f>
        <v>80.262839999999997</v>
      </c>
    </row>
    <row r="447" spans="1:33" ht="11.25" customHeight="1" x14ac:dyDescent="0.3">
      <c r="A447" s="4" t="s">
        <v>21</v>
      </c>
      <c r="B447" s="4" t="s">
        <v>32</v>
      </c>
      <c r="C447" s="4" t="s">
        <v>38</v>
      </c>
      <c r="D447" s="4" t="s">
        <v>40</v>
      </c>
      <c r="E447" s="4" t="s">
        <v>25</v>
      </c>
      <c r="F447" s="4" t="s">
        <v>25</v>
      </c>
      <c r="G447" s="4" t="s">
        <v>25</v>
      </c>
      <c r="H447" s="4" t="s">
        <v>39</v>
      </c>
      <c r="I447" s="5">
        <v>44713</v>
      </c>
      <c r="J447" s="6">
        <v>0</v>
      </c>
      <c r="K447" s="6">
        <v>0</v>
      </c>
      <c r="L447" s="6">
        <v>0.35</v>
      </c>
      <c r="M447" s="6">
        <v>0.35</v>
      </c>
      <c r="N447" s="6">
        <v>0.35</v>
      </c>
      <c r="O447" s="6">
        <v>0.35</v>
      </c>
      <c r="P447" s="6">
        <v>0</v>
      </c>
      <c r="Q447" s="4" t="s">
        <v>26</v>
      </c>
      <c r="R447" s="4">
        <v>0</v>
      </c>
      <c r="S447" s="6">
        <v>0</v>
      </c>
      <c r="T447" s="6">
        <v>75</v>
      </c>
      <c r="U447" s="6">
        <v>48</v>
      </c>
      <c r="V447" s="6">
        <f>IF(ISERROR(VLOOKUP($S$447,'TAR FIN'!$A$1:$O$92,15,0)),0,VLOOKUP($S$447,'TAR FIN'!$A$1:$O$92,15,0))</f>
        <v>0</v>
      </c>
      <c r="W447" s="104">
        <f>IF(ISERROR(VLOOKUP($T$437,'TAR FIN CELESC'!$A$1:$O$92,15,0)),0,VLOOKUP($T$437,'TAR FIN CELESC'!$A$1:$O$92,15,0))</f>
        <v>384.56</v>
      </c>
      <c r="X447" s="104">
        <f>IF(ISERROR(VLOOKUP($U$437,'TAR FIN CELESC'!$A$1:$O$92,15,0)),0,VLOOKUP($U$437,'TAR FIN CELESC'!$A$1:$O$92,15,0))</f>
        <v>272.48</v>
      </c>
      <c r="Y447" s="6"/>
      <c r="Z447" s="6">
        <f ca="1">('TUSD BE'!$AM$50+'TUSD BF_350'!$AM$50+'TUSD CVA'!$AM$50)*1</f>
        <v>470.22</v>
      </c>
      <c r="AA447" s="6">
        <f ca="1">('TE BE'!$AB$38+'TE BF_350'!$AB$38+'TE CVA'!$AB$38)*1</f>
        <v>250.03999999999996</v>
      </c>
      <c r="AB447" s="6">
        <f>$K$447*$V$447</f>
        <v>0</v>
      </c>
      <c r="AC447" s="6">
        <f>$M$447*$W$447</f>
        <v>134.596</v>
      </c>
      <c r="AD447" s="6">
        <f>$O$447*$X$447</f>
        <v>95.367999999999995</v>
      </c>
      <c r="AE447" s="6">
        <f>$K$447*$Y$447</f>
        <v>0</v>
      </c>
      <c r="AF447" s="6">
        <f ca="1">$M$447*$Z$447</f>
        <v>164.577</v>
      </c>
      <c r="AG447" s="6">
        <f ca="1">$O$447*$AA$447</f>
        <v>87.513999999999982</v>
      </c>
    </row>
    <row r="448" spans="1:33" ht="11.25" customHeight="1" x14ac:dyDescent="0.3">
      <c r="A448" s="4" t="s">
        <v>21</v>
      </c>
      <c r="B448" s="4" t="s">
        <v>32</v>
      </c>
      <c r="C448" s="4" t="s">
        <v>38</v>
      </c>
      <c r="D448" s="4" t="s">
        <v>40</v>
      </c>
      <c r="E448" s="4" t="s">
        <v>25</v>
      </c>
      <c r="F448" s="4" t="s">
        <v>25</v>
      </c>
      <c r="G448" s="4" t="s">
        <v>25</v>
      </c>
      <c r="H448" s="4" t="s">
        <v>39</v>
      </c>
      <c r="I448" s="5">
        <v>44743</v>
      </c>
      <c r="J448" s="6">
        <v>0</v>
      </c>
      <c r="K448" s="6">
        <v>0</v>
      </c>
      <c r="L448" s="6">
        <v>0.36599999999999999</v>
      </c>
      <c r="M448" s="6">
        <v>0.36599999999999999</v>
      </c>
      <c r="N448" s="6">
        <v>0.36599999999999999</v>
      </c>
      <c r="O448" s="6">
        <v>0.36599999999999999</v>
      </c>
      <c r="P448" s="6">
        <v>0</v>
      </c>
      <c r="Q448" s="4" t="s">
        <v>26</v>
      </c>
      <c r="R448" s="4">
        <v>0</v>
      </c>
      <c r="S448" s="6">
        <v>0</v>
      </c>
      <c r="T448" s="6">
        <v>75</v>
      </c>
      <c r="U448" s="6">
        <v>48</v>
      </c>
      <c r="V448" s="6">
        <f>IF(ISERROR(VLOOKUP($S$448,'TAR FIN'!$A$1:$O$92,15,0)),0,VLOOKUP($S$448,'TAR FIN'!$A$1:$O$92,15,0))</f>
        <v>0</v>
      </c>
      <c r="W448" s="104">
        <f>IF(ISERROR(VLOOKUP($T$437,'TAR FIN CELESC'!$A$1:$O$92,15,0)),0,VLOOKUP($T$437,'TAR FIN CELESC'!$A$1:$O$92,15,0))</f>
        <v>384.56</v>
      </c>
      <c r="X448" s="104">
        <f>IF(ISERROR(VLOOKUP($U$437,'TAR FIN CELESC'!$A$1:$O$92,15,0)),0,VLOOKUP($U$437,'TAR FIN CELESC'!$A$1:$O$92,15,0))</f>
        <v>272.48</v>
      </c>
      <c r="Y448" s="6"/>
      <c r="Z448" s="6">
        <f ca="1">('TUSD BE'!$AM$50+'TUSD BF_350'!$AM$50+'TUSD CVA'!$AM$50)*1</f>
        <v>470.22</v>
      </c>
      <c r="AA448" s="6">
        <f ca="1">('TE BE'!$AB$38+'TE BF_350'!$AB$38+'TE CVA'!$AB$38)*1</f>
        <v>250.03999999999996</v>
      </c>
      <c r="AB448" s="6">
        <f>$K$448*$V$448</f>
        <v>0</v>
      </c>
      <c r="AC448" s="6">
        <f>$M$448*$W$448</f>
        <v>140.74896000000001</v>
      </c>
      <c r="AD448" s="6">
        <f>$O$448*$X$448</f>
        <v>99.727680000000007</v>
      </c>
      <c r="AE448" s="6">
        <f>$K$448*$Y$448</f>
        <v>0</v>
      </c>
      <c r="AF448" s="6">
        <f ca="1">$M$448*$Z$448</f>
        <v>172.10052000000002</v>
      </c>
      <c r="AG448" s="6">
        <f ca="1">$O$448*$AA$448</f>
        <v>91.514639999999986</v>
      </c>
    </row>
    <row r="449" spans="1:33" ht="11.25" customHeight="1" x14ac:dyDescent="0.3">
      <c r="A449" s="4" t="s">
        <v>21</v>
      </c>
      <c r="B449" s="4" t="s">
        <v>32</v>
      </c>
      <c r="C449" s="4" t="s">
        <v>38</v>
      </c>
      <c r="D449" s="4" t="s">
        <v>40</v>
      </c>
      <c r="E449" s="4" t="s">
        <v>25</v>
      </c>
      <c r="F449" s="4" t="s">
        <v>25</v>
      </c>
      <c r="G449" s="4" t="s">
        <v>25</v>
      </c>
      <c r="H449" s="4" t="s">
        <v>36</v>
      </c>
      <c r="I449" s="5">
        <v>44409</v>
      </c>
      <c r="J449" s="6">
        <v>0</v>
      </c>
      <c r="K449" s="6">
        <v>0</v>
      </c>
      <c r="L449" s="6">
        <v>0.32400000000000001</v>
      </c>
      <c r="M449" s="6">
        <v>0.32400000000000001</v>
      </c>
      <c r="N449" s="6">
        <v>0.32400000000000001</v>
      </c>
      <c r="O449" s="6">
        <v>0.32400000000000001</v>
      </c>
      <c r="P449" s="6">
        <v>0</v>
      </c>
      <c r="Q449" s="4" t="s">
        <v>26</v>
      </c>
      <c r="R449" s="4">
        <v>0</v>
      </c>
      <c r="S449" s="6">
        <v>0</v>
      </c>
      <c r="T449" s="6">
        <v>74</v>
      </c>
      <c r="U449" s="6">
        <v>47</v>
      </c>
      <c r="V449" s="6">
        <f>IF(ISERROR(VLOOKUP($S$449,'TAR FIN'!$A$1:$O$92,15,0)),0,VLOOKUP($S$449,'TAR FIN'!$A$1:$O$92,15,0))</f>
        <v>0</v>
      </c>
      <c r="W449" s="104">
        <f>IF(ISERROR(VLOOKUP($T$449,'TAR FIN CELESC'!$A$1:$O$92,15,0)),0,VLOOKUP($T$449,'TAR FIN CELESC'!$A$1:$O$92,15,0))</f>
        <v>567.25</v>
      </c>
      <c r="X449" s="104">
        <f>IF(ISERROR(VLOOKUP($U$449,'TAR FIN CELESC'!$A$1:$O$92,15,0)),0,VLOOKUP($U$449,'TAR FIN CELESC'!$A$1:$O$92,15,0))</f>
        <v>451.4</v>
      </c>
      <c r="Y449" s="6"/>
      <c r="Z449" s="6">
        <f ca="1">('TUSD BE'!$AM$49+'TUSD BF_350'!$AM$49+'TUSD CVA'!$AM$49)*1</f>
        <v>679.11000000000035</v>
      </c>
      <c r="AA449" s="6">
        <f ca="1">('TE BE'!$AB$37+'TE BF_350'!$AB$37+'TE CVA'!$AB$37)*1</f>
        <v>399.84</v>
      </c>
      <c r="AB449" s="6">
        <f>$K$449*$V$449</f>
        <v>0</v>
      </c>
      <c r="AC449" s="6">
        <f>$M$449*$W$449</f>
        <v>183.78900000000002</v>
      </c>
      <c r="AD449" s="6">
        <f>$O$449*$X$449</f>
        <v>146.25360000000001</v>
      </c>
      <c r="AE449" s="6">
        <f>$K$449*$Y$449</f>
        <v>0</v>
      </c>
      <c r="AF449" s="6">
        <f ca="1">$M$449*$Z$449</f>
        <v>220.03164000000012</v>
      </c>
      <c r="AG449" s="6">
        <f ca="1">$O$449*$AA$449</f>
        <v>129.54816</v>
      </c>
    </row>
    <row r="450" spans="1:33" ht="11.25" customHeight="1" x14ac:dyDescent="0.3">
      <c r="A450" s="4" t="s">
        <v>21</v>
      </c>
      <c r="B450" s="4" t="s">
        <v>32</v>
      </c>
      <c r="C450" s="4" t="s">
        <v>38</v>
      </c>
      <c r="D450" s="4" t="s">
        <v>40</v>
      </c>
      <c r="E450" s="4" t="s">
        <v>25</v>
      </c>
      <c r="F450" s="4" t="s">
        <v>25</v>
      </c>
      <c r="G450" s="4" t="s">
        <v>25</v>
      </c>
      <c r="H450" s="4" t="s">
        <v>36</v>
      </c>
      <c r="I450" s="5">
        <v>44440</v>
      </c>
      <c r="J450" s="6">
        <v>0</v>
      </c>
      <c r="K450" s="6">
        <v>0</v>
      </c>
      <c r="L450" s="6">
        <v>0.315</v>
      </c>
      <c r="M450" s="6">
        <v>0.315</v>
      </c>
      <c r="N450" s="6">
        <v>0.315</v>
      </c>
      <c r="O450" s="6">
        <v>0.315</v>
      </c>
      <c r="P450" s="6">
        <v>0</v>
      </c>
      <c r="Q450" s="4" t="s">
        <v>26</v>
      </c>
      <c r="R450" s="4">
        <v>0</v>
      </c>
      <c r="S450" s="6">
        <v>0</v>
      </c>
      <c r="T450" s="6">
        <v>74</v>
      </c>
      <c r="U450" s="6">
        <v>47</v>
      </c>
      <c r="V450" s="6">
        <f>IF(ISERROR(VLOOKUP($S$450,'TAR FIN'!$A$1:$O$92,15,0)),0,VLOOKUP($S$450,'TAR FIN'!$A$1:$O$92,15,0))</f>
        <v>0</v>
      </c>
      <c r="W450" s="104">
        <f>IF(ISERROR(VLOOKUP($T$449,'TAR FIN CELESC'!$A$1:$O$92,15,0)),0,VLOOKUP($T$449,'TAR FIN CELESC'!$A$1:$O$92,15,0))</f>
        <v>567.25</v>
      </c>
      <c r="X450" s="104">
        <f>IF(ISERROR(VLOOKUP($U$449,'TAR FIN CELESC'!$A$1:$O$92,15,0)),0,VLOOKUP($U$449,'TAR FIN CELESC'!$A$1:$O$92,15,0))</f>
        <v>451.4</v>
      </c>
      <c r="Y450" s="6"/>
      <c r="Z450" s="6">
        <f ca="1">('TUSD BE'!$AM$49+'TUSD BF_350'!$AM$49+'TUSD CVA'!$AM$49)*1</f>
        <v>679.11000000000035</v>
      </c>
      <c r="AA450" s="6">
        <f ca="1">('TE BE'!$AB$37+'TE BF_350'!$AB$37+'TE CVA'!$AB$37)*1</f>
        <v>399.84</v>
      </c>
      <c r="AB450" s="6">
        <f>$K$450*$V$450</f>
        <v>0</v>
      </c>
      <c r="AC450" s="6">
        <f>$M$450*$W$450</f>
        <v>178.68375</v>
      </c>
      <c r="AD450" s="6">
        <f>$O$450*$X$450</f>
        <v>142.191</v>
      </c>
      <c r="AE450" s="6">
        <f>$K$450*$Y$450</f>
        <v>0</v>
      </c>
      <c r="AF450" s="6">
        <f ca="1">$M$450*$Z$450</f>
        <v>213.9196500000001</v>
      </c>
      <c r="AG450" s="6">
        <f ca="1">$O$450*$AA$450</f>
        <v>125.94959999999999</v>
      </c>
    </row>
    <row r="451" spans="1:33" ht="11.25" customHeight="1" x14ac:dyDescent="0.3">
      <c r="A451" s="4" t="s">
        <v>21</v>
      </c>
      <c r="B451" s="4" t="s">
        <v>32</v>
      </c>
      <c r="C451" s="4" t="s">
        <v>38</v>
      </c>
      <c r="D451" s="4" t="s">
        <v>40</v>
      </c>
      <c r="E451" s="4" t="s">
        <v>25</v>
      </c>
      <c r="F451" s="4" t="s">
        <v>25</v>
      </c>
      <c r="G451" s="4" t="s">
        <v>25</v>
      </c>
      <c r="H451" s="4" t="s">
        <v>36</v>
      </c>
      <c r="I451" s="5">
        <v>44470</v>
      </c>
      <c r="J451" s="6">
        <v>0</v>
      </c>
      <c r="K451" s="6">
        <v>0</v>
      </c>
      <c r="L451" s="6">
        <v>0.311</v>
      </c>
      <c r="M451" s="6">
        <v>0.311</v>
      </c>
      <c r="N451" s="6">
        <v>0.311</v>
      </c>
      <c r="O451" s="6">
        <v>0.311</v>
      </c>
      <c r="P451" s="6">
        <v>0</v>
      </c>
      <c r="Q451" s="4" t="s">
        <v>26</v>
      </c>
      <c r="R451" s="4">
        <v>0</v>
      </c>
      <c r="S451" s="6">
        <v>0</v>
      </c>
      <c r="T451" s="6">
        <v>74</v>
      </c>
      <c r="U451" s="6">
        <v>47</v>
      </c>
      <c r="V451" s="6">
        <f>IF(ISERROR(VLOOKUP($S$451,'TAR FIN'!$A$1:$O$92,15,0)),0,VLOOKUP($S$451,'TAR FIN'!$A$1:$O$92,15,0))</f>
        <v>0</v>
      </c>
      <c r="W451" s="104">
        <f>IF(ISERROR(VLOOKUP($T$449,'TAR FIN CELESC'!$A$1:$O$92,15,0)),0,VLOOKUP($T$449,'TAR FIN CELESC'!$A$1:$O$92,15,0))</f>
        <v>567.25</v>
      </c>
      <c r="X451" s="104">
        <f>IF(ISERROR(VLOOKUP($U$449,'TAR FIN CELESC'!$A$1:$O$92,15,0)),0,VLOOKUP($U$449,'TAR FIN CELESC'!$A$1:$O$92,15,0))</f>
        <v>451.4</v>
      </c>
      <c r="Y451" s="6"/>
      <c r="Z451" s="6">
        <f ca="1">('TUSD BE'!$AM$49+'TUSD BF_350'!$AM$49+'TUSD CVA'!$AM$49)*1</f>
        <v>679.11000000000035</v>
      </c>
      <c r="AA451" s="6">
        <f ca="1">('TE BE'!$AB$37+'TE BF_350'!$AB$37+'TE CVA'!$AB$37)*1</f>
        <v>399.84</v>
      </c>
      <c r="AB451" s="6">
        <f>$K$451*$V$451</f>
        <v>0</v>
      </c>
      <c r="AC451" s="6">
        <f>$M$451*$W$451</f>
        <v>176.41475</v>
      </c>
      <c r="AD451" s="6">
        <f>$O$451*$X$451</f>
        <v>140.3854</v>
      </c>
      <c r="AE451" s="6">
        <f>$K$451*$Y$451</f>
        <v>0</v>
      </c>
      <c r="AF451" s="6">
        <f ca="1">$M$451*$Z$451</f>
        <v>211.2032100000001</v>
      </c>
      <c r="AG451" s="6">
        <f ca="1">$O$451*$AA$451</f>
        <v>124.35023999999999</v>
      </c>
    </row>
    <row r="452" spans="1:33" ht="11.25" customHeight="1" x14ac:dyDescent="0.3">
      <c r="A452" s="4" t="s">
        <v>21</v>
      </c>
      <c r="B452" s="4" t="s">
        <v>32</v>
      </c>
      <c r="C452" s="4" t="s">
        <v>38</v>
      </c>
      <c r="D452" s="4" t="s">
        <v>40</v>
      </c>
      <c r="E452" s="4" t="s">
        <v>25</v>
      </c>
      <c r="F452" s="4" t="s">
        <v>25</v>
      </c>
      <c r="G452" s="4" t="s">
        <v>25</v>
      </c>
      <c r="H452" s="4" t="s">
        <v>36</v>
      </c>
      <c r="I452" s="5">
        <v>44501</v>
      </c>
      <c r="J452" s="6">
        <v>0</v>
      </c>
      <c r="K452" s="6">
        <v>0</v>
      </c>
      <c r="L452" s="6">
        <v>0.29399999999999998</v>
      </c>
      <c r="M452" s="6">
        <v>0.29399999999999998</v>
      </c>
      <c r="N452" s="6">
        <v>0.29399999999999998</v>
      </c>
      <c r="O452" s="6">
        <v>0.29399999999999998</v>
      </c>
      <c r="P452" s="6">
        <v>0</v>
      </c>
      <c r="Q452" s="4" t="s">
        <v>26</v>
      </c>
      <c r="R452" s="4">
        <v>0</v>
      </c>
      <c r="S452" s="6">
        <v>0</v>
      </c>
      <c r="T452" s="6">
        <v>74</v>
      </c>
      <c r="U452" s="6">
        <v>47</v>
      </c>
      <c r="V452" s="6">
        <f>IF(ISERROR(VLOOKUP($S$452,'TAR FIN'!$A$1:$O$92,15,0)),0,VLOOKUP($S$452,'TAR FIN'!$A$1:$O$92,15,0))</f>
        <v>0</v>
      </c>
      <c r="W452" s="104">
        <f>IF(ISERROR(VLOOKUP($T$449,'TAR FIN CELESC'!$A$1:$O$92,15,0)),0,VLOOKUP($T$449,'TAR FIN CELESC'!$A$1:$O$92,15,0))</f>
        <v>567.25</v>
      </c>
      <c r="X452" s="104">
        <f>IF(ISERROR(VLOOKUP($U$449,'TAR FIN CELESC'!$A$1:$O$92,15,0)),0,VLOOKUP($U$449,'TAR FIN CELESC'!$A$1:$O$92,15,0))</f>
        <v>451.4</v>
      </c>
      <c r="Y452" s="6"/>
      <c r="Z452" s="6">
        <f ca="1">('TUSD BE'!$AM$49+'TUSD BF_350'!$AM$49+'TUSD CVA'!$AM$49)*1</f>
        <v>679.11000000000035</v>
      </c>
      <c r="AA452" s="6">
        <f ca="1">('TE BE'!$AB$37+'TE BF_350'!$AB$37+'TE CVA'!$AB$37)*1</f>
        <v>399.84</v>
      </c>
      <c r="AB452" s="6">
        <f>$K$452*$V$452</f>
        <v>0</v>
      </c>
      <c r="AC452" s="6">
        <f>$M$452*$W$452</f>
        <v>166.7715</v>
      </c>
      <c r="AD452" s="6">
        <f>$O$452*$X$452</f>
        <v>132.71159999999998</v>
      </c>
      <c r="AE452" s="6">
        <f>$K$452*$Y$452</f>
        <v>0</v>
      </c>
      <c r="AF452" s="6">
        <f ca="1">$M$452*$Z$452</f>
        <v>199.65834000000009</v>
      </c>
      <c r="AG452" s="6">
        <f ca="1">$O$452*$AA$452</f>
        <v>117.55295999999998</v>
      </c>
    </row>
    <row r="453" spans="1:33" ht="11.25" customHeight="1" x14ac:dyDescent="0.3">
      <c r="A453" s="4" t="s">
        <v>21</v>
      </c>
      <c r="B453" s="4" t="s">
        <v>32</v>
      </c>
      <c r="C453" s="4" t="s">
        <v>38</v>
      </c>
      <c r="D453" s="4" t="s">
        <v>40</v>
      </c>
      <c r="E453" s="4" t="s">
        <v>25</v>
      </c>
      <c r="F453" s="4" t="s">
        <v>25</v>
      </c>
      <c r="G453" s="4" t="s">
        <v>25</v>
      </c>
      <c r="H453" s="4" t="s">
        <v>36</v>
      </c>
      <c r="I453" s="5">
        <v>44531</v>
      </c>
      <c r="J453" s="6">
        <v>0</v>
      </c>
      <c r="K453" s="6">
        <v>0</v>
      </c>
      <c r="L453" s="6">
        <v>0.27800000000000002</v>
      </c>
      <c r="M453" s="6">
        <v>0.27800000000000002</v>
      </c>
      <c r="N453" s="6">
        <v>0.27800000000000002</v>
      </c>
      <c r="O453" s="6">
        <v>0.27800000000000002</v>
      </c>
      <c r="P453" s="6">
        <v>0</v>
      </c>
      <c r="Q453" s="4" t="s">
        <v>26</v>
      </c>
      <c r="R453" s="4">
        <v>0</v>
      </c>
      <c r="S453" s="6">
        <v>0</v>
      </c>
      <c r="T453" s="6">
        <v>74</v>
      </c>
      <c r="U453" s="6">
        <v>47</v>
      </c>
      <c r="V453" s="6">
        <f>IF(ISERROR(VLOOKUP($S$453,'TAR FIN'!$A$1:$O$92,15,0)),0,VLOOKUP($S$453,'TAR FIN'!$A$1:$O$92,15,0))</f>
        <v>0</v>
      </c>
      <c r="W453" s="104">
        <f>IF(ISERROR(VLOOKUP($T$449,'TAR FIN CELESC'!$A$1:$O$92,15,0)),0,VLOOKUP($T$449,'TAR FIN CELESC'!$A$1:$O$92,15,0))</f>
        <v>567.25</v>
      </c>
      <c r="X453" s="104">
        <f>IF(ISERROR(VLOOKUP($U$449,'TAR FIN CELESC'!$A$1:$O$92,15,0)),0,VLOOKUP($U$449,'TAR FIN CELESC'!$A$1:$O$92,15,0))</f>
        <v>451.4</v>
      </c>
      <c r="Y453" s="6"/>
      <c r="Z453" s="6">
        <f ca="1">('TUSD BE'!$AM$49+'TUSD BF_350'!$AM$49+'TUSD CVA'!$AM$49)*1</f>
        <v>679.11000000000035</v>
      </c>
      <c r="AA453" s="6">
        <f ca="1">('TE BE'!$AB$37+'TE BF_350'!$AB$37+'TE CVA'!$AB$37)*1</f>
        <v>399.84</v>
      </c>
      <c r="AB453" s="6">
        <f>$K$453*$V$453</f>
        <v>0</v>
      </c>
      <c r="AC453" s="6">
        <f>$M$453*$W$453</f>
        <v>157.69550000000001</v>
      </c>
      <c r="AD453" s="6">
        <f>$O$453*$X$453</f>
        <v>125.48920000000001</v>
      </c>
      <c r="AE453" s="6">
        <f>$K$453*$Y$453</f>
        <v>0</v>
      </c>
      <c r="AF453" s="6">
        <f ca="1">$M$453*$Z$453</f>
        <v>188.79258000000013</v>
      </c>
      <c r="AG453" s="6">
        <f ca="1">$O$453*$AA$453</f>
        <v>111.15552000000001</v>
      </c>
    </row>
    <row r="454" spans="1:33" ht="11.25" customHeight="1" x14ac:dyDescent="0.3">
      <c r="A454" s="4" t="s">
        <v>21</v>
      </c>
      <c r="B454" s="4" t="s">
        <v>32</v>
      </c>
      <c r="C454" s="4" t="s">
        <v>38</v>
      </c>
      <c r="D454" s="4" t="s">
        <v>40</v>
      </c>
      <c r="E454" s="4" t="s">
        <v>25</v>
      </c>
      <c r="F454" s="4" t="s">
        <v>25</v>
      </c>
      <c r="G454" s="4" t="s">
        <v>25</v>
      </c>
      <c r="H454" s="4" t="s">
        <v>36</v>
      </c>
      <c r="I454" s="5">
        <v>44562</v>
      </c>
      <c r="J454" s="6">
        <v>0</v>
      </c>
      <c r="K454" s="6">
        <v>0</v>
      </c>
      <c r="L454" s="6">
        <v>0.40500000000000003</v>
      </c>
      <c r="M454" s="6">
        <v>0.40500000000000003</v>
      </c>
      <c r="N454" s="6">
        <v>0.40500000000000003</v>
      </c>
      <c r="O454" s="6">
        <v>0.40500000000000003</v>
      </c>
      <c r="P454" s="6">
        <v>0</v>
      </c>
      <c r="Q454" s="4" t="s">
        <v>26</v>
      </c>
      <c r="R454" s="4">
        <v>0</v>
      </c>
      <c r="S454" s="6">
        <v>0</v>
      </c>
      <c r="T454" s="6">
        <v>74</v>
      </c>
      <c r="U454" s="6">
        <v>47</v>
      </c>
      <c r="V454" s="6">
        <f>IF(ISERROR(VLOOKUP($S$454,'TAR FIN'!$A$1:$O$92,15,0)),0,VLOOKUP($S$454,'TAR FIN'!$A$1:$O$92,15,0))</f>
        <v>0</v>
      </c>
      <c r="W454" s="104">
        <f>IF(ISERROR(VLOOKUP($T$449,'TAR FIN CELESC'!$A$1:$O$92,15,0)),0,VLOOKUP($T$449,'TAR FIN CELESC'!$A$1:$O$92,15,0))</f>
        <v>567.25</v>
      </c>
      <c r="X454" s="104">
        <f>IF(ISERROR(VLOOKUP($U$449,'TAR FIN CELESC'!$A$1:$O$92,15,0)),0,VLOOKUP($U$449,'TAR FIN CELESC'!$A$1:$O$92,15,0))</f>
        <v>451.4</v>
      </c>
      <c r="Y454" s="6"/>
      <c r="Z454" s="6">
        <f ca="1">('TUSD BE'!$AM$49+'TUSD BF_350'!$AM$49+'TUSD CVA'!$AM$49)*1</f>
        <v>679.11000000000035</v>
      </c>
      <c r="AA454" s="6">
        <f ca="1">('TE BE'!$AB$37+'TE BF_350'!$AB$37+'TE CVA'!$AB$37)*1</f>
        <v>399.84</v>
      </c>
      <c r="AB454" s="6">
        <f>$K$454*$V$454</f>
        <v>0</v>
      </c>
      <c r="AC454" s="6">
        <f>$M$454*$W$454</f>
        <v>229.73625000000001</v>
      </c>
      <c r="AD454" s="6">
        <f>$O$454*$X$454</f>
        <v>182.81700000000001</v>
      </c>
      <c r="AE454" s="6">
        <f>$K$454*$Y$454</f>
        <v>0</v>
      </c>
      <c r="AF454" s="6">
        <f ca="1">$M$454*$Z$454</f>
        <v>275.03955000000013</v>
      </c>
      <c r="AG454" s="6">
        <f ca="1">$O$454*$AA$454</f>
        <v>161.93520000000001</v>
      </c>
    </row>
    <row r="455" spans="1:33" ht="11.25" customHeight="1" x14ac:dyDescent="0.3">
      <c r="A455" s="4" t="s">
        <v>21</v>
      </c>
      <c r="B455" s="4" t="s">
        <v>32</v>
      </c>
      <c r="C455" s="4" t="s">
        <v>38</v>
      </c>
      <c r="D455" s="4" t="s">
        <v>40</v>
      </c>
      <c r="E455" s="4" t="s">
        <v>25</v>
      </c>
      <c r="F455" s="4" t="s">
        <v>25</v>
      </c>
      <c r="G455" s="4" t="s">
        <v>25</v>
      </c>
      <c r="H455" s="4" t="s">
        <v>36</v>
      </c>
      <c r="I455" s="5">
        <v>44593</v>
      </c>
      <c r="J455" s="6">
        <v>0</v>
      </c>
      <c r="K455" s="6">
        <v>0</v>
      </c>
      <c r="L455" s="6">
        <v>0.36899999999999999</v>
      </c>
      <c r="M455" s="6">
        <v>0.36899999999999999</v>
      </c>
      <c r="N455" s="6">
        <v>0.36899999999999999</v>
      </c>
      <c r="O455" s="6">
        <v>0.36899999999999999</v>
      </c>
      <c r="P455" s="6">
        <v>0</v>
      </c>
      <c r="Q455" s="4" t="s">
        <v>26</v>
      </c>
      <c r="R455" s="4">
        <v>0</v>
      </c>
      <c r="S455" s="6">
        <v>0</v>
      </c>
      <c r="T455" s="6">
        <v>74</v>
      </c>
      <c r="U455" s="6">
        <v>47</v>
      </c>
      <c r="V455" s="6">
        <f>IF(ISERROR(VLOOKUP($S$455,'TAR FIN'!$A$1:$O$92,15,0)),0,VLOOKUP($S$455,'TAR FIN'!$A$1:$O$92,15,0))</f>
        <v>0</v>
      </c>
      <c r="W455" s="104">
        <f>IF(ISERROR(VLOOKUP($T$449,'TAR FIN CELESC'!$A$1:$O$92,15,0)),0,VLOOKUP($T$449,'TAR FIN CELESC'!$A$1:$O$92,15,0))</f>
        <v>567.25</v>
      </c>
      <c r="X455" s="104">
        <f>IF(ISERROR(VLOOKUP($U$449,'TAR FIN CELESC'!$A$1:$O$92,15,0)),0,VLOOKUP($U$449,'TAR FIN CELESC'!$A$1:$O$92,15,0))</f>
        <v>451.4</v>
      </c>
      <c r="Y455" s="6"/>
      <c r="Z455" s="6">
        <f ca="1">('TUSD BE'!$AM$49+'TUSD BF_350'!$AM$49+'TUSD CVA'!$AM$49)*1</f>
        <v>679.11000000000035</v>
      </c>
      <c r="AA455" s="6">
        <f ca="1">('TE BE'!$AB$37+'TE BF_350'!$AB$37+'TE CVA'!$AB$37)*1</f>
        <v>399.84</v>
      </c>
      <c r="AB455" s="6">
        <f>$K$455*$V$455</f>
        <v>0</v>
      </c>
      <c r="AC455" s="6">
        <f>$M$455*$W$455</f>
        <v>209.31524999999999</v>
      </c>
      <c r="AD455" s="6">
        <f>$O$455*$X$455</f>
        <v>166.56659999999999</v>
      </c>
      <c r="AE455" s="6">
        <f>$K$455*$Y$455</f>
        <v>0</v>
      </c>
      <c r="AF455" s="6">
        <f ca="1">$M$455*$Z$455</f>
        <v>250.59159000000014</v>
      </c>
      <c r="AG455" s="6">
        <f ca="1">$O$455*$AA$455</f>
        <v>147.54095999999998</v>
      </c>
    </row>
    <row r="456" spans="1:33" ht="11.25" customHeight="1" x14ac:dyDescent="0.3">
      <c r="A456" s="4" t="s">
        <v>21</v>
      </c>
      <c r="B456" s="4" t="s">
        <v>32</v>
      </c>
      <c r="C456" s="4" t="s">
        <v>38</v>
      </c>
      <c r="D456" s="4" t="s">
        <v>40</v>
      </c>
      <c r="E456" s="4" t="s">
        <v>25</v>
      </c>
      <c r="F456" s="4" t="s">
        <v>25</v>
      </c>
      <c r="G456" s="4" t="s">
        <v>25</v>
      </c>
      <c r="H456" s="4" t="s">
        <v>36</v>
      </c>
      <c r="I456" s="5">
        <v>44621</v>
      </c>
      <c r="J456" s="6">
        <v>0</v>
      </c>
      <c r="K456" s="6">
        <v>0</v>
      </c>
      <c r="L456" s="6">
        <v>0.29699999999999999</v>
      </c>
      <c r="M456" s="6">
        <v>0.29699999999999999</v>
      </c>
      <c r="N456" s="6">
        <v>0.29699999999999999</v>
      </c>
      <c r="O456" s="6">
        <v>0.29699999999999999</v>
      </c>
      <c r="P456" s="6">
        <v>0</v>
      </c>
      <c r="Q456" s="4" t="s">
        <v>26</v>
      </c>
      <c r="R456" s="4">
        <v>0</v>
      </c>
      <c r="S456" s="6">
        <v>0</v>
      </c>
      <c r="T456" s="6">
        <v>74</v>
      </c>
      <c r="U456" s="6">
        <v>47</v>
      </c>
      <c r="V456" s="6">
        <f>IF(ISERROR(VLOOKUP($S$456,'TAR FIN'!$A$1:$O$92,15,0)),0,VLOOKUP($S$456,'TAR FIN'!$A$1:$O$92,15,0))</f>
        <v>0</v>
      </c>
      <c r="W456" s="104">
        <f>IF(ISERROR(VLOOKUP($T$449,'TAR FIN CELESC'!$A$1:$O$92,15,0)),0,VLOOKUP($T$449,'TAR FIN CELESC'!$A$1:$O$92,15,0))</f>
        <v>567.25</v>
      </c>
      <c r="X456" s="104">
        <f>IF(ISERROR(VLOOKUP($U$449,'TAR FIN CELESC'!$A$1:$O$92,15,0)),0,VLOOKUP($U$449,'TAR FIN CELESC'!$A$1:$O$92,15,0))</f>
        <v>451.4</v>
      </c>
      <c r="Y456" s="6"/>
      <c r="Z456" s="6">
        <f ca="1">('TUSD BE'!$AM$49+'TUSD BF_350'!$AM$49+'TUSD CVA'!$AM$49)*1</f>
        <v>679.11000000000035</v>
      </c>
      <c r="AA456" s="6">
        <f ca="1">('TE BE'!$AB$37+'TE BF_350'!$AB$37+'TE CVA'!$AB$37)*1</f>
        <v>399.84</v>
      </c>
      <c r="AB456" s="6">
        <f>$K$456*$V$456</f>
        <v>0</v>
      </c>
      <c r="AC456" s="6">
        <f>$M$456*$W$456</f>
        <v>168.47324999999998</v>
      </c>
      <c r="AD456" s="6">
        <f>$O$456*$X$456</f>
        <v>134.0658</v>
      </c>
      <c r="AE456" s="6">
        <f>$K$456*$Y$456</f>
        <v>0</v>
      </c>
      <c r="AF456" s="6">
        <f ca="1">$M$456*$Z$456</f>
        <v>201.69567000000009</v>
      </c>
      <c r="AG456" s="6">
        <f ca="1">$O$456*$AA$456</f>
        <v>118.75247999999999</v>
      </c>
    </row>
    <row r="457" spans="1:33" ht="11.25" customHeight="1" x14ac:dyDescent="0.3">
      <c r="A457" s="4" t="s">
        <v>21</v>
      </c>
      <c r="B457" s="4" t="s">
        <v>32</v>
      </c>
      <c r="C457" s="4" t="s">
        <v>38</v>
      </c>
      <c r="D457" s="4" t="s">
        <v>40</v>
      </c>
      <c r="E457" s="4" t="s">
        <v>25</v>
      </c>
      <c r="F457" s="4" t="s">
        <v>25</v>
      </c>
      <c r="G457" s="4" t="s">
        <v>25</v>
      </c>
      <c r="H457" s="4" t="s">
        <v>36</v>
      </c>
      <c r="I457" s="5">
        <v>44652</v>
      </c>
      <c r="J457" s="6">
        <v>0</v>
      </c>
      <c r="K457" s="6">
        <v>0</v>
      </c>
      <c r="L457" s="6">
        <v>0.32100000000000001</v>
      </c>
      <c r="M457" s="6">
        <v>0.32100000000000001</v>
      </c>
      <c r="N457" s="6">
        <v>0.32100000000000001</v>
      </c>
      <c r="O457" s="6">
        <v>0.32100000000000001</v>
      </c>
      <c r="P457" s="6">
        <v>0</v>
      </c>
      <c r="Q457" s="4" t="s">
        <v>26</v>
      </c>
      <c r="R457" s="4">
        <v>0</v>
      </c>
      <c r="S457" s="6">
        <v>0</v>
      </c>
      <c r="T457" s="6">
        <v>74</v>
      </c>
      <c r="U457" s="6">
        <v>47</v>
      </c>
      <c r="V457" s="6">
        <f>IF(ISERROR(VLOOKUP($S$457,'TAR FIN'!$A$1:$O$92,15,0)),0,VLOOKUP($S$457,'TAR FIN'!$A$1:$O$92,15,0))</f>
        <v>0</v>
      </c>
      <c r="W457" s="104">
        <f>IF(ISERROR(VLOOKUP($T$449,'TAR FIN CELESC'!$A$1:$O$92,15,0)),0,VLOOKUP($T$449,'TAR FIN CELESC'!$A$1:$O$92,15,0))</f>
        <v>567.25</v>
      </c>
      <c r="X457" s="104">
        <f>IF(ISERROR(VLOOKUP($U$449,'TAR FIN CELESC'!$A$1:$O$92,15,0)),0,VLOOKUP($U$449,'TAR FIN CELESC'!$A$1:$O$92,15,0))</f>
        <v>451.4</v>
      </c>
      <c r="Y457" s="6"/>
      <c r="Z457" s="6">
        <f ca="1">('TUSD BE'!$AM$49+'TUSD BF_350'!$AM$49+'TUSD CVA'!$AM$49)*1</f>
        <v>679.11000000000035</v>
      </c>
      <c r="AA457" s="6">
        <f ca="1">('TE BE'!$AB$37+'TE BF_350'!$AB$37+'TE CVA'!$AB$37)*1</f>
        <v>399.84</v>
      </c>
      <c r="AB457" s="6">
        <f>$K$457*$V$457</f>
        <v>0</v>
      </c>
      <c r="AC457" s="6">
        <f>$M$457*$W$457</f>
        <v>182.08725000000001</v>
      </c>
      <c r="AD457" s="6">
        <f>$O$457*$X$457</f>
        <v>144.89939999999999</v>
      </c>
      <c r="AE457" s="6">
        <f>$K$457*$Y$457</f>
        <v>0</v>
      </c>
      <c r="AF457" s="6">
        <f ca="1">$M$457*$Z$457</f>
        <v>217.99431000000013</v>
      </c>
      <c r="AG457" s="6">
        <f ca="1">$O$457*$AA$457</f>
        <v>128.34863999999999</v>
      </c>
    </row>
    <row r="458" spans="1:33" ht="11.25" customHeight="1" x14ac:dyDescent="0.3">
      <c r="A458" s="4" t="s">
        <v>21</v>
      </c>
      <c r="B458" s="4" t="s">
        <v>32</v>
      </c>
      <c r="C458" s="4" t="s">
        <v>38</v>
      </c>
      <c r="D458" s="4" t="s">
        <v>40</v>
      </c>
      <c r="E458" s="4" t="s">
        <v>25</v>
      </c>
      <c r="F458" s="4" t="s">
        <v>25</v>
      </c>
      <c r="G458" s="4" t="s">
        <v>25</v>
      </c>
      <c r="H458" s="4" t="s">
        <v>36</v>
      </c>
      <c r="I458" s="5">
        <v>44682</v>
      </c>
      <c r="J458" s="6">
        <v>0</v>
      </c>
      <c r="K458" s="6">
        <v>0</v>
      </c>
      <c r="L458" s="6">
        <v>0.35299999999999998</v>
      </c>
      <c r="M458" s="6">
        <v>0.35299999999999998</v>
      </c>
      <c r="N458" s="6">
        <v>0.35299999999999998</v>
      </c>
      <c r="O458" s="6">
        <v>0.35299999999999998</v>
      </c>
      <c r="P458" s="6">
        <v>0</v>
      </c>
      <c r="Q458" s="4" t="s">
        <v>26</v>
      </c>
      <c r="R458" s="4">
        <v>0</v>
      </c>
      <c r="S458" s="6">
        <v>0</v>
      </c>
      <c r="T458" s="6">
        <v>74</v>
      </c>
      <c r="U458" s="6">
        <v>47</v>
      </c>
      <c r="V458" s="6">
        <f>IF(ISERROR(VLOOKUP($S$458,'TAR FIN'!$A$1:$O$92,15,0)),0,VLOOKUP($S$458,'TAR FIN'!$A$1:$O$92,15,0))</f>
        <v>0</v>
      </c>
      <c r="W458" s="104">
        <f>IF(ISERROR(VLOOKUP($T$449,'TAR FIN CELESC'!$A$1:$O$92,15,0)),0,VLOOKUP($T$449,'TAR FIN CELESC'!$A$1:$O$92,15,0))</f>
        <v>567.25</v>
      </c>
      <c r="X458" s="104">
        <f>IF(ISERROR(VLOOKUP($U$449,'TAR FIN CELESC'!$A$1:$O$92,15,0)),0,VLOOKUP($U$449,'TAR FIN CELESC'!$A$1:$O$92,15,0))</f>
        <v>451.4</v>
      </c>
      <c r="Y458" s="6"/>
      <c r="Z458" s="6">
        <f ca="1">('TUSD BE'!$AM$49+'TUSD BF_350'!$AM$49+'TUSD CVA'!$AM$49)*1</f>
        <v>679.11000000000035</v>
      </c>
      <c r="AA458" s="6">
        <f ca="1">('TE BE'!$AB$37+'TE BF_350'!$AB$37+'TE CVA'!$AB$37)*1</f>
        <v>399.84</v>
      </c>
      <c r="AB458" s="6">
        <f>$K$458*$V$458</f>
        <v>0</v>
      </c>
      <c r="AC458" s="6">
        <f>$M$458*$W$458</f>
        <v>200.23925</v>
      </c>
      <c r="AD458" s="6">
        <f>$O$458*$X$458</f>
        <v>159.34419999999997</v>
      </c>
      <c r="AE458" s="6">
        <f>$K$458*$Y$458</f>
        <v>0</v>
      </c>
      <c r="AF458" s="6">
        <f ca="1">$M$458*$Z$458</f>
        <v>239.72583000000012</v>
      </c>
      <c r="AG458" s="6">
        <f ca="1">$O$458*$AA$458</f>
        <v>141.14352</v>
      </c>
    </row>
    <row r="459" spans="1:33" ht="11.25" customHeight="1" x14ac:dyDescent="0.3">
      <c r="A459" s="4" t="s">
        <v>21</v>
      </c>
      <c r="B459" s="4" t="s">
        <v>32</v>
      </c>
      <c r="C459" s="4" t="s">
        <v>38</v>
      </c>
      <c r="D459" s="4" t="s">
        <v>40</v>
      </c>
      <c r="E459" s="4" t="s">
        <v>25</v>
      </c>
      <c r="F459" s="4" t="s">
        <v>25</v>
      </c>
      <c r="G459" s="4" t="s">
        <v>25</v>
      </c>
      <c r="H459" s="4" t="s">
        <v>36</v>
      </c>
      <c r="I459" s="5">
        <v>44713</v>
      </c>
      <c r="J459" s="6">
        <v>0</v>
      </c>
      <c r="K459" s="6">
        <v>0</v>
      </c>
      <c r="L459" s="6">
        <v>0.36399999999999999</v>
      </c>
      <c r="M459" s="6">
        <v>0.36399999999999999</v>
      </c>
      <c r="N459" s="6">
        <v>0.36399999999999999</v>
      </c>
      <c r="O459" s="6">
        <v>0.36399999999999999</v>
      </c>
      <c r="P459" s="6">
        <v>0</v>
      </c>
      <c r="Q459" s="4" t="s">
        <v>26</v>
      </c>
      <c r="R459" s="4">
        <v>0</v>
      </c>
      <c r="S459" s="6">
        <v>0</v>
      </c>
      <c r="T459" s="6">
        <v>74</v>
      </c>
      <c r="U459" s="6">
        <v>47</v>
      </c>
      <c r="V459" s="6">
        <f>IF(ISERROR(VLOOKUP($S$459,'TAR FIN'!$A$1:$O$92,15,0)),0,VLOOKUP($S$459,'TAR FIN'!$A$1:$O$92,15,0))</f>
        <v>0</v>
      </c>
      <c r="W459" s="104">
        <f>IF(ISERROR(VLOOKUP($T$449,'TAR FIN CELESC'!$A$1:$O$92,15,0)),0,VLOOKUP($T$449,'TAR FIN CELESC'!$A$1:$O$92,15,0))</f>
        <v>567.25</v>
      </c>
      <c r="X459" s="104">
        <f>IF(ISERROR(VLOOKUP($U$449,'TAR FIN CELESC'!$A$1:$O$92,15,0)),0,VLOOKUP($U$449,'TAR FIN CELESC'!$A$1:$O$92,15,0))</f>
        <v>451.4</v>
      </c>
      <c r="Y459" s="6"/>
      <c r="Z459" s="6">
        <f ca="1">('TUSD BE'!$AM$49+'TUSD BF_350'!$AM$49+'TUSD CVA'!$AM$49)*1</f>
        <v>679.11000000000035</v>
      </c>
      <c r="AA459" s="6">
        <f ca="1">('TE BE'!$AB$37+'TE BF_350'!$AB$37+'TE CVA'!$AB$37)*1</f>
        <v>399.84</v>
      </c>
      <c r="AB459" s="6">
        <f>$K$459*$V$459</f>
        <v>0</v>
      </c>
      <c r="AC459" s="6">
        <f>$M$459*$W$459</f>
        <v>206.47899999999998</v>
      </c>
      <c r="AD459" s="6">
        <f>$O$459*$X$459</f>
        <v>164.30959999999999</v>
      </c>
      <c r="AE459" s="6">
        <f>$K$459*$Y$459</f>
        <v>0</v>
      </c>
      <c r="AF459" s="6">
        <f ca="1">$M$459*$Z$459</f>
        <v>247.19604000000012</v>
      </c>
      <c r="AG459" s="6">
        <f ca="1">$O$459*$AA$459</f>
        <v>145.54175999999998</v>
      </c>
    </row>
    <row r="460" spans="1:33" ht="11.25" customHeight="1" x14ac:dyDescent="0.3">
      <c r="A460" s="4" t="s">
        <v>21</v>
      </c>
      <c r="B460" s="4" t="s">
        <v>32</v>
      </c>
      <c r="C460" s="4" t="s">
        <v>38</v>
      </c>
      <c r="D460" s="4" t="s">
        <v>40</v>
      </c>
      <c r="E460" s="4" t="s">
        <v>25</v>
      </c>
      <c r="F460" s="4" t="s">
        <v>25</v>
      </c>
      <c r="G460" s="4" t="s">
        <v>25</v>
      </c>
      <c r="H460" s="4" t="s">
        <v>36</v>
      </c>
      <c r="I460" s="5">
        <v>44743</v>
      </c>
      <c r="J460" s="6">
        <v>0</v>
      </c>
      <c r="K460" s="6">
        <v>0</v>
      </c>
      <c r="L460" s="6">
        <v>0.34799999999999998</v>
      </c>
      <c r="M460" s="6">
        <v>0.34799999999999998</v>
      </c>
      <c r="N460" s="6">
        <v>0.34799999999999998</v>
      </c>
      <c r="O460" s="6">
        <v>0.34799999999999998</v>
      </c>
      <c r="P460" s="6">
        <v>0</v>
      </c>
      <c r="Q460" s="4" t="s">
        <v>26</v>
      </c>
      <c r="R460" s="4">
        <v>0</v>
      </c>
      <c r="S460" s="6">
        <v>0</v>
      </c>
      <c r="T460" s="6">
        <v>74</v>
      </c>
      <c r="U460" s="6">
        <v>47</v>
      </c>
      <c r="V460" s="6">
        <f>IF(ISERROR(VLOOKUP($S$460,'TAR FIN'!$A$1:$O$92,15,0)),0,VLOOKUP($S$460,'TAR FIN'!$A$1:$O$92,15,0))</f>
        <v>0</v>
      </c>
      <c r="W460" s="104">
        <f>IF(ISERROR(VLOOKUP($T$449,'TAR FIN CELESC'!$A$1:$O$92,15,0)),0,VLOOKUP($T$449,'TAR FIN CELESC'!$A$1:$O$92,15,0))</f>
        <v>567.25</v>
      </c>
      <c r="X460" s="104">
        <f>IF(ISERROR(VLOOKUP($U$449,'TAR FIN CELESC'!$A$1:$O$92,15,0)),0,VLOOKUP($U$449,'TAR FIN CELESC'!$A$1:$O$92,15,0))</f>
        <v>451.4</v>
      </c>
      <c r="Y460" s="6"/>
      <c r="Z460" s="6">
        <f ca="1">('TUSD BE'!$AM$49+'TUSD BF_350'!$AM$49+'TUSD CVA'!$AM$49)*1</f>
        <v>679.11000000000035</v>
      </c>
      <c r="AA460" s="6">
        <f ca="1">('TE BE'!$AB$37+'TE BF_350'!$AB$37+'TE CVA'!$AB$37)*1</f>
        <v>399.84</v>
      </c>
      <c r="AB460" s="6">
        <f>$K$460*$V$460</f>
        <v>0</v>
      </c>
      <c r="AC460" s="6">
        <f>$M$460*$W$460</f>
        <v>197.40299999999999</v>
      </c>
      <c r="AD460" s="6">
        <f>$O$460*$X$460</f>
        <v>157.08719999999997</v>
      </c>
      <c r="AE460" s="6">
        <f>$K$460*$Y$460</f>
        <v>0</v>
      </c>
      <c r="AF460" s="6">
        <f ca="1">$M$460*$Z$460</f>
        <v>236.3302800000001</v>
      </c>
      <c r="AG460" s="6">
        <f ca="1">$O$460*$AA$460</f>
        <v>139.14431999999999</v>
      </c>
    </row>
    <row r="461" spans="1:33" ht="11.25" customHeight="1" x14ac:dyDescent="0.3">
      <c r="A461" s="4" t="s">
        <v>21</v>
      </c>
      <c r="B461" s="4" t="s">
        <v>32</v>
      </c>
      <c r="C461" s="4" t="s">
        <v>38</v>
      </c>
      <c r="D461" s="4" t="s">
        <v>33</v>
      </c>
      <c r="E461" s="4" t="s">
        <v>25</v>
      </c>
      <c r="F461" s="4" t="s">
        <v>25</v>
      </c>
      <c r="G461" s="4" t="s">
        <v>25</v>
      </c>
      <c r="H461" s="4" t="s">
        <v>37</v>
      </c>
      <c r="I461" s="5">
        <v>44409</v>
      </c>
      <c r="J461" s="6">
        <v>0</v>
      </c>
      <c r="K461" s="6">
        <v>0</v>
      </c>
      <c r="L461" s="6">
        <v>6.9989999999999997</v>
      </c>
      <c r="M461" s="6">
        <v>6.9989999999999997</v>
      </c>
      <c r="N461" s="6">
        <v>6.9989999999999997</v>
      </c>
      <c r="O461" s="6">
        <v>6.9989999999999997</v>
      </c>
      <c r="P461" s="6">
        <v>0</v>
      </c>
      <c r="Q461" s="4" t="s">
        <v>26</v>
      </c>
      <c r="R461" s="4">
        <v>0</v>
      </c>
      <c r="S461" s="6">
        <v>0</v>
      </c>
      <c r="T461" s="6">
        <v>76</v>
      </c>
      <c r="U461" s="6">
        <v>51</v>
      </c>
      <c r="V461" s="6">
        <f>IF(ISERROR(VLOOKUP($S$461,'TAR FIN'!$A$1:$O$92,15,0)),0,VLOOKUP($S$461,'TAR FIN'!$A$1:$O$92,15,0))</f>
        <v>0</v>
      </c>
      <c r="W461" s="104">
        <f>IF(ISERROR(VLOOKUP($T$461,'TAR FIN CELESC'!$A$1:$O$92,15,0)),0,VLOOKUP($T$461,'TAR FIN CELESC'!$A$1:$O$92,15,0))</f>
        <v>201.87</v>
      </c>
      <c r="X461" s="104">
        <f>IF(ISERROR(VLOOKUP($U$461,'TAR FIN CELESC'!$A$1:$O$92,15,0)),0,VLOOKUP($U$461,'TAR FIN CELESC'!$A$1:$O$92,15,0))</f>
        <v>272.48</v>
      </c>
      <c r="Y461" s="6"/>
      <c r="Z461" s="6">
        <f ca="1">('TUSD BE'!$AM$51+'TUSD BF_350'!$AM$51+'TUSD CVA'!$AM$51)*1</f>
        <v>261.33999999999997</v>
      </c>
      <c r="AA461" s="6">
        <f ca="1">('TE BE'!$AB$39+'TE BF_350'!$AB$39+'TE CVA'!$AB$39)*1</f>
        <v>250.03999999999996</v>
      </c>
      <c r="AB461" s="6">
        <f>$K$461*$V$461</f>
        <v>0</v>
      </c>
      <c r="AC461" s="6">
        <f>$M$461*$W$461</f>
        <v>1412.88813</v>
      </c>
      <c r="AD461" s="6">
        <f>$O$461*$X$461</f>
        <v>1907.08752</v>
      </c>
      <c r="AE461" s="6">
        <f>$K$461*$Y$461</f>
        <v>0</v>
      </c>
      <c r="AF461" s="6">
        <f ca="1">$M$461*$Z$461</f>
        <v>1829.1186599999996</v>
      </c>
      <c r="AG461" s="6">
        <f ca="1">$O$461*$AA$461</f>
        <v>1750.0299599999996</v>
      </c>
    </row>
    <row r="462" spans="1:33" ht="11.25" customHeight="1" x14ac:dyDescent="0.3">
      <c r="A462" s="4" t="s">
        <v>21</v>
      </c>
      <c r="B462" s="4" t="s">
        <v>32</v>
      </c>
      <c r="C462" s="4" t="s">
        <v>38</v>
      </c>
      <c r="D462" s="4" t="s">
        <v>33</v>
      </c>
      <c r="E462" s="4" t="s">
        <v>25</v>
      </c>
      <c r="F462" s="4" t="s">
        <v>25</v>
      </c>
      <c r="G462" s="4" t="s">
        <v>25</v>
      </c>
      <c r="H462" s="4" t="s">
        <v>37</v>
      </c>
      <c r="I462" s="5">
        <v>44440</v>
      </c>
      <c r="J462" s="6">
        <v>0</v>
      </c>
      <c r="K462" s="6">
        <v>0</v>
      </c>
      <c r="L462" s="6">
        <v>7.8239999999999998</v>
      </c>
      <c r="M462" s="6">
        <v>7.8239999999999998</v>
      </c>
      <c r="N462" s="6">
        <v>7.8239999999999998</v>
      </c>
      <c r="O462" s="6">
        <v>7.8239999999999998</v>
      </c>
      <c r="P462" s="6">
        <v>0</v>
      </c>
      <c r="Q462" s="4" t="s">
        <v>26</v>
      </c>
      <c r="R462" s="4">
        <v>0</v>
      </c>
      <c r="S462" s="6">
        <v>0</v>
      </c>
      <c r="T462" s="6">
        <v>76</v>
      </c>
      <c r="U462" s="6">
        <v>51</v>
      </c>
      <c r="V462" s="6">
        <f>IF(ISERROR(VLOOKUP($S$462,'TAR FIN'!$A$1:$O$92,15,0)),0,VLOOKUP($S$462,'TAR FIN'!$A$1:$O$92,15,0))</f>
        <v>0</v>
      </c>
      <c r="W462" s="104">
        <f>IF(ISERROR(VLOOKUP($T$461,'TAR FIN CELESC'!$A$1:$O$92,15,0)),0,VLOOKUP($T$461,'TAR FIN CELESC'!$A$1:$O$92,15,0))</f>
        <v>201.87</v>
      </c>
      <c r="X462" s="104">
        <f>IF(ISERROR(VLOOKUP($U$461,'TAR FIN CELESC'!$A$1:$O$92,15,0)),0,VLOOKUP($U$461,'TAR FIN CELESC'!$A$1:$O$92,15,0))</f>
        <v>272.48</v>
      </c>
      <c r="Y462" s="6"/>
      <c r="Z462" s="6">
        <f ca="1">('TUSD BE'!$AM$51+'TUSD BF_350'!$AM$51+'TUSD CVA'!$AM$51)*1</f>
        <v>261.33999999999997</v>
      </c>
      <c r="AA462" s="6">
        <f ca="1">('TE BE'!$AB$39+'TE BF_350'!$AB$39+'TE CVA'!$AB$39)*1</f>
        <v>250.03999999999996</v>
      </c>
      <c r="AB462" s="6">
        <f>$K$462*$V$462</f>
        <v>0</v>
      </c>
      <c r="AC462" s="6">
        <f>$M$462*$W$462</f>
        <v>1579.4308800000001</v>
      </c>
      <c r="AD462" s="6">
        <f>$O$462*$X$462</f>
        <v>2131.8835200000003</v>
      </c>
      <c r="AE462" s="6">
        <f>$K$462*$Y$462</f>
        <v>0</v>
      </c>
      <c r="AF462" s="6">
        <f ca="1">$M$462*$Z$462</f>
        <v>2044.7241599999998</v>
      </c>
      <c r="AG462" s="6">
        <f ca="1">$O$462*$AA$462</f>
        <v>1956.3129599999997</v>
      </c>
    </row>
    <row r="463" spans="1:33" ht="11.25" customHeight="1" x14ac:dyDescent="0.3">
      <c r="A463" s="4" t="s">
        <v>21</v>
      </c>
      <c r="B463" s="4" t="s">
        <v>32</v>
      </c>
      <c r="C463" s="4" t="s">
        <v>38</v>
      </c>
      <c r="D463" s="4" t="s">
        <v>33</v>
      </c>
      <c r="E463" s="4" t="s">
        <v>25</v>
      </c>
      <c r="F463" s="4" t="s">
        <v>25</v>
      </c>
      <c r="G463" s="4" t="s">
        <v>25</v>
      </c>
      <c r="H463" s="4" t="s">
        <v>37</v>
      </c>
      <c r="I463" s="5">
        <v>44470</v>
      </c>
      <c r="J463" s="6">
        <v>0</v>
      </c>
      <c r="K463" s="6">
        <v>0</v>
      </c>
      <c r="L463" s="6">
        <v>8.3190000000000008</v>
      </c>
      <c r="M463" s="6">
        <v>8.3190000000000008</v>
      </c>
      <c r="N463" s="6">
        <v>8.3190000000000008</v>
      </c>
      <c r="O463" s="6">
        <v>8.3190000000000008</v>
      </c>
      <c r="P463" s="6">
        <v>0</v>
      </c>
      <c r="Q463" s="4" t="s">
        <v>26</v>
      </c>
      <c r="R463" s="4">
        <v>0</v>
      </c>
      <c r="S463" s="6">
        <v>0</v>
      </c>
      <c r="T463" s="6">
        <v>76</v>
      </c>
      <c r="U463" s="6">
        <v>51</v>
      </c>
      <c r="V463" s="6">
        <f>IF(ISERROR(VLOOKUP($S$463,'TAR FIN'!$A$1:$O$92,15,0)),0,VLOOKUP($S$463,'TAR FIN'!$A$1:$O$92,15,0))</f>
        <v>0</v>
      </c>
      <c r="W463" s="104">
        <f>IF(ISERROR(VLOOKUP($T$461,'TAR FIN CELESC'!$A$1:$O$92,15,0)),0,VLOOKUP($T$461,'TAR FIN CELESC'!$A$1:$O$92,15,0))</f>
        <v>201.87</v>
      </c>
      <c r="X463" s="104">
        <f>IF(ISERROR(VLOOKUP($U$461,'TAR FIN CELESC'!$A$1:$O$92,15,0)),0,VLOOKUP($U$461,'TAR FIN CELESC'!$A$1:$O$92,15,0))</f>
        <v>272.48</v>
      </c>
      <c r="Y463" s="6"/>
      <c r="Z463" s="6">
        <f ca="1">('TUSD BE'!$AM$51+'TUSD BF_350'!$AM$51+'TUSD CVA'!$AM$51)*1</f>
        <v>261.33999999999997</v>
      </c>
      <c r="AA463" s="6">
        <f ca="1">('TE BE'!$AB$39+'TE BF_350'!$AB$39+'TE CVA'!$AB$39)*1</f>
        <v>250.03999999999996</v>
      </c>
      <c r="AB463" s="6">
        <f>$K$463*$V$463</f>
        <v>0</v>
      </c>
      <c r="AC463" s="6">
        <f>$M$463*$W$463</f>
        <v>1679.3565300000002</v>
      </c>
      <c r="AD463" s="6">
        <f>$O$463*$X$463</f>
        <v>2266.7611200000006</v>
      </c>
      <c r="AE463" s="6">
        <f>$K$463*$Y$463</f>
        <v>0</v>
      </c>
      <c r="AF463" s="6">
        <f ca="1">$M$463*$Z$463</f>
        <v>2174.0874600000002</v>
      </c>
      <c r="AG463" s="6">
        <f ca="1">$O$463*$AA$463</f>
        <v>2080.0827599999998</v>
      </c>
    </row>
    <row r="464" spans="1:33" ht="11.25" customHeight="1" x14ac:dyDescent="0.3">
      <c r="A464" s="4" t="s">
        <v>21</v>
      </c>
      <c r="B464" s="4" t="s">
        <v>32</v>
      </c>
      <c r="C464" s="4" t="s">
        <v>38</v>
      </c>
      <c r="D464" s="4" t="s">
        <v>33</v>
      </c>
      <c r="E464" s="4" t="s">
        <v>25</v>
      </c>
      <c r="F464" s="4" t="s">
        <v>25</v>
      </c>
      <c r="G464" s="4" t="s">
        <v>25</v>
      </c>
      <c r="H464" s="4" t="s">
        <v>37</v>
      </c>
      <c r="I464" s="5">
        <v>44501</v>
      </c>
      <c r="J464" s="6">
        <v>0</v>
      </c>
      <c r="K464" s="6">
        <v>0</v>
      </c>
      <c r="L464" s="6">
        <v>7.0270000000000001</v>
      </c>
      <c r="M464" s="6">
        <v>7.0270000000000001</v>
      </c>
      <c r="N464" s="6">
        <v>7.0270000000000001</v>
      </c>
      <c r="O464" s="6">
        <v>7.0270000000000001</v>
      </c>
      <c r="P464" s="6">
        <v>0</v>
      </c>
      <c r="Q464" s="4" t="s">
        <v>26</v>
      </c>
      <c r="R464" s="4">
        <v>0</v>
      </c>
      <c r="S464" s="6">
        <v>0</v>
      </c>
      <c r="T464" s="6">
        <v>76</v>
      </c>
      <c r="U464" s="6">
        <v>51</v>
      </c>
      <c r="V464" s="6">
        <f>IF(ISERROR(VLOOKUP($S$464,'TAR FIN'!$A$1:$O$92,15,0)),0,VLOOKUP($S$464,'TAR FIN'!$A$1:$O$92,15,0))</f>
        <v>0</v>
      </c>
      <c r="W464" s="104">
        <f>IF(ISERROR(VLOOKUP($T$461,'TAR FIN CELESC'!$A$1:$O$92,15,0)),0,VLOOKUP($T$461,'TAR FIN CELESC'!$A$1:$O$92,15,0))</f>
        <v>201.87</v>
      </c>
      <c r="X464" s="104">
        <f>IF(ISERROR(VLOOKUP($U$461,'TAR FIN CELESC'!$A$1:$O$92,15,0)),0,VLOOKUP($U$461,'TAR FIN CELESC'!$A$1:$O$92,15,0))</f>
        <v>272.48</v>
      </c>
      <c r="Y464" s="6"/>
      <c r="Z464" s="6">
        <f ca="1">('TUSD BE'!$AM$51+'TUSD BF_350'!$AM$51+'TUSD CVA'!$AM$51)*1</f>
        <v>261.33999999999997</v>
      </c>
      <c r="AA464" s="6">
        <f ca="1">('TE BE'!$AB$39+'TE BF_350'!$AB$39+'TE CVA'!$AB$39)*1</f>
        <v>250.03999999999996</v>
      </c>
      <c r="AB464" s="6">
        <f>$K$464*$V$464</f>
        <v>0</v>
      </c>
      <c r="AC464" s="6">
        <f>$M$464*$W$464</f>
        <v>1418.5404900000001</v>
      </c>
      <c r="AD464" s="6">
        <f>$O$464*$X$464</f>
        <v>1914.7169600000002</v>
      </c>
      <c r="AE464" s="6">
        <f>$K$464*$Y$464</f>
        <v>0</v>
      </c>
      <c r="AF464" s="6">
        <f ca="1">$M$464*$Z$464</f>
        <v>1836.4361799999999</v>
      </c>
      <c r="AG464" s="6">
        <f ca="1">$O$464*$AA$464</f>
        <v>1757.0310799999997</v>
      </c>
    </row>
    <row r="465" spans="1:33" ht="11.25" customHeight="1" x14ac:dyDescent="0.3">
      <c r="A465" s="4" t="s">
        <v>21</v>
      </c>
      <c r="B465" s="4" t="s">
        <v>32</v>
      </c>
      <c r="C465" s="4" t="s">
        <v>38</v>
      </c>
      <c r="D465" s="4" t="s">
        <v>33</v>
      </c>
      <c r="E465" s="4" t="s">
        <v>25</v>
      </c>
      <c r="F465" s="4" t="s">
        <v>25</v>
      </c>
      <c r="G465" s="4" t="s">
        <v>25</v>
      </c>
      <c r="H465" s="4" t="s">
        <v>37</v>
      </c>
      <c r="I465" s="5">
        <v>44531</v>
      </c>
      <c r="J465" s="6">
        <v>0</v>
      </c>
      <c r="K465" s="6">
        <v>0</v>
      </c>
      <c r="L465" s="6">
        <v>6.6589999999999998</v>
      </c>
      <c r="M465" s="6">
        <v>6.6589999999999998</v>
      </c>
      <c r="N465" s="6">
        <v>6.6589999999999998</v>
      </c>
      <c r="O465" s="6">
        <v>6.6589999999999998</v>
      </c>
      <c r="P465" s="6">
        <v>0</v>
      </c>
      <c r="Q465" s="4" t="s">
        <v>26</v>
      </c>
      <c r="R465" s="4">
        <v>0</v>
      </c>
      <c r="S465" s="6">
        <v>0</v>
      </c>
      <c r="T465" s="6">
        <v>76</v>
      </c>
      <c r="U465" s="6">
        <v>51</v>
      </c>
      <c r="V465" s="6">
        <f>IF(ISERROR(VLOOKUP($S$465,'TAR FIN'!$A$1:$O$92,15,0)),0,VLOOKUP($S$465,'TAR FIN'!$A$1:$O$92,15,0))</f>
        <v>0</v>
      </c>
      <c r="W465" s="104">
        <f>IF(ISERROR(VLOOKUP($T$461,'TAR FIN CELESC'!$A$1:$O$92,15,0)),0,VLOOKUP($T$461,'TAR FIN CELESC'!$A$1:$O$92,15,0))</f>
        <v>201.87</v>
      </c>
      <c r="X465" s="104">
        <f>IF(ISERROR(VLOOKUP($U$461,'TAR FIN CELESC'!$A$1:$O$92,15,0)),0,VLOOKUP($U$461,'TAR FIN CELESC'!$A$1:$O$92,15,0))</f>
        <v>272.48</v>
      </c>
      <c r="Y465" s="6"/>
      <c r="Z465" s="6">
        <f ca="1">('TUSD BE'!$AM$51+'TUSD BF_350'!$AM$51+'TUSD CVA'!$AM$51)*1</f>
        <v>261.33999999999997</v>
      </c>
      <c r="AA465" s="6">
        <f ca="1">('TE BE'!$AB$39+'TE BF_350'!$AB$39+'TE CVA'!$AB$39)*1</f>
        <v>250.03999999999996</v>
      </c>
      <c r="AB465" s="6">
        <f>$K$465*$V$465</f>
        <v>0</v>
      </c>
      <c r="AC465" s="6">
        <f>$M$465*$W$465</f>
        <v>1344.25233</v>
      </c>
      <c r="AD465" s="6">
        <f>$O$465*$X$465</f>
        <v>1814.4443200000001</v>
      </c>
      <c r="AE465" s="6">
        <f>$K$465*$Y$465</f>
        <v>0</v>
      </c>
      <c r="AF465" s="6">
        <f ca="1">$M$465*$Z$465</f>
        <v>1740.2630599999998</v>
      </c>
      <c r="AG465" s="6">
        <f ca="1">$O$465*$AA$465</f>
        <v>1665.0163599999996</v>
      </c>
    </row>
    <row r="466" spans="1:33" ht="11.25" customHeight="1" x14ac:dyDescent="0.3">
      <c r="A466" s="4" t="s">
        <v>21</v>
      </c>
      <c r="B466" s="4" t="s">
        <v>32</v>
      </c>
      <c r="C466" s="4" t="s">
        <v>38</v>
      </c>
      <c r="D466" s="4" t="s">
        <v>33</v>
      </c>
      <c r="E466" s="4" t="s">
        <v>25</v>
      </c>
      <c r="F466" s="4" t="s">
        <v>25</v>
      </c>
      <c r="G466" s="4" t="s">
        <v>25</v>
      </c>
      <c r="H466" s="4" t="s">
        <v>37</v>
      </c>
      <c r="I466" s="5">
        <v>44562</v>
      </c>
      <c r="J466" s="6">
        <v>0</v>
      </c>
      <c r="K466" s="6">
        <v>0</v>
      </c>
      <c r="L466" s="6">
        <v>7.5110000000000001</v>
      </c>
      <c r="M466" s="6">
        <v>7.5110000000000001</v>
      </c>
      <c r="N466" s="6">
        <v>7.5110000000000001</v>
      </c>
      <c r="O466" s="6">
        <v>7.5110000000000001</v>
      </c>
      <c r="P466" s="6">
        <v>0</v>
      </c>
      <c r="Q466" s="4" t="s">
        <v>26</v>
      </c>
      <c r="R466" s="4">
        <v>0</v>
      </c>
      <c r="S466" s="6">
        <v>0</v>
      </c>
      <c r="T466" s="6">
        <v>76</v>
      </c>
      <c r="U466" s="6">
        <v>51</v>
      </c>
      <c r="V466" s="6">
        <f>IF(ISERROR(VLOOKUP($S$466,'TAR FIN'!$A$1:$O$92,15,0)),0,VLOOKUP($S$466,'TAR FIN'!$A$1:$O$92,15,0))</f>
        <v>0</v>
      </c>
      <c r="W466" s="104">
        <f>IF(ISERROR(VLOOKUP($T$461,'TAR FIN CELESC'!$A$1:$O$92,15,0)),0,VLOOKUP($T$461,'TAR FIN CELESC'!$A$1:$O$92,15,0))</f>
        <v>201.87</v>
      </c>
      <c r="X466" s="104">
        <f>IF(ISERROR(VLOOKUP($U$461,'TAR FIN CELESC'!$A$1:$O$92,15,0)),0,VLOOKUP($U$461,'TAR FIN CELESC'!$A$1:$O$92,15,0))</f>
        <v>272.48</v>
      </c>
      <c r="Y466" s="6"/>
      <c r="Z466" s="6">
        <f ca="1">('TUSD BE'!$AM$51+'TUSD BF_350'!$AM$51+'TUSD CVA'!$AM$51)*1</f>
        <v>261.33999999999997</v>
      </c>
      <c r="AA466" s="6">
        <f ca="1">('TE BE'!$AB$39+'TE BF_350'!$AB$39+'TE CVA'!$AB$39)*1</f>
        <v>250.03999999999996</v>
      </c>
      <c r="AB466" s="6">
        <f>$K$466*$V$466</f>
        <v>0</v>
      </c>
      <c r="AC466" s="6">
        <f>$M$466*$W$466</f>
        <v>1516.24557</v>
      </c>
      <c r="AD466" s="6">
        <f>$O$466*$X$466</f>
        <v>2046.5972800000002</v>
      </c>
      <c r="AE466" s="6">
        <f>$K$466*$Y$466</f>
        <v>0</v>
      </c>
      <c r="AF466" s="6">
        <f ca="1">$M$466*$Z$466</f>
        <v>1962.9247399999999</v>
      </c>
      <c r="AG466" s="6">
        <f ca="1">$O$466*$AA$466</f>
        <v>1878.0504399999998</v>
      </c>
    </row>
    <row r="467" spans="1:33" ht="11.25" customHeight="1" x14ac:dyDescent="0.3">
      <c r="A467" s="4" t="s">
        <v>21</v>
      </c>
      <c r="B467" s="4" t="s">
        <v>32</v>
      </c>
      <c r="C467" s="4" t="s">
        <v>38</v>
      </c>
      <c r="D467" s="4" t="s">
        <v>33</v>
      </c>
      <c r="E467" s="4" t="s">
        <v>25</v>
      </c>
      <c r="F467" s="4" t="s">
        <v>25</v>
      </c>
      <c r="G467" s="4" t="s">
        <v>25</v>
      </c>
      <c r="H467" s="4" t="s">
        <v>37</v>
      </c>
      <c r="I467" s="5">
        <v>44593</v>
      </c>
      <c r="J467" s="6">
        <v>0</v>
      </c>
      <c r="K467" s="6">
        <v>0</v>
      </c>
      <c r="L467" s="6">
        <v>8.2100000000000009</v>
      </c>
      <c r="M467" s="6">
        <v>8.2100000000000009</v>
      </c>
      <c r="N467" s="6">
        <v>8.2100000000000009</v>
      </c>
      <c r="O467" s="6">
        <v>8.2100000000000009</v>
      </c>
      <c r="P467" s="6">
        <v>0</v>
      </c>
      <c r="Q467" s="4" t="s">
        <v>26</v>
      </c>
      <c r="R467" s="4">
        <v>0</v>
      </c>
      <c r="S467" s="6">
        <v>0</v>
      </c>
      <c r="T467" s="6">
        <v>76</v>
      </c>
      <c r="U467" s="6">
        <v>51</v>
      </c>
      <c r="V467" s="6">
        <f>IF(ISERROR(VLOOKUP($S$467,'TAR FIN'!$A$1:$O$92,15,0)),0,VLOOKUP($S$467,'TAR FIN'!$A$1:$O$92,15,0))</f>
        <v>0</v>
      </c>
      <c r="W467" s="104">
        <f>IF(ISERROR(VLOOKUP($T$461,'TAR FIN CELESC'!$A$1:$O$92,15,0)),0,VLOOKUP($T$461,'TAR FIN CELESC'!$A$1:$O$92,15,0))</f>
        <v>201.87</v>
      </c>
      <c r="X467" s="104">
        <f>IF(ISERROR(VLOOKUP($U$461,'TAR FIN CELESC'!$A$1:$O$92,15,0)),0,VLOOKUP($U$461,'TAR FIN CELESC'!$A$1:$O$92,15,0))</f>
        <v>272.48</v>
      </c>
      <c r="Y467" s="6"/>
      <c r="Z467" s="6">
        <f ca="1">('TUSD BE'!$AM$51+'TUSD BF_350'!$AM$51+'TUSD CVA'!$AM$51)*1</f>
        <v>261.33999999999997</v>
      </c>
      <c r="AA467" s="6">
        <f ca="1">('TE BE'!$AB$39+'TE BF_350'!$AB$39+'TE CVA'!$AB$39)*1</f>
        <v>250.03999999999996</v>
      </c>
      <c r="AB467" s="6">
        <f>$K$467*$V$467</f>
        <v>0</v>
      </c>
      <c r="AC467" s="6">
        <f>$M$467*$W$467</f>
        <v>1657.3527000000001</v>
      </c>
      <c r="AD467" s="6">
        <f>$O$467*$X$467</f>
        <v>2237.0608000000002</v>
      </c>
      <c r="AE467" s="6">
        <f>$K$467*$Y$467</f>
        <v>0</v>
      </c>
      <c r="AF467" s="6">
        <f ca="1">$M$467*$Z$467</f>
        <v>2145.6014</v>
      </c>
      <c r="AG467" s="6">
        <f ca="1">$O$467*$AA$467</f>
        <v>2052.8283999999999</v>
      </c>
    </row>
    <row r="468" spans="1:33" ht="11.25" customHeight="1" x14ac:dyDescent="0.3">
      <c r="A468" s="4" t="s">
        <v>21</v>
      </c>
      <c r="B468" s="4" t="s">
        <v>32</v>
      </c>
      <c r="C468" s="4" t="s">
        <v>38</v>
      </c>
      <c r="D468" s="4" t="s">
        <v>33</v>
      </c>
      <c r="E468" s="4" t="s">
        <v>25</v>
      </c>
      <c r="F468" s="4" t="s">
        <v>25</v>
      </c>
      <c r="G468" s="4" t="s">
        <v>25</v>
      </c>
      <c r="H468" s="4" t="s">
        <v>37</v>
      </c>
      <c r="I468" s="5">
        <v>44621</v>
      </c>
      <c r="J468" s="6">
        <v>0</v>
      </c>
      <c r="K468" s="6">
        <v>0</v>
      </c>
      <c r="L468" s="6">
        <v>6.6219999999999999</v>
      </c>
      <c r="M468" s="6">
        <v>6.6219999999999999</v>
      </c>
      <c r="N468" s="6">
        <v>6.6219999999999999</v>
      </c>
      <c r="O468" s="6">
        <v>6.6219999999999999</v>
      </c>
      <c r="P468" s="6">
        <v>0</v>
      </c>
      <c r="Q468" s="4" t="s">
        <v>26</v>
      </c>
      <c r="R468" s="4">
        <v>0</v>
      </c>
      <c r="S468" s="6">
        <v>0</v>
      </c>
      <c r="T468" s="6">
        <v>76</v>
      </c>
      <c r="U468" s="6">
        <v>51</v>
      </c>
      <c r="V468" s="6">
        <f>IF(ISERROR(VLOOKUP($S$468,'TAR FIN'!$A$1:$O$92,15,0)),0,VLOOKUP($S$468,'TAR FIN'!$A$1:$O$92,15,0))</f>
        <v>0</v>
      </c>
      <c r="W468" s="104">
        <f>IF(ISERROR(VLOOKUP($T$461,'TAR FIN CELESC'!$A$1:$O$92,15,0)),0,VLOOKUP($T$461,'TAR FIN CELESC'!$A$1:$O$92,15,0))</f>
        <v>201.87</v>
      </c>
      <c r="X468" s="104">
        <f>IF(ISERROR(VLOOKUP($U$461,'TAR FIN CELESC'!$A$1:$O$92,15,0)),0,VLOOKUP($U$461,'TAR FIN CELESC'!$A$1:$O$92,15,0))</f>
        <v>272.48</v>
      </c>
      <c r="Y468" s="6"/>
      <c r="Z468" s="6">
        <f ca="1">('TUSD BE'!$AM$51+'TUSD BF_350'!$AM$51+'TUSD CVA'!$AM$51)*1</f>
        <v>261.33999999999997</v>
      </c>
      <c r="AA468" s="6">
        <f ca="1">('TE BE'!$AB$39+'TE BF_350'!$AB$39+'TE CVA'!$AB$39)*1</f>
        <v>250.03999999999996</v>
      </c>
      <c r="AB468" s="6">
        <f>$K$468*$V$468</f>
        <v>0</v>
      </c>
      <c r="AC468" s="6">
        <f>$M$468*$W$468</f>
        <v>1336.78314</v>
      </c>
      <c r="AD468" s="6">
        <f>$O$468*$X$468</f>
        <v>1804.36256</v>
      </c>
      <c r="AE468" s="6">
        <f>$K$468*$Y$468</f>
        <v>0</v>
      </c>
      <c r="AF468" s="6">
        <f ca="1">$M$468*$Z$468</f>
        <v>1730.5934799999998</v>
      </c>
      <c r="AG468" s="6">
        <f ca="1">$O$468*$AA$468</f>
        <v>1655.7648799999997</v>
      </c>
    </row>
    <row r="469" spans="1:33" ht="11.25" customHeight="1" x14ac:dyDescent="0.3">
      <c r="A469" s="4" t="s">
        <v>21</v>
      </c>
      <c r="B469" s="4" t="s">
        <v>32</v>
      </c>
      <c r="C469" s="4" t="s">
        <v>38</v>
      </c>
      <c r="D469" s="4" t="s">
        <v>33</v>
      </c>
      <c r="E469" s="4" t="s">
        <v>25</v>
      </c>
      <c r="F469" s="4" t="s">
        <v>25</v>
      </c>
      <c r="G469" s="4" t="s">
        <v>25</v>
      </c>
      <c r="H469" s="4" t="s">
        <v>37</v>
      </c>
      <c r="I469" s="5">
        <v>44652</v>
      </c>
      <c r="J469" s="6">
        <v>0</v>
      </c>
      <c r="K469" s="6">
        <v>0</v>
      </c>
      <c r="L469" s="6">
        <v>6.51</v>
      </c>
      <c r="M469" s="6">
        <v>6.51</v>
      </c>
      <c r="N469" s="6">
        <v>6.51</v>
      </c>
      <c r="O469" s="6">
        <v>6.51</v>
      </c>
      <c r="P469" s="6">
        <v>0</v>
      </c>
      <c r="Q469" s="4" t="s">
        <v>26</v>
      </c>
      <c r="R469" s="4">
        <v>0</v>
      </c>
      <c r="S469" s="6">
        <v>0</v>
      </c>
      <c r="T469" s="6">
        <v>76</v>
      </c>
      <c r="U469" s="6">
        <v>51</v>
      </c>
      <c r="V469" s="6">
        <f>IF(ISERROR(VLOOKUP($S$469,'TAR FIN'!$A$1:$O$92,15,0)),0,VLOOKUP($S$469,'TAR FIN'!$A$1:$O$92,15,0))</f>
        <v>0</v>
      </c>
      <c r="W469" s="104">
        <f>IF(ISERROR(VLOOKUP($T$461,'TAR FIN CELESC'!$A$1:$O$92,15,0)),0,VLOOKUP($T$461,'TAR FIN CELESC'!$A$1:$O$92,15,0))</f>
        <v>201.87</v>
      </c>
      <c r="X469" s="104">
        <f>IF(ISERROR(VLOOKUP($U$461,'TAR FIN CELESC'!$A$1:$O$92,15,0)),0,VLOOKUP($U$461,'TAR FIN CELESC'!$A$1:$O$92,15,0))</f>
        <v>272.48</v>
      </c>
      <c r="Y469" s="6"/>
      <c r="Z469" s="6">
        <f ca="1">('TUSD BE'!$AM$51+'TUSD BF_350'!$AM$51+'TUSD CVA'!$AM$51)*1</f>
        <v>261.33999999999997</v>
      </c>
      <c r="AA469" s="6">
        <f ca="1">('TE BE'!$AB$39+'TE BF_350'!$AB$39+'TE CVA'!$AB$39)*1</f>
        <v>250.03999999999996</v>
      </c>
      <c r="AB469" s="6">
        <f>$K$469*$V$469</f>
        <v>0</v>
      </c>
      <c r="AC469" s="6">
        <f>$M$469*$W$469</f>
        <v>1314.1737000000001</v>
      </c>
      <c r="AD469" s="6">
        <f>$O$469*$X$469</f>
        <v>1773.8448000000001</v>
      </c>
      <c r="AE469" s="6">
        <f>$K$469*$Y$469</f>
        <v>0</v>
      </c>
      <c r="AF469" s="6">
        <f ca="1">$M$469*$Z$469</f>
        <v>1701.3233999999998</v>
      </c>
      <c r="AG469" s="6">
        <f ca="1">$O$469*$AA$469</f>
        <v>1627.7603999999997</v>
      </c>
    </row>
    <row r="470" spans="1:33" ht="11.25" customHeight="1" x14ac:dyDescent="0.3">
      <c r="A470" s="4" t="s">
        <v>21</v>
      </c>
      <c r="B470" s="4" t="s">
        <v>32</v>
      </c>
      <c r="C470" s="4" t="s">
        <v>38</v>
      </c>
      <c r="D470" s="4" t="s">
        <v>33</v>
      </c>
      <c r="E470" s="4" t="s">
        <v>25</v>
      </c>
      <c r="F470" s="4" t="s">
        <v>25</v>
      </c>
      <c r="G470" s="4" t="s">
        <v>25</v>
      </c>
      <c r="H470" s="4" t="s">
        <v>37</v>
      </c>
      <c r="I470" s="5">
        <v>44682</v>
      </c>
      <c r="J470" s="6">
        <v>0</v>
      </c>
      <c r="K470" s="6">
        <v>0</v>
      </c>
      <c r="L470" s="6">
        <v>7.702</v>
      </c>
      <c r="M470" s="6">
        <v>7.702</v>
      </c>
      <c r="N470" s="6">
        <v>7.702</v>
      </c>
      <c r="O470" s="6">
        <v>7.702</v>
      </c>
      <c r="P470" s="6">
        <v>0</v>
      </c>
      <c r="Q470" s="4" t="s">
        <v>26</v>
      </c>
      <c r="R470" s="4">
        <v>0</v>
      </c>
      <c r="S470" s="6">
        <v>0</v>
      </c>
      <c r="T470" s="6">
        <v>76</v>
      </c>
      <c r="U470" s="6">
        <v>51</v>
      </c>
      <c r="V470" s="6">
        <f>IF(ISERROR(VLOOKUP($S$470,'TAR FIN'!$A$1:$O$92,15,0)),0,VLOOKUP($S$470,'TAR FIN'!$A$1:$O$92,15,0))</f>
        <v>0</v>
      </c>
      <c r="W470" s="104">
        <f>IF(ISERROR(VLOOKUP($T$461,'TAR FIN CELESC'!$A$1:$O$92,15,0)),0,VLOOKUP($T$461,'TAR FIN CELESC'!$A$1:$O$92,15,0))</f>
        <v>201.87</v>
      </c>
      <c r="X470" s="104">
        <f>IF(ISERROR(VLOOKUP($U$461,'TAR FIN CELESC'!$A$1:$O$92,15,0)),0,VLOOKUP($U$461,'TAR FIN CELESC'!$A$1:$O$92,15,0))</f>
        <v>272.48</v>
      </c>
      <c r="Y470" s="6"/>
      <c r="Z470" s="6">
        <f ca="1">('TUSD BE'!$AM$51+'TUSD BF_350'!$AM$51+'TUSD CVA'!$AM$51)*1</f>
        <v>261.33999999999997</v>
      </c>
      <c r="AA470" s="6">
        <f ca="1">('TE BE'!$AB$39+'TE BF_350'!$AB$39+'TE CVA'!$AB$39)*1</f>
        <v>250.03999999999996</v>
      </c>
      <c r="AB470" s="6">
        <f>$K$470*$V$470</f>
        <v>0</v>
      </c>
      <c r="AC470" s="6">
        <f>$M$470*$W$470</f>
        <v>1554.8027400000001</v>
      </c>
      <c r="AD470" s="6">
        <f>$O$470*$X$470</f>
        <v>2098.6409600000002</v>
      </c>
      <c r="AE470" s="6">
        <f>$K$470*$Y$470</f>
        <v>0</v>
      </c>
      <c r="AF470" s="6">
        <f ca="1">$M$470*$Z$470</f>
        <v>2012.8406799999998</v>
      </c>
      <c r="AG470" s="6">
        <f ca="1">$O$470*$AA$470</f>
        <v>1925.8080799999998</v>
      </c>
    </row>
    <row r="471" spans="1:33" ht="11.25" customHeight="1" x14ac:dyDescent="0.3">
      <c r="A471" s="4" t="s">
        <v>21</v>
      </c>
      <c r="B471" s="4" t="s">
        <v>32</v>
      </c>
      <c r="C471" s="4" t="s">
        <v>38</v>
      </c>
      <c r="D471" s="4" t="s">
        <v>33</v>
      </c>
      <c r="E471" s="4" t="s">
        <v>25</v>
      </c>
      <c r="F471" s="4" t="s">
        <v>25</v>
      </c>
      <c r="G471" s="4" t="s">
        <v>25</v>
      </c>
      <c r="H471" s="4" t="s">
        <v>37</v>
      </c>
      <c r="I471" s="5">
        <v>44713</v>
      </c>
      <c r="J471" s="6">
        <v>0</v>
      </c>
      <c r="K471" s="6">
        <v>0</v>
      </c>
      <c r="L471" s="6">
        <v>8.7870000000000008</v>
      </c>
      <c r="M471" s="6">
        <v>8.7870000000000008</v>
      </c>
      <c r="N471" s="6">
        <v>8.7870000000000008</v>
      </c>
      <c r="O471" s="6">
        <v>8.7870000000000008</v>
      </c>
      <c r="P471" s="6">
        <v>0</v>
      </c>
      <c r="Q471" s="4" t="s">
        <v>26</v>
      </c>
      <c r="R471" s="4">
        <v>0</v>
      </c>
      <c r="S471" s="6">
        <v>0</v>
      </c>
      <c r="T471" s="6">
        <v>76</v>
      </c>
      <c r="U471" s="6">
        <v>51</v>
      </c>
      <c r="V471" s="6">
        <f>IF(ISERROR(VLOOKUP($S$471,'TAR FIN'!$A$1:$O$92,15,0)),0,VLOOKUP($S$471,'TAR FIN'!$A$1:$O$92,15,0))</f>
        <v>0</v>
      </c>
      <c r="W471" s="104">
        <f>IF(ISERROR(VLOOKUP($T$461,'TAR FIN CELESC'!$A$1:$O$92,15,0)),0,VLOOKUP($T$461,'TAR FIN CELESC'!$A$1:$O$92,15,0))</f>
        <v>201.87</v>
      </c>
      <c r="X471" s="104">
        <f>IF(ISERROR(VLOOKUP($U$461,'TAR FIN CELESC'!$A$1:$O$92,15,0)),0,VLOOKUP($U$461,'TAR FIN CELESC'!$A$1:$O$92,15,0))</f>
        <v>272.48</v>
      </c>
      <c r="Y471" s="6"/>
      <c r="Z471" s="6">
        <f ca="1">('TUSD BE'!$AM$51+'TUSD BF_350'!$AM$51+'TUSD CVA'!$AM$51)*1</f>
        <v>261.33999999999997</v>
      </c>
      <c r="AA471" s="6">
        <f ca="1">('TE BE'!$AB$39+'TE BF_350'!$AB$39+'TE CVA'!$AB$39)*1</f>
        <v>250.03999999999996</v>
      </c>
      <c r="AB471" s="6">
        <f>$K$471*$V$471</f>
        <v>0</v>
      </c>
      <c r="AC471" s="6">
        <f>$M$471*$W$471</f>
        <v>1773.8316900000002</v>
      </c>
      <c r="AD471" s="6">
        <f>$O$471*$X$471</f>
        <v>2394.2817600000003</v>
      </c>
      <c r="AE471" s="6">
        <f>$K$471*$Y$471</f>
        <v>0</v>
      </c>
      <c r="AF471" s="6">
        <f ca="1">$M$471*$Z$471</f>
        <v>2296.3945800000001</v>
      </c>
      <c r="AG471" s="6">
        <f ca="1">$O$471*$AA$471</f>
        <v>2197.1014799999998</v>
      </c>
    </row>
    <row r="472" spans="1:33" ht="11.25" customHeight="1" x14ac:dyDescent="0.3">
      <c r="A472" s="4" t="s">
        <v>21</v>
      </c>
      <c r="B472" s="4" t="s">
        <v>32</v>
      </c>
      <c r="C472" s="4" t="s">
        <v>38</v>
      </c>
      <c r="D472" s="4" t="s">
        <v>33</v>
      </c>
      <c r="E472" s="4" t="s">
        <v>25</v>
      </c>
      <c r="F472" s="4" t="s">
        <v>25</v>
      </c>
      <c r="G472" s="4" t="s">
        <v>25</v>
      </c>
      <c r="H472" s="4" t="s">
        <v>37</v>
      </c>
      <c r="I472" s="5">
        <v>44743</v>
      </c>
      <c r="J472" s="6">
        <v>0</v>
      </c>
      <c r="K472" s="6">
        <v>0</v>
      </c>
      <c r="L472" s="6">
        <v>8.8219999999999992</v>
      </c>
      <c r="M472" s="6">
        <v>8.8219999999999992</v>
      </c>
      <c r="N472" s="6">
        <v>8.8219999999999992</v>
      </c>
      <c r="O472" s="6">
        <v>8.8219999999999992</v>
      </c>
      <c r="P472" s="6">
        <v>0</v>
      </c>
      <c r="Q472" s="4" t="s">
        <v>26</v>
      </c>
      <c r="R472" s="4">
        <v>0</v>
      </c>
      <c r="S472" s="6">
        <v>0</v>
      </c>
      <c r="T472" s="6">
        <v>76</v>
      </c>
      <c r="U472" s="6">
        <v>51</v>
      </c>
      <c r="V472" s="6">
        <f>IF(ISERROR(VLOOKUP($S$472,'TAR FIN'!$A$1:$O$92,15,0)),0,VLOOKUP($S$472,'TAR FIN'!$A$1:$O$92,15,0))</f>
        <v>0</v>
      </c>
      <c r="W472" s="104">
        <f>IF(ISERROR(VLOOKUP($T$461,'TAR FIN CELESC'!$A$1:$O$92,15,0)),0,VLOOKUP($T$461,'TAR FIN CELESC'!$A$1:$O$92,15,0))</f>
        <v>201.87</v>
      </c>
      <c r="X472" s="104">
        <f>IF(ISERROR(VLOOKUP($U$461,'TAR FIN CELESC'!$A$1:$O$92,15,0)),0,VLOOKUP($U$461,'TAR FIN CELESC'!$A$1:$O$92,15,0))</f>
        <v>272.48</v>
      </c>
      <c r="Y472" s="6"/>
      <c r="Z472" s="6">
        <f ca="1">('TUSD BE'!$AM$51+'TUSD BF_350'!$AM$51+'TUSD CVA'!$AM$51)*1</f>
        <v>261.33999999999997</v>
      </c>
      <c r="AA472" s="6">
        <f ca="1">('TE BE'!$AB$39+'TE BF_350'!$AB$39+'TE CVA'!$AB$39)*1</f>
        <v>250.03999999999996</v>
      </c>
      <c r="AB472" s="6">
        <f>$K$472*$V$472</f>
        <v>0</v>
      </c>
      <c r="AC472" s="6">
        <f>$M$472*$W$472</f>
        <v>1780.8971399999998</v>
      </c>
      <c r="AD472" s="6">
        <f>$O$472*$X$472</f>
        <v>2403.8185600000002</v>
      </c>
      <c r="AE472" s="6">
        <f>$K$472*$Y$472</f>
        <v>0</v>
      </c>
      <c r="AF472" s="6">
        <f ca="1">$M$472*$Z$472</f>
        <v>2305.5414799999994</v>
      </c>
      <c r="AG472" s="6">
        <f ca="1">$O$472*$AA$472</f>
        <v>2205.8528799999995</v>
      </c>
    </row>
    <row r="473" spans="1:33" ht="11.25" customHeight="1" x14ac:dyDescent="0.3">
      <c r="A473" s="4" t="s">
        <v>21</v>
      </c>
      <c r="B473" s="4" t="s">
        <v>32</v>
      </c>
      <c r="C473" s="4" t="s">
        <v>38</v>
      </c>
      <c r="D473" s="4" t="s">
        <v>33</v>
      </c>
      <c r="E473" s="4" t="s">
        <v>25</v>
      </c>
      <c r="F473" s="4" t="s">
        <v>25</v>
      </c>
      <c r="G473" s="4" t="s">
        <v>25</v>
      </c>
      <c r="H473" s="4" t="s">
        <v>39</v>
      </c>
      <c r="I473" s="5">
        <v>44409</v>
      </c>
      <c r="J473" s="6">
        <v>0</v>
      </c>
      <c r="K473" s="6">
        <v>0</v>
      </c>
      <c r="L473" s="6">
        <v>0.121</v>
      </c>
      <c r="M473" s="6">
        <v>0.121</v>
      </c>
      <c r="N473" s="6">
        <v>0.121</v>
      </c>
      <c r="O473" s="6">
        <v>0.121</v>
      </c>
      <c r="P473" s="6">
        <v>0</v>
      </c>
      <c r="Q473" s="4" t="s">
        <v>26</v>
      </c>
      <c r="R473" s="4">
        <v>0</v>
      </c>
      <c r="S473" s="6">
        <v>0</v>
      </c>
      <c r="T473" s="6">
        <v>75</v>
      </c>
      <c r="U473" s="6">
        <v>48</v>
      </c>
      <c r="V473" s="6">
        <f>IF(ISERROR(VLOOKUP($S$473,'TAR FIN'!$A$1:$O$92,15,0)),0,VLOOKUP($S$473,'TAR FIN'!$A$1:$O$92,15,0))</f>
        <v>0</v>
      </c>
      <c r="W473" s="104">
        <f>IF(ISERROR(VLOOKUP($T$473,'TAR FIN CELESC'!$A$1:$O$92,15,0)),0,VLOOKUP($T$473,'TAR FIN CELESC'!$A$1:$O$92,15,0))</f>
        <v>384.56</v>
      </c>
      <c r="X473" s="104">
        <f>IF(ISERROR(VLOOKUP($U$473,'TAR FIN CELESC'!$A$1:$O$92,15,0)),0,VLOOKUP($U$473,'TAR FIN CELESC'!$A$1:$O$92,15,0))</f>
        <v>272.48</v>
      </c>
      <c r="Y473" s="6"/>
      <c r="Z473" s="6">
        <f ca="1">('TUSD BE'!$AM$50+'TUSD BF_350'!$AM$50+'TUSD CVA'!$AM$50)*1</f>
        <v>470.22</v>
      </c>
      <c r="AA473" s="6">
        <f ca="1">('TE BE'!$AB$38+'TE BF_350'!$AB$38+'TE CVA'!$AB$38)*1</f>
        <v>250.03999999999996</v>
      </c>
      <c r="AB473" s="6">
        <f>$K$473*$V$473</f>
        <v>0</v>
      </c>
      <c r="AC473" s="6">
        <f>$M$473*$W$473</f>
        <v>46.531759999999998</v>
      </c>
      <c r="AD473" s="6">
        <f>$O$473*$X$473</f>
        <v>32.970080000000003</v>
      </c>
      <c r="AE473" s="6">
        <f>$K$473*$Y$473</f>
        <v>0</v>
      </c>
      <c r="AF473" s="6">
        <f ca="1">$M$473*$Z$473</f>
        <v>56.896619999999999</v>
      </c>
      <c r="AG473" s="6">
        <f ca="1">$O$473*$AA$473</f>
        <v>30.254839999999994</v>
      </c>
    </row>
    <row r="474" spans="1:33" ht="11.25" customHeight="1" x14ac:dyDescent="0.3">
      <c r="A474" s="4" t="s">
        <v>21</v>
      </c>
      <c r="B474" s="4" t="s">
        <v>32</v>
      </c>
      <c r="C474" s="4" t="s">
        <v>38</v>
      </c>
      <c r="D474" s="4" t="s">
        <v>33</v>
      </c>
      <c r="E474" s="4" t="s">
        <v>25</v>
      </c>
      <c r="F474" s="4" t="s">
        <v>25</v>
      </c>
      <c r="G474" s="4" t="s">
        <v>25</v>
      </c>
      <c r="H474" s="4" t="s">
        <v>39</v>
      </c>
      <c r="I474" s="5">
        <v>44440</v>
      </c>
      <c r="J474" s="6">
        <v>0</v>
      </c>
      <c r="K474" s="6">
        <v>0</v>
      </c>
      <c r="L474" s="6">
        <v>9.9000000000000005E-2</v>
      </c>
      <c r="M474" s="6">
        <v>9.9000000000000005E-2</v>
      </c>
      <c r="N474" s="6">
        <v>9.9000000000000005E-2</v>
      </c>
      <c r="O474" s="6">
        <v>9.9000000000000005E-2</v>
      </c>
      <c r="P474" s="6">
        <v>0</v>
      </c>
      <c r="Q474" s="4" t="s">
        <v>26</v>
      </c>
      <c r="R474" s="4">
        <v>0</v>
      </c>
      <c r="S474" s="6">
        <v>0</v>
      </c>
      <c r="T474" s="6">
        <v>75</v>
      </c>
      <c r="U474" s="6">
        <v>48</v>
      </c>
      <c r="V474" s="6">
        <f>IF(ISERROR(VLOOKUP($S$474,'TAR FIN'!$A$1:$O$92,15,0)),0,VLOOKUP($S$474,'TAR FIN'!$A$1:$O$92,15,0))</f>
        <v>0</v>
      </c>
      <c r="W474" s="104">
        <f>IF(ISERROR(VLOOKUP($T$473,'TAR FIN CELESC'!$A$1:$O$92,15,0)),0,VLOOKUP($T$473,'TAR FIN CELESC'!$A$1:$O$92,15,0))</f>
        <v>384.56</v>
      </c>
      <c r="X474" s="104">
        <f>IF(ISERROR(VLOOKUP($U$473,'TAR FIN CELESC'!$A$1:$O$92,15,0)),0,VLOOKUP($U$473,'TAR FIN CELESC'!$A$1:$O$92,15,0))</f>
        <v>272.48</v>
      </c>
      <c r="Y474" s="6"/>
      <c r="Z474" s="6">
        <f ca="1">('TUSD BE'!$AM$50+'TUSD BF_350'!$AM$50+'TUSD CVA'!$AM$50)*1</f>
        <v>470.22</v>
      </c>
      <c r="AA474" s="6">
        <f ca="1">('TE BE'!$AB$38+'TE BF_350'!$AB$38+'TE CVA'!$AB$38)*1</f>
        <v>250.03999999999996</v>
      </c>
      <c r="AB474" s="6">
        <f>$K$474*$V$474</f>
        <v>0</v>
      </c>
      <c r="AC474" s="6">
        <f>$M$474*$W$474</f>
        <v>38.071440000000003</v>
      </c>
      <c r="AD474" s="6">
        <f>$O$474*$X$474</f>
        <v>26.975520000000003</v>
      </c>
      <c r="AE474" s="6">
        <f>$K$474*$Y$474</f>
        <v>0</v>
      </c>
      <c r="AF474" s="6">
        <f ca="1">$M$474*$Z$474</f>
        <v>46.551780000000008</v>
      </c>
      <c r="AG474" s="6">
        <f ca="1">$O$474*$AA$474</f>
        <v>24.753959999999999</v>
      </c>
    </row>
    <row r="475" spans="1:33" ht="11.25" customHeight="1" x14ac:dyDescent="0.3">
      <c r="A475" s="4" t="s">
        <v>21</v>
      </c>
      <c r="B475" s="4" t="s">
        <v>32</v>
      </c>
      <c r="C475" s="4" t="s">
        <v>38</v>
      </c>
      <c r="D475" s="4" t="s">
        <v>33</v>
      </c>
      <c r="E475" s="4" t="s">
        <v>25</v>
      </c>
      <c r="F475" s="4" t="s">
        <v>25</v>
      </c>
      <c r="G475" s="4" t="s">
        <v>25</v>
      </c>
      <c r="H475" s="4" t="s">
        <v>39</v>
      </c>
      <c r="I475" s="5">
        <v>44470</v>
      </c>
      <c r="J475" s="6">
        <v>0</v>
      </c>
      <c r="K475" s="6">
        <v>0</v>
      </c>
      <c r="L475" s="6">
        <v>0.112</v>
      </c>
      <c r="M475" s="6">
        <v>0.112</v>
      </c>
      <c r="N475" s="6">
        <v>0.112</v>
      </c>
      <c r="O475" s="6">
        <v>0.112</v>
      </c>
      <c r="P475" s="6">
        <v>0</v>
      </c>
      <c r="Q475" s="4" t="s">
        <v>26</v>
      </c>
      <c r="R475" s="4">
        <v>0</v>
      </c>
      <c r="S475" s="6">
        <v>0</v>
      </c>
      <c r="T475" s="6">
        <v>75</v>
      </c>
      <c r="U475" s="6">
        <v>48</v>
      </c>
      <c r="V475" s="6">
        <f>IF(ISERROR(VLOOKUP($S$475,'TAR FIN'!$A$1:$O$92,15,0)),0,VLOOKUP($S$475,'TAR FIN'!$A$1:$O$92,15,0))</f>
        <v>0</v>
      </c>
      <c r="W475" s="104">
        <f>IF(ISERROR(VLOOKUP($T$473,'TAR FIN CELESC'!$A$1:$O$92,15,0)),0,VLOOKUP($T$473,'TAR FIN CELESC'!$A$1:$O$92,15,0))</f>
        <v>384.56</v>
      </c>
      <c r="X475" s="104">
        <f>IF(ISERROR(VLOOKUP($U$473,'TAR FIN CELESC'!$A$1:$O$92,15,0)),0,VLOOKUP($U$473,'TAR FIN CELESC'!$A$1:$O$92,15,0))</f>
        <v>272.48</v>
      </c>
      <c r="Y475" s="6"/>
      <c r="Z475" s="6">
        <f ca="1">('TUSD BE'!$AM$50+'TUSD BF_350'!$AM$50+'TUSD CVA'!$AM$50)*1</f>
        <v>470.22</v>
      </c>
      <c r="AA475" s="6">
        <f ca="1">('TE BE'!$AB$38+'TE BF_350'!$AB$38+'TE CVA'!$AB$38)*1</f>
        <v>250.03999999999996</v>
      </c>
      <c r="AB475" s="6">
        <f>$K$475*$V$475</f>
        <v>0</v>
      </c>
      <c r="AC475" s="6">
        <f>$M$475*$W$475</f>
        <v>43.070720000000001</v>
      </c>
      <c r="AD475" s="6">
        <f>$O$475*$X$475</f>
        <v>30.517760000000003</v>
      </c>
      <c r="AE475" s="6">
        <f>$K$475*$Y$475</f>
        <v>0</v>
      </c>
      <c r="AF475" s="6">
        <f ca="1">$M$475*$Z$475</f>
        <v>52.664640000000006</v>
      </c>
      <c r="AG475" s="6">
        <f ca="1">$O$475*$AA$475</f>
        <v>28.004479999999997</v>
      </c>
    </row>
    <row r="476" spans="1:33" ht="11.25" customHeight="1" x14ac:dyDescent="0.3">
      <c r="A476" s="4" t="s">
        <v>21</v>
      </c>
      <c r="B476" s="4" t="s">
        <v>32</v>
      </c>
      <c r="C476" s="4" t="s">
        <v>38</v>
      </c>
      <c r="D476" s="4" t="s">
        <v>33</v>
      </c>
      <c r="E476" s="4" t="s">
        <v>25</v>
      </c>
      <c r="F476" s="4" t="s">
        <v>25</v>
      </c>
      <c r="G476" s="4" t="s">
        <v>25</v>
      </c>
      <c r="H476" s="4" t="s">
        <v>39</v>
      </c>
      <c r="I476" s="5">
        <v>44501</v>
      </c>
      <c r="J476" s="6">
        <v>0</v>
      </c>
      <c r="K476" s="6">
        <v>0</v>
      </c>
      <c r="L476" s="6">
        <v>7.5999999999999998E-2</v>
      </c>
      <c r="M476" s="6">
        <v>7.5999999999999998E-2</v>
      </c>
      <c r="N476" s="6">
        <v>7.5999999999999998E-2</v>
      </c>
      <c r="O476" s="6">
        <v>7.5999999999999998E-2</v>
      </c>
      <c r="P476" s="6">
        <v>0</v>
      </c>
      <c r="Q476" s="4" t="s">
        <v>26</v>
      </c>
      <c r="R476" s="4">
        <v>0</v>
      </c>
      <c r="S476" s="6">
        <v>0</v>
      </c>
      <c r="T476" s="6">
        <v>75</v>
      </c>
      <c r="U476" s="6">
        <v>48</v>
      </c>
      <c r="V476" s="6">
        <f>IF(ISERROR(VLOOKUP($S$476,'TAR FIN'!$A$1:$O$92,15,0)),0,VLOOKUP($S$476,'TAR FIN'!$A$1:$O$92,15,0))</f>
        <v>0</v>
      </c>
      <c r="W476" s="104">
        <f>IF(ISERROR(VLOOKUP($T$473,'TAR FIN CELESC'!$A$1:$O$92,15,0)),0,VLOOKUP($T$473,'TAR FIN CELESC'!$A$1:$O$92,15,0))</f>
        <v>384.56</v>
      </c>
      <c r="X476" s="104">
        <f>IF(ISERROR(VLOOKUP($U$473,'TAR FIN CELESC'!$A$1:$O$92,15,0)),0,VLOOKUP($U$473,'TAR FIN CELESC'!$A$1:$O$92,15,0))</f>
        <v>272.48</v>
      </c>
      <c r="Y476" s="6"/>
      <c r="Z476" s="6">
        <f ca="1">('TUSD BE'!$AM$50+'TUSD BF_350'!$AM$50+'TUSD CVA'!$AM$50)*1</f>
        <v>470.22</v>
      </c>
      <c r="AA476" s="6">
        <f ca="1">('TE BE'!$AB$38+'TE BF_350'!$AB$38+'TE CVA'!$AB$38)*1</f>
        <v>250.03999999999996</v>
      </c>
      <c r="AB476" s="6">
        <f>$K$476*$V$476</f>
        <v>0</v>
      </c>
      <c r="AC476" s="6">
        <f>$M$476*$W$476</f>
        <v>29.226559999999999</v>
      </c>
      <c r="AD476" s="6">
        <f>$O$476*$X$476</f>
        <v>20.708480000000002</v>
      </c>
      <c r="AE476" s="6">
        <f>$K$476*$Y$476</f>
        <v>0</v>
      </c>
      <c r="AF476" s="6">
        <f ca="1">$M$476*$Z$476</f>
        <v>35.736719999999998</v>
      </c>
      <c r="AG476" s="6">
        <f ca="1">$O$476*$AA$476</f>
        <v>19.003039999999995</v>
      </c>
    </row>
    <row r="477" spans="1:33" ht="11.25" customHeight="1" x14ac:dyDescent="0.3">
      <c r="A477" s="4" t="s">
        <v>21</v>
      </c>
      <c r="B477" s="4" t="s">
        <v>32</v>
      </c>
      <c r="C477" s="4" t="s">
        <v>38</v>
      </c>
      <c r="D477" s="4" t="s">
        <v>33</v>
      </c>
      <c r="E477" s="4" t="s">
        <v>25</v>
      </c>
      <c r="F477" s="4" t="s">
        <v>25</v>
      </c>
      <c r="G477" s="4" t="s">
        <v>25</v>
      </c>
      <c r="H477" s="4" t="s">
        <v>39</v>
      </c>
      <c r="I477" s="5">
        <v>44531</v>
      </c>
      <c r="J477" s="6">
        <v>0</v>
      </c>
      <c r="K477" s="6">
        <v>0</v>
      </c>
      <c r="L477" s="6">
        <v>8.5000000000000006E-2</v>
      </c>
      <c r="M477" s="6">
        <v>8.5000000000000006E-2</v>
      </c>
      <c r="N477" s="6">
        <v>8.5000000000000006E-2</v>
      </c>
      <c r="O477" s="6">
        <v>8.5000000000000006E-2</v>
      </c>
      <c r="P477" s="6">
        <v>0</v>
      </c>
      <c r="Q477" s="4" t="s">
        <v>26</v>
      </c>
      <c r="R477" s="4">
        <v>0</v>
      </c>
      <c r="S477" s="6">
        <v>0</v>
      </c>
      <c r="T477" s="6">
        <v>75</v>
      </c>
      <c r="U477" s="6">
        <v>48</v>
      </c>
      <c r="V477" s="6">
        <f>IF(ISERROR(VLOOKUP($S$477,'TAR FIN'!$A$1:$O$92,15,0)),0,VLOOKUP($S$477,'TAR FIN'!$A$1:$O$92,15,0))</f>
        <v>0</v>
      </c>
      <c r="W477" s="104">
        <f>IF(ISERROR(VLOOKUP($T$473,'TAR FIN CELESC'!$A$1:$O$92,15,0)),0,VLOOKUP($T$473,'TAR FIN CELESC'!$A$1:$O$92,15,0))</f>
        <v>384.56</v>
      </c>
      <c r="X477" s="104">
        <f>IF(ISERROR(VLOOKUP($U$473,'TAR FIN CELESC'!$A$1:$O$92,15,0)),0,VLOOKUP($U$473,'TAR FIN CELESC'!$A$1:$O$92,15,0))</f>
        <v>272.48</v>
      </c>
      <c r="Y477" s="6"/>
      <c r="Z477" s="6">
        <f ca="1">('TUSD BE'!$AM$50+'TUSD BF_350'!$AM$50+'TUSD CVA'!$AM$50)*1</f>
        <v>470.22</v>
      </c>
      <c r="AA477" s="6">
        <f ca="1">('TE BE'!$AB$38+'TE BF_350'!$AB$38+'TE CVA'!$AB$38)*1</f>
        <v>250.03999999999996</v>
      </c>
      <c r="AB477" s="6">
        <f>$K$477*$V$477</f>
        <v>0</v>
      </c>
      <c r="AC477" s="6">
        <f>$M$477*$W$477</f>
        <v>32.687600000000003</v>
      </c>
      <c r="AD477" s="6">
        <f>$O$477*$X$477</f>
        <v>23.160800000000002</v>
      </c>
      <c r="AE477" s="6">
        <f>$K$477*$Y$477</f>
        <v>0</v>
      </c>
      <c r="AF477" s="6">
        <f ca="1">$M$477*$Z$477</f>
        <v>39.968700000000005</v>
      </c>
      <c r="AG477" s="6">
        <f ca="1">$O$477*$AA$477</f>
        <v>21.253399999999999</v>
      </c>
    </row>
    <row r="478" spans="1:33" ht="11.25" customHeight="1" x14ac:dyDescent="0.3">
      <c r="A478" s="4" t="s">
        <v>21</v>
      </c>
      <c r="B478" s="4" t="s">
        <v>32</v>
      </c>
      <c r="C478" s="4" t="s">
        <v>38</v>
      </c>
      <c r="D478" s="4" t="s">
        <v>33</v>
      </c>
      <c r="E478" s="4" t="s">
        <v>25</v>
      </c>
      <c r="F478" s="4" t="s">
        <v>25</v>
      </c>
      <c r="G478" s="4" t="s">
        <v>25</v>
      </c>
      <c r="H478" s="4" t="s">
        <v>39</v>
      </c>
      <c r="I478" s="5">
        <v>44562</v>
      </c>
      <c r="J478" s="6">
        <v>0</v>
      </c>
      <c r="K478" s="6">
        <v>0</v>
      </c>
      <c r="L478" s="6">
        <v>7.9000000000000001E-2</v>
      </c>
      <c r="M478" s="6">
        <v>7.9000000000000001E-2</v>
      </c>
      <c r="N478" s="6">
        <v>7.9000000000000001E-2</v>
      </c>
      <c r="O478" s="6">
        <v>7.9000000000000001E-2</v>
      </c>
      <c r="P478" s="6">
        <v>0</v>
      </c>
      <c r="Q478" s="4" t="s">
        <v>26</v>
      </c>
      <c r="R478" s="4">
        <v>0</v>
      </c>
      <c r="S478" s="6">
        <v>0</v>
      </c>
      <c r="T478" s="6">
        <v>75</v>
      </c>
      <c r="U478" s="6">
        <v>48</v>
      </c>
      <c r="V478" s="6">
        <f>IF(ISERROR(VLOOKUP($S$478,'TAR FIN'!$A$1:$O$92,15,0)),0,VLOOKUP($S$478,'TAR FIN'!$A$1:$O$92,15,0))</f>
        <v>0</v>
      </c>
      <c r="W478" s="104">
        <f>IF(ISERROR(VLOOKUP($T$473,'TAR FIN CELESC'!$A$1:$O$92,15,0)),0,VLOOKUP($T$473,'TAR FIN CELESC'!$A$1:$O$92,15,0))</f>
        <v>384.56</v>
      </c>
      <c r="X478" s="104">
        <f>IF(ISERROR(VLOOKUP($U$473,'TAR FIN CELESC'!$A$1:$O$92,15,0)),0,VLOOKUP($U$473,'TAR FIN CELESC'!$A$1:$O$92,15,0))</f>
        <v>272.48</v>
      </c>
      <c r="Y478" s="6"/>
      <c r="Z478" s="6">
        <f ca="1">('TUSD BE'!$AM$50+'TUSD BF_350'!$AM$50+'TUSD CVA'!$AM$50)*1</f>
        <v>470.22</v>
      </c>
      <c r="AA478" s="6">
        <f ca="1">('TE BE'!$AB$38+'TE BF_350'!$AB$38+'TE CVA'!$AB$38)*1</f>
        <v>250.03999999999996</v>
      </c>
      <c r="AB478" s="6">
        <f>$K$478*$V$478</f>
        <v>0</v>
      </c>
      <c r="AC478" s="6">
        <f>$M$478*$W$478</f>
        <v>30.380240000000001</v>
      </c>
      <c r="AD478" s="6">
        <f>$O$478*$X$478</f>
        <v>21.525920000000003</v>
      </c>
      <c r="AE478" s="6">
        <f>$K$478*$Y$478</f>
        <v>0</v>
      </c>
      <c r="AF478" s="6">
        <f ca="1">$M$478*$Z$478</f>
        <v>37.147380000000005</v>
      </c>
      <c r="AG478" s="6">
        <f ca="1">$O$478*$AA$478</f>
        <v>19.753159999999998</v>
      </c>
    </row>
    <row r="479" spans="1:33" ht="11.25" customHeight="1" x14ac:dyDescent="0.3">
      <c r="A479" s="4" t="s">
        <v>21</v>
      </c>
      <c r="B479" s="4" t="s">
        <v>32</v>
      </c>
      <c r="C479" s="4" t="s">
        <v>38</v>
      </c>
      <c r="D479" s="4" t="s">
        <v>33</v>
      </c>
      <c r="E479" s="4" t="s">
        <v>25</v>
      </c>
      <c r="F479" s="4" t="s">
        <v>25</v>
      </c>
      <c r="G479" s="4" t="s">
        <v>25</v>
      </c>
      <c r="H479" s="4" t="s">
        <v>39</v>
      </c>
      <c r="I479" s="5">
        <v>44593</v>
      </c>
      <c r="J479" s="6">
        <v>0</v>
      </c>
      <c r="K479" s="6">
        <v>0</v>
      </c>
      <c r="L479" s="6">
        <v>9.0999999999999998E-2</v>
      </c>
      <c r="M479" s="6">
        <v>9.0999999999999998E-2</v>
      </c>
      <c r="N479" s="6">
        <v>9.0999999999999998E-2</v>
      </c>
      <c r="O479" s="6">
        <v>9.0999999999999998E-2</v>
      </c>
      <c r="P479" s="6">
        <v>0</v>
      </c>
      <c r="Q479" s="4" t="s">
        <v>26</v>
      </c>
      <c r="R479" s="4">
        <v>0</v>
      </c>
      <c r="S479" s="6">
        <v>0</v>
      </c>
      <c r="T479" s="6">
        <v>75</v>
      </c>
      <c r="U479" s="6">
        <v>48</v>
      </c>
      <c r="V479" s="6">
        <f>IF(ISERROR(VLOOKUP($S$479,'TAR FIN'!$A$1:$O$92,15,0)),0,VLOOKUP($S$479,'TAR FIN'!$A$1:$O$92,15,0))</f>
        <v>0</v>
      </c>
      <c r="W479" s="104">
        <f>IF(ISERROR(VLOOKUP($T$473,'TAR FIN CELESC'!$A$1:$O$92,15,0)),0,VLOOKUP($T$473,'TAR FIN CELESC'!$A$1:$O$92,15,0))</f>
        <v>384.56</v>
      </c>
      <c r="X479" s="104">
        <f>IF(ISERROR(VLOOKUP($U$473,'TAR FIN CELESC'!$A$1:$O$92,15,0)),0,VLOOKUP($U$473,'TAR FIN CELESC'!$A$1:$O$92,15,0))</f>
        <v>272.48</v>
      </c>
      <c r="Y479" s="6"/>
      <c r="Z479" s="6">
        <f ca="1">('TUSD BE'!$AM$50+'TUSD BF_350'!$AM$50+'TUSD CVA'!$AM$50)*1</f>
        <v>470.22</v>
      </c>
      <c r="AA479" s="6">
        <f ca="1">('TE BE'!$AB$38+'TE BF_350'!$AB$38+'TE CVA'!$AB$38)*1</f>
        <v>250.03999999999996</v>
      </c>
      <c r="AB479" s="6">
        <f>$K$479*$V$479</f>
        <v>0</v>
      </c>
      <c r="AC479" s="6">
        <f>$M$479*$W$479</f>
        <v>34.994959999999999</v>
      </c>
      <c r="AD479" s="6">
        <f>$O$479*$X$479</f>
        <v>24.795680000000001</v>
      </c>
      <c r="AE479" s="6">
        <f>$K$479*$Y$479</f>
        <v>0</v>
      </c>
      <c r="AF479" s="6">
        <f ca="1">$M$479*$Z$479</f>
        <v>42.790019999999998</v>
      </c>
      <c r="AG479" s="6">
        <f ca="1">$O$479*$AA$479</f>
        <v>22.753639999999997</v>
      </c>
    </row>
    <row r="480" spans="1:33" ht="11.25" customHeight="1" x14ac:dyDescent="0.3">
      <c r="A480" s="4" t="s">
        <v>21</v>
      </c>
      <c r="B480" s="4" t="s">
        <v>32</v>
      </c>
      <c r="C480" s="4" t="s">
        <v>38</v>
      </c>
      <c r="D480" s="4" t="s">
        <v>33</v>
      </c>
      <c r="E480" s="4" t="s">
        <v>25</v>
      </c>
      <c r="F480" s="4" t="s">
        <v>25</v>
      </c>
      <c r="G480" s="4" t="s">
        <v>25</v>
      </c>
      <c r="H480" s="4" t="s">
        <v>39</v>
      </c>
      <c r="I480" s="5">
        <v>44621</v>
      </c>
      <c r="J480" s="6">
        <v>0</v>
      </c>
      <c r="K480" s="6">
        <v>0</v>
      </c>
      <c r="L480" s="6">
        <v>5.6000000000000001E-2</v>
      </c>
      <c r="M480" s="6">
        <v>5.6000000000000001E-2</v>
      </c>
      <c r="N480" s="6">
        <v>5.6000000000000001E-2</v>
      </c>
      <c r="O480" s="6">
        <v>5.6000000000000001E-2</v>
      </c>
      <c r="P480" s="6">
        <v>0</v>
      </c>
      <c r="Q480" s="4" t="s">
        <v>26</v>
      </c>
      <c r="R480" s="4">
        <v>0</v>
      </c>
      <c r="S480" s="6">
        <v>0</v>
      </c>
      <c r="T480" s="6">
        <v>75</v>
      </c>
      <c r="U480" s="6">
        <v>48</v>
      </c>
      <c r="V480" s="6">
        <f>IF(ISERROR(VLOOKUP($S$480,'TAR FIN'!$A$1:$O$92,15,0)),0,VLOOKUP($S$480,'TAR FIN'!$A$1:$O$92,15,0))</f>
        <v>0</v>
      </c>
      <c r="W480" s="104">
        <f>IF(ISERROR(VLOOKUP($T$473,'TAR FIN CELESC'!$A$1:$O$92,15,0)),0,VLOOKUP($T$473,'TAR FIN CELESC'!$A$1:$O$92,15,0))</f>
        <v>384.56</v>
      </c>
      <c r="X480" s="104">
        <f>IF(ISERROR(VLOOKUP($U$473,'TAR FIN CELESC'!$A$1:$O$92,15,0)),0,VLOOKUP($U$473,'TAR FIN CELESC'!$A$1:$O$92,15,0))</f>
        <v>272.48</v>
      </c>
      <c r="Y480" s="6"/>
      <c r="Z480" s="6">
        <f ca="1">('TUSD BE'!$AM$50+'TUSD BF_350'!$AM$50+'TUSD CVA'!$AM$50)*1</f>
        <v>470.22</v>
      </c>
      <c r="AA480" s="6">
        <f ca="1">('TE BE'!$AB$38+'TE BF_350'!$AB$38+'TE CVA'!$AB$38)*1</f>
        <v>250.03999999999996</v>
      </c>
      <c r="AB480" s="6">
        <f>$K$480*$V$480</f>
        <v>0</v>
      </c>
      <c r="AC480" s="6">
        <f>$M$480*$W$480</f>
        <v>21.535360000000001</v>
      </c>
      <c r="AD480" s="6">
        <f>$O$480*$X$480</f>
        <v>15.258880000000001</v>
      </c>
      <c r="AE480" s="6">
        <f>$K$480*$Y$480</f>
        <v>0</v>
      </c>
      <c r="AF480" s="6">
        <f ca="1">$M$480*$Z$480</f>
        <v>26.332320000000003</v>
      </c>
      <c r="AG480" s="6">
        <f ca="1">$O$480*$AA$480</f>
        <v>14.002239999999999</v>
      </c>
    </row>
    <row r="481" spans="1:33" ht="11.25" customHeight="1" x14ac:dyDescent="0.3">
      <c r="A481" s="4" t="s">
        <v>21</v>
      </c>
      <c r="B481" s="4" t="s">
        <v>32</v>
      </c>
      <c r="C481" s="4" t="s">
        <v>38</v>
      </c>
      <c r="D481" s="4" t="s">
        <v>33</v>
      </c>
      <c r="E481" s="4" t="s">
        <v>25</v>
      </c>
      <c r="F481" s="4" t="s">
        <v>25</v>
      </c>
      <c r="G481" s="4" t="s">
        <v>25</v>
      </c>
      <c r="H481" s="4" t="s">
        <v>39</v>
      </c>
      <c r="I481" s="5">
        <v>44652</v>
      </c>
      <c r="J481" s="6">
        <v>0</v>
      </c>
      <c r="K481" s="6">
        <v>0</v>
      </c>
      <c r="L481" s="6">
        <v>9.0999999999999998E-2</v>
      </c>
      <c r="M481" s="6">
        <v>9.0999999999999998E-2</v>
      </c>
      <c r="N481" s="6">
        <v>9.0999999999999998E-2</v>
      </c>
      <c r="O481" s="6">
        <v>9.0999999999999998E-2</v>
      </c>
      <c r="P481" s="6">
        <v>0</v>
      </c>
      <c r="Q481" s="4" t="s">
        <v>26</v>
      </c>
      <c r="R481" s="4">
        <v>0</v>
      </c>
      <c r="S481" s="6">
        <v>0</v>
      </c>
      <c r="T481" s="6">
        <v>75</v>
      </c>
      <c r="U481" s="6">
        <v>48</v>
      </c>
      <c r="V481" s="6">
        <f>IF(ISERROR(VLOOKUP($S$481,'TAR FIN'!$A$1:$O$92,15,0)),0,VLOOKUP($S$481,'TAR FIN'!$A$1:$O$92,15,0))</f>
        <v>0</v>
      </c>
      <c r="W481" s="104">
        <f>IF(ISERROR(VLOOKUP($T$473,'TAR FIN CELESC'!$A$1:$O$92,15,0)),0,VLOOKUP($T$473,'TAR FIN CELESC'!$A$1:$O$92,15,0))</f>
        <v>384.56</v>
      </c>
      <c r="X481" s="104">
        <f>IF(ISERROR(VLOOKUP($U$473,'TAR FIN CELESC'!$A$1:$O$92,15,0)),0,VLOOKUP($U$473,'TAR FIN CELESC'!$A$1:$O$92,15,0))</f>
        <v>272.48</v>
      </c>
      <c r="Y481" s="6"/>
      <c r="Z481" s="6">
        <f ca="1">('TUSD BE'!$AM$50+'TUSD BF_350'!$AM$50+'TUSD CVA'!$AM$50)*1</f>
        <v>470.22</v>
      </c>
      <c r="AA481" s="6">
        <f ca="1">('TE BE'!$AB$38+'TE BF_350'!$AB$38+'TE CVA'!$AB$38)*1</f>
        <v>250.03999999999996</v>
      </c>
      <c r="AB481" s="6">
        <f>$K$481*$V$481</f>
        <v>0</v>
      </c>
      <c r="AC481" s="6">
        <f>$M$481*$W$481</f>
        <v>34.994959999999999</v>
      </c>
      <c r="AD481" s="6">
        <f>$O$481*$X$481</f>
        <v>24.795680000000001</v>
      </c>
      <c r="AE481" s="6">
        <f>$K$481*$Y$481</f>
        <v>0</v>
      </c>
      <c r="AF481" s="6">
        <f ca="1">$M$481*$Z$481</f>
        <v>42.790019999999998</v>
      </c>
      <c r="AG481" s="6">
        <f ca="1">$O$481*$AA$481</f>
        <v>22.753639999999997</v>
      </c>
    </row>
    <row r="482" spans="1:33" ht="11.25" customHeight="1" x14ac:dyDescent="0.3">
      <c r="A482" s="4" t="s">
        <v>21</v>
      </c>
      <c r="B482" s="4" t="s">
        <v>32</v>
      </c>
      <c r="C482" s="4" t="s">
        <v>38</v>
      </c>
      <c r="D482" s="4" t="s">
        <v>33</v>
      </c>
      <c r="E482" s="4" t="s">
        <v>25</v>
      </c>
      <c r="F482" s="4" t="s">
        <v>25</v>
      </c>
      <c r="G482" s="4" t="s">
        <v>25</v>
      </c>
      <c r="H482" s="4" t="s">
        <v>39</v>
      </c>
      <c r="I482" s="5">
        <v>44682</v>
      </c>
      <c r="J482" s="6">
        <v>0</v>
      </c>
      <c r="K482" s="6">
        <v>0</v>
      </c>
      <c r="L482" s="6">
        <v>5.3999999999999999E-2</v>
      </c>
      <c r="M482" s="6">
        <v>5.3999999999999999E-2</v>
      </c>
      <c r="N482" s="6">
        <v>5.3999999999999999E-2</v>
      </c>
      <c r="O482" s="6">
        <v>5.3999999999999999E-2</v>
      </c>
      <c r="P482" s="6">
        <v>0</v>
      </c>
      <c r="Q482" s="4" t="s">
        <v>26</v>
      </c>
      <c r="R482" s="4">
        <v>0</v>
      </c>
      <c r="S482" s="6">
        <v>0</v>
      </c>
      <c r="T482" s="6">
        <v>75</v>
      </c>
      <c r="U482" s="6">
        <v>48</v>
      </c>
      <c r="V482" s="6">
        <f>IF(ISERROR(VLOOKUP($S$482,'TAR FIN'!$A$1:$O$92,15,0)),0,VLOOKUP($S$482,'TAR FIN'!$A$1:$O$92,15,0))</f>
        <v>0</v>
      </c>
      <c r="W482" s="104">
        <f>IF(ISERROR(VLOOKUP($T$473,'TAR FIN CELESC'!$A$1:$O$92,15,0)),0,VLOOKUP($T$473,'TAR FIN CELESC'!$A$1:$O$92,15,0))</f>
        <v>384.56</v>
      </c>
      <c r="X482" s="104">
        <f>IF(ISERROR(VLOOKUP($U$473,'TAR FIN CELESC'!$A$1:$O$92,15,0)),0,VLOOKUP($U$473,'TAR FIN CELESC'!$A$1:$O$92,15,0))</f>
        <v>272.48</v>
      </c>
      <c r="Y482" s="6"/>
      <c r="Z482" s="6">
        <f ca="1">('TUSD BE'!$AM$50+'TUSD BF_350'!$AM$50+'TUSD CVA'!$AM$50)*1</f>
        <v>470.22</v>
      </c>
      <c r="AA482" s="6">
        <f ca="1">('TE BE'!$AB$38+'TE BF_350'!$AB$38+'TE CVA'!$AB$38)*1</f>
        <v>250.03999999999996</v>
      </c>
      <c r="AB482" s="6">
        <f>$K$482*$V$482</f>
        <v>0</v>
      </c>
      <c r="AC482" s="6">
        <f>$M$482*$W$482</f>
        <v>20.76624</v>
      </c>
      <c r="AD482" s="6">
        <f>$O$482*$X$482</f>
        <v>14.713920000000002</v>
      </c>
      <c r="AE482" s="6">
        <f>$K$482*$Y$482</f>
        <v>0</v>
      </c>
      <c r="AF482" s="6">
        <f ca="1">$M$482*$Z$482</f>
        <v>25.39188</v>
      </c>
      <c r="AG482" s="6">
        <f ca="1">$O$482*$AA$482</f>
        <v>13.502159999999998</v>
      </c>
    </row>
    <row r="483" spans="1:33" ht="11.25" customHeight="1" x14ac:dyDescent="0.3">
      <c r="A483" s="4" t="s">
        <v>21</v>
      </c>
      <c r="B483" s="4" t="s">
        <v>32</v>
      </c>
      <c r="C483" s="4" t="s">
        <v>38</v>
      </c>
      <c r="D483" s="4" t="s">
        <v>33</v>
      </c>
      <c r="E483" s="4" t="s">
        <v>25</v>
      </c>
      <c r="F483" s="4" t="s">
        <v>25</v>
      </c>
      <c r="G483" s="4" t="s">
        <v>25</v>
      </c>
      <c r="H483" s="4" t="s">
        <v>39</v>
      </c>
      <c r="I483" s="5">
        <v>44713</v>
      </c>
      <c r="J483" s="6">
        <v>0</v>
      </c>
      <c r="K483" s="6">
        <v>0</v>
      </c>
      <c r="L483" s="6">
        <v>8.7999999999999995E-2</v>
      </c>
      <c r="M483" s="6">
        <v>8.7999999999999995E-2</v>
      </c>
      <c r="N483" s="6">
        <v>8.7999999999999995E-2</v>
      </c>
      <c r="O483" s="6">
        <v>8.7999999999999995E-2</v>
      </c>
      <c r="P483" s="6">
        <v>0</v>
      </c>
      <c r="Q483" s="4" t="s">
        <v>26</v>
      </c>
      <c r="R483" s="4">
        <v>0</v>
      </c>
      <c r="S483" s="6">
        <v>0</v>
      </c>
      <c r="T483" s="6">
        <v>75</v>
      </c>
      <c r="U483" s="6">
        <v>48</v>
      </c>
      <c r="V483" s="6">
        <f>IF(ISERROR(VLOOKUP($S$483,'TAR FIN'!$A$1:$O$92,15,0)),0,VLOOKUP($S$483,'TAR FIN'!$A$1:$O$92,15,0))</f>
        <v>0</v>
      </c>
      <c r="W483" s="104">
        <f>IF(ISERROR(VLOOKUP($T$473,'TAR FIN CELESC'!$A$1:$O$92,15,0)),0,VLOOKUP($T$473,'TAR FIN CELESC'!$A$1:$O$92,15,0))</f>
        <v>384.56</v>
      </c>
      <c r="X483" s="104">
        <f>IF(ISERROR(VLOOKUP($U$473,'TAR FIN CELESC'!$A$1:$O$92,15,0)),0,VLOOKUP($U$473,'TAR FIN CELESC'!$A$1:$O$92,15,0))</f>
        <v>272.48</v>
      </c>
      <c r="Y483" s="6"/>
      <c r="Z483" s="6">
        <f ca="1">('TUSD BE'!$AM$50+'TUSD BF_350'!$AM$50+'TUSD CVA'!$AM$50)*1</f>
        <v>470.22</v>
      </c>
      <c r="AA483" s="6">
        <f ca="1">('TE BE'!$AB$38+'TE BF_350'!$AB$38+'TE CVA'!$AB$38)*1</f>
        <v>250.03999999999996</v>
      </c>
      <c r="AB483" s="6">
        <f>$K$483*$V$483</f>
        <v>0</v>
      </c>
      <c r="AC483" s="6">
        <f>$M$483*$W$483</f>
        <v>33.841279999999998</v>
      </c>
      <c r="AD483" s="6">
        <f>$O$483*$X$483</f>
        <v>23.97824</v>
      </c>
      <c r="AE483" s="6">
        <f>$K$483*$Y$483</f>
        <v>0</v>
      </c>
      <c r="AF483" s="6">
        <f ca="1">$M$483*$Z$483</f>
        <v>41.379359999999998</v>
      </c>
      <c r="AG483" s="6">
        <f ca="1">$O$483*$AA$483</f>
        <v>22.003519999999995</v>
      </c>
    </row>
    <row r="484" spans="1:33" ht="11.25" customHeight="1" x14ac:dyDescent="0.3">
      <c r="A484" s="4" t="s">
        <v>21</v>
      </c>
      <c r="B484" s="4" t="s">
        <v>32</v>
      </c>
      <c r="C484" s="4" t="s">
        <v>38</v>
      </c>
      <c r="D484" s="4" t="s">
        <v>33</v>
      </c>
      <c r="E484" s="4" t="s">
        <v>25</v>
      </c>
      <c r="F484" s="4" t="s">
        <v>25</v>
      </c>
      <c r="G484" s="4" t="s">
        <v>25</v>
      </c>
      <c r="H484" s="4" t="s">
        <v>39</v>
      </c>
      <c r="I484" s="5">
        <v>44743</v>
      </c>
      <c r="J484" s="6">
        <v>0</v>
      </c>
      <c r="K484" s="6">
        <v>0</v>
      </c>
      <c r="L484" s="6">
        <v>7.5999999999999998E-2</v>
      </c>
      <c r="M484" s="6">
        <v>7.5999999999999998E-2</v>
      </c>
      <c r="N484" s="6">
        <v>7.5999999999999998E-2</v>
      </c>
      <c r="O484" s="6">
        <v>7.5999999999999998E-2</v>
      </c>
      <c r="P484" s="6">
        <v>0</v>
      </c>
      <c r="Q484" s="4" t="s">
        <v>26</v>
      </c>
      <c r="R484" s="4">
        <v>0</v>
      </c>
      <c r="S484" s="6">
        <v>0</v>
      </c>
      <c r="T484" s="6">
        <v>75</v>
      </c>
      <c r="U484" s="6">
        <v>48</v>
      </c>
      <c r="V484" s="6">
        <f>IF(ISERROR(VLOOKUP($S$484,'TAR FIN'!$A$1:$O$92,15,0)),0,VLOOKUP($S$484,'TAR FIN'!$A$1:$O$92,15,0))</f>
        <v>0</v>
      </c>
      <c r="W484" s="104">
        <f>IF(ISERROR(VLOOKUP($T$473,'TAR FIN CELESC'!$A$1:$O$92,15,0)),0,VLOOKUP($T$473,'TAR FIN CELESC'!$A$1:$O$92,15,0))</f>
        <v>384.56</v>
      </c>
      <c r="X484" s="104">
        <f>IF(ISERROR(VLOOKUP($U$473,'TAR FIN CELESC'!$A$1:$O$92,15,0)),0,VLOOKUP($U$473,'TAR FIN CELESC'!$A$1:$O$92,15,0))</f>
        <v>272.48</v>
      </c>
      <c r="Y484" s="6"/>
      <c r="Z484" s="6">
        <f ca="1">('TUSD BE'!$AM$50+'TUSD BF_350'!$AM$50+'TUSD CVA'!$AM$50)*1</f>
        <v>470.22</v>
      </c>
      <c r="AA484" s="6">
        <f ca="1">('TE BE'!$AB$38+'TE BF_350'!$AB$38+'TE CVA'!$AB$38)*1</f>
        <v>250.03999999999996</v>
      </c>
      <c r="AB484" s="6">
        <f>$K$484*$V$484</f>
        <v>0</v>
      </c>
      <c r="AC484" s="6">
        <f>$M$484*$W$484</f>
        <v>29.226559999999999</v>
      </c>
      <c r="AD484" s="6">
        <f>$O$484*$X$484</f>
        <v>20.708480000000002</v>
      </c>
      <c r="AE484" s="6">
        <f>$K$484*$Y$484</f>
        <v>0</v>
      </c>
      <c r="AF484" s="6">
        <f ca="1">$M$484*$Z$484</f>
        <v>35.736719999999998</v>
      </c>
      <c r="AG484" s="6">
        <f ca="1">$O$484*$AA$484</f>
        <v>19.003039999999995</v>
      </c>
    </row>
    <row r="485" spans="1:33" ht="11.25" customHeight="1" x14ac:dyDescent="0.3">
      <c r="A485" s="4" t="s">
        <v>21</v>
      </c>
      <c r="B485" s="4" t="s">
        <v>32</v>
      </c>
      <c r="C485" s="4" t="s">
        <v>38</v>
      </c>
      <c r="D485" s="4" t="s">
        <v>33</v>
      </c>
      <c r="E485" s="4" t="s">
        <v>25</v>
      </c>
      <c r="F485" s="4" t="s">
        <v>25</v>
      </c>
      <c r="G485" s="4" t="s">
        <v>25</v>
      </c>
      <c r="H485" s="4" t="s">
        <v>36</v>
      </c>
      <c r="I485" s="5">
        <v>44409</v>
      </c>
      <c r="J485" s="6">
        <v>0</v>
      </c>
      <c r="K485" s="6">
        <v>0</v>
      </c>
      <c r="L485" s="6">
        <v>1.6E-2</v>
      </c>
      <c r="M485" s="6">
        <v>1.6E-2</v>
      </c>
      <c r="N485" s="6">
        <v>1.6E-2</v>
      </c>
      <c r="O485" s="6">
        <v>1.6E-2</v>
      </c>
      <c r="P485" s="6">
        <v>0</v>
      </c>
      <c r="Q485" s="4" t="s">
        <v>26</v>
      </c>
      <c r="R485" s="4">
        <v>0</v>
      </c>
      <c r="S485" s="6">
        <v>0</v>
      </c>
      <c r="T485" s="6">
        <v>74</v>
      </c>
      <c r="U485" s="6">
        <v>47</v>
      </c>
      <c r="V485" s="6">
        <f>IF(ISERROR(VLOOKUP($S$485,'TAR FIN'!$A$1:$O$92,15,0)),0,VLOOKUP($S$485,'TAR FIN'!$A$1:$O$92,15,0))</f>
        <v>0</v>
      </c>
      <c r="W485" s="104">
        <f>IF(ISERROR(VLOOKUP($T$485,'TAR FIN CELESC'!$A$1:$O$92,15,0)),0,VLOOKUP($T$485,'TAR FIN CELESC'!$A$1:$O$92,15,0))</f>
        <v>567.25</v>
      </c>
      <c r="X485" s="104">
        <f>IF(ISERROR(VLOOKUP($U$485,'TAR FIN CELESC'!$A$1:$O$92,15,0)),0,VLOOKUP($U$485,'TAR FIN CELESC'!$A$1:$O$92,15,0))</f>
        <v>451.4</v>
      </c>
      <c r="Y485" s="6"/>
      <c r="Z485" s="6">
        <f ca="1">('TUSD BE'!$AM$49+'TUSD BF_350'!$AM$49+'TUSD CVA'!$AM$49)*1</f>
        <v>679.11000000000035</v>
      </c>
      <c r="AA485" s="6">
        <f ca="1">('TE BE'!$AB$37+'TE BF_350'!$AB$37+'TE CVA'!$AB$37)*1</f>
        <v>399.84</v>
      </c>
      <c r="AB485" s="6">
        <f>$K$485*$V$485</f>
        <v>0</v>
      </c>
      <c r="AC485" s="6">
        <f>$M$485*$W$485</f>
        <v>9.0760000000000005</v>
      </c>
      <c r="AD485" s="6">
        <f>$O$485*$X$485</f>
        <v>7.2223999999999995</v>
      </c>
      <c r="AE485" s="6">
        <f>$K$485*$Y$485</f>
        <v>0</v>
      </c>
      <c r="AF485" s="6">
        <f ca="1">$M$485*$Z$485</f>
        <v>10.865760000000005</v>
      </c>
      <c r="AG485" s="6">
        <f ca="1">$O$485*$AA$485</f>
        <v>6.3974399999999996</v>
      </c>
    </row>
    <row r="486" spans="1:33" ht="11.25" customHeight="1" x14ac:dyDescent="0.3">
      <c r="A486" s="4" t="s">
        <v>21</v>
      </c>
      <c r="B486" s="4" t="s">
        <v>32</v>
      </c>
      <c r="C486" s="4" t="s">
        <v>38</v>
      </c>
      <c r="D486" s="4" t="s">
        <v>33</v>
      </c>
      <c r="E486" s="4" t="s">
        <v>25</v>
      </c>
      <c r="F486" s="4" t="s">
        <v>25</v>
      </c>
      <c r="G486" s="4" t="s">
        <v>25</v>
      </c>
      <c r="H486" s="4" t="s">
        <v>36</v>
      </c>
      <c r="I486" s="5">
        <v>44440</v>
      </c>
      <c r="J486" s="6">
        <v>0</v>
      </c>
      <c r="K486" s="6">
        <v>0</v>
      </c>
      <c r="L486" s="6">
        <v>2.1000000000000001E-2</v>
      </c>
      <c r="M486" s="6">
        <v>2.1000000000000001E-2</v>
      </c>
      <c r="N486" s="6">
        <v>2.1000000000000001E-2</v>
      </c>
      <c r="O486" s="6">
        <v>2.1000000000000001E-2</v>
      </c>
      <c r="P486" s="6">
        <v>0</v>
      </c>
      <c r="Q486" s="4" t="s">
        <v>26</v>
      </c>
      <c r="R486" s="4">
        <v>0</v>
      </c>
      <c r="S486" s="6">
        <v>0</v>
      </c>
      <c r="T486" s="6">
        <v>74</v>
      </c>
      <c r="U486" s="6">
        <v>47</v>
      </c>
      <c r="V486" s="6">
        <f>IF(ISERROR(VLOOKUP($S$486,'TAR FIN'!$A$1:$O$92,15,0)),0,VLOOKUP($S$486,'TAR FIN'!$A$1:$O$92,15,0))</f>
        <v>0</v>
      </c>
      <c r="W486" s="104">
        <f>IF(ISERROR(VLOOKUP($T$485,'TAR FIN CELESC'!$A$1:$O$92,15,0)),0,VLOOKUP($T$485,'TAR FIN CELESC'!$A$1:$O$92,15,0))</f>
        <v>567.25</v>
      </c>
      <c r="X486" s="104">
        <f>IF(ISERROR(VLOOKUP($U$485,'TAR FIN CELESC'!$A$1:$O$92,15,0)),0,VLOOKUP($U$485,'TAR FIN CELESC'!$A$1:$O$92,15,0))</f>
        <v>451.4</v>
      </c>
      <c r="Y486" s="6"/>
      <c r="Z486" s="6">
        <f ca="1">('TUSD BE'!$AM$49+'TUSD BF_350'!$AM$49+'TUSD CVA'!$AM$49)*1</f>
        <v>679.11000000000035</v>
      </c>
      <c r="AA486" s="6">
        <f ca="1">('TE BE'!$AB$37+'TE BF_350'!$AB$37+'TE CVA'!$AB$37)*1</f>
        <v>399.84</v>
      </c>
      <c r="AB486" s="6">
        <f>$K$486*$V$486</f>
        <v>0</v>
      </c>
      <c r="AC486" s="6">
        <f>$M$486*$W$486</f>
        <v>11.91225</v>
      </c>
      <c r="AD486" s="6">
        <f>$O$486*$X$486</f>
        <v>9.4794</v>
      </c>
      <c r="AE486" s="6">
        <f>$K$486*$Y$486</f>
        <v>0</v>
      </c>
      <c r="AF486" s="6">
        <f ca="1">$M$486*$Z$486</f>
        <v>14.261310000000009</v>
      </c>
      <c r="AG486" s="6">
        <f ca="1">$O$486*$AA$486</f>
        <v>8.3966399999999997</v>
      </c>
    </row>
    <row r="487" spans="1:33" ht="11.25" customHeight="1" x14ac:dyDescent="0.3">
      <c r="A487" s="4" t="s">
        <v>21</v>
      </c>
      <c r="B487" s="4" t="s">
        <v>32</v>
      </c>
      <c r="C487" s="4" t="s">
        <v>38</v>
      </c>
      <c r="D487" s="4" t="s">
        <v>33</v>
      </c>
      <c r="E487" s="4" t="s">
        <v>25</v>
      </c>
      <c r="F487" s="4" t="s">
        <v>25</v>
      </c>
      <c r="G487" s="4" t="s">
        <v>25</v>
      </c>
      <c r="H487" s="4" t="s">
        <v>36</v>
      </c>
      <c r="I487" s="5">
        <v>44470</v>
      </c>
      <c r="J487" s="6">
        <v>0</v>
      </c>
      <c r="K487" s="6">
        <v>0</v>
      </c>
      <c r="L487" s="6">
        <v>0.03</v>
      </c>
      <c r="M487" s="6">
        <v>0.03</v>
      </c>
      <c r="N487" s="6">
        <v>0.03</v>
      </c>
      <c r="O487" s="6">
        <v>0.03</v>
      </c>
      <c r="P487" s="6">
        <v>0</v>
      </c>
      <c r="Q487" s="4" t="s">
        <v>26</v>
      </c>
      <c r="R487" s="4">
        <v>0</v>
      </c>
      <c r="S487" s="6">
        <v>0</v>
      </c>
      <c r="T487" s="6">
        <v>74</v>
      </c>
      <c r="U487" s="6">
        <v>47</v>
      </c>
      <c r="V487" s="6">
        <f>IF(ISERROR(VLOOKUP($S$487,'TAR FIN'!$A$1:$O$92,15,0)),0,VLOOKUP($S$487,'TAR FIN'!$A$1:$O$92,15,0))</f>
        <v>0</v>
      </c>
      <c r="W487" s="104">
        <f>IF(ISERROR(VLOOKUP($T$485,'TAR FIN CELESC'!$A$1:$O$92,15,0)),0,VLOOKUP($T$485,'TAR FIN CELESC'!$A$1:$O$92,15,0))</f>
        <v>567.25</v>
      </c>
      <c r="X487" s="104">
        <f>IF(ISERROR(VLOOKUP($U$485,'TAR FIN CELESC'!$A$1:$O$92,15,0)),0,VLOOKUP($U$485,'TAR FIN CELESC'!$A$1:$O$92,15,0))</f>
        <v>451.4</v>
      </c>
      <c r="Y487" s="6"/>
      <c r="Z487" s="6">
        <f ca="1">('TUSD BE'!$AM$49+'TUSD BF_350'!$AM$49+'TUSD CVA'!$AM$49)*1</f>
        <v>679.11000000000035</v>
      </c>
      <c r="AA487" s="6">
        <f ca="1">('TE BE'!$AB$37+'TE BF_350'!$AB$37+'TE CVA'!$AB$37)*1</f>
        <v>399.84</v>
      </c>
      <c r="AB487" s="6">
        <f>$K$487*$V$487</f>
        <v>0</v>
      </c>
      <c r="AC487" s="6">
        <f>$M$487*$W$487</f>
        <v>17.017499999999998</v>
      </c>
      <c r="AD487" s="6">
        <f>$O$487*$X$487</f>
        <v>13.541999999999998</v>
      </c>
      <c r="AE487" s="6">
        <f>$K$487*$Y$487</f>
        <v>0</v>
      </c>
      <c r="AF487" s="6">
        <f ca="1">$M$487*$Z$487</f>
        <v>20.373300000000011</v>
      </c>
      <c r="AG487" s="6">
        <f ca="1">$O$487*$AA$487</f>
        <v>11.995199999999999</v>
      </c>
    </row>
    <row r="488" spans="1:33" ht="11.25" customHeight="1" x14ac:dyDescent="0.3">
      <c r="A488" s="4" t="s">
        <v>21</v>
      </c>
      <c r="B488" s="4" t="s">
        <v>32</v>
      </c>
      <c r="C488" s="4" t="s">
        <v>38</v>
      </c>
      <c r="D488" s="4" t="s">
        <v>33</v>
      </c>
      <c r="E488" s="4" t="s">
        <v>25</v>
      </c>
      <c r="F488" s="4" t="s">
        <v>25</v>
      </c>
      <c r="G488" s="4" t="s">
        <v>25</v>
      </c>
      <c r="H488" s="4" t="s">
        <v>36</v>
      </c>
      <c r="I488" s="5">
        <v>44501</v>
      </c>
      <c r="J488" s="6">
        <v>0</v>
      </c>
      <c r="K488" s="6">
        <v>0</v>
      </c>
      <c r="L488" s="6">
        <v>2.9000000000000001E-2</v>
      </c>
      <c r="M488" s="6">
        <v>2.9000000000000001E-2</v>
      </c>
      <c r="N488" s="6">
        <v>2.9000000000000001E-2</v>
      </c>
      <c r="O488" s="6">
        <v>2.9000000000000001E-2</v>
      </c>
      <c r="P488" s="6">
        <v>0</v>
      </c>
      <c r="Q488" s="4" t="s">
        <v>26</v>
      </c>
      <c r="R488" s="4">
        <v>0</v>
      </c>
      <c r="S488" s="6">
        <v>0</v>
      </c>
      <c r="T488" s="6">
        <v>74</v>
      </c>
      <c r="U488" s="6">
        <v>47</v>
      </c>
      <c r="V488" s="6">
        <f>IF(ISERROR(VLOOKUP($S$488,'TAR FIN'!$A$1:$O$92,15,0)),0,VLOOKUP($S$488,'TAR FIN'!$A$1:$O$92,15,0))</f>
        <v>0</v>
      </c>
      <c r="W488" s="104">
        <f>IF(ISERROR(VLOOKUP($T$485,'TAR FIN CELESC'!$A$1:$O$92,15,0)),0,VLOOKUP($T$485,'TAR FIN CELESC'!$A$1:$O$92,15,0))</f>
        <v>567.25</v>
      </c>
      <c r="X488" s="104">
        <f>IF(ISERROR(VLOOKUP($U$485,'TAR FIN CELESC'!$A$1:$O$92,15,0)),0,VLOOKUP($U$485,'TAR FIN CELESC'!$A$1:$O$92,15,0))</f>
        <v>451.4</v>
      </c>
      <c r="Y488" s="6"/>
      <c r="Z488" s="6">
        <f ca="1">('TUSD BE'!$AM$49+'TUSD BF_350'!$AM$49+'TUSD CVA'!$AM$49)*1</f>
        <v>679.11000000000035</v>
      </c>
      <c r="AA488" s="6">
        <f ca="1">('TE BE'!$AB$37+'TE BF_350'!$AB$37+'TE CVA'!$AB$37)*1</f>
        <v>399.84</v>
      </c>
      <c r="AB488" s="6">
        <f>$K$488*$V$488</f>
        <v>0</v>
      </c>
      <c r="AC488" s="6">
        <f>$M$488*$W$488</f>
        <v>16.45025</v>
      </c>
      <c r="AD488" s="6">
        <f>$O$488*$X$488</f>
        <v>13.0906</v>
      </c>
      <c r="AE488" s="6">
        <f>$K$488*$Y$488</f>
        <v>0</v>
      </c>
      <c r="AF488" s="6">
        <f ca="1">$M$488*$Z$488</f>
        <v>19.69419000000001</v>
      </c>
      <c r="AG488" s="6">
        <f ca="1">$O$488*$AA$488</f>
        <v>11.595359999999999</v>
      </c>
    </row>
    <row r="489" spans="1:33" ht="11.25" customHeight="1" x14ac:dyDescent="0.3">
      <c r="A489" s="4" t="s">
        <v>21</v>
      </c>
      <c r="B489" s="4" t="s">
        <v>32</v>
      </c>
      <c r="C489" s="4" t="s">
        <v>38</v>
      </c>
      <c r="D489" s="4" t="s">
        <v>33</v>
      </c>
      <c r="E489" s="4" t="s">
        <v>25</v>
      </c>
      <c r="F489" s="4" t="s">
        <v>25</v>
      </c>
      <c r="G489" s="4" t="s">
        <v>25</v>
      </c>
      <c r="H489" s="4" t="s">
        <v>36</v>
      </c>
      <c r="I489" s="5">
        <v>44531</v>
      </c>
      <c r="J489" s="6">
        <v>0</v>
      </c>
      <c r="K489" s="6">
        <v>0</v>
      </c>
      <c r="L489" s="6">
        <v>3.1E-2</v>
      </c>
      <c r="M489" s="6">
        <v>3.1E-2</v>
      </c>
      <c r="N489" s="6">
        <v>3.1E-2</v>
      </c>
      <c r="O489" s="6">
        <v>3.1E-2</v>
      </c>
      <c r="P489" s="6">
        <v>0</v>
      </c>
      <c r="Q489" s="4" t="s">
        <v>26</v>
      </c>
      <c r="R489" s="4">
        <v>0</v>
      </c>
      <c r="S489" s="6">
        <v>0</v>
      </c>
      <c r="T489" s="6">
        <v>74</v>
      </c>
      <c r="U489" s="6">
        <v>47</v>
      </c>
      <c r="V489" s="6">
        <f>IF(ISERROR(VLOOKUP($S$489,'TAR FIN'!$A$1:$O$92,15,0)),0,VLOOKUP($S$489,'TAR FIN'!$A$1:$O$92,15,0))</f>
        <v>0</v>
      </c>
      <c r="W489" s="104">
        <f>IF(ISERROR(VLOOKUP($T$485,'TAR FIN CELESC'!$A$1:$O$92,15,0)),0,VLOOKUP($T$485,'TAR FIN CELESC'!$A$1:$O$92,15,0))</f>
        <v>567.25</v>
      </c>
      <c r="X489" s="104">
        <f>IF(ISERROR(VLOOKUP($U$485,'TAR FIN CELESC'!$A$1:$O$92,15,0)),0,VLOOKUP($U$485,'TAR FIN CELESC'!$A$1:$O$92,15,0))</f>
        <v>451.4</v>
      </c>
      <c r="Y489" s="6"/>
      <c r="Z489" s="6">
        <f ca="1">('TUSD BE'!$AM$49+'TUSD BF_350'!$AM$49+'TUSD CVA'!$AM$49)*1</f>
        <v>679.11000000000035</v>
      </c>
      <c r="AA489" s="6">
        <f ca="1">('TE BE'!$AB$37+'TE BF_350'!$AB$37+'TE CVA'!$AB$37)*1</f>
        <v>399.84</v>
      </c>
      <c r="AB489" s="6">
        <f>$K$489*$V$489</f>
        <v>0</v>
      </c>
      <c r="AC489" s="6">
        <f>$M$489*$W$489</f>
        <v>17.58475</v>
      </c>
      <c r="AD489" s="6">
        <f>$O$489*$X$489</f>
        <v>13.993399999999999</v>
      </c>
      <c r="AE489" s="6">
        <f>$K$489*$Y$489</f>
        <v>0</v>
      </c>
      <c r="AF489" s="6">
        <f ca="1">$M$489*$Z$489</f>
        <v>21.052410000000013</v>
      </c>
      <c r="AG489" s="6">
        <f ca="1">$O$489*$AA$489</f>
        <v>12.39504</v>
      </c>
    </row>
    <row r="490" spans="1:33" ht="11.25" customHeight="1" x14ac:dyDescent="0.3">
      <c r="A490" s="4" t="s">
        <v>21</v>
      </c>
      <c r="B490" s="4" t="s">
        <v>32</v>
      </c>
      <c r="C490" s="4" t="s">
        <v>38</v>
      </c>
      <c r="D490" s="4" t="s">
        <v>33</v>
      </c>
      <c r="E490" s="4" t="s">
        <v>25</v>
      </c>
      <c r="F490" s="4" t="s">
        <v>25</v>
      </c>
      <c r="G490" s="4" t="s">
        <v>25</v>
      </c>
      <c r="H490" s="4" t="s">
        <v>36</v>
      </c>
      <c r="I490" s="5">
        <v>44562</v>
      </c>
      <c r="J490" s="6">
        <v>0</v>
      </c>
      <c r="K490" s="6">
        <v>0</v>
      </c>
      <c r="L490" s="6">
        <v>4.2000000000000003E-2</v>
      </c>
      <c r="M490" s="6">
        <v>4.2000000000000003E-2</v>
      </c>
      <c r="N490" s="6">
        <v>4.2000000000000003E-2</v>
      </c>
      <c r="O490" s="6">
        <v>4.2000000000000003E-2</v>
      </c>
      <c r="P490" s="6">
        <v>0</v>
      </c>
      <c r="Q490" s="4" t="s">
        <v>26</v>
      </c>
      <c r="R490" s="4">
        <v>0</v>
      </c>
      <c r="S490" s="6">
        <v>0</v>
      </c>
      <c r="T490" s="6">
        <v>74</v>
      </c>
      <c r="U490" s="6">
        <v>47</v>
      </c>
      <c r="V490" s="6">
        <f>IF(ISERROR(VLOOKUP($S$490,'TAR FIN'!$A$1:$O$92,15,0)),0,VLOOKUP($S$490,'TAR FIN'!$A$1:$O$92,15,0))</f>
        <v>0</v>
      </c>
      <c r="W490" s="104">
        <f>IF(ISERROR(VLOOKUP($T$485,'TAR FIN CELESC'!$A$1:$O$92,15,0)),0,VLOOKUP($T$485,'TAR FIN CELESC'!$A$1:$O$92,15,0))</f>
        <v>567.25</v>
      </c>
      <c r="X490" s="104">
        <f>IF(ISERROR(VLOOKUP($U$485,'TAR FIN CELESC'!$A$1:$O$92,15,0)),0,VLOOKUP($U$485,'TAR FIN CELESC'!$A$1:$O$92,15,0))</f>
        <v>451.4</v>
      </c>
      <c r="Y490" s="6"/>
      <c r="Z490" s="6">
        <f ca="1">('TUSD BE'!$AM$49+'TUSD BF_350'!$AM$49+'TUSD CVA'!$AM$49)*1</f>
        <v>679.11000000000035</v>
      </c>
      <c r="AA490" s="6">
        <f ca="1">('TE BE'!$AB$37+'TE BF_350'!$AB$37+'TE CVA'!$AB$37)*1</f>
        <v>399.84</v>
      </c>
      <c r="AB490" s="6">
        <f>$K$490*$V$490</f>
        <v>0</v>
      </c>
      <c r="AC490" s="6">
        <f>$M$490*$W$490</f>
        <v>23.8245</v>
      </c>
      <c r="AD490" s="6">
        <f>$O$490*$X$490</f>
        <v>18.9588</v>
      </c>
      <c r="AE490" s="6">
        <f>$K$490*$Y$490</f>
        <v>0</v>
      </c>
      <c r="AF490" s="6">
        <f ca="1">$M$490*$Z$490</f>
        <v>28.522620000000018</v>
      </c>
      <c r="AG490" s="6">
        <f ca="1">$O$490*$AA$490</f>
        <v>16.793279999999999</v>
      </c>
    </row>
    <row r="491" spans="1:33" ht="11.25" customHeight="1" x14ac:dyDescent="0.3">
      <c r="A491" s="4" t="s">
        <v>21</v>
      </c>
      <c r="B491" s="4" t="s">
        <v>32</v>
      </c>
      <c r="C491" s="4" t="s">
        <v>38</v>
      </c>
      <c r="D491" s="4" t="s">
        <v>33</v>
      </c>
      <c r="E491" s="4" t="s">
        <v>25</v>
      </c>
      <c r="F491" s="4" t="s">
        <v>25</v>
      </c>
      <c r="G491" s="4" t="s">
        <v>25</v>
      </c>
      <c r="H491" s="4" t="s">
        <v>36</v>
      </c>
      <c r="I491" s="5">
        <v>44593</v>
      </c>
      <c r="J491" s="6">
        <v>0</v>
      </c>
      <c r="K491" s="6">
        <v>0</v>
      </c>
      <c r="L491" s="6">
        <v>3.5999999999999997E-2</v>
      </c>
      <c r="M491" s="6">
        <v>3.5999999999999997E-2</v>
      </c>
      <c r="N491" s="6">
        <v>3.5999999999999997E-2</v>
      </c>
      <c r="O491" s="6">
        <v>3.5999999999999997E-2</v>
      </c>
      <c r="P491" s="6">
        <v>0</v>
      </c>
      <c r="Q491" s="4" t="s">
        <v>26</v>
      </c>
      <c r="R491" s="4">
        <v>0</v>
      </c>
      <c r="S491" s="6">
        <v>0</v>
      </c>
      <c r="T491" s="6">
        <v>74</v>
      </c>
      <c r="U491" s="6">
        <v>47</v>
      </c>
      <c r="V491" s="6">
        <f>IF(ISERROR(VLOOKUP($S$491,'TAR FIN'!$A$1:$O$92,15,0)),0,VLOOKUP($S$491,'TAR FIN'!$A$1:$O$92,15,0))</f>
        <v>0</v>
      </c>
      <c r="W491" s="104">
        <f>IF(ISERROR(VLOOKUP($T$485,'TAR FIN CELESC'!$A$1:$O$92,15,0)),0,VLOOKUP($T$485,'TAR FIN CELESC'!$A$1:$O$92,15,0))</f>
        <v>567.25</v>
      </c>
      <c r="X491" s="104">
        <f>IF(ISERROR(VLOOKUP($U$485,'TAR FIN CELESC'!$A$1:$O$92,15,0)),0,VLOOKUP($U$485,'TAR FIN CELESC'!$A$1:$O$92,15,0))</f>
        <v>451.4</v>
      </c>
      <c r="Y491" s="6"/>
      <c r="Z491" s="6">
        <f ca="1">('TUSD BE'!$AM$49+'TUSD BF_350'!$AM$49+'TUSD CVA'!$AM$49)*1</f>
        <v>679.11000000000035</v>
      </c>
      <c r="AA491" s="6">
        <f ca="1">('TE BE'!$AB$37+'TE BF_350'!$AB$37+'TE CVA'!$AB$37)*1</f>
        <v>399.84</v>
      </c>
      <c r="AB491" s="6">
        <f>$K$491*$V$491</f>
        <v>0</v>
      </c>
      <c r="AC491" s="6">
        <f>$M$491*$W$491</f>
        <v>20.420999999999999</v>
      </c>
      <c r="AD491" s="6">
        <f>$O$491*$X$491</f>
        <v>16.250399999999999</v>
      </c>
      <c r="AE491" s="6">
        <f>$K$491*$Y$491</f>
        <v>0</v>
      </c>
      <c r="AF491" s="6">
        <f ca="1">$M$491*$Z$491</f>
        <v>24.447960000000013</v>
      </c>
      <c r="AG491" s="6">
        <f ca="1">$O$491*$AA$491</f>
        <v>14.394239999999998</v>
      </c>
    </row>
    <row r="492" spans="1:33" ht="11.25" customHeight="1" x14ac:dyDescent="0.3">
      <c r="A492" s="4" t="s">
        <v>21</v>
      </c>
      <c r="B492" s="4" t="s">
        <v>32</v>
      </c>
      <c r="C492" s="4" t="s">
        <v>38</v>
      </c>
      <c r="D492" s="4" t="s">
        <v>33</v>
      </c>
      <c r="E492" s="4" t="s">
        <v>25</v>
      </c>
      <c r="F492" s="4" t="s">
        <v>25</v>
      </c>
      <c r="G492" s="4" t="s">
        <v>25</v>
      </c>
      <c r="H492" s="4" t="s">
        <v>36</v>
      </c>
      <c r="I492" s="5">
        <v>44621</v>
      </c>
      <c r="J492" s="6">
        <v>0</v>
      </c>
      <c r="K492" s="6">
        <v>0</v>
      </c>
      <c r="L492" s="6">
        <v>4.3999999999999997E-2</v>
      </c>
      <c r="M492" s="6">
        <v>4.3999999999999997E-2</v>
      </c>
      <c r="N492" s="6">
        <v>4.3999999999999997E-2</v>
      </c>
      <c r="O492" s="6">
        <v>4.3999999999999997E-2</v>
      </c>
      <c r="P492" s="6">
        <v>0</v>
      </c>
      <c r="Q492" s="4" t="s">
        <v>26</v>
      </c>
      <c r="R492" s="4">
        <v>0</v>
      </c>
      <c r="S492" s="6">
        <v>0</v>
      </c>
      <c r="T492" s="6">
        <v>74</v>
      </c>
      <c r="U492" s="6">
        <v>47</v>
      </c>
      <c r="V492" s="6">
        <f>IF(ISERROR(VLOOKUP($S$492,'TAR FIN'!$A$1:$O$92,15,0)),0,VLOOKUP($S$492,'TAR FIN'!$A$1:$O$92,15,0))</f>
        <v>0</v>
      </c>
      <c r="W492" s="104">
        <f>IF(ISERROR(VLOOKUP($T$485,'TAR FIN CELESC'!$A$1:$O$92,15,0)),0,VLOOKUP($T$485,'TAR FIN CELESC'!$A$1:$O$92,15,0))</f>
        <v>567.25</v>
      </c>
      <c r="X492" s="104">
        <f>IF(ISERROR(VLOOKUP($U$485,'TAR FIN CELESC'!$A$1:$O$92,15,0)),0,VLOOKUP($U$485,'TAR FIN CELESC'!$A$1:$O$92,15,0))</f>
        <v>451.4</v>
      </c>
      <c r="Y492" s="6"/>
      <c r="Z492" s="6">
        <f ca="1">('TUSD BE'!$AM$49+'TUSD BF_350'!$AM$49+'TUSD CVA'!$AM$49)*1</f>
        <v>679.11000000000035</v>
      </c>
      <c r="AA492" s="6">
        <f ca="1">('TE BE'!$AB$37+'TE BF_350'!$AB$37+'TE CVA'!$AB$37)*1</f>
        <v>399.84</v>
      </c>
      <c r="AB492" s="6">
        <f>$K$492*$V$492</f>
        <v>0</v>
      </c>
      <c r="AC492" s="6">
        <f>$M$492*$W$492</f>
        <v>24.959</v>
      </c>
      <c r="AD492" s="6">
        <f>$O$492*$X$492</f>
        <v>19.861599999999999</v>
      </c>
      <c r="AE492" s="6">
        <f>$K$492*$Y$492</f>
        <v>0</v>
      </c>
      <c r="AF492" s="6">
        <f ca="1">$M$492*$Z$492</f>
        <v>29.880840000000013</v>
      </c>
      <c r="AG492" s="6">
        <f ca="1">$O$492*$AA$492</f>
        <v>17.592959999999998</v>
      </c>
    </row>
    <row r="493" spans="1:33" ht="11.25" customHeight="1" x14ac:dyDescent="0.3">
      <c r="A493" s="4" t="s">
        <v>21</v>
      </c>
      <c r="B493" s="4" t="s">
        <v>32</v>
      </c>
      <c r="C493" s="4" t="s">
        <v>38</v>
      </c>
      <c r="D493" s="4" t="s">
        <v>33</v>
      </c>
      <c r="E493" s="4" t="s">
        <v>25</v>
      </c>
      <c r="F493" s="4" t="s">
        <v>25</v>
      </c>
      <c r="G493" s="4" t="s">
        <v>25</v>
      </c>
      <c r="H493" s="4" t="s">
        <v>36</v>
      </c>
      <c r="I493" s="5">
        <v>44652</v>
      </c>
      <c r="J493" s="6">
        <v>0</v>
      </c>
      <c r="K493" s="6">
        <v>0</v>
      </c>
      <c r="L493" s="6">
        <v>5.2999999999999999E-2</v>
      </c>
      <c r="M493" s="6">
        <v>5.2999999999999999E-2</v>
      </c>
      <c r="N493" s="6">
        <v>5.2999999999999999E-2</v>
      </c>
      <c r="O493" s="6">
        <v>5.2999999999999999E-2</v>
      </c>
      <c r="P493" s="6">
        <v>0</v>
      </c>
      <c r="Q493" s="4" t="s">
        <v>26</v>
      </c>
      <c r="R493" s="4">
        <v>0</v>
      </c>
      <c r="S493" s="6">
        <v>0</v>
      </c>
      <c r="T493" s="6">
        <v>74</v>
      </c>
      <c r="U493" s="6">
        <v>47</v>
      </c>
      <c r="V493" s="6">
        <f>IF(ISERROR(VLOOKUP($S$493,'TAR FIN'!$A$1:$O$92,15,0)),0,VLOOKUP($S$493,'TAR FIN'!$A$1:$O$92,15,0))</f>
        <v>0</v>
      </c>
      <c r="W493" s="104">
        <f>IF(ISERROR(VLOOKUP($T$485,'TAR FIN CELESC'!$A$1:$O$92,15,0)),0,VLOOKUP($T$485,'TAR FIN CELESC'!$A$1:$O$92,15,0))</f>
        <v>567.25</v>
      </c>
      <c r="X493" s="104">
        <f>IF(ISERROR(VLOOKUP($U$485,'TAR FIN CELESC'!$A$1:$O$92,15,0)),0,VLOOKUP($U$485,'TAR FIN CELESC'!$A$1:$O$92,15,0))</f>
        <v>451.4</v>
      </c>
      <c r="Y493" s="6"/>
      <c r="Z493" s="6">
        <f ca="1">('TUSD BE'!$AM$49+'TUSD BF_350'!$AM$49+'TUSD CVA'!$AM$49)*1</f>
        <v>679.11000000000035</v>
      </c>
      <c r="AA493" s="6">
        <f ca="1">('TE BE'!$AB$37+'TE BF_350'!$AB$37+'TE CVA'!$AB$37)*1</f>
        <v>399.84</v>
      </c>
      <c r="AB493" s="6">
        <f>$K$493*$V$493</f>
        <v>0</v>
      </c>
      <c r="AC493" s="6">
        <f>$M$493*$W$493</f>
        <v>30.064249999999998</v>
      </c>
      <c r="AD493" s="6">
        <f>$O$493*$X$493</f>
        <v>23.924199999999999</v>
      </c>
      <c r="AE493" s="6">
        <f>$K$493*$Y$493</f>
        <v>0</v>
      </c>
      <c r="AF493" s="6">
        <f ca="1">$M$493*$Z$493</f>
        <v>35.992830000000019</v>
      </c>
      <c r="AG493" s="6">
        <f ca="1">$O$493*$AA$493</f>
        <v>21.191519999999997</v>
      </c>
    </row>
    <row r="494" spans="1:33" ht="11.25" customHeight="1" x14ac:dyDescent="0.3">
      <c r="A494" s="4" t="s">
        <v>21</v>
      </c>
      <c r="B494" s="4" t="s">
        <v>32</v>
      </c>
      <c r="C494" s="4" t="s">
        <v>38</v>
      </c>
      <c r="D494" s="4" t="s">
        <v>33</v>
      </c>
      <c r="E494" s="4" t="s">
        <v>25</v>
      </c>
      <c r="F494" s="4" t="s">
        <v>25</v>
      </c>
      <c r="G494" s="4" t="s">
        <v>25</v>
      </c>
      <c r="H494" s="4" t="s">
        <v>36</v>
      </c>
      <c r="I494" s="5">
        <v>44682</v>
      </c>
      <c r="J494" s="6">
        <v>0</v>
      </c>
      <c r="K494" s="6">
        <v>0</v>
      </c>
      <c r="L494" s="6">
        <v>0.04</v>
      </c>
      <c r="M494" s="6">
        <v>0.04</v>
      </c>
      <c r="N494" s="6">
        <v>0.04</v>
      </c>
      <c r="O494" s="6">
        <v>0.04</v>
      </c>
      <c r="P494" s="6">
        <v>0</v>
      </c>
      <c r="Q494" s="4" t="s">
        <v>26</v>
      </c>
      <c r="R494" s="4">
        <v>0</v>
      </c>
      <c r="S494" s="6">
        <v>0</v>
      </c>
      <c r="T494" s="6">
        <v>74</v>
      </c>
      <c r="U494" s="6">
        <v>47</v>
      </c>
      <c r="V494" s="6">
        <f>IF(ISERROR(VLOOKUP($S$494,'TAR FIN'!$A$1:$O$92,15,0)),0,VLOOKUP($S$494,'TAR FIN'!$A$1:$O$92,15,0))</f>
        <v>0</v>
      </c>
      <c r="W494" s="104">
        <f>IF(ISERROR(VLOOKUP($T$485,'TAR FIN CELESC'!$A$1:$O$92,15,0)),0,VLOOKUP($T$485,'TAR FIN CELESC'!$A$1:$O$92,15,0))</f>
        <v>567.25</v>
      </c>
      <c r="X494" s="104">
        <f>IF(ISERROR(VLOOKUP($U$485,'TAR FIN CELESC'!$A$1:$O$92,15,0)),0,VLOOKUP($U$485,'TAR FIN CELESC'!$A$1:$O$92,15,0))</f>
        <v>451.4</v>
      </c>
      <c r="Y494" s="6"/>
      <c r="Z494" s="6">
        <f ca="1">('TUSD BE'!$AM$49+'TUSD BF_350'!$AM$49+'TUSD CVA'!$AM$49)*1</f>
        <v>679.11000000000035</v>
      </c>
      <c r="AA494" s="6">
        <f ca="1">('TE BE'!$AB$37+'TE BF_350'!$AB$37+'TE CVA'!$AB$37)*1</f>
        <v>399.84</v>
      </c>
      <c r="AB494" s="6">
        <f>$K$494*$V$494</f>
        <v>0</v>
      </c>
      <c r="AC494" s="6">
        <f>$M$494*$W$494</f>
        <v>22.69</v>
      </c>
      <c r="AD494" s="6">
        <f>$O$494*$X$494</f>
        <v>18.056000000000001</v>
      </c>
      <c r="AE494" s="6">
        <f>$K$494*$Y$494</f>
        <v>0</v>
      </c>
      <c r="AF494" s="6">
        <f ca="1">$M$494*$Z$494</f>
        <v>27.164400000000015</v>
      </c>
      <c r="AG494" s="6">
        <f ca="1">$O$494*$AA$494</f>
        <v>15.993599999999999</v>
      </c>
    </row>
    <row r="495" spans="1:33" ht="11.25" customHeight="1" x14ac:dyDescent="0.3">
      <c r="A495" s="4" t="s">
        <v>21</v>
      </c>
      <c r="B495" s="4" t="s">
        <v>32</v>
      </c>
      <c r="C495" s="4" t="s">
        <v>38</v>
      </c>
      <c r="D495" s="4" t="s">
        <v>33</v>
      </c>
      <c r="E495" s="4" t="s">
        <v>25</v>
      </c>
      <c r="F495" s="4" t="s">
        <v>25</v>
      </c>
      <c r="G495" s="4" t="s">
        <v>25</v>
      </c>
      <c r="H495" s="4" t="s">
        <v>36</v>
      </c>
      <c r="I495" s="5">
        <v>44713</v>
      </c>
      <c r="J495" s="6">
        <v>0</v>
      </c>
      <c r="K495" s="6">
        <v>0</v>
      </c>
      <c r="L495" s="6">
        <v>9.1999999999999998E-2</v>
      </c>
      <c r="M495" s="6">
        <v>9.1999999999999998E-2</v>
      </c>
      <c r="N495" s="6">
        <v>9.1999999999999998E-2</v>
      </c>
      <c r="O495" s="6">
        <v>9.1999999999999998E-2</v>
      </c>
      <c r="P495" s="6">
        <v>0</v>
      </c>
      <c r="Q495" s="4" t="s">
        <v>26</v>
      </c>
      <c r="R495" s="4">
        <v>0</v>
      </c>
      <c r="S495" s="6">
        <v>0</v>
      </c>
      <c r="T495" s="6">
        <v>74</v>
      </c>
      <c r="U495" s="6">
        <v>47</v>
      </c>
      <c r="V495" s="6">
        <f>IF(ISERROR(VLOOKUP($S$495,'TAR FIN'!$A$1:$O$92,15,0)),0,VLOOKUP($S$495,'TAR FIN'!$A$1:$O$92,15,0))</f>
        <v>0</v>
      </c>
      <c r="W495" s="104">
        <f>IF(ISERROR(VLOOKUP($T$485,'TAR FIN CELESC'!$A$1:$O$92,15,0)),0,VLOOKUP($T$485,'TAR FIN CELESC'!$A$1:$O$92,15,0))</f>
        <v>567.25</v>
      </c>
      <c r="X495" s="104">
        <f>IF(ISERROR(VLOOKUP($U$485,'TAR FIN CELESC'!$A$1:$O$92,15,0)),0,VLOOKUP($U$485,'TAR FIN CELESC'!$A$1:$O$92,15,0))</f>
        <v>451.4</v>
      </c>
      <c r="Y495" s="6"/>
      <c r="Z495" s="6">
        <f ca="1">('TUSD BE'!$AM$49+'TUSD BF_350'!$AM$49+'TUSD CVA'!$AM$49)*1</f>
        <v>679.11000000000035</v>
      </c>
      <c r="AA495" s="6">
        <f ca="1">('TE BE'!$AB$37+'TE BF_350'!$AB$37+'TE CVA'!$AB$37)*1</f>
        <v>399.84</v>
      </c>
      <c r="AB495" s="6">
        <f>$K$495*$V$495</f>
        <v>0</v>
      </c>
      <c r="AC495" s="6">
        <f>$M$495*$W$495</f>
        <v>52.186999999999998</v>
      </c>
      <c r="AD495" s="6">
        <f>$O$495*$X$495</f>
        <v>41.528799999999997</v>
      </c>
      <c r="AE495" s="6">
        <f>$K$495*$Y$495</f>
        <v>0</v>
      </c>
      <c r="AF495" s="6">
        <f ca="1">$M$495*$Z$495</f>
        <v>62.478120000000033</v>
      </c>
      <c r="AG495" s="6">
        <f ca="1">$O$495*$AA$495</f>
        <v>36.78528</v>
      </c>
    </row>
    <row r="496" spans="1:33" ht="11.25" customHeight="1" x14ac:dyDescent="0.3">
      <c r="A496" s="4" t="s">
        <v>21</v>
      </c>
      <c r="B496" s="4" t="s">
        <v>32</v>
      </c>
      <c r="C496" s="4" t="s">
        <v>38</v>
      </c>
      <c r="D496" s="4" t="s">
        <v>33</v>
      </c>
      <c r="E496" s="4" t="s">
        <v>25</v>
      </c>
      <c r="F496" s="4" t="s">
        <v>25</v>
      </c>
      <c r="G496" s="4" t="s">
        <v>25</v>
      </c>
      <c r="H496" s="4" t="s">
        <v>36</v>
      </c>
      <c r="I496" s="5">
        <v>44743</v>
      </c>
      <c r="J496" s="6">
        <v>0</v>
      </c>
      <c r="K496" s="6">
        <v>0</v>
      </c>
      <c r="L496" s="6">
        <v>5.5E-2</v>
      </c>
      <c r="M496" s="6">
        <v>5.5E-2</v>
      </c>
      <c r="N496" s="6">
        <v>5.5E-2</v>
      </c>
      <c r="O496" s="6">
        <v>5.5E-2</v>
      </c>
      <c r="P496" s="6">
        <v>0</v>
      </c>
      <c r="Q496" s="4" t="s">
        <v>26</v>
      </c>
      <c r="R496" s="4">
        <v>0</v>
      </c>
      <c r="S496" s="6">
        <v>0</v>
      </c>
      <c r="T496" s="6">
        <v>74</v>
      </c>
      <c r="U496" s="6">
        <v>47</v>
      </c>
      <c r="V496" s="6">
        <f>IF(ISERROR(VLOOKUP($S$496,'TAR FIN'!$A$1:$O$92,15,0)),0,VLOOKUP($S$496,'TAR FIN'!$A$1:$O$92,15,0))</f>
        <v>0</v>
      </c>
      <c r="W496" s="104">
        <f>IF(ISERROR(VLOOKUP($T$485,'TAR FIN CELESC'!$A$1:$O$92,15,0)),0,VLOOKUP($T$485,'TAR FIN CELESC'!$A$1:$O$92,15,0))</f>
        <v>567.25</v>
      </c>
      <c r="X496" s="104">
        <f>IF(ISERROR(VLOOKUP($U$485,'TAR FIN CELESC'!$A$1:$O$92,15,0)),0,VLOOKUP($U$485,'TAR FIN CELESC'!$A$1:$O$92,15,0))</f>
        <v>451.4</v>
      </c>
      <c r="Y496" s="6"/>
      <c r="Z496" s="6">
        <f ca="1">('TUSD BE'!$AM$49+'TUSD BF_350'!$AM$49+'TUSD CVA'!$AM$49)*1</f>
        <v>679.11000000000035</v>
      </c>
      <c r="AA496" s="6">
        <f ca="1">('TE BE'!$AB$37+'TE BF_350'!$AB$37+'TE CVA'!$AB$37)*1</f>
        <v>399.84</v>
      </c>
      <c r="AB496" s="6">
        <f>$K$496*$V$496</f>
        <v>0</v>
      </c>
      <c r="AC496" s="6">
        <f>$M$496*$W$496</f>
        <v>31.19875</v>
      </c>
      <c r="AD496" s="6">
        <f>$O$496*$X$496</f>
        <v>24.826999999999998</v>
      </c>
      <c r="AE496" s="6">
        <f>$K$496*$Y$496</f>
        <v>0</v>
      </c>
      <c r="AF496" s="6">
        <f ca="1">$M$496*$Z$496</f>
        <v>37.351050000000022</v>
      </c>
      <c r="AG496" s="6">
        <f ca="1">$O$496*$AA$496</f>
        <v>21.991199999999999</v>
      </c>
    </row>
    <row r="497" spans="1:33" ht="11.25" customHeight="1" x14ac:dyDescent="0.3">
      <c r="A497" s="4" t="s">
        <v>21</v>
      </c>
      <c r="B497" s="4" t="s">
        <v>32</v>
      </c>
      <c r="C497" s="4" t="s">
        <v>23</v>
      </c>
      <c r="D497" s="4" t="s">
        <v>40</v>
      </c>
      <c r="E497" s="4" t="s">
        <v>25</v>
      </c>
      <c r="F497" s="4" t="s">
        <v>25</v>
      </c>
      <c r="G497" s="4" t="s">
        <v>25</v>
      </c>
      <c r="H497" s="4" t="s">
        <v>25</v>
      </c>
      <c r="I497" s="5">
        <v>44409</v>
      </c>
      <c r="J497" s="6">
        <v>0</v>
      </c>
      <c r="K497" s="6">
        <v>0</v>
      </c>
      <c r="L497" s="6">
        <v>253.59399999999999</v>
      </c>
      <c r="M497" s="6">
        <v>253.59399999999999</v>
      </c>
      <c r="N497" s="6">
        <v>253.59399999999999</v>
      </c>
      <c r="O497" s="6">
        <v>253.59399999999999</v>
      </c>
      <c r="P497" s="6">
        <v>714</v>
      </c>
      <c r="Q497" s="4" t="s">
        <v>26</v>
      </c>
      <c r="R497" s="4">
        <v>0</v>
      </c>
      <c r="S497" s="6">
        <v>0</v>
      </c>
      <c r="T497" s="6">
        <v>77</v>
      </c>
      <c r="U497" s="6">
        <v>52</v>
      </c>
      <c r="V497" s="6">
        <f>IF(ISERROR(VLOOKUP($S$497,'TAR FIN'!$A$1:$O$92,15,0)),0,VLOOKUP($S$497,'TAR FIN'!$A$1:$O$92,15,0))</f>
        <v>0</v>
      </c>
      <c r="W497" s="104">
        <f>IF(ISERROR(VLOOKUP($T$497,'TAR FIN CELESC'!$A$1:$O$92,15,0)),0,VLOOKUP($T$497,'TAR FIN CELESC'!$A$1:$O$92,15,0))</f>
        <v>244.85</v>
      </c>
      <c r="X497" s="104">
        <f>IF(ISERROR(VLOOKUP($U$497,'TAR FIN CELESC'!$A$1:$O$92,15,0)),0,VLOOKUP($U$497,'TAR FIN CELESC'!$A$1:$O$92,15,0))</f>
        <v>287.39</v>
      </c>
      <c r="Y497" s="6"/>
      <c r="Z497" s="6">
        <f ca="1">('TUSD BE'!$AM$52+'TUSD BF_350'!$AM$52+'TUSD CVA'!$AM$52)*1</f>
        <v>310.49</v>
      </c>
      <c r="AA497" s="6">
        <f ca="1">('TE BE'!$AB$40+'TE BF_350'!$AB$40+'TE CVA'!$AB$40)*1</f>
        <v>262.52999999999997</v>
      </c>
      <c r="AB497" s="6">
        <f>$K$497*$V$497</f>
        <v>0</v>
      </c>
      <c r="AC497" s="6">
        <f>$M$497*$W$497</f>
        <v>62092.490899999997</v>
      </c>
      <c r="AD497" s="6">
        <f>$O$497*$X$497</f>
        <v>72880.379659999991</v>
      </c>
      <c r="AE497" s="6">
        <f>$K$497*$Y$497</f>
        <v>0</v>
      </c>
      <c r="AF497" s="6">
        <f ca="1">$M$497*$Z$497</f>
        <v>78738.401060000004</v>
      </c>
      <c r="AG497" s="6">
        <f ca="1">$O$497*$AA$497</f>
        <v>66576.032819999993</v>
      </c>
    </row>
    <row r="498" spans="1:33" ht="11.25" customHeight="1" x14ac:dyDescent="0.3">
      <c r="A498" s="4" t="s">
        <v>27</v>
      </c>
      <c r="B498" s="4" t="s">
        <v>32</v>
      </c>
      <c r="C498" s="4" t="s">
        <v>23</v>
      </c>
      <c r="D498" s="4" t="s">
        <v>40</v>
      </c>
      <c r="E498" s="4" t="s">
        <v>25</v>
      </c>
      <c r="F498" s="4" t="s">
        <v>25</v>
      </c>
      <c r="G498" s="4" t="s">
        <v>25</v>
      </c>
      <c r="H498" s="4" t="s">
        <v>25</v>
      </c>
      <c r="I498" s="5">
        <v>44409</v>
      </c>
      <c r="J498" s="6">
        <v>0</v>
      </c>
      <c r="K498" s="6">
        <v>0</v>
      </c>
      <c r="L498" s="6">
        <v>7.8559999999999999</v>
      </c>
      <c r="M498" s="6">
        <v>7.8559999999999999</v>
      </c>
      <c r="N498" s="6">
        <v>7.8559999999999999</v>
      </c>
      <c r="O498" s="6">
        <v>7.8559999999999999</v>
      </c>
      <c r="P498" s="6">
        <v>23</v>
      </c>
      <c r="Q498" s="4" t="s">
        <v>26</v>
      </c>
      <c r="R498" s="4">
        <v>0</v>
      </c>
      <c r="S498" s="6">
        <v>0</v>
      </c>
      <c r="T498" s="6">
        <v>77</v>
      </c>
      <c r="U498" s="6">
        <v>52</v>
      </c>
      <c r="V498" s="6">
        <f>IF(ISERROR(VLOOKUP($S$498,'TAR FIN'!$A$1:$O$92,15,0)),0,VLOOKUP($S$498,'TAR FIN'!$A$1:$O$92,15,0))</f>
        <v>0</v>
      </c>
      <c r="W498" s="104">
        <f>IF(ISERROR(VLOOKUP($T$497,'TAR FIN CELESC'!$A$1:$O$92,15,0)),0,VLOOKUP($T$497,'TAR FIN CELESC'!$A$1:$O$92,15,0))</f>
        <v>244.85</v>
      </c>
      <c r="X498" s="104">
        <f>IF(ISERROR(VLOOKUP($U$497,'TAR FIN CELESC'!$A$1:$O$92,15,0)),0,VLOOKUP($U$497,'TAR FIN CELESC'!$A$1:$O$92,15,0))</f>
        <v>287.39</v>
      </c>
      <c r="Y498" s="6"/>
      <c r="Z498" s="6">
        <f ca="1">('TUSD BE'!$AM$52+'TUSD BF_350'!$AM$52+'TUSD CVA'!$AM$52)*1</f>
        <v>310.49</v>
      </c>
      <c r="AA498" s="6">
        <f ca="1">('TE BE'!$AB$40+'TE BF_350'!$AB$40+'TE CVA'!$AB$40)*1</f>
        <v>262.52999999999997</v>
      </c>
      <c r="AB498" s="6">
        <f>$K$498*$V$498</f>
        <v>0</v>
      </c>
      <c r="AC498" s="6">
        <f>$M$498*$W$498</f>
        <v>1923.5416</v>
      </c>
      <c r="AD498" s="6">
        <f>$O$498*$X$498</f>
        <v>2257.7358399999998</v>
      </c>
      <c r="AE498" s="6">
        <f>$K$498*$Y$498</f>
        <v>0</v>
      </c>
      <c r="AF498" s="6">
        <f ca="1">$M$498*$Z$498</f>
        <v>2439.2094400000001</v>
      </c>
      <c r="AG498" s="6">
        <f ca="1">$O$498*$AA$498</f>
        <v>2062.4356799999996</v>
      </c>
    </row>
    <row r="499" spans="1:33" ht="11.25" customHeight="1" x14ac:dyDescent="0.3">
      <c r="A499" s="4" t="s">
        <v>21</v>
      </c>
      <c r="B499" s="4" t="s">
        <v>32</v>
      </c>
      <c r="C499" s="4" t="s">
        <v>23</v>
      </c>
      <c r="D499" s="4" t="s">
        <v>40</v>
      </c>
      <c r="E499" s="4" t="s">
        <v>25</v>
      </c>
      <c r="F499" s="4" t="s">
        <v>25</v>
      </c>
      <c r="G499" s="4" t="s">
        <v>25</v>
      </c>
      <c r="H499" s="4" t="s">
        <v>25</v>
      </c>
      <c r="I499" s="5">
        <v>44440</v>
      </c>
      <c r="J499" s="6">
        <v>0</v>
      </c>
      <c r="K499" s="6">
        <v>0</v>
      </c>
      <c r="L499" s="6">
        <v>273.43200000000002</v>
      </c>
      <c r="M499" s="6">
        <v>273.43200000000002</v>
      </c>
      <c r="N499" s="6">
        <v>273.43200000000002</v>
      </c>
      <c r="O499" s="6">
        <v>273.43200000000002</v>
      </c>
      <c r="P499" s="6">
        <v>723</v>
      </c>
      <c r="Q499" s="4" t="s">
        <v>26</v>
      </c>
      <c r="R499" s="4">
        <v>0</v>
      </c>
      <c r="S499" s="6">
        <v>0</v>
      </c>
      <c r="T499" s="6">
        <v>77</v>
      </c>
      <c r="U499" s="6">
        <v>52</v>
      </c>
      <c r="V499" s="6">
        <f>IF(ISERROR(VLOOKUP($S$499,'TAR FIN'!$A$1:$O$92,15,0)),0,VLOOKUP($S$499,'TAR FIN'!$A$1:$O$92,15,0))</f>
        <v>0</v>
      </c>
      <c r="W499" s="104">
        <f>IF(ISERROR(VLOOKUP($T$497,'TAR FIN CELESC'!$A$1:$O$92,15,0)),0,VLOOKUP($T$497,'TAR FIN CELESC'!$A$1:$O$92,15,0))</f>
        <v>244.85</v>
      </c>
      <c r="X499" s="104">
        <f>IF(ISERROR(VLOOKUP($U$497,'TAR FIN CELESC'!$A$1:$O$92,15,0)),0,VLOOKUP($U$497,'TAR FIN CELESC'!$A$1:$O$92,15,0))</f>
        <v>287.39</v>
      </c>
      <c r="Y499" s="6"/>
      <c r="Z499" s="6">
        <f ca="1">('TUSD BE'!$AM$52+'TUSD BF_350'!$AM$52+'TUSD CVA'!$AM$52)*1</f>
        <v>310.49</v>
      </c>
      <c r="AA499" s="6">
        <f ca="1">('TE BE'!$AB$40+'TE BF_350'!$AB$40+'TE CVA'!$AB$40)*1</f>
        <v>262.52999999999997</v>
      </c>
      <c r="AB499" s="6">
        <f>$K$499*$V$499</f>
        <v>0</v>
      </c>
      <c r="AC499" s="6">
        <f>$M$499*$W$499</f>
        <v>66949.825200000007</v>
      </c>
      <c r="AD499" s="6">
        <f>$O$499*$X$499</f>
        <v>78581.622480000005</v>
      </c>
      <c r="AE499" s="6">
        <f>$K$499*$Y$499</f>
        <v>0</v>
      </c>
      <c r="AF499" s="6">
        <f ca="1">$M$499*$Z$499</f>
        <v>84897.90168000001</v>
      </c>
      <c r="AG499" s="6">
        <f ca="1">$O$499*$AA$499</f>
        <v>71784.102960000004</v>
      </c>
    </row>
    <row r="500" spans="1:33" ht="11.25" customHeight="1" x14ac:dyDescent="0.3">
      <c r="A500" s="4" t="s">
        <v>27</v>
      </c>
      <c r="B500" s="4" t="s">
        <v>32</v>
      </c>
      <c r="C500" s="4" t="s">
        <v>23</v>
      </c>
      <c r="D500" s="4" t="s">
        <v>40</v>
      </c>
      <c r="E500" s="4" t="s">
        <v>25</v>
      </c>
      <c r="F500" s="4" t="s">
        <v>25</v>
      </c>
      <c r="G500" s="4" t="s">
        <v>25</v>
      </c>
      <c r="H500" s="4" t="s">
        <v>25</v>
      </c>
      <c r="I500" s="5">
        <v>44440</v>
      </c>
      <c r="J500" s="6">
        <v>0</v>
      </c>
      <c r="K500" s="6">
        <v>0</v>
      </c>
      <c r="L500" s="6">
        <v>10.975</v>
      </c>
      <c r="M500" s="6">
        <v>10.975</v>
      </c>
      <c r="N500" s="6">
        <v>10.975</v>
      </c>
      <c r="O500" s="6">
        <v>10.975</v>
      </c>
      <c r="P500" s="6">
        <v>24</v>
      </c>
      <c r="Q500" s="4" t="s">
        <v>26</v>
      </c>
      <c r="R500" s="4">
        <v>0</v>
      </c>
      <c r="S500" s="6">
        <v>0</v>
      </c>
      <c r="T500" s="6">
        <v>77</v>
      </c>
      <c r="U500" s="6">
        <v>52</v>
      </c>
      <c r="V500" s="6">
        <f>IF(ISERROR(VLOOKUP($S$500,'TAR FIN'!$A$1:$O$92,15,0)),0,VLOOKUP($S$500,'TAR FIN'!$A$1:$O$92,15,0))</f>
        <v>0</v>
      </c>
      <c r="W500" s="104">
        <f>IF(ISERROR(VLOOKUP($T$497,'TAR FIN CELESC'!$A$1:$O$92,15,0)),0,VLOOKUP($T$497,'TAR FIN CELESC'!$A$1:$O$92,15,0))</f>
        <v>244.85</v>
      </c>
      <c r="X500" s="104">
        <f>IF(ISERROR(VLOOKUP($U$497,'TAR FIN CELESC'!$A$1:$O$92,15,0)),0,VLOOKUP($U$497,'TAR FIN CELESC'!$A$1:$O$92,15,0))</f>
        <v>287.39</v>
      </c>
      <c r="Y500" s="6"/>
      <c r="Z500" s="6">
        <f ca="1">('TUSD BE'!$AM$52+'TUSD BF_350'!$AM$52+'TUSD CVA'!$AM$52)*1</f>
        <v>310.49</v>
      </c>
      <c r="AA500" s="6">
        <f ca="1">('TE BE'!$AB$40+'TE BF_350'!$AB$40+'TE CVA'!$AB$40)*1</f>
        <v>262.52999999999997</v>
      </c>
      <c r="AB500" s="6">
        <f>$K$500*$V$500</f>
        <v>0</v>
      </c>
      <c r="AC500" s="6">
        <f>$M$500*$W$500</f>
        <v>2687.2287499999998</v>
      </c>
      <c r="AD500" s="6">
        <f>$O$500*$X$500</f>
        <v>3154.1052499999996</v>
      </c>
      <c r="AE500" s="6">
        <f>$K$500*$Y$500</f>
        <v>0</v>
      </c>
      <c r="AF500" s="6">
        <f ca="1">$M$500*$Z$500</f>
        <v>3407.6277500000001</v>
      </c>
      <c r="AG500" s="6">
        <f ca="1">$O$500*$AA$500</f>
        <v>2881.2667499999998</v>
      </c>
    </row>
    <row r="501" spans="1:33" ht="11.25" customHeight="1" x14ac:dyDescent="0.3">
      <c r="A501" s="4" t="s">
        <v>21</v>
      </c>
      <c r="B501" s="4" t="s">
        <v>32</v>
      </c>
      <c r="C501" s="4" t="s">
        <v>23</v>
      </c>
      <c r="D501" s="4" t="s">
        <v>40</v>
      </c>
      <c r="E501" s="4" t="s">
        <v>25</v>
      </c>
      <c r="F501" s="4" t="s">
        <v>25</v>
      </c>
      <c r="G501" s="4" t="s">
        <v>25</v>
      </c>
      <c r="H501" s="4" t="s">
        <v>25</v>
      </c>
      <c r="I501" s="5">
        <v>44470</v>
      </c>
      <c r="J501" s="6">
        <v>0</v>
      </c>
      <c r="K501" s="6">
        <v>0</v>
      </c>
      <c r="L501" s="6">
        <v>256.66800000000001</v>
      </c>
      <c r="M501" s="6">
        <v>256.66800000000001</v>
      </c>
      <c r="N501" s="6">
        <v>256.66800000000001</v>
      </c>
      <c r="O501" s="6">
        <v>256.66800000000001</v>
      </c>
      <c r="P501" s="6">
        <v>725</v>
      </c>
      <c r="Q501" s="4" t="s">
        <v>26</v>
      </c>
      <c r="R501" s="4">
        <v>0</v>
      </c>
      <c r="S501" s="6">
        <v>0</v>
      </c>
      <c r="T501" s="6">
        <v>77</v>
      </c>
      <c r="U501" s="6">
        <v>52</v>
      </c>
      <c r="V501" s="6">
        <f>IF(ISERROR(VLOOKUP($S$501,'TAR FIN'!$A$1:$O$92,15,0)),0,VLOOKUP($S$501,'TAR FIN'!$A$1:$O$92,15,0))</f>
        <v>0</v>
      </c>
      <c r="W501" s="104">
        <f>IF(ISERROR(VLOOKUP($T$497,'TAR FIN CELESC'!$A$1:$O$92,15,0)),0,VLOOKUP($T$497,'TAR FIN CELESC'!$A$1:$O$92,15,0))</f>
        <v>244.85</v>
      </c>
      <c r="X501" s="104">
        <f>IF(ISERROR(VLOOKUP($U$497,'TAR FIN CELESC'!$A$1:$O$92,15,0)),0,VLOOKUP($U$497,'TAR FIN CELESC'!$A$1:$O$92,15,0))</f>
        <v>287.39</v>
      </c>
      <c r="Y501" s="6"/>
      <c r="Z501" s="6">
        <f ca="1">('TUSD BE'!$AM$52+'TUSD BF_350'!$AM$52+'TUSD CVA'!$AM$52)*1</f>
        <v>310.49</v>
      </c>
      <c r="AA501" s="6">
        <f ca="1">('TE BE'!$AB$40+'TE BF_350'!$AB$40+'TE CVA'!$AB$40)*1</f>
        <v>262.52999999999997</v>
      </c>
      <c r="AB501" s="6">
        <f>$K$501*$V$501</f>
        <v>0</v>
      </c>
      <c r="AC501" s="6">
        <f>$M$501*$W$501</f>
        <v>62845.159800000001</v>
      </c>
      <c r="AD501" s="6">
        <f>$O$501*$X$501</f>
        <v>73763.816519999993</v>
      </c>
      <c r="AE501" s="6">
        <f>$K$501*$Y$501</f>
        <v>0</v>
      </c>
      <c r="AF501" s="6">
        <f ca="1">$M$501*$Z$501</f>
        <v>79692.847320000001</v>
      </c>
      <c r="AG501" s="6">
        <f ca="1">$O$501*$AA$501</f>
        <v>67383.050040000002</v>
      </c>
    </row>
    <row r="502" spans="1:33" ht="11.25" customHeight="1" x14ac:dyDescent="0.3">
      <c r="A502" s="4" t="s">
        <v>27</v>
      </c>
      <c r="B502" s="4" t="s">
        <v>32</v>
      </c>
      <c r="C502" s="4" t="s">
        <v>23</v>
      </c>
      <c r="D502" s="4" t="s">
        <v>40</v>
      </c>
      <c r="E502" s="4" t="s">
        <v>25</v>
      </c>
      <c r="F502" s="4" t="s">
        <v>25</v>
      </c>
      <c r="G502" s="4" t="s">
        <v>25</v>
      </c>
      <c r="H502" s="4" t="s">
        <v>25</v>
      </c>
      <c r="I502" s="5">
        <v>44470</v>
      </c>
      <c r="J502" s="6">
        <v>0</v>
      </c>
      <c r="K502" s="6">
        <v>0</v>
      </c>
      <c r="L502" s="6">
        <v>12.308</v>
      </c>
      <c r="M502" s="6">
        <v>12.308</v>
      </c>
      <c r="N502" s="6">
        <v>12.308</v>
      </c>
      <c r="O502" s="6">
        <v>12.308</v>
      </c>
      <c r="P502" s="6">
        <v>25</v>
      </c>
      <c r="Q502" s="4" t="s">
        <v>26</v>
      </c>
      <c r="R502" s="4">
        <v>0</v>
      </c>
      <c r="S502" s="6">
        <v>0</v>
      </c>
      <c r="T502" s="6">
        <v>77</v>
      </c>
      <c r="U502" s="6">
        <v>52</v>
      </c>
      <c r="V502" s="6">
        <f>IF(ISERROR(VLOOKUP($S$502,'TAR FIN'!$A$1:$O$92,15,0)),0,VLOOKUP($S$502,'TAR FIN'!$A$1:$O$92,15,0))</f>
        <v>0</v>
      </c>
      <c r="W502" s="104">
        <f>IF(ISERROR(VLOOKUP($T$497,'TAR FIN CELESC'!$A$1:$O$92,15,0)),0,VLOOKUP($T$497,'TAR FIN CELESC'!$A$1:$O$92,15,0))</f>
        <v>244.85</v>
      </c>
      <c r="X502" s="104">
        <f>IF(ISERROR(VLOOKUP($U$497,'TAR FIN CELESC'!$A$1:$O$92,15,0)),0,VLOOKUP($U$497,'TAR FIN CELESC'!$A$1:$O$92,15,0))</f>
        <v>287.39</v>
      </c>
      <c r="Y502" s="6"/>
      <c r="Z502" s="6">
        <f ca="1">('TUSD BE'!$AM$52+'TUSD BF_350'!$AM$52+'TUSD CVA'!$AM$52)*1</f>
        <v>310.49</v>
      </c>
      <c r="AA502" s="6">
        <f ca="1">('TE BE'!$AB$40+'TE BF_350'!$AB$40+'TE CVA'!$AB$40)*1</f>
        <v>262.52999999999997</v>
      </c>
      <c r="AB502" s="6">
        <f>$K$502*$V$502</f>
        <v>0</v>
      </c>
      <c r="AC502" s="6">
        <f>$M$502*$W$502</f>
        <v>3013.6138000000001</v>
      </c>
      <c r="AD502" s="6">
        <f>$O$502*$X$502</f>
        <v>3537.1961199999996</v>
      </c>
      <c r="AE502" s="6">
        <f>$K$502*$Y$502</f>
        <v>0</v>
      </c>
      <c r="AF502" s="6">
        <f ca="1">$M$502*$Z$502</f>
        <v>3821.5109200000002</v>
      </c>
      <c r="AG502" s="6">
        <f ca="1">$O$502*$AA$502</f>
        <v>3231.2192399999994</v>
      </c>
    </row>
    <row r="503" spans="1:33" ht="11.25" customHeight="1" x14ac:dyDescent="0.3">
      <c r="A503" s="4" t="s">
        <v>21</v>
      </c>
      <c r="B503" s="4" t="s">
        <v>32</v>
      </c>
      <c r="C503" s="4" t="s">
        <v>23</v>
      </c>
      <c r="D503" s="4" t="s">
        <v>40</v>
      </c>
      <c r="E503" s="4" t="s">
        <v>25</v>
      </c>
      <c r="F503" s="4" t="s">
        <v>25</v>
      </c>
      <c r="G503" s="4" t="s">
        <v>25</v>
      </c>
      <c r="H503" s="4" t="s">
        <v>25</v>
      </c>
      <c r="I503" s="5">
        <v>44501</v>
      </c>
      <c r="J503" s="6">
        <v>0</v>
      </c>
      <c r="K503" s="6">
        <v>0</v>
      </c>
      <c r="L503" s="6">
        <v>260.02</v>
      </c>
      <c r="M503" s="6">
        <v>260.02</v>
      </c>
      <c r="N503" s="6">
        <v>260.02</v>
      </c>
      <c r="O503" s="6">
        <v>260.02</v>
      </c>
      <c r="P503" s="6">
        <v>721</v>
      </c>
      <c r="Q503" s="4" t="s">
        <v>26</v>
      </c>
      <c r="R503" s="4">
        <v>0</v>
      </c>
      <c r="S503" s="6">
        <v>0</v>
      </c>
      <c r="T503" s="6">
        <v>77</v>
      </c>
      <c r="U503" s="6">
        <v>52</v>
      </c>
      <c r="V503" s="6">
        <f>IF(ISERROR(VLOOKUP($S$503,'TAR FIN'!$A$1:$O$92,15,0)),0,VLOOKUP($S$503,'TAR FIN'!$A$1:$O$92,15,0))</f>
        <v>0</v>
      </c>
      <c r="W503" s="104">
        <f>IF(ISERROR(VLOOKUP($T$497,'TAR FIN CELESC'!$A$1:$O$92,15,0)),0,VLOOKUP($T$497,'TAR FIN CELESC'!$A$1:$O$92,15,0))</f>
        <v>244.85</v>
      </c>
      <c r="X503" s="104">
        <f>IF(ISERROR(VLOOKUP($U$497,'TAR FIN CELESC'!$A$1:$O$92,15,0)),0,VLOOKUP($U$497,'TAR FIN CELESC'!$A$1:$O$92,15,0))</f>
        <v>287.39</v>
      </c>
      <c r="Y503" s="6"/>
      <c r="Z503" s="6">
        <f ca="1">('TUSD BE'!$AM$52+'TUSD BF_350'!$AM$52+'TUSD CVA'!$AM$52)*1</f>
        <v>310.49</v>
      </c>
      <c r="AA503" s="6">
        <f ca="1">('TE BE'!$AB$40+'TE BF_350'!$AB$40+'TE CVA'!$AB$40)*1</f>
        <v>262.52999999999997</v>
      </c>
      <c r="AB503" s="6">
        <f>$K$503*$V$503</f>
        <v>0</v>
      </c>
      <c r="AC503" s="6">
        <f>$M$503*$W$503</f>
        <v>63665.896999999997</v>
      </c>
      <c r="AD503" s="6">
        <f>$O$503*$X$503</f>
        <v>74727.147799999992</v>
      </c>
      <c r="AE503" s="6">
        <f>$K$503*$Y$503</f>
        <v>0</v>
      </c>
      <c r="AF503" s="6">
        <f ca="1">$M$503*$Z$503</f>
        <v>80733.609799999991</v>
      </c>
      <c r="AG503" s="6">
        <f ca="1">$O$503*$AA$503</f>
        <v>68263.050599999988</v>
      </c>
    </row>
    <row r="504" spans="1:33" ht="11.25" customHeight="1" x14ac:dyDescent="0.3">
      <c r="A504" s="4" t="s">
        <v>27</v>
      </c>
      <c r="B504" s="4" t="s">
        <v>32</v>
      </c>
      <c r="C504" s="4" t="s">
        <v>23</v>
      </c>
      <c r="D504" s="4" t="s">
        <v>40</v>
      </c>
      <c r="E504" s="4" t="s">
        <v>25</v>
      </c>
      <c r="F504" s="4" t="s">
        <v>25</v>
      </c>
      <c r="G504" s="4" t="s">
        <v>25</v>
      </c>
      <c r="H504" s="4" t="s">
        <v>25</v>
      </c>
      <c r="I504" s="5">
        <v>44501</v>
      </c>
      <c r="J504" s="6">
        <v>0</v>
      </c>
      <c r="K504" s="6">
        <v>0</v>
      </c>
      <c r="L504" s="6">
        <v>10.545999999999999</v>
      </c>
      <c r="M504" s="6">
        <v>10.545999999999999</v>
      </c>
      <c r="N504" s="6">
        <v>10.545999999999999</v>
      </c>
      <c r="O504" s="6">
        <v>10.545999999999999</v>
      </c>
      <c r="P504" s="6">
        <v>25</v>
      </c>
      <c r="Q504" s="4" t="s">
        <v>26</v>
      </c>
      <c r="R504" s="4">
        <v>0</v>
      </c>
      <c r="S504" s="6">
        <v>0</v>
      </c>
      <c r="T504" s="6">
        <v>77</v>
      </c>
      <c r="U504" s="6">
        <v>52</v>
      </c>
      <c r="V504" s="6">
        <f>IF(ISERROR(VLOOKUP($S$504,'TAR FIN'!$A$1:$O$92,15,0)),0,VLOOKUP($S$504,'TAR FIN'!$A$1:$O$92,15,0))</f>
        <v>0</v>
      </c>
      <c r="W504" s="104">
        <f>IF(ISERROR(VLOOKUP($T$497,'TAR FIN CELESC'!$A$1:$O$92,15,0)),0,VLOOKUP($T$497,'TAR FIN CELESC'!$A$1:$O$92,15,0))</f>
        <v>244.85</v>
      </c>
      <c r="X504" s="104">
        <f>IF(ISERROR(VLOOKUP($U$497,'TAR FIN CELESC'!$A$1:$O$92,15,0)),0,VLOOKUP($U$497,'TAR FIN CELESC'!$A$1:$O$92,15,0))</f>
        <v>287.39</v>
      </c>
      <c r="Y504" s="6"/>
      <c r="Z504" s="6">
        <f ca="1">('TUSD BE'!$AM$52+'TUSD BF_350'!$AM$52+'TUSD CVA'!$AM$52)*1</f>
        <v>310.49</v>
      </c>
      <c r="AA504" s="6">
        <f ca="1">('TE BE'!$AB$40+'TE BF_350'!$AB$40+'TE CVA'!$AB$40)*1</f>
        <v>262.52999999999997</v>
      </c>
      <c r="AB504" s="6">
        <f>$K$504*$V$504</f>
        <v>0</v>
      </c>
      <c r="AC504" s="6">
        <f>$M$504*$W$504</f>
        <v>2582.1880999999998</v>
      </c>
      <c r="AD504" s="6">
        <f>$O$504*$X$504</f>
        <v>3030.8149399999998</v>
      </c>
      <c r="AE504" s="6">
        <f>$K$504*$Y$504</f>
        <v>0</v>
      </c>
      <c r="AF504" s="6">
        <f ca="1">$M$504*$Z$504</f>
        <v>3274.4275399999997</v>
      </c>
      <c r="AG504" s="6">
        <f ca="1">$O$504*$AA$504</f>
        <v>2768.6413799999996</v>
      </c>
    </row>
    <row r="505" spans="1:33" ht="11.25" customHeight="1" x14ac:dyDescent="0.3">
      <c r="A505" s="4" t="s">
        <v>21</v>
      </c>
      <c r="B505" s="4" t="s">
        <v>32</v>
      </c>
      <c r="C505" s="4" t="s">
        <v>23</v>
      </c>
      <c r="D505" s="4" t="s">
        <v>40</v>
      </c>
      <c r="E505" s="4" t="s">
        <v>25</v>
      </c>
      <c r="F505" s="4" t="s">
        <v>25</v>
      </c>
      <c r="G505" s="4" t="s">
        <v>25</v>
      </c>
      <c r="H505" s="4" t="s">
        <v>25</v>
      </c>
      <c r="I505" s="5">
        <v>44531</v>
      </c>
      <c r="J505" s="6">
        <v>0</v>
      </c>
      <c r="K505" s="6">
        <v>0</v>
      </c>
      <c r="L505" s="6">
        <v>310.25799999999998</v>
      </c>
      <c r="M505" s="6">
        <v>310.25799999999998</v>
      </c>
      <c r="N505" s="6">
        <v>310.25799999999998</v>
      </c>
      <c r="O505" s="6">
        <v>310.25799999999998</v>
      </c>
      <c r="P505" s="6">
        <v>721</v>
      </c>
      <c r="Q505" s="4" t="s">
        <v>26</v>
      </c>
      <c r="R505" s="4">
        <v>0</v>
      </c>
      <c r="S505" s="6">
        <v>0</v>
      </c>
      <c r="T505" s="6">
        <v>77</v>
      </c>
      <c r="U505" s="6">
        <v>52</v>
      </c>
      <c r="V505" s="6">
        <f>IF(ISERROR(VLOOKUP($S$505,'TAR FIN'!$A$1:$O$92,15,0)),0,VLOOKUP($S$505,'TAR FIN'!$A$1:$O$92,15,0))</f>
        <v>0</v>
      </c>
      <c r="W505" s="104">
        <f>IF(ISERROR(VLOOKUP($T$497,'TAR FIN CELESC'!$A$1:$O$92,15,0)),0,VLOOKUP($T$497,'TAR FIN CELESC'!$A$1:$O$92,15,0))</f>
        <v>244.85</v>
      </c>
      <c r="X505" s="104">
        <f>IF(ISERROR(VLOOKUP($U$497,'TAR FIN CELESC'!$A$1:$O$92,15,0)),0,VLOOKUP($U$497,'TAR FIN CELESC'!$A$1:$O$92,15,0))</f>
        <v>287.39</v>
      </c>
      <c r="Y505" s="6"/>
      <c r="Z505" s="6">
        <f ca="1">('TUSD BE'!$AM$52+'TUSD BF_350'!$AM$52+'TUSD CVA'!$AM$52)*1</f>
        <v>310.49</v>
      </c>
      <c r="AA505" s="6">
        <f ca="1">('TE BE'!$AB$40+'TE BF_350'!$AB$40+'TE CVA'!$AB$40)*1</f>
        <v>262.52999999999997</v>
      </c>
      <c r="AB505" s="6">
        <f>$K$505*$V$505</f>
        <v>0</v>
      </c>
      <c r="AC505" s="6">
        <f>$M$505*$W$505</f>
        <v>75966.671299999987</v>
      </c>
      <c r="AD505" s="6">
        <f>$O$505*$X$505</f>
        <v>89165.046619999994</v>
      </c>
      <c r="AE505" s="6">
        <f>$K$505*$Y$505</f>
        <v>0</v>
      </c>
      <c r="AF505" s="6">
        <f ca="1">$M$505*$Z$505</f>
        <v>96332.006419999991</v>
      </c>
      <c r="AG505" s="6">
        <f ca="1">$O$505*$AA$505</f>
        <v>81452.032739999981</v>
      </c>
    </row>
    <row r="506" spans="1:33" ht="11.25" customHeight="1" x14ac:dyDescent="0.3">
      <c r="A506" s="4" t="s">
        <v>27</v>
      </c>
      <c r="B506" s="4" t="s">
        <v>32</v>
      </c>
      <c r="C506" s="4" t="s">
        <v>23</v>
      </c>
      <c r="D506" s="4" t="s">
        <v>40</v>
      </c>
      <c r="E506" s="4" t="s">
        <v>25</v>
      </c>
      <c r="F506" s="4" t="s">
        <v>25</v>
      </c>
      <c r="G506" s="4" t="s">
        <v>25</v>
      </c>
      <c r="H506" s="4" t="s">
        <v>25</v>
      </c>
      <c r="I506" s="5">
        <v>44531</v>
      </c>
      <c r="J506" s="6">
        <v>0</v>
      </c>
      <c r="K506" s="6">
        <v>0</v>
      </c>
      <c r="L506" s="6">
        <v>11.718999999999999</v>
      </c>
      <c r="M506" s="6">
        <v>11.718999999999999</v>
      </c>
      <c r="N506" s="6">
        <v>11.718999999999999</v>
      </c>
      <c r="O506" s="6">
        <v>11.718999999999999</v>
      </c>
      <c r="P506" s="6">
        <v>25</v>
      </c>
      <c r="Q506" s="4" t="s">
        <v>26</v>
      </c>
      <c r="R506" s="4">
        <v>0</v>
      </c>
      <c r="S506" s="6">
        <v>0</v>
      </c>
      <c r="T506" s="6">
        <v>77</v>
      </c>
      <c r="U506" s="6">
        <v>52</v>
      </c>
      <c r="V506" s="6">
        <f>IF(ISERROR(VLOOKUP($S$506,'TAR FIN'!$A$1:$O$92,15,0)),0,VLOOKUP($S$506,'TAR FIN'!$A$1:$O$92,15,0))</f>
        <v>0</v>
      </c>
      <c r="W506" s="104">
        <f>IF(ISERROR(VLOOKUP($T$497,'TAR FIN CELESC'!$A$1:$O$92,15,0)),0,VLOOKUP($T$497,'TAR FIN CELESC'!$A$1:$O$92,15,0))</f>
        <v>244.85</v>
      </c>
      <c r="X506" s="104">
        <f>IF(ISERROR(VLOOKUP($U$497,'TAR FIN CELESC'!$A$1:$O$92,15,0)),0,VLOOKUP($U$497,'TAR FIN CELESC'!$A$1:$O$92,15,0))</f>
        <v>287.39</v>
      </c>
      <c r="Y506" s="6"/>
      <c r="Z506" s="6">
        <f ca="1">('TUSD BE'!$AM$52+'TUSD BF_350'!$AM$52+'TUSD CVA'!$AM$52)*1</f>
        <v>310.49</v>
      </c>
      <c r="AA506" s="6">
        <f ca="1">('TE BE'!$AB$40+'TE BF_350'!$AB$40+'TE CVA'!$AB$40)*1</f>
        <v>262.52999999999997</v>
      </c>
      <c r="AB506" s="6">
        <f>$K$506*$V$506</f>
        <v>0</v>
      </c>
      <c r="AC506" s="6">
        <f>$M$506*$W$506</f>
        <v>2869.3971499999998</v>
      </c>
      <c r="AD506" s="6">
        <f>$O$506*$X$506</f>
        <v>3367.9234099999999</v>
      </c>
      <c r="AE506" s="6">
        <f>$K$506*$Y$506</f>
        <v>0</v>
      </c>
      <c r="AF506" s="6">
        <f ca="1">$M$506*$Z$506</f>
        <v>3638.63231</v>
      </c>
      <c r="AG506" s="6">
        <f ca="1">$O$506*$AA$506</f>
        <v>3076.5890699999995</v>
      </c>
    </row>
    <row r="507" spans="1:33" ht="11.25" customHeight="1" x14ac:dyDescent="0.3">
      <c r="A507" s="4" t="s">
        <v>21</v>
      </c>
      <c r="B507" s="4" t="s">
        <v>32</v>
      </c>
      <c r="C507" s="4" t="s">
        <v>23</v>
      </c>
      <c r="D507" s="4" t="s">
        <v>40</v>
      </c>
      <c r="E507" s="4" t="s">
        <v>25</v>
      </c>
      <c r="F507" s="4" t="s">
        <v>25</v>
      </c>
      <c r="G507" s="4" t="s">
        <v>25</v>
      </c>
      <c r="H507" s="4" t="s">
        <v>25</v>
      </c>
      <c r="I507" s="5">
        <v>44562</v>
      </c>
      <c r="J507" s="6">
        <v>0</v>
      </c>
      <c r="K507" s="6">
        <v>0</v>
      </c>
      <c r="L507" s="6">
        <v>333.21699999999998</v>
      </c>
      <c r="M507" s="6">
        <v>333.21699999999998</v>
      </c>
      <c r="N507" s="6">
        <v>333.21699999999998</v>
      </c>
      <c r="O507" s="6">
        <v>333.21699999999998</v>
      </c>
      <c r="P507" s="6">
        <v>723</v>
      </c>
      <c r="Q507" s="4" t="s">
        <v>26</v>
      </c>
      <c r="R507" s="4">
        <v>0</v>
      </c>
      <c r="S507" s="6">
        <v>0</v>
      </c>
      <c r="T507" s="6">
        <v>77</v>
      </c>
      <c r="U507" s="6">
        <v>52</v>
      </c>
      <c r="V507" s="6">
        <f>IF(ISERROR(VLOOKUP($S$507,'TAR FIN'!$A$1:$O$92,15,0)),0,VLOOKUP($S$507,'TAR FIN'!$A$1:$O$92,15,0))</f>
        <v>0</v>
      </c>
      <c r="W507" s="104">
        <f>IF(ISERROR(VLOOKUP($T$497,'TAR FIN CELESC'!$A$1:$O$92,15,0)),0,VLOOKUP($T$497,'TAR FIN CELESC'!$A$1:$O$92,15,0))</f>
        <v>244.85</v>
      </c>
      <c r="X507" s="104">
        <f>IF(ISERROR(VLOOKUP($U$497,'TAR FIN CELESC'!$A$1:$O$92,15,0)),0,VLOOKUP($U$497,'TAR FIN CELESC'!$A$1:$O$92,15,0))</f>
        <v>287.39</v>
      </c>
      <c r="Y507" s="6"/>
      <c r="Z507" s="6">
        <f ca="1">('TUSD BE'!$AM$52+'TUSD BF_350'!$AM$52+'TUSD CVA'!$AM$52)*1</f>
        <v>310.49</v>
      </c>
      <c r="AA507" s="6">
        <f ca="1">('TE BE'!$AB$40+'TE BF_350'!$AB$40+'TE CVA'!$AB$40)*1</f>
        <v>262.52999999999997</v>
      </c>
      <c r="AB507" s="6">
        <f>$K$507*$V$507</f>
        <v>0</v>
      </c>
      <c r="AC507" s="6">
        <f>$M$507*$W$507</f>
        <v>81588.182449999993</v>
      </c>
      <c r="AD507" s="6">
        <f>$O$507*$X$507</f>
        <v>95763.233629999988</v>
      </c>
      <c r="AE507" s="6">
        <f>$K$507*$Y$507</f>
        <v>0</v>
      </c>
      <c r="AF507" s="6">
        <f ca="1">$M$507*$Z$507</f>
        <v>103460.54633</v>
      </c>
      <c r="AG507" s="6">
        <f ca="1">$O$507*$AA$507</f>
        <v>87479.459009999991</v>
      </c>
    </row>
    <row r="508" spans="1:33" ht="11.25" customHeight="1" x14ac:dyDescent="0.3">
      <c r="A508" s="4" t="s">
        <v>27</v>
      </c>
      <c r="B508" s="4" t="s">
        <v>32</v>
      </c>
      <c r="C508" s="4" t="s">
        <v>23</v>
      </c>
      <c r="D508" s="4" t="s">
        <v>40</v>
      </c>
      <c r="E508" s="4" t="s">
        <v>25</v>
      </c>
      <c r="F508" s="4" t="s">
        <v>25</v>
      </c>
      <c r="G508" s="4" t="s">
        <v>25</v>
      </c>
      <c r="H508" s="4" t="s">
        <v>25</v>
      </c>
      <c r="I508" s="5">
        <v>44562</v>
      </c>
      <c r="J508" s="6">
        <v>0</v>
      </c>
      <c r="K508" s="6">
        <v>0</v>
      </c>
      <c r="L508" s="6">
        <v>13.016</v>
      </c>
      <c r="M508" s="6">
        <v>13.016</v>
      </c>
      <c r="N508" s="6">
        <v>13.016</v>
      </c>
      <c r="O508" s="6">
        <v>13.016</v>
      </c>
      <c r="P508" s="6">
        <v>25</v>
      </c>
      <c r="Q508" s="4" t="s">
        <v>26</v>
      </c>
      <c r="R508" s="4">
        <v>0</v>
      </c>
      <c r="S508" s="6">
        <v>0</v>
      </c>
      <c r="T508" s="6">
        <v>77</v>
      </c>
      <c r="U508" s="6">
        <v>52</v>
      </c>
      <c r="V508" s="6">
        <f>IF(ISERROR(VLOOKUP($S$508,'TAR FIN'!$A$1:$O$92,15,0)),0,VLOOKUP($S$508,'TAR FIN'!$A$1:$O$92,15,0))</f>
        <v>0</v>
      </c>
      <c r="W508" s="104">
        <f>IF(ISERROR(VLOOKUP($T$497,'TAR FIN CELESC'!$A$1:$O$92,15,0)),0,VLOOKUP($T$497,'TAR FIN CELESC'!$A$1:$O$92,15,0))</f>
        <v>244.85</v>
      </c>
      <c r="X508" s="104">
        <f>IF(ISERROR(VLOOKUP($U$497,'TAR FIN CELESC'!$A$1:$O$92,15,0)),0,VLOOKUP($U$497,'TAR FIN CELESC'!$A$1:$O$92,15,0))</f>
        <v>287.39</v>
      </c>
      <c r="Y508" s="6"/>
      <c r="Z508" s="6">
        <f ca="1">('TUSD BE'!$AM$52+'TUSD BF_350'!$AM$52+'TUSD CVA'!$AM$52)*1</f>
        <v>310.49</v>
      </c>
      <c r="AA508" s="6">
        <f ca="1">('TE BE'!$AB$40+'TE BF_350'!$AB$40+'TE CVA'!$AB$40)*1</f>
        <v>262.52999999999997</v>
      </c>
      <c r="AB508" s="6">
        <f>$K$508*$V$508</f>
        <v>0</v>
      </c>
      <c r="AC508" s="6">
        <f>$M$508*$W$508</f>
        <v>3186.9675999999999</v>
      </c>
      <c r="AD508" s="6">
        <f>$O$508*$X$508</f>
        <v>3740.66824</v>
      </c>
      <c r="AE508" s="6">
        <f>$K$508*$Y$508</f>
        <v>0</v>
      </c>
      <c r="AF508" s="6">
        <f ca="1">$M$508*$Z$508</f>
        <v>4041.3378400000001</v>
      </c>
      <c r="AG508" s="6">
        <f ca="1">$O$508*$AA$508</f>
        <v>3417.0904799999998</v>
      </c>
    </row>
    <row r="509" spans="1:33" ht="11.25" customHeight="1" x14ac:dyDescent="0.3">
      <c r="A509" s="4" t="s">
        <v>21</v>
      </c>
      <c r="B509" s="4" t="s">
        <v>32</v>
      </c>
      <c r="C509" s="4" t="s">
        <v>23</v>
      </c>
      <c r="D509" s="4" t="s">
        <v>40</v>
      </c>
      <c r="E509" s="4" t="s">
        <v>25</v>
      </c>
      <c r="F509" s="4" t="s">
        <v>25</v>
      </c>
      <c r="G509" s="4" t="s">
        <v>25</v>
      </c>
      <c r="H509" s="4" t="s">
        <v>25</v>
      </c>
      <c r="I509" s="5">
        <v>44593</v>
      </c>
      <c r="J509" s="6">
        <v>0</v>
      </c>
      <c r="K509" s="6">
        <v>0</v>
      </c>
      <c r="L509" s="6">
        <v>391.59899999999999</v>
      </c>
      <c r="M509" s="6">
        <v>391.59899999999999</v>
      </c>
      <c r="N509" s="6">
        <v>391.59899999999999</v>
      </c>
      <c r="O509" s="6">
        <v>391.59899999999999</v>
      </c>
      <c r="P509" s="6">
        <v>720</v>
      </c>
      <c r="Q509" s="4" t="s">
        <v>26</v>
      </c>
      <c r="R509" s="4">
        <v>0</v>
      </c>
      <c r="S509" s="6">
        <v>0</v>
      </c>
      <c r="T509" s="6">
        <v>77</v>
      </c>
      <c r="U509" s="6">
        <v>52</v>
      </c>
      <c r="V509" s="6">
        <f>IF(ISERROR(VLOOKUP($S$509,'TAR FIN'!$A$1:$O$92,15,0)),0,VLOOKUP($S$509,'TAR FIN'!$A$1:$O$92,15,0))</f>
        <v>0</v>
      </c>
      <c r="W509" s="104">
        <f>IF(ISERROR(VLOOKUP($T$497,'TAR FIN CELESC'!$A$1:$O$92,15,0)),0,VLOOKUP($T$497,'TAR FIN CELESC'!$A$1:$O$92,15,0))</f>
        <v>244.85</v>
      </c>
      <c r="X509" s="104">
        <f>IF(ISERROR(VLOOKUP($U$497,'TAR FIN CELESC'!$A$1:$O$92,15,0)),0,VLOOKUP($U$497,'TAR FIN CELESC'!$A$1:$O$92,15,0))</f>
        <v>287.39</v>
      </c>
      <c r="Y509" s="6"/>
      <c r="Z509" s="6">
        <f ca="1">('TUSD BE'!$AM$52+'TUSD BF_350'!$AM$52+'TUSD CVA'!$AM$52)*1</f>
        <v>310.49</v>
      </c>
      <c r="AA509" s="6">
        <f ca="1">('TE BE'!$AB$40+'TE BF_350'!$AB$40+'TE CVA'!$AB$40)*1</f>
        <v>262.52999999999997</v>
      </c>
      <c r="AB509" s="6">
        <f>$K$509*$V$509</f>
        <v>0</v>
      </c>
      <c r="AC509" s="6">
        <f>$M$509*$W$509</f>
        <v>95883.015149999992</v>
      </c>
      <c r="AD509" s="6">
        <f>$O$509*$X$509</f>
        <v>112541.63660999999</v>
      </c>
      <c r="AE509" s="6">
        <f>$K$509*$Y$509</f>
        <v>0</v>
      </c>
      <c r="AF509" s="6">
        <f ca="1">$M$509*$Z$509</f>
        <v>121587.57351</v>
      </c>
      <c r="AG509" s="6">
        <f ca="1">$O$509*$AA$509</f>
        <v>102806.48546999999</v>
      </c>
    </row>
    <row r="510" spans="1:33" ht="11.25" customHeight="1" x14ac:dyDescent="0.3">
      <c r="A510" s="4" t="s">
        <v>27</v>
      </c>
      <c r="B510" s="4" t="s">
        <v>32</v>
      </c>
      <c r="C510" s="4" t="s">
        <v>23</v>
      </c>
      <c r="D510" s="4" t="s">
        <v>40</v>
      </c>
      <c r="E510" s="4" t="s">
        <v>25</v>
      </c>
      <c r="F510" s="4" t="s">
        <v>25</v>
      </c>
      <c r="G510" s="4" t="s">
        <v>25</v>
      </c>
      <c r="H510" s="4" t="s">
        <v>25</v>
      </c>
      <c r="I510" s="5">
        <v>44593</v>
      </c>
      <c r="J510" s="6">
        <v>0</v>
      </c>
      <c r="K510" s="6">
        <v>0</v>
      </c>
      <c r="L510" s="6">
        <v>12.395</v>
      </c>
      <c r="M510" s="6">
        <v>12.395</v>
      </c>
      <c r="N510" s="6">
        <v>12.395</v>
      </c>
      <c r="O510" s="6">
        <v>12.395</v>
      </c>
      <c r="P510" s="6">
        <v>25</v>
      </c>
      <c r="Q510" s="4" t="s">
        <v>26</v>
      </c>
      <c r="R510" s="4">
        <v>0</v>
      </c>
      <c r="S510" s="6">
        <v>0</v>
      </c>
      <c r="T510" s="6">
        <v>77</v>
      </c>
      <c r="U510" s="6">
        <v>52</v>
      </c>
      <c r="V510" s="6">
        <f>IF(ISERROR(VLOOKUP($S$510,'TAR FIN'!$A$1:$O$92,15,0)),0,VLOOKUP($S$510,'TAR FIN'!$A$1:$O$92,15,0))</f>
        <v>0</v>
      </c>
      <c r="W510" s="104">
        <f>IF(ISERROR(VLOOKUP($T$497,'TAR FIN CELESC'!$A$1:$O$92,15,0)),0,VLOOKUP($T$497,'TAR FIN CELESC'!$A$1:$O$92,15,0))</f>
        <v>244.85</v>
      </c>
      <c r="X510" s="104">
        <f>IF(ISERROR(VLOOKUP($U$497,'TAR FIN CELESC'!$A$1:$O$92,15,0)),0,VLOOKUP($U$497,'TAR FIN CELESC'!$A$1:$O$92,15,0))</f>
        <v>287.39</v>
      </c>
      <c r="Y510" s="6"/>
      <c r="Z510" s="6">
        <f ca="1">('TUSD BE'!$AM$52+'TUSD BF_350'!$AM$52+'TUSD CVA'!$AM$52)*1</f>
        <v>310.49</v>
      </c>
      <c r="AA510" s="6">
        <f ca="1">('TE BE'!$AB$40+'TE BF_350'!$AB$40+'TE CVA'!$AB$40)*1</f>
        <v>262.52999999999997</v>
      </c>
      <c r="AB510" s="6">
        <f>$K$510*$V$510</f>
        <v>0</v>
      </c>
      <c r="AC510" s="6">
        <f>$M$510*$W$510</f>
        <v>3034.9157499999997</v>
      </c>
      <c r="AD510" s="6">
        <f>$O$510*$X$510</f>
        <v>3562.1990499999997</v>
      </c>
      <c r="AE510" s="6">
        <f>$K$510*$Y$510</f>
        <v>0</v>
      </c>
      <c r="AF510" s="6">
        <f ca="1">$M$510*$Z$510</f>
        <v>3848.5235499999999</v>
      </c>
      <c r="AG510" s="6">
        <f ca="1">$O$510*$AA$510</f>
        <v>3254.0593499999995</v>
      </c>
    </row>
    <row r="511" spans="1:33" ht="11.25" customHeight="1" x14ac:dyDescent="0.3">
      <c r="A511" s="4" t="s">
        <v>21</v>
      </c>
      <c r="B511" s="4" t="s">
        <v>32</v>
      </c>
      <c r="C511" s="4" t="s">
        <v>23</v>
      </c>
      <c r="D511" s="4" t="s">
        <v>40</v>
      </c>
      <c r="E511" s="4" t="s">
        <v>25</v>
      </c>
      <c r="F511" s="4" t="s">
        <v>25</v>
      </c>
      <c r="G511" s="4" t="s">
        <v>25</v>
      </c>
      <c r="H511" s="4" t="s">
        <v>25</v>
      </c>
      <c r="I511" s="5">
        <v>44621</v>
      </c>
      <c r="J511" s="6">
        <v>0</v>
      </c>
      <c r="K511" s="6">
        <v>0</v>
      </c>
      <c r="L511" s="6">
        <v>368.37599999999998</v>
      </c>
      <c r="M511" s="6">
        <v>368.37599999999998</v>
      </c>
      <c r="N511" s="6">
        <v>368.37599999999998</v>
      </c>
      <c r="O511" s="6">
        <v>368.37599999999998</v>
      </c>
      <c r="P511" s="6">
        <v>723</v>
      </c>
      <c r="Q511" s="4" t="s">
        <v>26</v>
      </c>
      <c r="R511" s="4">
        <v>0</v>
      </c>
      <c r="S511" s="6">
        <v>0</v>
      </c>
      <c r="T511" s="6">
        <v>77</v>
      </c>
      <c r="U511" s="6">
        <v>52</v>
      </c>
      <c r="V511" s="6">
        <f>IF(ISERROR(VLOOKUP($S$511,'TAR FIN'!$A$1:$O$92,15,0)),0,VLOOKUP($S$511,'TAR FIN'!$A$1:$O$92,15,0))</f>
        <v>0</v>
      </c>
      <c r="W511" s="104">
        <f>IF(ISERROR(VLOOKUP($T$497,'TAR FIN CELESC'!$A$1:$O$92,15,0)),0,VLOOKUP($T$497,'TAR FIN CELESC'!$A$1:$O$92,15,0))</f>
        <v>244.85</v>
      </c>
      <c r="X511" s="104">
        <f>IF(ISERROR(VLOOKUP($U$497,'TAR FIN CELESC'!$A$1:$O$92,15,0)),0,VLOOKUP($U$497,'TAR FIN CELESC'!$A$1:$O$92,15,0))</f>
        <v>287.39</v>
      </c>
      <c r="Y511" s="6"/>
      <c r="Z511" s="6">
        <f ca="1">('TUSD BE'!$AM$52+'TUSD BF_350'!$AM$52+'TUSD CVA'!$AM$52)*1</f>
        <v>310.49</v>
      </c>
      <c r="AA511" s="6">
        <f ca="1">('TE BE'!$AB$40+'TE BF_350'!$AB$40+'TE CVA'!$AB$40)*1</f>
        <v>262.52999999999997</v>
      </c>
      <c r="AB511" s="6">
        <f>$K$511*$V$511</f>
        <v>0</v>
      </c>
      <c r="AC511" s="6">
        <f>$M$511*$W$511</f>
        <v>90196.863599999997</v>
      </c>
      <c r="AD511" s="6">
        <f>$O$511*$X$511</f>
        <v>105867.57863999999</v>
      </c>
      <c r="AE511" s="6">
        <f>$K$511*$Y$511</f>
        <v>0</v>
      </c>
      <c r="AF511" s="6">
        <f ca="1">$M$511*$Z$511</f>
        <v>114377.06423999999</v>
      </c>
      <c r="AG511" s="6">
        <f ca="1">$O$511*$AA$511</f>
        <v>96709.751279999982</v>
      </c>
    </row>
    <row r="512" spans="1:33" ht="11.25" customHeight="1" x14ac:dyDescent="0.3">
      <c r="A512" s="4" t="s">
        <v>27</v>
      </c>
      <c r="B512" s="4" t="s">
        <v>32</v>
      </c>
      <c r="C512" s="4" t="s">
        <v>23</v>
      </c>
      <c r="D512" s="4" t="s">
        <v>40</v>
      </c>
      <c r="E512" s="4" t="s">
        <v>25</v>
      </c>
      <c r="F512" s="4" t="s">
        <v>25</v>
      </c>
      <c r="G512" s="4" t="s">
        <v>25</v>
      </c>
      <c r="H512" s="4" t="s">
        <v>25</v>
      </c>
      <c r="I512" s="5">
        <v>44621</v>
      </c>
      <c r="J512" s="6">
        <v>0</v>
      </c>
      <c r="K512" s="6">
        <v>0</v>
      </c>
      <c r="L512" s="6">
        <v>11.8</v>
      </c>
      <c r="M512" s="6">
        <v>11.8</v>
      </c>
      <c r="N512" s="6">
        <v>11.8</v>
      </c>
      <c r="O512" s="6">
        <v>11.8</v>
      </c>
      <c r="P512" s="6">
        <v>25</v>
      </c>
      <c r="Q512" s="4" t="s">
        <v>26</v>
      </c>
      <c r="R512" s="4">
        <v>0</v>
      </c>
      <c r="S512" s="6">
        <v>0</v>
      </c>
      <c r="T512" s="6">
        <v>77</v>
      </c>
      <c r="U512" s="6">
        <v>52</v>
      </c>
      <c r="V512" s="6">
        <f>IF(ISERROR(VLOOKUP($S$512,'TAR FIN'!$A$1:$O$92,15,0)),0,VLOOKUP($S$512,'TAR FIN'!$A$1:$O$92,15,0))</f>
        <v>0</v>
      </c>
      <c r="W512" s="104">
        <f>IF(ISERROR(VLOOKUP($T$497,'TAR FIN CELESC'!$A$1:$O$92,15,0)),0,VLOOKUP($T$497,'TAR FIN CELESC'!$A$1:$O$92,15,0))</f>
        <v>244.85</v>
      </c>
      <c r="X512" s="104">
        <f>IF(ISERROR(VLOOKUP($U$497,'TAR FIN CELESC'!$A$1:$O$92,15,0)),0,VLOOKUP($U$497,'TAR FIN CELESC'!$A$1:$O$92,15,0))</f>
        <v>287.39</v>
      </c>
      <c r="Y512" s="6"/>
      <c r="Z512" s="6">
        <f ca="1">('TUSD BE'!$AM$52+'TUSD BF_350'!$AM$52+'TUSD CVA'!$AM$52)*1</f>
        <v>310.49</v>
      </c>
      <c r="AA512" s="6">
        <f ca="1">('TE BE'!$AB$40+'TE BF_350'!$AB$40+'TE CVA'!$AB$40)*1</f>
        <v>262.52999999999997</v>
      </c>
      <c r="AB512" s="6">
        <f>$K$512*$V$512</f>
        <v>0</v>
      </c>
      <c r="AC512" s="6">
        <f>$M$512*$W$512</f>
        <v>2889.23</v>
      </c>
      <c r="AD512" s="6">
        <f>$O$512*$X$512</f>
        <v>3391.2020000000002</v>
      </c>
      <c r="AE512" s="6">
        <f>$K$512*$Y$512</f>
        <v>0</v>
      </c>
      <c r="AF512" s="6">
        <f ca="1">$M$512*$Z$512</f>
        <v>3663.7820000000002</v>
      </c>
      <c r="AG512" s="6">
        <f ca="1">$O$512*$AA$512</f>
        <v>3097.8539999999998</v>
      </c>
    </row>
    <row r="513" spans="1:33" ht="11.25" customHeight="1" x14ac:dyDescent="0.3">
      <c r="A513" s="4" t="s">
        <v>21</v>
      </c>
      <c r="B513" s="4" t="s">
        <v>32</v>
      </c>
      <c r="C513" s="4" t="s">
        <v>23</v>
      </c>
      <c r="D513" s="4" t="s">
        <v>40</v>
      </c>
      <c r="E513" s="4" t="s">
        <v>25</v>
      </c>
      <c r="F513" s="4" t="s">
        <v>25</v>
      </c>
      <c r="G513" s="4" t="s">
        <v>25</v>
      </c>
      <c r="H513" s="4" t="s">
        <v>25</v>
      </c>
      <c r="I513" s="5">
        <v>44652</v>
      </c>
      <c r="J513" s="6">
        <v>0</v>
      </c>
      <c r="K513" s="6">
        <v>0</v>
      </c>
      <c r="L513" s="6">
        <v>326.64400000000001</v>
      </c>
      <c r="M513" s="6">
        <v>326.64400000000001</v>
      </c>
      <c r="N513" s="6">
        <v>326.64400000000001</v>
      </c>
      <c r="O513" s="6">
        <v>326.64400000000001</v>
      </c>
      <c r="P513" s="6">
        <v>719</v>
      </c>
      <c r="Q513" s="4" t="s">
        <v>26</v>
      </c>
      <c r="R513" s="4">
        <v>0</v>
      </c>
      <c r="S513" s="6">
        <v>0</v>
      </c>
      <c r="T513" s="6">
        <v>77</v>
      </c>
      <c r="U513" s="6">
        <v>52</v>
      </c>
      <c r="V513" s="6">
        <f>IF(ISERROR(VLOOKUP($S$513,'TAR FIN'!$A$1:$O$92,15,0)),0,VLOOKUP($S$513,'TAR FIN'!$A$1:$O$92,15,0))</f>
        <v>0</v>
      </c>
      <c r="W513" s="104">
        <f>IF(ISERROR(VLOOKUP($T$497,'TAR FIN CELESC'!$A$1:$O$92,15,0)),0,VLOOKUP($T$497,'TAR FIN CELESC'!$A$1:$O$92,15,0))</f>
        <v>244.85</v>
      </c>
      <c r="X513" s="104">
        <f>IF(ISERROR(VLOOKUP($U$497,'TAR FIN CELESC'!$A$1:$O$92,15,0)),0,VLOOKUP($U$497,'TAR FIN CELESC'!$A$1:$O$92,15,0))</f>
        <v>287.39</v>
      </c>
      <c r="Y513" s="6"/>
      <c r="Z513" s="6">
        <f ca="1">('TUSD BE'!$AM$52+'TUSD BF_350'!$AM$52+'TUSD CVA'!$AM$52)*1</f>
        <v>310.49</v>
      </c>
      <c r="AA513" s="6">
        <f ca="1">('TE BE'!$AB$40+'TE BF_350'!$AB$40+'TE CVA'!$AB$40)*1</f>
        <v>262.52999999999997</v>
      </c>
      <c r="AB513" s="6">
        <f>$K$513*$V$513</f>
        <v>0</v>
      </c>
      <c r="AC513" s="6">
        <f>$M$513*$W$513</f>
        <v>79978.7834</v>
      </c>
      <c r="AD513" s="6">
        <f>$O$513*$X$513</f>
        <v>93874.219159999993</v>
      </c>
      <c r="AE513" s="6">
        <f>$K$513*$Y$513</f>
        <v>0</v>
      </c>
      <c r="AF513" s="6">
        <f ca="1">$M$513*$Z$513</f>
        <v>101419.69556000001</v>
      </c>
      <c r="AG513" s="6">
        <f ca="1">$O$513*$AA$513</f>
        <v>85753.849319999994</v>
      </c>
    </row>
    <row r="514" spans="1:33" ht="11.25" customHeight="1" x14ac:dyDescent="0.3">
      <c r="A514" s="4" t="s">
        <v>27</v>
      </c>
      <c r="B514" s="4" t="s">
        <v>32</v>
      </c>
      <c r="C514" s="4" t="s">
        <v>23</v>
      </c>
      <c r="D514" s="4" t="s">
        <v>40</v>
      </c>
      <c r="E514" s="4" t="s">
        <v>25</v>
      </c>
      <c r="F514" s="4" t="s">
        <v>25</v>
      </c>
      <c r="G514" s="4" t="s">
        <v>25</v>
      </c>
      <c r="H514" s="4" t="s">
        <v>25</v>
      </c>
      <c r="I514" s="5">
        <v>44652</v>
      </c>
      <c r="J514" s="6">
        <v>0</v>
      </c>
      <c r="K514" s="6">
        <v>0</v>
      </c>
      <c r="L514" s="6">
        <v>17.266999999999999</v>
      </c>
      <c r="M514" s="6">
        <v>17.266999999999999</v>
      </c>
      <c r="N514" s="6">
        <v>17.266999999999999</v>
      </c>
      <c r="O514" s="6">
        <v>17.266999999999999</v>
      </c>
      <c r="P514" s="6">
        <v>27</v>
      </c>
      <c r="Q514" s="4" t="s">
        <v>26</v>
      </c>
      <c r="R514" s="4">
        <v>0</v>
      </c>
      <c r="S514" s="6">
        <v>0</v>
      </c>
      <c r="T514" s="6">
        <v>77</v>
      </c>
      <c r="U514" s="6">
        <v>52</v>
      </c>
      <c r="V514" s="6">
        <f>IF(ISERROR(VLOOKUP($S$514,'TAR FIN'!$A$1:$O$92,15,0)),0,VLOOKUP($S$514,'TAR FIN'!$A$1:$O$92,15,0))</f>
        <v>0</v>
      </c>
      <c r="W514" s="104">
        <f>IF(ISERROR(VLOOKUP($T$497,'TAR FIN CELESC'!$A$1:$O$92,15,0)),0,VLOOKUP($T$497,'TAR FIN CELESC'!$A$1:$O$92,15,0))</f>
        <v>244.85</v>
      </c>
      <c r="X514" s="104">
        <f>IF(ISERROR(VLOOKUP($U$497,'TAR FIN CELESC'!$A$1:$O$92,15,0)),0,VLOOKUP($U$497,'TAR FIN CELESC'!$A$1:$O$92,15,0))</f>
        <v>287.39</v>
      </c>
      <c r="Y514" s="6"/>
      <c r="Z514" s="6">
        <f ca="1">('TUSD BE'!$AM$52+'TUSD BF_350'!$AM$52+'TUSD CVA'!$AM$52)*1</f>
        <v>310.49</v>
      </c>
      <c r="AA514" s="6">
        <f ca="1">('TE BE'!$AB$40+'TE BF_350'!$AB$40+'TE CVA'!$AB$40)*1</f>
        <v>262.52999999999997</v>
      </c>
      <c r="AB514" s="6">
        <f>$K$514*$V$514</f>
        <v>0</v>
      </c>
      <c r="AC514" s="6">
        <f>$M$514*$W$514</f>
        <v>4227.8249500000002</v>
      </c>
      <c r="AD514" s="6">
        <f>$O$514*$X$514</f>
        <v>4962.3631299999997</v>
      </c>
      <c r="AE514" s="6">
        <f>$K$514*$Y$514</f>
        <v>0</v>
      </c>
      <c r="AF514" s="6">
        <f ca="1">$M$514*$Z$514</f>
        <v>5361.2308300000004</v>
      </c>
      <c r="AG514" s="6">
        <f ca="1">$O$514*$AA$514</f>
        <v>4533.1055099999994</v>
      </c>
    </row>
    <row r="515" spans="1:33" ht="11.25" customHeight="1" x14ac:dyDescent="0.3">
      <c r="A515" s="4" t="s">
        <v>21</v>
      </c>
      <c r="B515" s="4" t="s">
        <v>32</v>
      </c>
      <c r="C515" s="4" t="s">
        <v>23</v>
      </c>
      <c r="D515" s="4" t="s">
        <v>40</v>
      </c>
      <c r="E515" s="4" t="s">
        <v>25</v>
      </c>
      <c r="F515" s="4" t="s">
        <v>25</v>
      </c>
      <c r="G515" s="4" t="s">
        <v>25</v>
      </c>
      <c r="H515" s="4" t="s">
        <v>25</v>
      </c>
      <c r="I515" s="5">
        <v>44682</v>
      </c>
      <c r="J515" s="6">
        <v>0</v>
      </c>
      <c r="K515" s="6">
        <v>0</v>
      </c>
      <c r="L515" s="6">
        <v>256.05</v>
      </c>
      <c r="M515" s="6">
        <v>256.05</v>
      </c>
      <c r="N515" s="6">
        <v>256.05</v>
      </c>
      <c r="O515" s="6">
        <v>256.05</v>
      </c>
      <c r="P515" s="6">
        <v>725</v>
      </c>
      <c r="Q515" s="4" t="s">
        <v>26</v>
      </c>
      <c r="R515" s="4">
        <v>0</v>
      </c>
      <c r="S515" s="6">
        <v>0</v>
      </c>
      <c r="T515" s="6">
        <v>77</v>
      </c>
      <c r="U515" s="6">
        <v>52</v>
      </c>
      <c r="V515" s="6">
        <f>IF(ISERROR(VLOOKUP($S$515,'TAR FIN'!$A$1:$O$92,15,0)),0,VLOOKUP($S$515,'TAR FIN'!$A$1:$O$92,15,0))</f>
        <v>0</v>
      </c>
      <c r="W515" s="104">
        <f>IF(ISERROR(VLOOKUP($T$497,'TAR FIN CELESC'!$A$1:$O$92,15,0)),0,VLOOKUP($T$497,'TAR FIN CELESC'!$A$1:$O$92,15,0))</f>
        <v>244.85</v>
      </c>
      <c r="X515" s="104">
        <f>IF(ISERROR(VLOOKUP($U$497,'TAR FIN CELESC'!$A$1:$O$92,15,0)),0,VLOOKUP($U$497,'TAR FIN CELESC'!$A$1:$O$92,15,0))</f>
        <v>287.39</v>
      </c>
      <c r="Y515" s="6"/>
      <c r="Z515" s="6">
        <f ca="1">('TUSD BE'!$AM$52+'TUSD BF_350'!$AM$52+'TUSD CVA'!$AM$52)*1</f>
        <v>310.49</v>
      </c>
      <c r="AA515" s="6">
        <f ca="1">('TE BE'!$AB$40+'TE BF_350'!$AB$40+'TE CVA'!$AB$40)*1</f>
        <v>262.52999999999997</v>
      </c>
      <c r="AB515" s="6">
        <f>$K$515*$V$515</f>
        <v>0</v>
      </c>
      <c r="AC515" s="6">
        <f>$M$515*$W$515</f>
        <v>62693.842499999999</v>
      </c>
      <c r="AD515" s="6">
        <f>$O$515*$X$515</f>
        <v>73586.209499999997</v>
      </c>
      <c r="AE515" s="6">
        <f>$K$515*$Y$515</f>
        <v>0</v>
      </c>
      <c r="AF515" s="6">
        <f ca="1">$M$515*$Z$515</f>
        <v>79500.964500000002</v>
      </c>
      <c r="AG515" s="6">
        <f ca="1">$O$515*$AA$515</f>
        <v>67220.806499999992</v>
      </c>
    </row>
    <row r="516" spans="1:33" ht="11.25" customHeight="1" x14ac:dyDescent="0.3">
      <c r="A516" s="4" t="s">
        <v>27</v>
      </c>
      <c r="B516" s="4" t="s">
        <v>32</v>
      </c>
      <c r="C516" s="4" t="s">
        <v>23</v>
      </c>
      <c r="D516" s="4" t="s">
        <v>40</v>
      </c>
      <c r="E516" s="4" t="s">
        <v>25</v>
      </c>
      <c r="F516" s="4" t="s">
        <v>25</v>
      </c>
      <c r="G516" s="4" t="s">
        <v>25</v>
      </c>
      <c r="H516" s="4" t="s">
        <v>25</v>
      </c>
      <c r="I516" s="5">
        <v>44682</v>
      </c>
      <c r="J516" s="6">
        <v>0</v>
      </c>
      <c r="K516" s="6">
        <v>0</v>
      </c>
      <c r="L516" s="6">
        <v>11.25</v>
      </c>
      <c r="M516" s="6">
        <v>11.25</v>
      </c>
      <c r="N516" s="6">
        <v>11.25</v>
      </c>
      <c r="O516" s="6">
        <v>11.25</v>
      </c>
      <c r="P516" s="6">
        <v>27</v>
      </c>
      <c r="Q516" s="4" t="s">
        <v>26</v>
      </c>
      <c r="R516" s="4">
        <v>0</v>
      </c>
      <c r="S516" s="6">
        <v>0</v>
      </c>
      <c r="T516" s="6">
        <v>77</v>
      </c>
      <c r="U516" s="6">
        <v>52</v>
      </c>
      <c r="V516" s="6">
        <f>IF(ISERROR(VLOOKUP($S$516,'TAR FIN'!$A$1:$O$92,15,0)),0,VLOOKUP($S$516,'TAR FIN'!$A$1:$O$92,15,0))</f>
        <v>0</v>
      </c>
      <c r="W516" s="104">
        <f>IF(ISERROR(VLOOKUP($T$497,'TAR FIN CELESC'!$A$1:$O$92,15,0)),0,VLOOKUP($T$497,'TAR FIN CELESC'!$A$1:$O$92,15,0))</f>
        <v>244.85</v>
      </c>
      <c r="X516" s="104">
        <f>IF(ISERROR(VLOOKUP($U$497,'TAR FIN CELESC'!$A$1:$O$92,15,0)),0,VLOOKUP($U$497,'TAR FIN CELESC'!$A$1:$O$92,15,0))</f>
        <v>287.39</v>
      </c>
      <c r="Y516" s="6"/>
      <c r="Z516" s="6">
        <f ca="1">('TUSD BE'!$AM$52+'TUSD BF_350'!$AM$52+'TUSD CVA'!$AM$52)*1</f>
        <v>310.49</v>
      </c>
      <c r="AA516" s="6">
        <f ca="1">('TE BE'!$AB$40+'TE BF_350'!$AB$40+'TE CVA'!$AB$40)*1</f>
        <v>262.52999999999997</v>
      </c>
      <c r="AB516" s="6">
        <f>$K$516*$V$516</f>
        <v>0</v>
      </c>
      <c r="AC516" s="6">
        <f>$M$516*$W$516</f>
        <v>2754.5625</v>
      </c>
      <c r="AD516" s="6">
        <f>$O$516*$X$516</f>
        <v>3233.1374999999998</v>
      </c>
      <c r="AE516" s="6">
        <f>$K$516*$Y$516</f>
        <v>0</v>
      </c>
      <c r="AF516" s="6">
        <f ca="1">$M$516*$Z$516</f>
        <v>3493.0125000000003</v>
      </c>
      <c r="AG516" s="6">
        <f ca="1">$O$516*$AA$516</f>
        <v>2953.4624999999996</v>
      </c>
    </row>
    <row r="517" spans="1:33" ht="11.25" customHeight="1" x14ac:dyDescent="0.3">
      <c r="A517" s="4" t="s">
        <v>21</v>
      </c>
      <c r="B517" s="4" t="s">
        <v>32</v>
      </c>
      <c r="C517" s="4" t="s">
        <v>23</v>
      </c>
      <c r="D517" s="4" t="s">
        <v>40</v>
      </c>
      <c r="E517" s="4" t="s">
        <v>25</v>
      </c>
      <c r="F517" s="4" t="s">
        <v>25</v>
      </c>
      <c r="G517" s="4" t="s">
        <v>25</v>
      </c>
      <c r="H517" s="4" t="s">
        <v>25</v>
      </c>
      <c r="I517" s="5">
        <v>44713</v>
      </c>
      <c r="J517" s="6">
        <v>0</v>
      </c>
      <c r="K517" s="6">
        <v>0</v>
      </c>
      <c r="L517" s="6">
        <v>258.20400000000001</v>
      </c>
      <c r="M517" s="6">
        <v>258.20400000000001</v>
      </c>
      <c r="N517" s="6">
        <v>258.20400000000001</v>
      </c>
      <c r="O517" s="6">
        <v>258.20400000000001</v>
      </c>
      <c r="P517" s="6">
        <v>720</v>
      </c>
      <c r="Q517" s="4" t="s">
        <v>26</v>
      </c>
      <c r="R517" s="4">
        <v>0</v>
      </c>
      <c r="S517" s="6">
        <v>0</v>
      </c>
      <c r="T517" s="6">
        <v>77</v>
      </c>
      <c r="U517" s="6">
        <v>52</v>
      </c>
      <c r="V517" s="6">
        <f>IF(ISERROR(VLOOKUP($S$517,'TAR FIN'!$A$1:$O$92,15,0)),0,VLOOKUP($S$517,'TAR FIN'!$A$1:$O$92,15,0))</f>
        <v>0</v>
      </c>
      <c r="W517" s="104">
        <f>IF(ISERROR(VLOOKUP($T$497,'TAR FIN CELESC'!$A$1:$O$92,15,0)),0,VLOOKUP($T$497,'TAR FIN CELESC'!$A$1:$O$92,15,0))</f>
        <v>244.85</v>
      </c>
      <c r="X517" s="104">
        <f>IF(ISERROR(VLOOKUP($U$497,'TAR FIN CELESC'!$A$1:$O$92,15,0)),0,VLOOKUP($U$497,'TAR FIN CELESC'!$A$1:$O$92,15,0))</f>
        <v>287.39</v>
      </c>
      <c r="Y517" s="6"/>
      <c r="Z517" s="6">
        <f ca="1">('TUSD BE'!$AM$52+'TUSD BF_350'!$AM$52+'TUSD CVA'!$AM$52)*1</f>
        <v>310.49</v>
      </c>
      <c r="AA517" s="6">
        <f ca="1">('TE BE'!$AB$40+'TE BF_350'!$AB$40+'TE CVA'!$AB$40)*1</f>
        <v>262.52999999999997</v>
      </c>
      <c r="AB517" s="6">
        <f>$K$517*$V$517</f>
        <v>0</v>
      </c>
      <c r="AC517" s="6">
        <f>$M$517*$W$517</f>
        <v>63221.249400000001</v>
      </c>
      <c r="AD517" s="6">
        <f>$O$517*$X$517</f>
        <v>74205.247560000003</v>
      </c>
      <c r="AE517" s="6">
        <f>$K$517*$Y$517</f>
        <v>0</v>
      </c>
      <c r="AF517" s="6">
        <f ca="1">$M$517*$Z$517</f>
        <v>80169.75996000001</v>
      </c>
      <c r="AG517" s="6">
        <f ca="1">$O$517*$AA$517</f>
        <v>67786.296119999999</v>
      </c>
    </row>
    <row r="518" spans="1:33" ht="11.25" customHeight="1" x14ac:dyDescent="0.3">
      <c r="A518" s="4" t="s">
        <v>27</v>
      </c>
      <c r="B518" s="4" t="s">
        <v>32</v>
      </c>
      <c r="C518" s="4" t="s">
        <v>23</v>
      </c>
      <c r="D518" s="4" t="s">
        <v>40</v>
      </c>
      <c r="E518" s="4" t="s">
        <v>25</v>
      </c>
      <c r="F518" s="4" t="s">
        <v>25</v>
      </c>
      <c r="G518" s="4" t="s">
        <v>25</v>
      </c>
      <c r="H518" s="4" t="s">
        <v>25</v>
      </c>
      <c r="I518" s="5">
        <v>44713</v>
      </c>
      <c r="J518" s="6">
        <v>0</v>
      </c>
      <c r="K518" s="6">
        <v>0</v>
      </c>
      <c r="L518" s="6">
        <v>16.280999999999999</v>
      </c>
      <c r="M518" s="6">
        <v>16.280999999999999</v>
      </c>
      <c r="N518" s="6">
        <v>16.280999999999999</v>
      </c>
      <c r="O518" s="6">
        <v>16.280999999999999</v>
      </c>
      <c r="P518" s="6">
        <v>27</v>
      </c>
      <c r="Q518" s="4" t="s">
        <v>26</v>
      </c>
      <c r="R518" s="4">
        <v>0</v>
      </c>
      <c r="S518" s="6">
        <v>0</v>
      </c>
      <c r="T518" s="6">
        <v>77</v>
      </c>
      <c r="U518" s="6">
        <v>52</v>
      </c>
      <c r="V518" s="6">
        <f>IF(ISERROR(VLOOKUP($S$518,'TAR FIN'!$A$1:$O$92,15,0)),0,VLOOKUP($S$518,'TAR FIN'!$A$1:$O$92,15,0))</f>
        <v>0</v>
      </c>
      <c r="W518" s="104">
        <f>IF(ISERROR(VLOOKUP($T$497,'TAR FIN CELESC'!$A$1:$O$92,15,0)),0,VLOOKUP($T$497,'TAR FIN CELESC'!$A$1:$O$92,15,0))</f>
        <v>244.85</v>
      </c>
      <c r="X518" s="104">
        <f>IF(ISERROR(VLOOKUP($U$497,'TAR FIN CELESC'!$A$1:$O$92,15,0)),0,VLOOKUP($U$497,'TAR FIN CELESC'!$A$1:$O$92,15,0))</f>
        <v>287.39</v>
      </c>
      <c r="Y518" s="6"/>
      <c r="Z518" s="6">
        <f ca="1">('TUSD BE'!$AM$52+'TUSD BF_350'!$AM$52+'TUSD CVA'!$AM$52)*1</f>
        <v>310.49</v>
      </c>
      <c r="AA518" s="6">
        <f ca="1">('TE BE'!$AB$40+'TE BF_350'!$AB$40+'TE CVA'!$AB$40)*1</f>
        <v>262.52999999999997</v>
      </c>
      <c r="AB518" s="6">
        <f>$K$518*$V$518</f>
        <v>0</v>
      </c>
      <c r="AC518" s="6">
        <f>$M$518*$W$518</f>
        <v>3986.4028499999995</v>
      </c>
      <c r="AD518" s="6">
        <f>$O$518*$X$518</f>
        <v>4678.9965899999997</v>
      </c>
      <c r="AE518" s="6">
        <f>$K$518*$Y$518</f>
        <v>0</v>
      </c>
      <c r="AF518" s="6">
        <f ca="1">$M$518*$Z$518</f>
        <v>5055.0876899999994</v>
      </c>
      <c r="AG518" s="6">
        <f ca="1">$O$518*$AA$518</f>
        <v>4274.2509299999992</v>
      </c>
    </row>
    <row r="519" spans="1:33" ht="11.25" customHeight="1" x14ac:dyDescent="0.3">
      <c r="A519" s="4" t="s">
        <v>21</v>
      </c>
      <c r="B519" s="4" t="s">
        <v>32</v>
      </c>
      <c r="C519" s="4" t="s">
        <v>23</v>
      </c>
      <c r="D519" s="4" t="s">
        <v>40</v>
      </c>
      <c r="E519" s="4" t="s">
        <v>25</v>
      </c>
      <c r="F519" s="4" t="s">
        <v>25</v>
      </c>
      <c r="G519" s="4" t="s">
        <v>25</v>
      </c>
      <c r="H519" s="4" t="s">
        <v>25</v>
      </c>
      <c r="I519" s="5">
        <v>44743</v>
      </c>
      <c r="J519" s="6">
        <v>0</v>
      </c>
      <c r="K519" s="6">
        <v>0</v>
      </c>
      <c r="L519" s="6">
        <v>244.58199999999999</v>
      </c>
      <c r="M519" s="6">
        <v>244.58199999999999</v>
      </c>
      <c r="N519" s="6">
        <v>244.58199999999999</v>
      </c>
      <c r="O519" s="6">
        <v>244.58199999999999</v>
      </c>
      <c r="P519" s="6">
        <v>727</v>
      </c>
      <c r="Q519" s="4" t="s">
        <v>26</v>
      </c>
      <c r="R519" s="4">
        <v>0</v>
      </c>
      <c r="S519" s="6">
        <v>0</v>
      </c>
      <c r="T519" s="6">
        <v>77</v>
      </c>
      <c r="U519" s="6">
        <v>52</v>
      </c>
      <c r="V519" s="6">
        <f>IF(ISERROR(VLOOKUP($S$519,'TAR FIN'!$A$1:$O$92,15,0)),0,VLOOKUP($S$519,'TAR FIN'!$A$1:$O$92,15,0))</f>
        <v>0</v>
      </c>
      <c r="W519" s="104">
        <f>IF(ISERROR(VLOOKUP($T$497,'TAR FIN CELESC'!$A$1:$O$92,15,0)),0,VLOOKUP($T$497,'TAR FIN CELESC'!$A$1:$O$92,15,0))</f>
        <v>244.85</v>
      </c>
      <c r="X519" s="104">
        <f>IF(ISERROR(VLOOKUP($U$497,'TAR FIN CELESC'!$A$1:$O$92,15,0)),0,VLOOKUP($U$497,'TAR FIN CELESC'!$A$1:$O$92,15,0))</f>
        <v>287.39</v>
      </c>
      <c r="Y519" s="6"/>
      <c r="Z519" s="6">
        <f ca="1">('TUSD BE'!$AM$52+'TUSD BF_350'!$AM$52+'TUSD CVA'!$AM$52)*1</f>
        <v>310.49</v>
      </c>
      <c r="AA519" s="6">
        <f ca="1">('TE BE'!$AB$40+'TE BF_350'!$AB$40+'TE CVA'!$AB$40)*1</f>
        <v>262.52999999999997</v>
      </c>
      <c r="AB519" s="6">
        <f>$K$519*$V$519</f>
        <v>0</v>
      </c>
      <c r="AC519" s="6">
        <f>$M$519*$W$519</f>
        <v>59885.902699999999</v>
      </c>
      <c r="AD519" s="6">
        <f>$O$519*$X$519</f>
        <v>70290.420979999995</v>
      </c>
      <c r="AE519" s="6">
        <f>$K$519*$Y$519</f>
        <v>0</v>
      </c>
      <c r="AF519" s="6">
        <f ca="1">$M$519*$Z$519</f>
        <v>75940.265180000002</v>
      </c>
      <c r="AG519" s="6">
        <f ca="1">$O$519*$AA$519</f>
        <v>64210.112459999989</v>
      </c>
    </row>
    <row r="520" spans="1:33" ht="11.25" customHeight="1" x14ac:dyDescent="0.3">
      <c r="A520" s="4" t="s">
        <v>27</v>
      </c>
      <c r="B520" s="4" t="s">
        <v>32</v>
      </c>
      <c r="C520" s="4" t="s">
        <v>23</v>
      </c>
      <c r="D520" s="4" t="s">
        <v>40</v>
      </c>
      <c r="E520" s="4" t="s">
        <v>25</v>
      </c>
      <c r="F520" s="4" t="s">
        <v>25</v>
      </c>
      <c r="G520" s="4" t="s">
        <v>25</v>
      </c>
      <c r="H520" s="4" t="s">
        <v>25</v>
      </c>
      <c r="I520" s="5">
        <v>44743</v>
      </c>
      <c r="J520" s="6">
        <v>0</v>
      </c>
      <c r="K520" s="6">
        <v>0</v>
      </c>
      <c r="L520" s="6">
        <v>16.545000000000002</v>
      </c>
      <c r="M520" s="6">
        <v>16.545000000000002</v>
      </c>
      <c r="N520" s="6">
        <v>16.545000000000002</v>
      </c>
      <c r="O520" s="6">
        <v>16.545000000000002</v>
      </c>
      <c r="P520" s="6">
        <v>27</v>
      </c>
      <c r="Q520" s="4" t="s">
        <v>26</v>
      </c>
      <c r="R520" s="4">
        <v>0</v>
      </c>
      <c r="S520" s="6">
        <v>0</v>
      </c>
      <c r="T520" s="6">
        <v>77</v>
      </c>
      <c r="U520" s="6">
        <v>52</v>
      </c>
      <c r="V520" s="6">
        <f>IF(ISERROR(VLOOKUP($S$520,'TAR FIN'!$A$1:$O$92,15,0)),0,VLOOKUP($S$520,'TAR FIN'!$A$1:$O$92,15,0))</f>
        <v>0</v>
      </c>
      <c r="W520" s="104">
        <f>IF(ISERROR(VLOOKUP($T$497,'TAR FIN CELESC'!$A$1:$O$92,15,0)),0,VLOOKUP($T$497,'TAR FIN CELESC'!$A$1:$O$92,15,0))</f>
        <v>244.85</v>
      </c>
      <c r="X520" s="104">
        <f>IF(ISERROR(VLOOKUP($U$497,'TAR FIN CELESC'!$A$1:$O$92,15,0)),0,VLOOKUP($U$497,'TAR FIN CELESC'!$A$1:$O$92,15,0))</f>
        <v>287.39</v>
      </c>
      <c r="Y520" s="6"/>
      <c r="Z520" s="6">
        <f ca="1">('TUSD BE'!$AM$52+'TUSD BF_350'!$AM$52+'TUSD CVA'!$AM$52)*1</f>
        <v>310.49</v>
      </c>
      <c r="AA520" s="6">
        <f ca="1">('TE BE'!$AB$40+'TE BF_350'!$AB$40+'TE CVA'!$AB$40)*1</f>
        <v>262.52999999999997</v>
      </c>
      <c r="AB520" s="6">
        <f>$K$520*$V$520</f>
        <v>0</v>
      </c>
      <c r="AC520" s="6">
        <f>$M$520*$W$520</f>
        <v>4051.0432500000002</v>
      </c>
      <c r="AD520" s="6">
        <f>$O$520*$X$520</f>
        <v>4754.8675499999999</v>
      </c>
      <c r="AE520" s="6">
        <f>$K$520*$Y$520</f>
        <v>0</v>
      </c>
      <c r="AF520" s="6">
        <f ca="1">$M$520*$Z$520</f>
        <v>5137.0570500000003</v>
      </c>
      <c r="AG520" s="6">
        <f ca="1">$O$520*$AA$520</f>
        <v>4343.5588500000003</v>
      </c>
    </row>
    <row r="521" spans="1:33" ht="11.25" customHeight="1" x14ac:dyDescent="0.3">
      <c r="A521" s="4" t="s">
        <v>21</v>
      </c>
      <c r="B521" s="4" t="s">
        <v>32</v>
      </c>
      <c r="C521" s="4" t="s">
        <v>23</v>
      </c>
      <c r="D521" s="4" t="s">
        <v>49</v>
      </c>
      <c r="E521" s="4" t="s">
        <v>25</v>
      </c>
      <c r="F521" s="4" t="s">
        <v>25</v>
      </c>
      <c r="G521" s="4" t="s">
        <v>25</v>
      </c>
      <c r="H521" s="4" t="s">
        <v>25</v>
      </c>
      <c r="I521" s="5">
        <v>44409</v>
      </c>
      <c r="J521" s="6">
        <v>0</v>
      </c>
      <c r="K521" s="6">
        <v>0</v>
      </c>
      <c r="L521" s="6">
        <v>2.41</v>
      </c>
      <c r="M521" s="6">
        <v>2.41</v>
      </c>
      <c r="N521" s="6">
        <v>2.41</v>
      </c>
      <c r="O521" s="6">
        <v>2.41</v>
      </c>
      <c r="P521" s="6">
        <v>2</v>
      </c>
      <c r="Q521" s="4" t="s">
        <v>26</v>
      </c>
      <c r="R521" s="4">
        <v>0</v>
      </c>
      <c r="S521" s="6">
        <v>0</v>
      </c>
      <c r="T521" s="6">
        <v>77</v>
      </c>
      <c r="U521" s="6">
        <v>52</v>
      </c>
      <c r="V521" s="6">
        <f>IF(ISERROR(VLOOKUP($S$521,'TAR FIN'!$A$1:$O$92,15,0)),0,VLOOKUP($S$521,'TAR FIN'!$A$1:$O$92,15,0))</f>
        <v>0</v>
      </c>
      <c r="W521" s="104">
        <f>IF(ISERROR(VLOOKUP($T$497,'TAR FIN CELESC'!$A$1:$O$92,15,0)),0,VLOOKUP($T$497,'TAR FIN CELESC'!$A$1:$O$92,15,0))</f>
        <v>244.85</v>
      </c>
      <c r="X521" s="104">
        <f>IF(ISERROR(VLOOKUP($U$497,'TAR FIN CELESC'!$A$1:$O$92,15,0)),0,VLOOKUP($U$497,'TAR FIN CELESC'!$A$1:$O$92,15,0))</f>
        <v>287.39</v>
      </c>
      <c r="Y521" s="6"/>
      <c r="Z521" s="6">
        <f ca="1">('TUSD BE'!$AM$52+'TUSD BF_350'!$AM$52+'TUSD CVA'!$AM$52)*1</f>
        <v>310.49</v>
      </c>
      <c r="AA521" s="6">
        <f ca="1">('TE BE'!$AB$40+'TE BF_350'!$AB$40+'TE CVA'!$AB$40)*1</f>
        <v>262.52999999999997</v>
      </c>
      <c r="AB521" s="6">
        <f>$K$521*$V$521</f>
        <v>0</v>
      </c>
      <c r="AC521" s="6">
        <f>$M$521*$W$521</f>
        <v>590.08850000000007</v>
      </c>
      <c r="AD521" s="6">
        <f>$O$521*$X$521</f>
        <v>692.60990000000004</v>
      </c>
      <c r="AE521" s="6">
        <f>$K$521*$Y$521</f>
        <v>0</v>
      </c>
      <c r="AF521" s="6">
        <f ca="1">$M$521*$Z$521</f>
        <v>748.28090000000009</v>
      </c>
      <c r="AG521" s="6">
        <f ca="1">$O$521*$AA$521</f>
        <v>632.69729999999993</v>
      </c>
    </row>
    <row r="522" spans="1:33" ht="11.25" customHeight="1" x14ac:dyDescent="0.3">
      <c r="A522" s="4" t="s">
        <v>21</v>
      </c>
      <c r="B522" s="4" t="s">
        <v>32</v>
      </c>
      <c r="C522" s="4" t="s">
        <v>23</v>
      </c>
      <c r="D522" s="4" t="s">
        <v>49</v>
      </c>
      <c r="E522" s="4" t="s">
        <v>25</v>
      </c>
      <c r="F522" s="4" t="s">
        <v>25</v>
      </c>
      <c r="G522" s="4" t="s">
        <v>25</v>
      </c>
      <c r="H522" s="4" t="s">
        <v>25</v>
      </c>
      <c r="I522" s="5">
        <v>44440</v>
      </c>
      <c r="J522" s="6">
        <v>0</v>
      </c>
      <c r="K522" s="6">
        <v>0</v>
      </c>
      <c r="L522" s="6">
        <v>2.89</v>
      </c>
      <c r="M522" s="6">
        <v>2.89</v>
      </c>
      <c r="N522" s="6">
        <v>2.89</v>
      </c>
      <c r="O522" s="6">
        <v>2.89</v>
      </c>
      <c r="P522" s="6">
        <v>2</v>
      </c>
      <c r="Q522" s="4" t="s">
        <v>26</v>
      </c>
      <c r="R522" s="4">
        <v>0</v>
      </c>
      <c r="S522" s="6">
        <v>0</v>
      </c>
      <c r="T522" s="6">
        <v>77</v>
      </c>
      <c r="U522" s="6">
        <v>52</v>
      </c>
      <c r="V522" s="6">
        <f>IF(ISERROR(VLOOKUP($S$522,'TAR FIN'!$A$1:$O$92,15,0)),0,VLOOKUP($S$522,'TAR FIN'!$A$1:$O$92,15,0))</f>
        <v>0</v>
      </c>
      <c r="W522" s="104">
        <f>IF(ISERROR(VLOOKUP($T$497,'TAR FIN CELESC'!$A$1:$O$92,15,0)),0,VLOOKUP($T$497,'TAR FIN CELESC'!$A$1:$O$92,15,0))</f>
        <v>244.85</v>
      </c>
      <c r="X522" s="104">
        <f>IF(ISERROR(VLOOKUP($U$497,'TAR FIN CELESC'!$A$1:$O$92,15,0)),0,VLOOKUP($U$497,'TAR FIN CELESC'!$A$1:$O$92,15,0))</f>
        <v>287.39</v>
      </c>
      <c r="Y522" s="6"/>
      <c r="Z522" s="6">
        <f ca="1">('TUSD BE'!$AM$52+'TUSD BF_350'!$AM$52+'TUSD CVA'!$AM$52)*1</f>
        <v>310.49</v>
      </c>
      <c r="AA522" s="6">
        <f ca="1">('TE BE'!$AB$40+'TE BF_350'!$AB$40+'TE CVA'!$AB$40)*1</f>
        <v>262.52999999999997</v>
      </c>
      <c r="AB522" s="6">
        <f>$K$522*$V$522</f>
        <v>0</v>
      </c>
      <c r="AC522" s="6">
        <f>$M$522*$W$522</f>
        <v>707.61649999999997</v>
      </c>
      <c r="AD522" s="6">
        <f>$O$522*$X$522</f>
        <v>830.55709999999999</v>
      </c>
      <c r="AE522" s="6">
        <f>$K$522*$Y$522</f>
        <v>0</v>
      </c>
      <c r="AF522" s="6">
        <f ca="1">$M$522*$Z$522</f>
        <v>897.31610000000012</v>
      </c>
      <c r="AG522" s="6">
        <f ca="1">$O$522*$AA$522</f>
        <v>758.71169999999995</v>
      </c>
    </row>
    <row r="523" spans="1:33" ht="11.25" customHeight="1" x14ac:dyDescent="0.3">
      <c r="A523" s="4" t="s">
        <v>21</v>
      </c>
      <c r="B523" s="4" t="s">
        <v>32</v>
      </c>
      <c r="C523" s="4" t="s">
        <v>23</v>
      </c>
      <c r="D523" s="4" t="s">
        <v>49</v>
      </c>
      <c r="E523" s="4" t="s">
        <v>25</v>
      </c>
      <c r="F523" s="4" t="s">
        <v>25</v>
      </c>
      <c r="G523" s="4" t="s">
        <v>25</v>
      </c>
      <c r="H523" s="4" t="s">
        <v>25</v>
      </c>
      <c r="I523" s="5">
        <v>44470</v>
      </c>
      <c r="J523" s="6">
        <v>0</v>
      </c>
      <c r="K523" s="6">
        <v>0</v>
      </c>
      <c r="L523" s="6">
        <v>2.83</v>
      </c>
      <c r="M523" s="6">
        <v>2.83</v>
      </c>
      <c r="N523" s="6">
        <v>2.83</v>
      </c>
      <c r="O523" s="6">
        <v>2.83</v>
      </c>
      <c r="P523" s="6">
        <v>2</v>
      </c>
      <c r="Q523" s="4" t="s">
        <v>26</v>
      </c>
      <c r="R523" s="4">
        <v>0</v>
      </c>
      <c r="S523" s="6">
        <v>0</v>
      </c>
      <c r="T523" s="6">
        <v>77</v>
      </c>
      <c r="U523" s="6">
        <v>52</v>
      </c>
      <c r="V523" s="6">
        <f>IF(ISERROR(VLOOKUP($S$523,'TAR FIN'!$A$1:$O$92,15,0)),0,VLOOKUP($S$523,'TAR FIN'!$A$1:$O$92,15,0))</f>
        <v>0</v>
      </c>
      <c r="W523" s="104">
        <f>IF(ISERROR(VLOOKUP($T$497,'TAR FIN CELESC'!$A$1:$O$92,15,0)),0,VLOOKUP($T$497,'TAR FIN CELESC'!$A$1:$O$92,15,0))</f>
        <v>244.85</v>
      </c>
      <c r="X523" s="104">
        <f>IF(ISERROR(VLOOKUP($U$497,'TAR FIN CELESC'!$A$1:$O$92,15,0)),0,VLOOKUP($U$497,'TAR FIN CELESC'!$A$1:$O$92,15,0))</f>
        <v>287.39</v>
      </c>
      <c r="Y523" s="6"/>
      <c r="Z523" s="6">
        <f ca="1">('TUSD BE'!$AM$52+'TUSD BF_350'!$AM$52+'TUSD CVA'!$AM$52)*1</f>
        <v>310.49</v>
      </c>
      <c r="AA523" s="6">
        <f ca="1">('TE BE'!$AB$40+'TE BF_350'!$AB$40+'TE CVA'!$AB$40)*1</f>
        <v>262.52999999999997</v>
      </c>
      <c r="AB523" s="6">
        <f>$K$523*$V$523</f>
        <v>0</v>
      </c>
      <c r="AC523" s="6">
        <f>$M$523*$W$523</f>
        <v>692.92550000000006</v>
      </c>
      <c r="AD523" s="6">
        <f>$O$523*$X$523</f>
        <v>813.31369999999993</v>
      </c>
      <c r="AE523" s="6">
        <f>$K$523*$Y$523</f>
        <v>0</v>
      </c>
      <c r="AF523" s="6">
        <f ca="1">$M$523*$Z$523</f>
        <v>878.68670000000009</v>
      </c>
      <c r="AG523" s="6">
        <f ca="1">$O$523*$AA$523</f>
        <v>742.95989999999995</v>
      </c>
    </row>
    <row r="524" spans="1:33" ht="11.25" customHeight="1" x14ac:dyDescent="0.3">
      <c r="A524" s="4" t="s">
        <v>21</v>
      </c>
      <c r="B524" s="4" t="s">
        <v>32</v>
      </c>
      <c r="C524" s="4" t="s">
        <v>23</v>
      </c>
      <c r="D524" s="4" t="s">
        <v>49</v>
      </c>
      <c r="E524" s="4" t="s">
        <v>25</v>
      </c>
      <c r="F524" s="4" t="s">
        <v>25</v>
      </c>
      <c r="G524" s="4" t="s">
        <v>25</v>
      </c>
      <c r="H524" s="4" t="s">
        <v>25</v>
      </c>
      <c r="I524" s="5">
        <v>44501</v>
      </c>
      <c r="J524" s="6">
        <v>0</v>
      </c>
      <c r="K524" s="6">
        <v>0</v>
      </c>
      <c r="L524" s="6">
        <v>3.46</v>
      </c>
      <c r="M524" s="6">
        <v>3.46</v>
      </c>
      <c r="N524" s="6">
        <v>3.46</v>
      </c>
      <c r="O524" s="6">
        <v>3.46</v>
      </c>
      <c r="P524" s="6">
        <v>2</v>
      </c>
      <c r="Q524" s="4" t="s">
        <v>26</v>
      </c>
      <c r="R524" s="4">
        <v>0</v>
      </c>
      <c r="S524" s="6">
        <v>0</v>
      </c>
      <c r="T524" s="6">
        <v>77</v>
      </c>
      <c r="U524" s="6">
        <v>52</v>
      </c>
      <c r="V524" s="6">
        <f>IF(ISERROR(VLOOKUP($S$524,'TAR FIN'!$A$1:$O$92,15,0)),0,VLOOKUP($S$524,'TAR FIN'!$A$1:$O$92,15,0))</f>
        <v>0</v>
      </c>
      <c r="W524" s="104">
        <f>IF(ISERROR(VLOOKUP($T$497,'TAR FIN CELESC'!$A$1:$O$92,15,0)),0,VLOOKUP($T$497,'TAR FIN CELESC'!$A$1:$O$92,15,0))</f>
        <v>244.85</v>
      </c>
      <c r="X524" s="104">
        <f>IF(ISERROR(VLOOKUP($U$497,'TAR FIN CELESC'!$A$1:$O$92,15,0)),0,VLOOKUP($U$497,'TAR FIN CELESC'!$A$1:$O$92,15,0))</f>
        <v>287.39</v>
      </c>
      <c r="Y524" s="6"/>
      <c r="Z524" s="6">
        <f ca="1">('TUSD BE'!$AM$52+'TUSD BF_350'!$AM$52+'TUSD CVA'!$AM$52)*1</f>
        <v>310.49</v>
      </c>
      <c r="AA524" s="6">
        <f ca="1">('TE BE'!$AB$40+'TE BF_350'!$AB$40+'TE CVA'!$AB$40)*1</f>
        <v>262.52999999999997</v>
      </c>
      <c r="AB524" s="6">
        <f>$K$524*$V$524</f>
        <v>0</v>
      </c>
      <c r="AC524" s="6">
        <f>$M$524*$W$524</f>
        <v>847.18099999999993</v>
      </c>
      <c r="AD524" s="6">
        <f>$O$524*$X$524</f>
        <v>994.36939999999993</v>
      </c>
      <c r="AE524" s="6">
        <f>$K$524*$Y$524</f>
        <v>0</v>
      </c>
      <c r="AF524" s="6">
        <f ca="1">$M$524*$Z$524</f>
        <v>1074.2954</v>
      </c>
      <c r="AG524" s="6">
        <f ca="1">$O$524*$AA$524</f>
        <v>908.35379999999986</v>
      </c>
    </row>
    <row r="525" spans="1:33" ht="11.25" customHeight="1" x14ac:dyDescent="0.3">
      <c r="A525" s="4" t="s">
        <v>21</v>
      </c>
      <c r="B525" s="4" t="s">
        <v>32</v>
      </c>
      <c r="C525" s="4" t="s">
        <v>23</v>
      </c>
      <c r="D525" s="4" t="s">
        <v>49</v>
      </c>
      <c r="E525" s="4" t="s">
        <v>25</v>
      </c>
      <c r="F525" s="4" t="s">
        <v>25</v>
      </c>
      <c r="G525" s="4" t="s">
        <v>25</v>
      </c>
      <c r="H525" s="4" t="s">
        <v>25</v>
      </c>
      <c r="I525" s="5">
        <v>44531</v>
      </c>
      <c r="J525" s="6">
        <v>0</v>
      </c>
      <c r="K525" s="6">
        <v>0</v>
      </c>
      <c r="L525" s="6">
        <v>4.12</v>
      </c>
      <c r="M525" s="6">
        <v>4.12</v>
      </c>
      <c r="N525" s="6">
        <v>4.12</v>
      </c>
      <c r="O525" s="6">
        <v>4.12</v>
      </c>
      <c r="P525" s="6">
        <v>2</v>
      </c>
      <c r="Q525" s="4" t="s">
        <v>26</v>
      </c>
      <c r="R525" s="4">
        <v>0</v>
      </c>
      <c r="S525" s="6">
        <v>0</v>
      </c>
      <c r="T525" s="6">
        <v>77</v>
      </c>
      <c r="U525" s="6">
        <v>52</v>
      </c>
      <c r="V525" s="6">
        <f>IF(ISERROR(VLOOKUP($S$525,'TAR FIN'!$A$1:$O$92,15,0)),0,VLOOKUP($S$525,'TAR FIN'!$A$1:$O$92,15,0))</f>
        <v>0</v>
      </c>
      <c r="W525" s="104">
        <f>IF(ISERROR(VLOOKUP($T$497,'TAR FIN CELESC'!$A$1:$O$92,15,0)),0,VLOOKUP($T$497,'TAR FIN CELESC'!$A$1:$O$92,15,0))</f>
        <v>244.85</v>
      </c>
      <c r="X525" s="104">
        <f>IF(ISERROR(VLOOKUP($U$497,'TAR FIN CELESC'!$A$1:$O$92,15,0)),0,VLOOKUP($U$497,'TAR FIN CELESC'!$A$1:$O$92,15,0))</f>
        <v>287.39</v>
      </c>
      <c r="Y525" s="6"/>
      <c r="Z525" s="6">
        <f ca="1">('TUSD BE'!$AM$52+'TUSD BF_350'!$AM$52+'TUSD CVA'!$AM$52)*1</f>
        <v>310.49</v>
      </c>
      <c r="AA525" s="6">
        <f ca="1">('TE BE'!$AB$40+'TE BF_350'!$AB$40+'TE CVA'!$AB$40)*1</f>
        <v>262.52999999999997</v>
      </c>
      <c r="AB525" s="6">
        <f>$K$525*$V$525</f>
        <v>0</v>
      </c>
      <c r="AC525" s="6">
        <f>$M$525*$W$525</f>
        <v>1008.782</v>
      </c>
      <c r="AD525" s="6">
        <f>$O$525*$X$525</f>
        <v>1184.0468000000001</v>
      </c>
      <c r="AE525" s="6">
        <f>$K$525*$Y$525</f>
        <v>0</v>
      </c>
      <c r="AF525" s="6">
        <f ca="1">$M$525*$Z$525</f>
        <v>1279.2188000000001</v>
      </c>
      <c r="AG525" s="6">
        <f ca="1">$O$525*$AA$525</f>
        <v>1081.6235999999999</v>
      </c>
    </row>
    <row r="526" spans="1:33" ht="11.25" customHeight="1" x14ac:dyDescent="0.3">
      <c r="A526" s="4" t="s">
        <v>21</v>
      </c>
      <c r="B526" s="4" t="s">
        <v>32</v>
      </c>
      <c r="C526" s="4" t="s">
        <v>23</v>
      </c>
      <c r="D526" s="4" t="s">
        <v>49</v>
      </c>
      <c r="E526" s="4" t="s">
        <v>25</v>
      </c>
      <c r="F526" s="4" t="s">
        <v>25</v>
      </c>
      <c r="G526" s="4" t="s">
        <v>25</v>
      </c>
      <c r="H526" s="4" t="s">
        <v>25</v>
      </c>
      <c r="I526" s="5">
        <v>44562</v>
      </c>
      <c r="J526" s="6">
        <v>0</v>
      </c>
      <c r="K526" s="6">
        <v>0</v>
      </c>
      <c r="L526" s="6">
        <v>4.63</v>
      </c>
      <c r="M526" s="6">
        <v>4.63</v>
      </c>
      <c r="N526" s="6">
        <v>4.63</v>
      </c>
      <c r="O526" s="6">
        <v>4.63</v>
      </c>
      <c r="P526" s="6">
        <v>2</v>
      </c>
      <c r="Q526" s="4" t="s">
        <v>26</v>
      </c>
      <c r="R526" s="4">
        <v>0</v>
      </c>
      <c r="S526" s="6">
        <v>0</v>
      </c>
      <c r="T526" s="6">
        <v>77</v>
      </c>
      <c r="U526" s="6">
        <v>52</v>
      </c>
      <c r="V526" s="6">
        <f>IF(ISERROR(VLOOKUP($S$526,'TAR FIN'!$A$1:$O$92,15,0)),0,VLOOKUP($S$526,'TAR FIN'!$A$1:$O$92,15,0))</f>
        <v>0</v>
      </c>
      <c r="W526" s="104">
        <f>IF(ISERROR(VLOOKUP($T$497,'TAR FIN CELESC'!$A$1:$O$92,15,0)),0,VLOOKUP($T$497,'TAR FIN CELESC'!$A$1:$O$92,15,0))</f>
        <v>244.85</v>
      </c>
      <c r="X526" s="104">
        <f>IF(ISERROR(VLOOKUP($U$497,'TAR FIN CELESC'!$A$1:$O$92,15,0)),0,VLOOKUP($U$497,'TAR FIN CELESC'!$A$1:$O$92,15,0))</f>
        <v>287.39</v>
      </c>
      <c r="Y526" s="6"/>
      <c r="Z526" s="6">
        <f ca="1">('TUSD BE'!$AM$52+'TUSD BF_350'!$AM$52+'TUSD CVA'!$AM$52)*1</f>
        <v>310.49</v>
      </c>
      <c r="AA526" s="6">
        <f ca="1">('TE BE'!$AB$40+'TE BF_350'!$AB$40+'TE CVA'!$AB$40)*1</f>
        <v>262.52999999999997</v>
      </c>
      <c r="AB526" s="6">
        <f>$K$526*$V$526</f>
        <v>0</v>
      </c>
      <c r="AC526" s="6">
        <f>$M$526*$W$526</f>
        <v>1133.6554999999998</v>
      </c>
      <c r="AD526" s="6">
        <f>$O$526*$X$526</f>
        <v>1330.6156999999998</v>
      </c>
      <c r="AE526" s="6">
        <f>$K$526*$Y$526</f>
        <v>0</v>
      </c>
      <c r="AF526" s="6">
        <f ca="1">$M$526*$Z$526</f>
        <v>1437.5687</v>
      </c>
      <c r="AG526" s="6">
        <f ca="1">$O$526*$AA$526</f>
        <v>1215.5138999999999</v>
      </c>
    </row>
    <row r="527" spans="1:33" ht="11.25" customHeight="1" x14ac:dyDescent="0.3">
      <c r="A527" s="4" t="s">
        <v>21</v>
      </c>
      <c r="B527" s="4" t="s">
        <v>32</v>
      </c>
      <c r="C527" s="4" t="s">
        <v>23</v>
      </c>
      <c r="D527" s="4" t="s">
        <v>49</v>
      </c>
      <c r="E527" s="4" t="s">
        <v>25</v>
      </c>
      <c r="F527" s="4" t="s">
        <v>25</v>
      </c>
      <c r="G527" s="4" t="s">
        <v>25</v>
      </c>
      <c r="H527" s="4" t="s">
        <v>25</v>
      </c>
      <c r="I527" s="5">
        <v>44593</v>
      </c>
      <c r="J527" s="6">
        <v>0</v>
      </c>
      <c r="K527" s="6">
        <v>0</v>
      </c>
      <c r="L527" s="6">
        <v>6.49</v>
      </c>
      <c r="M527" s="6">
        <v>6.49</v>
      </c>
      <c r="N527" s="6">
        <v>6.49</v>
      </c>
      <c r="O527" s="6">
        <v>6.49</v>
      </c>
      <c r="P527" s="6">
        <v>2</v>
      </c>
      <c r="Q527" s="4" t="s">
        <v>26</v>
      </c>
      <c r="R527" s="4">
        <v>0</v>
      </c>
      <c r="S527" s="6">
        <v>0</v>
      </c>
      <c r="T527" s="6">
        <v>77</v>
      </c>
      <c r="U527" s="6">
        <v>52</v>
      </c>
      <c r="V527" s="6">
        <f>IF(ISERROR(VLOOKUP($S$527,'TAR FIN'!$A$1:$O$92,15,0)),0,VLOOKUP($S$527,'TAR FIN'!$A$1:$O$92,15,0))</f>
        <v>0</v>
      </c>
      <c r="W527" s="104">
        <f>IF(ISERROR(VLOOKUP($T$497,'TAR FIN CELESC'!$A$1:$O$92,15,0)),0,VLOOKUP($T$497,'TAR FIN CELESC'!$A$1:$O$92,15,0))</f>
        <v>244.85</v>
      </c>
      <c r="X527" s="104">
        <f>IF(ISERROR(VLOOKUP($U$497,'TAR FIN CELESC'!$A$1:$O$92,15,0)),0,VLOOKUP($U$497,'TAR FIN CELESC'!$A$1:$O$92,15,0))</f>
        <v>287.39</v>
      </c>
      <c r="Y527" s="6"/>
      <c r="Z527" s="6">
        <f ca="1">('TUSD BE'!$AM$52+'TUSD BF_350'!$AM$52+'TUSD CVA'!$AM$52)*1</f>
        <v>310.49</v>
      </c>
      <c r="AA527" s="6">
        <f ca="1">('TE BE'!$AB$40+'TE BF_350'!$AB$40+'TE CVA'!$AB$40)*1</f>
        <v>262.52999999999997</v>
      </c>
      <c r="AB527" s="6">
        <f>$K$527*$V$527</f>
        <v>0</v>
      </c>
      <c r="AC527" s="6">
        <f>$M$527*$W$527</f>
        <v>1589.0765000000001</v>
      </c>
      <c r="AD527" s="6">
        <f>$O$527*$X$527</f>
        <v>1865.1611</v>
      </c>
      <c r="AE527" s="6">
        <f>$K$527*$Y$527</f>
        <v>0</v>
      </c>
      <c r="AF527" s="6">
        <f ca="1">$M$527*$Z$527</f>
        <v>2015.0801000000001</v>
      </c>
      <c r="AG527" s="6">
        <f ca="1">$O$527*$AA$527</f>
        <v>1703.8196999999998</v>
      </c>
    </row>
    <row r="528" spans="1:33" ht="11.25" customHeight="1" x14ac:dyDescent="0.3">
      <c r="A528" s="4" t="s">
        <v>21</v>
      </c>
      <c r="B528" s="4" t="s">
        <v>32</v>
      </c>
      <c r="C528" s="4" t="s">
        <v>23</v>
      </c>
      <c r="D528" s="4" t="s">
        <v>49</v>
      </c>
      <c r="E528" s="4" t="s">
        <v>25</v>
      </c>
      <c r="F528" s="4" t="s">
        <v>25</v>
      </c>
      <c r="G528" s="4" t="s">
        <v>25</v>
      </c>
      <c r="H528" s="4" t="s">
        <v>25</v>
      </c>
      <c r="I528" s="5">
        <v>44621</v>
      </c>
      <c r="J528" s="6">
        <v>0</v>
      </c>
      <c r="K528" s="6">
        <v>0</v>
      </c>
      <c r="L528" s="6">
        <v>5.14</v>
      </c>
      <c r="M528" s="6">
        <v>5.14</v>
      </c>
      <c r="N528" s="6">
        <v>5.14</v>
      </c>
      <c r="O528" s="6">
        <v>5.14</v>
      </c>
      <c r="P528" s="6">
        <v>2</v>
      </c>
      <c r="Q528" s="4" t="s">
        <v>26</v>
      </c>
      <c r="R528" s="4">
        <v>0</v>
      </c>
      <c r="S528" s="6">
        <v>0</v>
      </c>
      <c r="T528" s="6">
        <v>77</v>
      </c>
      <c r="U528" s="6">
        <v>52</v>
      </c>
      <c r="V528" s="6">
        <f>IF(ISERROR(VLOOKUP($S$528,'TAR FIN'!$A$1:$O$92,15,0)),0,VLOOKUP($S$528,'TAR FIN'!$A$1:$O$92,15,0))</f>
        <v>0</v>
      </c>
      <c r="W528" s="104">
        <f>IF(ISERROR(VLOOKUP($T$497,'TAR FIN CELESC'!$A$1:$O$92,15,0)),0,VLOOKUP($T$497,'TAR FIN CELESC'!$A$1:$O$92,15,0))</f>
        <v>244.85</v>
      </c>
      <c r="X528" s="104">
        <f>IF(ISERROR(VLOOKUP($U$497,'TAR FIN CELESC'!$A$1:$O$92,15,0)),0,VLOOKUP($U$497,'TAR FIN CELESC'!$A$1:$O$92,15,0))</f>
        <v>287.39</v>
      </c>
      <c r="Y528" s="6"/>
      <c r="Z528" s="6">
        <f ca="1">('TUSD BE'!$AM$52+'TUSD BF_350'!$AM$52+'TUSD CVA'!$AM$52)*1</f>
        <v>310.49</v>
      </c>
      <c r="AA528" s="6">
        <f ca="1">('TE BE'!$AB$40+'TE BF_350'!$AB$40+'TE CVA'!$AB$40)*1</f>
        <v>262.52999999999997</v>
      </c>
      <c r="AB528" s="6">
        <f>$K$528*$V$528</f>
        <v>0</v>
      </c>
      <c r="AC528" s="6">
        <f>$M$528*$W$528</f>
        <v>1258.529</v>
      </c>
      <c r="AD528" s="6">
        <f>$O$528*$X$528</f>
        <v>1477.1845999999998</v>
      </c>
      <c r="AE528" s="6">
        <f>$K$528*$Y$528</f>
        <v>0</v>
      </c>
      <c r="AF528" s="6">
        <f ca="1">$M$528*$Z$528</f>
        <v>1595.9186</v>
      </c>
      <c r="AG528" s="6">
        <f ca="1">$O$528*$AA$528</f>
        <v>1349.4041999999997</v>
      </c>
    </row>
    <row r="529" spans="1:33" ht="11.25" customHeight="1" x14ac:dyDescent="0.3">
      <c r="A529" s="4" t="s">
        <v>21</v>
      </c>
      <c r="B529" s="4" t="s">
        <v>32</v>
      </c>
      <c r="C529" s="4" t="s">
        <v>23</v>
      </c>
      <c r="D529" s="4" t="s">
        <v>49</v>
      </c>
      <c r="E529" s="4" t="s">
        <v>25</v>
      </c>
      <c r="F529" s="4" t="s">
        <v>25</v>
      </c>
      <c r="G529" s="4" t="s">
        <v>25</v>
      </c>
      <c r="H529" s="4" t="s">
        <v>25</v>
      </c>
      <c r="I529" s="5">
        <v>44652</v>
      </c>
      <c r="J529" s="6">
        <v>0</v>
      </c>
      <c r="K529" s="6">
        <v>0</v>
      </c>
      <c r="L529" s="6">
        <v>4.57</v>
      </c>
      <c r="M529" s="6">
        <v>4.57</v>
      </c>
      <c r="N529" s="6">
        <v>4.57</v>
      </c>
      <c r="O529" s="6">
        <v>4.57</v>
      </c>
      <c r="P529" s="6">
        <v>2</v>
      </c>
      <c r="Q529" s="4" t="s">
        <v>26</v>
      </c>
      <c r="R529" s="4">
        <v>0</v>
      </c>
      <c r="S529" s="6">
        <v>0</v>
      </c>
      <c r="T529" s="6">
        <v>77</v>
      </c>
      <c r="U529" s="6">
        <v>52</v>
      </c>
      <c r="V529" s="6">
        <f>IF(ISERROR(VLOOKUP($S$529,'TAR FIN'!$A$1:$O$92,15,0)),0,VLOOKUP($S$529,'TAR FIN'!$A$1:$O$92,15,0))</f>
        <v>0</v>
      </c>
      <c r="W529" s="104">
        <f>IF(ISERROR(VLOOKUP($T$497,'TAR FIN CELESC'!$A$1:$O$92,15,0)),0,VLOOKUP($T$497,'TAR FIN CELESC'!$A$1:$O$92,15,0))</f>
        <v>244.85</v>
      </c>
      <c r="X529" s="104">
        <f>IF(ISERROR(VLOOKUP($U$497,'TAR FIN CELESC'!$A$1:$O$92,15,0)),0,VLOOKUP($U$497,'TAR FIN CELESC'!$A$1:$O$92,15,0))</f>
        <v>287.39</v>
      </c>
      <c r="Y529" s="6"/>
      <c r="Z529" s="6">
        <f ca="1">('TUSD BE'!$AM$52+'TUSD BF_350'!$AM$52+'TUSD CVA'!$AM$52)*1</f>
        <v>310.49</v>
      </c>
      <c r="AA529" s="6">
        <f ca="1">('TE BE'!$AB$40+'TE BF_350'!$AB$40+'TE CVA'!$AB$40)*1</f>
        <v>262.52999999999997</v>
      </c>
      <c r="AB529" s="6">
        <f>$K$529*$V$529</f>
        <v>0</v>
      </c>
      <c r="AC529" s="6">
        <f>$M$529*$W$529</f>
        <v>1118.9645</v>
      </c>
      <c r="AD529" s="6">
        <f>$O$529*$X$529</f>
        <v>1313.3723</v>
      </c>
      <c r="AE529" s="6">
        <f>$K$529*$Y$529</f>
        <v>0</v>
      </c>
      <c r="AF529" s="6">
        <f ca="1">$M$529*$Z$529</f>
        <v>1418.9393000000002</v>
      </c>
      <c r="AG529" s="6">
        <f ca="1">$O$529*$AA$529</f>
        <v>1199.7620999999999</v>
      </c>
    </row>
    <row r="530" spans="1:33" ht="11.25" customHeight="1" x14ac:dyDescent="0.3">
      <c r="A530" s="4" t="s">
        <v>21</v>
      </c>
      <c r="B530" s="4" t="s">
        <v>32</v>
      </c>
      <c r="C530" s="4" t="s">
        <v>23</v>
      </c>
      <c r="D530" s="4" t="s">
        <v>49</v>
      </c>
      <c r="E530" s="4" t="s">
        <v>25</v>
      </c>
      <c r="F530" s="4" t="s">
        <v>25</v>
      </c>
      <c r="G530" s="4" t="s">
        <v>25</v>
      </c>
      <c r="H530" s="4" t="s">
        <v>25</v>
      </c>
      <c r="I530" s="5">
        <v>44682</v>
      </c>
      <c r="J530" s="6">
        <v>0</v>
      </c>
      <c r="K530" s="6">
        <v>0</v>
      </c>
      <c r="L530" s="6">
        <v>2.68</v>
      </c>
      <c r="M530" s="6">
        <v>2.68</v>
      </c>
      <c r="N530" s="6">
        <v>2.68</v>
      </c>
      <c r="O530" s="6">
        <v>2.68</v>
      </c>
      <c r="P530" s="6">
        <v>2</v>
      </c>
      <c r="Q530" s="4" t="s">
        <v>26</v>
      </c>
      <c r="R530" s="4">
        <v>0</v>
      </c>
      <c r="S530" s="6">
        <v>0</v>
      </c>
      <c r="T530" s="6">
        <v>77</v>
      </c>
      <c r="U530" s="6">
        <v>52</v>
      </c>
      <c r="V530" s="6">
        <f>IF(ISERROR(VLOOKUP($S$530,'TAR FIN'!$A$1:$O$92,15,0)),0,VLOOKUP($S$530,'TAR FIN'!$A$1:$O$92,15,0))</f>
        <v>0</v>
      </c>
      <c r="W530" s="104">
        <f>IF(ISERROR(VLOOKUP($T$497,'TAR FIN CELESC'!$A$1:$O$92,15,0)),0,VLOOKUP($T$497,'TAR FIN CELESC'!$A$1:$O$92,15,0))</f>
        <v>244.85</v>
      </c>
      <c r="X530" s="104">
        <f>IF(ISERROR(VLOOKUP($U$497,'TAR FIN CELESC'!$A$1:$O$92,15,0)),0,VLOOKUP($U$497,'TAR FIN CELESC'!$A$1:$O$92,15,0))</f>
        <v>287.39</v>
      </c>
      <c r="Y530" s="6"/>
      <c r="Z530" s="6">
        <f ca="1">('TUSD BE'!$AM$52+'TUSD BF_350'!$AM$52+'TUSD CVA'!$AM$52)*1</f>
        <v>310.49</v>
      </c>
      <c r="AA530" s="6">
        <f ca="1">('TE BE'!$AB$40+'TE BF_350'!$AB$40+'TE CVA'!$AB$40)*1</f>
        <v>262.52999999999997</v>
      </c>
      <c r="AB530" s="6">
        <f>$K$530*$V$530</f>
        <v>0</v>
      </c>
      <c r="AC530" s="6">
        <f>$M$530*$W$530</f>
        <v>656.19799999999998</v>
      </c>
      <c r="AD530" s="6">
        <f>$O$530*$X$530</f>
        <v>770.20519999999999</v>
      </c>
      <c r="AE530" s="6">
        <f>$K$530*$Y$530</f>
        <v>0</v>
      </c>
      <c r="AF530" s="6">
        <f ca="1">$M$530*$Z$530</f>
        <v>832.11320000000012</v>
      </c>
      <c r="AG530" s="6">
        <f ca="1">$O$530*$AA$530</f>
        <v>703.58039999999994</v>
      </c>
    </row>
    <row r="531" spans="1:33" ht="11.25" customHeight="1" x14ac:dyDescent="0.3">
      <c r="A531" s="4" t="s">
        <v>21</v>
      </c>
      <c r="B531" s="4" t="s">
        <v>32</v>
      </c>
      <c r="C531" s="4" t="s">
        <v>23</v>
      </c>
      <c r="D531" s="4" t="s">
        <v>49</v>
      </c>
      <c r="E531" s="4" t="s">
        <v>25</v>
      </c>
      <c r="F531" s="4" t="s">
        <v>25</v>
      </c>
      <c r="G531" s="4" t="s">
        <v>25</v>
      </c>
      <c r="H531" s="4" t="s">
        <v>25</v>
      </c>
      <c r="I531" s="5">
        <v>44713</v>
      </c>
      <c r="J531" s="6">
        <v>0</v>
      </c>
      <c r="K531" s="6">
        <v>0</v>
      </c>
      <c r="L531" s="6">
        <v>2.68</v>
      </c>
      <c r="M531" s="6">
        <v>2.68</v>
      </c>
      <c r="N531" s="6">
        <v>2.68</v>
      </c>
      <c r="O531" s="6">
        <v>2.68</v>
      </c>
      <c r="P531" s="6">
        <v>2</v>
      </c>
      <c r="Q531" s="4" t="s">
        <v>26</v>
      </c>
      <c r="R531" s="4">
        <v>0</v>
      </c>
      <c r="S531" s="6">
        <v>0</v>
      </c>
      <c r="T531" s="6">
        <v>77</v>
      </c>
      <c r="U531" s="6">
        <v>52</v>
      </c>
      <c r="V531" s="6">
        <f>IF(ISERROR(VLOOKUP($S$531,'TAR FIN'!$A$1:$O$92,15,0)),0,VLOOKUP($S$531,'TAR FIN'!$A$1:$O$92,15,0))</f>
        <v>0</v>
      </c>
      <c r="W531" s="104">
        <f>IF(ISERROR(VLOOKUP($T$497,'TAR FIN CELESC'!$A$1:$O$92,15,0)),0,VLOOKUP($T$497,'TAR FIN CELESC'!$A$1:$O$92,15,0))</f>
        <v>244.85</v>
      </c>
      <c r="X531" s="104">
        <f>IF(ISERROR(VLOOKUP($U$497,'TAR FIN CELESC'!$A$1:$O$92,15,0)),0,VLOOKUP($U$497,'TAR FIN CELESC'!$A$1:$O$92,15,0))</f>
        <v>287.39</v>
      </c>
      <c r="Y531" s="6"/>
      <c r="Z531" s="6">
        <f ca="1">('TUSD BE'!$AM$52+'TUSD BF_350'!$AM$52+'TUSD CVA'!$AM$52)*1</f>
        <v>310.49</v>
      </c>
      <c r="AA531" s="6">
        <f ca="1">('TE BE'!$AB$40+'TE BF_350'!$AB$40+'TE CVA'!$AB$40)*1</f>
        <v>262.52999999999997</v>
      </c>
      <c r="AB531" s="6">
        <f>$K$531*$V$531</f>
        <v>0</v>
      </c>
      <c r="AC531" s="6">
        <f>$M$531*$W$531</f>
        <v>656.19799999999998</v>
      </c>
      <c r="AD531" s="6">
        <f>$O$531*$X$531</f>
        <v>770.20519999999999</v>
      </c>
      <c r="AE531" s="6">
        <f>$K$531*$Y$531</f>
        <v>0</v>
      </c>
      <c r="AF531" s="6">
        <f ca="1">$M$531*$Z$531</f>
        <v>832.11320000000012</v>
      </c>
      <c r="AG531" s="6">
        <f ca="1">$O$531*$AA$531</f>
        <v>703.58039999999994</v>
      </c>
    </row>
    <row r="532" spans="1:33" ht="11.25" customHeight="1" x14ac:dyDescent="0.3">
      <c r="A532" s="4" t="s">
        <v>21</v>
      </c>
      <c r="B532" s="4" t="s">
        <v>32</v>
      </c>
      <c r="C532" s="4" t="s">
        <v>23</v>
      </c>
      <c r="D532" s="4" t="s">
        <v>49</v>
      </c>
      <c r="E532" s="4" t="s">
        <v>25</v>
      </c>
      <c r="F532" s="4" t="s">
        <v>25</v>
      </c>
      <c r="G532" s="4" t="s">
        <v>25</v>
      </c>
      <c r="H532" s="4" t="s">
        <v>25</v>
      </c>
      <c r="I532" s="5">
        <v>44743</v>
      </c>
      <c r="J532" s="6">
        <v>0</v>
      </c>
      <c r="K532" s="6">
        <v>0</v>
      </c>
      <c r="L532" s="6">
        <v>2.38</v>
      </c>
      <c r="M532" s="6">
        <v>2.38</v>
      </c>
      <c r="N532" s="6">
        <v>2.38</v>
      </c>
      <c r="O532" s="6">
        <v>2.38</v>
      </c>
      <c r="P532" s="6">
        <v>2</v>
      </c>
      <c r="Q532" s="4" t="s">
        <v>26</v>
      </c>
      <c r="R532" s="4">
        <v>0</v>
      </c>
      <c r="S532" s="6">
        <v>0</v>
      </c>
      <c r="T532" s="6">
        <v>77</v>
      </c>
      <c r="U532" s="6">
        <v>52</v>
      </c>
      <c r="V532" s="6">
        <f>IF(ISERROR(VLOOKUP($S$532,'TAR FIN'!$A$1:$O$92,15,0)),0,VLOOKUP($S$532,'TAR FIN'!$A$1:$O$92,15,0))</f>
        <v>0</v>
      </c>
      <c r="W532" s="104">
        <f>IF(ISERROR(VLOOKUP($T$497,'TAR FIN CELESC'!$A$1:$O$92,15,0)),0,VLOOKUP($T$497,'TAR FIN CELESC'!$A$1:$O$92,15,0))</f>
        <v>244.85</v>
      </c>
      <c r="X532" s="104">
        <f>IF(ISERROR(VLOOKUP($U$497,'TAR FIN CELESC'!$A$1:$O$92,15,0)),0,VLOOKUP($U$497,'TAR FIN CELESC'!$A$1:$O$92,15,0))</f>
        <v>287.39</v>
      </c>
      <c r="Y532" s="6"/>
      <c r="Z532" s="6">
        <f ca="1">('TUSD BE'!$AM$52+'TUSD BF_350'!$AM$52+'TUSD CVA'!$AM$52)*1</f>
        <v>310.49</v>
      </c>
      <c r="AA532" s="6">
        <f ca="1">('TE BE'!$AB$40+'TE BF_350'!$AB$40+'TE CVA'!$AB$40)*1</f>
        <v>262.52999999999997</v>
      </c>
      <c r="AB532" s="6">
        <f>$K$532*$V$532</f>
        <v>0</v>
      </c>
      <c r="AC532" s="6">
        <f>$M$532*$W$532</f>
        <v>582.74299999999994</v>
      </c>
      <c r="AD532" s="6">
        <f>$O$532*$X$532</f>
        <v>683.98819999999989</v>
      </c>
      <c r="AE532" s="6">
        <f>$K$532*$Y$532</f>
        <v>0</v>
      </c>
      <c r="AF532" s="6">
        <f ca="1">$M$532*$Z$532</f>
        <v>738.96619999999996</v>
      </c>
      <c r="AG532" s="6">
        <f ca="1">$O$532*$AA$532</f>
        <v>624.82139999999993</v>
      </c>
    </row>
    <row r="533" spans="1:33" ht="11.25" customHeight="1" x14ac:dyDescent="0.3">
      <c r="A533" s="4" t="s">
        <v>21</v>
      </c>
      <c r="B533" s="4" t="s">
        <v>32</v>
      </c>
      <c r="C533" s="4" t="s">
        <v>23</v>
      </c>
      <c r="D533" s="4" t="s">
        <v>33</v>
      </c>
      <c r="E533" s="4" t="s">
        <v>25</v>
      </c>
      <c r="F533" s="4" t="s">
        <v>25</v>
      </c>
      <c r="G533" s="4" t="s">
        <v>25</v>
      </c>
      <c r="H533" s="4" t="s">
        <v>25</v>
      </c>
      <c r="I533" s="5">
        <v>44409</v>
      </c>
      <c r="J533" s="6">
        <v>0</v>
      </c>
      <c r="K533" s="6">
        <v>0</v>
      </c>
      <c r="L533" s="6">
        <v>98.552999999999997</v>
      </c>
      <c r="M533" s="6">
        <v>98.552999999999997</v>
      </c>
      <c r="N533" s="6">
        <v>98.552999999999997</v>
      </c>
      <c r="O533" s="6">
        <v>98.552999999999997</v>
      </c>
      <c r="P533" s="6">
        <v>89</v>
      </c>
      <c r="Q533" s="4" t="s">
        <v>26</v>
      </c>
      <c r="R533" s="4">
        <v>0</v>
      </c>
      <c r="S533" s="6">
        <v>0</v>
      </c>
      <c r="T533" s="6">
        <v>77</v>
      </c>
      <c r="U533" s="6">
        <v>52</v>
      </c>
      <c r="V533" s="6">
        <f>IF(ISERROR(VLOOKUP($S$533,'TAR FIN'!$A$1:$O$92,15,0)),0,VLOOKUP($S$533,'TAR FIN'!$A$1:$O$92,15,0))</f>
        <v>0</v>
      </c>
      <c r="W533" s="104">
        <f>IF(ISERROR(VLOOKUP($T$497,'TAR FIN CELESC'!$A$1:$O$92,15,0)),0,VLOOKUP($T$497,'TAR FIN CELESC'!$A$1:$O$92,15,0))</f>
        <v>244.85</v>
      </c>
      <c r="X533" s="104">
        <f>IF(ISERROR(VLOOKUP($U$497,'TAR FIN CELESC'!$A$1:$O$92,15,0)),0,VLOOKUP($U$497,'TAR FIN CELESC'!$A$1:$O$92,15,0))</f>
        <v>287.39</v>
      </c>
      <c r="Y533" s="6"/>
      <c r="Z533" s="6">
        <f ca="1">('TUSD BE'!$AM$52+'TUSD BF_350'!$AM$52+'TUSD CVA'!$AM$52)*1</f>
        <v>310.49</v>
      </c>
      <c r="AA533" s="6">
        <f ca="1">('TE BE'!$AB$40+'TE BF_350'!$AB$40+'TE CVA'!$AB$40)*1</f>
        <v>262.52999999999997</v>
      </c>
      <c r="AB533" s="6">
        <f>$K$533*$V$533</f>
        <v>0</v>
      </c>
      <c r="AC533" s="6">
        <f>$M$533*$W$533</f>
        <v>24130.70205</v>
      </c>
      <c r="AD533" s="6">
        <f>$O$533*$X$533</f>
        <v>28323.146669999998</v>
      </c>
      <c r="AE533" s="6">
        <f>$K$533*$Y$533</f>
        <v>0</v>
      </c>
      <c r="AF533" s="6">
        <f ca="1">$M$533*$Z$533</f>
        <v>30599.720969999998</v>
      </c>
      <c r="AG533" s="6">
        <f ca="1">$O$533*$AA$533</f>
        <v>25873.119089999997</v>
      </c>
    </row>
    <row r="534" spans="1:33" ht="11.25" customHeight="1" x14ac:dyDescent="0.3">
      <c r="A534" s="4" t="s">
        <v>27</v>
      </c>
      <c r="B534" s="4" t="s">
        <v>32</v>
      </c>
      <c r="C534" s="4" t="s">
        <v>23</v>
      </c>
      <c r="D534" s="4" t="s">
        <v>33</v>
      </c>
      <c r="E534" s="4" t="s">
        <v>25</v>
      </c>
      <c r="F534" s="4" t="s">
        <v>25</v>
      </c>
      <c r="G534" s="4" t="s">
        <v>25</v>
      </c>
      <c r="H534" s="4" t="s">
        <v>25</v>
      </c>
      <c r="I534" s="5">
        <v>44409</v>
      </c>
      <c r="J534" s="6">
        <v>0</v>
      </c>
      <c r="K534" s="6">
        <v>0</v>
      </c>
      <c r="L534" s="6">
        <v>0.45500000000000002</v>
      </c>
      <c r="M534" s="6">
        <v>0.45500000000000002</v>
      </c>
      <c r="N534" s="6">
        <v>0.45500000000000002</v>
      </c>
      <c r="O534" s="6">
        <v>0.45500000000000002</v>
      </c>
      <c r="P534" s="6">
        <v>3</v>
      </c>
      <c r="Q534" s="4" t="s">
        <v>26</v>
      </c>
      <c r="R534" s="4">
        <v>0</v>
      </c>
      <c r="S534" s="6">
        <v>0</v>
      </c>
      <c r="T534" s="6">
        <v>77</v>
      </c>
      <c r="U534" s="6">
        <v>52</v>
      </c>
      <c r="V534" s="6">
        <f>IF(ISERROR(VLOOKUP($S$534,'TAR FIN'!$A$1:$O$92,15,0)),0,VLOOKUP($S$534,'TAR FIN'!$A$1:$O$92,15,0))</f>
        <v>0</v>
      </c>
      <c r="W534" s="104">
        <f>IF(ISERROR(VLOOKUP($T$497,'TAR FIN CELESC'!$A$1:$O$92,15,0)),0,VLOOKUP($T$497,'TAR FIN CELESC'!$A$1:$O$92,15,0))</f>
        <v>244.85</v>
      </c>
      <c r="X534" s="104">
        <f>IF(ISERROR(VLOOKUP($U$497,'TAR FIN CELESC'!$A$1:$O$92,15,0)),0,VLOOKUP($U$497,'TAR FIN CELESC'!$A$1:$O$92,15,0))</f>
        <v>287.39</v>
      </c>
      <c r="Y534" s="6"/>
      <c r="Z534" s="6">
        <f ca="1">('TUSD BE'!$AM$52+'TUSD BF_350'!$AM$52+'TUSD CVA'!$AM$52)*1</f>
        <v>310.49</v>
      </c>
      <c r="AA534" s="6">
        <f ca="1">('TE BE'!$AB$40+'TE BF_350'!$AB$40+'TE CVA'!$AB$40)*1</f>
        <v>262.52999999999997</v>
      </c>
      <c r="AB534" s="6">
        <f>$K$534*$V$534</f>
        <v>0</v>
      </c>
      <c r="AC534" s="6">
        <f>$M$534*$W$534</f>
        <v>111.40675</v>
      </c>
      <c r="AD534" s="6">
        <f>$O$534*$X$534</f>
        <v>130.76245</v>
      </c>
      <c r="AE534" s="6">
        <f>$K$534*$Y$534</f>
        <v>0</v>
      </c>
      <c r="AF534" s="6">
        <f ca="1">$M$534*$Z$534</f>
        <v>141.27295000000001</v>
      </c>
      <c r="AG534" s="6">
        <f ca="1">$O$534*$AA$534</f>
        <v>119.45115</v>
      </c>
    </row>
    <row r="535" spans="1:33" ht="11.25" customHeight="1" x14ac:dyDescent="0.3">
      <c r="A535" s="4" t="s">
        <v>21</v>
      </c>
      <c r="B535" s="4" t="s">
        <v>32</v>
      </c>
      <c r="C535" s="4" t="s">
        <v>23</v>
      </c>
      <c r="D535" s="4" t="s">
        <v>33</v>
      </c>
      <c r="E535" s="4" t="s">
        <v>25</v>
      </c>
      <c r="F535" s="4" t="s">
        <v>25</v>
      </c>
      <c r="G535" s="4" t="s">
        <v>25</v>
      </c>
      <c r="H535" s="4" t="s">
        <v>25</v>
      </c>
      <c r="I535" s="5">
        <v>44440</v>
      </c>
      <c r="J535" s="6">
        <v>0</v>
      </c>
      <c r="K535" s="6">
        <v>0</v>
      </c>
      <c r="L535" s="6">
        <v>105.804</v>
      </c>
      <c r="M535" s="6">
        <v>105.804</v>
      </c>
      <c r="N535" s="6">
        <v>105.804</v>
      </c>
      <c r="O535" s="6">
        <v>105.804</v>
      </c>
      <c r="P535" s="6">
        <v>88</v>
      </c>
      <c r="Q535" s="4" t="s">
        <v>26</v>
      </c>
      <c r="R535" s="4">
        <v>0</v>
      </c>
      <c r="S535" s="6">
        <v>0</v>
      </c>
      <c r="T535" s="6">
        <v>77</v>
      </c>
      <c r="U535" s="6">
        <v>52</v>
      </c>
      <c r="V535" s="6">
        <f>IF(ISERROR(VLOOKUP($S$535,'TAR FIN'!$A$1:$O$92,15,0)),0,VLOOKUP($S$535,'TAR FIN'!$A$1:$O$92,15,0))</f>
        <v>0</v>
      </c>
      <c r="W535" s="104">
        <f>IF(ISERROR(VLOOKUP($T$497,'TAR FIN CELESC'!$A$1:$O$92,15,0)),0,VLOOKUP($T$497,'TAR FIN CELESC'!$A$1:$O$92,15,0))</f>
        <v>244.85</v>
      </c>
      <c r="X535" s="104">
        <f>IF(ISERROR(VLOOKUP($U$497,'TAR FIN CELESC'!$A$1:$O$92,15,0)),0,VLOOKUP($U$497,'TAR FIN CELESC'!$A$1:$O$92,15,0))</f>
        <v>287.39</v>
      </c>
      <c r="Y535" s="6"/>
      <c r="Z535" s="6">
        <f ca="1">('TUSD BE'!$AM$52+'TUSD BF_350'!$AM$52+'TUSD CVA'!$AM$52)*1</f>
        <v>310.49</v>
      </c>
      <c r="AA535" s="6">
        <f ca="1">('TE BE'!$AB$40+'TE BF_350'!$AB$40+'TE CVA'!$AB$40)*1</f>
        <v>262.52999999999997</v>
      </c>
      <c r="AB535" s="6">
        <f>$K$535*$V$535</f>
        <v>0</v>
      </c>
      <c r="AC535" s="6">
        <f>$M$535*$W$535</f>
        <v>25906.109400000001</v>
      </c>
      <c r="AD535" s="6">
        <f>$O$535*$X$535</f>
        <v>30407.011559999999</v>
      </c>
      <c r="AE535" s="6">
        <f>$K$535*$Y$535</f>
        <v>0</v>
      </c>
      <c r="AF535" s="6">
        <f ca="1">$M$535*$Z$535</f>
        <v>32851.083960000004</v>
      </c>
      <c r="AG535" s="6">
        <f ca="1">$O$535*$AA$535</f>
        <v>27776.724119999999</v>
      </c>
    </row>
    <row r="536" spans="1:33" ht="11.25" customHeight="1" x14ac:dyDescent="0.3">
      <c r="A536" s="4" t="s">
        <v>27</v>
      </c>
      <c r="B536" s="4" t="s">
        <v>32</v>
      </c>
      <c r="C536" s="4" t="s">
        <v>23</v>
      </c>
      <c r="D536" s="4" t="s">
        <v>33</v>
      </c>
      <c r="E536" s="4" t="s">
        <v>25</v>
      </c>
      <c r="F536" s="4" t="s">
        <v>25</v>
      </c>
      <c r="G536" s="4" t="s">
        <v>25</v>
      </c>
      <c r="H536" s="4" t="s">
        <v>25</v>
      </c>
      <c r="I536" s="5">
        <v>44440</v>
      </c>
      <c r="J536" s="6">
        <v>0</v>
      </c>
      <c r="K536" s="6">
        <v>0</v>
      </c>
      <c r="L536" s="6">
        <v>0.97899999999999998</v>
      </c>
      <c r="M536" s="6">
        <v>0.97899999999999998</v>
      </c>
      <c r="N536" s="6">
        <v>0.97899999999999998</v>
      </c>
      <c r="O536" s="6">
        <v>0.97899999999999998</v>
      </c>
      <c r="P536" s="6">
        <v>3</v>
      </c>
      <c r="Q536" s="4" t="s">
        <v>26</v>
      </c>
      <c r="R536" s="4">
        <v>0</v>
      </c>
      <c r="S536" s="6">
        <v>0</v>
      </c>
      <c r="T536" s="6">
        <v>77</v>
      </c>
      <c r="U536" s="6">
        <v>52</v>
      </c>
      <c r="V536" s="6">
        <f>IF(ISERROR(VLOOKUP($S$536,'TAR FIN'!$A$1:$O$92,15,0)),0,VLOOKUP($S$536,'TAR FIN'!$A$1:$O$92,15,0))</f>
        <v>0</v>
      </c>
      <c r="W536" s="104">
        <f>IF(ISERROR(VLOOKUP($T$497,'TAR FIN CELESC'!$A$1:$O$92,15,0)),0,VLOOKUP($T$497,'TAR FIN CELESC'!$A$1:$O$92,15,0))</f>
        <v>244.85</v>
      </c>
      <c r="X536" s="104">
        <f>IF(ISERROR(VLOOKUP($U$497,'TAR FIN CELESC'!$A$1:$O$92,15,0)),0,VLOOKUP($U$497,'TAR FIN CELESC'!$A$1:$O$92,15,0))</f>
        <v>287.39</v>
      </c>
      <c r="Y536" s="6"/>
      <c r="Z536" s="6">
        <f ca="1">('TUSD BE'!$AM$52+'TUSD BF_350'!$AM$52+'TUSD CVA'!$AM$52)*1</f>
        <v>310.49</v>
      </c>
      <c r="AA536" s="6">
        <f ca="1">('TE BE'!$AB$40+'TE BF_350'!$AB$40+'TE CVA'!$AB$40)*1</f>
        <v>262.52999999999997</v>
      </c>
      <c r="AB536" s="6">
        <f>$K$536*$V$536</f>
        <v>0</v>
      </c>
      <c r="AC536" s="6">
        <f>$M$536*$W$536</f>
        <v>239.70814999999999</v>
      </c>
      <c r="AD536" s="6">
        <f>$O$536*$X$536</f>
        <v>281.35480999999999</v>
      </c>
      <c r="AE536" s="6">
        <f>$K$536*$Y$536</f>
        <v>0</v>
      </c>
      <c r="AF536" s="6">
        <f ca="1">$M$536*$Z$536</f>
        <v>303.96971000000002</v>
      </c>
      <c r="AG536" s="6">
        <f ca="1">$O$536*$AA$536</f>
        <v>257.01686999999998</v>
      </c>
    </row>
    <row r="537" spans="1:33" ht="11.25" customHeight="1" x14ac:dyDescent="0.3">
      <c r="A537" s="4" t="s">
        <v>21</v>
      </c>
      <c r="B537" s="4" t="s">
        <v>32</v>
      </c>
      <c r="C537" s="4" t="s">
        <v>23</v>
      </c>
      <c r="D537" s="4" t="s">
        <v>33</v>
      </c>
      <c r="E537" s="4" t="s">
        <v>25</v>
      </c>
      <c r="F537" s="4" t="s">
        <v>25</v>
      </c>
      <c r="G537" s="4" t="s">
        <v>25</v>
      </c>
      <c r="H537" s="4" t="s">
        <v>25</v>
      </c>
      <c r="I537" s="5">
        <v>44470</v>
      </c>
      <c r="J537" s="6">
        <v>0</v>
      </c>
      <c r="K537" s="6">
        <v>0</v>
      </c>
      <c r="L537" s="6">
        <v>97.123999999999995</v>
      </c>
      <c r="M537" s="6">
        <v>97.123999999999995</v>
      </c>
      <c r="N537" s="6">
        <v>97.123999999999995</v>
      </c>
      <c r="O537" s="6">
        <v>97.123999999999995</v>
      </c>
      <c r="P537" s="6">
        <v>87</v>
      </c>
      <c r="Q537" s="4" t="s">
        <v>26</v>
      </c>
      <c r="R537" s="4">
        <v>0</v>
      </c>
      <c r="S537" s="6">
        <v>0</v>
      </c>
      <c r="T537" s="6">
        <v>77</v>
      </c>
      <c r="U537" s="6">
        <v>52</v>
      </c>
      <c r="V537" s="6">
        <f>IF(ISERROR(VLOOKUP($S$537,'TAR FIN'!$A$1:$O$92,15,0)),0,VLOOKUP($S$537,'TAR FIN'!$A$1:$O$92,15,0))</f>
        <v>0</v>
      </c>
      <c r="W537" s="104">
        <f>IF(ISERROR(VLOOKUP($T$497,'TAR FIN CELESC'!$A$1:$O$92,15,0)),0,VLOOKUP($T$497,'TAR FIN CELESC'!$A$1:$O$92,15,0))</f>
        <v>244.85</v>
      </c>
      <c r="X537" s="104">
        <f>IF(ISERROR(VLOOKUP($U$497,'TAR FIN CELESC'!$A$1:$O$92,15,0)),0,VLOOKUP($U$497,'TAR FIN CELESC'!$A$1:$O$92,15,0))</f>
        <v>287.39</v>
      </c>
      <c r="Y537" s="6"/>
      <c r="Z537" s="6">
        <f ca="1">('TUSD BE'!$AM$52+'TUSD BF_350'!$AM$52+'TUSD CVA'!$AM$52)*1</f>
        <v>310.49</v>
      </c>
      <c r="AA537" s="6">
        <f ca="1">('TE BE'!$AB$40+'TE BF_350'!$AB$40+'TE CVA'!$AB$40)*1</f>
        <v>262.52999999999997</v>
      </c>
      <c r="AB537" s="6">
        <f>$K$537*$V$537</f>
        <v>0</v>
      </c>
      <c r="AC537" s="6">
        <f>$M$537*$W$537</f>
        <v>23780.811399999999</v>
      </c>
      <c r="AD537" s="6">
        <f>$O$537*$X$537</f>
        <v>27912.466359999999</v>
      </c>
      <c r="AE537" s="6">
        <f>$K$537*$Y$537</f>
        <v>0</v>
      </c>
      <c r="AF537" s="6">
        <f ca="1">$M$537*$Z$537</f>
        <v>30156.030759999998</v>
      </c>
      <c r="AG537" s="6">
        <f ca="1">$O$537*$AA$537</f>
        <v>25497.963719999996</v>
      </c>
    </row>
    <row r="538" spans="1:33" ht="11.25" customHeight="1" x14ac:dyDescent="0.3">
      <c r="A538" s="4" t="s">
        <v>27</v>
      </c>
      <c r="B538" s="4" t="s">
        <v>32</v>
      </c>
      <c r="C538" s="4" t="s">
        <v>23</v>
      </c>
      <c r="D538" s="4" t="s">
        <v>33</v>
      </c>
      <c r="E538" s="4" t="s">
        <v>25</v>
      </c>
      <c r="F538" s="4" t="s">
        <v>25</v>
      </c>
      <c r="G538" s="4" t="s">
        <v>25</v>
      </c>
      <c r="H538" s="4" t="s">
        <v>25</v>
      </c>
      <c r="I538" s="5">
        <v>44470</v>
      </c>
      <c r="J538" s="6">
        <v>0</v>
      </c>
      <c r="K538" s="6">
        <v>0</v>
      </c>
      <c r="L538" s="6">
        <v>2.5230000000000001</v>
      </c>
      <c r="M538" s="6">
        <v>2.5230000000000001</v>
      </c>
      <c r="N538" s="6">
        <v>2.5230000000000001</v>
      </c>
      <c r="O538" s="6">
        <v>2.5230000000000001</v>
      </c>
      <c r="P538" s="6">
        <v>4</v>
      </c>
      <c r="Q538" s="4" t="s">
        <v>26</v>
      </c>
      <c r="R538" s="4">
        <v>0</v>
      </c>
      <c r="S538" s="6">
        <v>0</v>
      </c>
      <c r="T538" s="6">
        <v>77</v>
      </c>
      <c r="U538" s="6">
        <v>52</v>
      </c>
      <c r="V538" s="6">
        <f>IF(ISERROR(VLOOKUP($S$538,'TAR FIN'!$A$1:$O$92,15,0)),0,VLOOKUP($S$538,'TAR FIN'!$A$1:$O$92,15,0))</f>
        <v>0</v>
      </c>
      <c r="W538" s="104">
        <f>IF(ISERROR(VLOOKUP($T$497,'TAR FIN CELESC'!$A$1:$O$92,15,0)),0,VLOOKUP($T$497,'TAR FIN CELESC'!$A$1:$O$92,15,0))</f>
        <v>244.85</v>
      </c>
      <c r="X538" s="104">
        <f>IF(ISERROR(VLOOKUP($U$497,'TAR FIN CELESC'!$A$1:$O$92,15,0)),0,VLOOKUP($U$497,'TAR FIN CELESC'!$A$1:$O$92,15,0))</f>
        <v>287.39</v>
      </c>
      <c r="Y538" s="6"/>
      <c r="Z538" s="6">
        <f ca="1">('TUSD BE'!$AM$52+'TUSD BF_350'!$AM$52+'TUSD CVA'!$AM$52)*1</f>
        <v>310.49</v>
      </c>
      <c r="AA538" s="6">
        <f ca="1">('TE BE'!$AB$40+'TE BF_350'!$AB$40+'TE CVA'!$AB$40)*1</f>
        <v>262.52999999999997</v>
      </c>
      <c r="AB538" s="6">
        <f>$K$538*$V$538</f>
        <v>0</v>
      </c>
      <c r="AC538" s="6">
        <f>$M$538*$W$538</f>
        <v>617.75655000000006</v>
      </c>
      <c r="AD538" s="6">
        <f>$O$538*$X$538</f>
        <v>725.08497</v>
      </c>
      <c r="AE538" s="6">
        <f>$K$538*$Y$538</f>
        <v>0</v>
      </c>
      <c r="AF538" s="6">
        <f ca="1">$M$538*$Z$538</f>
        <v>783.3662700000001</v>
      </c>
      <c r="AG538" s="6">
        <f ca="1">$O$538*$AA$538</f>
        <v>662.36318999999992</v>
      </c>
    </row>
    <row r="539" spans="1:33" ht="11.25" customHeight="1" x14ac:dyDescent="0.3">
      <c r="A539" s="4" t="s">
        <v>21</v>
      </c>
      <c r="B539" s="4" t="s">
        <v>32</v>
      </c>
      <c r="C539" s="4" t="s">
        <v>23</v>
      </c>
      <c r="D539" s="4" t="s">
        <v>33</v>
      </c>
      <c r="E539" s="4" t="s">
        <v>25</v>
      </c>
      <c r="F539" s="4" t="s">
        <v>25</v>
      </c>
      <c r="G539" s="4" t="s">
        <v>25</v>
      </c>
      <c r="H539" s="4" t="s">
        <v>25</v>
      </c>
      <c r="I539" s="5">
        <v>44501</v>
      </c>
      <c r="J539" s="6">
        <v>0</v>
      </c>
      <c r="K539" s="6">
        <v>0</v>
      </c>
      <c r="L539" s="6">
        <v>97.576999999999998</v>
      </c>
      <c r="M539" s="6">
        <v>97.576999999999998</v>
      </c>
      <c r="N539" s="6">
        <v>97.576999999999998</v>
      </c>
      <c r="O539" s="6">
        <v>97.576999999999998</v>
      </c>
      <c r="P539" s="6">
        <v>88</v>
      </c>
      <c r="Q539" s="4" t="s">
        <v>26</v>
      </c>
      <c r="R539" s="4">
        <v>0</v>
      </c>
      <c r="S539" s="6">
        <v>0</v>
      </c>
      <c r="T539" s="6">
        <v>77</v>
      </c>
      <c r="U539" s="6">
        <v>52</v>
      </c>
      <c r="V539" s="6">
        <f>IF(ISERROR(VLOOKUP($S$539,'TAR FIN'!$A$1:$O$92,15,0)),0,VLOOKUP($S$539,'TAR FIN'!$A$1:$O$92,15,0))</f>
        <v>0</v>
      </c>
      <c r="W539" s="104">
        <f>IF(ISERROR(VLOOKUP($T$497,'TAR FIN CELESC'!$A$1:$O$92,15,0)),0,VLOOKUP($T$497,'TAR FIN CELESC'!$A$1:$O$92,15,0))</f>
        <v>244.85</v>
      </c>
      <c r="X539" s="104">
        <f>IF(ISERROR(VLOOKUP($U$497,'TAR FIN CELESC'!$A$1:$O$92,15,0)),0,VLOOKUP($U$497,'TAR FIN CELESC'!$A$1:$O$92,15,0))</f>
        <v>287.39</v>
      </c>
      <c r="Y539" s="6"/>
      <c r="Z539" s="6">
        <f ca="1">('TUSD BE'!$AM$52+'TUSD BF_350'!$AM$52+'TUSD CVA'!$AM$52)*1</f>
        <v>310.49</v>
      </c>
      <c r="AA539" s="6">
        <f ca="1">('TE BE'!$AB$40+'TE BF_350'!$AB$40+'TE CVA'!$AB$40)*1</f>
        <v>262.52999999999997</v>
      </c>
      <c r="AB539" s="6">
        <f>$K$539*$V$539</f>
        <v>0</v>
      </c>
      <c r="AC539" s="6">
        <f>$M$539*$W$539</f>
        <v>23891.728449999999</v>
      </c>
      <c r="AD539" s="6">
        <f>$O$539*$X$539</f>
        <v>28042.654029999998</v>
      </c>
      <c r="AE539" s="6">
        <f>$K$539*$Y$539</f>
        <v>0</v>
      </c>
      <c r="AF539" s="6">
        <f ca="1">$M$539*$Z$539</f>
        <v>30296.68273</v>
      </c>
      <c r="AG539" s="6">
        <f ca="1">$O$539*$AA$539</f>
        <v>25616.889809999997</v>
      </c>
    </row>
    <row r="540" spans="1:33" ht="11.25" customHeight="1" x14ac:dyDescent="0.3">
      <c r="A540" s="4" t="s">
        <v>27</v>
      </c>
      <c r="B540" s="4" t="s">
        <v>32</v>
      </c>
      <c r="C540" s="4" t="s">
        <v>23</v>
      </c>
      <c r="D540" s="4" t="s">
        <v>33</v>
      </c>
      <c r="E540" s="4" t="s">
        <v>25</v>
      </c>
      <c r="F540" s="4" t="s">
        <v>25</v>
      </c>
      <c r="G540" s="4" t="s">
        <v>25</v>
      </c>
      <c r="H540" s="4" t="s">
        <v>25</v>
      </c>
      <c r="I540" s="5">
        <v>44501</v>
      </c>
      <c r="J540" s="6">
        <v>0</v>
      </c>
      <c r="K540" s="6">
        <v>0</v>
      </c>
      <c r="L540" s="6">
        <v>0.55400000000000005</v>
      </c>
      <c r="M540" s="6">
        <v>0.55400000000000005</v>
      </c>
      <c r="N540" s="6">
        <v>0.55400000000000005</v>
      </c>
      <c r="O540" s="6">
        <v>0.55400000000000005</v>
      </c>
      <c r="P540" s="6">
        <v>4</v>
      </c>
      <c r="Q540" s="4" t="s">
        <v>26</v>
      </c>
      <c r="R540" s="4">
        <v>0</v>
      </c>
      <c r="S540" s="6">
        <v>0</v>
      </c>
      <c r="T540" s="6">
        <v>77</v>
      </c>
      <c r="U540" s="6">
        <v>52</v>
      </c>
      <c r="V540" s="6">
        <f>IF(ISERROR(VLOOKUP($S$540,'TAR FIN'!$A$1:$O$92,15,0)),0,VLOOKUP($S$540,'TAR FIN'!$A$1:$O$92,15,0))</f>
        <v>0</v>
      </c>
      <c r="W540" s="104">
        <f>IF(ISERROR(VLOOKUP($T$497,'TAR FIN CELESC'!$A$1:$O$92,15,0)),0,VLOOKUP($T$497,'TAR FIN CELESC'!$A$1:$O$92,15,0))</f>
        <v>244.85</v>
      </c>
      <c r="X540" s="104">
        <f>IF(ISERROR(VLOOKUP($U$497,'TAR FIN CELESC'!$A$1:$O$92,15,0)),0,VLOOKUP($U$497,'TAR FIN CELESC'!$A$1:$O$92,15,0))</f>
        <v>287.39</v>
      </c>
      <c r="Y540" s="6"/>
      <c r="Z540" s="6">
        <f ca="1">('TUSD BE'!$AM$52+'TUSD BF_350'!$AM$52+'TUSD CVA'!$AM$52)*1</f>
        <v>310.49</v>
      </c>
      <c r="AA540" s="6">
        <f ca="1">('TE BE'!$AB$40+'TE BF_350'!$AB$40+'TE CVA'!$AB$40)*1</f>
        <v>262.52999999999997</v>
      </c>
      <c r="AB540" s="6">
        <f>$K$540*$V$540</f>
        <v>0</v>
      </c>
      <c r="AC540" s="6">
        <f>$M$540*$W$540</f>
        <v>135.64690000000002</v>
      </c>
      <c r="AD540" s="6">
        <f>$O$540*$X$540</f>
        <v>159.21406000000002</v>
      </c>
      <c r="AE540" s="6">
        <f>$K$540*$Y$540</f>
        <v>0</v>
      </c>
      <c r="AF540" s="6">
        <f ca="1">$M$540*$Z$540</f>
        <v>172.01146000000003</v>
      </c>
      <c r="AG540" s="6">
        <f ca="1">$O$540*$AA$540</f>
        <v>145.44162</v>
      </c>
    </row>
    <row r="541" spans="1:33" ht="11.25" customHeight="1" x14ac:dyDescent="0.3">
      <c r="A541" s="4" t="s">
        <v>21</v>
      </c>
      <c r="B541" s="4" t="s">
        <v>32</v>
      </c>
      <c r="C541" s="4" t="s">
        <v>23</v>
      </c>
      <c r="D541" s="4" t="s">
        <v>33</v>
      </c>
      <c r="E541" s="4" t="s">
        <v>25</v>
      </c>
      <c r="F541" s="4" t="s">
        <v>25</v>
      </c>
      <c r="G541" s="4" t="s">
        <v>25</v>
      </c>
      <c r="H541" s="4" t="s">
        <v>25</v>
      </c>
      <c r="I541" s="5">
        <v>44531</v>
      </c>
      <c r="J541" s="6">
        <v>0</v>
      </c>
      <c r="K541" s="6">
        <v>0</v>
      </c>
      <c r="L541" s="6">
        <v>108.20099999999999</v>
      </c>
      <c r="M541" s="6">
        <v>108.20099999999999</v>
      </c>
      <c r="N541" s="6">
        <v>108.20099999999999</v>
      </c>
      <c r="O541" s="6">
        <v>108.20099999999999</v>
      </c>
      <c r="P541" s="6">
        <v>88</v>
      </c>
      <c r="Q541" s="4" t="s">
        <v>26</v>
      </c>
      <c r="R541" s="4">
        <v>0</v>
      </c>
      <c r="S541" s="6">
        <v>0</v>
      </c>
      <c r="T541" s="6">
        <v>77</v>
      </c>
      <c r="U541" s="6">
        <v>52</v>
      </c>
      <c r="V541" s="6">
        <f>IF(ISERROR(VLOOKUP($S$541,'TAR FIN'!$A$1:$O$92,15,0)),0,VLOOKUP($S$541,'TAR FIN'!$A$1:$O$92,15,0))</f>
        <v>0</v>
      </c>
      <c r="W541" s="104">
        <f>IF(ISERROR(VLOOKUP($T$497,'TAR FIN CELESC'!$A$1:$O$92,15,0)),0,VLOOKUP($T$497,'TAR FIN CELESC'!$A$1:$O$92,15,0))</f>
        <v>244.85</v>
      </c>
      <c r="X541" s="104">
        <f>IF(ISERROR(VLOOKUP($U$497,'TAR FIN CELESC'!$A$1:$O$92,15,0)),0,VLOOKUP($U$497,'TAR FIN CELESC'!$A$1:$O$92,15,0))</f>
        <v>287.39</v>
      </c>
      <c r="Y541" s="6"/>
      <c r="Z541" s="6">
        <f ca="1">('TUSD BE'!$AM$52+'TUSD BF_350'!$AM$52+'TUSD CVA'!$AM$52)*1</f>
        <v>310.49</v>
      </c>
      <c r="AA541" s="6">
        <f ca="1">('TE BE'!$AB$40+'TE BF_350'!$AB$40+'TE CVA'!$AB$40)*1</f>
        <v>262.52999999999997</v>
      </c>
      <c r="AB541" s="6">
        <f>$K$541*$V$541</f>
        <v>0</v>
      </c>
      <c r="AC541" s="6">
        <f>$M$541*$W$541</f>
        <v>26493.01485</v>
      </c>
      <c r="AD541" s="6">
        <f>$O$541*$X$541</f>
        <v>31095.885389999996</v>
      </c>
      <c r="AE541" s="6">
        <f>$K$541*$Y$541</f>
        <v>0</v>
      </c>
      <c r="AF541" s="6">
        <f ca="1">$M$541*$Z$541</f>
        <v>33595.32849</v>
      </c>
      <c r="AG541" s="6">
        <f ca="1">$O$541*$AA$541</f>
        <v>28406.008529999996</v>
      </c>
    </row>
    <row r="542" spans="1:33" ht="11.25" customHeight="1" x14ac:dyDescent="0.3">
      <c r="A542" s="4" t="s">
        <v>27</v>
      </c>
      <c r="B542" s="4" t="s">
        <v>32</v>
      </c>
      <c r="C542" s="4" t="s">
        <v>23</v>
      </c>
      <c r="D542" s="4" t="s">
        <v>33</v>
      </c>
      <c r="E542" s="4" t="s">
        <v>25</v>
      </c>
      <c r="F542" s="4" t="s">
        <v>25</v>
      </c>
      <c r="G542" s="4" t="s">
        <v>25</v>
      </c>
      <c r="H542" s="4" t="s">
        <v>25</v>
      </c>
      <c r="I542" s="5">
        <v>44531</v>
      </c>
      <c r="J542" s="6">
        <v>0</v>
      </c>
      <c r="K542" s="6">
        <v>0</v>
      </c>
      <c r="L542" s="6">
        <v>0.66600000000000004</v>
      </c>
      <c r="M542" s="6">
        <v>0.66600000000000004</v>
      </c>
      <c r="N542" s="6">
        <v>0.66600000000000004</v>
      </c>
      <c r="O542" s="6">
        <v>0.66600000000000004</v>
      </c>
      <c r="P542" s="6">
        <v>4</v>
      </c>
      <c r="Q542" s="4" t="s">
        <v>26</v>
      </c>
      <c r="R542" s="4">
        <v>0</v>
      </c>
      <c r="S542" s="6">
        <v>0</v>
      </c>
      <c r="T542" s="6">
        <v>77</v>
      </c>
      <c r="U542" s="6">
        <v>52</v>
      </c>
      <c r="V542" s="6">
        <f>IF(ISERROR(VLOOKUP($S$542,'TAR FIN'!$A$1:$O$92,15,0)),0,VLOOKUP($S$542,'TAR FIN'!$A$1:$O$92,15,0))</f>
        <v>0</v>
      </c>
      <c r="W542" s="104">
        <f>IF(ISERROR(VLOOKUP($T$497,'TAR FIN CELESC'!$A$1:$O$92,15,0)),0,VLOOKUP($T$497,'TAR FIN CELESC'!$A$1:$O$92,15,0))</f>
        <v>244.85</v>
      </c>
      <c r="X542" s="104">
        <f>IF(ISERROR(VLOOKUP($U$497,'TAR FIN CELESC'!$A$1:$O$92,15,0)),0,VLOOKUP($U$497,'TAR FIN CELESC'!$A$1:$O$92,15,0))</f>
        <v>287.39</v>
      </c>
      <c r="Y542" s="6"/>
      <c r="Z542" s="6">
        <f ca="1">('TUSD BE'!$AM$52+'TUSD BF_350'!$AM$52+'TUSD CVA'!$AM$52)*1</f>
        <v>310.49</v>
      </c>
      <c r="AA542" s="6">
        <f ca="1">('TE BE'!$AB$40+'TE BF_350'!$AB$40+'TE CVA'!$AB$40)*1</f>
        <v>262.52999999999997</v>
      </c>
      <c r="AB542" s="6">
        <f>$K$542*$V$542</f>
        <v>0</v>
      </c>
      <c r="AC542" s="6">
        <f>$M$542*$W$542</f>
        <v>163.0701</v>
      </c>
      <c r="AD542" s="6">
        <f>$O$542*$X$542</f>
        <v>191.40173999999999</v>
      </c>
      <c r="AE542" s="6">
        <f>$K$542*$Y$542</f>
        <v>0</v>
      </c>
      <c r="AF542" s="6">
        <f ca="1">$M$542*$Z$542</f>
        <v>206.78634000000002</v>
      </c>
      <c r="AG542" s="6">
        <f ca="1">$O$542*$AA$542</f>
        <v>174.84497999999999</v>
      </c>
    </row>
    <row r="543" spans="1:33" ht="11.25" customHeight="1" x14ac:dyDescent="0.3">
      <c r="A543" s="4" t="s">
        <v>21</v>
      </c>
      <c r="B543" s="4" t="s">
        <v>32</v>
      </c>
      <c r="C543" s="4" t="s">
        <v>23</v>
      </c>
      <c r="D543" s="4" t="s">
        <v>33</v>
      </c>
      <c r="E543" s="4" t="s">
        <v>25</v>
      </c>
      <c r="F543" s="4" t="s">
        <v>25</v>
      </c>
      <c r="G543" s="4" t="s">
        <v>25</v>
      </c>
      <c r="H543" s="4" t="s">
        <v>25</v>
      </c>
      <c r="I543" s="5">
        <v>44562</v>
      </c>
      <c r="J543" s="6">
        <v>0</v>
      </c>
      <c r="K543" s="6">
        <v>0</v>
      </c>
      <c r="L543" s="6">
        <v>94.998000000000005</v>
      </c>
      <c r="M543" s="6">
        <v>94.998000000000005</v>
      </c>
      <c r="N543" s="6">
        <v>94.998000000000005</v>
      </c>
      <c r="O543" s="6">
        <v>94.998000000000005</v>
      </c>
      <c r="P543" s="6">
        <v>87</v>
      </c>
      <c r="Q543" s="4" t="s">
        <v>26</v>
      </c>
      <c r="R543" s="4">
        <v>0</v>
      </c>
      <c r="S543" s="6">
        <v>0</v>
      </c>
      <c r="T543" s="6">
        <v>77</v>
      </c>
      <c r="U543" s="6">
        <v>52</v>
      </c>
      <c r="V543" s="6">
        <f>IF(ISERROR(VLOOKUP($S$543,'TAR FIN'!$A$1:$O$92,15,0)),0,VLOOKUP($S$543,'TAR FIN'!$A$1:$O$92,15,0))</f>
        <v>0</v>
      </c>
      <c r="W543" s="104">
        <f>IF(ISERROR(VLOOKUP($T$497,'TAR FIN CELESC'!$A$1:$O$92,15,0)),0,VLOOKUP($T$497,'TAR FIN CELESC'!$A$1:$O$92,15,0))</f>
        <v>244.85</v>
      </c>
      <c r="X543" s="104">
        <f>IF(ISERROR(VLOOKUP($U$497,'TAR FIN CELESC'!$A$1:$O$92,15,0)),0,VLOOKUP($U$497,'TAR FIN CELESC'!$A$1:$O$92,15,0))</f>
        <v>287.39</v>
      </c>
      <c r="Y543" s="6"/>
      <c r="Z543" s="6">
        <f ca="1">('TUSD BE'!$AM$52+'TUSD BF_350'!$AM$52+'TUSD CVA'!$AM$52)*1</f>
        <v>310.49</v>
      </c>
      <c r="AA543" s="6">
        <f ca="1">('TE BE'!$AB$40+'TE BF_350'!$AB$40+'TE CVA'!$AB$40)*1</f>
        <v>262.52999999999997</v>
      </c>
      <c r="AB543" s="6">
        <f>$K$543*$V$543</f>
        <v>0</v>
      </c>
      <c r="AC543" s="6">
        <f>$M$543*$W$543</f>
        <v>23260.260300000002</v>
      </c>
      <c r="AD543" s="6">
        <f>$O$543*$X$543</f>
        <v>27301.47522</v>
      </c>
      <c r="AE543" s="6">
        <f>$K$543*$Y$543</f>
        <v>0</v>
      </c>
      <c r="AF543" s="6">
        <f ca="1">$M$543*$Z$543</f>
        <v>29495.929020000003</v>
      </c>
      <c r="AG543" s="6">
        <f ca="1">$O$543*$AA$543</f>
        <v>24939.824939999999</v>
      </c>
    </row>
    <row r="544" spans="1:33" ht="11.25" customHeight="1" x14ac:dyDescent="0.3">
      <c r="A544" s="4" t="s">
        <v>27</v>
      </c>
      <c r="B544" s="4" t="s">
        <v>32</v>
      </c>
      <c r="C544" s="4" t="s">
        <v>23</v>
      </c>
      <c r="D544" s="4" t="s">
        <v>33</v>
      </c>
      <c r="E544" s="4" t="s">
        <v>25</v>
      </c>
      <c r="F544" s="4" t="s">
        <v>25</v>
      </c>
      <c r="G544" s="4" t="s">
        <v>25</v>
      </c>
      <c r="H544" s="4" t="s">
        <v>25</v>
      </c>
      <c r="I544" s="5">
        <v>44562</v>
      </c>
      <c r="J544" s="6">
        <v>0</v>
      </c>
      <c r="K544" s="6">
        <v>0</v>
      </c>
      <c r="L544" s="6">
        <v>0.4</v>
      </c>
      <c r="M544" s="6">
        <v>0.4</v>
      </c>
      <c r="N544" s="6">
        <v>0.4</v>
      </c>
      <c r="O544" s="6">
        <v>0.4</v>
      </c>
      <c r="P544" s="6">
        <v>4</v>
      </c>
      <c r="Q544" s="4" t="s">
        <v>26</v>
      </c>
      <c r="R544" s="4">
        <v>0</v>
      </c>
      <c r="S544" s="6">
        <v>0</v>
      </c>
      <c r="T544" s="6">
        <v>77</v>
      </c>
      <c r="U544" s="6">
        <v>52</v>
      </c>
      <c r="V544" s="6">
        <f>IF(ISERROR(VLOOKUP($S$544,'TAR FIN'!$A$1:$O$92,15,0)),0,VLOOKUP($S$544,'TAR FIN'!$A$1:$O$92,15,0))</f>
        <v>0</v>
      </c>
      <c r="W544" s="104">
        <f>IF(ISERROR(VLOOKUP($T$497,'TAR FIN CELESC'!$A$1:$O$92,15,0)),0,VLOOKUP($T$497,'TAR FIN CELESC'!$A$1:$O$92,15,0))</f>
        <v>244.85</v>
      </c>
      <c r="X544" s="104">
        <f>IF(ISERROR(VLOOKUP($U$497,'TAR FIN CELESC'!$A$1:$O$92,15,0)),0,VLOOKUP($U$497,'TAR FIN CELESC'!$A$1:$O$92,15,0))</f>
        <v>287.39</v>
      </c>
      <c r="Y544" s="6"/>
      <c r="Z544" s="6">
        <f ca="1">('TUSD BE'!$AM$52+'TUSD BF_350'!$AM$52+'TUSD CVA'!$AM$52)*1</f>
        <v>310.49</v>
      </c>
      <c r="AA544" s="6">
        <f ca="1">('TE BE'!$AB$40+'TE BF_350'!$AB$40+'TE CVA'!$AB$40)*1</f>
        <v>262.52999999999997</v>
      </c>
      <c r="AB544" s="6">
        <f>$K$544*$V$544</f>
        <v>0</v>
      </c>
      <c r="AC544" s="6">
        <f>$M$544*$W$544</f>
        <v>97.94</v>
      </c>
      <c r="AD544" s="6">
        <f>$O$544*$X$544</f>
        <v>114.956</v>
      </c>
      <c r="AE544" s="6">
        <f>$K$544*$Y$544</f>
        <v>0</v>
      </c>
      <c r="AF544" s="6">
        <f ca="1">$M$544*$Z$544</f>
        <v>124.19600000000001</v>
      </c>
      <c r="AG544" s="6">
        <f ca="1">$O$544*$AA$544</f>
        <v>105.012</v>
      </c>
    </row>
    <row r="545" spans="1:33" ht="11.25" customHeight="1" x14ac:dyDescent="0.3">
      <c r="A545" s="4" t="s">
        <v>21</v>
      </c>
      <c r="B545" s="4" t="s">
        <v>32</v>
      </c>
      <c r="C545" s="4" t="s">
        <v>23</v>
      </c>
      <c r="D545" s="4" t="s">
        <v>33</v>
      </c>
      <c r="E545" s="4" t="s">
        <v>25</v>
      </c>
      <c r="F545" s="4" t="s">
        <v>25</v>
      </c>
      <c r="G545" s="4" t="s">
        <v>25</v>
      </c>
      <c r="H545" s="4" t="s">
        <v>25</v>
      </c>
      <c r="I545" s="5">
        <v>44593</v>
      </c>
      <c r="J545" s="6">
        <v>0</v>
      </c>
      <c r="K545" s="6">
        <v>0</v>
      </c>
      <c r="L545" s="6">
        <v>110.358</v>
      </c>
      <c r="M545" s="6">
        <v>110.358</v>
      </c>
      <c r="N545" s="6">
        <v>110.358</v>
      </c>
      <c r="O545" s="6">
        <v>110.358</v>
      </c>
      <c r="P545" s="6">
        <v>87</v>
      </c>
      <c r="Q545" s="4" t="s">
        <v>26</v>
      </c>
      <c r="R545" s="4">
        <v>0</v>
      </c>
      <c r="S545" s="6">
        <v>0</v>
      </c>
      <c r="T545" s="6">
        <v>77</v>
      </c>
      <c r="U545" s="6">
        <v>52</v>
      </c>
      <c r="V545" s="6">
        <f>IF(ISERROR(VLOOKUP($S$545,'TAR FIN'!$A$1:$O$92,15,0)),0,VLOOKUP($S$545,'TAR FIN'!$A$1:$O$92,15,0))</f>
        <v>0</v>
      </c>
      <c r="W545" s="104">
        <f>IF(ISERROR(VLOOKUP($T$497,'TAR FIN CELESC'!$A$1:$O$92,15,0)),0,VLOOKUP($T$497,'TAR FIN CELESC'!$A$1:$O$92,15,0))</f>
        <v>244.85</v>
      </c>
      <c r="X545" s="104">
        <f>IF(ISERROR(VLOOKUP($U$497,'TAR FIN CELESC'!$A$1:$O$92,15,0)),0,VLOOKUP($U$497,'TAR FIN CELESC'!$A$1:$O$92,15,0))</f>
        <v>287.39</v>
      </c>
      <c r="Y545" s="6"/>
      <c r="Z545" s="6">
        <f ca="1">('TUSD BE'!$AM$52+'TUSD BF_350'!$AM$52+'TUSD CVA'!$AM$52)*1</f>
        <v>310.49</v>
      </c>
      <c r="AA545" s="6">
        <f ca="1">('TE BE'!$AB$40+'TE BF_350'!$AB$40+'TE CVA'!$AB$40)*1</f>
        <v>262.52999999999997</v>
      </c>
      <c r="AB545" s="6">
        <f>$K$545*$V$545</f>
        <v>0</v>
      </c>
      <c r="AC545" s="6">
        <f>$M$545*$W$545</f>
        <v>27021.156299999999</v>
      </c>
      <c r="AD545" s="6">
        <f>$O$545*$X$545</f>
        <v>31715.785619999999</v>
      </c>
      <c r="AE545" s="6">
        <f>$K$545*$Y$545</f>
        <v>0</v>
      </c>
      <c r="AF545" s="6">
        <f ca="1">$M$545*$Z$545</f>
        <v>34265.055420000004</v>
      </c>
      <c r="AG545" s="6">
        <f ca="1">$O$545*$AA$545</f>
        <v>28972.285739999999</v>
      </c>
    </row>
    <row r="546" spans="1:33" ht="11.25" customHeight="1" x14ac:dyDescent="0.3">
      <c r="A546" s="4" t="s">
        <v>27</v>
      </c>
      <c r="B546" s="4" t="s">
        <v>32</v>
      </c>
      <c r="C546" s="4" t="s">
        <v>23</v>
      </c>
      <c r="D546" s="4" t="s">
        <v>33</v>
      </c>
      <c r="E546" s="4" t="s">
        <v>25</v>
      </c>
      <c r="F546" s="4" t="s">
        <v>25</v>
      </c>
      <c r="G546" s="4" t="s">
        <v>25</v>
      </c>
      <c r="H546" s="4" t="s">
        <v>25</v>
      </c>
      <c r="I546" s="5">
        <v>44593</v>
      </c>
      <c r="J546" s="6">
        <v>0</v>
      </c>
      <c r="K546" s="6">
        <v>0</v>
      </c>
      <c r="L546" s="6">
        <v>0.4</v>
      </c>
      <c r="M546" s="6">
        <v>0.4</v>
      </c>
      <c r="N546" s="6">
        <v>0.4</v>
      </c>
      <c r="O546" s="6">
        <v>0.4</v>
      </c>
      <c r="P546" s="6">
        <v>4</v>
      </c>
      <c r="Q546" s="4" t="s">
        <v>26</v>
      </c>
      <c r="R546" s="4">
        <v>0</v>
      </c>
      <c r="S546" s="6">
        <v>0</v>
      </c>
      <c r="T546" s="6">
        <v>77</v>
      </c>
      <c r="U546" s="6">
        <v>52</v>
      </c>
      <c r="V546" s="6">
        <f>IF(ISERROR(VLOOKUP($S$546,'TAR FIN'!$A$1:$O$92,15,0)),0,VLOOKUP($S$546,'TAR FIN'!$A$1:$O$92,15,0))</f>
        <v>0</v>
      </c>
      <c r="W546" s="104">
        <f>IF(ISERROR(VLOOKUP($T$497,'TAR FIN CELESC'!$A$1:$O$92,15,0)),0,VLOOKUP($T$497,'TAR FIN CELESC'!$A$1:$O$92,15,0))</f>
        <v>244.85</v>
      </c>
      <c r="X546" s="104">
        <f>IF(ISERROR(VLOOKUP($U$497,'TAR FIN CELESC'!$A$1:$O$92,15,0)),0,VLOOKUP($U$497,'TAR FIN CELESC'!$A$1:$O$92,15,0))</f>
        <v>287.39</v>
      </c>
      <c r="Y546" s="6"/>
      <c r="Z546" s="6">
        <f ca="1">('TUSD BE'!$AM$52+'TUSD BF_350'!$AM$52+'TUSD CVA'!$AM$52)*1</f>
        <v>310.49</v>
      </c>
      <c r="AA546" s="6">
        <f ca="1">('TE BE'!$AB$40+'TE BF_350'!$AB$40+'TE CVA'!$AB$40)*1</f>
        <v>262.52999999999997</v>
      </c>
      <c r="AB546" s="6">
        <f>$K$546*$V$546</f>
        <v>0</v>
      </c>
      <c r="AC546" s="6">
        <f>$M$546*$W$546</f>
        <v>97.94</v>
      </c>
      <c r="AD546" s="6">
        <f>$O$546*$X$546</f>
        <v>114.956</v>
      </c>
      <c r="AE546" s="6">
        <f>$K$546*$Y$546</f>
        <v>0</v>
      </c>
      <c r="AF546" s="6">
        <f ca="1">$M$546*$Z$546</f>
        <v>124.19600000000001</v>
      </c>
      <c r="AG546" s="6">
        <f ca="1">$O$546*$AA$546</f>
        <v>105.012</v>
      </c>
    </row>
    <row r="547" spans="1:33" ht="11.25" customHeight="1" x14ac:dyDescent="0.3">
      <c r="A547" s="4" t="s">
        <v>21</v>
      </c>
      <c r="B547" s="4" t="s">
        <v>32</v>
      </c>
      <c r="C547" s="4" t="s">
        <v>23</v>
      </c>
      <c r="D547" s="4" t="s">
        <v>33</v>
      </c>
      <c r="E547" s="4" t="s">
        <v>25</v>
      </c>
      <c r="F547" s="4" t="s">
        <v>25</v>
      </c>
      <c r="G547" s="4" t="s">
        <v>25</v>
      </c>
      <c r="H547" s="4" t="s">
        <v>25</v>
      </c>
      <c r="I547" s="5">
        <v>44621</v>
      </c>
      <c r="J547" s="6">
        <v>0</v>
      </c>
      <c r="K547" s="6">
        <v>0</v>
      </c>
      <c r="L547" s="6">
        <v>111.623</v>
      </c>
      <c r="M547" s="6">
        <v>111.623</v>
      </c>
      <c r="N547" s="6">
        <v>111.623</v>
      </c>
      <c r="O547" s="6">
        <v>111.623</v>
      </c>
      <c r="P547" s="6">
        <v>86</v>
      </c>
      <c r="Q547" s="4" t="s">
        <v>26</v>
      </c>
      <c r="R547" s="4">
        <v>0</v>
      </c>
      <c r="S547" s="6">
        <v>0</v>
      </c>
      <c r="T547" s="6">
        <v>77</v>
      </c>
      <c r="U547" s="6">
        <v>52</v>
      </c>
      <c r="V547" s="6">
        <f>IF(ISERROR(VLOOKUP($S$547,'TAR FIN'!$A$1:$O$92,15,0)),0,VLOOKUP($S$547,'TAR FIN'!$A$1:$O$92,15,0))</f>
        <v>0</v>
      </c>
      <c r="W547" s="104">
        <f>IF(ISERROR(VLOOKUP($T$497,'TAR FIN CELESC'!$A$1:$O$92,15,0)),0,VLOOKUP($T$497,'TAR FIN CELESC'!$A$1:$O$92,15,0))</f>
        <v>244.85</v>
      </c>
      <c r="X547" s="104">
        <f>IF(ISERROR(VLOOKUP($U$497,'TAR FIN CELESC'!$A$1:$O$92,15,0)),0,VLOOKUP($U$497,'TAR FIN CELESC'!$A$1:$O$92,15,0))</f>
        <v>287.39</v>
      </c>
      <c r="Y547" s="6"/>
      <c r="Z547" s="6">
        <f ca="1">('TUSD BE'!$AM$52+'TUSD BF_350'!$AM$52+'TUSD CVA'!$AM$52)*1</f>
        <v>310.49</v>
      </c>
      <c r="AA547" s="6">
        <f ca="1">('TE BE'!$AB$40+'TE BF_350'!$AB$40+'TE CVA'!$AB$40)*1</f>
        <v>262.52999999999997</v>
      </c>
      <c r="AB547" s="6">
        <f>$K$547*$V$547</f>
        <v>0</v>
      </c>
      <c r="AC547" s="6">
        <f>$M$547*$W$547</f>
        <v>27330.89155</v>
      </c>
      <c r="AD547" s="6">
        <f>$O$547*$X$547</f>
        <v>32079.33397</v>
      </c>
      <c r="AE547" s="6">
        <f>$K$547*$Y$547</f>
        <v>0</v>
      </c>
      <c r="AF547" s="6">
        <f ca="1">$M$547*$Z$547</f>
        <v>34657.825270000001</v>
      </c>
      <c r="AG547" s="6">
        <f ca="1">$O$547*$AA$547</f>
        <v>29304.386189999997</v>
      </c>
    </row>
    <row r="548" spans="1:33" ht="11.25" customHeight="1" x14ac:dyDescent="0.3">
      <c r="A548" s="4" t="s">
        <v>27</v>
      </c>
      <c r="B548" s="4" t="s">
        <v>32</v>
      </c>
      <c r="C548" s="4" t="s">
        <v>23</v>
      </c>
      <c r="D548" s="4" t="s">
        <v>33</v>
      </c>
      <c r="E548" s="4" t="s">
        <v>25</v>
      </c>
      <c r="F548" s="4" t="s">
        <v>25</v>
      </c>
      <c r="G548" s="4" t="s">
        <v>25</v>
      </c>
      <c r="H548" s="4" t="s">
        <v>25</v>
      </c>
      <c r="I548" s="5">
        <v>44621</v>
      </c>
      <c r="J548" s="6">
        <v>0</v>
      </c>
      <c r="K548" s="6">
        <v>0</v>
      </c>
      <c r="L548" s="6">
        <v>0.4</v>
      </c>
      <c r="M548" s="6">
        <v>0.4</v>
      </c>
      <c r="N548" s="6">
        <v>0.4</v>
      </c>
      <c r="O548" s="6">
        <v>0.4</v>
      </c>
      <c r="P548" s="6">
        <v>4</v>
      </c>
      <c r="Q548" s="4" t="s">
        <v>26</v>
      </c>
      <c r="R548" s="4">
        <v>0</v>
      </c>
      <c r="S548" s="6">
        <v>0</v>
      </c>
      <c r="T548" s="6">
        <v>77</v>
      </c>
      <c r="U548" s="6">
        <v>52</v>
      </c>
      <c r="V548" s="6">
        <f>IF(ISERROR(VLOOKUP($S$548,'TAR FIN'!$A$1:$O$92,15,0)),0,VLOOKUP($S$548,'TAR FIN'!$A$1:$O$92,15,0))</f>
        <v>0</v>
      </c>
      <c r="W548" s="104">
        <f>IF(ISERROR(VLOOKUP($T$497,'TAR FIN CELESC'!$A$1:$O$92,15,0)),0,VLOOKUP($T$497,'TAR FIN CELESC'!$A$1:$O$92,15,0))</f>
        <v>244.85</v>
      </c>
      <c r="X548" s="104">
        <f>IF(ISERROR(VLOOKUP($U$497,'TAR FIN CELESC'!$A$1:$O$92,15,0)),0,VLOOKUP($U$497,'TAR FIN CELESC'!$A$1:$O$92,15,0))</f>
        <v>287.39</v>
      </c>
      <c r="Y548" s="6"/>
      <c r="Z548" s="6">
        <f ca="1">('TUSD BE'!$AM$52+'TUSD BF_350'!$AM$52+'TUSD CVA'!$AM$52)*1</f>
        <v>310.49</v>
      </c>
      <c r="AA548" s="6">
        <f ca="1">('TE BE'!$AB$40+'TE BF_350'!$AB$40+'TE CVA'!$AB$40)*1</f>
        <v>262.52999999999997</v>
      </c>
      <c r="AB548" s="6">
        <f>$K$548*$V$548</f>
        <v>0</v>
      </c>
      <c r="AC548" s="6">
        <f>$M$548*$W$548</f>
        <v>97.94</v>
      </c>
      <c r="AD548" s="6">
        <f>$O$548*$X$548</f>
        <v>114.956</v>
      </c>
      <c r="AE548" s="6">
        <f>$K$548*$Y$548</f>
        <v>0</v>
      </c>
      <c r="AF548" s="6">
        <f ca="1">$M$548*$Z$548</f>
        <v>124.19600000000001</v>
      </c>
      <c r="AG548" s="6">
        <f ca="1">$O$548*$AA$548</f>
        <v>105.012</v>
      </c>
    </row>
    <row r="549" spans="1:33" ht="11.25" customHeight="1" x14ac:dyDescent="0.3">
      <c r="A549" s="4" t="s">
        <v>21</v>
      </c>
      <c r="B549" s="4" t="s">
        <v>32</v>
      </c>
      <c r="C549" s="4" t="s">
        <v>23</v>
      </c>
      <c r="D549" s="4" t="s">
        <v>33</v>
      </c>
      <c r="E549" s="4" t="s">
        <v>25</v>
      </c>
      <c r="F549" s="4" t="s">
        <v>25</v>
      </c>
      <c r="G549" s="4" t="s">
        <v>25</v>
      </c>
      <c r="H549" s="4" t="s">
        <v>25</v>
      </c>
      <c r="I549" s="5">
        <v>44652</v>
      </c>
      <c r="J549" s="6">
        <v>0</v>
      </c>
      <c r="K549" s="6">
        <v>0</v>
      </c>
      <c r="L549" s="6">
        <v>100.437</v>
      </c>
      <c r="M549" s="6">
        <v>100.437</v>
      </c>
      <c r="N549" s="6">
        <v>100.437</v>
      </c>
      <c r="O549" s="6">
        <v>100.437</v>
      </c>
      <c r="P549" s="6">
        <v>88</v>
      </c>
      <c r="Q549" s="4" t="s">
        <v>26</v>
      </c>
      <c r="R549" s="4">
        <v>0</v>
      </c>
      <c r="S549" s="6">
        <v>0</v>
      </c>
      <c r="T549" s="6">
        <v>77</v>
      </c>
      <c r="U549" s="6">
        <v>52</v>
      </c>
      <c r="V549" s="6">
        <f>IF(ISERROR(VLOOKUP($S$549,'TAR FIN'!$A$1:$O$92,15,0)),0,VLOOKUP($S$549,'TAR FIN'!$A$1:$O$92,15,0))</f>
        <v>0</v>
      </c>
      <c r="W549" s="104">
        <f>IF(ISERROR(VLOOKUP($T$497,'TAR FIN CELESC'!$A$1:$O$92,15,0)),0,VLOOKUP($T$497,'TAR FIN CELESC'!$A$1:$O$92,15,0))</f>
        <v>244.85</v>
      </c>
      <c r="X549" s="104">
        <f>IF(ISERROR(VLOOKUP($U$497,'TAR FIN CELESC'!$A$1:$O$92,15,0)),0,VLOOKUP($U$497,'TAR FIN CELESC'!$A$1:$O$92,15,0))</f>
        <v>287.39</v>
      </c>
      <c r="Y549" s="6"/>
      <c r="Z549" s="6">
        <f ca="1">('TUSD BE'!$AM$52+'TUSD BF_350'!$AM$52+'TUSD CVA'!$AM$52)*1</f>
        <v>310.49</v>
      </c>
      <c r="AA549" s="6">
        <f ca="1">('TE BE'!$AB$40+'TE BF_350'!$AB$40+'TE CVA'!$AB$40)*1</f>
        <v>262.52999999999997</v>
      </c>
      <c r="AB549" s="6">
        <f>$K$549*$V$549</f>
        <v>0</v>
      </c>
      <c r="AC549" s="6">
        <f>$M$549*$W$549</f>
        <v>24591.999449999999</v>
      </c>
      <c r="AD549" s="6">
        <f>$O$549*$X$549</f>
        <v>28864.589429999996</v>
      </c>
      <c r="AE549" s="6">
        <f>$K$549*$Y$549</f>
        <v>0</v>
      </c>
      <c r="AF549" s="6">
        <f ca="1">$M$549*$Z$549</f>
        <v>31184.684130000001</v>
      </c>
      <c r="AG549" s="6">
        <f ca="1">$O$549*$AA$549</f>
        <v>26367.725609999998</v>
      </c>
    </row>
    <row r="550" spans="1:33" ht="11.25" customHeight="1" x14ac:dyDescent="0.3">
      <c r="A550" s="4" t="s">
        <v>27</v>
      </c>
      <c r="B550" s="4" t="s">
        <v>32</v>
      </c>
      <c r="C550" s="4" t="s">
        <v>23</v>
      </c>
      <c r="D550" s="4" t="s">
        <v>33</v>
      </c>
      <c r="E550" s="4" t="s">
        <v>25</v>
      </c>
      <c r="F550" s="4" t="s">
        <v>25</v>
      </c>
      <c r="G550" s="4" t="s">
        <v>25</v>
      </c>
      <c r="H550" s="4" t="s">
        <v>25</v>
      </c>
      <c r="I550" s="5">
        <v>44652</v>
      </c>
      <c r="J550" s="6">
        <v>0</v>
      </c>
      <c r="K550" s="6">
        <v>0</v>
      </c>
      <c r="L550" s="6">
        <v>0.4</v>
      </c>
      <c r="M550" s="6">
        <v>0.4</v>
      </c>
      <c r="N550" s="6">
        <v>0.4</v>
      </c>
      <c r="O550" s="6">
        <v>0.4</v>
      </c>
      <c r="P550" s="6">
        <v>4</v>
      </c>
      <c r="Q550" s="4" t="s">
        <v>26</v>
      </c>
      <c r="R550" s="4">
        <v>0</v>
      </c>
      <c r="S550" s="6">
        <v>0</v>
      </c>
      <c r="T550" s="6">
        <v>77</v>
      </c>
      <c r="U550" s="6">
        <v>52</v>
      </c>
      <c r="V550" s="6">
        <f>IF(ISERROR(VLOOKUP($S$550,'TAR FIN'!$A$1:$O$92,15,0)),0,VLOOKUP($S$550,'TAR FIN'!$A$1:$O$92,15,0))</f>
        <v>0</v>
      </c>
      <c r="W550" s="104">
        <f>IF(ISERROR(VLOOKUP($T$497,'TAR FIN CELESC'!$A$1:$O$92,15,0)),0,VLOOKUP($T$497,'TAR FIN CELESC'!$A$1:$O$92,15,0))</f>
        <v>244.85</v>
      </c>
      <c r="X550" s="104">
        <f>IF(ISERROR(VLOOKUP($U$497,'TAR FIN CELESC'!$A$1:$O$92,15,0)),0,VLOOKUP($U$497,'TAR FIN CELESC'!$A$1:$O$92,15,0))</f>
        <v>287.39</v>
      </c>
      <c r="Y550" s="6"/>
      <c r="Z550" s="6">
        <f ca="1">('TUSD BE'!$AM$52+'TUSD BF_350'!$AM$52+'TUSD CVA'!$AM$52)*1</f>
        <v>310.49</v>
      </c>
      <c r="AA550" s="6">
        <f ca="1">('TE BE'!$AB$40+'TE BF_350'!$AB$40+'TE CVA'!$AB$40)*1</f>
        <v>262.52999999999997</v>
      </c>
      <c r="AB550" s="6">
        <f>$K$550*$V$550</f>
        <v>0</v>
      </c>
      <c r="AC550" s="6">
        <f>$M$550*$W$550</f>
        <v>97.94</v>
      </c>
      <c r="AD550" s="6">
        <f>$O$550*$X$550</f>
        <v>114.956</v>
      </c>
      <c r="AE550" s="6">
        <f>$K$550*$Y$550</f>
        <v>0</v>
      </c>
      <c r="AF550" s="6">
        <f ca="1">$M$550*$Z$550</f>
        <v>124.19600000000001</v>
      </c>
      <c r="AG550" s="6">
        <f ca="1">$O$550*$AA$550</f>
        <v>105.012</v>
      </c>
    </row>
    <row r="551" spans="1:33" ht="11.25" customHeight="1" x14ac:dyDescent="0.3">
      <c r="A551" s="4" t="s">
        <v>21</v>
      </c>
      <c r="B551" s="4" t="s">
        <v>32</v>
      </c>
      <c r="C551" s="4" t="s">
        <v>23</v>
      </c>
      <c r="D551" s="4" t="s">
        <v>33</v>
      </c>
      <c r="E551" s="4" t="s">
        <v>25</v>
      </c>
      <c r="F551" s="4" t="s">
        <v>25</v>
      </c>
      <c r="G551" s="4" t="s">
        <v>25</v>
      </c>
      <c r="H551" s="4" t="s">
        <v>25</v>
      </c>
      <c r="I551" s="5">
        <v>44682</v>
      </c>
      <c r="J551" s="6">
        <v>0</v>
      </c>
      <c r="K551" s="6">
        <v>0</v>
      </c>
      <c r="L551" s="6">
        <v>90.561999999999998</v>
      </c>
      <c r="M551" s="6">
        <v>90.561999999999998</v>
      </c>
      <c r="N551" s="6">
        <v>90.561999999999998</v>
      </c>
      <c r="O551" s="6">
        <v>90.561999999999998</v>
      </c>
      <c r="P551" s="6">
        <v>87</v>
      </c>
      <c r="Q551" s="4" t="s">
        <v>26</v>
      </c>
      <c r="R551" s="4">
        <v>0</v>
      </c>
      <c r="S551" s="6">
        <v>0</v>
      </c>
      <c r="T551" s="6">
        <v>77</v>
      </c>
      <c r="U551" s="6">
        <v>52</v>
      </c>
      <c r="V551" s="6">
        <f>IF(ISERROR(VLOOKUP($S$551,'TAR FIN'!$A$1:$O$92,15,0)),0,VLOOKUP($S$551,'TAR FIN'!$A$1:$O$92,15,0))</f>
        <v>0</v>
      </c>
      <c r="W551" s="104">
        <f>IF(ISERROR(VLOOKUP($T$497,'TAR FIN CELESC'!$A$1:$O$92,15,0)),0,VLOOKUP($T$497,'TAR FIN CELESC'!$A$1:$O$92,15,0))</f>
        <v>244.85</v>
      </c>
      <c r="X551" s="104">
        <f>IF(ISERROR(VLOOKUP($U$497,'TAR FIN CELESC'!$A$1:$O$92,15,0)),0,VLOOKUP($U$497,'TAR FIN CELESC'!$A$1:$O$92,15,0))</f>
        <v>287.39</v>
      </c>
      <c r="Y551" s="6"/>
      <c r="Z551" s="6">
        <f ca="1">('TUSD BE'!$AM$52+'TUSD BF_350'!$AM$52+'TUSD CVA'!$AM$52)*1</f>
        <v>310.49</v>
      </c>
      <c r="AA551" s="6">
        <f ca="1">('TE BE'!$AB$40+'TE BF_350'!$AB$40+'TE CVA'!$AB$40)*1</f>
        <v>262.52999999999997</v>
      </c>
      <c r="AB551" s="6">
        <f>$K$551*$V$551</f>
        <v>0</v>
      </c>
      <c r="AC551" s="6">
        <f>$M$551*$W$551</f>
        <v>22174.1057</v>
      </c>
      <c r="AD551" s="6">
        <f>$O$551*$X$551</f>
        <v>26026.613179999997</v>
      </c>
      <c r="AE551" s="6">
        <f>$K$551*$Y$551</f>
        <v>0</v>
      </c>
      <c r="AF551" s="6">
        <f ca="1">$M$551*$Z$551</f>
        <v>28118.595379999999</v>
      </c>
      <c r="AG551" s="6">
        <f ca="1">$O$551*$AA$551</f>
        <v>23775.241859999998</v>
      </c>
    </row>
    <row r="552" spans="1:33" ht="11.25" customHeight="1" x14ac:dyDescent="0.3">
      <c r="A552" s="4" t="s">
        <v>27</v>
      </c>
      <c r="B552" s="4" t="s">
        <v>32</v>
      </c>
      <c r="C552" s="4" t="s">
        <v>23</v>
      </c>
      <c r="D552" s="4" t="s">
        <v>33</v>
      </c>
      <c r="E552" s="4" t="s">
        <v>25</v>
      </c>
      <c r="F552" s="4" t="s">
        <v>25</v>
      </c>
      <c r="G552" s="4" t="s">
        <v>25</v>
      </c>
      <c r="H552" s="4" t="s">
        <v>25</v>
      </c>
      <c r="I552" s="5">
        <v>44682</v>
      </c>
      <c r="J552" s="6">
        <v>0</v>
      </c>
      <c r="K552" s="6">
        <v>0</v>
      </c>
      <c r="L552" s="6">
        <v>0.4</v>
      </c>
      <c r="M552" s="6">
        <v>0.4</v>
      </c>
      <c r="N552" s="6">
        <v>0.4</v>
      </c>
      <c r="O552" s="6">
        <v>0.4</v>
      </c>
      <c r="P552" s="6">
        <v>4</v>
      </c>
      <c r="Q552" s="4" t="s">
        <v>26</v>
      </c>
      <c r="R552" s="4">
        <v>0</v>
      </c>
      <c r="S552" s="6">
        <v>0</v>
      </c>
      <c r="T552" s="6">
        <v>77</v>
      </c>
      <c r="U552" s="6">
        <v>52</v>
      </c>
      <c r="V552" s="6">
        <f>IF(ISERROR(VLOOKUP($S$552,'TAR FIN'!$A$1:$O$92,15,0)),0,VLOOKUP($S$552,'TAR FIN'!$A$1:$O$92,15,0))</f>
        <v>0</v>
      </c>
      <c r="W552" s="104">
        <f>IF(ISERROR(VLOOKUP($T$497,'TAR FIN CELESC'!$A$1:$O$92,15,0)),0,VLOOKUP($T$497,'TAR FIN CELESC'!$A$1:$O$92,15,0))</f>
        <v>244.85</v>
      </c>
      <c r="X552" s="104">
        <f>IF(ISERROR(VLOOKUP($U$497,'TAR FIN CELESC'!$A$1:$O$92,15,0)),0,VLOOKUP($U$497,'TAR FIN CELESC'!$A$1:$O$92,15,0))</f>
        <v>287.39</v>
      </c>
      <c r="Y552" s="6"/>
      <c r="Z552" s="6">
        <f ca="1">('TUSD BE'!$AM$52+'TUSD BF_350'!$AM$52+'TUSD CVA'!$AM$52)*1</f>
        <v>310.49</v>
      </c>
      <c r="AA552" s="6">
        <f ca="1">('TE BE'!$AB$40+'TE BF_350'!$AB$40+'TE CVA'!$AB$40)*1</f>
        <v>262.52999999999997</v>
      </c>
      <c r="AB552" s="6">
        <f>$K$552*$V$552</f>
        <v>0</v>
      </c>
      <c r="AC552" s="6">
        <f>$M$552*$W$552</f>
        <v>97.94</v>
      </c>
      <c r="AD552" s="6">
        <f>$O$552*$X$552</f>
        <v>114.956</v>
      </c>
      <c r="AE552" s="6">
        <f>$K$552*$Y$552</f>
        <v>0</v>
      </c>
      <c r="AF552" s="6">
        <f ca="1">$M$552*$Z$552</f>
        <v>124.19600000000001</v>
      </c>
      <c r="AG552" s="6">
        <f ca="1">$O$552*$AA$552</f>
        <v>105.012</v>
      </c>
    </row>
    <row r="553" spans="1:33" ht="11.25" customHeight="1" x14ac:dyDescent="0.3">
      <c r="A553" s="4" t="s">
        <v>21</v>
      </c>
      <c r="B553" s="4" t="s">
        <v>32</v>
      </c>
      <c r="C553" s="4" t="s">
        <v>23</v>
      </c>
      <c r="D553" s="4" t="s">
        <v>33</v>
      </c>
      <c r="E553" s="4" t="s">
        <v>25</v>
      </c>
      <c r="F553" s="4" t="s">
        <v>25</v>
      </c>
      <c r="G553" s="4" t="s">
        <v>25</v>
      </c>
      <c r="H553" s="4" t="s">
        <v>25</v>
      </c>
      <c r="I553" s="5">
        <v>44713</v>
      </c>
      <c r="J553" s="6">
        <v>0</v>
      </c>
      <c r="K553" s="6">
        <v>0</v>
      </c>
      <c r="L553" s="6">
        <v>99.206000000000003</v>
      </c>
      <c r="M553" s="6">
        <v>99.206000000000003</v>
      </c>
      <c r="N553" s="6">
        <v>99.206000000000003</v>
      </c>
      <c r="O553" s="6">
        <v>99.206000000000003</v>
      </c>
      <c r="P553" s="6">
        <v>86</v>
      </c>
      <c r="Q553" s="4" t="s">
        <v>26</v>
      </c>
      <c r="R553" s="4">
        <v>0</v>
      </c>
      <c r="S553" s="6">
        <v>0</v>
      </c>
      <c r="T553" s="6">
        <v>77</v>
      </c>
      <c r="U553" s="6">
        <v>52</v>
      </c>
      <c r="V553" s="6">
        <f>IF(ISERROR(VLOOKUP($S$553,'TAR FIN'!$A$1:$O$92,15,0)),0,VLOOKUP($S$553,'TAR FIN'!$A$1:$O$92,15,0))</f>
        <v>0</v>
      </c>
      <c r="W553" s="104">
        <f>IF(ISERROR(VLOOKUP($T$497,'TAR FIN CELESC'!$A$1:$O$92,15,0)),0,VLOOKUP($T$497,'TAR FIN CELESC'!$A$1:$O$92,15,0))</f>
        <v>244.85</v>
      </c>
      <c r="X553" s="104">
        <f>IF(ISERROR(VLOOKUP($U$497,'TAR FIN CELESC'!$A$1:$O$92,15,0)),0,VLOOKUP($U$497,'TAR FIN CELESC'!$A$1:$O$92,15,0))</f>
        <v>287.39</v>
      </c>
      <c r="Y553" s="6"/>
      <c r="Z553" s="6">
        <f ca="1">('TUSD BE'!$AM$52+'TUSD BF_350'!$AM$52+'TUSD CVA'!$AM$52)*1</f>
        <v>310.49</v>
      </c>
      <c r="AA553" s="6">
        <f ca="1">('TE BE'!$AB$40+'TE BF_350'!$AB$40+'TE CVA'!$AB$40)*1</f>
        <v>262.52999999999997</v>
      </c>
      <c r="AB553" s="6">
        <f>$K$553*$V$553</f>
        <v>0</v>
      </c>
      <c r="AC553" s="6">
        <f>$M$553*$W$553</f>
        <v>24290.589100000001</v>
      </c>
      <c r="AD553" s="6">
        <f>$O$553*$X$553</f>
        <v>28510.81234</v>
      </c>
      <c r="AE553" s="6">
        <f>$K$553*$Y$553</f>
        <v>0</v>
      </c>
      <c r="AF553" s="6">
        <f ca="1">$M$553*$Z$553</f>
        <v>30802.470940000003</v>
      </c>
      <c r="AG553" s="6">
        <f ca="1">$O$553*$AA$553</f>
        <v>26044.551179999999</v>
      </c>
    </row>
    <row r="554" spans="1:33" ht="11.25" customHeight="1" x14ac:dyDescent="0.3">
      <c r="A554" s="4" t="s">
        <v>27</v>
      </c>
      <c r="B554" s="4" t="s">
        <v>32</v>
      </c>
      <c r="C554" s="4" t="s">
        <v>23</v>
      </c>
      <c r="D554" s="4" t="s">
        <v>33</v>
      </c>
      <c r="E554" s="4" t="s">
        <v>25</v>
      </c>
      <c r="F554" s="4" t="s">
        <v>25</v>
      </c>
      <c r="G554" s="4" t="s">
        <v>25</v>
      </c>
      <c r="H554" s="4" t="s">
        <v>25</v>
      </c>
      <c r="I554" s="5">
        <v>44713</v>
      </c>
      <c r="J554" s="6">
        <v>0</v>
      </c>
      <c r="K554" s="6">
        <v>0</v>
      </c>
      <c r="L554" s="6">
        <v>2.3279999999999998</v>
      </c>
      <c r="M554" s="6">
        <v>2.3279999999999998</v>
      </c>
      <c r="N554" s="6">
        <v>2.3279999999999998</v>
      </c>
      <c r="O554" s="6">
        <v>2.3279999999999998</v>
      </c>
      <c r="P554" s="6">
        <v>5</v>
      </c>
      <c r="Q554" s="4" t="s">
        <v>26</v>
      </c>
      <c r="R554" s="4">
        <v>0</v>
      </c>
      <c r="S554" s="6">
        <v>0</v>
      </c>
      <c r="T554" s="6">
        <v>77</v>
      </c>
      <c r="U554" s="6">
        <v>52</v>
      </c>
      <c r="V554" s="6">
        <f>IF(ISERROR(VLOOKUP($S$554,'TAR FIN'!$A$1:$O$92,15,0)),0,VLOOKUP($S$554,'TAR FIN'!$A$1:$O$92,15,0))</f>
        <v>0</v>
      </c>
      <c r="W554" s="104">
        <f>IF(ISERROR(VLOOKUP($T$497,'TAR FIN CELESC'!$A$1:$O$92,15,0)),0,VLOOKUP($T$497,'TAR FIN CELESC'!$A$1:$O$92,15,0))</f>
        <v>244.85</v>
      </c>
      <c r="X554" s="104">
        <f>IF(ISERROR(VLOOKUP($U$497,'TAR FIN CELESC'!$A$1:$O$92,15,0)),0,VLOOKUP($U$497,'TAR FIN CELESC'!$A$1:$O$92,15,0))</f>
        <v>287.39</v>
      </c>
      <c r="Y554" s="6"/>
      <c r="Z554" s="6">
        <f ca="1">('TUSD BE'!$AM$52+'TUSD BF_350'!$AM$52+'TUSD CVA'!$AM$52)*1</f>
        <v>310.49</v>
      </c>
      <c r="AA554" s="6">
        <f ca="1">('TE BE'!$AB$40+'TE BF_350'!$AB$40+'TE CVA'!$AB$40)*1</f>
        <v>262.52999999999997</v>
      </c>
      <c r="AB554" s="6">
        <f>$K$554*$V$554</f>
        <v>0</v>
      </c>
      <c r="AC554" s="6">
        <f>$M$554*$W$554</f>
        <v>570.0107999999999</v>
      </c>
      <c r="AD554" s="6">
        <f>$O$554*$X$554</f>
        <v>669.04391999999996</v>
      </c>
      <c r="AE554" s="6">
        <f>$K$554*$Y$554</f>
        <v>0</v>
      </c>
      <c r="AF554" s="6">
        <f ca="1">$M$554*$Z$554</f>
        <v>722.82071999999994</v>
      </c>
      <c r="AG554" s="6">
        <f ca="1">$O$554*$AA$554</f>
        <v>611.16983999999991</v>
      </c>
    </row>
    <row r="555" spans="1:33" ht="11.25" customHeight="1" x14ac:dyDescent="0.3">
      <c r="A555" s="4" t="s">
        <v>21</v>
      </c>
      <c r="B555" s="4" t="s">
        <v>32</v>
      </c>
      <c r="C555" s="4" t="s">
        <v>23</v>
      </c>
      <c r="D555" s="4" t="s">
        <v>33</v>
      </c>
      <c r="E555" s="4" t="s">
        <v>25</v>
      </c>
      <c r="F555" s="4" t="s">
        <v>25</v>
      </c>
      <c r="G555" s="4" t="s">
        <v>25</v>
      </c>
      <c r="H555" s="4" t="s">
        <v>25</v>
      </c>
      <c r="I555" s="5">
        <v>44743</v>
      </c>
      <c r="J555" s="6">
        <v>0</v>
      </c>
      <c r="K555" s="6">
        <v>0</v>
      </c>
      <c r="L555" s="6">
        <v>106.953</v>
      </c>
      <c r="M555" s="6">
        <v>106.953</v>
      </c>
      <c r="N555" s="6">
        <v>106.953</v>
      </c>
      <c r="O555" s="6">
        <v>106.953</v>
      </c>
      <c r="P555" s="6">
        <v>83</v>
      </c>
      <c r="Q555" s="4" t="s">
        <v>26</v>
      </c>
      <c r="R555" s="4">
        <v>0</v>
      </c>
      <c r="S555" s="6">
        <v>0</v>
      </c>
      <c r="T555" s="6">
        <v>77</v>
      </c>
      <c r="U555" s="6">
        <v>52</v>
      </c>
      <c r="V555" s="6">
        <f>IF(ISERROR(VLOOKUP($S$555,'TAR FIN'!$A$1:$O$92,15,0)),0,VLOOKUP($S$555,'TAR FIN'!$A$1:$O$92,15,0))</f>
        <v>0</v>
      </c>
      <c r="W555" s="104">
        <f>IF(ISERROR(VLOOKUP($T$497,'TAR FIN CELESC'!$A$1:$O$92,15,0)),0,VLOOKUP($T$497,'TAR FIN CELESC'!$A$1:$O$92,15,0))</f>
        <v>244.85</v>
      </c>
      <c r="X555" s="104">
        <f>IF(ISERROR(VLOOKUP($U$497,'TAR FIN CELESC'!$A$1:$O$92,15,0)),0,VLOOKUP($U$497,'TAR FIN CELESC'!$A$1:$O$92,15,0))</f>
        <v>287.39</v>
      </c>
      <c r="Y555" s="6"/>
      <c r="Z555" s="6">
        <f ca="1">('TUSD BE'!$AM$52+'TUSD BF_350'!$AM$52+'TUSD CVA'!$AM$52)*1</f>
        <v>310.49</v>
      </c>
      <c r="AA555" s="6">
        <f ca="1">('TE BE'!$AB$40+'TE BF_350'!$AB$40+'TE CVA'!$AB$40)*1</f>
        <v>262.52999999999997</v>
      </c>
      <c r="AB555" s="6">
        <f>$K$555*$V$555</f>
        <v>0</v>
      </c>
      <c r="AC555" s="6">
        <f>$M$555*$W$555</f>
        <v>26187.442050000001</v>
      </c>
      <c r="AD555" s="6">
        <f>$O$555*$X$555</f>
        <v>30737.222669999999</v>
      </c>
      <c r="AE555" s="6">
        <f>$K$555*$Y$555</f>
        <v>0</v>
      </c>
      <c r="AF555" s="6">
        <f ca="1">$M$555*$Z$555</f>
        <v>33207.836970000004</v>
      </c>
      <c r="AG555" s="6">
        <f ca="1">$O$555*$AA$555</f>
        <v>28078.371089999997</v>
      </c>
    </row>
    <row r="556" spans="1:33" ht="11.25" customHeight="1" x14ac:dyDescent="0.3">
      <c r="A556" s="4" t="s">
        <v>27</v>
      </c>
      <c r="B556" s="4" t="s">
        <v>32</v>
      </c>
      <c r="C556" s="4" t="s">
        <v>23</v>
      </c>
      <c r="D556" s="4" t="s">
        <v>33</v>
      </c>
      <c r="E556" s="4" t="s">
        <v>25</v>
      </c>
      <c r="F556" s="4" t="s">
        <v>25</v>
      </c>
      <c r="G556" s="4" t="s">
        <v>25</v>
      </c>
      <c r="H556" s="4" t="s">
        <v>25</v>
      </c>
      <c r="I556" s="5">
        <v>44743</v>
      </c>
      <c r="J556" s="6">
        <v>0</v>
      </c>
      <c r="K556" s="6">
        <v>0</v>
      </c>
      <c r="L556" s="6">
        <v>6.556</v>
      </c>
      <c r="M556" s="6">
        <v>6.556</v>
      </c>
      <c r="N556" s="6">
        <v>6.556</v>
      </c>
      <c r="O556" s="6">
        <v>6.556</v>
      </c>
      <c r="P556" s="6">
        <v>6</v>
      </c>
      <c r="Q556" s="4" t="s">
        <v>26</v>
      </c>
      <c r="R556" s="4">
        <v>0</v>
      </c>
      <c r="S556" s="6">
        <v>0</v>
      </c>
      <c r="T556" s="6">
        <v>77</v>
      </c>
      <c r="U556" s="6">
        <v>52</v>
      </c>
      <c r="V556" s="6">
        <f>IF(ISERROR(VLOOKUP($S$556,'TAR FIN'!$A$1:$O$92,15,0)),0,VLOOKUP($S$556,'TAR FIN'!$A$1:$O$92,15,0))</f>
        <v>0</v>
      </c>
      <c r="W556" s="104">
        <f>IF(ISERROR(VLOOKUP($T$497,'TAR FIN CELESC'!$A$1:$O$92,15,0)),0,VLOOKUP($T$497,'TAR FIN CELESC'!$A$1:$O$92,15,0))</f>
        <v>244.85</v>
      </c>
      <c r="X556" s="104">
        <f>IF(ISERROR(VLOOKUP($U$497,'TAR FIN CELESC'!$A$1:$O$92,15,0)),0,VLOOKUP($U$497,'TAR FIN CELESC'!$A$1:$O$92,15,0))</f>
        <v>287.39</v>
      </c>
      <c r="Y556" s="6"/>
      <c r="Z556" s="6">
        <f ca="1">('TUSD BE'!$AM$52+'TUSD BF_350'!$AM$52+'TUSD CVA'!$AM$52)*1</f>
        <v>310.49</v>
      </c>
      <c r="AA556" s="6">
        <f ca="1">('TE BE'!$AB$40+'TE BF_350'!$AB$40+'TE CVA'!$AB$40)*1</f>
        <v>262.52999999999997</v>
      </c>
      <c r="AB556" s="6">
        <f>$K$556*$V$556</f>
        <v>0</v>
      </c>
      <c r="AC556" s="6">
        <f>$M$556*$W$556</f>
        <v>1605.2366</v>
      </c>
      <c r="AD556" s="6">
        <f>$O$556*$X$556</f>
        <v>1884.1288399999999</v>
      </c>
      <c r="AE556" s="6">
        <f>$K$556*$Y$556</f>
        <v>0</v>
      </c>
      <c r="AF556" s="6">
        <f ca="1">$M$556*$Z$556</f>
        <v>2035.5724400000001</v>
      </c>
      <c r="AG556" s="6">
        <f ca="1">$O$556*$AA$556</f>
        <v>1721.1466799999998</v>
      </c>
    </row>
    <row r="557" spans="1:33" ht="11.25" customHeight="1" x14ac:dyDescent="0.3">
      <c r="A557" s="4" t="s">
        <v>21</v>
      </c>
      <c r="B557" s="4" t="s">
        <v>32</v>
      </c>
      <c r="C557" s="4" t="s">
        <v>23</v>
      </c>
      <c r="D557" s="4" t="s">
        <v>43</v>
      </c>
      <c r="E557" s="4" t="s">
        <v>25</v>
      </c>
      <c r="F557" s="4" t="s">
        <v>25</v>
      </c>
      <c r="G557" s="4" t="s">
        <v>25</v>
      </c>
      <c r="H557" s="4" t="s">
        <v>25</v>
      </c>
      <c r="I557" s="5">
        <v>44409</v>
      </c>
      <c r="J557" s="6">
        <v>0</v>
      </c>
      <c r="K557" s="6">
        <v>0</v>
      </c>
      <c r="L557" s="6">
        <v>67.95</v>
      </c>
      <c r="M557" s="6">
        <v>67.95</v>
      </c>
      <c r="N557" s="6">
        <v>67.95</v>
      </c>
      <c r="O557" s="6">
        <v>67.95</v>
      </c>
      <c r="P557" s="6">
        <v>75</v>
      </c>
      <c r="Q557" s="4" t="s">
        <v>26</v>
      </c>
      <c r="R557" s="4">
        <v>0</v>
      </c>
      <c r="S557" s="6">
        <v>0</v>
      </c>
      <c r="T557" s="6">
        <v>77</v>
      </c>
      <c r="U557" s="6">
        <v>52</v>
      </c>
      <c r="V557" s="6">
        <f>IF(ISERROR(VLOOKUP($S$557,'TAR FIN'!$A$1:$O$92,15,0)),0,VLOOKUP($S$557,'TAR FIN'!$A$1:$O$92,15,0))</f>
        <v>0</v>
      </c>
      <c r="W557" s="104">
        <f>IF(ISERROR(VLOOKUP($T$497,'TAR FIN CELESC'!$A$1:$O$92,15,0)),0,VLOOKUP($T$497,'TAR FIN CELESC'!$A$1:$O$92,15,0))</f>
        <v>244.85</v>
      </c>
      <c r="X557" s="104">
        <f>IF(ISERROR(VLOOKUP($U$497,'TAR FIN CELESC'!$A$1:$O$92,15,0)),0,VLOOKUP($U$497,'TAR FIN CELESC'!$A$1:$O$92,15,0))</f>
        <v>287.39</v>
      </c>
      <c r="Y557" s="6"/>
      <c r="Z557" s="6">
        <f ca="1">('TUSD BE'!$AM$52+'TUSD BF_350'!$AM$52+'TUSD CVA'!$AM$52)*1</f>
        <v>310.49</v>
      </c>
      <c r="AA557" s="6">
        <f ca="1">('TE BE'!$AB$40+'TE BF_350'!$AB$40+'TE CVA'!$AB$40)*1</f>
        <v>262.52999999999997</v>
      </c>
      <c r="AB557" s="6">
        <f>$K$557*$V$557</f>
        <v>0</v>
      </c>
      <c r="AC557" s="6">
        <f>$M$557*$W$557</f>
        <v>16637.557499999999</v>
      </c>
      <c r="AD557" s="6">
        <f>$O$557*$X$557</f>
        <v>19528.1505</v>
      </c>
      <c r="AE557" s="6">
        <f>$K$557*$Y$557</f>
        <v>0</v>
      </c>
      <c r="AF557" s="6">
        <f ca="1">$M$557*$Z$557</f>
        <v>21097.7955</v>
      </c>
      <c r="AG557" s="6">
        <f ca="1">$O$557*$AA$557</f>
        <v>17838.913499999999</v>
      </c>
    </row>
    <row r="558" spans="1:33" ht="11.25" customHeight="1" x14ac:dyDescent="0.3">
      <c r="A558" s="4" t="s">
        <v>27</v>
      </c>
      <c r="B558" s="4" t="s">
        <v>32</v>
      </c>
      <c r="C558" s="4" t="s">
        <v>23</v>
      </c>
      <c r="D558" s="4" t="s">
        <v>43</v>
      </c>
      <c r="E558" s="4" t="s">
        <v>25</v>
      </c>
      <c r="F558" s="4" t="s">
        <v>25</v>
      </c>
      <c r="G558" s="4" t="s">
        <v>25</v>
      </c>
      <c r="H558" s="4" t="s">
        <v>25</v>
      </c>
      <c r="I558" s="5">
        <v>44409</v>
      </c>
      <c r="J558" s="6">
        <v>0</v>
      </c>
      <c r="K558" s="6">
        <v>0</v>
      </c>
      <c r="L558" s="6">
        <v>0.52400000000000002</v>
      </c>
      <c r="M558" s="6">
        <v>0.52400000000000002</v>
      </c>
      <c r="N558" s="6">
        <v>0.52400000000000002</v>
      </c>
      <c r="O558" s="6">
        <v>0.52400000000000002</v>
      </c>
      <c r="P558" s="6">
        <v>2</v>
      </c>
      <c r="Q558" s="4" t="s">
        <v>26</v>
      </c>
      <c r="R558" s="4">
        <v>0</v>
      </c>
      <c r="S558" s="6">
        <v>0</v>
      </c>
      <c r="T558" s="6">
        <v>77</v>
      </c>
      <c r="U558" s="6">
        <v>52</v>
      </c>
      <c r="V558" s="6">
        <f>IF(ISERROR(VLOOKUP($S$558,'TAR FIN'!$A$1:$O$92,15,0)),0,VLOOKUP($S$558,'TAR FIN'!$A$1:$O$92,15,0))</f>
        <v>0</v>
      </c>
      <c r="W558" s="104">
        <f>IF(ISERROR(VLOOKUP($T$497,'TAR FIN CELESC'!$A$1:$O$92,15,0)),0,VLOOKUP($T$497,'TAR FIN CELESC'!$A$1:$O$92,15,0))</f>
        <v>244.85</v>
      </c>
      <c r="X558" s="104">
        <f>IF(ISERROR(VLOOKUP($U$497,'TAR FIN CELESC'!$A$1:$O$92,15,0)),0,VLOOKUP($U$497,'TAR FIN CELESC'!$A$1:$O$92,15,0))</f>
        <v>287.39</v>
      </c>
      <c r="Y558" s="6"/>
      <c r="Z558" s="6">
        <f ca="1">('TUSD BE'!$AM$52+'TUSD BF_350'!$AM$52+'TUSD CVA'!$AM$52)*1</f>
        <v>310.49</v>
      </c>
      <c r="AA558" s="6">
        <f ca="1">('TE BE'!$AB$40+'TE BF_350'!$AB$40+'TE CVA'!$AB$40)*1</f>
        <v>262.52999999999997</v>
      </c>
      <c r="AB558" s="6">
        <f>$K$558*$V$558</f>
        <v>0</v>
      </c>
      <c r="AC558" s="6">
        <f>$M$558*$W$558</f>
        <v>128.3014</v>
      </c>
      <c r="AD558" s="6">
        <f>$O$558*$X$558</f>
        <v>150.59235999999999</v>
      </c>
      <c r="AE558" s="6">
        <f>$K$558*$Y$558</f>
        <v>0</v>
      </c>
      <c r="AF558" s="6">
        <f ca="1">$M$558*$Z$558</f>
        <v>162.69676000000001</v>
      </c>
      <c r="AG558" s="6">
        <f ca="1">$O$558*$AA$558</f>
        <v>137.56572</v>
      </c>
    </row>
    <row r="559" spans="1:33" ht="11.25" customHeight="1" x14ac:dyDescent="0.3">
      <c r="A559" s="4" t="s">
        <v>21</v>
      </c>
      <c r="B559" s="4" t="s">
        <v>32</v>
      </c>
      <c r="C559" s="4" t="s">
        <v>23</v>
      </c>
      <c r="D559" s="4" t="s">
        <v>43</v>
      </c>
      <c r="E559" s="4" t="s">
        <v>25</v>
      </c>
      <c r="F559" s="4" t="s">
        <v>25</v>
      </c>
      <c r="G559" s="4" t="s">
        <v>25</v>
      </c>
      <c r="H559" s="4" t="s">
        <v>25</v>
      </c>
      <c r="I559" s="5">
        <v>44440</v>
      </c>
      <c r="J559" s="6">
        <v>0</v>
      </c>
      <c r="K559" s="6">
        <v>0</v>
      </c>
      <c r="L559" s="6">
        <v>71.960999999999999</v>
      </c>
      <c r="M559" s="6">
        <v>71.960999999999999</v>
      </c>
      <c r="N559" s="6">
        <v>71.960999999999999</v>
      </c>
      <c r="O559" s="6">
        <v>71.960999999999999</v>
      </c>
      <c r="P559" s="6">
        <v>75</v>
      </c>
      <c r="Q559" s="4" t="s">
        <v>26</v>
      </c>
      <c r="R559" s="4">
        <v>0</v>
      </c>
      <c r="S559" s="6">
        <v>0</v>
      </c>
      <c r="T559" s="6">
        <v>77</v>
      </c>
      <c r="U559" s="6">
        <v>52</v>
      </c>
      <c r="V559" s="6">
        <f>IF(ISERROR(VLOOKUP($S$559,'TAR FIN'!$A$1:$O$92,15,0)),0,VLOOKUP($S$559,'TAR FIN'!$A$1:$O$92,15,0))</f>
        <v>0</v>
      </c>
      <c r="W559" s="104">
        <f>IF(ISERROR(VLOOKUP($T$497,'TAR FIN CELESC'!$A$1:$O$92,15,0)),0,VLOOKUP($T$497,'TAR FIN CELESC'!$A$1:$O$92,15,0))</f>
        <v>244.85</v>
      </c>
      <c r="X559" s="104">
        <f>IF(ISERROR(VLOOKUP($U$497,'TAR FIN CELESC'!$A$1:$O$92,15,0)),0,VLOOKUP($U$497,'TAR FIN CELESC'!$A$1:$O$92,15,0))</f>
        <v>287.39</v>
      </c>
      <c r="Y559" s="6"/>
      <c r="Z559" s="6">
        <f ca="1">('TUSD BE'!$AM$52+'TUSD BF_350'!$AM$52+'TUSD CVA'!$AM$52)*1</f>
        <v>310.49</v>
      </c>
      <c r="AA559" s="6">
        <f ca="1">('TE BE'!$AB$40+'TE BF_350'!$AB$40+'TE CVA'!$AB$40)*1</f>
        <v>262.52999999999997</v>
      </c>
      <c r="AB559" s="6">
        <f>$K$559*$V$559</f>
        <v>0</v>
      </c>
      <c r="AC559" s="6">
        <f>$M$559*$W$559</f>
        <v>17619.650849999998</v>
      </c>
      <c r="AD559" s="6">
        <f>$O$559*$X$559</f>
        <v>20680.871789999997</v>
      </c>
      <c r="AE559" s="6">
        <f>$K$559*$Y$559</f>
        <v>0</v>
      </c>
      <c r="AF559" s="6">
        <f ca="1">$M$559*$Z$559</f>
        <v>22343.170890000001</v>
      </c>
      <c r="AG559" s="6">
        <f ca="1">$O$559*$AA$559</f>
        <v>18891.921329999997</v>
      </c>
    </row>
    <row r="560" spans="1:33" ht="11.25" customHeight="1" x14ac:dyDescent="0.3">
      <c r="A560" s="4" t="s">
        <v>27</v>
      </c>
      <c r="B560" s="4" t="s">
        <v>32</v>
      </c>
      <c r="C560" s="4" t="s">
        <v>23</v>
      </c>
      <c r="D560" s="4" t="s">
        <v>43</v>
      </c>
      <c r="E560" s="4" t="s">
        <v>25</v>
      </c>
      <c r="F560" s="4" t="s">
        <v>25</v>
      </c>
      <c r="G560" s="4" t="s">
        <v>25</v>
      </c>
      <c r="H560" s="4" t="s">
        <v>25</v>
      </c>
      <c r="I560" s="5">
        <v>44440</v>
      </c>
      <c r="J560" s="6">
        <v>0</v>
      </c>
      <c r="K560" s="6">
        <v>0</v>
      </c>
      <c r="L560" s="6">
        <v>0.65500000000000003</v>
      </c>
      <c r="M560" s="6">
        <v>0.65500000000000003</v>
      </c>
      <c r="N560" s="6">
        <v>0.65500000000000003</v>
      </c>
      <c r="O560" s="6">
        <v>0.65500000000000003</v>
      </c>
      <c r="P560" s="6">
        <v>2</v>
      </c>
      <c r="Q560" s="4" t="s">
        <v>26</v>
      </c>
      <c r="R560" s="4">
        <v>0</v>
      </c>
      <c r="S560" s="6">
        <v>0</v>
      </c>
      <c r="T560" s="6">
        <v>77</v>
      </c>
      <c r="U560" s="6">
        <v>52</v>
      </c>
      <c r="V560" s="6">
        <f>IF(ISERROR(VLOOKUP($S$560,'TAR FIN'!$A$1:$O$92,15,0)),0,VLOOKUP($S$560,'TAR FIN'!$A$1:$O$92,15,0))</f>
        <v>0</v>
      </c>
      <c r="W560" s="104">
        <f>IF(ISERROR(VLOOKUP($T$497,'TAR FIN CELESC'!$A$1:$O$92,15,0)),0,VLOOKUP($T$497,'TAR FIN CELESC'!$A$1:$O$92,15,0))</f>
        <v>244.85</v>
      </c>
      <c r="X560" s="104">
        <f>IF(ISERROR(VLOOKUP($U$497,'TAR FIN CELESC'!$A$1:$O$92,15,0)),0,VLOOKUP($U$497,'TAR FIN CELESC'!$A$1:$O$92,15,0))</f>
        <v>287.39</v>
      </c>
      <c r="Y560" s="6"/>
      <c r="Z560" s="6">
        <f ca="1">('TUSD BE'!$AM$52+'TUSD BF_350'!$AM$52+'TUSD CVA'!$AM$52)*1</f>
        <v>310.49</v>
      </c>
      <c r="AA560" s="6">
        <f ca="1">('TE BE'!$AB$40+'TE BF_350'!$AB$40+'TE CVA'!$AB$40)*1</f>
        <v>262.52999999999997</v>
      </c>
      <c r="AB560" s="6">
        <f>$K$560*$V$560</f>
        <v>0</v>
      </c>
      <c r="AC560" s="6">
        <f>$M$560*$W$560</f>
        <v>160.37675000000002</v>
      </c>
      <c r="AD560" s="6">
        <f>$O$560*$X$560</f>
        <v>188.24045000000001</v>
      </c>
      <c r="AE560" s="6">
        <f>$K$560*$Y$560</f>
        <v>0</v>
      </c>
      <c r="AF560" s="6">
        <f ca="1">$M$560*$Z$560</f>
        <v>203.37095000000002</v>
      </c>
      <c r="AG560" s="6">
        <f ca="1">$O$560*$AA$560</f>
        <v>171.95714999999998</v>
      </c>
    </row>
    <row r="561" spans="1:33" ht="11.25" customHeight="1" x14ac:dyDescent="0.3">
      <c r="A561" s="4" t="s">
        <v>21</v>
      </c>
      <c r="B561" s="4" t="s">
        <v>32</v>
      </c>
      <c r="C561" s="4" t="s">
        <v>23</v>
      </c>
      <c r="D561" s="4" t="s">
        <v>43</v>
      </c>
      <c r="E561" s="4" t="s">
        <v>25</v>
      </c>
      <c r="F561" s="4" t="s">
        <v>25</v>
      </c>
      <c r="G561" s="4" t="s">
        <v>25</v>
      </c>
      <c r="H561" s="4" t="s">
        <v>25</v>
      </c>
      <c r="I561" s="5">
        <v>44470</v>
      </c>
      <c r="J561" s="6">
        <v>0</v>
      </c>
      <c r="K561" s="6">
        <v>0</v>
      </c>
      <c r="L561" s="6">
        <v>69.941000000000003</v>
      </c>
      <c r="M561" s="6">
        <v>69.941000000000003</v>
      </c>
      <c r="N561" s="6">
        <v>69.941000000000003</v>
      </c>
      <c r="O561" s="6">
        <v>69.941000000000003</v>
      </c>
      <c r="P561" s="6">
        <v>75</v>
      </c>
      <c r="Q561" s="4" t="s">
        <v>26</v>
      </c>
      <c r="R561" s="4">
        <v>0</v>
      </c>
      <c r="S561" s="6">
        <v>0</v>
      </c>
      <c r="T561" s="6">
        <v>77</v>
      </c>
      <c r="U561" s="6">
        <v>52</v>
      </c>
      <c r="V561" s="6">
        <f>IF(ISERROR(VLOOKUP($S$561,'TAR FIN'!$A$1:$O$92,15,0)),0,VLOOKUP($S$561,'TAR FIN'!$A$1:$O$92,15,0))</f>
        <v>0</v>
      </c>
      <c r="W561" s="104">
        <f>IF(ISERROR(VLOOKUP($T$497,'TAR FIN CELESC'!$A$1:$O$92,15,0)),0,VLOOKUP($T$497,'TAR FIN CELESC'!$A$1:$O$92,15,0))</f>
        <v>244.85</v>
      </c>
      <c r="X561" s="104">
        <f>IF(ISERROR(VLOOKUP($U$497,'TAR FIN CELESC'!$A$1:$O$92,15,0)),0,VLOOKUP($U$497,'TAR FIN CELESC'!$A$1:$O$92,15,0))</f>
        <v>287.39</v>
      </c>
      <c r="Y561" s="6"/>
      <c r="Z561" s="6">
        <f ca="1">('TUSD BE'!$AM$52+'TUSD BF_350'!$AM$52+'TUSD CVA'!$AM$52)*1</f>
        <v>310.49</v>
      </c>
      <c r="AA561" s="6">
        <f ca="1">('TE BE'!$AB$40+'TE BF_350'!$AB$40+'TE CVA'!$AB$40)*1</f>
        <v>262.52999999999997</v>
      </c>
      <c r="AB561" s="6">
        <f>$K$561*$V$561</f>
        <v>0</v>
      </c>
      <c r="AC561" s="6">
        <f>$M$561*$W$561</f>
        <v>17125.05385</v>
      </c>
      <c r="AD561" s="6">
        <f>$O$561*$X$561</f>
        <v>20100.343990000001</v>
      </c>
      <c r="AE561" s="6">
        <f>$K$561*$Y$561</f>
        <v>0</v>
      </c>
      <c r="AF561" s="6">
        <f ca="1">$M$561*$Z$561</f>
        <v>21715.981090000001</v>
      </c>
      <c r="AG561" s="6">
        <f ca="1">$O$561*$AA$561</f>
        <v>18361.61073</v>
      </c>
    </row>
    <row r="562" spans="1:33" ht="11.25" customHeight="1" x14ac:dyDescent="0.3">
      <c r="A562" s="4" t="s">
        <v>27</v>
      </c>
      <c r="B562" s="4" t="s">
        <v>32</v>
      </c>
      <c r="C562" s="4" t="s">
        <v>23</v>
      </c>
      <c r="D562" s="4" t="s">
        <v>43</v>
      </c>
      <c r="E562" s="4" t="s">
        <v>25</v>
      </c>
      <c r="F562" s="4" t="s">
        <v>25</v>
      </c>
      <c r="G562" s="4" t="s">
        <v>25</v>
      </c>
      <c r="H562" s="4" t="s">
        <v>25</v>
      </c>
      <c r="I562" s="5">
        <v>44470</v>
      </c>
      <c r="J562" s="6">
        <v>0</v>
      </c>
      <c r="K562" s="6">
        <v>0</v>
      </c>
      <c r="L562" s="6">
        <v>0.67200000000000004</v>
      </c>
      <c r="M562" s="6">
        <v>0.67200000000000004</v>
      </c>
      <c r="N562" s="6">
        <v>0.67200000000000004</v>
      </c>
      <c r="O562" s="6">
        <v>0.67200000000000004</v>
      </c>
      <c r="P562" s="6">
        <v>2</v>
      </c>
      <c r="Q562" s="4" t="s">
        <v>26</v>
      </c>
      <c r="R562" s="4">
        <v>0</v>
      </c>
      <c r="S562" s="6">
        <v>0</v>
      </c>
      <c r="T562" s="6">
        <v>77</v>
      </c>
      <c r="U562" s="6">
        <v>52</v>
      </c>
      <c r="V562" s="6">
        <f>IF(ISERROR(VLOOKUP($S$562,'TAR FIN'!$A$1:$O$92,15,0)),0,VLOOKUP($S$562,'TAR FIN'!$A$1:$O$92,15,0))</f>
        <v>0</v>
      </c>
      <c r="W562" s="104">
        <f>IF(ISERROR(VLOOKUP($T$497,'TAR FIN CELESC'!$A$1:$O$92,15,0)),0,VLOOKUP($T$497,'TAR FIN CELESC'!$A$1:$O$92,15,0))</f>
        <v>244.85</v>
      </c>
      <c r="X562" s="104">
        <f>IF(ISERROR(VLOOKUP($U$497,'TAR FIN CELESC'!$A$1:$O$92,15,0)),0,VLOOKUP($U$497,'TAR FIN CELESC'!$A$1:$O$92,15,0))</f>
        <v>287.39</v>
      </c>
      <c r="Y562" s="6"/>
      <c r="Z562" s="6">
        <f ca="1">('TUSD BE'!$AM$52+'TUSD BF_350'!$AM$52+'TUSD CVA'!$AM$52)*1</f>
        <v>310.49</v>
      </c>
      <c r="AA562" s="6">
        <f ca="1">('TE BE'!$AB$40+'TE BF_350'!$AB$40+'TE CVA'!$AB$40)*1</f>
        <v>262.52999999999997</v>
      </c>
      <c r="AB562" s="6">
        <f>$K$562*$V$562</f>
        <v>0</v>
      </c>
      <c r="AC562" s="6">
        <f>$M$562*$W$562</f>
        <v>164.53919999999999</v>
      </c>
      <c r="AD562" s="6">
        <f>$O$562*$X$562</f>
        <v>193.12608</v>
      </c>
      <c r="AE562" s="6">
        <f>$K$562*$Y$562</f>
        <v>0</v>
      </c>
      <c r="AF562" s="6">
        <f ca="1">$M$562*$Z$562</f>
        <v>208.64928000000003</v>
      </c>
      <c r="AG562" s="6">
        <f ca="1">$O$562*$AA$562</f>
        <v>176.42015999999998</v>
      </c>
    </row>
    <row r="563" spans="1:33" ht="11.25" customHeight="1" x14ac:dyDescent="0.3">
      <c r="A563" s="4" t="s">
        <v>21</v>
      </c>
      <c r="B563" s="4" t="s">
        <v>32</v>
      </c>
      <c r="C563" s="4" t="s">
        <v>23</v>
      </c>
      <c r="D563" s="4" t="s">
        <v>43</v>
      </c>
      <c r="E563" s="4" t="s">
        <v>25</v>
      </c>
      <c r="F563" s="4" t="s">
        <v>25</v>
      </c>
      <c r="G563" s="4" t="s">
        <v>25</v>
      </c>
      <c r="H563" s="4" t="s">
        <v>25</v>
      </c>
      <c r="I563" s="5">
        <v>44501</v>
      </c>
      <c r="J563" s="6">
        <v>0</v>
      </c>
      <c r="K563" s="6">
        <v>0</v>
      </c>
      <c r="L563" s="6">
        <v>69.537999999999997</v>
      </c>
      <c r="M563" s="6">
        <v>69.537999999999997</v>
      </c>
      <c r="N563" s="6">
        <v>69.537999999999997</v>
      </c>
      <c r="O563" s="6">
        <v>69.537999999999997</v>
      </c>
      <c r="P563" s="6">
        <v>75</v>
      </c>
      <c r="Q563" s="4" t="s">
        <v>26</v>
      </c>
      <c r="R563" s="4">
        <v>0</v>
      </c>
      <c r="S563" s="6">
        <v>0</v>
      </c>
      <c r="T563" s="6">
        <v>77</v>
      </c>
      <c r="U563" s="6">
        <v>52</v>
      </c>
      <c r="V563" s="6">
        <f>IF(ISERROR(VLOOKUP($S$563,'TAR FIN'!$A$1:$O$92,15,0)),0,VLOOKUP($S$563,'TAR FIN'!$A$1:$O$92,15,0))</f>
        <v>0</v>
      </c>
      <c r="W563" s="104">
        <f>IF(ISERROR(VLOOKUP($T$497,'TAR FIN CELESC'!$A$1:$O$92,15,0)),0,VLOOKUP($T$497,'TAR FIN CELESC'!$A$1:$O$92,15,0))</f>
        <v>244.85</v>
      </c>
      <c r="X563" s="104">
        <f>IF(ISERROR(VLOOKUP($U$497,'TAR FIN CELESC'!$A$1:$O$92,15,0)),0,VLOOKUP($U$497,'TAR FIN CELESC'!$A$1:$O$92,15,0))</f>
        <v>287.39</v>
      </c>
      <c r="Y563" s="6"/>
      <c r="Z563" s="6">
        <f ca="1">('TUSD BE'!$AM$52+'TUSD BF_350'!$AM$52+'TUSD CVA'!$AM$52)*1</f>
        <v>310.49</v>
      </c>
      <c r="AA563" s="6">
        <f ca="1">('TE BE'!$AB$40+'TE BF_350'!$AB$40+'TE CVA'!$AB$40)*1</f>
        <v>262.52999999999997</v>
      </c>
      <c r="AB563" s="6">
        <f>$K$563*$V$563</f>
        <v>0</v>
      </c>
      <c r="AC563" s="6">
        <f>$M$563*$W$563</f>
        <v>17026.379300000001</v>
      </c>
      <c r="AD563" s="6">
        <f>$O$563*$X$563</f>
        <v>19984.525819999999</v>
      </c>
      <c r="AE563" s="6">
        <f>$K$563*$Y$563</f>
        <v>0</v>
      </c>
      <c r="AF563" s="6">
        <f ca="1">$M$563*$Z$563</f>
        <v>21590.853619999998</v>
      </c>
      <c r="AG563" s="6">
        <f ca="1">$O$563*$AA$563</f>
        <v>18255.811139999998</v>
      </c>
    </row>
    <row r="564" spans="1:33" ht="11.25" customHeight="1" x14ac:dyDescent="0.3">
      <c r="A564" s="4" t="s">
        <v>27</v>
      </c>
      <c r="B564" s="4" t="s">
        <v>32</v>
      </c>
      <c r="C564" s="4" t="s">
        <v>23</v>
      </c>
      <c r="D564" s="4" t="s">
        <v>43</v>
      </c>
      <c r="E564" s="4" t="s">
        <v>25</v>
      </c>
      <c r="F564" s="4" t="s">
        <v>25</v>
      </c>
      <c r="G564" s="4" t="s">
        <v>25</v>
      </c>
      <c r="H564" s="4" t="s">
        <v>25</v>
      </c>
      <c r="I564" s="5">
        <v>44501</v>
      </c>
      <c r="J564" s="6">
        <v>0</v>
      </c>
      <c r="K564" s="6">
        <v>0</v>
      </c>
      <c r="L564" s="6">
        <v>0.82699999999999996</v>
      </c>
      <c r="M564" s="6">
        <v>0.82699999999999996</v>
      </c>
      <c r="N564" s="6">
        <v>0.82699999999999996</v>
      </c>
      <c r="O564" s="6">
        <v>0.82699999999999996</v>
      </c>
      <c r="P564" s="6">
        <v>2</v>
      </c>
      <c r="Q564" s="4" t="s">
        <v>26</v>
      </c>
      <c r="R564" s="4">
        <v>0</v>
      </c>
      <c r="S564" s="6">
        <v>0</v>
      </c>
      <c r="T564" s="6">
        <v>77</v>
      </c>
      <c r="U564" s="6">
        <v>52</v>
      </c>
      <c r="V564" s="6">
        <f>IF(ISERROR(VLOOKUP($S$564,'TAR FIN'!$A$1:$O$92,15,0)),0,VLOOKUP($S$564,'TAR FIN'!$A$1:$O$92,15,0))</f>
        <v>0</v>
      </c>
      <c r="W564" s="104">
        <f>IF(ISERROR(VLOOKUP($T$497,'TAR FIN CELESC'!$A$1:$O$92,15,0)),0,VLOOKUP($T$497,'TAR FIN CELESC'!$A$1:$O$92,15,0))</f>
        <v>244.85</v>
      </c>
      <c r="X564" s="104">
        <f>IF(ISERROR(VLOOKUP($U$497,'TAR FIN CELESC'!$A$1:$O$92,15,0)),0,VLOOKUP($U$497,'TAR FIN CELESC'!$A$1:$O$92,15,0))</f>
        <v>287.39</v>
      </c>
      <c r="Y564" s="6"/>
      <c r="Z564" s="6">
        <f ca="1">('TUSD BE'!$AM$52+'TUSD BF_350'!$AM$52+'TUSD CVA'!$AM$52)*1</f>
        <v>310.49</v>
      </c>
      <c r="AA564" s="6">
        <f ca="1">('TE BE'!$AB$40+'TE BF_350'!$AB$40+'TE CVA'!$AB$40)*1</f>
        <v>262.52999999999997</v>
      </c>
      <c r="AB564" s="6">
        <f>$K$564*$V$564</f>
        <v>0</v>
      </c>
      <c r="AC564" s="6">
        <f>$M$564*$W$564</f>
        <v>202.49095</v>
      </c>
      <c r="AD564" s="6">
        <f>$O$564*$X$564</f>
        <v>237.67152999999999</v>
      </c>
      <c r="AE564" s="6">
        <f>$K$564*$Y$564</f>
        <v>0</v>
      </c>
      <c r="AF564" s="6">
        <f ca="1">$M$564*$Z$564</f>
        <v>256.77523000000002</v>
      </c>
      <c r="AG564" s="6">
        <f ca="1">$O$564*$AA$564</f>
        <v>217.11230999999998</v>
      </c>
    </row>
    <row r="565" spans="1:33" ht="11.25" customHeight="1" x14ac:dyDescent="0.3">
      <c r="A565" s="4" t="s">
        <v>21</v>
      </c>
      <c r="B565" s="4" t="s">
        <v>32</v>
      </c>
      <c r="C565" s="4" t="s">
        <v>23</v>
      </c>
      <c r="D565" s="4" t="s">
        <v>43</v>
      </c>
      <c r="E565" s="4" t="s">
        <v>25</v>
      </c>
      <c r="F565" s="4" t="s">
        <v>25</v>
      </c>
      <c r="G565" s="4" t="s">
        <v>25</v>
      </c>
      <c r="H565" s="4" t="s">
        <v>25</v>
      </c>
      <c r="I565" s="5">
        <v>44531</v>
      </c>
      <c r="J565" s="6">
        <v>0</v>
      </c>
      <c r="K565" s="6">
        <v>0</v>
      </c>
      <c r="L565" s="6">
        <v>87.212999999999994</v>
      </c>
      <c r="M565" s="6">
        <v>87.212999999999994</v>
      </c>
      <c r="N565" s="6">
        <v>87.212999999999994</v>
      </c>
      <c r="O565" s="6">
        <v>87.212999999999994</v>
      </c>
      <c r="P565" s="6">
        <v>73</v>
      </c>
      <c r="Q565" s="4" t="s">
        <v>26</v>
      </c>
      <c r="R565" s="4">
        <v>0</v>
      </c>
      <c r="S565" s="6">
        <v>0</v>
      </c>
      <c r="T565" s="6">
        <v>77</v>
      </c>
      <c r="U565" s="6">
        <v>52</v>
      </c>
      <c r="V565" s="6">
        <f>IF(ISERROR(VLOOKUP($S$565,'TAR FIN'!$A$1:$O$92,15,0)),0,VLOOKUP($S$565,'TAR FIN'!$A$1:$O$92,15,0))</f>
        <v>0</v>
      </c>
      <c r="W565" s="104">
        <f>IF(ISERROR(VLOOKUP($T$497,'TAR FIN CELESC'!$A$1:$O$92,15,0)),0,VLOOKUP($T$497,'TAR FIN CELESC'!$A$1:$O$92,15,0))</f>
        <v>244.85</v>
      </c>
      <c r="X565" s="104">
        <f>IF(ISERROR(VLOOKUP($U$497,'TAR FIN CELESC'!$A$1:$O$92,15,0)),0,VLOOKUP($U$497,'TAR FIN CELESC'!$A$1:$O$92,15,0))</f>
        <v>287.39</v>
      </c>
      <c r="Y565" s="6"/>
      <c r="Z565" s="6">
        <f ca="1">('TUSD BE'!$AM$52+'TUSD BF_350'!$AM$52+'TUSD CVA'!$AM$52)*1</f>
        <v>310.49</v>
      </c>
      <c r="AA565" s="6">
        <f ca="1">('TE BE'!$AB$40+'TE BF_350'!$AB$40+'TE CVA'!$AB$40)*1</f>
        <v>262.52999999999997</v>
      </c>
      <c r="AB565" s="6">
        <f>$K$565*$V$565</f>
        <v>0</v>
      </c>
      <c r="AC565" s="6">
        <f>$M$565*$W$565</f>
        <v>21354.103049999998</v>
      </c>
      <c r="AD565" s="6">
        <f>$O$565*$X$565</f>
        <v>25064.144069999998</v>
      </c>
      <c r="AE565" s="6">
        <f>$K$565*$Y$565</f>
        <v>0</v>
      </c>
      <c r="AF565" s="6">
        <f ca="1">$M$565*$Z$565</f>
        <v>27078.764369999997</v>
      </c>
      <c r="AG565" s="6">
        <f ca="1">$O$565*$AA$565</f>
        <v>22896.028889999998</v>
      </c>
    </row>
    <row r="566" spans="1:33" ht="11.25" customHeight="1" x14ac:dyDescent="0.3">
      <c r="A566" s="4" t="s">
        <v>27</v>
      </c>
      <c r="B566" s="4" t="s">
        <v>32</v>
      </c>
      <c r="C566" s="4" t="s">
        <v>23</v>
      </c>
      <c r="D566" s="4" t="s">
        <v>43</v>
      </c>
      <c r="E566" s="4" t="s">
        <v>25</v>
      </c>
      <c r="F566" s="4" t="s">
        <v>25</v>
      </c>
      <c r="G566" s="4" t="s">
        <v>25</v>
      </c>
      <c r="H566" s="4" t="s">
        <v>25</v>
      </c>
      <c r="I566" s="5">
        <v>44531</v>
      </c>
      <c r="J566" s="6">
        <v>0</v>
      </c>
      <c r="K566" s="6">
        <v>0</v>
      </c>
      <c r="L566" s="6">
        <v>1.367</v>
      </c>
      <c r="M566" s="6">
        <v>1.367</v>
      </c>
      <c r="N566" s="6">
        <v>1.367</v>
      </c>
      <c r="O566" s="6">
        <v>1.367</v>
      </c>
      <c r="P566" s="6">
        <v>2</v>
      </c>
      <c r="Q566" s="4" t="s">
        <v>26</v>
      </c>
      <c r="R566" s="4">
        <v>0</v>
      </c>
      <c r="S566" s="6">
        <v>0</v>
      </c>
      <c r="T566" s="6">
        <v>77</v>
      </c>
      <c r="U566" s="6">
        <v>52</v>
      </c>
      <c r="V566" s="6">
        <f>IF(ISERROR(VLOOKUP($S$566,'TAR FIN'!$A$1:$O$92,15,0)),0,VLOOKUP($S$566,'TAR FIN'!$A$1:$O$92,15,0))</f>
        <v>0</v>
      </c>
      <c r="W566" s="104">
        <f>IF(ISERROR(VLOOKUP($T$497,'TAR FIN CELESC'!$A$1:$O$92,15,0)),0,VLOOKUP($T$497,'TAR FIN CELESC'!$A$1:$O$92,15,0))</f>
        <v>244.85</v>
      </c>
      <c r="X566" s="104">
        <f>IF(ISERROR(VLOOKUP($U$497,'TAR FIN CELESC'!$A$1:$O$92,15,0)),0,VLOOKUP($U$497,'TAR FIN CELESC'!$A$1:$O$92,15,0))</f>
        <v>287.39</v>
      </c>
      <c r="Y566" s="6"/>
      <c r="Z566" s="6">
        <f ca="1">('TUSD BE'!$AM$52+'TUSD BF_350'!$AM$52+'TUSD CVA'!$AM$52)*1</f>
        <v>310.49</v>
      </c>
      <c r="AA566" s="6">
        <f ca="1">('TE BE'!$AB$40+'TE BF_350'!$AB$40+'TE CVA'!$AB$40)*1</f>
        <v>262.52999999999997</v>
      </c>
      <c r="AB566" s="6">
        <f>$K$566*$V$566</f>
        <v>0</v>
      </c>
      <c r="AC566" s="6">
        <f>$M$566*$W$566</f>
        <v>334.70994999999999</v>
      </c>
      <c r="AD566" s="6">
        <f>$O$566*$X$566</f>
        <v>392.86212999999998</v>
      </c>
      <c r="AE566" s="6">
        <f>$K$566*$Y$566</f>
        <v>0</v>
      </c>
      <c r="AF566" s="6">
        <f ca="1">$M$566*$Z$566</f>
        <v>424.43983000000003</v>
      </c>
      <c r="AG566" s="6">
        <f ca="1">$O$566*$AA$566</f>
        <v>358.87850999999995</v>
      </c>
    </row>
    <row r="567" spans="1:33" ht="11.25" customHeight="1" x14ac:dyDescent="0.3">
      <c r="A567" s="4" t="s">
        <v>21</v>
      </c>
      <c r="B567" s="4" t="s">
        <v>32</v>
      </c>
      <c r="C567" s="4" t="s">
        <v>23</v>
      </c>
      <c r="D567" s="4" t="s">
        <v>43</v>
      </c>
      <c r="E567" s="4" t="s">
        <v>25</v>
      </c>
      <c r="F567" s="4" t="s">
        <v>25</v>
      </c>
      <c r="G567" s="4" t="s">
        <v>25</v>
      </c>
      <c r="H567" s="4" t="s">
        <v>25</v>
      </c>
      <c r="I567" s="5">
        <v>44562</v>
      </c>
      <c r="J567" s="6">
        <v>0</v>
      </c>
      <c r="K567" s="6">
        <v>0</v>
      </c>
      <c r="L567" s="6">
        <v>77.984999999999999</v>
      </c>
      <c r="M567" s="6">
        <v>77.984999999999999</v>
      </c>
      <c r="N567" s="6">
        <v>77.984999999999999</v>
      </c>
      <c r="O567" s="6">
        <v>77.984999999999999</v>
      </c>
      <c r="P567" s="6">
        <v>73</v>
      </c>
      <c r="Q567" s="4" t="s">
        <v>26</v>
      </c>
      <c r="R567" s="4">
        <v>0</v>
      </c>
      <c r="S567" s="6">
        <v>0</v>
      </c>
      <c r="T567" s="6">
        <v>77</v>
      </c>
      <c r="U567" s="6">
        <v>52</v>
      </c>
      <c r="V567" s="6">
        <f>IF(ISERROR(VLOOKUP($S$567,'TAR FIN'!$A$1:$O$92,15,0)),0,VLOOKUP($S$567,'TAR FIN'!$A$1:$O$92,15,0))</f>
        <v>0</v>
      </c>
      <c r="W567" s="104">
        <f>IF(ISERROR(VLOOKUP($T$497,'TAR FIN CELESC'!$A$1:$O$92,15,0)),0,VLOOKUP($T$497,'TAR FIN CELESC'!$A$1:$O$92,15,0))</f>
        <v>244.85</v>
      </c>
      <c r="X567" s="104">
        <f>IF(ISERROR(VLOOKUP($U$497,'TAR FIN CELESC'!$A$1:$O$92,15,0)),0,VLOOKUP($U$497,'TAR FIN CELESC'!$A$1:$O$92,15,0))</f>
        <v>287.39</v>
      </c>
      <c r="Y567" s="6"/>
      <c r="Z567" s="6">
        <f ca="1">('TUSD BE'!$AM$52+'TUSD BF_350'!$AM$52+'TUSD CVA'!$AM$52)*1</f>
        <v>310.49</v>
      </c>
      <c r="AA567" s="6">
        <f ca="1">('TE BE'!$AB$40+'TE BF_350'!$AB$40+'TE CVA'!$AB$40)*1</f>
        <v>262.52999999999997</v>
      </c>
      <c r="AB567" s="6">
        <f>$K$567*$V$567</f>
        <v>0</v>
      </c>
      <c r="AC567" s="6">
        <f>$M$567*$W$567</f>
        <v>19094.627249999998</v>
      </c>
      <c r="AD567" s="6">
        <f>$O$567*$X$567</f>
        <v>22412.10915</v>
      </c>
      <c r="AE567" s="6">
        <f>$K$567*$Y$567</f>
        <v>0</v>
      </c>
      <c r="AF567" s="6">
        <f ca="1">$M$567*$Z$567</f>
        <v>24213.56265</v>
      </c>
      <c r="AG567" s="6">
        <f ca="1">$O$567*$AA$567</f>
        <v>20473.402049999997</v>
      </c>
    </row>
    <row r="568" spans="1:33" ht="11.25" customHeight="1" x14ac:dyDescent="0.3">
      <c r="A568" s="4" t="s">
        <v>27</v>
      </c>
      <c r="B568" s="4" t="s">
        <v>32</v>
      </c>
      <c r="C568" s="4" t="s">
        <v>23</v>
      </c>
      <c r="D568" s="4" t="s">
        <v>43</v>
      </c>
      <c r="E568" s="4" t="s">
        <v>25</v>
      </c>
      <c r="F568" s="4" t="s">
        <v>25</v>
      </c>
      <c r="G568" s="4" t="s">
        <v>25</v>
      </c>
      <c r="H568" s="4" t="s">
        <v>25</v>
      </c>
      <c r="I568" s="5">
        <v>44562</v>
      </c>
      <c r="J568" s="6">
        <v>0</v>
      </c>
      <c r="K568" s="6">
        <v>0</v>
      </c>
      <c r="L568" s="6">
        <v>0.65600000000000003</v>
      </c>
      <c r="M568" s="6">
        <v>0.65600000000000003</v>
      </c>
      <c r="N568" s="6">
        <v>0.65600000000000003</v>
      </c>
      <c r="O568" s="6">
        <v>0.65600000000000003</v>
      </c>
      <c r="P568" s="6">
        <v>2</v>
      </c>
      <c r="Q568" s="4" t="s">
        <v>26</v>
      </c>
      <c r="R568" s="4">
        <v>0</v>
      </c>
      <c r="S568" s="6">
        <v>0</v>
      </c>
      <c r="T568" s="6">
        <v>77</v>
      </c>
      <c r="U568" s="6">
        <v>52</v>
      </c>
      <c r="V568" s="6">
        <f>IF(ISERROR(VLOOKUP($S$568,'TAR FIN'!$A$1:$O$92,15,0)),0,VLOOKUP($S$568,'TAR FIN'!$A$1:$O$92,15,0))</f>
        <v>0</v>
      </c>
      <c r="W568" s="104">
        <f>IF(ISERROR(VLOOKUP($T$497,'TAR FIN CELESC'!$A$1:$O$92,15,0)),0,VLOOKUP($T$497,'TAR FIN CELESC'!$A$1:$O$92,15,0))</f>
        <v>244.85</v>
      </c>
      <c r="X568" s="104">
        <f>IF(ISERROR(VLOOKUP($U$497,'TAR FIN CELESC'!$A$1:$O$92,15,0)),0,VLOOKUP($U$497,'TAR FIN CELESC'!$A$1:$O$92,15,0))</f>
        <v>287.39</v>
      </c>
      <c r="Y568" s="6"/>
      <c r="Z568" s="6">
        <f ca="1">('TUSD BE'!$AM$52+'TUSD BF_350'!$AM$52+'TUSD CVA'!$AM$52)*1</f>
        <v>310.49</v>
      </c>
      <c r="AA568" s="6">
        <f ca="1">('TE BE'!$AB$40+'TE BF_350'!$AB$40+'TE CVA'!$AB$40)*1</f>
        <v>262.52999999999997</v>
      </c>
      <c r="AB568" s="6">
        <f>$K$568*$V$568</f>
        <v>0</v>
      </c>
      <c r="AC568" s="6">
        <f>$M$568*$W$568</f>
        <v>160.6216</v>
      </c>
      <c r="AD568" s="6">
        <f>$O$568*$X$568</f>
        <v>188.52784</v>
      </c>
      <c r="AE568" s="6">
        <f>$K$568*$Y$568</f>
        <v>0</v>
      </c>
      <c r="AF568" s="6">
        <f ca="1">$M$568*$Z$568</f>
        <v>203.68144000000001</v>
      </c>
      <c r="AG568" s="6">
        <f ca="1">$O$568*$AA$568</f>
        <v>172.21967999999998</v>
      </c>
    </row>
    <row r="569" spans="1:33" ht="11.25" customHeight="1" x14ac:dyDescent="0.3">
      <c r="A569" s="4" t="s">
        <v>21</v>
      </c>
      <c r="B569" s="4" t="s">
        <v>32</v>
      </c>
      <c r="C569" s="4" t="s">
        <v>23</v>
      </c>
      <c r="D569" s="4" t="s">
        <v>43</v>
      </c>
      <c r="E569" s="4" t="s">
        <v>25</v>
      </c>
      <c r="F569" s="4" t="s">
        <v>25</v>
      </c>
      <c r="G569" s="4" t="s">
        <v>25</v>
      </c>
      <c r="H569" s="4" t="s">
        <v>25</v>
      </c>
      <c r="I569" s="5">
        <v>44593</v>
      </c>
      <c r="J569" s="6">
        <v>0</v>
      </c>
      <c r="K569" s="6">
        <v>0</v>
      </c>
      <c r="L569" s="6">
        <v>88.49</v>
      </c>
      <c r="M569" s="6">
        <v>88.49</v>
      </c>
      <c r="N569" s="6">
        <v>88.49</v>
      </c>
      <c r="O569" s="6">
        <v>88.49</v>
      </c>
      <c r="P569" s="6">
        <v>73</v>
      </c>
      <c r="Q569" s="4" t="s">
        <v>26</v>
      </c>
      <c r="R569" s="4">
        <v>0</v>
      </c>
      <c r="S569" s="6">
        <v>0</v>
      </c>
      <c r="T569" s="6">
        <v>77</v>
      </c>
      <c r="U569" s="6">
        <v>52</v>
      </c>
      <c r="V569" s="6">
        <f>IF(ISERROR(VLOOKUP($S$569,'TAR FIN'!$A$1:$O$92,15,0)),0,VLOOKUP($S$569,'TAR FIN'!$A$1:$O$92,15,0))</f>
        <v>0</v>
      </c>
      <c r="W569" s="104">
        <f>IF(ISERROR(VLOOKUP($T$497,'TAR FIN CELESC'!$A$1:$O$92,15,0)),0,VLOOKUP($T$497,'TAR FIN CELESC'!$A$1:$O$92,15,0))</f>
        <v>244.85</v>
      </c>
      <c r="X569" s="104">
        <f>IF(ISERROR(VLOOKUP($U$497,'TAR FIN CELESC'!$A$1:$O$92,15,0)),0,VLOOKUP($U$497,'TAR FIN CELESC'!$A$1:$O$92,15,0))</f>
        <v>287.39</v>
      </c>
      <c r="Y569" s="6"/>
      <c r="Z569" s="6">
        <f ca="1">('TUSD BE'!$AM$52+'TUSD BF_350'!$AM$52+'TUSD CVA'!$AM$52)*1</f>
        <v>310.49</v>
      </c>
      <c r="AA569" s="6">
        <f ca="1">('TE BE'!$AB$40+'TE BF_350'!$AB$40+'TE CVA'!$AB$40)*1</f>
        <v>262.52999999999997</v>
      </c>
      <c r="AB569" s="6">
        <f>$K$569*$V$569</f>
        <v>0</v>
      </c>
      <c r="AC569" s="6">
        <f>$M$569*$W$569</f>
        <v>21666.7765</v>
      </c>
      <c r="AD569" s="6">
        <f>$O$569*$X$569</f>
        <v>25431.141099999997</v>
      </c>
      <c r="AE569" s="6">
        <f>$K$569*$Y$569</f>
        <v>0</v>
      </c>
      <c r="AF569" s="6">
        <f ca="1">$M$569*$Z$569</f>
        <v>27475.2601</v>
      </c>
      <c r="AG569" s="6">
        <f ca="1">$O$569*$AA$569</f>
        <v>23231.279699999996</v>
      </c>
    </row>
    <row r="570" spans="1:33" ht="11.25" customHeight="1" x14ac:dyDescent="0.3">
      <c r="A570" s="4" t="s">
        <v>27</v>
      </c>
      <c r="B570" s="4" t="s">
        <v>32</v>
      </c>
      <c r="C570" s="4" t="s">
        <v>23</v>
      </c>
      <c r="D570" s="4" t="s">
        <v>43</v>
      </c>
      <c r="E570" s="4" t="s">
        <v>25</v>
      </c>
      <c r="F570" s="4" t="s">
        <v>25</v>
      </c>
      <c r="G570" s="4" t="s">
        <v>25</v>
      </c>
      <c r="H570" s="4" t="s">
        <v>25</v>
      </c>
      <c r="I570" s="5">
        <v>44593</v>
      </c>
      <c r="J570" s="6">
        <v>0</v>
      </c>
      <c r="K570" s="6">
        <v>0</v>
      </c>
      <c r="L570" s="6">
        <v>0.2</v>
      </c>
      <c r="M570" s="6">
        <v>0.2</v>
      </c>
      <c r="N570" s="6">
        <v>0.2</v>
      </c>
      <c r="O570" s="6">
        <v>0.2</v>
      </c>
      <c r="P570" s="6">
        <v>2</v>
      </c>
      <c r="Q570" s="4" t="s">
        <v>26</v>
      </c>
      <c r="R570" s="4">
        <v>0</v>
      </c>
      <c r="S570" s="6">
        <v>0</v>
      </c>
      <c r="T570" s="6">
        <v>77</v>
      </c>
      <c r="U570" s="6">
        <v>52</v>
      </c>
      <c r="V570" s="6">
        <f>IF(ISERROR(VLOOKUP($S$570,'TAR FIN'!$A$1:$O$92,15,0)),0,VLOOKUP($S$570,'TAR FIN'!$A$1:$O$92,15,0))</f>
        <v>0</v>
      </c>
      <c r="W570" s="104">
        <f>IF(ISERROR(VLOOKUP($T$497,'TAR FIN CELESC'!$A$1:$O$92,15,0)),0,VLOOKUP($T$497,'TAR FIN CELESC'!$A$1:$O$92,15,0))</f>
        <v>244.85</v>
      </c>
      <c r="X570" s="104">
        <f>IF(ISERROR(VLOOKUP($U$497,'TAR FIN CELESC'!$A$1:$O$92,15,0)),0,VLOOKUP($U$497,'TAR FIN CELESC'!$A$1:$O$92,15,0))</f>
        <v>287.39</v>
      </c>
      <c r="Y570" s="6"/>
      <c r="Z570" s="6">
        <f ca="1">('TUSD BE'!$AM$52+'TUSD BF_350'!$AM$52+'TUSD CVA'!$AM$52)*1</f>
        <v>310.49</v>
      </c>
      <c r="AA570" s="6">
        <f ca="1">('TE BE'!$AB$40+'TE BF_350'!$AB$40+'TE CVA'!$AB$40)*1</f>
        <v>262.52999999999997</v>
      </c>
      <c r="AB570" s="6">
        <f>$K$570*$V$570</f>
        <v>0</v>
      </c>
      <c r="AC570" s="6">
        <f>$M$570*$W$570</f>
        <v>48.97</v>
      </c>
      <c r="AD570" s="6">
        <f>$O$570*$X$570</f>
        <v>57.478000000000002</v>
      </c>
      <c r="AE570" s="6">
        <f>$K$570*$Y$570</f>
        <v>0</v>
      </c>
      <c r="AF570" s="6">
        <f ca="1">$M$570*$Z$570</f>
        <v>62.098000000000006</v>
      </c>
      <c r="AG570" s="6">
        <f ca="1">$O$570*$AA$570</f>
        <v>52.506</v>
      </c>
    </row>
    <row r="571" spans="1:33" ht="11.25" customHeight="1" x14ac:dyDescent="0.3">
      <c r="A571" s="4" t="s">
        <v>21</v>
      </c>
      <c r="B571" s="4" t="s">
        <v>32</v>
      </c>
      <c r="C571" s="4" t="s">
        <v>23</v>
      </c>
      <c r="D571" s="4" t="s">
        <v>43</v>
      </c>
      <c r="E571" s="4" t="s">
        <v>25</v>
      </c>
      <c r="F571" s="4" t="s">
        <v>25</v>
      </c>
      <c r="G571" s="4" t="s">
        <v>25</v>
      </c>
      <c r="H571" s="4" t="s">
        <v>25</v>
      </c>
      <c r="I571" s="5">
        <v>44621</v>
      </c>
      <c r="J571" s="6">
        <v>0</v>
      </c>
      <c r="K571" s="6">
        <v>0</v>
      </c>
      <c r="L571" s="6">
        <v>109.11199999999999</v>
      </c>
      <c r="M571" s="6">
        <v>109.11199999999999</v>
      </c>
      <c r="N571" s="6">
        <v>109.11199999999999</v>
      </c>
      <c r="O571" s="6">
        <v>109.11199999999999</v>
      </c>
      <c r="P571" s="6">
        <v>73</v>
      </c>
      <c r="Q571" s="4" t="s">
        <v>26</v>
      </c>
      <c r="R571" s="4">
        <v>0</v>
      </c>
      <c r="S571" s="6">
        <v>0</v>
      </c>
      <c r="T571" s="6">
        <v>77</v>
      </c>
      <c r="U571" s="6">
        <v>52</v>
      </c>
      <c r="V571" s="6">
        <f>IF(ISERROR(VLOOKUP($S$571,'TAR FIN'!$A$1:$O$92,15,0)),0,VLOOKUP($S$571,'TAR FIN'!$A$1:$O$92,15,0))</f>
        <v>0</v>
      </c>
      <c r="W571" s="104">
        <f>IF(ISERROR(VLOOKUP($T$497,'TAR FIN CELESC'!$A$1:$O$92,15,0)),0,VLOOKUP($T$497,'TAR FIN CELESC'!$A$1:$O$92,15,0))</f>
        <v>244.85</v>
      </c>
      <c r="X571" s="104">
        <f>IF(ISERROR(VLOOKUP($U$497,'TAR FIN CELESC'!$A$1:$O$92,15,0)),0,VLOOKUP($U$497,'TAR FIN CELESC'!$A$1:$O$92,15,0))</f>
        <v>287.39</v>
      </c>
      <c r="Y571" s="6"/>
      <c r="Z571" s="6">
        <f ca="1">('TUSD BE'!$AM$52+'TUSD BF_350'!$AM$52+'TUSD CVA'!$AM$52)*1</f>
        <v>310.49</v>
      </c>
      <c r="AA571" s="6">
        <f ca="1">('TE BE'!$AB$40+'TE BF_350'!$AB$40+'TE CVA'!$AB$40)*1</f>
        <v>262.52999999999997</v>
      </c>
      <c r="AB571" s="6">
        <f>$K$571*$V$571</f>
        <v>0</v>
      </c>
      <c r="AC571" s="6">
        <f>$M$571*$W$571</f>
        <v>26716.073199999999</v>
      </c>
      <c r="AD571" s="6">
        <f>$O$571*$X$571</f>
        <v>31357.697679999997</v>
      </c>
      <c r="AE571" s="6">
        <f>$K$571*$Y$571</f>
        <v>0</v>
      </c>
      <c r="AF571" s="6">
        <f ca="1">$M$571*$Z$571</f>
        <v>33878.184880000001</v>
      </c>
      <c r="AG571" s="6">
        <f ca="1">$O$571*$AA$571</f>
        <v>28645.173359999997</v>
      </c>
    </row>
    <row r="572" spans="1:33" ht="11.25" customHeight="1" x14ac:dyDescent="0.3">
      <c r="A572" s="4" t="s">
        <v>27</v>
      </c>
      <c r="B572" s="4" t="s">
        <v>32</v>
      </c>
      <c r="C572" s="4" t="s">
        <v>23</v>
      </c>
      <c r="D572" s="4" t="s">
        <v>43</v>
      </c>
      <c r="E572" s="4" t="s">
        <v>25</v>
      </c>
      <c r="F572" s="4" t="s">
        <v>25</v>
      </c>
      <c r="G572" s="4" t="s">
        <v>25</v>
      </c>
      <c r="H572" s="4" t="s">
        <v>25</v>
      </c>
      <c r="I572" s="5">
        <v>44621</v>
      </c>
      <c r="J572" s="6">
        <v>0</v>
      </c>
      <c r="K572" s="6">
        <v>0</v>
      </c>
      <c r="L572" s="6">
        <v>1.6080000000000001</v>
      </c>
      <c r="M572" s="6">
        <v>1.6080000000000001</v>
      </c>
      <c r="N572" s="6">
        <v>1.6080000000000001</v>
      </c>
      <c r="O572" s="6">
        <v>1.6080000000000001</v>
      </c>
      <c r="P572" s="6">
        <v>2</v>
      </c>
      <c r="Q572" s="4" t="s">
        <v>26</v>
      </c>
      <c r="R572" s="4">
        <v>0</v>
      </c>
      <c r="S572" s="6">
        <v>0</v>
      </c>
      <c r="T572" s="6">
        <v>77</v>
      </c>
      <c r="U572" s="6">
        <v>52</v>
      </c>
      <c r="V572" s="6">
        <f>IF(ISERROR(VLOOKUP($S$572,'TAR FIN'!$A$1:$O$92,15,0)),0,VLOOKUP($S$572,'TAR FIN'!$A$1:$O$92,15,0))</f>
        <v>0</v>
      </c>
      <c r="W572" s="104">
        <f>IF(ISERROR(VLOOKUP($T$497,'TAR FIN CELESC'!$A$1:$O$92,15,0)),0,VLOOKUP($T$497,'TAR FIN CELESC'!$A$1:$O$92,15,0))</f>
        <v>244.85</v>
      </c>
      <c r="X572" s="104">
        <f>IF(ISERROR(VLOOKUP($U$497,'TAR FIN CELESC'!$A$1:$O$92,15,0)),0,VLOOKUP($U$497,'TAR FIN CELESC'!$A$1:$O$92,15,0))</f>
        <v>287.39</v>
      </c>
      <c r="Y572" s="6"/>
      <c r="Z572" s="6">
        <f ca="1">('TUSD BE'!$AM$52+'TUSD BF_350'!$AM$52+'TUSD CVA'!$AM$52)*1</f>
        <v>310.49</v>
      </c>
      <c r="AA572" s="6">
        <f ca="1">('TE BE'!$AB$40+'TE BF_350'!$AB$40+'TE CVA'!$AB$40)*1</f>
        <v>262.52999999999997</v>
      </c>
      <c r="AB572" s="6">
        <f>$K$572*$V$572</f>
        <v>0</v>
      </c>
      <c r="AC572" s="6">
        <f>$M$572*$W$572</f>
        <v>393.71879999999999</v>
      </c>
      <c r="AD572" s="6">
        <f>$O$572*$X$572</f>
        <v>462.12312000000003</v>
      </c>
      <c r="AE572" s="6">
        <f>$K$572*$Y$572</f>
        <v>0</v>
      </c>
      <c r="AF572" s="6">
        <f ca="1">$M$572*$Z$572</f>
        <v>499.26792000000006</v>
      </c>
      <c r="AG572" s="6">
        <f ca="1">$O$572*$AA$572</f>
        <v>422.14823999999999</v>
      </c>
    </row>
    <row r="573" spans="1:33" ht="11.25" customHeight="1" x14ac:dyDescent="0.3">
      <c r="A573" s="4" t="s">
        <v>21</v>
      </c>
      <c r="B573" s="4" t="s">
        <v>32</v>
      </c>
      <c r="C573" s="4" t="s">
        <v>23</v>
      </c>
      <c r="D573" s="4" t="s">
        <v>43</v>
      </c>
      <c r="E573" s="4" t="s">
        <v>25</v>
      </c>
      <c r="F573" s="4" t="s">
        <v>25</v>
      </c>
      <c r="G573" s="4" t="s">
        <v>25</v>
      </c>
      <c r="H573" s="4" t="s">
        <v>25</v>
      </c>
      <c r="I573" s="5">
        <v>44652</v>
      </c>
      <c r="J573" s="6">
        <v>0</v>
      </c>
      <c r="K573" s="6">
        <v>0</v>
      </c>
      <c r="L573" s="6">
        <v>107.56399999999999</v>
      </c>
      <c r="M573" s="6">
        <v>107.56399999999999</v>
      </c>
      <c r="N573" s="6">
        <v>107.56399999999999</v>
      </c>
      <c r="O573" s="6">
        <v>107.56399999999999</v>
      </c>
      <c r="P573" s="6">
        <v>73</v>
      </c>
      <c r="Q573" s="4" t="s">
        <v>26</v>
      </c>
      <c r="R573" s="4">
        <v>0</v>
      </c>
      <c r="S573" s="6">
        <v>0</v>
      </c>
      <c r="T573" s="6">
        <v>77</v>
      </c>
      <c r="U573" s="6">
        <v>52</v>
      </c>
      <c r="V573" s="6">
        <f>IF(ISERROR(VLOOKUP($S$573,'TAR FIN'!$A$1:$O$92,15,0)),0,VLOOKUP($S$573,'TAR FIN'!$A$1:$O$92,15,0))</f>
        <v>0</v>
      </c>
      <c r="W573" s="104">
        <f>IF(ISERROR(VLOOKUP($T$497,'TAR FIN CELESC'!$A$1:$O$92,15,0)),0,VLOOKUP($T$497,'TAR FIN CELESC'!$A$1:$O$92,15,0))</f>
        <v>244.85</v>
      </c>
      <c r="X573" s="104">
        <f>IF(ISERROR(VLOOKUP($U$497,'TAR FIN CELESC'!$A$1:$O$92,15,0)),0,VLOOKUP($U$497,'TAR FIN CELESC'!$A$1:$O$92,15,0))</f>
        <v>287.39</v>
      </c>
      <c r="Y573" s="6"/>
      <c r="Z573" s="6">
        <f ca="1">('TUSD BE'!$AM$52+'TUSD BF_350'!$AM$52+'TUSD CVA'!$AM$52)*1</f>
        <v>310.49</v>
      </c>
      <c r="AA573" s="6">
        <f ca="1">('TE BE'!$AB$40+'TE BF_350'!$AB$40+'TE CVA'!$AB$40)*1</f>
        <v>262.52999999999997</v>
      </c>
      <c r="AB573" s="6">
        <f>$K$573*$V$573</f>
        <v>0</v>
      </c>
      <c r="AC573" s="6">
        <f>$M$573*$W$573</f>
        <v>26337.045399999999</v>
      </c>
      <c r="AD573" s="6">
        <f>$O$573*$X$573</f>
        <v>30912.817959999997</v>
      </c>
      <c r="AE573" s="6">
        <f>$K$573*$Y$573</f>
        <v>0</v>
      </c>
      <c r="AF573" s="6">
        <f ca="1">$M$573*$Z$573</f>
        <v>33397.54636</v>
      </c>
      <c r="AG573" s="6">
        <f ca="1">$O$573*$AA$573</f>
        <v>28238.776919999997</v>
      </c>
    </row>
    <row r="574" spans="1:33" ht="11.25" customHeight="1" x14ac:dyDescent="0.3">
      <c r="A574" s="4" t="s">
        <v>27</v>
      </c>
      <c r="B574" s="4" t="s">
        <v>32</v>
      </c>
      <c r="C574" s="4" t="s">
        <v>23</v>
      </c>
      <c r="D574" s="4" t="s">
        <v>43</v>
      </c>
      <c r="E574" s="4" t="s">
        <v>25</v>
      </c>
      <c r="F574" s="4" t="s">
        <v>25</v>
      </c>
      <c r="G574" s="4" t="s">
        <v>25</v>
      </c>
      <c r="H574" s="4" t="s">
        <v>25</v>
      </c>
      <c r="I574" s="5">
        <v>44652</v>
      </c>
      <c r="J574" s="6">
        <v>0</v>
      </c>
      <c r="K574" s="6">
        <v>0</v>
      </c>
      <c r="L574" s="6">
        <v>1.5760000000000001</v>
      </c>
      <c r="M574" s="6">
        <v>1.5760000000000001</v>
      </c>
      <c r="N574" s="6">
        <v>1.5760000000000001</v>
      </c>
      <c r="O574" s="6">
        <v>1.5760000000000001</v>
      </c>
      <c r="P574" s="6">
        <v>2</v>
      </c>
      <c r="Q574" s="4" t="s">
        <v>26</v>
      </c>
      <c r="R574" s="4">
        <v>0</v>
      </c>
      <c r="S574" s="6">
        <v>0</v>
      </c>
      <c r="T574" s="6">
        <v>77</v>
      </c>
      <c r="U574" s="6">
        <v>52</v>
      </c>
      <c r="V574" s="6">
        <f>IF(ISERROR(VLOOKUP($S$574,'TAR FIN'!$A$1:$O$92,15,0)),0,VLOOKUP($S$574,'TAR FIN'!$A$1:$O$92,15,0))</f>
        <v>0</v>
      </c>
      <c r="W574" s="104">
        <f>IF(ISERROR(VLOOKUP($T$497,'TAR FIN CELESC'!$A$1:$O$92,15,0)),0,VLOOKUP($T$497,'TAR FIN CELESC'!$A$1:$O$92,15,0))</f>
        <v>244.85</v>
      </c>
      <c r="X574" s="104">
        <f>IF(ISERROR(VLOOKUP($U$497,'TAR FIN CELESC'!$A$1:$O$92,15,0)),0,VLOOKUP($U$497,'TAR FIN CELESC'!$A$1:$O$92,15,0))</f>
        <v>287.39</v>
      </c>
      <c r="Y574" s="6"/>
      <c r="Z574" s="6">
        <f ca="1">('TUSD BE'!$AM$52+'TUSD BF_350'!$AM$52+'TUSD CVA'!$AM$52)*1</f>
        <v>310.49</v>
      </c>
      <c r="AA574" s="6">
        <f ca="1">('TE BE'!$AB$40+'TE BF_350'!$AB$40+'TE CVA'!$AB$40)*1</f>
        <v>262.52999999999997</v>
      </c>
      <c r="AB574" s="6">
        <f>$K$574*$V$574</f>
        <v>0</v>
      </c>
      <c r="AC574" s="6">
        <f>$M$574*$W$574</f>
        <v>385.8836</v>
      </c>
      <c r="AD574" s="6">
        <f>$O$574*$X$574</f>
        <v>452.92664000000002</v>
      </c>
      <c r="AE574" s="6">
        <f>$K$574*$Y$574</f>
        <v>0</v>
      </c>
      <c r="AF574" s="6">
        <f ca="1">$M$574*$Z$574</f>
        <v>489.33224000000001</v>
      </c>
      <c r="AG574" s="6">
        <f ca="1">$O$574*$AA$574</f>
        <v>413.74727999999999</v>
      </c>
    </row>
    <row r="575" spans="1:33" ht="11.25" customHeight="1" x14ac:dyDescent="0.3">
      <c r="A575" s="4" t="s">
        <v>21</v>
      </c>
      <c r="B575" s="4" t="s">
        <v>32</v>
      </c>
      <c r="C575" s="4" t="s">
        <v>23</v>
      </c>
      <c r="D575" s="4" t="s">
        <v>43</v>
      </c>
      <c r="E575" s="4" t="s">
        <v>25</v>
      </c>
      <c r="F575" s="4" t="s">
        <v>25</v>
      </c>
      <c r="G575" s="4" t="s">
        <v>25</v>
      </c>
      <c r="H575" s="4" t="s">
        <v>25</v>
      </c>
      <c r="I575" s="5">
        <v>44682</v>
      </c>
      <c r="J575" s="6">
        <v>0</v>
      </c>
      <c r="K575" s="6">
        <v>0</v>
      </c>
      <c r="L575" s="6">
        <v>70.241</v>
      </c>
      <c r="M575" s="6">
        <v>70.241</v>
      </c>
      <c r="N575" s="6">
        <v>70.241</v>
      </c>
      <c r="O575" s="6">
        <v>70.241</v>
      </c>
      <c r="P575" s="6">
        <v>73</v>
      </c>
      <c r="Q575" s="4" t="s">
        <v>26</v>
      </c>
      <c r="R575" s="4">
        <v>0</v>
      </c>
      <c r="S575" s="6">
        <v>0</v>
      </c>
      <c r="T575" s="6">
        <v>77</v>
      </c>
      <c r="U575" s="6">
        <v>52</v>
      </c>
      <c r="V575" s="6">
        <f>IF(ISERROR(VLOOKUP($S$575,'TAR FIN'!$A$1:$O$92,15,0)),0,VLOOKUP($S$575,'TAR FIN'!$A$1:$O$92,15,0))</f>
        <v>0</v>
      </c>
      <c r="W575" s="104">
        <f>IF(ISERROR(VLOOKUP($T$497,'TAR FIN CELESC'!$A$1:$O$92,15,0)),0,VLOOKUP($T$497,'TAR FIN CELESC'!$A$1:$O$92,15,0))</f>
        <v>244.85</v>
      </c>
      <c r="X575" s="104">
        <f>IF(ISERROR(VLOOKUP($U$497,'TAR FIN CELESC'!$A$1:$O$92,15,0)),0,VLOOKUP($U$497,'TAR FIN CELESC'!$A$1:$O$92,15,0))</f>
        <v>287.39</v>
      </c>
      <c r="Y575" s="6"/>
      <c r="Z575" s="6">
        <f ca="1">('TUSD BE'!$AM$52+'TUSD BF_350'!$AM$52+'TUSD CVA'!$AM$52)*1</f>
        <v>310.49</v>
      </c>
      <c r="AA575" s="6">
        <f ca="1">('TE BE'!$AB$40+'TE BF_350'!$AB$40+'TE CVA'!$AB$40)*1</f>
        <v>262.52999999999997</v>
      </c>
      <c r="AB575" s="6">
        <f>$K$575*$V$575</f>
        <v>0</v>
      </c>
      <c r="AC575" s="6">
        <f>$M$575*$W$575</f>
        <v>17198.508849999998</v>
      </c>
      <c r="AD575" s="6">
        <f>$O$575*$X$575</f>
        <v>20186.560989999998</v>
      </c>
      <c r="AE575" s="6">
        <f>$K$575*$Y$575</f>
        <v>0</v>
      </c>
      <c r="AF575" s="6">
        <f ca="1">$M$575*$Z$575</f>
        <v>21809.128090000002</v>
      </c>
      <c r="AG575" s="6">
        <f ca="1">$O$575*$AA$575</f>
        <v>18440.369729999999</v>
      </c>
    </row>
    <row r="576" spans="1:33" ht="11.25" customHeight="1" x14ac:dyDescent="0.3">
      <c r="A576" s="4" t="s">
        <v>27</v>
      </c>
      <c r="B576" s="4" t="s">
        <v>32</v>
      </c>
      <c r="C576" s="4" t="s">
        <v>23</v>
      </c>
      <c r="D576" s="4" t="s">
        <v>43</v>
      </c>
      <c r="E576" s="4" t="s">
        <v>25</v>
      </c>
      <c r="F576" s="4" t="s">
        <v>25</v>
      </c>
      <c r="G576" s="4" t="s">
        <v>25</v>
      </c>
      <c r="H576" s="4" t="s">
        <v>25</v>
      </c>
      <c r="I576" s="5">
        <v>44682</v>
      </c>
      <c r="J576" s="6">
        <v>0</v>
      </c>
      <c r="K576" s="6">
        <v>0</v>
      </c>
      <c r="L576" s="6">
        <v>0.2</v>
      </c>
      <c r="M576" s="6">
        <v>0.2</v>
      </c>
      <c r="N576" s="6">
        <v>0.2</v>
      </c>
      <c r="O576" s="6">
        <v>0.2</v>
      </c>
      <c r="P576" s="6">
        <v>2</v>
      </c>
      <c r="Q576" s="4" t="s">
        <v>26</v>
      </c>
      <c r="R576" s="4">
        <v>0</v>
      </c>
      <c r="S576" s="6">
        <v>0</v>
      </c>
      <c r="T576" s="6">
        <v>77</v>
      </c>
      <c r="U576" s="6">
        <v>52</v>
      </c>
      <c r="V576" s="6">
        <f>IF(ISERROR(VLOOKUP($S$576,'TAR FIN'!$A$1:$O$92,15,0)),0,VLOOKUP($S$576,'TAR FIN'!$A$1:$O$92,15,0))</f>
        <v>0</v>
      </c>
      <c r="W576" s="104">
        <f>IF(ISERROR(VLOOKUP($T$497,'TAR FIN CELESC'!$A$1:$O$92,15,0)),0,VLOOKUP($T$497,'TAR FIN CELESC'!$A$1:$O$92,15,0))</f>
        <v>244.85</v>
      </c>
      <c r="X576" s="104">
        <f>IF(ISERROR(VLOOKUP($U$497,'TAR FIN CELESC'!$A$1:$O$92,15,0)),0,VLOOKUP($U$497,'TAR FIN CELESC'!$A$1:$O$92,15,0))</f>
        <v>287.39</v>
      </c>
      <c r="Y576" s="6"/>
      <c r="Z576" s="6">
        <f ca="1">('TUSD BE'!$AM$52+'TUSD BF_350'!$AM$52+'TUSD CVA'!$AM$52)*1</f>
        <v>310.49</v>
      </c>
      <c r="AA576" s="6">
        <f ca="1">('TE BE'!$AB$40+'TE BF_350'!$AB$40+'TE CVA'!$AB$40)*1</f>
        <v>262.52999999999997</v>
      </c>
      <c r="AB576" s="6">
        <f>$K$576*$V$576</f>
        <v>0</v>
      </c>
      <c r="AC576" s="6">
        <f>$M$576*$W$576</f>
        <v>48.97</v>
      </c>
      <c r="AD576" s="6">
        <f>$O$576*$X$576</f>
        <v>57.478000000000002</v>
      </c>
      <c r="AE576" s="6">
        <f>$K$576*$Y$576</f>
        <v>0</v>
      </c>
      <c r="AF576" s="6">
        <f ca="1">$M$576*$Z$576</f>
        <v>62.098000000000006</v>
      </c>
      <c r="AG576" s="6">
        <f ca="1">$O$576*$AA$576</f>
        <v>52.506</v>
      </c>
    </row>
    <row r="577" spans="1:33" ht="11.25" customHeight="1" x14ac:dyDescent="0.3">
      <c r="A577" s="4" t="s">
        <v>21</v>
      </c>
      <c r="B577" s="4" t="s">
        <v>32</v>
      </c>
      <c r="C577" s="4" t="s">
        <v>23</v>
      </c>
      <c r="D577" s="4" t="s">
        <v>43</v>
      </c>
      <c r="E577" s="4" t="s">
        <v>25</v>
      </c>
      <c r="F577" s="4" t="s">
        <v>25</v>
      </c>
      <c r="G577" s="4" t="s">
        <v>25</v>
      </c>
      <c r="H577" s="4" t="s">
        <v>25</v>
      </c>
      <c r="I577" s="5">
        <v>44713</v>
      </c>
      <c r="J577" s="6">
        <v>0</v>
      </c>
      <c r="K577" s="6">
        <v>0</v>
      </c>
      <c r="L577" s="6">
        <v>68.995000000000005</v>
      </c>
      <c r="M577" s="6">
        <v>68.995000000000005</v>
      </c>
      <c r="N577" s="6">
        <v>68.995000000000005</v>
      </c>
      <c r="O577" s="6">
        <v>68.995000000000005</v>
      </c>
      <c r="P577" s="6">
        <v>73</v>
      </c>
      <c r="Q577" s="4" t="s">
        <v>26</v>
      </c>
      <c r="R577" s="4">
        <v>0</v>
      </c>
      <c r="S577" s="6">
        <v>0</v>
      </c>
      <c r="T577" s="6">
        <v>77</v>
      </c>
      <c r="U577" s="6">
        <v>52</v>
      </c>
      <c r="V577" s="6">
        <f>IF(ISERROR(VLOOKUP($S$577,'TAR FIN'!$A$1:$O$92,15,0)),0,VLOOKUP($S$577,'TAR FIN'!$A$1:$O$92,15,0))</f>
        <v>0</v>
      </c>
      <c r="W577" s="104">
        <f>IF(ISERROR(VLOOKUP($T$497,'TAR FIN CELESC'!$A$1:$O$92,15,0)),0,VLOOKUP($T$497,'TAR FIN CELESC'!$A$1:$O$92,15,0))</f>
        <v>244.85</v>
      </c>
      <c r="X577" s="104">
        <f>IF(ISERROR(VLOOKUP($U$497,'TAR FIN CELESC'!$A$1:$O$92,15,0)),0,VLOOKUP($U$497,'TAR FIN CELESC'!$A$1:$O$92,15,0))</f>
        <v>287.39</v>
      </c>
      <c r="Y577" s="6"/>
      <c r="Z577" s="6">
        <f ca="1">('TUSD BE'!$AM$52+'TUSD BF_350'!$AM$52+'TUSD CVA'!$AM$52)*1</f>
        <v>310.49</v>
      </c>
      <c r="AA577" s="6">
        <f ca="1">('TE BE'!$AB$40+'TE BF_350'!$AB$40+'TE CVA'!$AB$40)*1</f>
        <v>262.52999999999997</v>
      </c>
      <c r="AB577" s="6">
        <f>$K$577*$V$577</f>
        <v>0</v>
      </c>
      <c r="AC577" s="6">
        <f>$M$577*$W$577</f>
        <v>16893.425750000002</v>
      </c>
      <c r="AD577" s="6">
        <f>$O$577*$X$577</f>
        <v>19828.473050000001</v>
      </c>
      <c r="AE577" s="6">
        <f>$K$577*$Y$577</f>
        <v>0</v>
      </c>
      <c r="AF577" s="6">
        <f ca="1">$M$577*$Z$577</f>
        <v>21422.257550000002</v>
      </c>
      <c r="AG577" s="6">
        <f ca="1">$O$577*$AA$577</f>
        <v>18113.25735</v>
      </c>
    </row>
    <row r="578" spans="1:33" ht="11.25" customHeight="1" x14ac:dyDescent="0.3">
      <c r="A578" s="4" t="s">
        <v>27</v>
      </c>
      <c r="B578" s="4" t="s">
        <v>32</v>
      </c>
      <c r="C578" s="4" t="s">
        <v>23</v>
      </c>
      <c r="D578" s="4" t="s">
        <v>43</v>
      </c>
      <c r="E578" s="4" t="s">
        <v>25</v>
      </c>
      <c r="F578" s="4" t="s">
        <v>25</v>
      </c>
      <c r="G578" s="4" t="s">
        <v>25</v>
      </c>
      <c r="H578" s="4" t="s">
        <v>25</v>
      </c>
      <c r="I578" s="5">
        <v>44713</v>
      </c>
      <c r="J578" s="6">
        <v>0</v>
      </c>
      <c r="K578" s="6">
        <v>0</v>
      </c>
      <c r="L578" s="6">
        <v>0.63</v>
      </c>
      <c r="M578" s="6">
        <v>0.63</v>
      </c>
      <c r="N578" s="6">
        <v>0.63</v>
      </c>
      <c r="O578" s="6">
        <v>0.63</v>
      </c>
      <c r="P578" s="6">
        <v>2</v>
      </c>
      <c r="Q578" s="4" t="s">
        <v>26</v>
      </c>
      <c r="R578" s="4">
        <v>0</v>
      </c>
      <c r="S578" s="6">
        <v>0</v>
      </c>
      <c r="T578" s="6">
        <v>77</v>
      </c>
      <c r="U578" s="6">
        <v>52</v>
      </c>
      <c r="V578" s="6">
        <f>IF(ISERROR(VLOOKUP($S$578,'TAR FIN'!$A$1:$O$92,15,0)),0,VLOOKUP($S$578,'TAR FIN'!$A$1:$O$92,15,0))</f>
        <v>0</v>
      </c>
      <c r="W578" s="104">
        <f>IF(ISERROR(VLOOKUP($T$497,'TAR FIN CELESC'!$A$1:$O$92,15,0)),0,VLOOKUP($T$497,'TAR FIN CELESC'!$A$1:$O$92,15,0))</f>
        <v>244.85</v>
      </c>
      <c r="X578" s="104">
        <f>IF(ISERROR(VLOOKUP($U$497,'TAR FIN CELESC'!$A$1:$O$92,15,0)),0,VLOOKUP($U$497,'TAR FIN CELESC'!$A$1:$O$92,15,0))</f>
        <v>287.39</v>
      </c>
      <c r="Y578" s="6"/>
      <c r="Z578" s="6">
        <f ca="1">('TUSD BE'!$AM$52+'TUSD BF_350'!$AM$52+'TUSD CVA'!$AM$52)*1</f>
        <v>310.49</v>
      </c>
      <c r="AA578" s="6">
        <f ca="1">('TE BE'!$AB$40+'TE BF_350'!$AB$40+'TE CVA'!$AB$40)*1</f>
        <v>262.52999999999997</v>
      </c>
      <c r="AB578" s="6">
        <f>$K$578*$V$578</f>
        <v>0</v>
      </c>
      <c r="AC578" s="6">
        <f>$M$578*$W$578</f>
        <v>154.25549999999998</v>
      </c>
      <c r="AD578" s="6">
        <f>$O$578*$X$578</f>
        <v>181.0557</v>
      </c>
      <c r="AE578" s="6">
        <f>$K$578*$Y$578</f>
        <v>0</v>
      </c>
      <c r="AF578" s="6">
        <f ca="1">$M$578*$Z$578</f>
        <v>195.6087</v>
      </c>
      <c r="AG578" s="6">
        <f ca="1">$O$578*$AA$578</f>
        <v>165.39389999999997</v>
      </c>
    </row>
    <row r="579" spans="1:33" ht="11.25" customHeight="1" x14ac:dyDescent="0.3">
      <c r="A579" s="4" t="s">
        <v>21</v>
      </c>
      <c r="B579" s="4" t="s">
        <v>32</v>
      </c>
      <c r="C579" s="4" t="s">
        <v>23</v>
      </c>
      <c r="D579" s="4" t="s">
        <v>43</v>
      </c>
      <c r="E579" s="4" t="s">
        <v>25</v>
      </c>
      <c r="F579" s="4" t="s">
        <v>25</v>
      </c>
      <c r="G579" s="4" t="s">
        <v>25</v>
      </c>
      <c r="H579" s="4" t="s">
        <v>25</v>
      </c>
      <c r="I579" s="5">
        <v>44743</v>
      </c>
      <c r="J579" s="6">
        <v>0</v>
      </c>
      <c r="K579" s="6">
        <v>0</v>
      </c>
      <c r="L579" s="6">
        <v>70.135999999999996</v>
      </c>
      <c r="M579" s="6">
        <v>70.135999999999996</v>
      </c>
      <c r="N579" s="6">
        <v>70.135999999999996</v>
      </c>
      <c r="O579" s="6">
        <v>70.135999999999996</v>
      </c>
      <c r="P579" s="6">
        <v>73</v>
      </c>
      <c r="Q579" s="4" t="s">
        <v>26</v>
      </c>
      <c r="R579" s="4">
        <v>0</v>
      </c>
      <c r="S579" s="6">
        <v>0</v>
      </c>
      <c r="T579" s="6">
        <v>77</v>
      </c>
      <c r="U579" s="6">
        <v>52</v>
      </c>
      <c r="V579" s="6">
        <f>IF(ISERROR(VLOOKUP($S$579,'TAR FIN'!$A$1:$O$92,15,0)),0,VLOOKUP($S$579,'TAR FIN'!$A$1:$O$92,15,0))</f>
        <v>0</v>
      </c>
      <c r="W579" s="104">
        <f>IF(ISERROR(VLOOKUP($T$497,'TAR FIN CELESC'!$A$1:$O$92,15,0)),0,VLOOKUP($T$497,'TAR FIN CELESC'!$A$1:$O$92,15,0))</f>
        <v>244.85</v>
      </c>
      <c r="X579" s="104">
        <f>IF(ISERROR(VLOOKUP($U$497,'TAR FIN CELESC'!$A$1:$O$92,15,0)),0,VLOOKUP($U$497,'TAR FIN CELESC'!$A$1:$O$92,15,0))</f>
        <v>287.39</v>
      </c>
      <c r="Y579" s="6"/>
      <c r="Z579" s="6">
        <f ca="1">('TUSD BE'!$AM$52+'TUSD BF_350'!$AM$52+'TUSD CVA'!$AM$52)*1</f>
        <v>310.49</v>
      </c>
      <c r="AA579" s="6">
        <f ca="1">('TE BE'!$AB$40+'TE BF_350'!$AB$40+'TE CVA'!$AB$40)*1</f>
        <v>262.52999999999997</v>
      </c>
      <c r="AB579" s="6">
        <f>$K$579*$V$579</f>
        <v>0</v>
      </c>
      <c r="AC579" s="6">
        <f>$M$579*$W$579</f>
        <v>17172.799599999998</v>
      </c>
      <c r="AD579" s="6">
        <f>$O$579*$X$579</f>
        <v>20156.385039999997</v>
      </c>
      <c r="AE579" s="6">
        <f>$K$579*$Y$579</f>
        <v>0</v>
      </c>
      <c r="AF579" s="6">
        <f ca="1">$M$579*$Z$579</f>
        <v>21776.52664</v>
      </c>
      <c r="AG579" s="6">
        <f ca="1">$O$579*$AA$579</f>
        <v>18412.804079999998</v>
      </c>
    </row>
    <row r="580" spans="1:33" ht="11.25" customHeight="1" x14ac:dyDescent="0.3">
      <c r="A580" s="4" t="s">
        <v>27</v>
      </c>
      <c r="B580" s="4" t="s">
        <v>32</v>
      </c>
      <c r="C580" s="4" t="s">
        <v>23</v>
      </c>
      <c r="D580" s="4" t="s">
        <v>43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44743</v>
      </c>
      <c r="J580" s="6">
        <v>0</v>
      </c>
      <c r="K580" s="6">
        <v>0</v>
      </c>
      <c r="L580" s="6">
        <v>0.68200000000000005</v>
      </c>
      <c r="M580" s="6">
        <v>0.68200000000000005</v>
      </c>
      <c r="N580" s="6">
        <v>0.68200000000000005</v>
      </c>
      <c r="O580" s="6">
        <v>0.68200000000000005</v>
      </c>
      <c r="P580" s="6">
        <v>2</v>
      </c>
      <c r="Q580" s="4" t="s">
        <v>26</v>
      </c>
      <c r="R580" s="4">
        <v>0</v>
      </c>
      <c r="S580" s="6">
        <v>0</v>
      </c>
      <c r="T580" s="6">
        <v>77</v>
      </c>
      <c r="U580" s="6">
        <v>52</v>
      </c>
      <c r="V580" s="6">
        <f>IF(ISERROR(VLOOKUP($S$580,'TAR FIN'!$A$1:$O$92,15,0)),0,VLOOKUP($S$580,'TAR FIN'!$A$1:$O$92,15,0))</f>
        <v>0</v>
      </c>
      <c r="W580" s="104">
        <f>IF(ISERROR(VLOOKUP($T$497,'TAR FIN CELESC'!$A$1:$O$92,15,0)),0,VLOOKUP($T$497,'TAR FIN CELESC'!$A$1:$O$92,15,0))</f>
        <v>244.85</v>
      </c>
      <c r="X580" s="104">
        <f>IF(ISERROR(VLOOKUP($U$497,'TAR FIN CELESC'!$A$1:$O$92,15,0)),0,VLOOKUP($U$497,'TAR FIN CELESC'!$A$1:$O$92,15,0))</f>
        <v>287.39</v>
      </c>
      <c r="Y580" s="6"/>
      <c r="Z580" s="6">
        <f ca="1">('TUSD BE'!$AM$52+'TUSD BF_350'!$AM$52+'TUSD CVA'!$AM$52)*1</f>
        <v>310.49</v>
      </c>
      <c r="AA580" s="6">
        <f ca="1">('TE BE'!$AB$40+'TE BF_350'!$AB$40+'TE CVA'!$AB$40)*1</f>
        <v>262.52999999999997</v>
      </c>
      <c r="AB580" s="6">
        <f>$K$580*$V$580</f>
        <v>0</v>
      </c>
      <c r="AC580" s="6">
        <f>$M$580*$W$580</f>
        <v>166.98770000000002</v>
      </c>
      <c r="AD580" s="6">
        <f>$O$580*$X$580</f>
        <v>195.99997999999999</v>
      </c>
      <c r="AE580" s="6">
        <f>$K$580*$Y$580</f>
        <v>0</v>
      </c>
      <c r="AF580" s="6">
        <f ca="1">$M$580*$Z$580</f>
        <v>211.75418000000002</v>
      </c>
      <c r="AG580" s="6">
        <f ca="1">$O$580*$AA$580</f>
        <v>179.04545999999999</v>
      </c>
    </row>
    <row r="581" spans="1:33" ht="11.25" customHeight="1" x14ac:dyDescent="0.3">
      <c r="A581" s="4" t="s">
        <v>21</v>
      </c>
      <c r="B581" s="4" t="s">
        <v>32</v>
      </c>
      <c r="C581" s="4" t="s">
        <v>23</v>
      </c>
      <c r="D581" s="4" t="s">
        <v>47</v>
      </c>
      <c r="E581" s="4" t="s">
        <v>48</v>
      </c>
      <c r="F581" s="4" t="s">
        <v>25</v>
      </c>
      <c r="G581" s="4" t="s">
        <v>25</v>
      </c>
      <c r="H581" s="4" t="s">
        <v>25</v>
      </c>
      <c r="I581" s="5">
        <v>44409</v>
      </c>
      <c r="J581" s="6">
        <v>0</v>
      </c>
      <c r="K581" s="58">
        <v>0</v>
      </c>
      <c r="L581" s="6">
        <v>35.756999999999998</v>
      </c>
      <c r="M581" s="58">
        <v>35.756999999999998</v>
      </c>
      <c r="N581" s="6">
        <v>35.756999999999998</v>
      </c>
      <c r="O581" s="58">
        <v>35.756999999999998</v>
      </c>
      <c r="P581" s="6">
        <v>32</v>
      </c>
      <c r="Q581" s="4" t="s">
        <v>26</v>
      </c>
      <c r="R581" s="4">
        <v>0</v>
      </c>
      <c r="S581" s="6">
        <v>0</v>
      </c>
      <c r="T581" s="6">
        <v>77</v>
      </c>
      <c r="U581" s="6">
        <v>52</v>
      </c>
      <c r="V581" s="58">
        <f>IF(ISERROR(VLOOKUP($S$581,'TAR FIN'!$A$1:$O$92,15,0)),0,VLOOKUP($S$581,'TAR FIN'!$A$1:$O$92,15,0))</f>
        <v>0</v>
      </c>
      <c r="W581" s="104">
        <f>IF(ISERROR(VLOOKUP($T$581,'TAR FIN CELESC'!$A$1:$O$92,15,0)),0,VLOOKUP($T$581,'TAR FIN CELESC'!$A$1:$O$92,15,0))*(1-0.06)</f>
        <v>230.15899999999999</v>
      </c>
      <c r="X581" s="104">
        <f>IF(ISERROR(VLOOKUP($U$581,'TAR FIN CELESC'!$A$1:$O$92,15,0)),0,VLOOKUP($U$581,'TAR FIN CELESC'!$A$1:$O$92,15,0))*(1-0.06)</f>
        <v>270.14659999999998</v>
      </c>
      <c r="Y581" s="58"/>
      <c r="Z581" s="58">
        <f ca="1">('TUSD BE'!$AM$52+'TUSD BF_350'!$AM$52+'TUSD CVA'!$AM$52)*1*(1-0.03)</f>
        <v>301.17529999999999</v>
      </c>
      <c r="AA581" s="58">
        <f ca="1">('TE BE'!$AB$40+'TE BF_350'!$AB$40+'TE CVA'!$AB$40)*1*(1-0.03)</f>
        <v>254.65409999999997</v>
      </c>
      <c r="AB581" s="6">
        <f>$K$581*$V$581</f>
        <v>0</v>
      </c>
      <c r="AC581" s="6">
        <f>$M$581*$W$581</f>
        <v>8229.7953629999993</v>
      </c>
      <c r="AD581" s="6">
        <f>$O$581*$X$581</f>
        <v>9659.6319761999985</v>
      </c>
      <c r="AE581" s="6">
        <f>$K$581*$Y$581</f>
        <v>0</v>
      </c>
      <c r="AF581" s="6">
        <f ca="1">$M$581*$Z$581</f>
        <v>10769.125202099998</v>
      </c>
      <c r="AG581" s="6">
        <f ca="1">$O$581*$AA$581</f>
        <v>9105.6666536999983</v>
      </c>
    </row>
    <row r="582" spans="1:33" ht="11.25" customHeight="1" x14ac:dyDescent="0.3">
      <c r="A582" s="4" t="s">
        <v>21</v>
      </c>
      <c r="B582" s="4" t="s">
        <v>32</v>
      </c>
      <c r="C582" s="4" t="s">
        <v>23</v>
      </c>
      <c r="D582" s="4" t="s">
        <v>47</v>
      </c>
      <c r="E582" s="4" t="s">
        <v>48</v>
      </c>
      <c r="F582" s="4" t="s">
        <v>25</v>
      </c>
      <c r="G582" s="4" t="s">
        <v>25</v>
      </c>
      <c r="H582" s="4" t="s">
        <v>25</v>
      </c>
      <c r="I582" s="5">
        <v>44440</v>
      </c>
      <c r="J582" s="6">
        <v>0</v>
      </c>
      <c r="K582" s="58">
        <v>0</v>
      </c>
      <c r="L582" s="6">
        <v>42.151000000000003</v>
      </c>
      <c r="M582" s="58">
        <v>42.151000000000003</v>
      </c>
      <c r="N582" s="6">
        <v>42.151000000000003</v>
      </c>
      <c r="O582" s="58">
        <v>42.151000000000003</v>
      </c>
      <c r="P582" s="6">
        <v>32</v>
      </c>
      <c r="Q582" s="4" t="s">
        <v>26</v>
      </c>
      <c r="R582" s="4">
        <v>0</v>
      </c>
      <c r="S582" s="6">
        <v>0</v>
      </c>
      <c r="T582" s="6">
        <v>77</v>
      </c>
      <c r="U582" s="6">
        <v>52</v>
      </c>
      <c r="V582" s="58">
        <f>IF(ISERROR(VLOOKUP($S$582,'TAR FIN'!$A$1:$O$92,15,0)),0,VLOOKUP($S$582,'TAR FIN'!$A$1:$O$92,15,0))</f>
        <v>0</v>
      </c>
      <c r="W582" s="104">
        <f>IF(ISERROR(VLOOKUP($T$581,'TAR FIN CELESC'!$A$1:$O$92,15,0)),0,VLOOKUP($T$581,'TAR FIN CELESC'!$A$1:$O$92,15,0))*(1-0.06)</f>
        <v>230.15899999999999</v>
      </c>
      <c r="X582" s="104">
        <f>IF(ISERROR(VLOOKUP($U$581,'TAR FIN CELESC'!$A$1:$O$92,15,0)),0,VLOOKUP($U$581,'TAR FIN CELESC'!$A$1:$O$92,15,0))*(1-0.06)</f>
        <v>270.14659999999998</v>
      </c>
      <c r="Y582" s="58"/>
      <c r="Z582" s="58">
        <f ca="1">('TUSD BE'!$AM$52+'TUSD BF_350'!$AM$52+'TUSD CVA'!$AM$52)*1*(1-0.03)</f>
        <v>301.17529999999999</v>
      </c>
      <c r="AA582" s="58">
        <f ca="1">('TE BE'!$AB$40+'TE BF_350'!$AB$40+'TE CVA'!$AB$40)*1*(1-0.03)</f>
        <v>254.65409999999997</v>
      </c>
      <c r="AB582" s="6">
        <f>$K$582*$V$582</f>
        <v>0</v>
      </c>
      <c r="AC582" s="6">
        <f>$M$582*$W$582</f>
        <v>9701.4320090000001</v>
      </c>
      <c r="AD582" s="6">
        <f>$O$582*$X$582</f>
        <v>11386.949336600001</v>
      </c>
      <c r="AE582" s="6">
        <f>$K$582*$Y$582</f>
        <v>0</v>
      </c>
      <c r="AF582" s="6">
        <f ca="1">$M$582*$Z$582</f>
        <v>12694.840070300001</v>
      </c>
      <c r="AG582" s="6">
        <f ca="1">$O$582*$AA$582</f>
        <v>10733.9249691</v>
      </c>
    </row>
    <row r="583" spans="1:33" ht="11.25" customHeight="1" x14ac:dyDescent="0.3">
      <c r="A583" s="4" t="s">
        <v>21</v>
      </c>
      <c r="B583" s="4" t="s">
        <v>32</v>
      </c>
      <c r="C583" s="4" t="s">
        <v>23</v>
      </c>
      <c r="D583" s="4" t="s">
        <v>47</v>
      </c>
      <c r="E583" s="4" t="s">
        <v>48</v>
      </c>
      <c r="F583" s="4" t="s">
        <v>25</v>
      </c>
      <c r="G583" s="4" t="s">
        <v>25</v>
      </c>
      <c r="H583" s="4" t="s">
        <v>25</v>
      </c>
      <c r="I583" s="5">
        <v>44470</v>
      </c>
      <c r="J583" s="6">
        <v>0</v>
      </c>
      <c r="K583" s="58">
        <v>0</v>
      </c>
      <c r="L583" s="6">
        <v>39.543999999999997</v>
      </c>
      <c r="M583" s="58">
        <v>39.543999999999997</v>
      </c>
      <c r="N583" s="6">
        <v>39.543999999999997</v>
      </c>
      <c r="O583" s="58">
        <v>39.543999999999997</v>
      </c>
      <c r="P583" s="6">
        <v>32</v>
      </c>
      <c r="Q583" s="4" t="s">
        <v>26</v>
      </c>
      <c r="R583" s="4">
        <v>0</v>
      </c>
      <c r="S583" s="6">
        <v>0</v>
      </c>
      <c r="T583" s="6">
        <v>77</v>
      </c>
      <c r="U583" s="6">
        <v>52</v>
      </c>
      <c r="V583" s="58">
        <f>IF(ISERROR(VLOOKUP($S$583,'TAR FIN'!$A$1:$O$92,15,0)),0,VLOOKUP($S$583,'TAR FIN'!$A$1:$O$92,15,0))</f>
        <v>0</v>
      </c>
      <c r="W583" s="104">
        <f>IF(ISERROR(VLOOKUP($T$581,'TAR FIN CELESC'!$A$1:$O$92,15,0)),0,VLOOKUP($T$581,'TAR FIN CELESC'!$A$1:$O$92,15,0))*(1-0.06)</f>
        <v>230.15899999999999</v>
      </c>
      <c r="X583" s="104">
        <f>IF(ISERROR(VLOOKUP($U$581,'TAR FIN CELESC'!$A$1:$O$92,15,0)),0,VLOOKUP($U$581,'TAR FIN CELESC'!$A$1:$O$92,15,0))*(1-0.06)</f>
        <v>270.14659999999998</v>
      </c>
      <c r="Y583" s="58"/>
      <c r="Z583" s="58">
        <f ca="1">('TUSD BE'!$AM$52+'TUSD BF_350'!$AM$52+'TUSD CVA'!$AM$52)*1*(1-0.03)</f>
        <v>301.17529999999999</v>
      </c>
      <c r="AA583" s="58">
        <f ca="1">('TE BE'!$AB$40+'TE BF_350'!$AB$40+'TE CVA'!$AB$40)*1*(1-0.03)</f>
        <v>254.65409999999997</v>
      </c>
      <c r="AB583" s="6">
        <f>$K$583*$V$583</f>
        <v>0</v>
      </c>
      <c r="AC583" s="6">
        <f>$M$583*$W$583</f>
        <v>9101.4074959999998</v>
      </c>
      <c r="AD583" s="6">
        <f>$O$583*$X$583</f>
        <v>10682.677150399999</v>
      </c>
      <c r="AE583" s="6">
        <f>$K$583*$Y$583</f>
        <v>0</v>
      </c>
      <c r="AF583" s="6">
        <f ca="1">$M$583*$Z$583</f>
        <v>11909.676063199999</v>
      </c>
      <c r="AG583" s="6">
        <f ca="1">$O$583*$AA$583</f>
        <v>10070.041730399998</v>
      </c>
    </row>
    <row r="584" spans="1:33" ht="11.25" customHeight="1" x14ac:dyDescent="0.3">
      <c r="A584" s="4" t="s">
        <v>21</v>
      </c>
      <c r="B584" s="4" t="s">
        <v>32</v>
      </c>
      <c r="C584" s="4" t="s">
        <v>23</v>
      </c>
      <c r="D584" s="4" t="s">
        <v>47</v>
      </c>
      <c r="E584" s="4" t="s">
        <v>48</v>
      </c>
      <c r="F584" s="4" t="s">
        <v>25</v>
      </c>
      <c r="G584" s="4" t="s">
        <v>25</v>
      </c>
      <c r="H584" s="4" t="s">
        <v>25</v>
      </c>
      <c r="I584" s="5">
        <v>44501</v>
      </c>
      <c r="J584" s="6">
        <v>0</v>
      </c>
      <c r="K584" s="58">
        <v>0</v>
      </c>
      <c r="L584" s="6">
        <v>37.927</v>
      </c>
      <c r="M584" s="58">
        <v>37.927</v>
      </c>
      <c r="N584" s="6">
        <v>37.927</v>
      </c>
      <c r="O584" s="58">
        <v>37.927</v>
      </c>
      <c r="P584" s="6">
        <v>32</v>
      </c>
      <c r="Q584" s="4" t="s">
        <v>26</v>
      </c>
      <c r="R584" s="4">
        <v>0</v>
      </c>
      <c r="S584" s="6">
        <v>0</v>
      </c>
      <c r="T584" s="6">
        <v>77</v>
      </c>
      <c r="U584" s="6">
        <v>52</v>
      </c>
      <c r="V584" s="58">
        <f>IF(ISERROR(VLOOKUP($S$584,'TAR FIN'!$A$1:$O$92,15,0)),0,VLOOKUP($S$584,'TAR FIN'!$A$1:$O$92,15,0))</f>
        <v>0</v>
      </c>
      <c r="W584" s="104">
        <f>IF(ISERROR(VLOOKUP($T$581,'TAR FIN CELESC'!$A$1:$O$92,15,0)),0,VLOOKUP($T$581,'TAR FIN CELESC'!$A$1:$O$92,15,0))*(1-0.06)</f>
        <v>230.15899999999999</v>
      </c>
      <c r="X584" s="104">
        <f>IF(ISERROR(VLOOKUP($U$581,'TAR FIN CELESC'!$A$1:$O$92,15,0)),0,VLOOKUP($U$581,'TAR FIN CELESC'!$A$1:$O$92,15,0))*(1-0.06)</f>
        <v>270.14659999999998</v>
      </c>
      <c r="Y584" s="58"/>
      <c r="Z584" s="58">
        <f ca="1">('TUSD BE'!$AM$52+'TUSD BF_350'!$AM$52+'TUSD CVA'!$AM$52)*1*(1-0.03)</f>
        <v>301.17529999999999</v>
      </c>
      <c r="AA584" s="58">
        <f ca="1">('TE BE'!$AB$40+'TE BF_350'!$AB$40+'TE CVA'!$AB$40)*1*(1-0.03)</f>
        <v>254.65409999999997</v>
      </c>
      <c r="AB584" s="6">
        <f>$K$584*$V$584</f>
        <v>0</v>
      </c>
      <c r="AC584" s="6">
        <f>$M$584*$W$584</f>
        <v>8729.240393</v>
      </c>
      <c r="AD584" s="6">
        <f>$O$584*$X$584</f>
        <v>10245.850098199999</v>
      </c>
      <c r="AE584" s="6">
        <f>$K$584*$Y$584</f>
        <v>0</v>
      </c>
      <c r="AF584" s="6">
        <f ca="1">$M$584*$Z$584</f>
        <v>11422.6756031</v>
      </c>
      <c r="AG584" s="6">
        <f ca="1">$O$584*$AA$584</f>
        <v>9658.2660506999982</v>
      </c>
    </row>
    <row r="585" spans="1:33" ht="11.25" customHeight="1" x14ac:dyDescent="0.3">
      <c r="A585" s="4" t="s">
        <v>21</v>
      </c>
      <c r="B585" s="4" t="s">
        <v>32</v>
      </c>
      <c r="C585" s="4" t="s">
        <v>23</v>
      </c>
      <c r="D585" s="4" t="s">
        <v>47</v>
      </c>
      <c r="E585" s="4" t="s">
        <v>48</v>
      </c>
      <c r="F585" s="4" t="s">
        <v>25</v>
      </c>
      <c r="G585" s="4" t="s">
        <v>25</v>
      </c>
      <c r="H585" s="4" t="s">
        <v>25</v>
      </c>
      <c r="I585" s="5">
        <v>44531</v>
      </c>
      <c r="J585" s="6">
        <v>0</v>
      </c>
      <c r="K585" s="58">
        <v>0</v>
      </c>
      <c r="L585" s="6">
        <v>42.985999999999997</v>
      </c>
      <c r="M585" s="58">
        <v>42.985999999999997</v>
      </c>
      <c r="N585" s="6">
        <v>42.985999999999997</v>
      </c>
      <c r="O585" s="58">
        <v>42.985999999999997</v>
      </c>
      <c r="P585" s="6">
        <v>32</v>
      </c>
      <c r="Q585" s="4" t="s">
        <v>26</v>
      </c>
      <c r="R585" s="4">
        <v>0</v>
      </c>
      <c r="S585" s="6">
        <v>0</v>
      </c>
      <c r="T585" s="6">
        <v>77</v>
      </c>
      <c r="U585" s="6">
        <v>52</v>
      </c>
      <c r="V585" s="58">
        <f>IF(ISERROR(VLOOKUP($S$585,'TAR FIN'!$A$1:$O$92,15,0)),0,VLOOKUP($S$585,'TAR FIN'!$A$1:$O$92,15,0))</f>
        <v>0</v>
      </c>
      <c r="W585" s="104">
        <f>IF(ISERROR(VLOOKUP($T$581,'TAR FIN CELESC'!$A$1:$O$92,15,0)),0,VLOOKUP($T$581,'TAR FIN CELESC'!$A$1:$O$92,15,0))*(1-0.06)</f>
        <v>230.15899999999999</v>
      </c>
      <c r="X585" s="104">
        <f>IF(ISERROR(VLOOKUP($U$581,'TAR FIN CELESC'!$A$1:$O$92,15,0)),0,VLOOKUP($U$581,'TAR FIN CELESC'!$A$1:$O$92,15,0))*(1-0.06)</f>
        <v>270.14659999999998</v>
      </c>
      <c r="Y585" s="58"/>
      <c r="Z585" s="58">
        <f ca="1">('TUSD BE'!$AM$52+'TUSD BF_350'!$AM$52+'TUSD CVA'!$AM$52)*1*(1-0.03)</f>
        <v>301.17529999999999</v>
      </c>
      <c r="AA585" s="58">
        <f ca="1">('TE BE'!$AB$40+'TE BF_350'!$AB$40+'TE CVA'!$AB$40)*1*(1-0.03)</f>
        <v>254.65409999999997</v>
      </c>
      <c r="AB585" s="6">
        <f>$K$585*$V$585</f>
        <v>0</v>
      </c>
      <c r="AC585" s="6">
        <f>$M$585*$W$585</f>
        <v>9893.6147739999997</v>
      </c>
      <c r="AD585" s="6">
        <f>$O$585*$X$585</f>
        <v>11612.521747599998</v>
      </c>
      <c r="AE585" s="6">
        <f>$K$585*$Y$585</f>
        <v>0</v>
      </c>
      <c r="AF585" s="6">
        <f ca="1">$M$585*$Z$585</f>
        <v>12946.321445799998</v>
      </c>
      <c r="AG585" s="6">
        <f ca="1">$O$585*$AA$585</f>
        <v>10946.561142599998</v>
      </c>
    </row>
    <row r="586" spans="1:33" ht="11.25" customHeight="1" x14ac:dyDescent="0.3">
      <c r="A586" s="4" t="s">
        <v>21</v>
      </c>
      <c r="B586" s="4" t="s">
        <v>32</v>
      </c>
      <c r="C586" s="4" t="s">
        <v>23</v>
      </c>
      <c r="D586" s="4" t="s">
        <v>47</v>
      </c>
      <c r="E586" s="4" t="s">
        <v>48</v>
      </c>
      <c r="F586" s="4" t="s">
        <v>25</v>
      </c>
      <c r="G586" s="4" t="s">
        <v>25</v>
      </c>
      <c r="H586" s="4" t="s">
        <v>25</v>
      </c>
      <c r="I586" s="5">
        <v>44562</v>
      </c>
      <c r="J586" s="6">
        <v>0</v>
      </c>
      <c r="K586" s="58">
        <v>0</v>
      </c>
      <c r="L586" s="6">
        <v>47.173999999999999</v>
      </c>
      <c r="M586" s="58">
        <v>47.173999999999999</v>
      </c>
      <c r="N586" s="6">
        <v>47.173999999999999</v>
      </c>
      <c r="O586" s="58">
        <v>47.173999999999999</v>
      </c>
      <c r="P586" s="6">
        <v>32</v>
      </c>
      <c r="Q586" s="4" t="s">
        <v>26</v>
      </c>
      <c r="R586" s="4">
        <v>0</v>
      </c>
      <c r="S586" s="6">
        <v>0</v>
      </c>
      <c r="T586" s="6">
        <v>77</v>
      </c>
      <c r="U586" s="6">
        <v>52</v>
      </c>
      <c r="V586" s="58">
        <f>IF(ISERROR(VLOOKUP($S$586,'TAR FIN'!$A$1:$O$92,15,0)),0,VLOOKUP($S$586,'TAR FIN'!$A$1:$O$92,15,0))</f>
        <v>0</v>
      </c>
      <c r="W586" s="104">
        <f>IF(ISERROR(VLOOKUP($T$581,'TAR FIN CELESC'!$A$1:$O$92,15,0)),0,VLOOKUP($T$581,'TAR FIN CELESC'!$A$1:$O$92,15,0))*(1-0.06)</f>
        <v>230.15899999999999</v>
      </c>
      <c r="X586" s="104">
        <f>IF(ISERROR(VLOOKUP($U$581,'TAR FIN CELESC'!$A$1:$O$92,15,0)),0,VLOOKUP($U$581,'TAR FIN CELESC'!$A$1:$O$92,15,0))*(1-0.06)</f>
        <v>270.14659999999998</v>
      </c>
      <c r="Y586" s="58"/>
      <c r="Z586" s="58">
        <f ca="1">('TUSD BE'!$AM$52+'TUSD BF_350'!$AM$52+'TUSD CVA'!$AM$52)*1*(1-0.03)</f>
        <v>301.17529999999999</v>
      </c>
      <c r="AA586" s="58">
        <f ca="1">('TE BE'!$AB$40+'TE BF_350'!$AB$40+'TE CVA'!$AB$40)*1*(1-0.03)</f>
        <v>254.65409999999997</v>
      </c>
      <c r="AB586" s="6">
        <f>$K$586*$V$586</f>
        <v>0</v>
      </c>
      <c r="AC586" s="6">
        <f>$M$586*$W$586</f>
        <v>10857.520666</v>
      </c>
      <c r="AD586" s="6">
        <f>$O$586*$X$586</f>
        <v>12743.895708399999</v>
      </c>
      <c r="AE586" s="6">
        <f>$K$586*$Y$586</f>
        <v>0</v>
      </c>
      <c r="AF586" s="6">
        <f ca="1">$M$586*$Z$586</f>
        <v>14207.6436022</v>
      </c>
      <c r="AG586" s="6">
        <f ca="1">$O$586*$AA$586</f>
        <v>12013.052513399998</v>
      </c>
    </row>
    <row r="587" spans="1:33" ht="11.25" customHeight="1" x14ac:dyDescent="0.3">
      <c r="A587" s="4" t="s">
        <v>21</v>
      </c>
      <c r="B587" s="4" t="s">
        <v>32</v>
      </c>
      <c r="C587" s="4" t="s">
        <v>23</v>
      </c>
      <c r="D587" s="4" t="s">
        <v>47</v>
      </c>
      <c r="E587" s="4" t="s">
        <v>48</v>
      </c>
      <c r="F587" s="4" t="s">
        <v>25</v>
      </c>
      <c r="G587" s="4" t="s">
        <v>25</v>
      </c>
      <c r="H587" s="4" t="s">
        <v>25</v>
      </c>
      <c r="I587" s="5">
        <v>44593</v>
      </c>
      <c r="J587" s="6">
        <v>0</v>
      </c>
      <c r="K587" s="58">
        <v>0</v>
      </c>
      <c r="L587" s="6">
        <v>51.765999999999998</v>
      </c>
      <c r="M587" s="58">
        <v>51.765999999999998</v>
      </c>
      <c r="N587" s="6">
        <v>51.765999999999998</v>
      </c>
      <c r="O587" s="58">
        <v>51.765999999999998</v>
      </c>
      <c r="P587" s="6">
        <v>32</v>
      </c>
      <c r="Q587" s="4" t="s">
        <v>26</v>
      </c>
      <c r="R587" s="4">
        <v>0</v>
      </c>
      <c r="S587" s="6">
        <v>0</v>
      </c>
      <c r="T587" s="6">
        <v>77</v>
      </c>
      <c r="U587" s="6">
        <v>52</v>
      </c>
      <c r="V587" s="58">
        <f>IF(ISERROR(VLOOKUP($S$587,'TAR FIN'!$A$1:$O$92,15,0)),0,VLOOKUP($S$587,'TAR FIN'!$A$1:$O$92,15,0))</f>
        <v>0</v>
      </c>
      <c r="W587" s="104">
        <f>IF(ISERROR(VLOOKUP($T$581,'TAR FIN CELESC'!$A$1:$O$92,15,0)),0,VLOOKUP($T$581,'TAR FIN CELESC'!$A$1:$O$92,15,0))*(1-0.06)</f>
        <v>230.15899999999999</v>
      </c>
      <c r="X587" s="104">
        <f>IF(ISERROR(VLOOKUP($U$581,'TAR FIN CELESC'!$A$1:$O$92,15,0)),0,VLOOKUP($U$581,'TAR FIN CELESC'!$A$1:$O$92,15,0))*(1-0.06)</f>
        <v>270.14659999999998</v>
      </c>
      <c r="Y587" s="58"/>
      <c r="Z587" s="58">
        <f ca="1">('TUSD BE'!$AM$52+'TUSD BF_350'!$AM$52+'TUSD CVA'!$AM$52)*1*(1-0.03)</f>
        <v>301.17529999999999</v>
      </c>
      <c r="AA587" s="58">
        <f ca="1">('TE BE'!$AB$40+'TE BF_350'!$AB$40+'TE CVA'!$AB$40)*1*(1-0.03)</f>
        <v>254.65409999999997</v>
      </c>
      <c r="AB587" s="6">
        <f>$K$587*$V$587</f>
        <v>0</v>
      </c>
      <c r="AC587" s="6">
        <f>$M$587*$W$587</f>
        <v>11914.410793999999</v>
      </c>
      <c r="AD587" s="6">
        <f>$O$587*$X$587</f>
        <v>13984.408895599998</v>
      </c>
      <c r="AE587" s="6">
        <f>$K$587*$Y$587</f>
        <v>0</v>
      </c>
      <c r="AF587" s="6">
        <f ca="1">$M$587*$Z$587</f>
        <v>15590.6405798</v>
      </c>
      <c r="AG587" s="6">
        <f ca="1">$O$587*$AA$587</f>
        <v>13182.424140599998</v>
      </c>
    </row>
    <row r="588" spans="1:33" ht="11.25" customHeight="1" x14ac:dyDescent="0.3">
      <c r="A588" s="4" t="s">
        <v>21</v>
      </c>
      <c r="B588" s="4" t="s">
        <v>32</v>
      </c>
      <c r="C588" s="4" t="s">
        <v>23</v>
      </c>
      <c r="D588" s="4" t="s">
        <v>47</v>
      </c>
      <c r="E588" s="4" t="s">
        <v>48</v>
      </c>
      <c r="F588" s="4" t="s">
        <v>25</v>
      </c>
      <c r="G588" s="4" t="s">
        <v>25</v>
      </c>
      <c r="H588" s="4" t="s">
        <v>25</v>
      </c>
      <c r="I588" s="5">
        <v>44621</v>
      </c>
      <c r="J588" s="6">
        <v>0</v>
      </c>
      <c r="K588" s="58">
        <v>0</v>
      </c>
      <c r="L588" s="6">
        <v>43.442</v>
      </c>
      <c r="M588" s="58">
        <v>43.442</v>
      </c>
      <c r="N588" s="6">
        <v>43.442</v>
      </c>
      <c r="O588" s="58">
        <v>43.442</v>
      </c>
      <c r="P588" s="6">
        <v>32</v>
      </c>
      <c r="Q588" s="4" t="s">
        <v>26</v>
      </c>
      <c r="R588" s="4">
        <v>0</v>
      </c>
      <c r="S588" s="6">
        <v>0</v>
      </c>
      <c r="T588" s="6">
        <v>77</v>
      </c>
      <c r="U588" s="6">
        <v>52</v>
      </c>
      <c r="V588" s="58">
        <f>IF(ISERROR(VLOOKUP($S$588,'TAR FIN'!$A$1:$O$92,15,0)),0,VLOOKUP($S$588,'TAR FIN'!$A$1:$O$92,15,0))</f>
        <v>0</v>
      </c>
      <c r="W588" s="104">
        <f>IF(ISERROR(VLOOKUP($T$581,'TAR FIN CELESC'!$A$1:$O$92,15,0)),0,VLOOKUP($T$581,'TAR FIN CELESC'!$A$1:$O$92,15,0))*(1-0.06)</f>
        <v>230.15899999999999</v>
      </c>
      <c r="X588" s="104">
        <f>IF(ISERROR(VLOOKUP($U$581,'TAR FIN CELESC'!$A$1:$O$92,15,0)),0,VLOOKUP($U$581,'TAR FIN CELESC'!$A$1:$O$92,15,0))*(1-0.06)</f>
        <v>270.14659999999998</v>
      </c>
      <c r="Y588" s="58"/>
      <c r="Z588" s="58">
        <f ca="1">('TUSD BE'!$AM$52+'TUSD BF_350'!$AM$52+'TUSD CVA'!$AM$52)*1*(1-0.03)</f>
        <v>301.17529999999999</v>
      </c>
      <c r="AA588" s="58">
        <f ca="1">('TE BE'!$AB$40+'TE BF_350'!$AB$40+'TE CVA'!$AB$40)*1*(1-0.03)</f>
        <v>254.65409999999997</v>
      </c>
      <c r="AB588" s="6">
        <f>$K$588*$V$588</f>
        <v>0</v>
      </c>
      <c r="AC588" s="6">
        <f>$M$588*$W$588</f>
        <v>9998.5672780000004</v>
      </c>
      <c r="AD588" s="6">
        <f>$O$588*$X$588</f>
        <v>11735.708597199999</v>
      </c>
      <c r="AE588" s="6">
        <f>$K$588*$Y$588</f>
        <v>0</v>
      </c>
      <c r="AF588" s="6">
        <f ca="1">$M$588*$Z$588</f>
        <v>13083.6573826</v>
      </c>
      <c r="AG588" s="6">
        <f ca="1">$O$588*$AA$588</f>
        <v>11062.683412199998</v>
      </c>
    </row>
    <row r="589" spans="1:33" ht="11.25" customHeight="1" x14ac:dyDescent="0.3">
      <c r="A589" s="4" t="s">
        <v>21</v>
      </c>
      <c r="B589" s="4" t="s">
        <v>32</v>
      </c>
      <c r="C589" s="4" t="s">
        <v>23</v>
      </c>
      <c r="D589" s="4" t="s">
        <v>47</v>
      </c>
      <c r="E589" s="4" t="s">
        <v>48</v>
      </c>
      <c r="F589" s="4" t="s">
        <v>25</v>
      </c>
      <c r="G589" s="4" t="s">
        <v>25</v>
      </c>
      <c r="H589" s="4" t="s">
        <v>25</v>
      </c>
      <c r="I589" s="5">
        <v>44652</v>
      </c>
      <c r="J589" s="6">
        <v>0</v>
      </c>
      <c r="K589" s="58">
        <v>0</v>
      </c>
      <c r="L589" s="6">
        <v>43.895000000000003</v>
      </c>
      <c r="M589" s="58">
        <v>43.895000000000003</v>
      </c>
      <c r="N589" s="6">
        <v>43.895000000000003</v>
      </c>
      <c r="O589" s="58">
        <v>43.895000000000003</v>
      </c>
      <c r="P589" s="6">
        <v>32</v>
      </c>
      <c r="Q589" s="4" t="s">
        <v>26</v>
      </c>
      <c r="R589" s="4">
        <v>0</v>
      </c>
      <c r="S589" s="6">
        <v>0</v>
      </c>
      <c r="T589" s="6">
        <v>77</v>
      </c>
      <c r="U589" s="6">
        <v>52</v>
      </c>
      <c r="V589" s="58">
        <f>IF(ISERROR(VLOOKUP($S$589,'TAR FIN'!$A$1:$O$92,15,0)),0,VLOOKUP($S$589,'TAR FIN'!$A$1:$O$92,15,0))</f>
        <v>0</v>
      </c>
      <c r="W589" s="104">
        <f>IF(ISERROR(VLOOKUP($T$581,'TAR FIN CELESC'!$A$1:$O$92,15,0)),0,VLOOKUP($T$581,'TAR FIN CELESC'!$A$1:$O$92,15,0))*(1-0.06)</f>
        <v>230.15899999999999</v>
      </c>
      <c r="X589" s="104">
        <f>IF(ISERROR(VLOOKUP($U$581,'TAR FIN CELESC'!$A$1:$O$92,15,0)),0,VLOOKUP($U$581,'TAR FIN CELESC'!$A$1:$O$92,15,0))*(1-0.06)</f>
        <v>270.14659999999998</v>
      </c>
      <c r="Y589" s="58"/>
      <c r="Z589" s="58">
        <f ca="1">('TUSD BE'!$AM$52+'TUSD BF_350'!$AM$52+'TUSD CVA'!$AM$52)*1*(1-0.03)</f>
        <v>301.17529999999999</v>
      </c>
      <c r="AA589" s="58">
        <f ca="1">('TE BE'!$AB$40+'TE BF_350'!$AB$40+'TE CVA'!$AB$40)*1*(1-0.03)</f>
        <v>254.65409999999997</v>
      </c>
      <c r="AB589" s="6">
        <f>$K$589*$V$589</f>
        <v>0</v>
      </c>
      <c r="AC589" s="6">
        <f>$M$589*$W$589</f>
        <v>10102.829305000001</v>
      </c>
      <c r="AD589" s="6">
        <f>$O$589*$X$589</f>
        <v>11858.085007</v>
      </c>
      <c r="AE589" s="6">
        <f>$K$589*$Y$589</f>
        <v>0</v>
      </c>
      <c r="AF589" s="6">
        <f ca="1">$M$589*$Z$589</f>
        <v>13220.089793500001</v>
      </c>
      <c r="AG589" s="6">
        <f ca="1">$O$589*$AA$589</f>
        <v>11178.041719499999</v>
      </c>
    </row>
    <row r="590" spans="1:33" ht="11.25" customHeight="1" x14ac:dyDescent="0.3">
      <c r="A590" s="4" t="s">
        <v>21</v>
      </c>
      <c r="B590" s="4" t="s">
        <v>32</v>
      </c>
      <c r="C590" s="4" t="s">
        <v>23</v>
      </c>
      <c r="D590" s="4" t="s">
        <v>47</v>
      </c>
      <c r="E590" s="4" t="s">
        <v>48</v>
      </c>
      <c r="F590" s="4" t="s">
        <v>25</v>
      </c>
      <c r="G590" s="4" t="s">
        <v>25</v>
      </c>
      <c r="H590" s="4" t="s">
        <v>25</v>
      </c>
      <c r="I590" s="5">
        <v>44682</v>
      </c>
      <c r="J590" s="6">
        <v>0</v>
      </c>
      <c r="K590" s="58">
        <v>0</v>
      </c>
      <c r="L590" s="6">
        <v>40.804000000000002</v>
      </c>
      <c r="M590" s="58">
        <v>40.804000000000002</v>
      </c>
      <c r="N590" s="6">
        <v>40.804000000000002</v>
      </c>
      <c r="O590" s="58">
        <v>40.804000000000002</v>
      </c>
      <c r="P590" s="6">
        <v>32</v>
      </c>
      <c r="Q590" s="4" t="s">
        <v>26</v>
      </c>
      <c r="R590" s="4">
        <v>0</v>
      </c>
      <c r="S590" s="6">
        <v>0</v>
      </c>
      <c r="T590" s="6">
        <v>77</v>
      </c>
      <c r="U590" s="6">
        <v>52</v>
      </c>
      <c r="V590" s="58">
        <f>IF(ISERROR(VLOOKUP($S$590,'TAR FIN'!$A$1:$O$92,15,0)),0,VLOOKUP($S$590,'TAR FIN'!$A$1:$O$92,15,0))</f>
        <v>0</v>
      </c>
      <c r="W590" s="104">
        <f>IF(ISERROR(VLOOKUP($T$581,'TAR FIN CELESC'!$A$1:$O$92,15,0)),0,VLOOKUP($T$581,'TAR FIN CELESC'!$A$1:$O$92,15,0))*(1-0.06)</f>
        <v>230.15899999999999</v>
      </c>
      <c r="X590" s="104">
        <f>IF(ISERROR(VLOOKUP($U$581,'TAR FIN CELESC'!$A$1:$O$92,15,0)),0,VLOOKUP($U$581,'TAR FIN CELESC'!$A$1:$O$92,15,0))*(1-0.06)</f>
        <v>270.14659999999998</v>
      </c>
      <c r="Y590" s="58"/>
      <c r="Z590" s="58">
        <f ca="1">('TUSD BE'!$AM$52+'TUSD BF_350'!$AM$52+'TUSD CVA'!$AM$52)*1*(1-0.03)</f>
        <v>301.17529999999999</v>
      </c>
      <c r="AA590" s="58">
        <f ca="1">('TE BE'!$AB$40+'TE BF_350'!$AB$40+'TE CVA'!$AB$40)*1*(1-0.03)</f>
        <v>254.65409999999997</v>
      </c>
      <c r="AB590" s="6">
        <f>$K$590*$V$590</f>
        <v>0</v>
      </c>
      <c r="AC590" s="6">
        <f>$M$590*$W$590</f>
        <v>9391.4078360000003</v>
      </c>
      <c r="AD590" s="6">
        <f>$O$590*$X$590</f>
        <v>11023.061866399999</v>
      </c>
      <c r="AE590" s="6">
        <f>$K$590*$Y$590</f>
        <v>0</v>
      </c>
      <c r="AF590" s="6">
        <f ca="1">$M$590*$Z$590</f>
        <v>12289.156941200001</v>
      </c>
      <c r="AG590" s="6">
        <f ca="1">$O$590*$AA$590</f>
        <v>10390.9058964</v>
      </c>
    </row>
    <row r="591" spans="1:33" ht="11.25" customHeight="1" x14ac:dyDescent="0.3">
      <c r="A591" s="4" t="s">
        <v>21</v>
      </c>
      <c r="B591" s="4" t="s">
        <v>32</v>
      </c>
      <c r="C591" s="4" t="s">
        <v>23</v>
      </c>
      <c r="D591" s="4" t="s">
        <v>47</v>
      </c>
      <c r="E591" s="4" t="s">
        <v>48</v>
      </c>
      <c r="F591" s="4" t="s">
        <v>25</v>
      </c>
      <c r="G591" s="4" t="s">
        <v>25</v>
      </c>
      <c r="H591" s="4" t="s">
        <v>25</v>
      </c>
      <c r="I591" s="5">
        <v>44713</v>
      </c>
      <c r="J591" s="6">
        <v>0</v>
      </c>
      <c r="K591" s="58">
        <v>0</v>
      </c>
      <c r="L591" s="6">
        <v>38.534999999999997</v>
      </c>
      <c r="M591" s="58">
        <v>38.534999999999997</v>
      </c>
      <c r="N591" s="6">
        <v>38.534999999999997</v>
      </c>
      <c r="O591" s="58">
        <v>38.534999999999997</v>
      </c>
      <c r="P591" s="6">
        <v>32</v>
      </c>
      <c r="Q591" s="4" t="s">
        <v>26</v>
      </c>
      <c r="R591" s="4">
        <v>0</v>
      </c>
      <c r="S591" s="6">
        <v>0</v>
      </c>
      <c r="T591" s="6">
        <v>77</v>
      </c>
      <c r="U591" s="6">
        <v>52</v>
      </c>
      <c r="V591" s="58">
        <f>IF(ISERROR(VLOOKUP($S$591,'TAR FIN'!$A$1:$O$92,15,0)),0,VLOOKUP($S$591,'TAR FIN'!$A$1:$O$92,15,0))</f>
        <v>0</v>
      </c>
      <c r="W591" s="104">
        <f>IF(ISERROR(VLOOKUP($T$581,'TAR FIN CELESC'!$A$1:$O$92,15,0)),0,VLOOKUP($T$581,'TAR FIN CELESC'!$A$1:$O$92,15,0))*(1-0.06)</f>
        <v>230.15899999999999</v>
      </c>
      <c r="X591" s="104">
        <f>IF(ISERROR(VLOOKUP($U$581,'TAR FIN CELESC'!$A$1:$O$92,15,0)),0,VLOOKUP($U$581,'TAR FIN CELESC'!$A$1:$O$92,15,0))*(1-0.06)</f>
        <v>270.14659999999998</v>
      </c>
      <c r="Y591" s="58"/>
      <c r="Z591" s="58">
        <f ca="1">('TUSD BE'!$AM$52+'TUSD BF_350'!$AM$52+'TUSD CVA'!$AM$52)*1*(1-0.03)</f>
        <v>301.17529999999999</v>
      </c>
      <c r="AA591" s="58">
        <f ca="1">('TE BE'!$AB$40+'TE BF_350'!$AB$40+'TE CVA'!$AB$40)*1*(1-0.03)</f>
        <v>254.65409999999997</v>
      </c>
      <c r="AB591" s="6">
        <f>$K$591*$V$591</f>
        <v>0</v>
      </c>
      <c r="AC591" s="6">
        <f>$M$591*$W$591</f>
        <v>8869.177064999998</v>
      </c>
      <c r="AD591" s="6">
        <f>$O$591*$X$591</f>
        <v>10410.099230999998</v>
      </c>
      <c r="AE591" s="6">
        <f>$K$591*$Y$591</f>
        <v>0</v>
      </c>
      <c r="AF591" s="6">
        <f ca="1">$M$591*$Z$591</f>
        <v>11605.790185499998</v>
      </c>
      <c r="AG591" s="6">
        <f ca="1">$O$591*$AA$591</f>
        <v>9813.0957434999982</v>
      </c>
    </row>
    <row r="592" spans="1:33" ht="11.25" customHeight="1" x14ac:dyDescent="0.3">
      <c r="A592" s="4" t="s">
        <v>21</v>
      </c>
      <c r="B592" s="4" t="s">
        <v>32</v>
      </c>
      <c r="C592" s="4" t="s">
        <v>23</v>
      </c>
      <c r="D592" s="4" t="s">
        <v>47</v>
      </c>
      <c r="E592" s="4" t="s">
        <v>48</v>
      </c>
      <c r="F592" s="4" t="s">
        <v>25</v>
      </c>
      <c r="G592" s="4" t="s">
        <v>25</v>
      </c>
      <c r="H592" s="4" t="s">
        <v>25</v>
      </c>
      <c r="I592" s="5">
        <v>44743</v>
      </c>
      <c r="J592" s="6">
        <v>0</v>
      </c>
      <c r="K592" s="58">
        <v>0</v>
      </c>
      <c r="L592" s="6">
        <v>35.773000000000003</v>
      </c>
      <c r="M592" s="58">
        <v>35.773000000000003</v>
      </c>
      <c r="N592" s="6">
        <v>35.773000000000003</v>
      </c>
      <c r="O592" s="58">
        <v>35.773000000000003</v>
      </c>
      <c r="P592" s="6">
        <v>32</v>
      </c>
      <c r="Q592" s="4" t="s">
        <v>26</v>
      </c>
      <c r="R592" s="4">
        <v>0</v>
      </c>
      <c r="S592" s="6">
        <v>0</v>
      </c>
      <c r="T592" s="6">
        <v>77</v>
      </c>
      <c r="U592" s="6">
        <v>52</v>
      </c>
      <c r="V592" s="58">
        <f>IF(ISERROR(VLOOKUP($S$592,'TAR FIN'!$A$1:$O$92,15,0)),0,VLOOKUP($S$592,'TAR FIN'!$A$1:$O$92,15,0))</f>
        <v>0</v>
      </c>
      <c r="W592" s="104">
        <f>IF(ISERROR(VLOOKUP($T$581,'TAR FIN CELESC'!$A$1:$O$92,15,0)),0,VLOOKUP($T$581,'TAR FIN CELESC'!$A$1:$O$92,15,0))*(1-0.06)</f>
        <v>230.15899999999999</v>
      </c>
      <c r="X592" s="104">
        <f>IF(ISERROR(VLOOKUP($U$581,'TAR FIN CELESC'!$A$1:$O$92,15,0)),0,VLOOKUP($U$581,'TAR FIN CELESC'!$A$1:$O$92,15,0))*(1-0.06)</f>
        <v>270.14659999999998</v>
      </c>
      <c r="Y592" s="58"/>
      <c r="Z592" s="58">
        <f ca="1">('TUSD BE'!$AM$52+'TUSD BF_350'!$AM$52+'TUSD CVA'!$AM$52)*1*(1-0.03)</f>
        <v>301.17529999999999</v>
      </c>
      <c r="AA592" s="58">
        <f ca="1">('TE BE'!$AB$40+'TE BF_350'!$AB$40+'TE CVA'!$AB$40)*1*(1-0.03)</f>
        <v>254.65409999999997</v>
      </c>
      <c r="AB592" s="6">
        <f>$K$592*$V$592</f>
        <v>0</v>
      </c>
      <c r="AC592" s="6">
        <f>$M$592*$W$592</f>
        <v>8233.4779070000004</v>
      </c>
      <c r="AD592" s="6">
        <f>$O$592*$X$592</f>
        <v>9663.9543217999999</v>
      </c>
      <c r="AE592" s="6">
        <f>$K$592*$Y$592</f>
        <v>0</v>
      </c>
      <c r="AF592" s="6">
        <f ca="1">$M$592*$Z$592</f>
        <v>10773.944006900001</v>
      </c>
      <c r="AG592" s="6">
        <f ca="1">$O$592*$AA$592</f>
        <v>9109.7411192999989</v>
      </c>
    </row>
    <row r="593" spans="1:33" ht="11.25" customHeight="1" x14ac:dyDescent="0.3">
      <c r="A593" s="4" t="s">
        <v>21</v>
      </c>
      <c r="B593" s="4" t="s">
        <v>44</v>
      </c>
      <c r="C593" s="4" t="s">
        <v>23</v>
      </c>
      <c r="D593" s="4" t="s">
        <v>45</v>
      </c>
      <c r="E593" s="4" t="s">
        <v>46</v>
      </c>
      <c r="F593" s="4" t="s">
        <v>25</v>
      </c>
      <c r="G593" s="4" t="s">
        <v>25</v>
      </c>
      <c r="H593" s="4" t="s">
        <v>25</v>
      </c>
      <c r="I593" s="5">
        <v>44409</v>
      </c>
      <c r="J593" s="6">
        <v>0</v>
      </c>
      <c r="K593" s="6">
        <v>0</v>
      </c>
      <c r="L593" s="6">
        <v>214.02199999999999</v>
      </c>
      <c r="M593" s="6">
        <v>214.02199999999999</v>
      </c>
      <c r="N593" s="6">
        <v>214.02199999999999</v>
      </c>
      <c r="O593" s="6">
        <v>214.02199999999999</v>
      </c>
      <c r="P593" s="6">
        <v>2</v>
      </c>
      <c r="Q593" s="4" t="s">
        <v>26</v>
      </c>
      <c r="R593" s="4">
        <v>0</v>
      </c>
      <c r="S593" s="6">
        <v>0</v>
      </c>
      <c r="T593" s="6">
        <v>79</v>
      </c>
      <c r="U593" s="6">
        <v>56</v>
      </c>
      <c r="V593" s="6">
        <f>IF(ISERROR(VLOOKUP($S$593,'TAR FIN'!$A$1:$O$92,15,0)),0,VLOOKUP($S$593,'TAR FIN'!$A$1:$O$92,15,0))</f>
        <v>0</v>
      </c>
      <c r="W593" s="104">
        <f>IF(ISERROR(VLOOKUP($T$593,'TAR FIN CELESC'!$A$1:$O$92,15,0)),0,VLOOKUP($T$593,'TAR FIN CELESC'!$A$1:$O$92,15,0))</f>
        <v>134.66999999999999</v>
      </c>
      <c r="X593" s="104">
        <f>IF(ISERROR(VLOOKUP($U$593,'TAR FIN CELESC'!$A$1:$O$92,15,0)),0,VLOOKUP($U$593,'TAR FIN CELESC'!$A$1:$O$92,15,0))</f>
        <v>173.21</v>
      </c>
      <c r="Y593" s="6"/>
      <c r="Z593" s="6">
        <f ca="1">('TUSD BE'!$AM$54+'TUSD BF_350'!$AM$54+'TUSD CVA'!$AM$54)*1</f>
        <v>170.77</v>
      </c>
      <c r="AA593" s="6">
        <f ca="1">('TE BE'!$AB$42+'TE BF_350'!$AB$42+'TE CVA'!$AB$42)*1</f>
        <v>144.38999999999999</v>
      </c>
      <c r="AB593" s="6">
        <f>$K$593*$V$593</f>
        <v>0</v>
      </c>
      <c r="AC593" s="6">
        <f>$M$593*$W$593</f>
        <v>28822.342739999996</v>
      </c>
      <c r="AD593" s="6">
        <f>$O$593*$X$593</f>
        <v>37070.750619999999</v>
      </c>
      <c r="AE593" s="6">
        <f>$K$593*$Y$593</f>
        <v>0</v>
      </c>
      <c r="AF593" s="6">
        <f ca="1">$M$593*$Z$593</f>
        <v>36548.536939999998</v>
      </c>
      <c r="AG593" s="6">
        <f ca="1">$O$593*$AA$593</f>
        <v>30902.636579999995</v>
      </c>
    </row>
    <row r="594" spans="1:33" ht="11.25" customHeight="1" x14ac:dyDescent="0.3">
      <c r="A594" s="4" t="s">
        <v>21</v>
      </c>
      <c r="B594" s="4" t="s">
        <v>44</v>
      </c>
      <c r="C594" s="4" t="s">
        <v>23</v>
      </c>
      <c r="D594" s="4" t="s">
        <v>45</v>
      </c>
      <c r="E594" s="4" t="s">
        <v>46</v>
      </c>
      <c r="F594" s="4" t="s">
        <v>25</v>
      </c>
      <c r="G594" s="4" t="s">
        <v>25</v>
      </c>
      <c r="H594" s="4" t="s">
        <v>25</v>
      </c>
      <c r="I594" s="5">
        <v>44440</v>
      </c>
      <c r="J594" s="6">
        <v>0</v>
      </c>
      <c r="K594" s="6">
        <v>0</v>
      </c>
      <c r="L594" s="6">
        <v>192.84399999999999</v>
      </c>
      <c r="M594" s="6">
        <v>192.84399999999999</v>
      </c>
      <c r="N594" s="6">
        <v>192.84399999999999</v>
      </c>
      <c r="O594" s="6">
        <v>192.84399999999999</v>
      </c>
      <c r="P594" s="6">
        <v>2</v>
      </c>
      <c r="Q594" s="4" t="s">
        <v>26</v>
      </c>
      <c r="R594" s="4">
        <v>0</v>
      </c>
      <c r="S594" s="6">
        <v>0</v>
      </c>
      <c r="T594" s="6">
        <v>79</v>
      </c>
      <c r="U594" s="6">
        <v>56</v>
      </c>
      <c r="V594" s="6">
        <f>IF(ISERROR(VLOOKUP($S$594,'TAR FIN'!$A$1:$O$92,15,0)),0,VLOOKUP($S$594,'TAR FIN'!$A$1:$O$92,15,0))</f>
        <v>0</v>
      </c>
      <c r="W594" s="104">
        <f>IF(ISERROR(VLOOKUP($T$593,'TAR FIN CELESC'!$A$1:$O$92,15,0)),0,VLOOKUP($T$593,'TAR FIN CELESC'!$A$1:$O$92,15,0))</f>
        <v>134.66999999999999</v>
      </c>
      <c r="X594" s="104">
        <f>IF(ISERROR(VLOOKUP($U$593,'TAR FIN CELESC'!$A$1:$O$92,15,0)),0,VLOOKUP($U$593,'TAR FIN CELESC'!$A$1:$O$92,15,0))</f>
        <v>173.21</v>
      </c>
      <c r="Y594" s="6"/>
      <c r="Z594" s="6">
        <f ca="1">('TUSD BE'!$AM$54+'TUSD BF_350'!$AM$54+'TUSD CVA'!$AM$54)*1</f>
        <v>170.77</v>
      </c>
      <c r="AA594" s="6">
        <f ca="1">('TE BE'!$AB$42+'TE BF_350'!$AB$42+'TE CVA'!$AB$42)*1</f>
        <v>144.38999999999999</v>
      </c>
      <c r="AB594" s="6">
        <f>$K$594*$V$594</f>
        <v>0</v>
      </c>
      <c r="AC594" s="6">
        <f>$M$594*$W$594</f>
        <v>25970.301479999998</v>
      </c>
      <c r="AD594" s="6">
        <f>$O$594*$X$594</f>
        <v>33402.509239999999</v>
      </c>
      <c r="AE594" s="6">
        <f>$K$594*$Y$594</f>
        <v>0</v>
      </c>
      <c r="AF594" s="6">
        <f ca="1">$M$594*$Z$594</f>
        <v>32931.969880000004</v>
      </c>
      <c r="AG594" s="6">
        <f ca="1">$O$594*$AA$594</f>
        <v>27844.745159999995</v>
      </c>
    </row>
    <row r="595" spans="1:33" ht="11.25" customHeight="1" x14ac:dyDescent="0.3">
      <c r="A595" s="4" t="s">
        <v>21</v>
      </c>
      <c r="B595" s="4" t="s">
        <v>44</v>
      </c>
      <c r="C595" s="4" t="s">
        <v>23</v>
      </c>
      <c r="D595" s="4" t="s">
        <v>45</v>
      </c>
      <c r="E595" s="4" t="s">
        <v>46</v>
      </c>
      <c r="F595" s="4" t="s">
        <v>25</v>
      </c>
      <c r="G595" s="4" t="s">
        <v>25</v>
      </c>
      <c r="H595" s="4" t="s">
        <v>25</v>
      </c>
      <c r="I595" s="5">
        <v>44470</v>
      </c>
      <c r="J595" s="6">
        <v>0</v>
      </c>
      <c r="K595" s="6">
        <v>0</v>
      </c>
      <c r="L595" s="6">
        <v>191.751</v>
      </c>
      <c r="M595" s="6">
        <v>191.751</v>
      </c>
      <c r="N595" s="6">
        <v>191.751</v>
      </c>
      <c r="O595" s="6">
        <v>191.751</v>
      </c>
      <c r="P595" s="6">
        <v>2</v>
      </c>
      <c r="Q595" s="4" t="s">
        <v>26</v>
      </c>
      <c r="R595" s="4">
        <v>0</v>
      </c>
      <c r="S595" s="6">
        <v>0</v>
      </c>
      <c r="T595" s="6">
        <v>79</v>
      </c>
      <c r="U595" s="6">
        <v>56</v>
      </c>
      <c r="V595" s="6">
        <f>IF(ISERROR(VLOOKUP($S$595,'TAR FIN'!$A$1:$O$92,15,0)),0,VLOOKUP($S$595,'TAR FIN'!$A$1:$O$92,15,0))</f>
        <v>0</v>
      </c>
      <c r="W595" s="104">
        <f>IF(ISERROR(VLOOKUP($T$593,'TAR FIN CELESC'!$A$1:$O$92,15,0)),0,VLOOKUP($T$593,'TAR FIN CELESC'!$A$1:$O$92,15,0))</f>
        <v>134.66999999999999</v>
      </c>
      <c r="X595" s="104">
        <f>IF(ISERROR(VLOOKUP($U$593,'TAR FIN CELESC'!$A$1:$O$92,15,0)),0,VLOOKUP($U$593,'TAR FIN CELESC'!$A$1:$O$92,15,0))</f>
        <v>173.21</v>
      </c>
      <c r="Y595" s="6"/>
      <c r="Z595" s="6">
        <f ca="1">('TUSD BE'!$AM$54+'TUSD BF_350'!$AM$54+'TUSD CVA'!$AM$54)*1</f>
        <v>170.77</v>
      </c>
      <c r="AA595" s="6">
        <f ca="1">('TE BE'!$AB$42+'TE BF_350'!$AB$42+'TE CVA'!$AB$42)*1</f>
        <v>144.38999999999999</v>
      </c>
      <c r="AB595" s="6">
        <f>$K$595*$V$595</f>
        <v>0</v>
      </c>
      <c r="AC595" s="6">
        <f>$M$595*$W$595</f>
        <v>25823.107169999999</v>
      </c>
      <c r="AD595" s="6">
        <f>$O$595*$X$595</f>
        <v>33213.190710000003</v>
      </c>
      <c r="AE595" s="6">
        <f>$K$595*$Y$595</f>
        <v>0</v>
      </c>
      <c r="AF595" s="6">
        <f ca="1">$M$595*$Z$595</f>
        <v>32745.318270000003</v>
      </c>
      <c r="AG595" s="6">
        <f ca="1">$O$595*$AA$595</f>
        <v>27686.926889999999</v>
      </c>
    </row>
    <row r="596" spans="1:33" ht="11.25" customHeight="1" x14ac:dyDescent="0.3">
      <c r="A596" s="4" t="s">
        <v>21</v>
      </c>
      <c r="B596" s="4" t="s">
        <v>44</v>
      </c>
      <c r="C596" s="4" t="s">
        <v>23</v>
      </c>
      <c r="D596" s="4" t="s">
        <v>45</v>
      </c>
      <c r="E596" s="4" t="s">
        <v>46</v>
      </c>
      <c r="F596" s="4" t="s">
        <v>25</v>
      </c>
      <c r="G596" s="4" t="s">
        <v>25</v>
      </c>
      <c r="H596" s="4" t="s">
        <v>25</v>
      </c>
      <c r="I596" s="5">
        <v>44501</v>
      </c>
      <c r="J596" s="6">
        <v>0</v>
      </c>
      <c r="K596" s="6">
        <v>0</v>
      </c>
      <c r="L596" s="6">
        <v>170.47399999999999</v>
      </c>
      <c r="M596" s="6">
        <v>170.47399999999999</v>
      </c>
      <c r="N596" s="6">
        <v>170.47399999999999</v>
      </c>
      <c r="O596" s="6">
        <v>170.47399999999999</v>
      </c>
      <c r="P596" s="6">
        <v>2</v>
      </c>
      <c r="Q596" s="4" t="s">
        <v>26</v>
      </c>
      <c r="R596" s="4">
        <v>0</v>
      </c>
      <c r="S596" s="6">
        <v>0</v>
      </c>
      <c r="T596" s="6">
        <v>79</v>
      </c>
      <c r="U596" s="6">
        <v>56</v>
      </c>
      <c r="V596" s="6">
        <f>IF(ISERROR(VLOOKUP($S$596,'TAR FIN'!$A$1:$O$92,15,0)),0,VLOOKUP($S$596,'TAR FIN'!$A$1:$O$92,15,0))</f>
        <v>0</v>
      </c>
      <c r="W596" s="104">
        <f>IF(ISERROR(VLOOKUP($T$593,'TAR FIN CELESC'!$A$1:$O$92,15,0)),0,VLOOKUP($T$593,'TAR FIN CELESC'!$A$1:$O$92,15,0))</f>
        <v>134.66999999999999</v>
      </c>
      <c r="X596" s="104">
        <f>IF(ISERROR(VLOOKUP($U$593,'TAR FIN CELESC'!$A$1:$O$92,15,0)),0,VLOOKUP($U$593,'TAR FIN CELESC'!$A$1:$O$92,15,0))</f>
        <v>173.21</v>
      </c>
      <c r="Y596" s="6"/>
      <c r="Z596" s="6">
        <f ca="1">('TUSD BE'!$AM$54+'TUSD BF_350'!$AM$54+'TUSD CVA'!$AM$54)*1</f>
        <v>170.77</v>
      </c>
      <c r="AA596" s="6">
        <f ca="1">('TE BE'!$AB$42+'TE BF_350'!$AB$42+'TE CVA'!$AB$42)*1</f>
        <v>144.38999999999999</v>
      </c>
      <c r="AB596" s="6">
        <f>$K$596*$V$596</f>
        <v>0</v>
      </c>
      <c r="AC596" s="6">
        <f>$M$596*$W$596</f>
        <v>22957.733579999996</v>
      </c>
      <c r="AD596" s="6">
        <f>$O$596*$X$596</f>
        <v>29527.80154</v>
      </c>
      <c r="AE596" s="6">
        <f>$K$596*$Y$596</f>
        <v>0</v>
      </c>
      <c r="AF596" s="6">
        <f ca="1">$M$596*$Z$596</f>
        <v>29111.844980000002</v>
      </c>
      <c r="AG596" s="6">
        <f ca="1">$O$596*$AA$596</f>
        <v>24614.740859999994</v>
      </c>
    </row>
    <row r="597" spans="1:33" ht="11.25" customHeight="1" x14ac:dyDescent="0.3">
      <c r="A597" s="4" t="s">
        <v>21</v>
      </c>
      <c r="B597" s="4" t="s">
        <v>44</v>
      </c>
      <c r="C597" s="4" t="s">
        <v>23</v>
      </c>
      <c r="D597" s="4" t="s">
        <v>45</v>
      </c>
      <c r="E597" s="4" t="s">
        <v>46</v>
      </c>
      <c r="F597" s="4" t="s">
        <v>25</v>
      </c>
      <c r="G597" s="4" t="s">
        <v>25</v>
      </c>
      <c r="H597" s="4" t="s">
        <v>25</v>
      </c>
      <c r="I597" s="5">
        <v>44531</v>
      </c>
      <c r="J597" s="6">
        <v>0</v>
      </c>
      <c r="K597" s="6">
        <v>0</v>
      </c>
      <c r="L597" s="6">
        <v>175.501</v>
      </c>
      <c r="M597" s="6">
        <v>175.501</v>
      </c>
      <c r="N597" s="6">
        <v>175.501</v>
      </c>
      <c r="O597" s="6">
        <v>175.501</v>
      </c>
      <c r="P597" s="6">
        <v>2</v>
      </c>
      <c r="Q597" s="4" t="s">
        <v>26</v>
      </c>
      <c r="R597" s="4">
        <v>0</v>
      </c>
      <c r="S597" s="6">
        <v>0</v>
      </c>
      <c r="T597" s="6">
        <v>79</v>
      </c>
      <c r="U597" s="6">
        <v>56</v>
      </c>
      <c r="V597" s="6">
        <f>IF(ISERROR(VLOOKUP($S$597,'TAR FIN'!$A$1:$O$92,15,0)),0,VLOOKUP($S$597,'TAR FIN'!$A$1:$O$92,15,0))</f>
        <v>0</v>
      </c>
      <c r="W597" s="104">
        <f>IF(ISERROR(VLOOKUP($T$593,'TAR FIN CELESC'!$A$1:$O$92,15,0)),0,VLOOKUP($T$593,'TAR FIN CELESC'!$A$1:$O$92,15,0))</f>
        <v>134.66999999999999</v>
      </c>
      <c r="X597" s="104">
        <f>IF(ISERROR(VLOOKUP($U$593,'TAR FIN CELESC'!$A$1:$O$92,15,0)),0,VLOOKUP($U$593,'TAR FIN CELESC'!$A$1:$O$92,15,0))</f>
        <v>173.21</v>
      </c>
      <c r="Y597" s="6"/>
      <c r="Z597" s="6">
        <f ca="1">('TUSD BE'!$AM$54+'TUSD BF_350'!$AM$54+'TUSD CVA'!$AM$54)*1</f>
        <v>170.77</v>
      </c>
      <c r="AA597" s="6">
        <f ca="1">('TE BE'!$AB$42+'TE BF_350'!$AB$42+'TE CVA'!$AB$42)*1</f>
        <v>144.38999999999999</v>
      </c>
      <c r="AB597" s="6">
        <f>$K$597*$V$597</f>
        <v>0</v>
      </c>
      <c r="AC597" s="6">
        <f>$M$597*$W$597</f>
        <v>23634.719669999999</v>
      </c>
      <c r="AD597" s="6">
        <f>$O$597*$X$597</f>
        <v>30398.528210000004</v>
      </c>
      <c r="AE597" s="6">
        <f>$K$597*$Y$597</f>
        <v>0</v>
      </c>
      <c r="AF597" s="6">
        <f ca="1">$M$597*$Z$597</f>
        <v>29970.305770000003</v>
      </c>
      <c r="AG597" s="6">
        <f ca="1">$O$597*$AA$597</f>
        <v>25340.589389999997</v>
      </c>
    </row>
    <row r="598" spans="1:33" ht="11.25" customHeight="1" x14ac:dyDescent="0.3">
      <c r="A598" s="4" t="s">
        <v>21</v>
      </c>
      <c r="B598" s="4" t="s">
        <v>44</v>
      </c>
      <c r="C598" s="4" t="s">
        <v>23</v>
      </c>
      <c r="D598" s="4" t="s">
        <v>45</v>
      </c>
      <c r="E598" s="4" t="s">
        <v>46</v>
      </c>
      <c r="F598" s="4" t="s">
        <v>25</v>
      </c>
      <c r="G598" s="4" t="s">
        <v>25</v>
      </c>
      <c r="H598" s="4" t="s">
        <v>25</v>
      </c>
      <c r="I598" s="5">
        <v>44562</v>
      </c>
      <c r="J598" s="6">
        <v>0</v>
      </c>
      <c r="K598" s="6">
        <v>0</v>
      </c>
      <c r="L598" s="6">
        <v>177.334</v>
      </c>
      <c r="M598" s="6">
        <v>177.334</v>
      </c>
      <c r="N598" s="6">
        <v>177.334</v>
      </c>
      <c r="O598" s="6">
        <v>177.334</v>
      </c>
      <c r="P598" s="6">
        <v>2</v>
      </c>
      <c r="Q598" s="4" t="s">
        <v>26</v>
      </c>
      <c r="R598" s="4">
        <v>0</v>
      </c>
      <c r="S598" s="6">
        <v>0</v>
      </c>
      <c r="T598" s="6">
        <v>79</v>
      </c>
      <c r="U598" s="6">
        <v>56</v>
      </c>
      <c r="V598" s="6">
        <f>IF(ISERROR(VLOOKUP($S$598,'TAR FIN'!$A$1:$O$92,15,0)),0,VLOOKUP($S$598,'TAR FIN'!$A$1:$O$92,15,0))</f>
        <v>0</v>
      </c>
      <c r="W598" s="104">
        <f>IF(ISERROR(VLOOKUP($T$593,'TAR FIN CELESC'!$A$1:$O$92,15,0)),0,VLOOKUP($T$593,'TAR FIN CELESC'!$A$1:$O$92,15,0))</f>
        <v>134.66999999999999</v>
      </c>
      <c r="X598" s="104">
        <f>IF(ISERROR(VLOOKUP($U$593,'TAR FIN CELESC'!$A$1:$O$92,15,0)),0,VLOOKUP($U$593,'TAR FIN CELESC'!$A$1:$O$92,15,0))</f>
        <v>173.21</v>
      </c>
      <c r="Y598" s="6"/>
      <c r="Z598" s="6">
        <f ca="1">('TUSD BE'!$AM$54+'TUSD BF_350'!$AM$54+'TUSD CVA'!$AM$54)*1</f>
        <v>170.77</v>
      </c>
      <c r="AA598" s="6">
        <f ca="1">('TE BE'!$AB$42+'TE BF_350'!$AB$42+'TE CVA'!$AB$42)*1</f>
        <v>144.38999999999999</v>
      </c>
      <c r="AB598" s="6">
        <f>$K$598*$V$598</f>
        <v>0</v>
      </c>
      <c r="AC598" s="6">
        <f>$M$598*$W$598</f>
        <v>23881.569779999998</v>
      </c>
      <c r="AD598" s="6">
        <f>$O$598*$X$598</f>
        <v>30716.022140000001</v>
      </c>
      <c r="AE598" s="6">
        <f>$K$598*$Y$598</f>
        <v>0</v>
      </c>
      <c r="AF598" s="6">
        <f ca="1">$M$598*$Z$598</f>
        <v>30283.327180000004</v>
      </c>
      <c r="AG598" s="6">
        <f ca="1">$O$598*$AA$598</f>
        <v>25605.256259999998</v>
      </c>
    </row>
    <row r="599" spans="1:33" ht="11.25" customHeight="1" x14ac:dyDescent="0.3">
      <c r="A599" s="4" t="s">
        <v>21</v>
      </c>
      <c r="B599" s="4" t="s">
        <v>44</v>
      </c>
      <c r="C599" s="4" t="s">
        <v>23</v>
      </c>
      <c r="D599" s="4" t="s">
        <v>45</v>
      </c>
      <c r="E599" s="4" t="s">
        <v>46</v>
      </c>
      <c r="F599" s="4" t="s">
        <v>25</v>
      </c>
      <c r="G599" s="4" t="s">
        <v>25</v>
      </c>
      <c r="H599" s="4" t="s">
        <v>25</v>
      </c>
      <c r="I599" s="5">
        <v>44593</v>
      </c>
      <c r="J599" s="6">
        <v>0</v>
      </c>
      <c r="K599" s="6">
        <v>0</v>
      </c>
      <c r="L599" s="6">
        <v>171.881</v>
      </c>
      <c r="M599" s="6">
        <v>171.881</v>
      </c>
      <c r="N599" s="6">
        <v>171.881</v>
      </c>
      <c r="O599" s="6">
        <v>171.881</v>
      </c>
      <c r="P599" s="6">
        <v>2</v>
      </c>
      <c r="Q599" s="4" t="s">
        <v>26</v>
      </c>
      <c r="R599" s="4">
        <v>0</v>
      </c>
      <c r="S599" s="6">
        <v>0</v>
      </c>
      <c r="T599" s="6">
        <v>79</v>
      </c>
      <c r="U599" s="6">
        <v>56</v>
      </c>
      <c r="V599" s="6">
        <f>IF(ISERROR(VLOOKUP($S$599,'TAR FIN'!$A$1:$O$92,15,0)),0,VLOOKUP($S$599,'TAR FIN'!$A$1:$O$92,15,0))</f>
        <v>0</v>
      </c>
      <c r="W599" s="104">
        <f>IF(ISERROR(VLOOKUP($T$593,'TAR FIN CELESC'!$A$1:$O$92,15,0)),0,VLOOKUP($T$593,'TAR FIN CELESC'!$A$1:$O$92,15,0))</f>
        <v>134.66999999999999</v>
      </c>
      <c r="X599" s="104">
        <f>IF(ISERROR(VLOOKUP($U$593,'TAR FIN CELESC'!$A$1:$O$92,15,0)),0,VLOOKUP($U$593,'TAR FIN CELESC'!$A$1:$O$92,15,0))</f>
        <v>173.21</v>
      </c>
      <c r="Y599" s="6"/>
      <c r="Z599" s="6">
        <f ca="1">('TUSD BE'!$AM$54+'TUSD BF_350'!$AM$54+'TUSD CVA'!$AM$54)*1</f>
        <v>170.77</v>
      </c>
      <c r="AA599" s="6">
        <f ca="1">('TE BE'!$AB$42+'TE BF_350'!$AB$42+'TE CVA'!$AB$42)*1</f>
        <v>144.38999999999999</v>
      </c>
      <c r="AB599" s="6">
        <f>$K$599*$V$599</f>
        <v>0</v>
      </c>
      <c r="AC599" s="6">
        <f>$M$599*$W$599</f>
        <v>23147.214269999997</v>
      </c>
      <c r="AD599" s="6">
        <f>$O$599*$X$599</f>
        <v>29771.508010000001</v>
      </c>
      <c r="AE599" s="6">
        <f>$K$599*$Y$599</f>
        <v>0</v>
      </c>
      <c r="AF599" s="6">
        <f ca="1">$M$599*$Z$599</f>
        <v>29352.11837</v>
      </c>
      <c r="AG599" s="6">
        <f ca="1">$O$599*$AA$599</f>
        <v>24817.897589999997</v>
      </c>
    </row>
    <row r="600" spans="1:33" ht="11.25" customHeight="1" x14ac:dyDescent="0.3">
      <c r="A600" s="4" t="s">
        <v>21</v>
      </c>
      <c r="B600" s="4" t="s">
        <v>44</v>
      </c>
      <c r="C600" s="4" t="s">
        <v>23</v>
      </c>
      <c r="D600" s="4" t="s">
        <v>45</v>
      </c>
      <c r="E600" s="4" t="s">
        <v>46</v>
      </c>
      <c r="F600" s="4" t="s">
        <v>25</v>
      </c>
      <c r="G600" s="4" t="s">
        <v>25</v>
      </c>
      <c r="H600" s="4" t="s">
        <v>25</v>
      </c>
      <c r="I600" s="5">
        <v>44621</v>
      </c>
      <c r="J600" s="6">
        <v>0</v>
      </c>
      <c r="K600" s="6">
        <v>0</v>
      </c>
      <c r="L600" s="6">
        <v>205.21799999999999</v>
      </c>
      <c r="M600" s="6">
        <v>205.21799999999999</v>
      </c>
      <c r="N600" s="6">
        <v>205.21799999999999</v>
      </c>
      <c r="O600" s="6">
        <v>205.21799999999999</v>
      </c>
      <c r="P600" s="6">
        <v>2</v>
      </c>
      <c r="Q600" s="4" t="s">
        <v>26</v>
      </c>
      <c r="R600" s="4">
        <v>0</v>
      </c>
      <c r="S600" s="6">
        <v>0</v>
      </c>
      <c r="T600" s="6">
        <v>79</v>
      </c>
      <c r="U600" s="6">
        <v>56</v>
      </c>
      <c r="V600" s="6">
        <f>IF(ISERROR(VLOOKUP($S$600,'TAR FIN'!$A$1:$O$92,15,0)),0,VLOOKUP($S$600,'TAR FIN'!$A$1:$O$92,15,0))</f>
        <v>0</v>
      </c>
      <c r="W600" s="104">
        <f>IF(ISERROR(VLOOKUP($T$593,'TAR FIN CELESC'!$A$1:$O$92,15,0)),0,VLOOKUP($T$593,'TAR FIN CELESC'!$A$1:$O$92,15,0))</f>
        <v>134.66999999999999</v>
      </c>
      <c r="X600" s="104">
        <f>IF(ISERROR(VLOOKUP($U$593,'TAR FIN CELESC'!$A$1:$O$92,15,0)),0,VLOOKUP($U$593,'TAR FIN CELESC'!$A$1:$O$92,15,0))</f>
        <v>173.21</v>
      </c>
      <c r="Y600" s="6"/>
      <c r="Z600" s="6">
        <f ca="1">('TUSD BE'!$AM$54+'TUSD BF_350'!$AM$54+'TUSD CVA'!$AM$54)*1</f>
        <v>170.77</v>
      </c>
      <c r="AA600" s="6">
        <f ca="1">('TE BE'!$AB$42+'TE BF_350'!$AB$42+'TE CVA'!$AB$42)*1</f>
        <v>144.38999999999999</v>
      </c>
      <c r="AB600" s="6">
        <f>$K$600*$V$600</f>
        <v>0</v>
      </c>
      <c r="AC600" s="6">
        <f>$M$600*$W$600</f>
        <v>27636.708059999997</v>
      </c>
      <c r="AD600" s="6">
        <f>$O$600*$X$600</f>
        <v>35545.809780000003</v>
      </c>
      <c r="AE600" s="6">
        <f>$K$600*$Y$600</f>
        <v>0</v>
      </c>
      <c r="AF600" s="6">
        <f ca="1">$M$600*$Z$600</f>
        <v>35045.077859999998</v>
      </c>
      <c r="AG600" s="6">
        <f ca="1">$O$600*$AA$600</f>
        <v>29631.427019999996</v>
      </c>
    </row>
    <row r="601" spans="1:33" ht="11.25" customHeight="1" x14ac:dyDescent="0.3">
      <c r="A601" s="4" t="s">
        <v>21</v>
      </c>
      <c r="B601" s="4" t="s">
        <v>44</v>
      </c>
      <c r="C601" s="4" t="s">
        <v>23</v>
      </c>
      <c r="D601" s="4" t="s">
        <v>45</v>
      </c>
      <c r="E601" s="4" t="s">
        <v>46</v>
      </c>
      <c r="F601" s="4" t="s">
        <v>25</v>
      </c>
      <c r="G601" s="4" t="s">
        <v>25</v>
      </c>
      <c r="H601" s="4" t="s">
        <v>25</v>
      </c>
      <c r="I601" s="5">
        <v>44652</v>
      </c>
      <c r="J601" s="6">
        <v>0</v>
      </c>
      <c r="K601" s="6">
        <v>0</v>
      </c>
      <c r="L601" s="6">
        <v>215.04300000000001</v>
      </c>
      <c r="M601" s="6">
        <v>215.04300000000001</v>
      </c>
      <c r="N601" s="6">
        <v>215.04300000000001</v>
      </c>
      <c r="O601" s="6">
        <v>215.04300000000001</v>
      </c>
      <c r="P601" s="6">
        <v>2</v>
      </c>
      <c r="Q601" s="4" t="s">
        <v>26</v>
      </c>
      <c r="R601" s="4">
        <v>0</v>
      </c>
      <c r="S601" s="6">
        <v>0</v>
      </c>
      <c r="T601" s="6">
        <v>79</v>
      </c>
      <c r="U601" s="6">
        <v>56</v>
      </c>
      <c r="V601" s="6">
        <f>IF(ISERROR(VLOOKUP($S$601,'TAR FIN'!$A$1:$O$92,15,0)),0,VLOOKUP($S$601,'TAR FIN'!$A$1:$O$92,15,0))</f>
        <v>0</v>
      </c>
      <c r="W601" s="104">
        <f>IF(ISERROR(VLOOKUP($T$593,'TAR FIN CELESC'!$A$1:$O$92,15,0)),0,VLOOKUP($T$593,'TAR FIN CELESC'!$A$1:$O$92,15,0))</f>
        <v>134.66999999999999</v>
      </c>
      <c r="X601" s="104">
        <f>IF(ISERROR(VLOOKUP($U$593,'TAR FIN CELESC'!$A$1:$O$92,15,0)),0,VLOOKUP($U$593,'TAR FIN CELESC'!$A$1:$O$92,15,0))</f>
        <v>173.21</v>
      </c>
      <c r="Y601" s="6"/>
      <c r="Z601" s="6">
        <f ca="1">('TUSD BE'!$AM$54+'TUSD BF_350'!$AM$54+'TUSD CVA'!$AM$54)*1</f>
        <v>170.77</v>
      </c>
      <c r="AA601" s="6">
        <f ca="1">('TE BE'!$AB$42+'TE BF_350'!$AB$42+'TE CVA'!$AB$42)*1</f>
        <v>144.38999999999999</v>
      </c>
      <c r="AB601" s="6">
        <f>$K$601*$V$601</f>
        <v>0</v>
      </c>
      <c r="AC601" s="6">
        <f>$M$601*$W$601</f>
        <v>28959.840809999998</v>
      </c>
      <c r="AD601" s="6">
        <f>$O$601*$X$601</f>
        <v>37247.598030000001</v>
      </c>
      <c r="AE601" s="6">
        <f>$K$601*$Y$601</f>
        <v>0</v>
      </c>
      <c r="AF601" s="6">
        <f ca="1">$M$601*$Z$601</f>
        <v>36722.893110000005</v>
      </c>
      <c r="AG601" s="6">
        <f ca="1">$O$601*$AA$601</f>
        <v>31050.05877</v>
      </c>
    </row>
    <row r="602" spans="1:33" ht="11.25" customHeight="1" x14ac:dyDescent="0.3">
      <c r="A602" s="4" t="s">
        <v>21</v>
      </c>
      <c r="B602" s="4" t="s">
        <v>44</v>
      </c>
      <c r="C602" s="4" t="s">
        <v>23</v>
      </c>
      <c r="D602" s="4" t="s">
        <v>45</v>
      </c>
      <c r="E602" s="4" t="s">
        <v>46</v>
      </c>
      <c r="F602" s="4" t="s">
        <v>25</v>
      </c>
      <c r="G602" s="4" t="s">
        <v>25</v>
      </c>
      <c r="H602" s="4" t="s">
        <v>25</v>
      </c>
      <c r="I602" s="5">
        <v>44682</v>
      </c>
      <c r="J602" s="6">
        <v>0</v>
      </c>
      <c r="K602" s="6">
        <v>0</v>
      </c>
      <c r="L602" s="6">
        <v>229.447</v>
      </c>
      <c r="M602" s="6">
        <v>229.447</v>
      </c>
      <c r="N602" s="6">
        <v>229.447</v>
      </c>
      <c r="O602" s="6">
        <v>229.447</v>
      </c>
      <c r="P602" s="6">
        <v>2</v>
      </c>
      <c r="Q602" s="4" t="s">
        <v>26</v>
      </c>
      <c r="R602" s="4">
        <v>0</v>
      </c>
      <c r="S602" s="6">
        <v>0</v>
      </c>
      <c r="T602" s="6">
        <v>79</v>
      </c>
      <c r="U602" s="6">
        <v>56</v>
      </c>
      <c r="V602" s="6">
        <f>IF(ISERROR(VLOOKUP($S$602,'TAR FIN'!$A$1:$O$92,15,0)),0,VLOOKUP($S$602,'TAR FIN'!$A$1:$O$92,15,0))</f>
        <v>0</v>
      </c>
      <c r="W602" s="104">
        <f>IF(ISERROR(VLOOKUP($T$593,'TAR FIN CELESC'!$A$1:$O$92,15,0)),0,VLOOKUP($T$593,'TAR FIN CELESC'!$A$1:$O$92,15,0))</f>
        <v>134.66999999999999</v>
      </c>
      <c r="X602" s="104">
        <f>IF(ISERROR(VLOOKUP($U$593,'TAR FIN CELESC'!$A$1:$O$92,15,0)),0,VLOOKUP($U$593,'TAR FIN CELESC'!$A$1:$O$92,15,0))</f>
        <v>173.21</v>
      </c>
      <c r="Y602" s="6"/>
      <c r="Z602" s="6">
        <f ca="1">('TUSD BE'!$AM$54+'TUSD BF_350'!$AM$54+'TUSD CVA'!$AM$54)*1</f>
        <v>170.77</v>
      </c>
      <c r="AA602" s="6">
        <f ca="1">('TE BE'!$AB$42+'TE BF_350'!$AB$42+'TE CVA'!$AB$42)*1</f>
        <v>144.38999999999999</v>
      </c>
      <c r="AB602" s="6">
        <f>$K$602*$V$602</f>
        <v>0</v>
      </c>
      <c r="AC602" s="6">
        <f>$M$602*$W$602</f>
        <v>30899.627489999999</v>
      </c>
      <c r="AD602" s="6">
        <f>$O$602*$X$602</f>
        <v>39742.514869999999</v>
      </c>
      <c r="AE602" s="6">
        <f>$K$602*$Y$602</f>
        <v>0</v>
      </c>
      <c r="AF602" s="6">
        <f ca="1">$M$602*$Z$602</f>
        <v>39182.664190000003</v>
      </c>
      <c r="AG602" s="6">
        <f ca="1">$O$602*$AA$602</f>
        <v>33129.852329999994</v>
      </c>
    </row>
    <row r="603" spans="1:33" ht="11.25" customHeight="1" x14ac:dyDescent="0.3">
      <c r="A603" s="4" t="s">
        <v>21</v>
      </c>
      <c r="B603" s="4" t="s">
        <v>44</v>
      </c>
      <c r="C603" s="4" t="s">
        <v>23</v>
      </c>
      <c r="D603" s="4" t="s">
        <v>45</v>
      </c>
      <c r="E603" s="4" t="s">
        <v>46</v>
      </c>
      <c r="F603" s="4" t="s">
        <v>25</v>
      </c>
      <c r="G603" s="4" t="s">
        <v>25</v>
      </c>
      <c r="H603" s="4" t="s">
        <v>25</v>
      </c>
      <c r="I603" s="5">
        <v>44713</v>
      </c>
      <c r="J603" s="6">
        <v>0</v>
      </c>
      <c r="K603" s="6">
        <v>0</v>
      </c>
      <c r="L603" s="6">
        <v>240.41900000000001</v>
      </c>
      <c r="M603" s="6">
        <v>240.41900000000001</v>
      </c>
      <c r="N603" s="6">
        <v>240.41900000000001</v>
      </c>
      <c r="O603" s="6">
        <v>240.41900000000001</v>
      </c>
      <c r="P603" s="6">
        <v>2</v>
      </c>
      <c r="Q603" s="4" t="s">
        <v>26</v>
      </c>
      <c r="R603" s="4">
        <v>0</v>
      </c>
      <c r="S603" s="6">
        <v>0</v>
      </c>
      <c r="T603" s="6">
        <v>79</v>
      </c>
      <c r="U603" s="6">
        <v>56</v>
      </c>
      <c r="V603" s="6">
        <f>IF(ISERROR(VLOOKUP($S$603,'TAR FIN'!$A$1:$O$92,15,0)),0,VLOOKUP($S$603,'TAR FIN'!$A$1:$O$92,15,0))</f>
        <v>0</v>
      </c>
      <c r="W603" s="104">
        <f>IF(ISERROR(VLOOKUP($T$593,'TAR FIN CELESC'!$A$1:$O$92,15,0)),0,VLOOKUP($T$593,'TAR FIN CELESC'!$A$1:$O$92,15,0))</f>
        <v>134.66999999999999</v>
      </c>
      <c r="X603" s="104">
        <f>IF(ISERROR(VLOOKUP($U$593,'TAR FIN CELESC'!$A$1:$O$92,15,0)),0,VLOOKUP($U$593,'TAR FIN CELESC'!$A$1:$O$92,15,0))</f>
        <v>173.21</v>
      </c>
      <c r="Y603" s="6"/>
      <c r="Z603" s="6">
        <f ca="1">('TUSD BE'!$AM$54+'TUSD BF_350'!$AM$54+'TUSD CVA'!$AM$54)*1</f>
        <v>170.77</v>
      </c>
      <c r="AA603" s="6">
        <f ca="1">('TE BE'!$AB$42+'TE BF_350'!$AB$42+'TE CVA'!$AB$42)*1</f>
        <v>144.38999999999999</v>
      </c>
      <c r="AB603" s="6">
        <f>$K$603*$V$603</f>
        <v>0</v>
      </c>
      <c r="AC603" s="6">
        <f>$M$603*$W$603</f>
        <v>32377.226729999998</v>
      </c>
      <c r="AD603" s="6">
        <f>$O$603*$X$603</f>
        <v>41642.974990000002</v>
      </c>
      <c r="AE603" s="6">
        <f>$K$603*$Y$603</f>
        <v>0</v>
      </c>
      <c r="AF603" s="6">
        <f ca="1">$M$603*$Z$603</f>
        <v>41056.352630000001</v>
      </c>
      <c r="AG603" s="6">
        <f ca="1">$O$603*$AA$603</f>
        <v>34714.099409999995</v>
      </c>
    </row>
    <row r="604" spans="1:33" ht="11.25" customHeight="1" x14ac:dyDescent="0.3">
      <c r="A604" s="4" t="s">
        <v>21</v>
      </c>
      <c r="B604" s="4" t="s">
        <v>44</v>
      </c>
      <c r="C604" s="4" t="s">
        <v>23</v>
      </c>
      <c r="D604" s="4" t="s">
        <v>45</v>
      </c>
      <c r="E604" s="4" t="s">
        <v>46</v>
      </c>
      <c r="F604" s="4" t="s">
        <v>25</v>
      </c>
      <c r="G604" s="4" t="s">
        <v>25</v>
      </c>
      <c r="H604" s="4" t="s">
        <v>25</v>
      </c>
      <c r="I604" s="5">
        <v>44743</v>
      </c>
      <c r="J604" s="6">
        <v>0</v>
      </c>
      <c r="K604" s="6">
        <v>0</v>
      </c>
      <c r="L604" s="6">
        <v>231.773</v>
      </c>
      <c r="M604" s="6">
        <v>231.773</v>
      </c>
      <c r="N604" s="6">
        <v>231.773</v>
      </c>
      <c r="O604" s="6">
        <v>231.773</v>
      </c>
      <c r="P604" s="6">
        <v>2</v>
      </c>
      <c r="Q604" s="4" t="s">
        <v>26</v>
      </c>
      <c r="R604" s="4">
        <v>0</v>
      </c>
      <c r="S604" s="6">
        <v>0</v>
      </c>
      <c r="T604" s="6">
        <v>79</v>
      </c>
      <c r="U604" s="6">
        <v>56</v>
      </c>
      <c r="V604" s="6">
        <f>IF(ISERROR(VLOOKUP($S$604,'TAR FIN'!$A$1:$O$92,15,0)),0,VLOOKUP($S$604,'TAR FIN'!$A$1:$O$92,15,0))</f>
        <v>0</v>
      </c>
      <c r="W604" s="104">
        <f>IF(ISERROR(VLOOKUP($T$593,'TAR FIN CELESC'!$A$1:$O$92,15,0)),0,VLOOKUP($T$593,'TAR FIN CELESC'!$A$1:$O$92,15,0))</f>
        <v>134.66999999999999</v>
      </c>
      <c r="X604" s="104">
        <f>IF(ISERROR(VLOOKUP($U$593,'TAR FIN CELESC'!$A$1:$O$92,15,0)),0,VLOOKUP($U$593,'TAR FIN CELESC'!$A$1:$O$92,15,0))</f>
        <v>173.21</v>
      </c>
      <c r="Y604" s="6"/>
      <c r="Z604" s="6">
        <f ca="1">('TUSD BE'!$AM$54+'TUSD BF_350'!$AM$54+'TUSD CVA'!$AM$54)*1</f>
        <v>170.77</v>
      </c>
      <c r="AA604" s="6">
        <f ca="1">('TE BE'!$AB$42+'TE BF_350'!$AB$42+'TE CVA'!$AB$42)*1</f>
        <v>144.38999999999999</v>
      </c>
      <c r="AB604" s="6">
        <f>$K$604*$V$604</f>
        <v>0</v>
      </c>
      <c r="AC604" s="6">
        <f>$M$604*$W$604</f>
        <v>31212.869909999998</v>
      </c>
      <c r="AD604" s="6">
        <f>$O$604*$X$604</f>
        <v>40145.401330000001</v>
      </c>
      <c r="AE604" s="6">
        <f>$K$604*$Y$604</f>
        <v>0</v>
      </c>
      <c r="AF604" s="6">
        <f ca="1">$M$604*$Z$604</f>
        <v>39579.875209999998</v>
      </c>
      <c r="AG604" s="6">
        <f ca="1">$O$604*$AA$604</f>
        <v>33465.703469999993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56709-B6D0-4133-9CA7-D0171739FE71}">
  <sheetPr>
    <tabColor indexed="12" tint="-0.249977111117893"/>
  </sheetPr>
  <dimension ref="B1:AB28"/>
  <sheetViews>
    <sheetView workbookViewId="0">
      <selection activeCell="G25" sqref="G25"/>
    </sheetView>
  </sheetViews>
  <sheetFormatPr defaultRowHeight="14.4" x14ac:dyDescent="0.3"/>
  <cols>
    <col min="2" max="2" width="14.77734375" bestFit="1" customWidth="1"/>
    <col min="3" max="3" width="11.109375" bestFit="1" customWidth="1"/>
    <col min="4" max="4" width="12.6640625" bestFit="1" customWidth="1"/>
    <col min="5" max="5" width="10.5546875" bestFit="1" customWidth="1"/>
    <col min="6" max="6" width="14" bestFit="1" customWidth="1"/>
    <col min="7" max="7" width="12.109375" bestFit="1" customWidth="1"/>
    <col min="8" max="8" width="27.88671875" bestFit="1" customWidth="1"/>
    <col min="9" max="9" width="12.88671875" bestFit="1" customWidth="1"/>
    <col min="10" max="10" width="27.88671875" bestFit="1" customWidth="1"/>
    <col min="27" max="27" width="8.21875" bestFit="1" customWidth="1"/>
    <col min="28" max="28" width="5" bestFit="1" customWidth="1"/>
  </cols>
  <sheetData>
    <row r="1" spans="2:28" x14ac:dyDescent="0.3">
      <c r="AA1" t="s">
        <v>787</v>
      </c>
      <c r="AB1">
        <v>5697</v>
      </c>
    </row>
    <row r="2" spans="2:28" x14ac:dyDescent="0.3">
      <c r="AA2" t="s">
        <v>788</v>
      </c>
      <c r="AB2">
        <v>2022</v>
      </c>
    </row>
    <row r="3" spans="2:28" x14ac:dyDescent="0.3">
      <c r="AA3" t="s">
        <v>630</v>
      </c>
      <c r="AB3">
        <v>0</v>
      </c>
    </row>
    <row r="4" spans="2:28" ht="15" thickBot="1" x14ac:dyDescent="0.35">
      <c r="B4" s="65" t="s">
        <v>526</v>
      </c>
      <c r="C4" s="65" t="s">
        <v>68</v>
      </c>
      <c r="D4" s="65" t="s">
        <v>69</v>
      </c>
      <c r="E4" s="65" t="s">
        <v>74</v>
      </c>
      <c r="F4" s="65" t="s">
        <v>789</v>
      </c>
      <c r="G4" s="65" t="s">
        <v>790</v>
      </c>
      <c r="H4" s="65" t="s">
        <v>791</v>
      </c>
      <c r="I4" s="65" t="s">
        <v>792</v>
      </c>
      <c r="J4" s="65" t="s">
        <v>793</v>
      </c>
    </row>
    <row r="5" spans="2:28" x14ac:dyDescent="0.3">
      <c r="B5" s="69" t="s">
        <v>487</v>
      </c>
      <c r="C5" s="70" t="s">
        <v>61</v>
      </c>
      <c r="D5" s="70" t="s">
        <v>54</v>
      </c>
      <c r="E5" s="70" t="s">
        <v>794</v>
      </c>
      <c r="F5" s="74">
        <f>SUMIFS(Mercado_Receita!J:J,Mercado_Receita!B:B,"=A3",Mercado_Receita!C:C,"=AZUL",Mercado_Receita!H:H,"=Ponta")</f>
        <v>14877.2</v>
      </c>
      <c r="G5" s="74">
        <f ca="1">ROUND('TUSD BE'!$AM$5+'TUSD BF'!$AM$5+'TUSD CVA'!$AM$5,2)</f>
        <v>28.95</v>
      </c>
      <c r="H5" s="74">
        <v>22.32</v>
      </c>
      <c r="I5" s="74">
        <f t="shared" ref="I5:I19" ca="1" si="0">F5*G5</f>
        <v>430694.94</v>
      </c>
      <c r="J5" s="75">
        <f t="shared" ref="J5:J19" si="1">F5*H5</f>
        <v>332059.10399999999</v>
      </c>
    </row>
    <row r="6" spans="2:28" x14ac:dyDescent="0.3">
      <c r="B6" s="67" t="s">
        <v>487</v>
      </c>
      <c r="C6" s="39" t="s">
        <v>61</v>
      </c>
      <c r="D6" s="39" t="s">
        <v>54</v>
      </c>
      <c r="E6" s="39" t="s">
        <v>795</v>
      </c>
      <c r="F6" s="76">
        <f>SUMIFS(Mercado_Receita!J:J,Mercado_Receita!B:B,"=A3",Mercado_Receita!C:C,"=AZUL",Mercado_Receita!H:H,"=Fora Ponta")</f>
        <v>15070.4</v>
      </c>
      <c r="G6" s="76">
        <f ca="1">ROUND('TUSD BE'!$AM$6+'TUSD BF'!$AM$6+'TUSD CVA'!$AM$6,2)</f>
        <v>17.73</v>
      </c>
      <c r="H6" s="76">
        <v>12.29</v>
      </c>
      <c r="I6" s="76">
        <f t="shared" ca="1" si="0"/>
        <v>267198.19199999998</v>
      </c>
      <c r="J6" s="77">
        <f t="shared" si="1"/>
        <v>185215.21599999999</v>
      </c>
    </row>
    <row r="7" spans="2:28" x14ac:dyDescent="0.3">
      <c r="B7" s="67" t="s">
        <v>487</v>
      </c>
      <c r="C7" s="39" t="s">
        <v>61</v>
      </c>
      <c r="D7" s="39" t="s">
        <v>54</v>
      </c>
      <c r="E7" s="39" t="s">
        <v>11</v>
      </c>
      <c r="F7" s="76">
        <f>SUMIFS(Mercado_Receita!L:L,Mercado_Receita!B:B,"=A3",Mercado_Receita!C:C,"=AZUL",Mercado_Receita!H:H,"&lt;&gt;Não se aplica",Mercado_Receita!Q:Q,"=Cativo")+SUMIFS(Mercado_Receita!L:L,Mercado_Receita!B:B,"=A3",Mercado_Receita!C:C,"=AZUL",Mercado_Receita!Q:Q,"=Livre")</f>
        <v>7641.8726999999999</v>
      </c>
      <c r="G7" s="76">
        <f ca="1">ROUND('TUSD BE'!$AM$7+'TUSD BF'!$AM$7+'TUSD CVA'!$AM$7,2)</f>
        <v>108.47</v>
      </c>
      <c r="H7" s="76">
        <v>94.14</v>
      </c>
      <c r="I7" s="76">
        <f t="shared" ca="1" si="0"/>
        <v>828913.93176900002</v>
      </c>
      <c r="J7" s="77">
        <f t="shared" si="1"/>
        <v>719405.89597800002</v>
      </c>
    </row>
    <row r="8" spans="2:28" x14ac:dyDescent="0.3">
      <c r="B8" s="67" t="s">
        <v>515</v>
      </c>
      <c r="C8" s="39" t="s">
        <v>61</v>
      </c>
      <c r="D8" s="39" t="s">
        <v>54</v>
      </c>
      <c r="E8" s="39" t="s">
        <v>796</v>
      </c>
      <c r="F8" s="76">
        <f>SUMIFS(Mercado_Receita!N:N,Mercado_Receita!B:B,"=A3",Mercado_Receita!C:C,"=AZUL",Mercado_Receita!H:H,"=Ponta",Mercado_Receita!Q:Q,"=Cativo")</f>
        <v>0</v>
      </c>
      <c r="G8" s="76">
        <f>ROUND('TE BE'!$AB$5+'TE BF'!$AB$5+'TE CVA'!$AB$5,2)</f>
        <v>461.06</v>
      </c>
      <c r="H8" s="76">
        <v>399.84</v>
      </c>
      <c r="I8" s="76">
        <f t="shared" si="0"/>
        <v>0</v>
      </c>
      <c r="J8" s="77">
        <f t="shared" si="1"/>
        <v>0</v>
      </c>
    </row>
    <row r="9" spans="2:28" ht="15" thickBot="1" x14ac:dyDescent="0.35">
      <c r="B9" s="68" t="s">
        <v>515</v>
      </c>
      <c r="C9" s="38" t="s">
        <v>61</v>
      </c>
      <c r="D9" s="38" t="s">
        <v>54</v>
      </c>
      <c r="E9" s="38" t="s">
        <v>797</v>
      </c>
      <c r="F9" s="80">
        <f>SUMIFS(Mercado_Receita!N:N,Mercado_Receita!B:B,"=A3",Mercado_Receita!C:C,"=AZUL",Mercado_Receita!H:H,"=Fora Ponta",Mercado_Receita!Q:Q,"=Cativo")</f>
        <v>0</v>
      </c>
      <c r="G9" s="80">
        <f>ROUND('TE BE'!$AB$6+'TE BF'!$AB$6+'TE CVA'!$AB$6,2)</f>
        <v>271.36</v>
      </c>
      <c r="H9" s="80">
        <v>250.04</v>
      </c>
      <c r="I9" s="80">
        <f t="shared" si="0"/>
        <v>0</v>
      </c>
      <c r="J9" s="81">
        <f t="shared" si="1"/>
        <v>0</v>
      </c>
    </row>
    <row r="10" spans="2:28" x14ac:dyDescent="0.3">
      <c r="B10" s="69" t="s">
        <v>487</v>
      </c>
      <c r="C10" s="70" t="s">
        <v>34</v>
      </c>
      <c r="D10" s="70" t="s">
        <v>54</v>
      </c>
      <c r="E10" s="70" t="s">
        <v>794</v>
      </c>
      <c r="F10" s="74">
        <f>SUMIFS(Mercado_Receita!J:J,Mercado_Receita!B:B,"=A4",Mercado_Receita!C:C,"=AZUL",Mercado_Receita!H:H,"=Ponta")</f>
        <v>74447</v>
      </c>
      <c r="G10" s="74">
        <f ca="1">ROUND('TUSD BE'!$AM$9+'TUSD BF'!$AM$9+'TUSD CVA'!$AM$9,2)</f>
        <v>38.6</v>
      </c>
      <c r="H10" s="74">
        <v>32.35</v>
      </c>
      <c r="I10" s="74">
        <f t="shared" ca="1" si="0"/>
        <v>2873654.2</v>
      </c>
      <c r="J10" s="75">
        <f t="shared" si="1"/>
        <v>2408360.4500000002</v>
      </c>
    </row>
    <row r="11" spans="2:28" x14ac:dyDescent="0.3">
      <c r="B11" s="67" t="s">
        <v>487</v>
      </c>
      <c r="C11" s="39" t="s">
        <v>34</v>
      </c>
      <c r="D11" s="39" t="s">
        <v>54</v>
      </c>
      <c r="E11" s="39" t="s">
        <v>795</v>
      </c>
      <c r="F11" s="76">
        <f>SUMIFS(Mercado_Receita!J:J,Mercado_Receita!B:B,"=A4",Mercado_Receita!C:C,"=AZUL",Mercado_Receita!H:H,"=Fora Ponta")</f>
        <v>79182</v>
      </c>
      <c r="G11" s="76">
        <f ca="1">ROUND('TUSD BE'!$AM$10+'TUSD BF'!$AM$10+'TUSD CVA'!$AM$10,2)</f>
        <v>23.64</v>
      </c>
      <c r="H11" s="76">
        <v>15.64</v>
      </c>
      <c r="I11" s="76">
        <f t="shared" ca="1" si="0"/>
        <v>1871862.48</v>
      </c>
      <c r="J11" s="77">
        <f t="shared" si="1"/>
        <v>1238406.48</v>
      </c>
    </row>
    <row r="12" spans="2:28" x14ac:dyDescent="0.3">
      <c r="B12" s="67" t="s">
        <v>487</v>
      </c>
      <c r="C12" s="39" t="s">
        <v>34</v>
      </c>
      <c r="D12" s="39" t="s">
        <v>54</v>
      </c>
      <c r="E12" s="39" t="s">
        <v>11</v>
      </c>
      <c r="F12" s="76">
        <f>SUMIFS(Mercado_Receita!L:L,Mercado_Receita!B:B,"=A4",Mercado_Receita!C:C,"=AZUL",Mercado_Receita!H:H,"&lt;&gt;Não se aplica",Mercado_Receita!Q:Q,"=Cativo")+SUMIFS(Mercado_Receita!L:L,Mercado_Receita!B:B,"=A4",Mercado_Receita!C:C,"=AZUL",Mercado_Receita!Q:Q,"=Livre")</f>
        <v>33099.82804</v>
      </c>
      <c r="G12" s="76">
        <f ca="1">ROUND('TUSD BE'!$AM$11+'TUSD BF'!$AM$11+'TUSD CVA'!$AM$11,2)</f>
        <v>139.99</v>
      </c>
      <c r="H12" s="76">
        <v>126.25</v>
      </c>
      <c r="I12" s="76">
        <f t="shared" ca="1" si="0"/>
        <v>4633644.9273196002</v>
      </c>
      <c r="J12" s="77">
        <f t="shared" si="1"/>
        <v>4178853.29005</v>
      </c>
    </row>
    <row r="13" spans="2:28" x14ac:dyDescent="0.3">
      <c r="B13" s="67" t="s">
        <v>515</v>
      </c>
      <c r="C13" s="39" t="s">
        <v>34</v>
      </c>
      <c r="D13" s="39" t="s">
        <v>54</v>
      </c>
      <c r="E13" s="39" t="s">
        <v>796</v>
      </c>
      <c r="F13" s="76">
        <f>SUMIFS(Mercado_Receita!N:N,Mercado_Receita!B:B,"=A4",Mercado_Receita!C:C,"=AZUL",Mercado_Receita!H:H,"=Ponta",Mercado_Receita!Q:Q,"=Cativo")</f>
        <v>0</v>
      </c>
      <c r="G13" s="76">
        <f>ROUND('TE BE'!$AB$7+'TE BF'!$AB$7+'TE CVA'!$AB$7,2)</f>
        <v>461.06</v>
      </c>
      <c r="H13" s="76">
        <v>399.84</v>
      </c>
      <c r="I13" s="76">
        <f t="shared" si="0"/>
        <v>0</v>
      </c>
      <c r="J13" s="77">
        <f t="shared" si="1"/>
        <v>0</v>
      </c>
    </row>
    <row r="14" spans="2:28" ht="15" thickBot="1" x14ac:dyDescent="0.35">
      <c r="B14" s="68" t="s">
        <v>515</v>
      </c>
      <c r="C14" s="38" t="s">
        <v>34</v>
      </c>
      <c r="D14" s="38" t="s">
        <v>54</v>
      </c>
      <c r="E14" s="38" t="s">
        <v>797</v>
      </c>
      <c r="F14" s="80">
        <f>SUMIFS(Mercado_Receita!N:N,Mercado_Receita!B:B,"=A4",Mercado_Receita!C:C,"=AZUL",Mercado_Receita!H:H,"=Fora Ponta",Mercado_Receita!Q:Q,"=Cativo")</f>
        <v>0</v>
      </c>
      <c r="G14" s="80">
        <f>ROUND('TE BE'!$AB$8+'TE BF'!$AB$8+'TE CVA'!$AB$8,2)</f>
        <v>271.36</v>
      </c>
      <c r="H14" s="80">
        <v>250.04</v>
      </c>
      <c r="I14" s="80">
        <f t="shared" si="0"/>
        <v>0</v>
      </c>
      <c r="J14" s="81">
        <f t="shared" si="1"/>
        <v>0</v>
      </c>
    </row>
    <row r="15" spans="2:28" x14ac:dyDescent="0.3">
      <c r="B15" s="69" t="s">
        <v>487</v>
      </c>
      <c r="C15" s="70" t="s">
        <v>34</v>
      </c>
      <c r="D15" s="70" t="s">
        <v>35</v>
      </c>
      <c r="E15" s="70" t="s">
        <v>9</v>
      </c>
      <c r="F15" s="74">
        <f>SUMIFS(Mercado_Receita!J:J,Mercado_Receita!B:B,"=A4",Mercado_Receita!C:C,"=VERDE",Mercado_Receita!H:H,"=Não se aplica")</f>
        <v>161517.14000000001</v>
      </c>
      <c r="G15" s="74">
        <f ca="1">ROUND('TUSD BE'!$AM$14+'TUSD BF'!$AM$14+'TUSD CVA'!$AM$14,2)</f>
        <v>23.64</v>
      </c>
      <c r="H15" s="74">
        <v>15.64</v>
      </c>
      <c r="I15" s="74">
        <f t="shared" ca="1" si="0"/>
        <v>3818265.1896000006</v>
      </c>
      <c r="J15" s="75">
        <f t="shared" si="1"/>
        <v>2526128.0696000005</v>
      </c>
    </row>
    <row r="16" spans="2:28" x14ac:dyDescent="0.3">
      <c r="B16" s="67" t="s">
        <v>487</v>
      </c>
      <c r="C16" s="39" t="s">
        <v>34</v>
      </c>
      <c r="D16" s="39" t="s">
        <v>35</v>
      </c>
      <c r="E16" s="39" t="s">
        <v>798</v>
      </c>
      <c r="F16" s="76">
        <f>SUMIFS(Mercado_Receita!L:L,Mercado_Receita!B:B,"=A4",Mercado_Receita!C:C,"=VERDE",Mercado_Receita!H:H,"=Ponta")</f>
        <v>3378.5688099999979</v>
      </c>
      <c r="G16" s="76">
        <f ca="1">ROUND('TUSD BE'!$AM$15+'TUSD BF'!$AM$15+'TUSD CVA'!$AM$15,2)</f>
        <v>1080.29</v>
      </c>
      <c r="H16" s="76">
        <v>911.84</v>
      </c>
      <c r="I16" s="76">
        <f t="shared" ca="1" si="0"/>
        <v>3649834.0997548979</v>
      </c>
      <c r="J16" s="77">
        <f t="shared" si="1"/>
        <v>3080714.1837103982</v>
      </c>
    </row>
    <row r="17" spans="2:10" x14ac:dyDescent="0.3">
      <c r="B17" s="67" t="s">
        <v>487</v>
      </c>
      <c r="C17" s="39" t="s">
        <v>34</v>
      </c>
      <c r="D17" s="39" t="s">
        <v>35</v>
      </c>
      <c r="E17" s="39" t="s">
        <v>799</v>
      </c>
      <c r="F17" s="76">
        <f>SUMIFS(Mercado_Receita!L:L,Mercado_Receita!B:B,"=A4",Mercado_Receita!C:C,"=VERDE",Mercado_Receita!H:H,"=Fora Ponta")</f>
        <v>37684.038469999985</v>
      </c>
      <c r="G17" s="76">
        <f ca="1">ROUND('TUSD BE'!$AM$16+'TUSD BF'!$AM$16+'TUSD CVA'!$AM$16,2)</f>
        <v>139.99</v>
      </c>
      <c r="H17" s="76">
        <v>126.25</v>
      </c>
      <c r="I17" s="76">
        <f t="shared" ca="1" si="0"/>
        <v>5275388.5454152981</v>
      </c>
      <c r="J17" s="77">
        <f t="shared" si="1"/>
        <v>4757609.856837498</v>
      </c>
    </row>
    <row r="18" spans="2:10" x14ac:dyDescent="0.3">
      <c r="B18" s="67" t="s">
        <v>515</v>
      </c>
      <c r="C18" s="39" t="s">
        <v>34</v>
      </c>
      <c r="D18" s="39" t="s">
        <v>35</v>
      </c>
      <c r="E18" s="39" t="s">
        <v>796</v>
      </c>
      <c r="F18" s="76">
        <f>SUMIFS(Mercado_Receita!N:N,Mercado_Receita!B:B,"=A4",Mercado_Receita!C:C,"=VERDE",Mercado_Receita!H:H,"=Ponta",Mercado_Receita!Q:Q,"=Cativo")</f>
        <v>256.69644</v>
      </c>
      <c r="G18" s="76">
        <f>ROUND('TE BE'!$AB$7+'TE BF'!$AB$7+'TE CVA'!$AB$7,2)</f>
        <v>461.06</v>
      </c>
      <c r="H18" s="76">
        <v>399.84</v>
      </c>
      <c r="I18" s="76">
        <f t="shared" si="0"/>
        <v>118352.4606264</v>
      </c>
      <c r="J18" s="77">
        <f t="shared" si="1"/>
        <v>102637.50456959999</v>
      </c>
    </row>
    <row r="19" spans="2:10" ht="15" thickBot="1" x14ac:dyDescent="0.35">
      <c r="B19" s="71" t="s">
        <v>515</v>
      </c>
      <c r="C19" s="72" t="s">
        <v>34</v>
      </c>
      <c r="D19" s="72" t="s">
        <v>35</v>
      </c>
      <c r="E19" s="72" t="s">
        <v>797</v>
      </c>
      <c r="F19" s="78">
        <f>SUMIFS(Mercado_Receita!N:N,Mercado_Receita!B:B,"=A4",Mercado_Receita!C:C,"=VERDE",Mercado_Receita!H:H,"=Fora Ponta",Mercado_Receita!Q:Q,"=Cativo")</f>
        <v>3077.9313500000003</v>
      </c>
      <c r="G19" s="78">
        <f>ROUND('TE BE'!$AB$8+'TE BF'!$AB$8+'TE CVA'!$AB$8,2)</f>
        <v>271.36</v>
      </c>
      <c r="H19" s="78">
        <v>250.04</v>
      </c>
      <c r="I19" s="78">
        <f t="shared" si="0"/>
        <v>835227.45113600011</v>
      </c>
      <c r="J19" s="79">
        <f t="shared" si="1"/>
        <v>769605.95475400006</v>
      </c>
    </row>
    <row r="21" spans="2:10" ht="15" thickBot="1" x14ac:dyDescent="0.35">
      <c r="D21" t="s">
        <v>800</v>
      </c>
      <c r="E21" t="s">
        <v>801</v>
      </c>
      <c r="F21" t="s">
        <v>802</v>
      </c>
      <c r="G21" t="s">
        <v>803</v>
      </c>
    </row>
    <row r="22" spans="2:10" x14ac:dyDescent="0.3">
      <c r="B22" t="s">
        <v>804</v>
      </c>
      <c r="C22" s="69" t="s">
        <v>61</v>
      </c>
      <c r="D22" s="74">
        <f ca="1">SUMIFS($I$5:$I$19,$C$5:$C$19,C22,$B$5:$B$19,"TUSD")/(SUMIFS($F$5:$F$19,$C$5:$C$19,C22,$B$5:$B$19,"TUSD",$E$5:$E$19,"TUSD_E")+SUMIFS($F$5:$F$19,$C$5:$C$19,C22,$B$5:$B$19,"TUSD",$E$5:$E$19,"TUSD_E P")+SUMIFS($F$5:$F$19,$C$5:$C$19,C22,$B$5:$B$19,"TUSD",$E$5:$E$19,"TUSD_E FP"))</f>
        <v>199.79488323182878</v>
      </c>
      <c r="E22" s="74">
        <f>SUMIFS($J$5:$J$19,$C$5:$C$19,C22,$B$5:$B$19,"TUSD")/(SUMIFS($F$5:$F$19,$C$5:$C$19,C22,$B$5:$B$19,"TUSD",$E$5:$E$19,"TUSD_E")+SUMIFS($F$5:$F$19,$C$5:$C$19,C22,$B$5:$B$19,"TUSD",$E$5:$E$19,"TUSD_E P")+SUMIFS($F$5:$F$19,$C$5:$C$19,C22,$B$5:$B$19,"TUSD",$E$5:$E$19,"TUSD_E FP"))</f>
        <v>161.82947093295599</v>
      </c>
      <c r="F22" s="70" t="str">
        <f ca="1">IF(AND(E22&lt;D22,NOT(ISERROR(_xlfn.XMATCH("AVALIAR " &amp;C22,$F$22:$F$28,2)))),"APLICAR","NÃO APLICAR")</f>
        <v>APLICAR</v>
      </c>
      <c r="G22" s="73">
        <f ca="1">IF(AND(E22&lt;D22,NOT(ISERROR(_xlfn.XMATCH("AVALIAR " &amp;C22,$F$22:$F$28,2)))),1,0)</f>
        <v>1</v>
      </c>
    </row>
    <row r="23" spans="2:10" ht="15" thickBot="1" x14ac:dyDescent="0.35">
      <c r="C23" s="68" t="s">
        <v>34</v>
      </c>
      <c r="D23" s="80">
        <f ca="1">SUMIFS($I$5:$I$19,$C$5:$C$19,C23,$B$5:$B$19,"TUSD")/(SUMIFS($F$5:$F$19,$C$5:$C$19,C23,$B$5:$B$19,"TUSD",$E$5:$E$19,"TUSD_E")+SUMIFS($F$5:$F$19,$C$5:$C$19,C23,$B$5:$B$19,"TUSD",$E$5:$E$19,"TUSD_E P")+SUMIFS($F$5:$F$19,$C$5:$C$19,C23,$B$5:$B$19,"TUSD",$E$5:$E$19,"TUSD_E FP"))</f>
        <v>298.29993239345259</v>
      </c>
      <c r="E23" s="80">
        <f>SUMIFS($J$5:$J$19,$C$5:$C$19,C23,$B$5:$B$19,"TUSD")/(SUMIFS($F$5:$F$19,$C$5:$C$19,C23,$B$5:$B$19,"TUSD",$E$5:$E$19,"TUSD_E")+SUMIFS($F$5:$F$19,$C$5:$C$19,C23,$B$5:$B$19,"TUSD",$E$5:$E$19,"TUSD_E P")+SUMIFS($F$5:$F$19,$C$5:$C$19,C23,$B$5:$B$19,"TUSD",$E$5:$E$19,"TUSD_E FP"))</f>
        <v>245.27339550960554</v>
      </c>
      <c r="F23" s="38" t="str">
        <f ca="1">IF(AND(E23&lt;D23,NOT(ISERROR(_xlfn.XMATCH("AVALIAR " &amp;C23,$F$22:$F$28,2)))),"APLICAR","NÃO APLICAR")</f>
        <v>APLICAR</v>
      </c>
      <c r="G23" s="82">
        <f ca="1">IF(AND(E23&lt;D23,NOT(ISERROR(_xlfn.XMATCH("AVALIAR " &amp;C23,$F$22:$F$28,2)))),1,0)</f>
        <v>1</v>
      </c>
    </row>
    <row r="24" spans="2:10" x14ac:dyDescent="0.3">
      <c r="B24" t="s">
        <v>805</v>
      </c>
      <c r="C24" s="69" t="s">
        <v>61</v>
      </c>
      <c r="D24" s="74">
        <f>IF((SUMIFS($F$5:$F$19,$C$5:$C$19,C24,$B$5:$B$19,"TE",$E$5:$E$19,"TE P")+SUMIFS($F$5:$F$19,$C$5:$C$19,C24,$B$5:$B$19,"TE",$E$5:$E$19,"TE FP") = 0),0,SUMIFS($I$5:$I$19,$C$5:$C$19,C24,$B$5:$B$19,"TE")/(SUMIFS($F$5:$F$19,$C$5:$C$19,C24,$B$5:$B$19,"TUSD",$E$5:$E$19,"TUSD_E")+SUMIFS($F$5:$F$19,$C$5:$C$19,C24,$B$5:$B$19,"TUSD",$E$5:$E$19,"TUSD_E P")+SUMIFS($F$5:$F$19,$C$5:$C$19,C24,$B$5:$B$19,"TUSD",$E$5:$E$19,"TUSD_E FP")))</f>
        <v>0</v>
      </c>
      <c r="E24" s="74">
        <f>IF((SUMIFS($F$5:$F$19,$C$5:$C$19,C24,$B$5:$B$19,"TE",$E$5:$E$19,"TE P")+SUMIFS($F$5:$F$19,$C$5:$C$19,C24,$B$5:$B$19,"TE",$E$5:$E$19,"TE FP") = 0),0,SUMIFS($J$5:$J$19,$C$5:$C$19,C24,$B$5:$B$19,"TE")/(SUMIFS($F$5:$F$19,$C$5:$C$19,C24,$B$5:$B$19,"TUSD",$E$5:$E$19,"TUSD_E")+SUMIFS($F$5:$F$19,$C$5:$C$19,C24,$B$5:$B$19,"TUSD",$E$5:$E$19,"TUSD_E P")+SUMIFS($F$5:$F$19,$C$5:$C$19,C24,$B$5:$B$19,"TUSD",$E$5:$E$19,"TUSD_E FP")))</f>
        <v>0</v>
      </c>
      <c r="F24" s="70" t="str">
        <f ca="1">IF(AND(E24&lt;D24,NOT(ISERROR(_xlfn.XMATCH("AVALIAR " &amp;C24,$F$22:$F$28,2)))),"APLICAR","NÃO APLICAR")</f>
        <v>NÃO APLICAR</v>
      </c>
      <c r="G24" s="73">
        <f ca="1">IF(AND(E24&lt;D24,NOT(ISERROR(_xlfn.XMATCH("AVALIAR " &amp;C24,$F$22:$F$28,2)))),1,0)+1</f>
        <v>1</v>
      </c>
    </row>
    <row r="25" spans="2:10" ht="15" thickBot="1" x14ac:dyDescent="0.35">
      <c r="C25" s="68" t="s">
        <v>34</v>
      </c>
      <c r="D25" s="80">
        <f>IF((SUMIFS($F$5:$F$19,$C$5:$C$19,C25,$B$5:$B$19,"TE",$E$5:$E$19,"TE P")+SUMIFS($F$5:$F$19,$C$5:$C$19,C25,$B$5:$B$19,"TE",$E$5:$E$19,"TE FP") = 0),0,SUMIFS($I$5:$I$19,$C$5:$C$19,C25,$B$5:$B$19,"TE")/(SUMIFS($F$5:$F$19,$C$5:$C$19,C25,$B$5:$B$19,"TUSD",$E$5:$E$19,"TUSD_E")+SUMIFS($F$5:$F$19,$C$5:$C$19,C25,$B$5:$B$19,"TUSD",$E$5:$E$19,"TUSD_E P")+SUMIFS($F$5:$F$19,$C$5:$C$19,C25,$B$5:$B$19,"TUSD",$E$5:$E$19,"TUSD_E FP")))</f>
        <v>12.857990809603853</v>
      </c>
      <c r="E25" s="80">
        <f>IF((SUMIFS($F$5:$F$19,$C$5:$C$19,C25,$B$5:$B$19,"TE",$E$5:$E$19,"TE P")+SUMIFS($F$5:$F$19,$C$5:$C$19,C25,$B$5:$B$19,"TE",$E$5:$E$19,"TE FP") = 0),0,SUMIFS($J$5:$J$19,$C$5:$C$19,C25,$B$5:$B$19,"TE")/(SUMIFS($F$5:$F$19,$C$5:$C$19,C25,$B$5:$B$19,"TUSD",$E$5:$E$19,"TUSD_E")+SUMIFS($F$5:$F$19,$C$5:$C$19,C25,$B$5:$B$19,"TUSD",$E$5:$E$19,"TUSD_E P")+SUMIFS($F$5:$F$19,$C$5:$C$19,C25,$B$5:$B$19,"TUSD",$E$5:$E$19,"TUSD_E FP")))</f>
        <v>11.76125697005496</v>
      </c>
      <c r="F25" s="38" t="str">
        <f ca="1">IF(AND(E25&lt;D25,NOT(ISERROR(_xlfn.XMATCH("AVALIAR " &amp;C25,$F$22:$F$28,2)))),"APLICAR","NÃO APLICAR")</f>
        <v>APLICAR</v>
      </c>
      <c r="G25" s="82">
        <f ca="1">IF(AND(E25&lt;D25,NOT(ISERROR(_xlfn.XMATCH("AVALIAR " &amp;C25,$F$22:$F$28,2)))),1,0)</f>
        <v>1</v>
      </c>
    </row>
    <row r="26" spans="2:10" x14ac:dyDescent="0.3">
      <c r="B26" t="s">
        <v>806</v>
      </c>
      <c r="C26" s="69" t="s">
        <v>61</v>
      </c>
      <c r="D26" s="74">
        <f ca="1">SUMIFS(D$22:D$25,C$22:C$25,C26)</f>
        <v>199.79488323182878</v>
      </c>
      <c r="E26" s="74">
        <f>SUMIFS(E$22:E$25,C$22:C$25,C26)</f>
        <v>161.82947093295599</v>
      </c>
      <c r="F26" s="70" t="str">
        <f ca="1">IF(E26&lt;D26,"AVALIAR "&amp;C26,"NÃO ALTERAR")</f>
        <v>AVALIAR A3</v>
      </c>
      <c r="G26" s="73">
        <f ca="1">IF(E26&lt;D26,1,0)</f>
        <v>1</v>
      </c>
    </row>
    <row r="27" spans="2:10" ht="15" thickBot="1" x14ac:dyDescent="0.35">
      <c r="C27" s="68" t="s">
        <v>34</v>
      </c>
      <c r="D27" s="80">
        <f ca="1">SUMIFS(D$22:D$25,C$22:C$25,C27)</f>
        <v>311.15792320305644</v>
      </c>
      <c r="E27" s="80">
        <f>SUMIFS(E$22:E$25,C$22:C$25,C27)</f>
        <v>257.03465247966051</v>
      </c>
      <c r="F27" s="38" t="str">
        <f ca="1">IF(E27&lt;D27,"AVALIAR "&amp;C27,"NÃO ALTERAR")</f>
        <v>AVALIAR A4</v>
      </c>
      <c r="G27" s="82">
        <f ca="1">IF(E27&lt;D27,1,0)</f>
        <v>1</v>
      </c>
    </row>
    <row r="28" spans="2:10" ht="15" thickBot="1" x14ac:dyDescent="0.35">
      <c r="B28" t="s">
        <v>807</v>
      </c>
      <c r="C28" s="83" t="s">
        <v>808</v>
      </c>
      <c r="D28" s="86">
        <f ca="1">ROUND('TE BE'!$AB$12+'TE BF'!$AB$12+'TE CVA'!$AB$12,2)+ROUND('TUSD BE'!$AM$24+'TUSD BF'!$AM$24+'TUSD CVA'!$AM$24,2)</f>
        <v>758.94</v>
      </c>
      <c r="E28" s="86">
        <v>573.02</v>
      </c>
      <c r="F28" s="84" t="str">
        <f ca="1">IF(D28&lt;=E28,"NÃO ALTERAR","AVALIAR TarB1")</f>
        <v>AVALIAR TarB1</v>
      </c>
      <c r="G28" s="85">
        <f ca="1">IF(E28&lt;D28,1,0)</f>
        <v>1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D147B-71D5-4103-AD4A-D2EDD415B1AA}">
  <dimension ref="B1:U13"/>
  <sheetViews>
    <sheetView showGridLines="0" workbookViewId="0">
      <selection activeCell="U1" sqref="U1"/>
    </sheetView>
  </sheetViews>
  <sheetFormatPr defaultRowHeight="14.4" x14ac:dyDescent="0.3"/>
  <sheetData>
    <row r="1" spans="2:21" x14ac:dyDescent="0.3">
      <c r="B1" s="57" t="s">
        <v>719</v>
      </c>
      <c r="C1" s="57" t="s">
        <v>720</v>
      </c>
      <c r="D1" s="57" t="s">
        <v>721</v>
      </c>
      <c r="E1" s="57" t="s">
        <v>2</v>
      </c>
      <c r="F1" s="57" t="s">
        <v>722</v>
      </c>
      <c r="G1" s="57" t="s">
        <v>629</v>
      </c>
      <c r="H1" s="57" t="s">
        <v>3</v>
      </c>
      <c r="I1" s="57" t="s">
        <v>723</v>
      </c>
      <c r="J1" s="57" t="s">
        <v>5</v>
      </c>
      <c r="K1" s="57" t="s">
        <v>1</v>
      </c>
      <c r="L1" s="57" t="s">
        <v>724</v>
      </c>
      <c r="M1" s="57" t="s">
        <v>725</v>
      </c>
      <c r="N1" s="57" t="s">
        <v>726</v>
      </c>
      <c r="O1" s="57" t="s">
        <v>727</v>
      </c>
      <c r="P1" s="57" t="s">
        <v>728</v>
      </c>
      <c r="Q1" s="57" t="s">
        <v>729</v>
      </c>
      <c r="R1" s="57" t="s">
        <v>730</v>
      </c>
      <c r="S1" s="57" t="s">
        <v>731</v>
      </c>
      <c r="T1" s="57" t="s">
        <v>732</v>
      </c>
      <c r="U1" s="57" t="s">
        <v>733</v>
      </c>
    </row>
    <row r="2" spans="2:21" x14ac:dyDescent="0.3">
      <c r="B2" s="56" t="s">
        <v>703</v>
      </c>
      <c r="C2" s="56">
        <v>8003</v>
      </c>
      <c r="D2" s="56">
        <v>86</v>
      </c>
      <c r="E2" s="56" t="s">
        <v>54</v>
      </c>
      <c r="F2" s="56">
        <v>1</v>
      </c>
      <c r="G2" s="56" t="s">
        <v>704</v>
      </c>
      <c r="H2" s="56" t="s">
        <v>42</v>
      </c>
      <c r="I2" s="56" t="s">
        <v>25</v>
      </c>
      <c r="J2" s="56" t="s">
        <v>705</v>
      </c>
      <c r="K2" s="56" t="s">
        <v>34</v>
      </c>
      <c r="L2" s="56">
        <v>0.1</v>
      </c>
      <c r="M2" s="56">
        <v>0.08</v>
      </c>
      <c r="N2" s="56">
        <v>0.06</v>
      </c>
      <c r="O2" s="56">
        <v>0.04</v>
      </c>
      <c r="P2" s="56">
        <v>0.02</v>
      </c>
      <c r="Q2" s="56">
        <v>0</v>
      </c>
      <c r="R2" s="56"/>
      <c r="S2" s="56"/>
      <c r="T2" s="56"/>
      <c r="U2" s="56">
        <v>3</v>
      </c>
    </row>
    <row r="3" spans="2:21" x14ac:dyDescent="0.3">
      <c r="B3" s="56" t="s">
        <v>706</v>
      </c>
      <c r="C3" s="56">
        <v>8004</v>
      </c>
      <c r="D3" s="56">
        <v>86</v>
      </c>
      <c r="E3" s="56" t="s">
        <v>35</v>
      </c>
      <c r="F3" s="56">
        <v>1</v>
      </c>
      <c r="G3" s="56" t="s">
        <v>704</v>
      </c>
      <c r="H3" s="56" t="s">
        <v>42</v>
      </c>
      <c r="I3" s="56" t="s">
        <v>25</v>
      </c>
      <c r="J3" s="56" t="s">
        <v>705</v>
      </c>
      <c r="K3" s="56" t="s">
        <v>34</v>
      </c>
      <c r="L3" s="56">
        <v>0.1</v>
      </c>
      <c r="M3" s="56">
        <v>0.08</v>
      </c>
      <c r="N3" s="56">
        <v>0.06</v>
      </c>
      <c r="O3" s="56">
        <v>0.04</v>
      </c>
      <c r="P3" s="56">
        <v>0.02</v>
      </c>
      <c r="Q3" s="56">
        <v>0</v>
      </c>
      <c r="R3" s="56"/>
      <c r="S3" s="56"/>
      <c r="T3" s="56"/>
      <c r="U3" s="56">
        <v>3</v>
      </c>
    </row>
    <row r="4" spans="2:21" x14ac:dyDescent="0.3">
      <c r="B4" s="56" t="s">
        <v>707</v>
      </c>
      <c r="C4" s="56">
        <v>8005</v>
      </c>
      <c r="D4" s="56">
        <v>86</v>
      </c>
      <c r="E4" s="56" t="s">
        <v>54</v>
      </c>
      <c r="F4" s="56">
        <v>1</v>
      </c>
      <c r="G4" s="56" t="s">
        <v>704</v>
      </c>
      <c r="H4" s="56" t="s">
        <v>47</v>
      </c>
      <c r="I4" s="56" t="s">
        <v>48</v>
      </c>
      <c r="J4" s="56" t="s">
        <v>708</v>
      </c>
      <c r="K4" s="56" t="s">
        <v>34</v>
      </c>
      <c r="L4" s="56">
        <v>0.15</v>
      </c>
      <c r="M4" s="56">
        <v>0.12</v>
      </c>
      <c r="N4" s="56">
        <v>0.09</v>
      </c>
      <c r="O4" s="56">
        <v>0.06</v>
      </c>
      <c r="P4" s="56">
        <v>0.03</v>
      </c>
      <c r="Q4" s="56">
        <v>0</v>
      </c>
      <c r="R4" s="56"/>
      <c r="S4" s="56"/>
      <c r="T4" s="56"/>
      <c r="U4" s="56">
        <v>3</v>
      </c>
    </row>
    <row r="5" spans="2:21" x14ac:dyDescent="0.3">
      <c r="B5" s="56" t="s">
        <v>709</v>
      </c>
      <c r="C5" s="56">
        <v>8006</v>
      </c>
      <c r="D5" s="56">
        <v>86</v>
      </c>
      <c r="E5" s="56" t="s">
        <v>35</v>
      </c>
      <c r="F5" s="56">
        <v>1</v>
      </c>
      <c r="G5" s="56" t="s">
        <v>704</v>
      </c>
      <c r="H5" s="56" t="s">
        <v>47</v>
      </c>
      <c r="I5" s="56" t="s">
        <v>48</v>
      </c>
      <c r="J5" s="56" t="s">
        <v>708</v>
      </c>
      <c r="K5" s="56" t="s">
        <v>34</v>
      </c>
      <c r="L5" s="56">
        <v>0.15</v>
      </c>
      <c r="M5" s="56">
        <v>0.12</v>
      </c>
      <c r="N5" s="56">
        <v>0.09</v>
      </c>
      <c r="O5" s="56">
        <v>0.06</v>
      </c>
      <c r="P5" s="56">
        <v>0.03</v>
      </c>
      <c r="Q5" s="56">
        <v>0</v>
      </c>
      <c r="R5" s="56"/>
      <c r="S5" s="56"/>
      <c r="T5" s="56"/>
      <c r="U5" s="56">
        <v>3</v>
      </c>
    </row>
    <row r="6" spans="2:21" x14ac:dyDescent="0.3">
      <c r="B6" s="56" t="s">
        <v>710</v>
      </c>
      <c r="C6" s="56">
        <v>8007</v>
      </c>
      <c r="D6" s="56">
        <v>86</v>
      </c>
      <c r="E6" s="56" t="s">
        <v>23</v>
      </c>
      <c r="F6" s="56">
        <v>1</v>
      </c>
      <c r="G6" s="56" t="s">
        <v>704</v>
      </c>
      <c r="H6" s="56" t="s">
        <v>42</v>
      </c>
      <c r="I6" s="56" t="s">
        <v>25</v>
      </c>
      <c r="J6" s="56" t="s">
        <v>42</v>
      </c>
      <c r="K6" s="56" t="s">
        <v>41</v>
      </c>
      <c r="L6" s="56">
        <v>0.3</v>
      </c>
      <c r="M6" s="56">
        <v>0.24</v>
      </c>
      <c r="N6" s="56">
        <v>0.18</v>
      </c>
      <c r="O6" s="56">
        <v>0.12</v>
      </c>
      <c r="P6" s="56">
        <v>0.06</v>
      </c>
      <c r="Q6" s="56">
        <v>0</v>
      </c>
      <c r="R6" s="56"/>
      <c r="S6" s="56"/>
      <c r="T6" s="56"/>
      <c r="U6" s="56">
        <v>3</v>
      </c>
    </row>
    <row r="7" spans="2:21" x14ac:dyDescent="0.3">
      <c r="B7" s="56" t="s">
        <v>711</v>
      </c>
      <c r="C7" s="56">
        <v>8008</v>
      </c>
      <c r="D7" s="56">
        <v>86</v>
      </c>
      <c r="E7" s="56" t="s">
        <v>38</v>
      </c>
      <c r="F7" s="56">
        <v>1</v>
      </c>
      <c r="G7" s="56" t="s">
        <v>704</v>
      </c>
      <c r="H7" s="56" t="s">
        <v>42</v>
      </c>
      <c r="I7" s="56" t="s">
        <v>25</v>
      </c>
      <c r="J7" s="56" t="s">
        <v>42</v>
      </c>
      <c r="K7" s="56" t="s">
        <v>41</v>
      </c>
      <c r="L7" s="56">
        <v>0.3</v>
      </c>
      <c r="M7" s="56">
        <v>0.24</v>
      </c>
      <c r="N7" s="56">
        <v>0.18</v>
      </c>
      <c r="O7" s="56">
        <v>0.12</v>
      </c>
      <c r="P7" s="56">
        <v>0.06</v>
      </c>
      <c r="Q7" s="56">
        <v>0</v>
      </c>
      <c r="R7" s="56"/>
      <c r="S7" s="56"/>
      <c r="T7" s="56"/>
      <c r="U7" s="56">
        <v>3</v>
      </c>
    </row>
    <row r="8" spans="2:21" x14ac:dyDescent="0.3">
      <c r="B8" s="56" t="s">
        <v>712</v>
      </c>
      <c r="C8" s="56">
        <v>8009</v>
      </c>
      <c r="D8" s="56">
        <v>86</v>
      </c>
      <c r="E8" s="56" t="s">
        <v>23</v>
      </c>
      <c r="F8" s="56">
        <v>1</v>
      </c>
      <c r="G8" s="56" t="s">
        <v>704</v>
      </c>
      <c r="H8" s="56" t="s">
        <v>42</v>
      </c>
      <c r="I8" s="56" t="s">
        <v>93</v>
      </c>
      <c r="J8" s="56" t="s">
        <v>708</v>
      </c>
      <c r="K8" s="56" t="s">
        <v>41</v>
      </c>
      <c r="L8" s="56">
        <v>0.3</v>
      </c>
      <c r="M8" s="56">
        <v>0.24</v>
      </c>
      <c r="N8" s="56">
        <v>0.18</v>
      </c>
      <c r="O8" s="56">
        <v>0.12</v>
      </c>
      <c r="P8" s="56">
        <v>0.06</v>
      </c>
      <c r="Q8" s="56">
        <v>0</v>
      </c>
      <c r="R8" s="56"/>
      <c r="S8" s="56"/>
      <c r="T8" s="56"/>
      <c r="U8" s="56">
        <v>3</v>
      </c>
    </row>
    <row r="9" spans="2:21" x14ac:dyDescent="0.3">
      <c r="B9" s="56" t="s">
        <v>713</v>
      </c>
      <c r="C9" s="56">
        <v>8010</v>
      </c>
      <c r="D9" s="56">
        <v>86</v>
      </c>
      <c r="E9" s="56" t="s">
        <v>714</v>
      </c>
      <c r="F9" s="56">
        <v>1</v>
      </c>
      <c r="G9" s="56" t="s">
        <v>704</v>
      </c>
      <c r="H9" s="56" t="s">
        <v>42</v>
      </c>
      <c r="I9" s="56" t="s">
        <v>93</v>
      </c>
      <c r="J9" s="56" t="s">
        <v>708</v>
      </c>
      <c r="K9" s="56" t="s">
        <v>41</v>
      </c>
      <c r="L9" s="56">
        <v>0.3</v>
      </c>
      <c r="M9" s="56">
        <v>0.24</v>
      </c>
      <c r="N9" s="56">
        <v>0.18</v>
      </c>
      <c r="O9" s="56">
        <v>0.12</v>
      </c>
      <c r="P9" s="56">
        <v>0.06</v>
      </c>
      <c r="Q9" s="56">
        <v>0</v>
      </c>
      <c r="R9" s="56"/>
      <c r="S9" s="56"/>
      <c r="T9" s="56"/>
      <c r="U9" s="56">
        <v>3</v>
      </c>
    </row>
    <row r="10" spans="2:21" x14ac:dyDescent="0.3">
      <c r="B10" s="56" t="s">
        <v>715</v>
      </c>
      <c r="C10" s="56">
        <v>8011</v>
      </c>
      <c r="D10" s="56">
        <v>86</v>
      </c>
      <c r="E10" s="56" t="s">
        <v>23</v>
      </c>
      <c r="F10" s="56">
        <v>1</v>
      </c>
      <c r="G10" s="56" t="s">
        <v>704</v>
      </c>
      <c r="H10" s="56" t="s">
        <v>42</v>
      </c>
      <c r="I10" s="56" t="s">
        <v>94</v>
      </c>
      <c r="J10" s="56" t="s">
        <v>708</v>
      </c>
      <c r="K10" s="56" t="s">
        <v>41</v>
      </c>
      <c r="L10" s="56">
        <v>0.4</v>
      </c>
      <c r="M10" s="56">
        <v>0.32</v>
      </c>
      <c r="N10" s="56">
        <v>0.24</v>
      </c>
      <c r="O10" s="56">
        <v>0.16</v>
      </c>
      <c r="P10" s="56">
        <v>0.08</v>
      </c>
      <c r="Q10" s="56">
        <v>0</v>
      </c>
      <c r="R10" s="56"/>
      <c r="S10" s="56"/>
      <c r="T10" s="56"/>
      <c r="U10" s="56">
        <v>3</v>
      </c>
    </row>
    <row r="11" spans="2:21" x14ac:dyDescent="0.3">
      <c r="B11" s="56" t="s">
        <v>716</v>
      </c>
      <c r="C11" s="56">
        <v>8012</v>
      </c>
      <c r="D11" s="56">
        <v>86</v>
      </c>
      <c r="E11" s="56" t="s">
        <v>714</v>
      </c>
      <c r="F11" s="56">
        <v>1</v>
      </c>
      <c r="G11" s="56" t="s">
        <v>704</v>
      </c>
      <c r="H11" s="56" t="s">
        <v>42</v>
      </c>
      <c r="I11" s="56" t="s">
        <v>94</v>
      </c>
      <c r="J11" s="56" t="s">
        <v>708</v>
      </c>
      <c r="K11" s="56" t="s">
        <v>41</v>
      </c>
      <c r="L11" s="56">
        <v>0.4</v>
      </c>
      <c r="M11" s="56">
        <v>0.32</v>
      </c>
      <c r="N11" s="56">
        <v>0.24</v>
      </c>
      <c r="O11" s="56">
        <v>0.16</v>
      </c>
      <c r="P11" s="56">
        <v>0.08</v>
      </c>
      <c r="Q11" s="56">
        <v>0</v>
      </c>
      <c r="R11" s="56"/>
      <c r="S11" s="56"/>
      <c r="T11" s="56"/>
      <c r="U11" s="56">
        <v>3</v>
      </c>
    </row>
    <row r="12" spans="2:21" x14ac:dyDescent="0.3">
      <c r="B12" s="56" t="s">
        <v>717</v>
      </c>
      <c r="C12" s="56">
        <v>8013</v>
      </c>
      <c r="D12" s="56">
        <v>86</v>
      </c>
      <c r="E12" s="56" t="s">
        <v>23</v>
      </c>
      <c r="F12" s="56">
        <v>1</v>
      </c>
      <c r="G12" s="56" t="s">
        <v>704</v>
      </c>
      <c r="H12" s="56" t="s">
        <v>47</v>
      </c>
      <c r="I12" s="56" t="s">
        <v>48</v>
      </c>
      <c r="J12" s="56" t="s">
        <v>708</v>
      </c>
      <c r="K12" s="56" t="s">
        <v>32</v>
      </c>
      <c r="L12" s="56">
        <v>0.15</v>
      </c>
      <c r="M12" s="56">
        <v>0.12</v>
      </c>
      <c r="N12" s="56">
        <v>0.09</v>
      </c>
      <c r="O12" s="56">
        <v>0.06</v>
      </c>
      <c r="P12" s="56">
        <v>0.03</v>
      </c>
      <c r="Q12" s="56">
        <v>0</v>
      </c>
      <c r="R12" s="56"/>
      <c r="S12" s="56"/>
      <c r="T12" s="56"/>
      <c r="U12" s="56">
        <v>3</v>
      </c>
    </row>
    <row r="13" spans="2:21" x14ac:dyDescent="0.3">
      <c r="B13" s="56" t="s">
        <v>718</v>
      </c>
      <c r="C13" s="56">
        <v>8014</v>
      </c>
      <c r="D13" s="56">
        <v>86</v>
      </c>
      <c r="E13" s="56" t="s">
        <v>38</v>
      </c>
      <c r="F13" s="56">
        <v>1</v>
      </c>
      <c r="G13" s="56" t="s">
        <v>704</v>
      </c>
      <c r="H13" s="56" t="s">
        <v>47</v>
      </c>
      <c r="I13" s="56" t="s">
        <v>48</v>
      </c>
      <c r="J13" s="56" t="s">
        <v>708</v>
      </c>
      <c r="K13" s="56" t="s">
        <v>32</v>
      </c>
      <c r="L13" s="56">
        <v>0.15</v>
      </c>
      <c r="M13" s="56">
        <v>0.12</v>
      </c>
      <c r="N13" s="56">
        <v>0.09</v>
      </c>
      <c r="O13" s="56">
        <v>0.06</v>
      </c>
      <c r="P13" s="56">
        <v>0.03</v>
      </c>
      <c r="Q13" s="56">
        <v>0</v>
      </c>
      <c r="R13" s="56"/>
      <c r="S13" s="56"/>
      <c r="T13" s="56"/>
      <c r="U13" s="56">
        <v>3</v>
      </c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4AC5C-E49E-43EA-8550-9E995C7F0A0E}">
  <dimension ref="A1:L18"/>
  <sheetViews>
    <sheetView showGridLines="0" workbookViewId="0">
      <selection activeCell="F8" sqref="F8"/>
    </sheetView>
  </sheetViews>
  <sheetFormatPr defaultColWidth="9.109375" defaultRowHeight="10.199999999999999" x14ac:dyDescent="0.2"/>
  <cols>
    <col min="1" max="1" width="31.44140625" style="14" bestFit="1" customWidth="1"/>
    <col min="2" max="2" width="18.44140625" style="14" customWidth="1"/>
    <col min="3" max="12" width="11" style="14" customWidth="1"/>
    <col min="13" max="16384" width="9.109375" style="14"/>
  </cols>
  <sheetData>
    <row r="1" spans="1:12" ht="10.8" thickBot="1" x14ac:dyDescent="0.25">
      <c r="A1" s="114" t="s">
        <v>1225</v>
      </c>
      <c r="B1" s="114" t="s">
        <v>22</v>
      </c>
      <c r="C1" s="114" t="s">
        <v>1224</v>
      </c>
      <c r="D1" s="114" t="s">
        <v>1223</v>
      </c>
      <c r="E1" s="114" t="s">
        <v>32</v>
      </c>
      <c r="F1" s="114" t="s">
        <v>1222</v>
      </c>
      <c r="G1" s="114" t="s">
        <v>1221</v>
      </c>
      <c r="H1" s="114" t="s">
        <v>622</v>
      </c>
      <c r="I1" s="114" t="s">
        <v>34</v>
      </c>
      <c r="J1" s="114" t="s">
        <v>621</v>
      </c>
      <c r="K1" s="114" t="s">
        <v>61</v>
      </c>
      <c r="L1" s="114" t="s">
        <v>620</v>
      </c>
    </row>
    <row r="2" spans="1:12" x14ac:dyDescent="0.2">
      <c r="A2" s="110" t="s">
        <v>1220</v>
      </c>
      <c r="B2" s="116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343.78685920121325</v>
      </c>
      <c r="C2" s="116">
        <f t="shared" si="0"/>
        <v>322.91175579620602</v>
      </c>
      <c r="D2" s="116">
        <f t="shared" si="0"/>
        <v>316.06211249143797</v>
      </c>
      <c r="E2" s="116">
        <f t="shared" si="0"/>
        <v>343.78685920121325</v>
      </c>
      <c r="F2" s="116">
        <f t="shared" si="0"/>
        <v>189.18062460787826</v>
      </c>
      <c r="G2" s="116">
        <f t="shared" si="0"/>
        <v>206.14164612444671</v>
      </c>
      <c r="H2" s="116">
        <f t="shared" si="0"/>
        <v>0</v>
      </c>
      <c r="I2" s="116">
        <f t="shared" si="0"/>
        <v>275.36738393762499</v>
      </c>
      <c r="J2" s="116">
        <f t="shared" si="0"/>
        <v>0</v>
      </c>
      <c r="K2" s="116">
        <f t="shared" si="0"/>
        <v>206.5246318413927</v>
      </c>
      <c r="L2" s="116">
        <f t="shared" si="0"/>
        <v>0</v>
      </c>
    </row>
    <row r="3" spans="1:12" ht="10.8" thickBot="1" x14ac:dyDescent="0.25">
      <c r="A3" s="108" t="s">
        <v>1219</v>
      </c>
      <c r="B3" s="115">
        <v>10.54</v>
      </c>
      <c r="C3" s="115">
        <v>9.9</v>
      </c>
      <c r="D3" s="115">
        <v>9.69</v>
      </c>
      <c r="E3" s="115">
        <v>10.54</v>
      </c>
      <c r="F3" s="115">
        <v>5.8</v>
      </c>
      <c r="G3" s="115">
        <v>6.32</v>
      </c>
      <c r="H3" s="115">
        <v>0</v>
      </c>
      <c r="I3" s="115">
        <f>'TUSD BE'!$AC$10</f>
        <v>8.442359412591312</v>
      </c>
      <c r="J3" s="115">
        <v>0</v>
      </c>
      <c r="K3" s="115">
        <f>'TUSD BE'!$AC$6</f>
        <v>6.3317417793861877</v>
      </c>
      <c r="L3" s="115">
        <v>0</v>
      </c>
    </row>
    <row r="5" spans="1:12" ht="10.8" thickBot="1" x14ac:dyDescent="0.25">
      <c r="A5" s="114" t="s">
        <v>1218</v>
      </c>
      <c r="B5" s="114" t="s">
        <v>1217</v>
      </c>
    </row>
    <row r="6" spans="1:12" x14ac:dyDescent="0.2">
      <c r="A6" s="110" t="s">
        <v>1216</v>
      </c>
      <c r="B6" s="113">
        <v>0.1063543545436658</v>
      </c>
    </row>
    <row r="7" spans="1:12" x14ac:dyDescent="0.2">
      <c r="A7" s="112" t="s">
        <v>1215</v>
      </c>
      <c r="B7" s="111">
        <v>0.34</v>
      </c>
    </row>
    <row r="8" spans="1:12" x14ac:dyDescent="0.2">
      <c r="A8" s="110" t="s">
        <v>1214</v>
      </c>
      <c r="B8" s="109">
        <v>7952712.7596762981</v>
      </c>
    </row>
    <row r="9" spans="1:12" x14ac:dyDescent="0.2">
      <c r="A9" s="112" t="s">
        <v>1213</v>
      </c>
      <c r="B9" s="111">
        <v>4.0599999999999997E-2</v>
      </c>
    </row>
    <row r="10" spans="1:12" x14ac:dyDescent="0.2">
      <c r="A10" s="110" t="s">
        <v>1212</v>
      </c>
      <c r="B10" s="109">
        <v>5445743.5807658359</v>
      </c>
    </row>
    <row r="11" spans="1:12" ht="10.8" thickBot="1" x14ac:dyDescent="0.25">
      <c r="A11" s="108" t="s">
        <v>1211</v>
      </c>
      <c r="B11" s="107">
        <f>(1+$B$6)^(1/IF($B$9&lt;&gt;0,$B$9,1))*$B$6/IF((1+$B$6)^(1/IF($B$9&lt;&gt;0,$B$9,1))-1&lt;&gt;0,(1+$B$6)^(1/IF($B$9&lt;&gt;0,$B$9,1))-1,1)</f>
        <v>0.11597550776754328</v>
      </c>
    </row>
    <row r="18" spans="2:2" x14ac:dyDescent="0.2">
      <c r="B18" s="10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DC0AC-E6BF-4FC1-951D-AF8E265E4086}">
  <dimension ref="B1:AR57"/>
  <sheetViews>
    <sheetView showGridLines="0" workbookViewId="0">
      <selection activeCell="B4" sqref="B4"/>
    </sheetView>
  </sheetViews>
  <sheetFormatPr defaultRowHeight="14.4" x14ac:dyDescent="0.3"/>
  <cols>
    <col min="2" max="2" width="12.77734375" bestFit="1" customWidth="1"/>
    <col min="3" max="3" width="25.44140625" bestFit="1" customWidth="1"/>
    <col min="4" max="4" width="16.33203125" bestFit="1" customWidth="1"/>
    <col min="5" max="5" width="28.77734375" bestFit="1" customWidth="1"/>
    <col min="6" max="6" width="11.88671875" bestFit="1" customWidth="1"/>
    <col min="7" max="7" width="12.109375" bestFit="1" customWidth="1"/>
    <col min="8" max="8" width="11.109375" bestFit="1" customWidth="1"/>
    <col min="9" max="9" width="13.109375" bestFit="1" customWidth="1"/>
    <col min="10" max="10" width="12.44140625" bestFit="1" customWidth="1"/>
    <col min="11" max="11" width="9.88671875" bestFit="1" customWidth="1"/>
    <col min="12" max="12" width="18.6640625" bestFit="1" customWidth="1"/>
    <col min="13" max="13" width="13.6640625" bestFit="1" customWidth="1"/>
    <col min="14" max="14" width="12.109375" bestFit="1" customWidth="1"/>
    <col min="15" max="15" width="12.44140625" bestFit="1" customWidth="1"/>
    <col min="16" max="17" width="12.109375" bestFit="1" customWidth="1"/>
    <col min="18" max="18" width="16.44140625" bestFit="1" customWidth="1"/>
    <col min="19" max="19" width="10.44140625" bestFit="1" customWidth="1"/>
    <col min="20" max="20" width="11" bestFit="1" customWidth="1"/>
    <col min="21" max="21" width="10.77734375" bestFit="1" customWidth="1"/>
    <col min="22" max="22" width="12" bestFit="1" customWidth="1"/>
    <col min="23" max="23" width="12.21875" bestFit="1" customWidth="1"/>
    <col min="24" max="24" width="13.44140625" bestFit="1" customWidth="1"/>
    <col min="25" max="25" width="11" bestFit="1" customWidth="1"/>
    <col min="26" max="26" width="13.6640625" bestFit="1" customWidth="1"/>
    <col min="27" max="27" width="12.33203125" bestFit="1" customWidth="1"/>
    <col min="28" max="28" width="15.44140625" bestFit="1" customWidth="1"/>
    <col min="29" max="29" width="13.88671875" bestFit="1" customWidth="1"/>
    <col min="30" max="30" width="12" bestFit="1" customWidth="1"/>
    <col min="31" max="31" width="17.109375" bestFit="1" customWidth="1"/>
    <col min="32" max="32" width="12.21875" bestFit="1" customWidth="1"/>
    <col min="33" max="33" width="12" bestFit="1" customWidth="1"/>
    <col min="34" max="34" width="16.109375" bestFit="1" customWidth="1"/>
    <col min="35" max="35" width="14.44140625" bestFit="1" customWidth="1"/>
    <col min="36" max="36" width="12" bestFit="1" customWidth="1"/>
    <col min="37" max="37" width="12.44140625" bestFit="1" customWidth="1"/>
    <col min="38" max="38" width="11.88671875" bestFit="1" customWidth="1"/>
    <col min="39" max="39" width="13.6640625" bestFit="1" customWidth="1"/>
    <col min="40" max="40" width="24.5546875" bestFit="1" customWidth="1"/>
    <col min="41" max="41" width="17.44140625" bestFit="1" customWidth="1"/>
    <col min="42" max="42" width="13.21875" bestFit="1" customWidth="1"/>
    <col min="43" max="43" width="12.77734375" bestFit="1" customWidth="1"/>
    <col min="44" max="44" width="12.21875" bestFit="1" customWidth="1"/>
  </cols>
  <sheetData>
    <row r="1" spans="2:44" ht="12" customHeight="1" x14ac:dyDescent="0.3">
      <c r="L1" s="166" t="s">
        <v>1263</v>
      </c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7"/>
      <c r="AH1" s="166" t="s">
        <v>1264</v>
      </c>
      <c r="AI1" s="166"/>
      <c r="AJ1" s="166"/>
      <c r="AK1" s="166"/>
      <c r="AL1" s="166"/>
      <c r="AM1" s="166"/>
      <c r="AN1" s="166"/>
      <c r="AO1" s="166"/>
      <c r="AP1" s="166"/>
      <c r="AQ1" s="166"/>
      <c r="AR1" s="166"/>
    </row>
    <row r="2" spans="2:44" ht="12" customHeight="1" x14ac:dyDescent="0.3">
      <c r="L2" s="168" t="s">
        <v>488</v>
      </c>
      <c r="M2" s="168"/>
      <c r="N2" s="168"/>
      <c r="O2" s="168"/>
      <c r="P2" s="168"/>
      <c r="Q2" s="168"/>
      <c r="R2" s="168"/>
      <c r="S2" s="169"/>
      <c r="T2" s="168" t="s">
        <v>497</v>
      </c>
      <c r="U2" s="168"/>
      <c r="V2" s="168"/>
      <c r="W2" s="168"/>
      <c r="X2" s="168"/>
      <c r="Y2" s="168"/>
      <c r="Z2" s="169"/>
      <c r="AA2" s="127" t="s">
        <v>505</v>
      </c>
      <c r="AB2" s="168" t="s">
        <v>25</v>
      </c>
      <c r="AC2" s="169"/>
      <c r="AD2" s="168" t="s">
        <v>1262</v>
      </c>
      <c r="AE2" s="168"/>
      <c r="AF2" s="168"/>
      <c r="AG2" s="169"/>
      <c r="AH2" s="168" t="s">
        <v>488</v>
      </c>
      <c r="AI2" s="168"/>
      <c r="AJ2" s="168"/>
      <c r="AK2" s="168"/>
      <c r="AL2" s="169"/>
      <c r="AM2" s="127" t="s">
        <v>519</v>
      </c>
      <c r="AN2" s="168" t="s">
        <v>497</v>
      </c>
      <c r="AO2" s="168"/>
      <c r="AP2" s="168"/>
      <c r="AQ2" s="169"/>
      <c r="AR2" s="126" t="s">
        <v>1262</v>
      </c>
    </row>
    <row r="3" spans="2:44" ht="12" customHeight="1" x14ac:dyDescent="0.3">
      <c r="B3" s="117" t="s">
        <v>68</v>
      </c>
      <c r="C3" s="118" t="s">
        <v>69</v>
      </c>
      <c r="D3" s="118" t="s">
        <v>70</v>
      </c>
      <c r="E3" s="118" t="s">
        <v>71</v>
      </c>
      <c r="F3" s="118" t="s">
        <v>72</v>
      </c>
      <c r="G3" s="118" t="s">
        <v>74</v>
      </c>
      <c r="H3" s="118" t="s">
        <v>75</v>
      </c>
      <c r="I3" s="118" t="s">
        <v>764</v>
      </c>
      <c r="J3" s="118" t="s">
        <v>1226</v>
      </c>
      <c r="K3" s="118" t="s">
        <v>1227</v>
      </c>
      <c r="L3" s="118" t="s">
        <v>1228</v>
      </c>
      <c r="M3" s="118" t="s">
        <v>1229</v>
      </c>
      <c r="N3" s="118" t="s">
        <v>1230</v>
      </c>
      <c r="O3" s="118" t="s">
        <v>1231</v>
      </c>
      <c r="P3" s="118" t="s">
        <v>1232</v>
      </c>
      <c r="Q3" s="118" t="s">
        <v>1233</v>
      </c>
      <c r="R3" s="118" t="s">
        <v>1234</v>
      </c>
      <c r="S3" s="118" t="s">
        <v>1235</v>
      </c>
      <c r="T3" s="118" t="s">
        <v>1236</v>
      </c>
      <c r="U3" s="118" t="s">
        <v>1237</v>
      </c>
      <c r="V3" s="118" t="s">
        <v>1238</v>
      </c>
      <c r="W3" s="118" t="s">
        <v>1239</v>
      </c>
      <c r="X3" s="118" t="s">
        <v>1240</v>
      </c>
      <c r="Y3" s="118" t="s">
        <v>1241</v>
      </c>
      <c r="Z3" s="118" t="s">
        <v>1242</v>
      </c>
      <c r="AA3" s="118" t="s">
        <v>1243</v>
      </c>
      <c r="AB3" s="118" t="s">
        <v>1244</v>
      </c>
      <c r="AC3" s="118" t="s">
        <v>1245</v>
      </c>
      <c r="AD3" s="118" t="s">
        <v>1246</v>
      </c>
      <c r="AE3" s="118" t="s">
        <v>1247</v>
      </c>
      <c r="AF3" s="118" t="s">
        <v>1248</v>
      </c>
      <c r="AG3" s="118" t="s">
        <v>1249</v>
      </c>
      <c r="AH3" s="118" t="s">
        <v>1250</v>
      </c>
      <c r="AI3" s="118" t="s">
        <v>1251</v>
      </c>
      <c r="AJ3" s="118" t="s">
        <v>1252</v>
      </c>
      <c r="AK3" s="118" t="s">
        <v>1253</v>
      </c>
      <c r="AL3" s="118" t="s">
        <v>1254</v>
      </c>
      <c r="AM3" s="118" t="s">
        <v>1255</v>
      </c>
      <c r="AN3" s="118" t="s">
        <v>1256</v>
      </c>
      <c r="AO3" s="118" t="s">
        <v>1257</v>
      </c>
      <c r="AP3" s="118" t="s">
        <v>1258</v>
      </c>
      <c r="AQ3" s="118" t="s">
        <v>1259</v>
      </c>
      <c r="AR3" s="119" t="s">
        <v>1260</v>
      </c>
    </row>
    <row r="4" spans="2:44" ht="12" customHeight="1" x14ac:dyDescent="0.3">
      <c r="B4" s="120" t="s">
        <v>61</v>
      </c>
      <c r="C4" s="121" t="s">
        <v>54</v>
      </c>
      <c r="D4" s="121" t="s">
        <v>25</v>
      </c>
      <c r="E4" s="121" t="s">
        <v>25</v>
      </c>
      <c r="F4" s="121" t="s">
        <v>85</v>
      </c>
      <c r="G4" s="121" t="s">
        <v>36</v>
      </c>
      <c r="H4" s="121" t="s">
        <v>78</v>
      </c>
      <c r="I4" s="121" t="s">
        <v>25</v>
      </c>
      <c r="J4" s="121">
        <v>6.78</v>
      </c>
      <c r="K4" s="121">
        <v>0</v>
      </c>
      <c r="L4" s="121">
        <v>0</v>
      </c>
      <c r="M4" s="121">
        <v>0.11416171243093</v>
      </c>
      <c r="N4" s="121">
        <v>0.300068487582972</v>
      </c>
      <c r="O4" s="121">
        <v>0</v>
      </c>
      <c r="P4" s="121">
        <v>0</v>
      </c>
      <c r="Q4" s="121">
        <v>0</v>
      </c>
      <c r="R4" s="121">
        <v>0</v>
      </c>
      <c r="S4" s="121">
        <v>0</v>
      </c>
      <c r="T4" s="121">
        <v>0</v>
      </c>
      <c r="U4" s="121">
        <v>0</v>
      </c>
      <c r="V4" s="121">
        <v>0</v>
      </c>
      <c r="W4" s="121">
        <v>0</v>
      </c>
      <c r="X4" s="121">
        <v>0</v>
      </c>
      <c r="Y4" s="121">
        <v>0</v>
      </c>
      <c r="Z4" s="121">
        <v>0</v>
      </c>
      <c r="AA4" s="121">
        <v>0</v>
      </c>
      <c r="AB4" s="121">
        <v>-0.27679074762087602</v>
      </c>
      <c r="AC4" s="121">
        <v>0</v>
      </c>
      <c r="AD4" s="121">
        <v>6.0094304389897202</v>
      </c>
      <c r="AE4" s="121">
        <v>0</v>
      </c>
      <c r="AF4" s="121">
        <v>0.54989418391913303</v>
      </c>
      <c r="AG4" s="121">
        <v>8.2919956034941206E-2</v>
      </c>
      <c r="AH4" s="121">
        <v>0</v>
      </c>
      <c r="AI4" s="121">
        <v>0</v>
      </c>
      <c r="AJ4" s="121">
        <v>0</v>
      </c>
      <c r="AK4" s="121">
        <v>0</v>
      </c>
      <c r="AL4" s="121">
        <v>0</v>
      </c>
      <c r="AM4" s="121">
        <v>0</v>
      </c>
      <c r="AN4" s="121">
        <v>0</v>
      </c>
      <c r="AO4" s="121">
        <v>0</v>
      </c>
      <c r="AP4" s="121">
        <v>0</v>
      </c>
      <c r="AQ4" s="121">
        <v>0</v>
      </c>
      <c r="AR4" s="122">
        <v>0</v>
      </c>
    </row>
    <row r="5" spans="2:44" ht="12" customHeight="1" x14ac:dyDescent="0.3">
      <c r="B5" s="120" t="s">
        <v>61</v>
      </c>
      <c r="C5" s="121" t="s">
        <v>54</v>
      </c>
      <c r="D5" s="121" t="s">
        <v>25</v>
      </c>
      <c r="E5" s="121" t="s">
        <v>25</v>
      </c>
      <c r="F5" s="121" t="s">
        <v>85</v>
      </c>
      <c r="G5" s="121" t="s">
        <v>36</v>
      </c>
      <c r="H5" s="121" t="s">
        <v>81</v>
      </c>
      <c r="I5" s="121" t="s">
        <v>25</v>
      </c>
      <c r="J5" s="121">
        <v>28.95</v>
      </c>
      <c r="K5" s="121">
        <v>0</v>
      </c>
      <c r="L5" s="121">
        <v>0</v>
      </c>
      <c r="M5" s="121">
        <v>0</v>
      </c>
      <c r="N5" s="121">
        <v>0</v>
      </c>
      <c r="O5" s="121">
        <v>0</v>
      </c>
      <c r="P5" s="121">
        <v>0</v>
      </c>
      <c r="Q5" s="121">
        <v>0</v>
      </c>
      <c r="R5" s="121">
        <v>0</v>
      </c>
      <c r="S5" s="121">
        <v>0</v>
      </c>
      <c r="T5" s="121">
        <v>0</v>
      </c>
      <c r="U5" s="121">
        <v>0</v>
      </c>
      <c r="V5" s="121">
        <v>0</v>
      </c>
      <c r="W5" s="121">
        <v>0</v>
      </c>
      <c r="X5" s="121">
        <v>23.7375037774638</v>
      </c>
      <c r="Y5" s="121">
        <v>0</v>
      </c>
      <c r="Z5" s="121">
        <v>0</v>
      </c>
      <c r="AA5" s="121">
        <v>6.3319978423584899</v>
      </c>
      <c r="AB5" s="121">
        <v>-1.11601686062622</v>
      </c>
      <c r="AC5" s="121">
        <v>0</v>
      </c>
      <c r="AD5" s="121">
        <v>0</v>
      </c>
      <c r="AE5" s="121">
        <v>0</v>
      </c>
      <c r="AF5" s="121">
        <v>0</v>
      </c>
      <c r="AG5" s="121">
        <v>0</v>
      </c>
      <c r="AH5" s="121">
        <v>0</v>
      </c>
      <c r="AI5" s="121">
        <v>0</v>
      </c>
      <c r="AJ5" s="121">
        <v>0</v>
      </c>
      <c r="AK5" s="121">
        <v>0</v>
      </c>
      <c r="AL5" s="121">
        <v>0</v>
      </c>
      <c r="AM5" s="121">
        <v>0</v>
      </c>
      <c r="AN5" s="121">
        <v>0</v>
      </c>
      <c r="AO5" s="121">
        <v>0</v>
      </c>
      <c r="AP5" s="121">
        <v>0</v>
      </c>
      <c r="AQ5" s="121">
        <v>0</v>
      </c>
      <c r="AR5" s="122">
        <v>0</v>
      </c>
    </row>
    <row r="6" spans="2:44" ht="12" customHeight="1" x14ac:dyDescent="0.3">
      <c r="B6" s="120" t="s">
        <v>61</v>
      </c>
      <c r="C6" s="121" t="s">
        <v>54</v>
      </c>
      <c r="D6" s="121" t="s">
        <v>25</v>
      </c>
      <c r="E6" s="121" t="s">
        <v>25</v>
      </c>
      <c r="F6" s="121" t="s">
        <v>85</v>
      </c>
      <c r="G6" s="121" t="s">
        <v>37</v>
      </c>
      <c r="H6" s="121" t="s">
        <v>78</v>
      </c>
      <c r="I6" s="121" t="s">
        <v>25</v>
      </c>
      <c r="J6" s="121">
        <v>6.78</v>
      </c>
      <c r="K6" s="121">
        <v>0</v>
      </c>
      <c r="L6" s="121">
        <v>0</v>
      </c>
      <c r="M6" s="121">
        <v>0.11416171243093</v>
      </c>
      <c r="N6" s="121">
        <v>0.300068487582972</v>
      </c>
      <c r="O6" s="121">
        <v>0</v>
      </c>
      <c r="P6" s="121">
        <v>0</v>
      </c>
      <c r="Q6" s="121">
        <v>0</v>
      </c>
      <c r="R6" s="121">
        <v>0</v>
      </c>
      <c r="S6" s="121">
        <v>0</v>
      </c>
      <c r="T6" s="121">
        <v>0</v>
      </c>
      <c r="U6" s="121">
        <v>0</v>
      </c>
      <c r="V6" s="121">
        <v>0</v>
      </c>
      <c r="W6" s="121">
        <v>0</v>
      </c>
      <c r="X6" s="121">
        <v>0</v>
      </c>
      <c r="Y6" s="121">
        <v>0</v>
      </c>
      <c r="Z6" s="121">
        <v>0</v>
      </c>
      <c r="AA6" s="121">
        <v>0</v>
      </c>
      <c r="AB6" s="121">
        <v>-0.27679074762087602</v>
      </c>
      <c r="AC6" s="121">
        <v>0</v>
      </c>
      <c r="AD6" s="121">
        <v>6.0094304389897202</v>
      </c>
      <c r="AE6" s="121">
        <v>0</v>
      </c>
      <c r="AF6" s="121">
        <v>0.54989418391913303</v>
      </c>
      <c r="AG6" s="121">
        <v>8.2919956034941206E-2</v>
      </c>
      <c r="AH6" s="121">
        <v>0</v>
      </c>
      <c r="AI6" s="121">
        <v>0</v>
      </c>
      <c r="AJ6" s="121">
        <v>0</v>
      </c>
      <c r="AK6" s="121">
        <v>0</v>
      </c>
      <c r="AL6" s="121">
        <v>0</v>
      </c>
      <c r="AM6" s="121">
        <v>0</v>
      </c>
      <c r="AN6" s="121">
        <v>0</v>
      </c>
      <c r="AO6" s="121">
        <v>0</v>
      </c>
      <c r="AP6" s="121">
        <v>0</v>
      </c>
      <c r="AQ6" s="121">
        <v>0</v>
      </c>
      <c r="AR6" s="122">
        <v>0</v>
      </c>
    </row>
    <row r="7" spans="2:44" ht="12" customHeight="1" x14ac:dyDescent="0.3">
      <c r="B7" s="120" t="s">
        <v>61</v>
      </c>
      <c r="C7" s="121" t="s">
        <v>54</v>
      </c>
      <c r="D7" s="121" t="s">
        <v>25</v>
      </c>
      <c r="E7" s="121" t="s">
        <v>25</v>
      </c>
      <c r="F7" s="121" t="s">
        <v>85</v>
      </c>
      <c r="G7" s="121" t="s">
        <v>37</v>
      </c>
      <c r="H7" s="121" t="s">
        <v>81</v>
      </c>
      <c r="I7" s="121" t="s">
        <v>25</v>
      </c>
      <c r="J7" s="121">
        <v>17.73</v>
      </c>
      <c r="K7" s="121">
        <v>0</v>
      </c>
      <c r="L7" s="121">
        <v>0</v>
      </c>
      <c r="M7" s="121">
        <v>0</v>
      </c>
      <c r="N7" s="121">
        <v>0</v>
      </c>
      <c r="O7" s="121">
        <v>0</v>
      </c>
      <c r="P7" s="121">
        <v>0</v>
      </c>
      <c r="Q7" s="121">
        <v>0</v>
      </c>
      <c r="R7" s="121">
        <v>0</v>
      </c>
      <c r="S7" s="121">
        <v>0</v>
      </c>
      <c r="T7" s="121">
        <v>0</v>
      </c>
      <c r="U7" s="121">
        <v>0</v>
      </c>
      <c r="V7" s="121">
        <v>0</v>
      </c>
      <c r="W7" s="121">
        <v>0</v>
      </c>
      <c r="X7" s="121">
        <v>12.091360251791899</v>
      </c>
      <c r="Y7" s="121">
        <v>0</v>
      </c>
      <c r="Z7" s="121">
        <v>0</v>
      </c>
      <c r="AA7" s="121">
        <v>6.3319978423584899</v>
      </c>
      <c r="AB7" s="121">
        <v>-0.69051155391297403</v>
      </c>
      <c r="AC7" s="121">
        <v>0</v>
      </c>
      <c r="AD7" s="121">
        <v>0</v>
      </c>
      <c r="AE7" s="121">
        <v>0</v>
      </c>
      <c r="AF7" s="121">
        <v>0</v>
      </c>
      <c r="AG7" s="121">
        <v>0</v>
      </c>
      <c r="AH7" s="121">
        <v>0</v>
      </c>
      <c r="AI7" s="121">
        <v>0</v>
      </c>
      <c r="AJ7" s="121">
        <v>0</v>
      </c>
      <c r="AK7" s="121">
        <v>0</v>
      </c>
      <c r="AL7" s="121">
        <v>0</v>
      </c>
      <c r="AM7" s="121">
        <v>0</v>
      </c>
      <c r="AN7" s="121">
        <v>0</v>
      </c>
      <c r="AO7" s="121">
        <v>0</v>
      </c>
      <c r="AP7" s="121">
        <v>0</v>
      </c>
      <c r="AQ7" s="121">
        <v>0</v>
      </c>
      <c r="AR7" s="122">
        <v>0</v>
      </c>
    </row>
    <row r="8" spans="2:44" ht="12" customHeight="1" x14ac:dyDescent="0.3">
      <c r="B8" s="120" t="s">
        <v>61</v>
      </c>
      <c r="C8" s="121" t="s">
        <v>54</v>
      </c>
      <c r="D8" s="121" t="s">
        <v>25</v>
      </c>
      <c r="E8" s="121" t="s">
        <v>25</v>
      </c>
      <c r="F8" s="121" t="s">
        <v>25</v>
      </c>
      <c r="G8" s="121" t="s">
        <v>36</v>
      </c>
      <c r="H8" s="121" t="s">
        <v>78</v>
      </c>
      <c r="I8" s="121" t="s">
        <v>25</v>
      </c>
      <c r="J8" s="121">
        <v>108.47</v>
      </c>
      <c r="K8" s="121">
        <v>461.06</v>
      </c>
      <c r="L8" s="121">
        <v>1.75745060132551</v>
      </c>
      <c r="M8" s="121">
        <v>0.11416171243093</v>
      </c>
      <c r="N8" s="121">
        <v>0.32001554475971999</v>
      </c>
      <c r="O8" s="121">
        <v>0</v>
      </c>
      <c r="P8" s="121">
        <v>0</v>
      </c>
      <c r="Q8" s="121">
        <v>82.800826358066999</v>
      </c>
      <c r="R8" s="121">
        <v>20.2806310634816</v>
      </c>
      <c r="S8" s="121">
        <v>0</v>
      </c>
      <c r="T8" s="121">
        <v>0</v>
      </c>
      <c r="U8" s="121">
        <v>0</v>
      </c>
      <c r="V8" s="121">
        <v>0</v>
      </c>
      <c r="W8" s="121">
        <v>0</v>
      </c>
      <c r="X8" s="121">
        <v>0</v>
      </c>
      <c r="Y8" s="121">
        <v>0</v>
      </c>
      <c r="Z8" s="121">
        <v>0</v>
      </c>
      <c r="AA8" s="121">
        <v>0</v>
      </c>
      <c r="AB8" s="121">
        <v>-3.4423099730683901</v>
      </c>
      <c r="AC8" s="121">
        <v>0</v>
      </c>
      <c r="AD8" s="121">
        <v>6.0094304389897202</v>
      </c>
      <c r="AE8" s="121">
        <v>0</v>
      </c>
      <c r="AF8" s="121">
        <v>0.54989418391913303</v>
      </c>
      <c r="AG8" s="121">
        <v>8.2919956034941206E-2</v>
      </c>
      <c r="AH8" s="121">
        <v>5.0923744514318701</v>
      </c>
      <c r="AI8" s="121">
        <v>0</v>
      </c>
      <c r="AJ8" s="121">
        <v>3.09002410944196</v>
      </c>
      <c r="AK8" s="121">
        <v>0</v>
      </c>
      <c r="AL8" s="121">
        <v>0</v>
      </c>
      <c r="AM8" s="121">
        <v>471.71289753147198</v>
      </c>
      <c r="AN8" s="121">
        <v>0</v>
      </c>
      <c r="AO8" s="121">
        <v>0</v>
      </c>
      <c r="AP8" s="121">
        <v>0</v>
      </c>
      <c r="AQ8" s="121">
        <v>-18.835009395888701</v>
      </c>
      <c r="AR8" s="122">
        <v>0</v>
      </c>
    </row>
    <row r="9" spans="2:44" ht="12" customHeight="1" x14ac:dyDescent="0.3">
      <c r="B9" s="120" t="s">
        <v>61</v>
      </c>
      <c r="C9" s="121" t="s">
        <v>54</v>
      </c>
      <c r="D9" s="121" t="s">
        <v>25</v>
      </c>
      <c r="E9" s="121" t="s">
        <v>25</v>
      </c>
      <c r="F9" s="121" t="s">
        <v>25</v>
      </c>
      <c r="G9" s="121" t="s">
        <v>36</v>
      </c>
      <c r="H9" s="121" t="s">
        <v>81</v>
      </c>
      <c r="I9" s="121" t="s">
        <v>25</v>
      </c>
      <c r="J9" s="121">
        <v>28.95</v>
      </c>
      <c r="K9" s="121">
        <v>0</v>
      </c>
      <c r="L9" s="121">
        <v>0</v>
      </c>
      <c r="M9" s="121">
        <v>0</v>
      </c>
      <c r="N9" s="121">
        <v>0</v>
      </c>
      <c r="O9" s="121">
        <v>0</v>
      </c>
      <c r="P9" s="121">
        <v>0</v>
      </c>
      <c r="Q9" s="121">
        <v>0</v>
      </c>
      <c r="R9" s="121">
        <v>0</v>
      </c>
      <c r="S9" s="121">
        <v>0</v>
      </c>
      <c r="T9" s="121">
        <v>0</v>
      </c>
      <c r="U9" s="121">
        <v>0</v>
      </c>
      <c r="V9" s="121">
        <v>0</v>
      </c>
      <c r="W9" s="121">
        <v>0</v>
      </c>
      <c r="X9" s="121">
        <v>23.7375037774638</v>
      </c>
      <c r="Y9" s="121">
        <v>0</v>
      </c>
      <c r="Z9" s="121">
        <v>0</v>
      </c>
      <c r="AA9" s="121">
        <v>6.3319978423584899</v>
      </c>
      <c r="AB9" s="121">
        <v>-1.11601686062622</v>
      </c>
      <c r="AC9" s="121">
        <v>0</v>
      </c>
      <c r="AD9" s="121">
        <v>0</v>
      </c>
      <c r="AE9" s="121">
        <v>0</v>
      </c>
      <c r="AF9" s="121">
        <v>0</v>
      </c>
      <c r="AG9" s="121">
        <v>0</v>
      </c>
      <c r="AH9" s="121">
        <v>0</v>
      </c>
      <c r="AI9" s="121">
        <v>0</v>
      </c>
      <c r="AJ9" s="121">
        <v>0</v>
      </c>
      <c r="AK9" s="121">
        <v>0</v>
      </c>
      <c r="AL9" s="121">
        <v>0</v>
      </c>
      <c r="AM9" s="121">
        <v>0</v>
      </c>
      <c r="AN9" s="121">
        <v>0</v>
      </c>
      <c r="AO9" s="121">
        <v>0</v>
      </c>
      <c r="AP9" s="121">
        <v>0</v>
      </c>
      <c r="AQ9" s="121">
        <v>0</v>
      </c>
      <c r="AR9" s="122">
        <v>0</v>
      </c>
    </row>
    <row r="10" spans="2:44" ht="12" customHeight="1" x14ac:dyDescent="0.3">
      <c r="B10" s="120" t="s">
        <v>61</v>
      </c>
      <c r="C10" s="121" t="s">
        <v>54</v>
      </c>
      <c r="D10" s="121" t="s">
        <v>25</v>
      </c>
      <c r="E10" s="121" t="s">
        <v>25</v>
      </c>
      <c r="F10" s="121" t="s">
        <v>25</v>
      </c>
      <c r="G10" s="121" t="s">
        <v>37</v>
      </c>
      <c r="H10" s="121" t="s">
        <v>78</v>
      </c>
      <c r="I10" s="121" t="s">
        <v>25</v>
      </c>
      <c r="J10" s="121">
        <v>108.47</v>
      </c>
      <c r="K10" s="121">
        <v>271.36</v>
      </c>
      <c r="L10" s="121">
        <v>1.75745060132551</v>
      </c>
      <c r="M10" s="121">
        <v>0.11416171243093</v>
      </c>
      <c r="N10" s="121">
        <v>0.32001554475971999</v>
      </c>
      <c r="O10" s="121">
        <v>0</v>
      </c>
      <c r="P10" s="121">
        <v>0</v>
      </c>
      <c r="Q10" s="121">
        <v>82.800826358066999</v>
      </c>
      <c r="R10" s="121">
        <v>20.2806310634816</v>
      </c>
      <c r="S10" s="121">
        <v>0</v>
      </c>
      <c r="T10" s="121">
        <v>0</v>
      </c>
      <c r="U10" s="121">
        <v>0</v>
      </c>
      <c r="V10" s="121">
        <v>0</v>
      </c>
      <c r="W10" s="121">
        <v>0</v>
      </c>
      <c r="X10" s="121">
        <v>0</v>
      </c>
      <c r="Y10" s="121">
        <v>0</v>
      </c>
      <c r="Z10" s="121">
        <v>0</v>
      </c>
      <c r="AA10" s="121">
        <v>0</v>
      </c>
      <c r="AB10" s="121">
        <v>-3.4423099730683901</v>
      </c>
      <c r="AC10" s="121">
        <v>0</v>
      </c>
      <c r="AD10" s="121">
        <v>6.0094304389897202</v>
      </c>
      <c r="AE10" s="121">
        <v>0</v>
      </c>
      <c r="AF10" s="121">
        <v>0.54989418391913303</v>
      </c>
      <c r="AG10" s="121">
        <v>8.2919956034941206E-2</v>
      </c>
      <c r="AH10" s="121">
        <v>5.0923744514318701</v>
      </c>
      <c r="AI10" s="121">
        <v>0</v>
      </c>
      <c r="AJ10" s="121">
        <v>3.09002410944196</v>
      </c>
      <c r="AK10" s="121">
        <v>0</v>
      </c>
      <c r="AL10" s="121">
        <v>0</v>
      </c>
      <c r="AM10" s="121">
        <v>274.25168461132102</v>
      </c>
      <c r="AN10" s="121">
        <v>0</v>
      </c>
      <c r="AO10" s="121">
        <v>0</v>
      </c>
      <c r="AP10" s="121">
        <v>0</v>
      </c>
      <c r="AQ10" s="121">
        <v>-11.078916475296801</v>
      </c>
      <c r="AR10" s="122">
        <v>0</v>
      </c>
    </row>
    <row r="11" spans="2:44" ht="12" customHeight="1" x14ac:dyDescent="0.3">
      <c r="B11" s="120" t="s">
        <v>61</v>
      </c>
      <c r="C11" s="121" t="s">
        <v>54</v>
      </c>
      <c r="D11" s="121" t="s">
        <v>25</v>
      </c>
      <c r="E11" s="121" t="s">
        <v>25</v>
      </c>
      <c r="F11" s="121" t="s">
        <v>25</v>
      </c>
      <c r="G11" s="121" t="s">
        <v>37</v>
      </c>
      <c r="H11" s="121" t="s">
        <v>81</v>
      </c>
      <c r="I11" s="121" t="s">
        <v>25</v>
      </c>
      <c r="J11" s="121">
        <v>17.73</v>
      </c>
      <c r="K11" s="121">
        <v>0</v>
      </c>
      <c r="L11" s="121">
        <v>0</v>
      </c>
      <c r="M11" s="121">
        <v>0</v>
      </c>
      <c r="N11" s="121">
        <v>0</v>
      </c>
      <c r="O11" s="121">
        <v>0</v>
      </c>
      <c r="P11" s="121">
        <v>0</v>
      </c>
      <c r="Q11" s="121">
        <v>0</v>
      </c>
      <c r="R11" s="121">
        <v>0</v>
      </c>
      <c r="S11" s="121">
        <v>0</v>
      </c>
      <c r="T11" s="121">
        <v>0</v>
      </c>
      <c r="U11" s="121">
        <v>0</v>
      </c>
      <c r="V11" s="121">
        <v>0</v>
      </c>
      <c r="W11" s="121">
        <v>0</v>
      </c>
      <c r="X11" s="121">
        <v>12.091360251791899</v>
      </c>
      <c r="Y11" s="121">
        <v>0</v>
      </c>
      <c r="Z11" s="121">
        <v>0</v>
      </c>
      <c r="AA11" s="121">
        <v>6.3319978423584899</v>
      </c>
      <c r="AB11" s="121">
        <v>-0.69051155391297403</v>
      </c>
      <c r="AC11" s="121">
        <v>0</v>
      </c>
      <c r="AD11" s="121">
        <v>0</v>
      </c>
      <c r="AE11" s="121">
        <v>0</v>
      </c>
      <c r="AF11" s="121">
        <v>0</v>
      </c>
      <c r="AG11" s="121">
        <v>0</v>
      </c>
      <c r="AH11" s="121">
        <v>0</v>
      </c>
      <c r="AI11" s="121">
        <v>0</v>
      </c>
      <c r="AJ11" s="121">
        <v>0</v>
      </c>
      <c r="AK11" s="121">
        <v>0</v>
      </c>
      <c r="AL11" s="121">
        <v>0</v>
      </c>
      <c r="AM11" s="121">
        <v>0</v>
      </c>
      <c r="AN11" s="121">
        <v>0</v>
      </c>
      <c r="AO11" s="121">
        <v>0</v>
      </c>
      <c r="AP11" s="121">
        <v>0</v>
      </c>
      <c r="AQ11" s="121">
        <v>0</v>
      </c>
      <c r="AR11" s="122">
        <v>0</v>
      </c>
    </row>
    <row r="12" spans="2:44" ht="12" customHeight="1" x14ac:dyDescent="0.3">
      <c r="B12" s="120" t="s">
        <v>34</v>
      </c>
      <c r="C12" s="121" t="s">
        <v>54</v>
      </c>
      <c r="D12" s="121" t="s">
        <v>25</v>
      </c>
      <c r="E12" s="121" t="s">
        <v>25</v>
      </c>
      <c r="F12" s="121" t="s">
        <v>85</v>
      </c>
      <c r="G12" s="121" t="s">
        <v>36</v>
      </c>
      <c r="H12" s="121" t="s">
        <v>78</v>
      </c>
      <c r="I12" s="121" t="s">
        <v>25</v>
      </c>
      <c r="J12" s="121">
        <v>9.1999999999999993</v>
      </c>
      <c r="K12" s="121">
        <v>0</v>
      </c>
      <c r="L12" s="121">
        <v>0</v>
      </c>
      <c r="M12" s="121">
        <v>0.20761044993435199</v>
      </c>
      <c r="N12" s="121">
        <v>0.39848946305056598</v>
      </c>
      <c r="O12" s="121">
        <v>0</v>
      </c>
      <c r="P12" s="121">
        <v>0</v>
      </c>
      <c r="Q12" s="121">
        <v>0</v>
      </c>
      <c r="R12" s="121">
        <v>0</v>
      </c>
      <c r="S12" s="121">
        <v>0</v>
      </c>
      <c r="T12" s="121">
        <v>0</v>
      </c>
      <c r="U12" s="121">
        <v>0</v>
      </c>
      <c r="V12" s="121">
        <v>0</v>
      </c>
      <c r="W12" s="121">
        <v>0</v>
      </c>
      <c r="X12" s="121">
        <v>0</v>
      </c>
      <c r="Y12" s="121">
        <v>0</v>
      </c>
      <c r="Z12" s="121">
        <v>0</v>
      </c>
      <c r="AA12" s="121">
        <v>0</v>
      </c>
      <c r="AB12" s="121">
        <v>-0.37562647414091099</v>
      </c>
      <c r="AC12" s="121">
        <v>0</v>
      </c>
      <c r="AD12" s="121">
        <v>8.0125427393814199</v>
      </c>
      <c r="AE12" s="121">
        <v>0</v>
      </c>
      <c r="AF12" s="121">
        <v>0.83444614927758698</v>
      </c>
      <c r="AG12" s="121">
        <v>0.12582827757603399</v>
      </c>
      <c r="AH12" s="121">
        <v>0</v>
      </c>
      <c r="AI12" s="121">
        <v>0</v>
      </c>
      <c r="AJ12" s="121">
        <v>0</v>
      </c>
      <c r="AK12" s="121">
        <v>0</v>
      </c>
      <c r="AL12" s="121">
        <v>0</v>
      </c>
      <c r="AM12" s="121">
        <v>0</v>
      </c>
      <c r="AN12" s="121">
        <v>0</v>
      </c>
      <c r="AO12" s="121">
        <v>0</v>
      </c>
      <c r="AP12" s="121">
        <v>0</v>
      </c>
      <c r="AQ12" s="121">
        <v>0</v>
      </c>
      <c r="AR12" s="122">
        <v>0</v>
      </c>
    </row>
    <row r="13" spans="2:44" ht="12" customHeight="1" x14ac:dyDescent="0.3">
      <c r="B13" s="120" t="s">
        <v>34</v>
      </c>
      <c r="C13" s="121" t="s">
        <v>54</v>
      </c>
      <c r="D13" s="121" t="s">
        <v>25</v>
      </c>
      <c r="E13" s="121" t="s">
        <v>25</v>
      </c>
      <c r="F13" s="121" t="s">
        <v>85</v>
      </c>
      <c r="G13" s="121" t="s">
        <v>36</v>
      </c>
      <c r="H13" s="121" t="s">
        <v>81</v>
      </c>
      <c r="I13" s="121" t="s">
        <v>25</v>
      </c>
      <c r="J13" s="121">
        <v>38.6</v>
      </c>
      <c r="K13" s="121">
        <v>0</v>
      </c>
      <c r="L13" s="121">
        <v>0</v>
      </c>
      <c r="M13" s="121">
        <v>0</v>
      </c>
      <c r="N13" s="121">
        <v>0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31.650005036618399</v>
      </c>
      <c r="Y13" s="121">
        <v>0</v>
      </c>
      <c r="Z13" s="121">
        <v>0</v>
      </c>
      <c r="AA13" s="121">
        <v>8.4427008313856593</v>
      </c>
      <c r="AB13" s="121">
        <v>-1.48802393593835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2">
        <v>0</v>
      </c>
    </row>
    <row r="14" spans="2:44" ht="12" customHeight="1" x14ac:dyDescent="0.3">
      <c r="B14" s="120" t="s">
        <v>34</v>
      </c>
      <c r="C14" s="121" t="s">
        <v>54</v>
      </c>
      <c r="D14" s="121" t="s">
        <v>25</v>
      </c>
      <c r="E14" s="121" t="s">
        <v>25</v>
      </c>
      <c r="F14" s="121" t="s">
        <v>85</v>
      </c>
      <c r="G14" s="121" t="s">
        <v>37</v>
      </c>
      <c r="H14" s="121" t="s">
        <v>78</v>
      </c>
      <c r="I14" s="121" t="s">
        <v>25</v>
      </c>
      <c r="J14" s="121">
        <v>9.1999999999999993</v>
      </c>
      <c r="K14" s="121">
        <v>0</v>
      </c>
      <c r="L14" s="121">
        <v>0</v>
      </c>
      <c r="M14" s="121">
        <v>0.20761044993435199</v>
      </c>
      <c r="N14" s="121">
        <v>0.39848946305056598</v>
      </c>
      <c r="O14" s="121">
        <v>0</v>
      </c>
      <c r="P14" s="121">
        <v>0</v>
      </c>
      <c r="Q14" s="121">
        <v>0</v>
      </c>
      <c r="R14" s="121">
        <v>0</v>
      </c>
      <c r="S14" s="121">
        <v>0</v>
      </c>
      <c r="T14" s="121">
        <v>0</v>
      </c>
      <c r="U14" s="121">
        <v>0</v>
      </c>
      <c r="V14" s="121">
        <v>0</v>
      </c>
      <c r="W14" s="121">
        <v>0</v>
      </c>
      <c r="X14" s="121">
        <v>0</v>
      </c>
      <c r="Y14" s="121">
        <v>0</v>
      </c>
      <c r="Z14" s="121">
        <v>0</v>
      </c>
      <c r="AA14" s="121">
        <v>0</v>
      </c>
      <c r="AB14" s="121">
        <v>-0.37562647414091099</v>
      </c>
      <c r="AC14" s="121">
        <v>0</v>
      </c>
      <c r="AD14" s="121">
        <v>8.0125427393814199</v>
      </c>
      <c r="AE14" s="121">
        <v>0</v>
      </c>
      <c r="AF14" s="121">
        <v>0.83444614927758698</v>
      </c>
      <c r="AG14" s="121">
        <v>0.12582827757603399</v>
      </c>
      <c r="AH14" s="121">
        <v>0</v>
      </c>
      <c r="AI14" s="121">
        <v>0</v>
      </c>
      <c r="AJ14" s="121">
        <v>0</v>
      </c>
      <c r="AK14" s="121">
        <v>0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2">
        <v>0</v>
      </c>
    </row>
    <row r="15" spans="2:44" ht="12" customHeight="1" x14ac:dyDescent="0.3">
      <c r="B15" s="120" t="s">
        <v>34</v>
      </c>
      <c r="C15" s="121" t="s">
        <v>54</v>
      </c>
      <c r="D15" s="121" t="s">
        <v>25</v>
      </c>
      <c r="E15" s="121" t="s">
        <v>25</v>
      </c>
      <c r="F15" s="121" t="s">
        <v>85</v>
      </c>
      <c r="G15" s="121" t="s">
        <v>37</v>
      </c>
      <c r="H15" s="121" t="s">
        <v>81</v>
      </c>
      <c r="I15" s="121" t="s">
        <v>25</v>
      </c>
      <c r="J15" s="121">
        <v>23.64</v>
      </c>
      <c r="K15" s="121">
        <v>0</v>
      </c>
      <c r="L15" s="121">
        <v>0</v>
      </c>
      <c r="M15" s="121">
        <v>0</v>
      </c>
      <c r="N15" s="121">
        <v>0</v>
      </c>
      <c r="O15" s="121">
        <v>0</v>
      </c>
      <c r="P15" s="121">
        <v>0</v>
      </c>
      <c r="Q15" s="121">
        <v>0</v>
      </c>
      <c r="R15" s="121">
        <v>0</v>
      </c>
      <c r="S15" s="121">
        <v>0</v>
      </c>
      <c r="T15" s="121">
        <v>0</v>
      </c>
      <c r="U15" s="121">
        <v>0</v>
      </c>
      <c r="V15" s="121">
        <v>0</v>
      </c>
      <c r="W15" s="121">
        <v>0</v>
      </c>
      <c r="X15" s="121">
        <v>16.121871844506899</v>
      </c>
      <c r="Y15" s="121">
        <v>0</v>
      </c>
      <c r="Z15" s="121">
        <v>0</v>
      </c>
      <c r="AA15" s="121">
        <v>8.4427008313856593</v>
      </c>
      <c r="AB15" s="121">
        <v>-0.92068565249466305</v>
      </c>
      <c r="AC15" s="121">
        <v>0</v>
      </c>
      <c r="AD15" s="121">
        <v>0</v>
      </c>
      <c r="AE15" s="121">
        <v>0</v>
      </c>
      <c r="AF15" s="121">
        <v>0</v>
      </c>
      <c r="AG15" s="121">
        <v>0</v>
      </c>
      <c r="AH15" s="121">
        <v>0</v>
      </c>
      <c r="AI15" s="121">
        <v>0</v>
      </c>
      <c r="AJ15" s="121">
        <v>0</v>
      </c>
      <c r="AK15" s="121">
        <v>0</v>
      </c>
      <c r="AL15" s="121">
        <v>0</v>
      </c>
      <c r="AM15" s="121">
        <v>0</v>
      </c>
      <c r="AN15" s="121">
        <v>0</v>
      </c>
      <c r="AO15" s="121">
        <v>0</v>
      </c>
      <c r="AP15" s="121">
        <v>0</v>
      </c>
      <c r="AQ15" s="121">
        <v>0</v>
      </c>
      <c r="AR15" s="122">
        <v>0</v>
      </c>
    </row>
    <row r="16" spans="2:44" ht="12" customHeight="1" x14ac:dyDescent="0.3">
      <c r="B16" s="120" t="s">
        <v>34</v>
      </c>
      <c r="C16" s="121" t="s">
        <v>54</v>
      </c>
      <c r="D16" s="121" t="s">
        <v>25</v>
      </c>
      <c r="E16" s="121" t="s">
        <v>25</v>
      </c>
      <c r="F16" s="121" t="s">
        <v>25</v>
      </c>
      <c r="G16" s="121" t="s">
        <v>36</v>
      </c>
      <c r="H16" s="121" t="s">
        <v>78</v>
      </c>
      <c r="I16" s="121" t="s">
        <v>25</v>
      </c>
      <c r="J16" s="121">
        <v>139.99</v>
      </c>
      <c r="K16" s="121">
        <v>461.06</v>
      </c>
      <c r="L16" s="121">
        <v>2.3810621050216501</v>
      </c>
      <c r="M16" s="121">
        <v>0.20761044993435199</v>
      </c>
      <c r="N16" s="121">
        <v>0.41843652022731298</v>
      </c>
      <c r="O16" s="121">
        <v>0</v>
      </c>
      <c r="P16" s="121">
        <v>0</v>
      </c>
      <c r="Q16" s="121">
        <v>112.181764743188</v>
      </c>
      <c r="R16" s="121">
        <v>20.2806310634816</v>
      </c>
      <c r="S16" s="121">
        <v>0</v>
      </c>
      <c r="T16" s="121">
        <v>0</v>
      </c>
      <c r="U16" s="121">
        <v>0</v>
      </c>
      <c r="V16" s="121">
        <v>0</v>
      </c>
      <c r="W16" s="121">
        <v>0</v>
      </c>
      <c r="X16" s="121">
        <v>0</v>
      </c>
      <c r="Y16" s="121">
        <v>0</v>
      </c>
      <c r="Z16" s="121">
        <v>0</v>
      </c>
      <c r="AA16" s="121">
        <v>0</v>
      </c>
      <c r="AB16" s="121">
        <v>-4.4526426292077304</v>
      </c>
      <c r="AC16" s="121">
        <v>0</v>
      </c>
      <c r="AD16" s="121">
        <v>8.0125427393814199</v>
      </c>
      <c r="AE16" s="121">
        <v>0</v>
      </c>
      <c r="AF16" s="121">
        <v>0.83444614927758698</v>
      </c>
      <c r="AG16" s="121">
        <v>0.12582827757603399</v>
      </c>
      <c r="AH16" s="121">
        <v>5.0923744514318701</v>
      </c>
      <c r="AI16" s="121">
        <v>0</v>
      </c>
      <c r="AJ16" s="121">
        <v>3.09002410944196</v>
      </c>
      <c r="AK16" s="121">
        <v>0</v>
      </c>
      <c r="AL16" s="121">
        <v>0</v>
      </c>
      <c r="AM16" s="121">
        <v>471.71289753147198</v>
      </c>
      <c r="AN16" s="121">
        <v>0</v>
      </c>
      <c r="AO16" s="121">
        <v>0</v>
      </c>
      <c r="AP16" s="121">
        <v>0</v>
      </c>
      <c r="AQ16" s="121">
        <v>-18.835009395888701</v>
      </c>
      <c r="AR16" s="122">
        <v>0</v>
      </c>
    </row>
    <row r="17" spans="2:44" ht="12" customHeight="1" x14ac:dyDescent="0.3">
      <c r="B17" s="120" t="s">
        <v>34</v>
      </c>
      <c r="C17" s="121" t="s">
        <v>54</v>
      </c>
      <c r="D17" s="121" t="s">
        <v>25</v>
      </c>
      <c r="E17" s="121" t="s">
        <v>25</v>
      </c>
      <c r="F17" s="121" t="s">
        <v>25</v>
      </c>
      <c r="G17" s="121" t="s">
        <v>36</v>
      </c>
      <c r="H17" s="121" t="s">
        <v>81</v>
      </c>
      <c r="I17" s="121" t="s">
        <v>25</v>
      </c>
      <c r="J17" s="121">
        <v>38.6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0</v>
      </c>
      <c r="Q17" s="121">
        <v>0</v>
      </c>
      <c r="R17" s="121">
        <v>0</v>
      </c>
      <c r="S17" s="121">
        <v>0</v>
      </c>
      <c r="T17" s="121">
        <v>0</v>
      </c>
      <c r="U17" s="121">
        <v>0</v>
      </c>
      <c r="V17" s="121">
        <v>0</v>
      </c>
      <c r="W17" s="121">
        <v>0</v>
      </c>
      <c r="X17" s="121">
        <v>31.650005036618399</v>
      </c>
      <c r="Y17" s="121">
        <v>0</v>
      </c>
      <c r="Z17" s="121">
        <v>0</v>
      </c>
      <c r="AA17" s="121">
        <v>8.4427008313856593</v>
      </c>
      <c r="AB17" s="121">
        <v>-1.48802393593835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2">
        <v>0</v>
      </c>
    </row>
    <row r="18" spans="2:44" ht="12" customHeight="1" x14ac:dyDescent="0.3">
      <c r="B18" s="120" t="s">
        <v>34</v>
      </c>
      <c r="C18" s="121" t="s">
        <v>54</v>
      </c>
      <c r="D18" s="121" t="s">
        <v>25</v>
      </c>
      <c r="E18" s="121" t="s">
        <v>25</v>
      </c>
      <c r="F18" s="121" t="s">
        <v>25</v>
      </c>
      <c r="G18" s="121" t="s">
        <v>37</v>
      </c>
      <c r="H18" s="121" t="s">
        <v>78</v>
      </c>
      <c r="I18" s="121" t="s">
        <v>25</v>
      </c>
      <c r="J18" s="121">
        <v>139.99</v>
      </c>
      <c r="K18" s="121">
        <v>271.36</v>
      </c>
      <c r="L18" s="121">
        <v>2.3810621050216501</v>
      </c>
      <c r="M18" s="121">
        <v>0.20761044993435199</v>
      </c>
      <c r="N18" s="121">
        <v>0.41843652022731298</v>
      </c>
      <c r="O18" s="121">
        <v>0</v>
      </c>
      <c r="P18" s="121">
        <v>0</v>
      </c>
      <c r="Q18" s="121">
        <v>112.181764743188</v>
      </c>
      <c r="R18" s="121">
        <v>20.2806310634816</v>
      </c>
      <c r="S18" s="121">
        <v>0</v>
      </c>
      <c r="T18" s="121">
        <v>0</v>
      </c>
      <c r="U18" s="121">
        <v>0</v>
      </c>
      <c r="V18" s="121">
        <v>0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-4.4526426292077304</v>
      </c>
      <c r="AC18" s="121">
        <v>0</v>
      </c>
      <c r="AD18" s="121">
        <v>8.0125427393814199</v>
      </c>
      <c r="AE18" s="121">
        <v>0</v>
      </c>
      <c r="AF18" s="121">
        <v>0.83444614927758698</v>
      </c>
      <c r="AG18" s="121">
        <v>0.12582827757603399</v>
      </c>
      <c r="AH18" s="121">
        <v>5.0923744514318701</v>
      </c>
      <c r="AI18" s="121">
        <v>0</v>
      </c>
      <c r="AJ18" s="121">
        <v>3.09002410944196</v>
      </c>
      <c r="AK18" s="121">
        <v>0</v>
      </c>
      <c r="AL18" s="121">
        <v>0</v>
      </c>
      <c r="AM18" s="121">
        <v>274.25168461132102</v>
      </c>
      <c r="AN18" s="121">
        <v>0</v>
      </c>
      <c r="AO18" s="121">
        <v>0</v>
      </c>
      <c r="AP18" s="121">
        <v>0</v>
      </c>
      <c r="AQ18" s="121">
        <v>-11.078916475296801</v>
      </c>
      <c r="AR18" s="122">
        <v>0</v>
      </c>
    </row>
    <row r="19" spans="2:44" ht="12" customHeight="1" x14ac:dyDescent="0.3">
      <c r="B19" s="120" t="s">
        <v>34</v>
      </c>
      <c r="C19" s="121" t="s">
        <v>54</v>
      </c>
      <c r="D19" s="121" t="s">
        <v>25</v>
      </c>
      <c r="E19" s="121" t="s">
        <v>25</v>
      </c>
      <c r="F19" s="121" t="s">
        <v>25</v>
      </c>
      <c r="G19" s="121" t="s">
        <v>37</v>
      </c>
      <c r="H19" s="121" t="s">
        <v>81</v>
      </c>
      <c r="I19" s="121" t="s">
        <v>25</v>
      </c>
      <c r="J19" s="121">
        <v>23.64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16.121871844506899</v>
      </c>
      <c r="Y19" s="121">
        <v>0</v>
      </c>
      <c r="Z19" s="121">
        <v>0</v>
      </c>
      <c r="AA19" s="121">
        <v>8.4427008313856593</v>
      </c>
      <c r="AB19" s="121">
        <v>-0.92068565249466305</v>
      </c>
      <c r="AC19" s="121">
        <v>0</v>
      </c>
      <c r="AD19" s="121">
        <v>0</v>
      </c>
      <c r="AE19" s="121">
        <v>0</v>
      </c>
      <c r="AF19" s="121">
        <v>0</v>
      </c>
      <c r="AG19" s="121">
        <v>0</v>
      </c>
      <c r="AH19" s="121">
        <v>0</v>
      </c>
      <c r="AI19" s="121">
        <v>0</v>
      </c>
      <c r="AJ19" s="121">
        <v>0</v>
      </c>
      <c r="AK19" s="121">
        <v>0</v>
      </c>
      <c r="AL19" s="121">
        <v>0</v>
      </c>
      <c r="AM19" s="121">
        <v>0</v>
      </c>
      <c r="AN19" s="121">
        <v>0</v>
      </c>
      <c r="AO19" s="121">
        <v>0</v>
      </c>
      <c r="AP19" s="121">
        <v>0</v>
      </c>
      <c r="AQ19" s="121">
        <v>0</v>
      </c>
      <c r="AR19" s="122">
        <v>0</v>
      </c>
    </row>
    <row r="20" spans="2:44" ht="12" customHeight="1" x14ac:dyDescent="0.3">
      <c r="B20" s="120" t="s">
        <v>34</v>
      </c>
      <c r="C20" s="121" t="s">
        <v>57</v>
      </c>
      <c r="D20" s="121" t="s">
        <v>25</v>
      </c>
      <c r="E20" s="121" t="s">
        <v>25</v>
      </c>
      <c r="F20" s="121" t="s">
        <v>25</v>
      </c>
      <c r="G20" s="121" t="s">
        <v>25</v>
      </c>
      <c r="H20" s="121" t="s">
        <v>81</v>
      </c>
      <c r="I20" s="121" t="s">
        <v>25</v>
      </c>
      <c r="J20" s="121">
        <v>8.2899999999999991</v>
      </c>
      <c r="K20" s="121">
        <v>0</v>
      </c>
      <c r="L20" s="121">
        <v>0</v>
      </c>
      <c r="M20" s="121">
        <v>3.1445532428147203E-2</v>
      </c>
      <c r="N20" s="121">
        <v>0.15219604625858599</v>
      </c>
      <c r="O20" s="121">
        <v>0</v>
      </c>
      <c r="P20" s="121">
        <v>0</v>
      </c>
      <c r="Q20" s="121">
        <v>0</v>
      </c>
      <c r="R20" s="121">
        <v>0</v>
      </c>
      <c r="S20" s="121">
        <v>0</v>
      </c>
      <c r="T20" s="121">
        <v>0</v>
      </c>
      <c r="U20" s="121">
        <v>0</v>
      </c>
      <c r="V20" s="121">
        <v>0</v>
      </c>
      <c r="W20" s="121">
        <v>0</v>
      </c>
      <c r="X20" s="121">
        <v>0</v>
      </c>
      <c r="Y20" s="121">
        <v>0</v>
      </c>
      <c r="Z20" s="121">
        <v>0</v>
      </c>
      <c r="AA20" s="121">
        <v>8.4428119561086792</v>
      </c>
      <c r="AB20" s="121">
        <v>-0.33891534852056099</v>
      </c>
      <c r="AC20" s="121">
        <v>0</v>
      </c>
      <c r="AD20" s="121">
        <v>2.1513697365869201E-3</v>
      </c>
      <c r="AE20" s="121">
        <v>0</v>
      </c>
      <c r="AF20" s="121">
        <v>0</v>
      </c>
      <c r="AG20" s="121">
        <v>0</v>
      </c>
      <c r="AH20" s="121">
        <v>0</v>
      </c>
      <c r="AI20" s="121">
        <v>0</v>
      </c>
      <c r="AJ20" s="121">
        <v>0</v>
      </c>
      <c r="AK20" s="121">
        <v>0</v>
      </c>
      <c r="AL20" s="121">
        <v>0</v>
      </c>
      <c r="AM20" s="121">
        <v>0</v>
      </c>
      <c r="AN20" s="121">
        <v>0</v>
      </c>
      <c r="AO20" s="121">
        <v>0</v>
      </c>
      <c r="AP20" s="121">
        <v>0</v>
      </c>
      <c r="AQ20" s="121">
        <v>0</v>
      </c>
      <c r="AR20" s="122">
        <v>0</v>
      </c>
    </row>
    <row r="21" spans="2:44" ht="12" customHeight="1" x14ac:dyDescent="0.3">
      <c r="B21" s="120" t="s">
        <v>34</v>
      </c>
      <c r="C21" s="121" t="s">
        <v>35</v>
      </c>
      <c r="D21" s="121" t="s">
        <v>25</v>
      </c>
      <c r="E21" s="121" t="s">
        <v>25</v>
      </c>
      <c r="F21" s="121" t="s">
        <v>85</v>
      </c>
      <c r="G21" s="121" t="s">
        <v>36</v>
      </c>
      <c r="H21" s="121" t="s">
        <v>78</v>
      </c>
      <c r="I21" s="121" t="s">
        <v>25</v>
      </c>
      <c r="J21" s="121">
        <v>949.5</v>
      </c>
      <c r="K21" s="121">
        <v>0</v>
      </c>
      <c r="L21" s="121">
        <v>0</v>
      </c>
      <c r="M21" s="121">
        <v>0.20761044993435199</v>
      </c>
      <c r="N21" s="121">
        <v>12.7429452145099</v>
      </c>
      <c r="O21" s="121">
        <v>0</v>
      </c>
      <c r="P21" s="121">
        <v>0</v>
      </c>
      <c r="Q21" s="121">
        <v>0</v>
      </c>
      <c r="R21" s="121">
        <v>0</v>
      </c>
      <c r="S21" s="121">
        <v>0</v>
      </c>
      <c r="T21" s="121">
        <v>0</v>
      </c>
      <c r="U21" s="121">
        <v>0</v>
      </c>
      <c r="V21" s="121">
        <v>0</v>
      </c>
      <c r="W21" s="121">
        <v>0</v>
      </c>
      <c r="X21" s="121">
        <v>761.18167868836804</v>
      </c>
      <c r="Y21" s="121">
        <v>0</v>
      </c>
      <c r="Z21" s="121">
        <v>0</v>
      </c>
      <c r="AA21" s="121">
        <v>203.04664940183699</v>
      </c>
      <c r="AB21" s="121">
        <v>-36.647502097367301</v>
      </c>
      <c r="AC21" s="121">
        <v>0</v>
      </c>
      <c r="AD21" s="121">
        <v>8.0125427393814199</v>
      </c>
      <c r="AE21" s="121">
        <v>0</v>
      </c>
      <c r="AF21" s="121">
        <v>0.83444614927758698</v>
      </c>
      <c r="AG21" s="121">
        <v>0.12582827757603399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2">
        <v>0</v>
      </c>
    </row>
    <row r="22" spans="2:44" ht="12" customHeight="1" x14ac:dyDescent="0.3">
      <c r="B22" s="120" t="s">
        <v>34</v>
      </c>
      <c r="C22" s="121" t="s">
        <v>35</v>
      </c>
      <c r="D22" s="121" t="s">
        <v>25</v>
      </c>
      <c r="E22" s="121" t="s">
        <v>25</v>
      </c>
      <c r="F22" s="121" t="s">
        <v>85</v>
      </c>
      <c r="G22" s="121" t="s">
        <v>25</v>
      </c>
      <c r="H22" s="121" t="s">
        <v>81</v>
      </c>
      <c r="I22" s="121" t="s">
        <v>25</v>
      </c>
      <c r="J22" s="121">
        <v>23.64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0</v>
      </c>
      <c r="Q22" s="121">
        <v>0</v>
      </c>
      <c r="R22" s="121">
        <v>0</v>
      </c>
      <c r="S22" s="121">
        <v>0</v>
      </c>
      <c r="T22" s="121">
        <v>0</v>
      </c>
      <c r="U22" s="121">
        <v>0</v>
      </c>
      <c r="V22" s="121">
        <v>0</v>
      </c>
      <c r="W22" s="121">
        <v>0</v>
      </c>
      <c r="X22" s="121">
        <v>16.121871844506899</v>
      </c>
      <c r="Y22" s="121">
        <v>0</v>
      </c>
      <c r="Z22" s="121">
        <v>0</v>
      </c>
      <c r="AA22" s="121">
        <v>8.4427008313856593</v>
      </c>
      <c r="AB22" s="121">
        <v>-0.92068565249466305</v>
      </c>
      <c r="AC22" s="121">
        <v>0</v>
      </c>
      <c r="AD22" s="121">
        <v>0</v>
      </c>
      <c r="AE22" s="121">
        <v>0</v>
      </c>
      <c r="AF22" s="121">
        <v>0</v>
      </c>
      <c r="AG22" s="121">
        <v>0</v>
      </c>
      <c r="AH22" s="121">
        <v>0</v>
      </c>
      <c r="AI22" s="121">
        <v>0</v>
      </c>
      <c r="AJ22" s="121">
        <v>0</v>
      </c>
      <c r="AK22" s="121">
        <v>0</v>
      </c>
      <c r="AL22" s="121">
        <v>0</v>
      </c>
      <c r="AM22" s="121">
        <v>0</v>
      </c>
      <c r="AN22" s="121">
        <v>0</v>
      </c>
      <c r="AO22" s="121">
        <v>0</v>
      </c>
      <c r="AP22" s="121">
        <v>0</v>
      </c>
      <c r="AQ22" s="121">
        <v>0</v>
      </c>
      <c r="AR22" s="122">
        <v>0</v>
      </c>
    </row>
    <row r="23" spans="2:44" ht="12" customHeight="1" x14ac:dyDescent="0.3">
      <c r="B23" s="120" t="s">
        <v>34</v>
      </c>
      <c r="C23" s="121" t="s">
        <v>35</v>
      </c>
      <c r="D23" s="121" t="s">
        <v>25</v>
      </c>
      <c r="E23" s="121" t="s">
        <v>25</v>
      </c>
      <c r="F23" s="121" t="s">
        <v>85</v>
      </c>
      <c r="G23" s="121" t="s">
        <v>37</v>
      </c>
      <c r="H23" s="121" t="s">
        <v>78</v>
      </c>
      <c r="I23" s="121" t="s">
        <v>25</v>
      </c>
      <c r="J23" s="121">
        <v>9.1999999999999993</v>
      </c>
      <c r="K23" s="121">
        <v>0</v>
      </c>
      <c r="L23" s="121">
        <v>0</v>
      </c>
      <c r="M23" s="121">
        <v>0.20761044993435199</v>
      </c>
      <c r="N23" s="121">
        <v>0.39848946305056598</v>
      </c>
      <c r="O23" s="121">
        <v>0</v>
      </c>
      <c r="P23" s="121">
        <v>0</v>
      </c>
      <c r="Q23" s="121">
        <v>0</v>
      </c>
      <c r="R23" s="121">
        <v>0</v>
      </c>
      <c r="S23" s="121">
        <v>0</v>
      </c>
      <c r="T23" s="121">
        <v>0</v>
      </c>
      <c r="U23" s="121">
        <v>0</v>
      </c>
      <c r="V23" s="121">
        <v>0</v>
      </c>
      <c r="W23" s="121">
        <v>0</v>
      </c>
      <c r="X23" s="121">
        <v>0</v>
      </c>
      <c r="Y23" s="121">
        <v>0</v>
      </c>
      <c r="Z23" s="121">
        <v>0</v>
      </c>
      <c r="AA23" s="121">
        <v>0</v>
      </c>
      <c r="AB23" s="121">
        <v>-0.37562647414091099</v>
      </c>
      <c r="AC23" s="121">
        <v>0</v>
      </c>
      <c r="AD23" s="121">
        <v>8.0125427393814199</v>
      </c>
      <c r="AE23" s="121">
        <v>0</v>
      </c>
      <c r="AF23" s="121">
        <v>0.83444614927758698</v>
      </c>
      <c r="AG23" s="121">
        <v>0.12582827757603399</v>
      </c>
      <c r="AH23" s="121">
        <v>0</v>
      </c>
      <c r="AI23" s="121">
        <v>0</v>
      </c>
      <c r="AJ23" s="121">
        <v>0</v>
      </c>
      <c r="AK23" s="121">
        <v>0</v>
      </c>
      <c r="AL23" s="121">
        <v>0</v>
      </c>
      <c r="AM23" s="121">
        <v>0</v>
      </c>
      <c r="AN23" s="121">
        <v>0</v>
      </c>
      <c r="AO23" s="121">
        <v>0</v>
      </c>
      <c r="AP23" s="121">
        <v>0</v>
      </c>
      <c r="AQ23" s="121">
        <v>0</v>
      </c>
      <c r="AR23" s="122">
        <v>0</v>
      </c>
    </row>
    <row r="24" spans="2:44" ht="12" customHeight="1" x14ac:dyDescent="0.3">
      <c r="B24" s="120" t="s">
        <v>34</v>
      </c>
      <c r="C24" s="121" t="s">
        <v>35</v>
      </c>
      <c r="D24" s="121" t="s">
        <v>25</v>
      </c>
      <c r="E24" s="121" t="s">
        <v>25</v>
      </c>
      <c r="F24" s="121" t="s">
        <v>25</v>
      </c>
      <c r="G24" s="121" t="s">
        <v>36</v>
      </c>
      <c r="H24" s="121" t="s">
        <v>78</v>
      </c>
      <c r="I24" s="121" t="s">
        <v>25</v>
      </c>
      <c r="J24" s="121">
        <v>1080.29</v>
      </c>
      <c r="K24" s="121">
        <v>461.06</v>
      </c>
      <c r="L24" s="121">
        <v>2.3810621050216501</v>
      </c>
      <c r="M24" s="121">
        <v>0.20761044993435199</v>
      </c>
      <c r="N24" s="121">
        <v>12.762892271686701</v>
      </c>
      <c r="O24" s="121">
        <v>0</v>
      </c>
      <c r="P24" s="121">
        <v>0</v>
      </c>
      <c r="Q24" s="121">
        <v>112.181764743188</v>
      </c>
      <c r="R24" s="121">
        <v>20.2806310634816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761.18167868836804</v>
      </c>
      <c r="Y24" s="121">
        <v>0</v>
      </c>
      <c r="Z24" s="121">
        <v>0</v>
      </c>
      <c r="AA24" s="121">
        <v>203.04664940183699</v>
      </c>
      <c r="AB24" s="121">
        <v>-40.724518252434201</v>
      </c>
      <c r="AC24" s="121">
        <v>0</v>
      </c>
      <c r="AD24" s="121">
        <v>8.0125427393814199</v>
      </c>
      <c r="AE24" s="121">
        <v>0</v>
      </c>
      <c r="AF24" s="121">
        <v>0.83444614927758698</v>
      </c>
      <c r="AG24" s="121">
        <v>0.12582827757603399</v>
      </c>
      <c r="AH24" s="121">
        <v>5.0923744514318701</v>
      </c>
      <c r="AI24" s="121">
        <v>0</v>
      </c>
      <c r="AJ24" s="121">
        <v>3.09002410944196</v>
      </c>
      <c r="AK24" s="121">
        <v>0</v>
      </c>
      <c r="AL24" s="121">
        <v>0</v>
      </c>
      <c r="AM24" s="121">
        <v>471.71289753147198</v>
      </c>
      <c r="AN24" s="121">
        <v>0</v>
      </c>
      <c r="AO24" s="121">
        <v>0</v>
      </c>
      <c r="AP24" s="121">
        <v>0</v>
      </c>
      <c r="AQ24" s="121">
        <v>-18.835009395888701</v>
      </c>
      <c r="AR24" s="122">
        <v>0</v>
      </c>
    </row>
    <row r="25" spans="2:44" ht="12" customHeight="1" x14ac:dyDescent="0.3">
      <c r="B25" s="120" t="s">
        <v>34</v>
      </c>
      <c r="C25" s="121" t="s">
        <v>35</v>
      </c>
      <c r="D25" s="121" t="s">
        <v>25</v>
      </c>
      <c r="E25" s="121" t="s">
        <v>25</v>
      </c>
      <c r="F25" s="121" t="s">
        <v>25</v>
      </c>
      <c r="G25" s="121" t="s">
        <v>25</v>
      </c>
      <c r="H25" s="121" t="s">
        <v>81</v>
      </c>
      <c r="I25" s="121" t="s">
        <v>25</v>
      </c>
      <c r="J25" s="121">
        <v>23.64</v>
      </c>
      <c r="K25" s="121">
        <v>0</v>
      </c>
      <c r="L25" s="121">
        <v>0</v>
      </c>
      <c r="M25" s="121">
        <v>0</v>
      </c>
      <c r="N25" s="121">
        <v>0</v>
      </c>
      <c r="O25" s="121">
        <v>0</v>
      </c>
      <c r="P25" s="121">
        <v>0</v>
      </c>
      <c r="Q25" s="121">
        <v>0</v>
      </c>
      <c r="R25" s="121">
        <v>0</v>
      </c>
      <c r="S25" s="121">
        <v>0</v>
      </c>
      <c r="T25" s="121">
        <v>0</v>
      </c>
      <c r="U25" s="121">
        <v>0</v>
      </c>
      <c r="V25" s="121">
        <v>0</v>
      </c>
      <c r="W25" s="121">
        <v>0</v>
      </c>
      <c r="X25" s="121">
        <v>16.121871844506899</v>
      </c>
      <c r="Y25" s="121">
        <v>0</v>
      </c>
      <c r="Z25" s="121">
        <v>0</v>
      </c>
      <c r="AA25" s="121">
        <v>8.4427008313856593</v>
      </c>
      <c r="AB25" s="121">
        <v>-0.92068565249466305</v>
      </c>
      <c r="AC25" s="121">
        <v>0</v>
      </c>
      <c r="AD25" s="121">
        <v>0</v>
      </c>
      <c r="AE25" s="121">
        <v>0</v>
      </c>
      <c r="AF25" s="121">
        <v>0</v>
      </c>
      <c r="AG25" s="121">
        <v>0</v>
      </c>
      <c r="AH25" s="121">
        <v>0</v>
      </c>
      <c r="AI25" s="121">
        <v>0</v>
      </c>
      <c r="AJ25" s="121">
        <v>0</v>
      </c>
      <c r="AK25" s="121">
        <v>0</v>
      </c>
      <c r="AL25" s="121">
        <v>0</v>
      </c>
      <c r="AM25" s="121">
        <v>0</v>
      </c>
      <c r="AN25" s="121">
        <v>0</v>
      </c>
      <c r="AO25" s="121">
        <v>0</v>
      </c>
      <c r="AP25" s="121">
        <v>0</v>
      </c>
      <c r="AQ25" s="121">
        <v>0</v>
      </c>
      <c r="AR25" s="122">
        <v>0</v>
      </c>
    </row>
    <row r="26" spans="2:44" ht="12" customHeight="1" x14ac:dyDescent="0.3">
      <c r="B26" s="120" t="s">
        <v>34</v>
      </c>
      <c r="C26" s="121" t="s">
        <v>35</v>
      </c>
      <c r="D26" s="121" t="s">
        <v>25</v>
      </c>
      <c r="E26" s="121" t="s">
        <v>25</v>
      </c>
      <c r="F26" s="121" t="s">
        <v>25</v>
      </c>
      <c r="G26" s="121" t="s">
        <v>37</v>
      </c>
      <c r="H26" s="121" t="s">
        <v>78</v>
      </c>
      <c r="I26" s="121" t="s">
        <v>25</v>
      </c>
      <c r="J26" s="121">
        <v>139.99</v>
      </c>
      <c r="K26" s="121">
        <v>271.36</v>
      </c>
      <c r="L26" s="121">
        <v>2.3810621050216501</v>
      </c>
      <c r="M26" s="121">
        <v>0.20761044993435199</v>
      </c>
      <c r="N26" s="121">
        <v>0.41843652022731298</v>
      </c>
      <c r="O26" s="121">
        <v>0</v>
      </c>
      <c r="P26" s="121">
        <v>0</v>
      </c>
      <c r="Q26" s="121">
        <v>112.181764743188</v>
      </c>
      <c r="R26" s="121">
        <v>20.2806310634816</v>
      </c>
      <c r="S26" s="121">
        <v>0</v>
      </c>
      <c r="T26" s="121">
        <v>0</v>
      </c>
      <c r="U26" s="121">
        <v>0</v>
      </c>
      <c r="V26" s="121">
        <v>0</v>
      </c>
      <c r="W26" s="121">
        <v>0</v>
      </c>
      <c r="X26" s="121">
        <v>0</v>
      </c>
      <c r="Y26" s="121">
        <v>0</v>
      </c>
      <c r="Z26" s="121">
        <v>0</v>
      </c>
      <c r="AA26" s="121">
        <v>0</v>
      </c>
      <c r="AB26" s="121">
        <v>-4.4526426292077304</v>
      </c>
      <c r="AC26" s="121">
        <v>0</v>
      </c>
      <c r="AD26" s="121">
        <v>8.0125427393814199</v>
      </c>
      <c r="AE26" s="121">
        <v>0</v>
      </c>
      <c r="AF26" s="121">
        <v>0.83444614927758698</v>
      </c>
      <c r="AG26" s="121">
        <v>0.12582827757603399</v>
      </c>
      <c r="AH26" s="121">
        <v>5.0923744514318701</v>
      </c>
      <c r="AI26" s="121">
        <v>0</v>
      </c>
      <c r="AJ26" s="121">
        <v>3.09002410944196</v>
      </c>
      <c r="AK26" s="121">
        <v>0</v>
      </c>
      <c r="AL26" s="121">
        <v>0</v>
      </c>
      <c r="AM26" s="121">
        <v>274.25168461132102</v>
      </c>
      <c r="AN26" s="121">
        <v>0</v>
      </c>
      <c r="AO26" s="121">
        <v>0</v>
      </c>
      <c r="AP26" s="121">
        <v>0</v>
      </c>
      <c r="AQ26" s="121">
        <v>-11.078916475296801</v>
      </c>
      <c r="AR26" s="122">
        <v>0</v>
      </c>
    </row>
    <row r="27" spans="2:44" ht="12" customHeight="1" x14ac:dyDescent="0.3">
      <c r="B27" s="120" t="s">
        <v>86</v>
      </c>
      <c r="C27" s="121" t="s">
        <v>57</v>
      </c>
      <c r="D27" s="121" t="s">
        <v>25</v>
      </c>
      <c r="E27" s="121" t="s">
        <v>25</v>
      </c>
      <c r="F27" s="121" t="s">
        <v>87</v>
      </c>
      <c r="G27" s="121" t="s">
        <v>25</v>
      </c>
      <c r="H27" s="121" t="s">
        <v>81</v>
      </c>
      <c r="I27" s="121" t="s">
        <v>25</v>
      </c>
      <c r="J27" s="121">
        <v>10.35</v>
      </c>
      <c r="K27" s="121">
        <v>0</v>
      </c>
      <c r="L27" s="121">
        <v>0</v>
      </c>
      <c r="M27" s="121">
        <v>3.9306915535183999E-2</v>
      </c>
      <c r="N27" s="121">
        <v>0.19009545489440699</v>
      </c>
      <c r="O27" s="121">
        <v>0</v>
      </c>
      <c r="P27" s="121">
        <v>0</v>
      </c>
      <c r="Q27" s="121">
        <v>0</v>
      </c>
      <c r="R27" s="121">
        <v>0</v>
      </c>
      <c r="S27" s="121">
        <v>0</v>
      </c>
      <c r="T27" s="121">
        <v>0</v>
      </c>
      <c r="U27" s="121">
        <v>0</v>
      </c>
      <c r="V27" s="121">
        <v>0</v>
      </c>
      <c r="W27" s="121">
        <v>0</v>
      </c>
      <c r="X27" s="121">
        <v>0</v>
      </c>
      <c r="Y27" s="121">
        <v>0</v>
      </c>
      <c r="Z27" s="121">
        <v>0</v>
      </c>
      <c r="AA27" s="121">
        <v>10.5471808359238</v>
      </c>
      <c r="AB27" s="121">
        <v>-0.423283856131419</v>
      </c>
      <c r="AC27" s="121">
        <v>0</v>
      </c>
      <c r="AD27" s="121">
        <v>0</v>
      </c>
      <c r="AE27" s="121">
        <v>0</v>
      </c>
      <c r="AF27" s="121">
        <v>0</v>
      </c>
      <c r="AG27" s="121">
        <v>0</v>
      </c>
      <c r="AH27" s="121">
        <v>0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0</v>
      </c>
      <c r="AO27" s="121">
        <v>0</v>
      </c>
      <c r="AP27" s="121">
        <v>0</v>
      </c>
      <c r="AQ27" s="121">
        <v>0</v>
      </c>
      <c r="AR27" s="122">
        <v>0</v>
      </c>
    </row>
    <row r="28" spans="2:44" ht="12" customHeight="1" x14ac:dyDescent="0.3">
      <c r="B28" s="120" t="s">
        <v>86</v>
      </c>
      <c r="C28" s="121" t="s">
        <v>57</v>
      </c>
      <c r="D28" s="121" t="s">
        <v>25</v>
      </c>
      <c r="E28" s="121" t="s">
        <v>25</v>
      </c>
      <c r="F28" s="121" t="s">
        <v>88</v>
      </c>
      <c r="G28" s="121" t="s">
        <v>25</v>
      </c>
      <c r="H28" s="121" t="s">
        <v>81</v>
      </c>
      <c r="I28" s="121" t="s">
        <v>25</v>
      </c>
      <c r="J28" s="121">
        <v>15.97</v>
      </c>
      <c r="K28" s="121">
        <v>0</v>
      </c>
      <c r="L28" s="121">
        <v>0</v>
      </c>
      <c r="M28" s="121">
        <v>3.9306915535183999E-2</v>
      </c>
      <c r="N28" s="121">
        <v>0.19009545489440699</v>
      </c>
      <c r="O28" s="121">
        <v>0</v>
      </c>
      <c r="P28" s="121">
        <v>0</v>
      </c>
      <c r="Q28" s="121">
        <v>0</v>
      </c>
      <c r="R28" s="121">
        <v>0</v>
      </c>
      <c r="S28" s="121">
        <v>0</v>
      </c>
      <c r="T28" s="121">
        <v>0</v>
      </c>
      <c r="U28" s="121">
        <v>0</v>
      </c>
      <c r="V28" s="121">
        <v>0</v>
      </c>
      <c r="W28" s="121">
        <v>0</v>
      </c>
      <c r="X28" s="121">
        <v>0</v>
      </c>
      <c r="Y28" s="121">
        <v>0</v>
      </c>
      <c r="Z28" s="121">
        <v>0</v>
      </c>
      <c r="AA28" s="121">
        <v>16.392896890350102</v>
      </c>
      <c r="AB28" s="121">
        <v>-0.65292099856924601</v>
      </c>
      <c r="AC28" s="121">
        <v>0</v>
      </c>
      <c r="AD28" s="121">
        <v>0</v>
      </c>
      <c r="AE28" s="121">
        <v>0</v>
      </c>
      <c r="AF28" s="121">
        <v>0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2">
        <v>0</v>
      </c>
    </row>
    <row r="29" spans="2:44" ht="12" customHeight="1" x14ac:dyDescent="0.3">
      <c r="B29" s="120" t="s">
        <v>22</v>
      </c>
      <c r="C29" s="121" t="s">
        <v>38</v>
      </c>
      <c r="D29" s="121" t="s">
        <v>24</v>
      </c>
      <c r="E29" s="121" t="s">
        <v>24</v>
      </c>
      <c r="F29" s="121" t="s">
        <v>25</v>
      </c>
      <c r="G29" s="121" t="s">
        <v>36</v>
      </c>
      <c r="H29" s="121" t="s">
        <v>78</v>
      </c>
      <c r="I29" s="121" t="s">
        <v>25</v>
      </c>
      <c r="J29" s="121">
        <v>1779.67</v>
      </c>
      <c r="K29" s="121">
        <v>461.06</v>
      </c>
      <c r="L29" s="121">
        <v>2.8345977440733998</v>
      </c>
      <c r="M29" s="121">
        <v>0.91979763130923198</v>
      </c>
      <c r="N29" s="121">
        <v>26.910035173815299</v>
      </c>
      <c r="O29" s="121">
        <v>0</v>
      </c>
      <c r="P29" s="121">
        <v>0</v>
      </c>
      <c r="Q29" s="121">
        <v>133.549719932366</v>
      </c>
      <c r="R29" s="121">
        <v>20.2806310634816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553.21625115881398</v>
      </c>
      <c r="Y29" s="121">
        <v>0</v>
      </c>
      <c r="Z29" s="121">
        <v>0</v>
      </c>
      <c r="AA29" s="121">
        <v>1087.8793678121599</v>
      </c>
      <c r="AB29" s="121">
        <v>-69.712700363016296</v>
      </c>
      <c r="AC29" s="121">
        <v>0</v>
      </c>
      <c r="AD29" s="121">
        <v>22.287442168523501</v>
      </c>
      <c r="AE29" s="121">
        <v>0</v>
      </c>
      <c r="AF29" s="121">
        <v>1.3073128724810901</v>
      </c>
      <c r="AG29" s="121">
        <v>0.19713306501526201</v>
      </c>
      <c r="AH29" s="121">
        <v>5.0923744514318701</v>
      </c>
      <c r="AI29" s="121">
        <v>0</v>
      </c>
      <c r="AJ29" s="121">
        <v>3.09002410944196</v>
      </c>
      <c r="AK29" s="121">
        <v>0</v>
      </c>
      <c r="AL29" s="121">
        <v>0</v>
      </c>
      <c r="AM29" s="121">
        <v>471.71289753147198</v>
      </c>
      <c r="AN29" s="121">
        <v>0</v>
      </c>
      <c r="AO29" s="121">
        <v>0</v>
      </c>
      <c r="AP29" s="121">
        <v>0</v>
      </c>
      <c r="AQ29" s="121">
        <v>-18.835009395888701</v>
      </c>
      <c r="AR29" s="122">
        <v>0</v>
      </c>
    </row>
    <row r="30" spans="2:44" ht="12" customHeight="1" x14ac:dyDescent="0.3">
      <c r="B30" s="120" t="s">
        <v>22</v>
      </c>
      <c r="C30" s="121" t="s">
        <v>38</v>
      </c>
      <c r="D30" s="121" t="s">
        <v>24</v>
      </c>
      <c r="E30" s="121" t="s">
        <v>24</v>
      </c>
      <c r="F30" s="121" t="s">
        <v>25</v>
      </c>
      <c r="G30" s="121" t="s">
        <v>39</v>
      </c>
      <c r="H30" s="121" t="s">
        <v>78</v>
      </c>
      <c r="I30" s="121" t="s">
        <v>25</v>
      </c>
      <c r="J30" s="121">
        <v>364.51</v>
      </c>
      <c r="K30" s="121">
        <v>271.36</v>
      </c>
      <c r="L30" s="121">
        <v>2.8345977440733998</v>
      </c>
      <c r="M30" s="121">
        <v>0.91979763130923198</v>
      </c>
      <c r="N30" s="121">
        <v>4.0885831214294699</v>
      </c>
      <c r="O30" s="121">
        <v>0</v>
      </c>
      <c r="P30" s="121">
        <v>0</v>
      </c>
      <c r="Q30" s="121">
        <v>133.549719932366</v>
      </c>
      <c r="R30" s="121">
        <v>20.2806310634816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64.822403449146293</v>
      </c>
      <c r="Y30" s="121">
        <v>0</v>
      </c>
      <c r="Z30" s="121">
        <v>0</v>
      </c>
      <c r="AA30" s="121">
        <v>127.47105865063099</v>
      </c>
      <c r="AB30" s="121">
        <v>-13.244436797598601</v>
      </c>
      <c r="AC30" s="121">
        <v>0</v>
      </c>
      <c r="AD30" s="121">
        <v>22.287442168523501</v>
      </c>
      <c r="AE30" s="121">
        <v>0</v>
      </c>
      <c r="AF30" s="121">
        <v>1.3073128724810901</v>
      </c>
      <c r="AG30" s="121">
        <v>0.19713306501526201</v>
      </c>
      <c r="AH30" s="121">
        <v>5.0923744514318701</v>
      </c>
      <c r="AI30" s="121">
        <v>0</v>
      </c>
      <c r="AJ30" s="121">
        <v>3.09002410944196</v>
      </c>
      <c r="AK30" s="121">
        <v>0</v>
      </c>
      <c r="AL30" s="121">
        <v>0</v>
      </c>
      <c r="AM30" s="121">
        <v>274.25168461132102</v>
      </c>
      <c r="AN30" s="121">
        <v>0</v>
      </c>
      <c r="AO30" s="121">
        <v>0</v>
      </c>
      <c r="AP30" s="121">
        <v>0</v>
      </c>
      <c r="AQ30" s="121">
        <v>-11.078916475296801</v>
      </c>
      <c r="AR30" s="122">
        <v>0</v>
      </c>
    </row>
    <row r="31" spans="2:44" ht="12" customHeight="1" x14ac:dyDescent="0.3">
      <c r="B31" s="120" t="s">
        <v>22</v>
      </c>
      <c r="C31" s="121" t="s">
        <v>38</v>
      </c>
      <c r="D31" s="121" t="s">
        <v>24</v>
      </c>
      <c r="E31" s="121" t="s">
        <v>24</v>
      </c>
      <c r="F31" s="121" t="s">
        <v>25</v>
      </c>
      <c r="G31" s="121" t="s">
        <v>37</v>
      </c>
      <c r="H31" s="121" t="s">
        <v>78</v>
      </c>
      <c r="I31" s="121" t="s">
        <v>25</v>
      </c>
      <c r="J31" s="121">
        <v>232.75</v>
      </c>
      <c r="K31" s="121">
        <v>271.36</v>
      </c>
      <c r="L31" s="121">
        <v>2.8345977440733998</v>
      </c>
      <c r="M31" s="121">
        <v>0.91979763130923198</v>
      </c>
      <c r="N31" s="121">
        <v>1.9637627497907599</v>
      </c>
      <c r="O31" s="121">
        <v>0</v>
      </c>
      <c r="P31" s="121">
        <v>0</v>
      </c>
      <c r="Q31" s="121">
        <v>133.549719932366</v>
      </c>
      <c r="R31" s="121">
        <v>20.2806310634816</v>
      </c>
      <c r="S31" s="121">
        <v>0</v>
      </c>
      <c r="T31" s="121">
        <v>0</v>
      </c>
      <c r="U31" s="121">
        <v>0</v>
      </c>
      <c r="V31" s="121">
        <v>0</v>
      </c>
      <c r="W31" s="121">
        <v>0</v>
      </c>
      <c r="X31" s="121">
        <v>19.349911266818101</v>
      </c>
      <c r="Y31" s="121">
        <v>0</v>
      </c>
      <c r="Z31" s="121">
        <v>0</v>
      </c>
      <c r="AA31" s="121">
        <v>38.0509942820742</v>
      </c>
      <c r="AB31" s="121">
        <v>-7.9868876213635804</v>
      </c>
      <c r="AC31" s="121">
        <v>0</v>
      </c>
      <c r="AD31" s="121">
        <v>22.287442168523501</v>
      </c>
      <c r="AE31" s="121">
        <v>0</v>
      </c>
      <c r="AF31" s="121">
        <v>1.3073128724810901</v>
      </c>
      <c r="AG31" s="121">
        <v>0.19713306501526201</v>
      </c>
      <c r="AH31" s="121">
        <v>5.0923744514318701</v>
      </c>
      <c r="AI31" s="121">
        <v>0</v>
      </c>
      <c r="AJ31" s="121">
        <v>3.09002410944196</v>
      </c>
      <c r="AK31" s="121">
        <v>0</v>
      </c>
      <c r="AL31" s="121">
        <v>0</v>
      </c>
      <c r="AM31" s="121">
        <v>274.25168461132102</v>
      </c>
      <c r="AN31" s="121">
        <v>0</v>
      </c>
      <c r="AO31" s="121">
        <v>0</v>
      </c>
      <c r="AP31" s="121">
        <v>0</v>
      </c>
      <c r="AQ31" s="121">
        <v>-11.078916475296801</v>
      </c>
      <c r="AR31" s="122">
        <v>0</v>
      </c>
    </row>
    <row r="32" spans="2:44" ht="12" customHeight="1" x14ac:dyDescent="0.3">
      <c r="B32" s="120" t="s">
        <v>22</v>
      </c>
      <c r="C32" s="121" t="s">
        <v>23</v>
      </c>
      <c r="D32" s="121" t="s">
        <v>24</v>
      </c>
      <c r="E32" s="121" t="s">
        <v>1261</v>
      </c>
      <c r="F32" s="121" t="s">
        <v>25</v>
      </c>
      <c r="G32" s="121" t="s">
        <v>25</v>
      </c>
      <c r="H32" s="121" t="s">
        <v>78</v>
      </c>
      <c r="I32" s="121" t="s">
        <v>25</v>
      </c>
      <c r="J32" s="121">
        <v>319.83999999999997</v>
      </c>
      <c r="K32" s="121">
        <v>287.16000000000003</v>
      </c>
      <c r="L32" s="121">
        <v>0</v>
      </c>
      <c r="M32" s="121">
        <v>0.91979763130923198</v>
      </c>
      <c r="N32" s="121">
        <v>5.7984707937946203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101.842060783897</v>
      </c>
      <c r="Y32" s="121">
        <v>0</v>
      </c>
      <c r="Z32" s="121">
        <v>0</v>
      </c>
      <c r="AA32" s="121">
        <v>200.26864245107899</v>
      </c>
      <c r="AB32" s="121">
        <v>-12.784731482678501</v>
      </c>
      <c r="AC32" s="121">
        <v>0</v>
      </c>
      <c r="AD32" s="121">
        <v>22.287442168523501</v>
      </c>
      <c r="AE32" s="121">
        <v>0</v>
      </c>
      <c r="AF32" s="121">
        <v>1.3073128724810901</v>
      </c>
      <c r="AG32" s="121">
        <v>0.19713306501526201</v>
      </c>
      <c r="AH32" s="121">
        <v>5.0923744514318701</v>
      </c>
      <c r="AI32" s="121">
        <v>0</v>
      </c>
      <c r="AJ32" s="121">
        <v>3.09002410944196</v>
      </c>
      <c r="AK32" s="121">
        <v>0</v>
      </c>
      <c r="AL32" s="121">
        <v>0</v>
      </c>
      <c r="AM32" s="121">
        <v>290.70678568800002</v>
      </c>
      <c r="AN32" s="121">
        <v>0</v>
      </c>
      <c r="AO32" s="121">
        <v>0</v>
      </c>
      <c r="AP32" s="121">
        <v>0</v>
      </c>
      <c r="AQ32" s="121">
        <v>-11.725257552012801</v>
      </c>
      <c r="AR32" s="122">
        <v>0</v>
      </c>
    </row>
    <row r="33" spans="2:44" ht="12" customHeight="1" x14ac:dyDescent="0.3">
      <c r="B33" s="120" t="s">
        <v>22</v>
      </c>
      <c r="C33" s="121" t="s">
        <v>23</v>
      </c>
      <c r="D33" s="121" t="s">
        <v>24</v>
      </c>
      <c r="E33" s="121" t="s">
        <v>24</v>
      </c>
      <c r="F33" s="121" t="s">
        <v>25</v>
      </c>
      <c r="G33" s="121" t="s">
        <v>25</v>
      </c>
      <c r="H33" s="121" t="s">
        <v>78</v>
      </c>
      <c r="I33" s="121" t="s">
        <v>25</v>
      </c>
      <c r="J33" s="121">
        <v>471.78</v>
      </c>
      <c r="K33" s="121">
        <v>287.16000000000003</v>
      </c>
      <c r="L33" s="121">
        <v>2.8345977440733998</v>
      </c>
      <c r="M33" s="121">
        <v>0.91979763130923198</v>
      </c>
      <c r="N33" s="121">
        <v>5.81841785097137</v>
      </c>
      <c r="O33" s="121">
        <v>0</v>
      </c>
      <c r="P33" s="121">
        <v>0</v>
      </c>
      <c r="Q33" s="121">
        <v>133.549719932366</v>
      </c>
      <c r="R33" s="121">
        <v>20.2806310634816</v>
      </c>
      <c r="S33" s="121">
        <v>0</v>
      </c>
      <c r="T33" s="121">
        <v>0</v>
      </c>
      <c r="U33" s="121">
        <v>0</v>
      </c>
      <c r="V33" s="121">
        <v>0</v>
      </c>
      <c r="W33" s="121">
        <v>0</v>
      </c>
      <c r="X33" s="121">
        <v>101.842060783897</v>
      </c>
      <c r="Y33" s="121">
        <v>0</v>
      </c>
      <c r="Z33" s="121">
        <v>0</v>
      </c>
      <c r="AA33" s="121">
        <v>200.26864245107899</v>
      </c>
      <c r="AB33" s="121">
        <v>-17.524654495650299</v>
      </c>
      <c r="AC33" s="121">
        <v>0</v>
      </c>
      <c r="AD33" s="121">
        <v>22.287442168523501</v>
      </c>
      <c r="AE33" s="121">
        <v>0</v>
      </c>
      <c r="AF33" s="121">
        <v>1.3073128724810901</v>
      </c>
      <c r="AG33" s="121">
        <v>0.19713306501526201</v>
      </c>
      <c r="AH33" s="121">
        <v>5.0923744514318701</v>
      </c>
      <c r="AI33" s="121">
        <v>0</v>
      </c>
      <c r="AJ33" s="121">
        <v>3.09002410944196</v>
      </c>
      <c r="AK33" s="121">
        <v>0</v>
      </c>
      <c r="AL33" s="121">
        <v>0</v>
      </c>
      <c r="AM33" s="121">
        <v>290.70678568800002</v>
      </c>
      <c r="AN33" s="121">
        <v>0</v>
      </c>
      <c r="AO33" s="121">
        <v>0</v>
      </c>
      <c r="AP33" s="121">
        <v>0</v>
      </c>
      <c r="AQ33" s="121">
        <v>-11.725257552012801</v>
      </c>
      <c r="AR33" s="122">
        <v>0</v>
      </c>
    </row>
    <row r="34" spans="2:44" ht="12" customHeight="1" x14ac:dyDescent="0.3">
      <c r="B34" s="120" t="s">
        <v>22</v>
      </c>
      <c r="C34" s="121" t="s">
        <v>92</v>
      </c>
      <c r="D34" s="121" t="s">
        <v>24</v>
      </c>
      <c r="E34" s="121" t="s">
        <v>1261</v>
      </c>
      <c r="F34" s="121" t="s">
        <v>25</v>
      </c>
      <c r="G34" s="121" t="s">
        <v>25</v>
      </c>
      <c r="H34" s="121" t="s">
        <v>78</v>
      </c>
      <c r="I34" s="121" t="s">
        <v>25</v>
      </c>
      <c r="J34" s="121">
        <v>319.83999999999997</v>
      </c>
      <c r="K34" s="121">
        <v>287.16000000000003</v>
      </c>
      <c r="L34" s="121">
        <v>0</v>
      </c>
      <c r="M34" s="121">
        <v>0.91979763130923198</v>
      </c>
      <c r="N34" s="121">
        <v>5.7984707937946203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101.842060783897</v>
      </c>
      <c r="Y34" s="121">
        <v>0</v>
      </c>
      <c r="Z34" s="121">
        <v>0</v>
      </c>
      <c r="AA34" s="121">
        <v>200.26864245107899</v>
      </c>
      <c r="AB34" s="121">
        <v>-12.784731482678501</v>
      </c>
      <c r="AC34" s="121">
        <v>0</v>
      </c>
      <c r="AD34" s="121">
        <v>22.287442168523501</v>
      </c>
      <c r="AE34" s="121">
        <v>0</v>
      </c>
      <c r="AF34" s="121">
        <v>1.3073128724810901</v>
      </c>
      <c r="AG34" s="121">
        <v>0.19713306501526201</v>
      </c>
      <c r="AH34" s="121">
        <v>5.0923744514318701</v>
      </c>
      <c r="AI34" s="121">
        <v>0</v>
      </c>
      <c r="AJ34" s="121">
        <v>3.09002410944196</v>
      </c>
      <c r="AK34" s="121">
        <v>0</v>
      </c>
      <c r="AL34" s="121">
        <v>0</v>
      </c>
      <c r="AM34" s="121">
        <v>290.70678568800002</v>
      </c>
      <c r="AN34" s="121">
        <v>0</v>
      </c>
      <c r="AO34" s="121">
        <v>0</v>
      </c>
      <c r="AP34" s="121">
        <v>0</v>
      </c>
      <c r="AQ34" s="121">
        <v>-11.725257552012801</v>
      </c>
      <c r="AR34" s="122">
        <v>0</v>
      </c>
    </row>
    <row r="35" spans="2:44" ht="12" customHeight="1" x14ac:dyDescent="0.3">
      <c r="B35" s="120" t="s">
        <v>22</v>
      </c>
      <c r="C35" s="121" t="s">
        <v>92</v>
      </c>
      <c r="D35" s="121" t="s">
        <v>24</v>
      </c>
      <c r="E35" s="121" t="s">
        <v>24</v>
      </c>
      <c r="F35" s="121" t="s">
        <v>25</v>
      </c>
      <c r="G35" s="121" t="s">
        <v>25</v>
      </c>
      <c r="H35" s="121" t="s">
        <v>78</v>
      </c>
      <c r="I35" s="121" t="s">
        <v>25</v>
      </c>
      <c r="J35" s="121">
        <v>471.78</v>
      </c>
      <c r="K35" s="121">
        <v>287.16000000000003</v>
      </c>
      <c r="L35" s="121">
        <v>2.8345977440733998</v>
      </c>
      <c r="M35" s="121">
        <v>0.91979763130923198</v>
      </c>
      <c r="N35" s="121">
        <v>5.81841785097137</v>
      </c>
      <c r="O35" s="121">
        <v>0</v>
      </c>
      <c r="P35" s="121">
        <v>0</v>
      </c>
      <c r="Q35" s="121">
        <v>133.549719932366</v>
      </c>
      <c r="R35" s="121">
        <v>20.2806310634816</v>
      </c>
      <c r="S35" s="121">
        <v>0</v>
      </c>
      <c r="T35" s="121">
        <v>0</v>
      </c>
      <c r="U35" s="121">
        <v>0</v>
      </c>
      <c r="V35" s="121">
        <v>0</v>
      </c>
      <c r="W35" s="121">
        <v>0</v>
      </c>
      <c r="X35" s="121">
        <v>101.842060783897</v>
      </c>
      <c r="Y35" s="121">
        <v>0</v>
      </c>
      <c r="Z35" s="121">
        <v>0</v>
      </c>
      <c r="AA35" s="121">
        <v>200.26864245107899</v>
      </c>
      <c r="AB35" s="121">
        <v>-17.524654495650299</v>
      </c>
      <c r="AC35" s="121">
        <v>0</v>
      </c>
      <c r="AD35" s="121">
        <v>22.287442168523501</v>
      </c>
      <c r="AE35" s="121">
        <v>0</v>
      </c>
      <c r="AF35" s="121">
        <v>1.3073128724810901</v>
      </c>
      <c r="AG35" s="121">
        <v>0.19713306501526201</v>
      </c>
      <c r="AH35" s="121">
        <v>5.0923744514318701</v>
      </c>
      <c r="AI35" s="121">
        <v>0</v>
      </c>
      <c r="AJ35" s="121">
        <v>3.09002410944196</v>
      </c>
      <c r="AK35" s="121">
        <v>0</v>
      </c>
      <c r="AL35" s="121">
        <v>0</v>
      </c>
      <c r="AM35" s="121">
        <v>290.70678568800002</v>
      </c>
      <c r="AN35" s="121">
        <v>0</v>
      </c>
      <c r="AO35" s="121">
        <v>0</v>
      </c>
      <c r="AP35" s="121">
        <v>0</v>
      </c>
      <c r="AQ35" s="121">
        <v>-11.725257552012801</v>
      </c>
      <c r="AR35" s="122">
        <v>0</v>
      </c>
    </row>
    <row r="36" spans="2:44" ht="12" customHeight="1" x14ac:dyDescent="0.3">
      <c r="B36" s="120" t="s">
        <v>41</v>
      </c>
      <c r="C36" s="121" t="s">
        <v>38</v>
      </c>
      <c r="D36" s="121" t="s">
        <v>42</v>
      </c>
      <c r="E36" s="121" t="s">
        <v>93</v>
      </c>
      <c r="F36" s="121" t="s">
        <v>25</v>
      </c>
      <c r="G36" s="121" t="s">
        <v>36</v>
      </c>
      <c r="H36" s="121" t="s">
        <v>78</v>
      </c>
      <c r="I36" s="121" t="s">
        <v>25</v>
      </c>
      <c r="J36" s="121">
        <v>1860.82</v>
      </c>
      <c r="K36" s="121">
        <v>433.4</v>
      </c>
      <c r="L36" s="121">
        <v>2.6645218794289902</v>
      </c>
      <c r="M36" s="121">
        <v>0.86460977343067802</v>
      </c>
      <c r="N36" s="121">
        <v>28.326097094570201</v>
      </c>
      <c r="O36" s="121">
        <v>0</v>
      </c>
      <c r="P36" s="121">
        <v>0</v>
      </c>
      <c r="Q36" s="121">
        <v>125.536736736424</v>
      </c>
      <c r="R36" s="121">
        <v>19.063793199672698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584.88150979867203</v>
      </c>
      <c r="Y36" s="121">
        <v>0</v>
      </c>
      <c r="Z36" s="121">
        <v>0</v>
      </c>
      <c r="AA36" s="121">
        <v>1150.1477463118799</v>
      </c>
      <c r="AB36" s="121">
        <v>-73.028863084145101</v>
      </c>
      <c r="AC36" s="121">
        <v>0</v>
      </c>
      <c r="AD36" s="121">
        <v>20.950195638412101</v>
      </c>
      <c r="AE36" s="121">
        <v>0</v>
      </c>
      <c r="AF36" s="121">
        <v>1.2288741001322301</v>
      </c>
      <c r="AG36" s="121">
        <v>0.18530508111434599</v>
      </c>
      <c r="AH36" s="121">
        <v>4.7868319843459597</v>
      </c>
      <c r="AI36" s="121">
        <v>0</v>
      </c>
      <c r="AJ36" s="121">
        <v>2.9046226628754499</v>
      </c>
      <c r="AK36" s="121">
        <v>0</v>
      </c>
      <c r="AL36" s="121">
        <v>0</v>
      </c>
      <c r="AM36" s="121">
        <v>443.41012367958302</v>
      </c>
      <c r="AN36" s="121">
        <v>0</v>
      </c>
      <c r="AO36" s="121">
        <v>0</v>
      </c>
      <c r="AP36" s="121">
        <v>0</v>
      </c>
      <c r="AQ36" s="121">
        <v>-17.704908832135398</v>
      </c>
      <c r="AR36" s="122">
        <v>0</v>
      </c>
    </row>
    <row r="37" spans="2:44" ht="12" customHeight="1" x14ac:dyDescent="0.3">
      <c r="B37" s="120" t="s">
        <v>41</v>
      </c>
      <c r="C37" s="121" t="s">
        <v>38</v>
      </c>
      <c r="D37" s="121" t="s">
        <v>42</v>
      </c>
      <c r="E37" s="121" t="s">
        <v>93</v>
      </c>
      <c r="F37" s="121" t="s">
        <v>25</v>
      </c>
      <c r="G37" s="121" t="s">
        <v>39</v>
      </c>
      <c r="H37" s="121" t="s">
        <v>78</v>
      </c>
      <c r="I37" s="121" t="s">
        <v>25</v>
      </c>
      <c r="J37" s="121">
        <v>637.54</v>
      </c>
      <c r="K37" s="121">
        <v>255.07</v>
      </c>
      <c r="L37" s="121">
        <v>2.6645218794289902</v>
      </c>
      <c r="M37" s="121">
        <v>0.86460977343067802</v>
      </c>
      <c r="N37" s="121">
        <v>8.5988355435000798</v>
      </c>
      <c r="O37" s="121">
        <v>0</v>
      </c>
      <c r="P37" s="121">
        <v>0</v>
      </c>
      <c r="Q37" s="121">
        <v>125.536736736424</v>
      </c>
      <c r="R37" s="121">
        <v>19.063793199672698</v>
      </c>
      <c r="S37" s="121">
        <v>0</v>
      </c>
      <c r="T37" s="121">
        <v>0</v>
      </c>
      <c r="U37" s="121">
        <v>0</v>
      </c>
      <c r="V37" s="121">
        <v>0</v>
      </c>
      <c r="W37" s="121">
        <v>0</v>
      </c>
      <c r="X37" s="121">
        <v>162.70542118181999</v>
      </c>
      <c r="Y37" s="121">
        <v>0</v>
      </c>
      <c r="Z37" s="121">
        <v>0</v>
      </c>
      <c r="AA37" s="121">
        <v>319.95398741277</v>
      </c>
      <c r="AB37" s="121">
        <v>-24.216711198350101</v>
      </c>
      <c r="AC37" s="121">
        <v>0</v>
      </c>
      <c r="AD37" s="121">
        <v>20.950195638412101</v>
      </c>
      <c r="AE37" s="121">
        <v>0</v>
      </c>
      <c r="AF37" s="121">
        <v>1.2288741001322301</v>
      </c>
      <c r="AG37" s="121">
        <v>0.18530508111434599</v>
      </c>
      <c r="AH37" s="121">
        <v>4.7868319843459597</v>
      </c>
      <c r="AI37" s="121">
        <v>0</v>
      </c>
      <c r="AJ37" s="121">
        <v>2.9046226628754499</v>
      </c>
      <c r="AK37" s="121">
        <v>0</v>
      </c>
      <c r="AL37" s="121">
        <v>0</v>
      </c>
      <c r="AM37" s="121">
        <v>257.796583534641</v>
      </c>
      <c r="AN37" s="121">
        <v>0</v>
      </c>
      <c r="AO37" s="121">
        <v>0</v>
      </c>
      <c r="AP37" s="121">
        <v>0</v>
      </c>
      <c r="AQ37" s="121">
        <v>-10.414181486779</v>
      </c>
      <c r="AR37" s="122">
        <v>0</v>
      </c>
    </row>
    <row r="38" spans="2:44" ht="12" customHeight="1" x14ac:dyDescent="0.3">
      <c r="B38" s="120" t="s">
        <v>41</v>
      </c>
      <c r="C38" s="121" t="s">
        <v>38</v>
      </c>
      <c r="D38" s="121" t="s">
        <v>42</v>
      </c>
      <c r="E38" s="121" t="s">
        <v>93</v>
      </c>
      <c r="F38" s="121" t="s">
        <v>25</v>
      </c>
      <c r="G38" s="121" t="s">
        <v>37</v>
      </c>
      <c r="H38" s="121" t="s">
        <v>78</v>
      </c>
      <c r="I38" s="121" t="s">
        <v>25</v>
      </c>
      <c r="J38" s="121">
        <v>243.75</v>
      </c>
      <c r="K38" s="121">
        <v>255.07</v>
      </c>
      <c r="L38" s="121">
        <v>2.6645218794289902</v>
      </c>
      <c r="M38" s="121">
        <v>0.86460977343067802</v>
      </c>
      <c r="N38" s="121">
        <v>2.2485363787303698</v>
      </c>
      <c r="O38" s="121">
        <v>0</v>
      </c>
      <c r="P38" s="121">
        <v>0</v>
      </c>
      <c r="Q38" s="121">
        <v>125.536736736424</v>
      </c>
      <c r="R38" s="121">
        <v>19.063793199672698</v>
      </c>
      <c r="S38" s="121">
        <v>0</v>
      </c>
      <c r="T38" s="121">
        <v>0</v>
      </c>
      <c r="U38" s="121">
        <v>0</v>
      </c>
      <c r="V38" s="121">
        <v>0</v>
      </c>
      <c r="W38" s="121">
        <v>0</v>
      </c>
      <c r="X38" s="121">
        <v>26.804909144612001</v>
      </c>
      <c r="Y38" s="121">
        <v>0</v>
      </c>
      <c r="Z38" s="121">
        <v>0</v>
      </c>
      <c r="AA38" s="121">
        <v>52.7106899799657</v>
      </c>
      <c r="AB38" s="121">
        <v>-8.5038474481542004</v>
      </c>
      <c r="AC38" s="121">
        <v>0</v>
      </c>
      <c r="AD38" s="121">
        <v>20.950195638412101</v>
      </c>
      <c r="AE38" s="121">
        <v>0</v>
      </c>
      <c r="AF38" s="121">
        <v>1.2288741001322301</v>
      </c>
      <c r="AG38" s="121">
        <v>0.18530508111434599</v>
      </c>
      <c r="AH38" s="121">
        <v>4.7868319843459597</v>
      </c>
      <c r="AI38" s="121">
        <v>0</v>
      </c>
      <c r="AJ38" s="121">
        <v>2.9046226628754499</v>
      </c>
      <c r="AK38" s="121">
        <v>0</v>
      </c>
      <c r="AL38" s="121">
        <v>0</v>
      </c>
      <c r="AM38" s="121">
        <v>257.796583534641</v>
      </c>
      <c r="AN38" s="121">
        <v>0</v>
      </c>
      <c r="AO38" s="121">
        <v>0</v>
      </c>
      <c r="AP38" s="121">
        <v>0</v>
      </c>
      <c r="AQ38" s="121">
        <v>-10.414181486779</v>
      </c>
      <c r="AR38" s="122">
        <v>0</v>
      </c>
    </row>
    <row r="39" spans="2:44" ht="12" customHeight="1" x14ac:dyDescent="0.3">
      <c r="B39" s="120" t="s">
        <v>41</v>
      </c>
      <c r="C39" s="121" t="s">
        <v>38</v>
      </c>
      <c r="D39" s="121" t="s">
        <v>42</v>
      </c>
      <c r="E39" s="121" t="s">
        <v>25</v>
      </c>
      <c r="F39" s="121" t="s">
        <v>25</v>
      </c>
      <c r="G39" s="121" t="s">
        <v>36</v>
      </c>
      <c r="H39" s="121" t="s">
        <v>78</v>
      </c>
      <c r="I39" s="121" t="s">
        <v>25</v>
      </c>
      <c r="J39" s="121">
        <v>1860.82</v>
      </c>
      <c r="K39" s="121">
        <v>433.4</v>
      </c>
      <c r="L39" s="121">
        <v>2.6645218794289902</v>
      </c>
      <c r="M39" s="121">
        <v>0.86460977343067802</v>
      </c>
      <c r="N39" s="121">
        <v>28.326097094570201</v>
      </c>
      <c r="O39" s="121">
        <v>0</v>
      </c>
      <c r="P39" s="121">
        <v>0</v>
      </c>
      <c r="Q39" s="121">
        <v>125.536736736424</v>
      </c>
      <c r="R39" s="121">
        <v>19.063793199672698</v>
      </c>
      <c r="S39" s="121">
        <v>0</v>
      </c>
      <c r="T39" s="121">
        <v>0</v>
      </c>
      <c r="U39" s="121">
        <v>0</v>
      </c>
      <c r="V39" s="121">
        <v>0</v>
      </c>
      <c r="W39" s="121">
        <v>0</v>
      </c>
      <c r="X39" s="121">
        <v>584.88150979867203</v>
      </c>
      <c r="Y39" s="121">
        <v>0</v>
      </c>
      <c r="Z39" s="121">
        <v>0</v>
      </c>
      <c r="AA39" s="121">
        <v>1150.1477463118799</v>
      </c>
      <c r="AB39" s="121">
        <v>-73.028863084145101</v>
      </c>
      <c r="AC39" s="121">
        <v>0</v>
      </c>
      <c r="AD39" s="121">
        <v>20.950195638412101</v>
      </c>
      <c r="AE39" s="121">
        <v>0</v>
      </c>
      <c r="AF39" s="121">
        <v>1.2288741001322301</v>
      </c>
      <c r="AG39" s="121">
        <v>0.18530508111434599</v>
      </c>
      <c r="AH39" s="121">
        <v>4.7868319843459597</v>
      </c>
      <c r="AI39" s="121">
        <v>0</v>
      </c>
      <c r="AJ39" s="121">
        <v>2.9046226628754499</v>
      </c>
      <c r="AK39" s="121">
        <v>0</v>
      </c>
      <c r="AL39" s="121">
        <v>0</v>
      </c>
      <c r="AM39" s="121">
        <v>443.41012367958302</v>
      </c>
      <c r="AN39" s="121">
        <v>0</v>
      </c>
      <c r="AO39" s="121">
        <v>0</v>
      </c>
      <c r="AP39" s="121">
        <v>0</v>
      </c>
      <c r="AQ39" s="121">
        <v>-17.704908832135398</v>
      </c>
      <c r="AR39" s="122">
        <v>0</v>
      </c>
    </row>
    <row r="40" spans="2:44" ht="12" customHeight="1" x14ac:dyDescent="0.3">
      <c r="B40" s="120" t="s">
        <v>41</v>
      </c>
      <c r="C40" s="121" t="s">
        <v>38</v>
      </c>
      <c r="D40" s="121" t="s">
        <v>42</v>
      </c>
      <c r="E40" s="121" t="s">
        <v>25</v>
      </c>
      <c r="F40" s="121" t="s">
        <v>25</v>
      </c>
      <c r="G40" s="121" t="s">
        <v>39</v>
      </c>
      <c r="H40" s="121" t="s">
        <v>78</v>
      </c>
      <c r="I40" s="121" t="s">
        <v>25</v>
      </c>
      <c r="J40" s="121">
        <v>637.54</v>
      </c>
      <c r="K40" s="121">
        <v>255.07</v>
      </c>
      <c r="L40" s="121">
        <v>2.6645218794289902</v>
      </c>
      <c r="M40" s="121">
        <v>0.86460977343067802</v>
      </c>
      <c r="N40" s="121">
        <v>8.5988355435000798</v>
      </c>
      <c r="O40" s="121">
        <v>0</v>
      </c>
      <c r="P40" s="121">
        <v>0</v>
      </c>
      <c r="Q40" s="121">
        <v>125.536736736424</v>
      </c>
      <c r="R40" s="121">
        <v>19.063793199672698</v>
      </c>
      <c r="S40" s="121">
        <v>0</v>
      </c>
      <c r="T40" s="121">
        <v>0</v>
      </c>
      <c r="U40" s="121">
        <v>0</v>
      </c>
      <c r="V40" s="121">
        <v>0</v>
      </c>
      <c r="W40" s="121">
        <v>0</v>
      </c>
      <c r="X40" s="121">
        <v>162.70542118181999</v>
      </c>
      <c r="Y40" s="121">
        <v>0</v>
      </c>
      <c r="Z40" s="121">
        <v>0</v>
      </c>
      <c r="AA40" s="121">
        <v>319.95398741277</v>
      </c>
      <c r="AB40" s="121">
        <v>-24.216711198350101</v>
      </c>
      <c r="AC40" s="121">
        <v>0</v>
      </c>
      <c r="AD40" s="121">
        <v>20.950195638412101</v>
      </c>
      <c r="AE40" s="121">
        <v>0</v>
      </c>
      <c r="AF40" s="121">
        <v>1.2288741001322301</v>
      </c>
      <c r="AG40" s="121">
        <v>0.18530508111434599</v>
      </c>
      <c r="AH40" s="121">
        <v>4.7868319843459597</v>
      </c>
      <c r="AI40" s="121">
        <v>0</v>
      </c>
      <c r="AJ40" s="121">
        <v>2.9046226628754499</v>
      </c>
      <c r="AK40" s="121">
        <v>0</v>
      </c>
      <c r="AL40" s="121">
        <v>0</v>
      </c>
      <c r="AM40" s="121">
        <v>257.796583534641</v>
      </c>
      <c r="AN40" s="121">
        <v>0</v>
      </c>
      <c r="AO40" s="121">
        <v>0</v>
      </c>
      <c r="AP40" s="121">
        <v>0</v>
      </c>
      <c r="AQ40" s="121">
        <v>-10.414181486779</v>
      </c>
      <c r="AR40" s="122">
        <v>0</v>
      </c>
    </row>
    <row r="41" spans="2:44" ht="12" customHeight="1" x14ac:dyDescent="0.3">
      <c r="B41" s="120" t="s">
        <v>41</v>
      </c>
      <c r="C41" s="121" t="s">
        <v>38</v>
      </c>
      <c r="D41" s="121" t="s">
        <v>42</v>
      </c>
      <c r="E41" s="121" t="s">
        <v>25</v>
      </c>
      <c r="F41" s="121" t="s">
        <v>25</v>
      </c>
      <c r="G41" s="121" t="s">
        <v>37</v>
      </c>
      <c r="H41" s="121" t="s">
        <v>78</v>
      </c>
      <c r="I41" s="121" t="s">
        <v>25</v>
      </c>
      <c r="J41" s="121">
        <v>243.75</v>
      </c>
      <c r="K41" s="121">
        <v>255.07</v>
      </c>
      <c r="L41" s="121">
        <v>2.6645218794289902</v>
      </c>
      <c r="M41" s="121">
        <v>0.86460977343067802</v>
      </c>
      <c r="N41" s="121">
        <v>2.2485363787303698</v>
      </c>
      <c r="O41" s="121">
        <v>0</v>
      </c>
      <c r="P41" s="121">
        <v>0</v>
      </c>
      <c r="Q41" s="121">
        <v>125.536736736424</v>
      </c>
      <c r="R41" s="121">
        <v>19.063793199672698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26.804909144612001</v>
      </c>
      <c r="Y41" s="121">
        <v>0</v>
      </c>
      <c r="Z41" s="121">
        <v>0</v>
      </c>
      <c r="AA41" s="121">
        <v>52.7106899799657</v>
      </c>
      <c r="AB41" s="121">
        <v>-8.5038474481542004</v>
      </c>
      <c r="AC41" s="121">
        <v>0</v>
      </c>
      <c r="AD41" s="121">
        <v>20.950195638412101</v>
      </c>
      <c r="AE41" s="121">
        <v>0</v>
      </c>
      <c r="AF41" s="121">
        <v>1.2288741001322301</v>
      </c>
      <c r="AG41" s="121">
        <v>0.18530508111434599</v>
      </c>
      <c r="AH41" s="121">
        <v>4.7868319843459597</v>
      </c>
      <c r="AI41" s="121">
        <v>0</v>
      </c>
      <c r="AJ41" s="121">
        <v>2.9046226628754499</v>
      </c>
      <c r="AK41" s="121">
        <v>0</v>
      </c>
      <c r="AL41" s="121">
        <v>0</v>
      </c>
      <c r="AM41" s="121">
        <v>257.796583534641</v>
      </c>
      <c r="AN41" s="121">
        <v>0</v>
      </c>
      <c r="AO41" s="121">
        <v>0</v>
      </c>
      <c r="AP41" s="121">
        <v>0</v>
      </c>
      <c r="AQ41" s="121">
        <v>-10.414181486779</v>
      </c>
      <c r="AR41" s="122">
        <v>0</v>
      </c>
    </row>
    <row r="42" spans="2:44" ht="12" customHeight="1" x14ac:dyDescent="0.3">
      <c r="B42" s="120" t="s">
        <v>41</v>
      </c>
      <c r="C42" s="121" t="s">
        <v>38</v>
      </c>
      <c r="D42" s="121" t="s">
        <v>42</v>
      </c>
      <c r="E42" s="121" t="s">
        <v>94</v>
      </c>
      <c r="F42" s="121" t="s">
        <v>25</v>
      </c>
      <c r="G42" s="121" t="s">
        <v>36</v>
      </c>
      <c r="H42" s="121" t="s">
        <v>78</v>
      </c>
      <c r="I42" s="121" t="s">
        <v>25</v>
      </c>
      <c r="J42" s="121">
        <v>1821.23</v>
      </c>
      <c r="K42" s="121">
        <v>424.18</v>
      </c>
      <c r="L42" s="121">
        <v>2.6078299245475201</v>
      </c>
      <c r="M42" s="121">
        <v>0.84621382080449303</v>
      </c>
      <c r="N42" s="121">
        <v>27.723414177664498</v>
      </c>
      <c r="O42" s="121">
        <v>0</v>
      </c>
      <c r="P42" s="121">
        <v>0</v>
      </c>
      <c r="Q42" s="121">
        <v>122.86574233777699</v>
      </c>
      <c r="R42" s="121">
        <v>18.658180578403101</v>
      </c>
      <c r="S42" s="121">
        <v>0</v>
      </c>
      <c r="T42" s="121">
        <v>0</v>
      </c>
      <c r="U42" s="121">
        <v>0</v>
      </c>
      <c r="V42" s="121">
        <v>0</v>
      </c>
      <c r="W42" s="121">
        <v>0</v>
      </c>
      <c r="X42" s="121">
        <v>572.437222356147</v>
      </c>
      <c r="Y42" s="121">
        <v>0</v>
      </c>
      <c r="Z42" s="121">
        <v>0</v>
      </c>
      <c r="AA42" s="121">
        <v>1125.6765176669501</v>
      </c>
      <c r="AB42" s="121">
        <v>-71.475057486610098</v>
      </c>
      <c r="AC42" s="121">
        <v>0</v>
      </c>
      <c r="AD42" s="121">
        <v>20.504446795041599</v>
      </c>
      <c r="AE42" s="121">
        <v>0</v>
      </c>
      <c r="AF42" s="121">
        <v>1.20272784268261</v>
      </c>
      <c r="AG42" s="121">
        <v>0.181362419814041</v>
      </c>
      <c r="AH42" s="121">
        <v>4.6849844953173196</v>
      </c>
      <c r="AI42" s="121">
        <v>0</v>
      </c>
      <c r="AJ42" s="121">
        <v>2.8428221806866101</v>
      </c>
      <c r="AK42" s="121">
        <v>0</v>
      </c>
      <c r="AL42" s="121">
        <v>0</v>
      </c>
      <c r="AM42" s="121">
        <v>433.97586572895398</v>
      </c>
      <c r="AN42" s="121">
        <v>0</v>
      </c>
      <c r="AO42" s="121">
        <v>0</v>
      </c>
      <c r="AP42" s="121">
        <v>0</v>
      </c>
      <c r="AQ42" s="121">
        <v>-17.3282086442176</v>
      </c>
      <c r="AR42" s="122">
        <v>0</v>
      </c>
    </row>
    <row r="43" spans="2:44" ht="12" customHeight="1" x14ac:dyDescent="0.3">
      <c r="B43" s="120" t="s">
        <v>41</v>
      </c>
      <c r="C43" s="121" t="s">
        <v>38</v>
      </c>
      <c r="D43" s="121" t="s">
        <v>42</v>
      </c>
      <c r="E43" s="121" t="s">
        <v>94</v>
      </c>
      <c r="F43" s="121" t="s">
        <v>25</v>
      </c>
      <c r="G43" s="121" t="s">
        <v>39</v>
      </c>
      <c r="H43" s="121" t="s">
        <v>78</v>
      </c>
      <c r="I43" s="121" t="s">
        <v>25</v>
      </c>
      <c r="J43" s="121">
        <v>623.97</v>
      </c>
      <c r="K43" s="121">
        <v>249.65</v>
      </c>
      <c r="L43" s="121">
        <v>2.6078299245475201</v>
      </c>
      <c r="M43" s="121">
        <v>0.84621382080449303</v>
      </c>
      <c r="N43" s="121">
        <v>8.4158815957660398</v>
      </c>
      <c r="O43" s="121">
        <v>0</v>
      </c>
      <c r="P43" s="121">
        <v>0</v>
      </c>
      <c r="Q43" s="121">
        <v>122.86574233777699</v>
      </c>
      <c r="R43" s="121">
        <v>18.658180578403101</v>
      </c>
      <c r="S43" s="121">
        <v>0</v>
      </c>
      <c r="T43" s="121">
        <v>0</v>
      </c>
      <c r="U43" s="121">
        <v>0</v>
      </c>
      <c r="V43" s="121">
        <v>0</v>
      </c>
      <c r="W43" s="121">
        <v>0</v>
      </c>
      <c r="X43" s="121">
        <v>159.24360370986699</v>
      </c>
      <c r="Y43" s="121">
        <v>0</v>
      </c>
      <c r="Z43" s="121">
        <v>0</v>
      </c>
      <c r="AA43" s="121">
        <v>313.14645576568898</v>
      </c>
      <c r="AB43" s="121">
        <v>-23.701462023917198</v>
      </c>
      <c r="AC43" s="121">
        <v>0</v>
      </c>
      <c r="AD43" s="121">
        <v>20.504446795041599</v>
      </c>
      <c r="AE43" s="121">
        <v>0</v>
      </c>
      <c r="AF43" s="121">
        <v>1.20272784268261</v>
      </c>
      <c r="AG43" s="121">
        <v>0.181362419814041</v>
      </c>
      <c r="AH43" s="121">
        <v>4.6849844953173196</v>
      </c>
      <c r="AI43" s="121">
        <v>0</v>
      </c>
      <c r="AJ43" s="121">
        <v>2.8428221806866101</v>
      </c>
      <c r="AK43" s="121">
        <v>0</v>
      </c>
      <c r="AL43" s="121">
        <v>0</v>
      </c>
      <c r="AM43" s="121">
        <v>252.31154984241499</v>
      </c>
      <c r="AN43" s="121">
        <v>0</v>
      </c>
      <c r="AO43" s="121">
        <v>0</v>
      </c>
      <c r="AP43" s="121">
        <v>0</v>
      </c>
      <c r="AQ43" s="121">
        <v>-10.1926031572731</v>
      </c>
      <c r="AR43" s="122">
        <v>0</v>
      </c>
    </row>
    <row r="44" spans="2:44" ht="12" customHeight="1" x14ac:dyDescent="0.3">
      <c r="B44" s="120" t="s">
        <v>41</v>
      </c>
      <c r="C44" s="121" t="s">
        <v>38</v>
      </c>
      <c r="D44" s="121" t="s">
        <v>42</v>
      </c>
      <c r="E44" s="121" t="s">
        <v>94</v>
      </c>
      <c r="F44" s="121" t="s">
        <v>25</v>
      </c>
      <c r="G44" s="121" t="s">
        <v>37</v>
      </c>
      <c r="H44" s="121" t="s">
        <v>78</v>
      </c>
      <c r="I44" s="121" t="s">
        <v>25</v>
      </c>
      <c r="J44" s="121">
        <v>238.57</v>
      </c>
      <c r="K44" s="121">
        <v>249.65</v>
      </c>
      <c r="L44" s="121">
        <v>2.6078299245475201</v>
      </c>
      <c r="M44" s="121">
        <v>0.84621382080449303</v>
      </c>
      <c r="N44" s="121">
        <v>2.2006951791829201</v>
      </c>
      <c r="O44" s="121">
        <v>0</v>
      </c>
      <c r="P44" s="121">
        <v>0</v>
      </c>
      <c r="Q44" s="121">
        <v>122.86574233777699</v>
      </c>
      <c r="R44" s="121">
        <v>18.658180578403101</v>
      </c>
      <c r="S44" s="121">
        <v>0</v>
      </c>
      <c r="T44" s="121">
        <v>0</v>
      </c>
      <c r="U44" s="121">
        <v>0</v>
      </c>
      <c r="V44" s="121">
        <v>0</v>
      </c>
      <c r="W44" s="121">
        <v>0</v>
      </c>
      <c r="X44" s="121">
        <v>26.234591928769198</v>
      </c>
      <c r="Y44" s="121">
        <v>0</v>
      </c>
      <c r="Z44" s="121">
        <v>0</v>
      </c>
      <c r="AA44" s="121">
        <v>51.589185937838799</v>
      </c>
      <c r="AB44" s="121">
        <v>-8.3229145237253892</v>
      </c>
      <c r="AC44" s="121">
        <v>0</v>
      </c>
      <c r="AD44" s="121">
        <v>20.504446795041599</v>
      </c>
      <c r="AE44" s="121">
        <v>0</v>
      </c>
      <c r="AF44" s="121">
        <v>1.20272784268261</v>
      </c>
      <c r="AG44" s="121">
        <v>0.181362419814041</v>
      </c>
      <c r="AH44" s="121">
        <v>4.6849844953173196</v>
      </c>
      <c r="AI44" s="121">
        <v>0</v>
      </c>
      <c r="AJ44" s="121">
        <v>2.8428221806866101</v>
      </c>
      <c r="AK44" s="121">
        <v>0</v>
      </c>
      <c r="AL44" s="121">
        <v>0</v>
      </c>
      <c r="AM44" s="121">
        <v>252.31154984241499</v>
      </c>
      <c r="AN44" s="121">
        <v>0</v>
      </c>
      <c r="AO44" s="121">
        <v>0</v>
      </c>
      <c r="AP44" s="121">
        <v>0</v>
      </c>
      <c r="AQ44" s="121">
        <v>-10.1926031572731</v>
      </c>
      <c r="AR44" s="122">
        <v>0</v>
      </c>
    </row>
    <row r="45" spans="2:44" ht="12" customHeight="1" x14ac:dyDescent="0.3">
      <c r="B45" s="120" t="s">
        <v>41</v>
      </c>
      <c r="C45" s="121" t="s">
        <v>23</v>
      </c>
      <c r="D45" s="121" t="s">
        <v>42</v>
      </c>
      <c r="E45" s="121" t="s">
        <v>93</v>
      </c>
      <c r="F45" s="121" t="s">
        <v>25</v>
      </c>
      <c r="G45" s="121" t="s">
        <v>25</v>
      </c>
      <c r="H45" s="121" t="s">
        <v>78</v>
      </c>
      <c r="I45" s="121" t="s">
        <v>25</v>
      </c>
      <c r="J45" s="121">
        <v>443.47</v>
      </c>
      <c r="K45" s="121">
        <v>269.93</v>
      </c>
      <c r="L45" s="121">
        <v>2.6645218794289902</v>
      </c>
      <c r="M45" s="121">
        <v>0.86460977343067802</v>
      </c>
      <c r="N45" s="121">
        <v>5.4693127799130901</v>
      </c>
      <c r="O45" s="121">
        <v>0</v>
      </c>
      <c r="P45" s="121">
        <v>0</v>
      </c>
      <c r="Q45" s="121">
        <v>125.536736736424</v>
      </c>
      <c r="R45" s="121">
        <v>19.063793199672698</v>
      </c>
      <c r="S45" s="121">
        <v>0</v>
      </c>
      <c r="T45" s="121">
        <v>0</v>
      </c>
      <c r="U45" s="121">
        <v>0</v>
      </c>
      <c r="V45" s="121">
        <v>0</v>
      </c>
      <c r="W45" s="121">
        <v>0</v>
      </c>
      <c r="X45" s="121">
        <v>95.731537136862897</v>
      </c>
      <c r="Y45" s="121">
        <v>0</v>
      </c>
      <c r="Z45" s="121">
        <v>0</v>
      </c>
      <c r="AA45" s="121">
        <v>188.25252390401499</v>
      </c>
      <c r="AB45" s="121">
        <v>-16.473175225911302</v>
      </c>
      <c r="AC45" s="121">
        <v>0</v>
      </c>
      <c r="AD45" s="121">
        <v>20.950195638412101</v>
      </c>
      <c r="AE45" s="121">
        <v>0</v>
      </c>
      <c r="AF45" s="121">
        <v>1.2288741001322301</v>
      </c>
      <c r="AG45" s="121">
        <v>0.18530508111434599</v>
      </c>
      <c r="AH45" s="121">
        <v>4.7868319843459597</v>
      </c>
      <c r="AI45" s="121">
        <v>0</v>
      </c>
      <c r="AJ45" s="121">
        <v>2.9046226628754499</v>
      </c>
      <c r="AK45" s="121">
        <v>0</v>
      </c>
      <c r="AL45" s="121">
        <v>0</v>
      </c>
      <c r="AM45" s="121">
        <v>273.26437854672002</v>
      </c>
      <c r="AN45" s="121">
        <v>0</v>
      </c>
      <c r="AO45" s="121">
        <v>0</v>
      </c>
      <c r="AP45" s="121">
        <v>0</v>
      </c>
      <c r="AQ45" s="121">
        <v>-11.021742098892</v>
      </c>
      <c r="AR45" s="122">
        <v>0</v>
      </c>
    </row>
    <row r="46" spans="2:44" ht="12" customHeight="1" x14ac:dyDescent="0.3">
      <c r="B46" s="120" t="s">
        <v>41</v>
      </c>
      <c r="C46" s="121" t="s">
        <v>23</v>
      </c>
      <c r="D46" s="121" t="s">
        <v>42</v>
      </c>
      <c r="E46" s="121" t="s">
        <v>25</v>
      </c>
      <c r="F46" s="121" t="s">
        <v>25</v>
      </c>
      <c r="G46" s="121" t="s">
        <v>25</v>
      </c>
      <c r="H46" s="121" t="s">
        <v>78</v>
      </c>
      <c r="I46" s="121" t="s">
        <v>25</v>
      </c>
      <c r="J46" s="121">
        <v>443.47</v>
      </c>
      <c r="K46" s="121">
        <v>269.93</v>
      </c>
      <c r="L46" s="121">
        <v>2.6645218794289902</v>
      </c>
      <c r="M46" s="121">
        <v>0.86460977343067802</v>
      </c>
      <c r="N46" s="121">
        <v>5.4693127799130901</v>
      </c>
      <c r="O46" s="121">
        <v>0</v>
      </c>
      <c r="P46" s="121">
        <v>0</v>
      </c>
      <c r="Q46" s="121">
        <v>125.536736736424</v>
      </c>
      <c r="R46" s="121">
        <v>19.063793199672698</v>
      </c>
      <c r="S46" s="121">
        <v>0</v>
      </c>
      <c r="T46" s="121">
        <v>0</v>
      </c>
      <c r="U46" s="121">
        <v>0</v>
      </c>
      <c r="V46" s="121">
        <v>0</v>
      </c>
      <c r="W46" s="121">
        <v>0</v>
      </c>
      <c r="X46" s="121">
        <v>95.731537136862897</v>
      </c>
      <c r="Y46" s="121">
        <v>0</v>
      </c>
      <c r="Z46" s="121">
        <v>0</v>
      </c>
      <c r="AA46" s="121">
        <v>188.25252390401499</v>
      </c>
      <c r="AB46" s="121">
        <v>-16.473175225911302</v>
      </c>
      <c r="AC46" s="121">
        <v>0</v>
      </c>
      <c r="AD46" s="121">
        <v>20.950195638412101</v>
      </c>
      <c r="AE46" s="121">
        <v>0</v>
      </c>
      <c r="AF46" s="121">
        <v>1.2288741001322301</v>
      </c>
      <c r="AG46" s="121">
        <v>0.18530508111434599</v>
      </c>
      <c r="AH46" s="121">
        <v>4.7868319843459597</v>
      </c>
      <c r="AI46" s="121">
        <v>0</v>
      </c>
      <c r="AJ46" s="121">
        <v>2.9046226628754499</v>
      </c>
      <c r="AK46" s="121">
        <v>0</v>
      </c>
      <c r="AL46" s="121">
        <v>0</v>
      </c>
      <c r="AM46" s="121">
        <v>273.26437854672002</v>
      </c>
      <c r="AN46" s="121">
        <v>0</v>
      </c>
      <c r="AO46" s="121">
        <v>0</v>
      </c>
      <c r="AP46" s="121">
        <v>0</v>
      </c>
      <c r="AQ46" s="121">
        <v>-11.021742098892</v>
      </c>
      <c r="AR46" s="122">
        <v>0</v>
      </c>
    </row>
    <row r="47" spans="2:44" ht="12" customHeight="1" x14ac:dyDescent="0.3">
      <c r="B47" s="120" t="s">
        <v>41</v>
      </c>
      <c r="C47" s="121" t="s">
        <v>23</v>
      </c>
      <c r="D47" s="121" t="s">
        <v>42</v>
      </c>
      <c r="E47" s="121" t="s">
        <v>94</v>
      </c>
      <c r="F47" s="121" t="s">
        <v>25</v>
      </c>
      <c r="G47" s="121" t="s">
        <v>25</v>
      </c>
      <c r="H47" s="121" t="s">
        <v>78</v>
      </c>
      <c r="I47" s="121" t="s">
        <v>25</v>
      </c>
      <c r="J47" s="121">
        <v>434.04</v>
      </c>
      <c r="K47" s="121">
        <v>264.19</v>
      </c>
      <c r="L47" s="121">
        <v>2.6078299245475201</v>
      </c>
      <c r="M47" s="121">
        <v>0.84621382080449303</v>
      </c>
      <c r="N47" s="121">
        <v>5.3529444228936596</v>
      </c>
      <c r="O47" s="121">
        <v>0</v>
      </c>
      <c r="P47" s="121">
        <v>0</v>
      </c>
      <c r="Q47" s="121">
        <v>122.86574233777699</v>
      </c>
      <c r="R47" s="121">
        <v>18.658180578403101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93.694695921185001</v>
      </c>
      <c r="Y47" s="121">
        <v>0</v>
      </c>
      <c r="Z47" s="121">
        <v>0</v>
      </c>
      <c r="AA47" s="121">
        <v>184.247151054993</v>
      </c>
      <c r="AB47" s="121">
        <v>-16.1226821359983</v>
      </c>
      <c r="AC47" s="121">
        <v>0</v>
      </c>
      <c r="AD47" s="121">
        <v>20.504446795041599</v>
      </c>
      <c r="AE47" s="121">
        <v>0</v>
      </c>
      <c r="AF47" s="121">
        <v>1.20272784268261</v>
      </c>
      <c r="AG47" s="121">
        <v>0.181362419814041</v>
      </c>
      <c r="AH47" s="121">
        <v>4.6849844953173196</v>
      </c>
      <c r="AI47" s="121">
        <v>0</v>
      </c>
      <c r="AJ47" s="121">
        <v>2.8428221806866101</v>
      </c>
      <c r="AK47" s="121">
        <v>0</v>
      </c>
      <c r="AL47" s="121">
        <v>0</v>
      </c>
      <c r="AM47" s="121">
        <v>267.45024283295999</v>
      </c>
      <c r="AN47" s="121">
        <v>0</v>
      </c>
      <c r="AO47" s="121">
        <v>0</v>
      </c>
      <c r="AP47" s="121">
        <v>0</v>
      </c>
      <c r="AQ47" s="121">
        <v>-10.787236947851801</v>
      </c>
      <c r="AR47" s="122">
        <v>0</v>
      </c>
    </row>
    <row r="48" spans="2:44" ht="12" customHeight="1" x14ac:dyDescent="0.3">
      <c r="B48" s="120" t="s">
        <v>41</v>
      </c>
      <c r="C48" s="121" t="s">
        <v>92</v>
      </c>
      <c r="D48" s="121" t="s">
        <v>42</v>
      </c>
      <c r="E48" s="121" t="s">
        <v>93</v>
      </c>
      <c r="F48" s="121" t="s">
        <v>25</v>
      </c>
      <c r="G48" s="121" t="s">
        <v>25</v>
      </c>
      <c r="H48" s="121" t="s">
        <v>78</v>
      </c>
      <c r="I48" s="121" t="s">
        <v>25</v>
      </c>
      <c r="J48" s="121">
        <v>443.47</v>
      </c>
      <c r="K48" s="121">
        <v>269.93</v>
      </c>
      <c r="L48" s="121">
        <v>2.6645218794289902</v>
      </c>
      <c r="M48" s="121">
        <v>0.86460977343067802</v>
      </c>
      <c r="N48" s="121">
        <v>5.4693127799130901</v>
      </c>
      <c r="O48" s="121">
        <v>0</v>
      </c>
      <c r="P48" s="121">
        <v>0</v>
      </c>
      <c r="Q48" s="121">
        <v>125.536736736424</v>
      </c>
      <c r="R48" s="121">
        <v>19.063793199672698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95.731537136862897</v>
      </c>
      <c r="Y48" s="121">
        <v>0</v>
      </c>
      <c r="Z48" s="121">
        <v>0</v>
      </c>
      <c r="AA48" s="121">
        <v>188.25252390401499</v>
      </c>
      <c r="AB48" s="121">
        <v>-16.473175225911302</v>
      </c>
      <c r="AC48" s="121">
        <v>0</v>
      </c>
      <c r="AD48" s="121">
        <v>20.950195638412101</v>
      </c>
      <c r="AE48" s="121">
        <v>0</v>
      </c>
      <c r="AF48" s="121">
        <v>1.2288741001322301</v>
      </c>
      <c r="AG48" s="121">
        <v>0.18530508111434599</v>
      </c>
      <c r="AH48" s="121">
        <v>4.7868319843459597</v>
      </c>
      <c r="AI48" s="121">
        <v>0</v>
      </c>
      <c r="AJ48" s="121">
        <v>2.9046226628754499</v>
      </c>
      <c r="AK48" s="121">
        <v>0</v>
      </c>
      <c r="AL48" s="121">
        <v>0</v>
      </c>
      <c r="AM48" s="121">
        <v>273.26437854672002</v>
      </c>
      <c r="AN48" s="121">
        <v>0</v>
      </c>
      <c r="AO48" s="121">
        <v>0</v>
      </c>
      <c r="AP48" s="121">
        <v>0</v>
      </c>
      <c r="AQ48" s="121">
        <v>-11.021742098892</v>
      </c>
      <c r="AR48" s="122">
        <v>0</v>
      </c>
    </row>
    <row r="49" spans="2:44" ht="12" customHeight="1" x14ac:dyDescent="0.3">
      <c r="B49" s="120" t="s">
        <v>41</v>
      </c>
      <c r="C49" s="121" t="s">
        <v>92</v>
      </c>
      <c r="D49" s="121" t="s">
        <v>42</v>
      </c>
      <c r="E49" s="121" t="s">
        <v>25</v>
      </c>
      <c r="F49" s="121" t="s">
        <v>25</v>
      </c>
      <c r="G49" s="121" t="s">
        <v>25</v>
      </c>
      <c r="H49" s="121" t="s">
        <v>78</v>
      </c>
      <c r="I49" s="121" t="s">
        <v>25</v>
      </c>
      <c r="J49" s="121">
        <v>443.47</v>
      </c>
      <c r="K49" s="121">
        <v>269.93</v>
      </c>
      <c r="L49" s="121">
        <v>2.6645218794289902</v>
      </c>
      <c r="M49" s="121">
        <v>0.86460977343067802</v>
      </c>
      <c r="N49" s="121">
        <v>5.4693127799130901</v>
      </c>
      <c r="O49" s="121">
        <v>0</v>
      </c>
      <c r="P49" s="121">
        <v>0</v>
      </c>
      <c r="Q49" s="121">
        <v>125.536736736424</v>
      </c>
      <c r="R49" s="121">
        <v>19.063793199672698</v>
      </c>
      <c r="S49" s="121">
        <v>0</v>
      </c>
      <c r="T49" s="121">
        <v>0</v>
      </c>
      <c r="U49" s="121">
        <v>0</v>
      </c>
      <c r="V49" s="121">
        <v>0</v>
      </c>
      <c r="W49" s="121">
        <v>0</v>
      </c>
      <c r="X49" s="121">
        <v>95.731537136862897</v>
      </c>
      <c r="Y49" s="121">
        <v>0</v>
      </c>
      <c r="Z49" s="121">
        <v>0</v>
      </c>
      <c r="AA49" s="121">
        <v>188.25252390401499</v>
      </c>
      <c r="AB49" s="121">
        <v>-16.473175225911302</v>
      </c>
      <c r="AC49" s="121">
        <v>0</v>
      </c>
      <c r="AD49" s="121">
        <v>20.950195638412101</v>
      </c>
      <c r="AE49" s="121">
        <v>0</v>
      </c>
      <c r="AF49" s="121">
        <v>1.2288741001322301</v>
      </c>
      <c r="AG49" s="121">
        <v>0.18530508111434599</v>
      </c>
      <c r="AH49" s="121">
        <v>4.7868319843459597</v>
      </c>
      <c r="AI49" s="121">
        <v>0</v>
      </c>
      <c r="AJ49" s="121">
        <v>2.9046226628754499</v>
      </c>
      <c r="AK49" s="121">
        <v>0</v>
      </c>
      <c r="AL49" s="121">
        <v>0</v>
      </c>
      <c r="AM49" s="121">
        <v>273.26437854672002</v>
      </c>
      <c r="AN49" s="121">
        <v>0</v>
      </c>
      <c r="AO49" s="121">
        <v>0</v>
      </c>
      <c r="AP49" s="121">
        <v>0</v>
      </c>
      <c r="AQ49" s="121">
        <v>-11.021742098892</v>
      </c>
      <c r="AR49" s="122">
        <v>0</v>
      </c>
    </row>
    <row r="50" spans="2:44" ht="12" customHeight="1" x14ac:dyDescent="0.3">
      <c r="B50" s="120" t="s">
        <v>41</v>
      </c>
      <c r="C50" s="121" t="s">
        <v>92</v>
      </c>
      <c r="D50" s="121" t="s">
        <v>42</v>
      </c>
      <c r="E50" s="121" t="s">
        <v>94</v>
      </c>
      <c r="F50" s="121" t="s">
        <v>25</v>
      </c>
      <c r="G50" s="121" t="s">
        <v>25</v>
      </c>
      <c r="H50" s="121" t="s">
        <v>78</v>
      </c>
      <c r="I50" s="121" t="s">
        <v>25</v>
      </c>
      <c r="J50" s="121">
        <v>434.04</v>
      </c>
      <c r="K50" s="121">
        <v>264.19</v>
      </c>
      <c r="L50" s="121">
        <v>2.6078299245475201</v>
      </c>
      <c r="M50" s="121">
        <v>0.84621382080449303</v>
      </c>
      <c r="N50" s="121">
        <v>5.3529444228936596</v>
      </c>
      <c r="O50" s="121">
        <v>0</v>
      </c>
      <c r="P50" s="121">
        <v>0</v>
      </c>
      <c r="Q50" s="121">
        <v>122.86574233777699</v>
      </c>
      <c r="R50" s="121">
        <v>18.658180578403101</v>
      </c>
      <c r="S50" s="121">
        <v>0</v>
      </c>
      <c r="T50" s="121">
        <v>0</v>
      </c>
      <c r="U50" s="121">
        <v>0</v>
      </c>
      <c r="V50" s="121">
        <v>0</v>
      </c>
      <c r="W50" s="121">
        <v>0</v>
      </c>
      <c r="X50" s="121">
        <v>93.694695921185001</v>
      </c>
      <c r="Y50" s="121">
        <v>0</v>
      </c>
      <c r="Z50" s="121">
        <v>0</v>
      </c>
      <c r="AA50" s="121">
        <v>184.247151054993</v>
      </c>
      <c r="AB50" s="121">
        <v>-16.1226821359983</v>
      </c>
      <c r="AC50" s="121">
        <v>0</v>
      </c>
      <c r="AD50" s="121">
        <v>20.504446795041599</v>
      </c>
      <c r="AE50" s="121">
        <v>0</v>
      </c>
      <c r="AF50" s="121">
        <v>1.20272784268261</v>
      </c>
      <c r="AG50" s="121">
        <v>0.181362419814041</v>
      </c>
      <c r="AH50" s="121">
        <v>4.6849844953173196</v>
      </c>
      <c r="AI50" s="121">
        <v>0</v>
      </c>
      <c r="AJ50" s="121">
        <v>2.8428221806866101</v>
      </c>
      <c r="AK50" s="121">
        <v>0</v>
      </c>
      <c r="AL50" s="121">
        <v>0</v>
      </c>
      <c r="AM50" s="121">
        <v>267.45024283295999</v>
      </c>
      <c r="AN50" s="121">
        <v>0</v>
      </c>
      <c r="AO50" s="121">
        <v>0</v>
      </c>
      <c r="AP50" s="121">
        <v>0</v>
      </c>
      <c r="AQ50" s="121">
        <v>-10.787236947851801</v>
      </c>
      <c r="AR50" s="122">
        <v>0</v>
      </c>
    </row>
    <row r="51" spans="2:44" ht="12" customHeight="1" x14ac:dyDescent="0.3">
      <c r="B51" s="120" t="s">
        <v>32</v>
      </c>
      <c r="C51" s="121" t="s">
        <v>38</v>
      </c>
      <c r="D51" s="121" t="s">
        <v>25</v>
      </c>
      <c r="E51" s="121" t="s">
        <v>25</v>
      </c>
      <c r="F51" s="121" t="s">
        <v>25</v>
      </c>
      <c r="G51" s="121" t="s">
        <v>36</v>
      </c>
      <c r="H51" s="121" t="s">
        <v>78</v>
      </c>
      <c r="I51" s="121" t="s">
        <v>25</v>
      </c>
      <c r="J51" s="121">
        <v>2351.06</v>
      </c>
      <c r="K51" s="121">
        <v>461.06</v>
      </c>
      <c r="L51" s="121">
        <v>2.8345977440733998</v>
      </c>
      <c r="M51" s="121">
        <v>0.91979763130923198</v>
      </c>
      <c r="N51" s="121">
        <v>36.124562278968199</v>
      </c>
      <c r="O51" s="121">
        <v>0</v>
      </c>
      <c r="P51" s="121">
        <v>0</v>
      </c>
      <c r="Q51" s="121">
        <v>133.549719932366</v>
      </c>
      <c r="R51" s="121">
        <v>20.2806310634816</v>
      </c>
      <c r="S51" s="121">
        <v>0</v>
      </c>
      <c r="T51" s="121">
        <v>0</v>
      </c>
      <c r="U51" s="121">
        <v>0</v>
      </c>
      <c r="V51" s="121">
        <v>0</v>
      </c>
      <c r="W51" s="121">
        <v>0</v>
      </c>
      <c r="X51" s="121">
        <v>750.41305366482504</v>
      </c>
      <c r="Y51" s="121">
        <v>0</v>
      </c>
      <c r="Z51" s="121">
        <v>0</v>
      </c>
      <c r="AA51" s="121">
        <v>1475.65964563643</v>
      </c>
      <c r="AB51" s="121">
        <v>-92.512666499300394</v>
      </c>
      <c r="AC51" s="121">
        <v>0</v>
      </c>
      <c r="AD51" s="121">
        <v>22.287442168523501</v>
      </c>
      <c r="AE51" s="121">
        <v>0</v>
      </c>
      <c r="AF51" s="121">
        <v>1.3073128724810901</v>
      </c>
      <c r="AG51" s="121">
        <v>0.19713306501526201</v>
      </c>
      <c r="AH51" s="121">
        <v>5.0923744514318701</v>
      </c>
      <c r="AI51" s="121">
        <v>0</v>
      </c>
      <c r="AJ51" s="121">
        <v>3.09002410944196</v>
      </c>
      <c r="AK51" s="121">
        <v>0</v>
      </c>
      <c r="AL51" s="121">
        <v>0</v>
      </c>
      <c r="AM51" s="121">
        <v>471.71289753147198</v>
      </c>
      <c r="AN51" s="121">
        <v>0</v>
      </c>
      <c r="AO51" s="121">
        <v>0</v>
      </c>
      <c r="AP51" s="121">
        <v>0</v>
      </c>
      <c r="AQ51" s="121">
        <v>-18.835009395888701</v>
      </c>
      <c r="AR51" s="122">
        <v>0</v>
      </c>
    </row>
    <row r="52" spans="2:44" ht="12" customHeight="1" x14ac:dyDescent="0.3">
      <c r="B52" s="120" t="s">
        <v>32</v>
      </c>
      <c r="C52" s="121" t="s">
        <v>38</v>
      </c>
      <c r="D52" s="121" t="s">
        <v>25</v>
      </c>
      <c r="E52" s="121" t="s">
        <v>25</v>
      </c>
      <c r="F52" s="121" t="s">
        <v>25</v>
      </c>
      <c r="G52" s="121" t="s">
        <v>39</v>
      </c>
      <c r="H52" s="121" t="s">
        <v>78</v>
      </c>
      <c r="I52" s="121" t="s">
        <v>25</v>
      </c>
      <c r="J52" s="121">
        <v>712.22</v>
      </c>
      <c r="K52" s="121">
        <v>271.36</v>
      </c>
      <c r="L52" s="121">
        <v>2.8345977440733998</v>
      </c>
      <c r="M52" s="121">
        <v>0.91979763130923198</v>
      </c>
      <c r="N52" s="121">
        <v>9.6959143273250792</v>
      </c>
      <c r="O52" s="121">
        <v>0</v>
      </c>
      <c r="P52" s="121">
        <v>0</v>
      </c>
      <c r="Q52" s="121">
        <v>133.549719932366</v>
      </c>
      <c r="R52" s="121">
        <v>20.2806310634816</v>
      </c>
      <c r="S52" s="121">
        <v>0</v>
      </c>
      <c r="T52" s="121">
        <v>0</v>
      </c>
      <c r="U52" s="121">
        <v>0</v>
      </c>
      <c r="V52" s="121">
        <v>0</v>
      </c>
      <c r="W52" s="121">
        <v>0</v>
      </c>
      <c r="X52" s="121">
        <v>184.82305861530801</v>
      </c>
      <c r="Y52" s="121">
        <v>0</v>
      </c>
      <c r="Z52" s="121">
        <v>0</v>
      </c>
      <c r="AA52" s="121">
        <v>363.44751947420099</v>
      </c>
      <c r="AB52" s="121">
        <v>-27.118939254086701</v>
      </c>
      <c r="AC52" s="121">
        <v>0</v>
      </c>
      <c r="AD52" s="121">
        <v>22.287442168523501</v>
      </c>
      <c r="AE52" s="121">
        <v>0</v>
      </c>
      <c r="AF52" s="121">
        <v>1.3073128724810901</v>
      </c>
      <c r="AG52" s="121">
        <v>0.19713306501526201</v>
      </c>
      <c r="AH52" s="121">
        <v>5.0923744514318701</v>
      </c>
      <c r="AI52" s="121">
        <v>0</v>
      </c>
      <c r="AJ52" s="121">
        <v>3.09002410944196</v>
      </c>
      <c r="AK52" s="121">
        <v>0</v>
      </c>
      <c r="AL52" s="121">
        <v>0</v>
      </c>
      <c r="AM52" s="121">
        <v>274.25168461132102</v>
      </c>
      <c r="AN52" s="121">
        <v>0</v>
      </c>
      <c r="AO52" s="121">
        <v>0</v>
      </c>
      <c r="AP52" s="121">
        <v>0</v>
      </c>
      <c r="AQ52" s="121">
        <v>-11.078916475296801</v>
      </c>
      <c r="AR52" s="122">
        <v>0</v>
      </c>
    </row>
    <row r="53" spans="2:44" ht="12" customHeight="1" x14ac:dyDescent="0.3">
      <c r="B53" s="120" t="s">
        <v>32</v>
      </c>
      <c r="C53" s="121" t="s">
        <v>38</v>
      </c>
      <c r="D53" s="121" t="s">
        <v>25</v>
      </c>
      <c r="E53" s="121" t="s">
        <v>25</v>
      </c>
      <c r="F53" s="121" t="s">
        <v>25</v>
      </c>
      <c r="G53" s="121" t="s">
        <v>37</v>
      </c>
      <c r="H53" s="121" t="s">
        <v>78</v>
      </c>
      <c r="I53" s="121" t="s">
        <v>25</v>
      </c>
      <c r="J53" s="121">
        <v>330.14</v>
      </c>
      <c r="K53" s="121">
        <v>271.36</v>
      </c>
      <c r="L53" s="121">
        <v>2.8345977440733998</v>
      </c>
      <c r="M53" s="121">
        <v>0.91979763130923198</v>
      </c>
      <c r="N53" s="121">
        <v>3.5341805983760901</v>
      </c>
      <c r="O53" s="121">
        <v>0</v>
      </c>
      <c r="P53" s="121">
        <v>0</v>
      </c>
      <c r="Q53" s="121">
        <v>133.549719932366</v>
      </c>
      <c r="R53" s="121">
        <v>20.2806310634816</v>
      </c>
      <c r="S53" s="121">
        <v>0</v>
      </c>
      <c r="T53" s="121">
        <v>0</v>
      </c>
      <c r="U53" s="121">
        <v>0</v>
      </c>
      <c r="V53" s="121">
        <v>0</v>
      </c>
      <c r="W53" s="121">
        <v>0</v>
      </c>
      <c r="X53" s="121">
        <v>52.957927456059203</v>
      </c>
      <c r="Y53" s="121">
        <v>0</v>
      </c>
      <c r="Z53" s="121">
        <v>0</v>
      </c>
      <c r="AA53" s="121">
        <v>104.13975630440601</v>
      </c>
      <c r="AB53" s="121">
        <v>-11.8726519419581</v>
      </c>
      <c r="AC53" s="121">
        <v>0</v>
      </c>
      <c r="AD53" s="121">
        <v>22.287442168523501</v>
      </c>
      <c r="AE53" s="121">
        <v>0</v>
      </c>
      <c r="AF53" s="121">
        <v>1.3073128724810901</v>
      </c>
      <c r="AG53" s="121">
        <v>0.19713306501526201</v>
      </c>
      <c r="AH53" s="121">
        <v>5.0923744514318701</v>
      </c>
      <c r="AI53" s="121">
        <v>0</v>
      </c>
      <c r="AJ53" s="121">
        <v>3.09002410944196</v>
      </c>
      <c r="AK53" s="121">
        <v>0</v>
      </c>
      <c r="AL53" s="121">
        <v>0</v>
      </c>
      <c r="AM53" s="121">
        <v>274.25168461132102</v>
      </c>
      <c r="AN53" s="121">
        <v>0</v>
      </c>
      <c r="AO53" s="121">
        <v>0</v>
      </c>
      <c r="AP53" s="121">
        <v>0</v>
      </c>
      <c r="AQ53" s="121">
        <v>-11.078916475296801</v>
      </c>
      <c r="AR53" s="122">
        <v>0</v>
      </c>
    </row>
    <row r="54" spans="2:44" ht="12" customHeight="1" x14ac:dyDescent="0.3">
      <c r="B54" s="120" t="s">
        <v>32</v>
      </c>
      <c r="C54" s="121" t="s">
        <v>23</v>
      </c>
      <c r="D54" s="121" t="s">
        <v>25</v>
      </c>
      <c r="E54" s="121" t="s">
        <v>25</v>
      </c>
      <c r="F54" s="121" t="s">
        <v>25</v>
      </c>
      <c r="G54" s="121" t="s">
        <v>25</v>
      </c>
      <c r="H54" s="121" t="s">
        <v>78</v>
      </c>
      <c r="I54" s="121" t="s">
        <v>25</v>
      </c>
      <c r="J54" s="121">
        <v>471.78</v>
      </c>
      <c r="K54" s="121">
        <v>287.16000000000003</v>
      </c>
      <c r="L54" s="121">
        <v>2.8345977440733998</v>
      </c>
      <c r="M54" s="121">
        <v>0.91979763130923198</v>
      </c>
      <c r="N54" s="121">
        <v>5.81841785097137</v>
      </c>
      <c r="O54" s="121">
        <v>0</v>
      </c>
      <c r="P54" s="121">
        <v>0</v>
      </c>
      <c r="Q54" s="121">
        <v>133.549719932366</v>
      </c>
      <c r="R54" s="121">
        <v>20.2806310634816</v>
      </c>
      <c r="S54" s="121">
        <v>0</v>
      </c>
      <c r="T54" s="121">
        <v>0</v>
      </c>
      <c r="U54" s="121">
        <v>0</v>
      </c>
      <c r="V54" s="121">
        <v>0</v>
      </c>
      <c r="W54" s="121">
        <v>0</v>
      </c>
      <c r="X54" s="121">
        <v>101.842060783897</v>
      </c>
      <c r="Y54" s="121">
        <v>0</v>
      </c>
      <c r="Z54" s="121">
        <v>0</v>
      </c>
      <c r="AA54" s="121">
        <v>200.26864245107899</v>
      </c>
      <c r="AB54" s="121">
        <v>-17.524654495650299</v>
      </c>
      <c r="AC54" s="121">
        <v>0</v>
      </c>
      <c r="AD54" s="121">
        <v>22.287442168523501</v>
      </c>
      <c r="AE54" s="121">
        <v>0</v>
      </c>
      <c r="AF54" s="121">
        <v>1.3073128724810901</v>
      </c>
      <c r="AG54" s="121">
        <v>0.19713306501526201</v>
      </c>
      <c r="AH54" s="121">
        <v>5.0923744514318701</v>
      </c>
      <c r="AI54" s="121">
        <v>0</v>
      </c>
      <c r="AJ54" s="121">
        <v>3.09002410944196</v>
      </c>
      <c r="AK54" s="121">
        <v>0</v>
      </c>
      <c r="AL54" s="121">
        <v>0</v>
      </c>
      <c r="AM54" s="121">
        <v>290.70678568800002</v>
      </c>
      <c r="AN54" s="121">
        <v>0</v>
      </c>
      <c r="AO54" s="121">
        <v>0</v>
      </c>
      <c r="AP54" s="121">
        <v>0</v>
      </c>
      <c r="AQ54" s="121">
        <v>-11.725257552012801</v>
      </c>
      <c r="AR54" s="122">
        <v>0</v>
      </c>
    </row>
    <row r="55" spans="2:44" ht="12" customHeight="1" x14ac:dyDescent="0.3">
      <c r="B55" s="120" t="s">
        <v>32</v>
      </c>
      <c r="C55" s="121" t="s">
        <v>92</v>
      </c>
      <c r="D55" s="121" t="s">
        <v>25</v>
      </c>
      <c r="E55" s="121" t="s">
        <v>25</v>
      </c>
      <c r="F55" s="121" t="s">
        <v>25</v>
      </c>
      <c r="G55" s="121" t="s">
        <v>25</v>
      </c>
      <c r="H55" s="121" t="s">
        <v>78</v>
      </c>
      <c r="I55" s="121" t="s">
        <v>25</v>
      </c>
      <c r="J55" s="121">
        <v>471.78</v>
      </c>
      <c r="K55" s="121">
        <v>287.16000000000003</v>
      </c>
      <c r="L55" s="121">
        <v>2.8345977440733998</v>
      </c>
      <c r="M55" s="121">
        <v>0.91979763130923198</v>
      </c>
      <c r="N55" s="121">
        <v>5.81841785097137</v>
      </c>
      <c r="O55" s="121">
        <v>0</v>
      </c>
      <c r="P55" s="121">
        <v>0</v>
      </c>
      <c r="Q55" s="121">
        <v>133.549719932366</v>
      </c>
      <c r="R55" s="121">
        <v>20.2806310634816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101.842060783897</v>
      </c>
      <c r="Y55" s="121">
        <v>0</v>
      </c>
      <c r="Z55" s="121">
        <v>0</v>
      </c>
      <c r="AA55" s="121">
        <v>200.26864245107899</v>
      </c>
      <c r="AB55" s="121">
        <v>-17.524654495650299</v>
      </c>
      <c r="AC55" s="121">
        <v>0</v>
      </c>
      <c r="AD55" s="121">
        <v>22.287442168523501</v>
      </c>
      <c r="AE55" s="121">
        <v>0</v>
      </c>
      <c r="AF55" s="121">
        <v>1.3073128724810901</v>
      </c>
      <c r="AG55" s="121">
        <v>0.19713306501526201</v>
      </c>
      <c r="AH55" s="121">
        <v>5.0923744514318701</v>
      </c>
      <c r="AI55" s="121">
        <v>0</v>
      </c>
      <c r="AJ55" s="121">
        <v>3.09002410944196</v>
      </c>
      <c r="AK55" s="121">
        <v>0</v>
      </c>
      <c r="AL55" s="121">
        <v>0</v>
      </c>
      <c r="AM55" s="121">
        <v>290.70678568800002</v>
      </c>
      <c r="AN55" s="121">
        <v>0</v>
      </c>
      <c r="AO55" s="121">
        <v>0</v>
      </c>
      <c r="AP55" s="121">
        <v>0</v>
      </c>
      <c r="AQ55" s="121">
        <v>-11.725257552012801</v>
      </c>
      <c r="AR55" s="122">
        <v>0</v>
      </c>
    </row>
    <row r="56" spans="2:44" ht="12" customHeight="1" x14ac:dyDescent="0.3">
      <c r="B56" s="120" t="s">
        <v>44</v>
      </c>
      <c r="C56" s="121" t="s">
        <v>23</v>
      </c>
      <c r="D56" s="121" t="s">
        <v>45</v>
      </c>
      <c r="E56" s="121" t="s">
        <v>46</v>
      </c>
      <c r="F56" s="121" t="s">
        <v>25</v>
      </c>
      <c r="G56" s="121" t="s">
        <v>25</v>
      </c>
      <c r="H56" s="121" t="s">
        <v>78</v>
      </c>
      <c r="I56" s="121" t="s">
        <v>25</v>
      </c>
      <c r="J56" s="121">
        <v>259.48</v>
      </c>
      <c r="K56" s="121">
        <v>157.94</v>
      </c>
      <c r="L56" s="121">
        <v>1.55902875924037</v>
      </c>
      <c r="M56" s="121">
        <v>0.50588869722007701</v>
      </c>
      <c r="N56" s="121">
        <v>3.2001298180342599</v>
      </c>
      <c r="O56" s="121">
        <v>0</v>
      </c>
      <c r="P56" s="121">
        <v>0</v>
      </c>
      <c r="Q56" s="121">
        <v>73.452345962801402</v>
      </c>
      <c r="R56" s="121">
        <v>11.1543470849149</v>
      </c>
      <c r="S56" s="121">
        <v>0</v>
      </c>
      <c r="T56" s="121">
        <v>0</v>
      </c>
      <c r="U56" s="121">
        <v>0</v>
      </c>
      <c r="V56" s="121">
        <v>0</v>
      </c>
      <c r="W56" s="121">
        <v>0</v>
      </c>
      <c r="X56" s="121">
        <v>56.013133431143203</v>
      </c>
      <c r="Y56" s="121">
        <v>0</v>
      </c>
      <c r="Z56" s="121">
        <v>0</v>
      </c>
      <c r="AA56" s="121">
        <v>110.147753348094</v>
      </c>
      <c r="AB56" s="121">
        <v>-9.6385599726076592</v>
      </c>
      <c r="AC56" s="121">
        <v>0</v>
      </c>
      <c r="AD56" s="121">
        <v>12.2580931926879</v>
      </c>
      <c r="AE56" s="121">
        <v>0</v>
      </c>
      <c r="AF56" s="121">
        <v>0.71902207986460198</v>
      </c>
      <c r="AG56" s="121">
        <v>0.10842318575839401</v>
      </c>
      <c r="AH56" s="121">
        <v>2.8008059482875298</v>
      </c>
      <c r="AI56" s="121">
        <v>0</v>
      </c>
      <c r="AJ56" s="121">
        <v>1.69951326019308</v>
      </c>
      <c r="AK56" s="121">
        <v>0</v>
      </c>
      <c r="AL56" s="121">
        <v>0</v>
      </c>
      <c r="AM56" s="121">
        <v>159.88873212839999</v>
      </c>
      <c r="AN56" s="121">
        <v>0</v>
      </c>
      <c r="AO56" s="121">
        <v>0</v>
      </c>
      <c r="AP56" s="121">
        <v>0</v>
      </c>
      <c r="AQ56" s="121">
        <v>-6.44889165360705</v>
      </c>
      <c r="AR56" s="122">
        <v>0</v>
      </c>
    </row>
    <row r="57" spans="2:44" ht="12" customHeight="1" x14ac:dyDescent="0.3">
      <c r="B57" s="123" t="s">
        <v>44</v>
      </c>
      <c r="C57" s="124" t="s">
        <v>23</v>
      </c>
      <c r="D57" s="124" t="s">
        <v>45</v>
      </c>
      <c r="E57" s="124" t="s">
        <v>95</v>
      </c>
      <c r="F57" s="124" t="s">
        <v>25</v>
      </c>
      <c r="G57" s="124" t="s">
        <v>25</v>
      </c>
      <c r="H57" s="124" t="s">
        <v>78</v>
      </c>
      <c r="I57" s="124" t="s">
        <v>25</v>
      </c>
      <c r="J57" s="124">
        <v>283.07</v>
      </c>
      <c r="K57" s="124">
        <v>172.3</v>
      </c>
      <c r="L57" s="124">
        <v>1.7007586464440401</v>
      </c>
      <c r="M57" s="124">
        <v>0.55187857878553903</v>
      </c>
      <c r="N57" s="124">
        <v>3.4910507105828201</v>
      </c>
      <c r="O57" s="124">
        <v>0</v>
      </c>
      <c r="P57" s="124">
        <v>0</v>
      </c>
      <c r="Q57" s="124">
        <v>80.129831959419704</v>
      </c>
      <c r="R57" s="124">
        <v>12.168378638089001</v>
      </c>
      <c r="S57" s="124">
        <v>0</v>
      </c>
      <c r="T57" s="124">
        <v>0</v>
      </c>
      <c r="U57" s="124">
        <v>0</v>
      </c>
      <c r="V57" s="124">
        <v>0</v>
      </c>
      <c r="W57" s="124">
        <v>0</v>
      </c>
      <c r="X57" s="124">
        <v>61.105236470337999</v>
      </c>
      <c r="Y57" s="124">
        <v>0</v>
      </c>
      <c r="Z57" s="124">
        <v>0</v>
      </c>
      <c r="AA57" s="124">
        <v>120.16118547064799</v>
      </c>
      <c r="AB57" s="124">
        <v>-10.514792697390201</v>
      </c>
      <c r="AC57" s="124">
        <v>0</v>
      </c>
      <c r="AD57" s="124">
        <v>13.372465301114101</v>
      </c>
      <c r="AE57" s="124">
        <v>0</v>
      </c>
      <c r="AF57" s="124">
        <v>0.78438772348865604</v>
      </c>
      <c r="AG57" s="124">
        <v>0.11827983900915701</v>
      </c>
      <c r="AH57" s="124">
        <v>3.0554246708591202</v>
      </c>
      <c r="AI57" s="124">
        <v>0</v>
      </c>
      <c r="AJ57" s="124">
        <v>1.85401446566518</v>
      </c>
      <c r="AK57" s="124">
        <v>0</v>
      </c>
      <c r="AL57" s="124">
        <v>0</v>
      </c>
      <c r="AM57" s="124">
        <v>174.4240714128</v>
      </c>
      <c r="AN57" s="124">
        <v>0</v>
      </c>
      <c r="AO57" s="124">
        <v>0</v>
      </c>
      <c r="AP57" s="124">
        <v>0</v>
      </c>
      <c r="AQ57" s="124">
        <v>-7.0351545312076897</v>
      </c>
      <c r="AR57" s="125">
        <v>0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9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5CEA5-9EEE-4D59-B26B-4AAEE3CDA16D}">
  <dimension ref="B1:AR57"/>
  <sheetViews>
    <sheetView showGridLines="0" workbookViewId="0">
      <selection activeCell="B4" sqref="B4"/>
    </sheetView>
  </sheetViews>
  <sheetFormatPr defaultRowHeight="14.4" x14ac:dyDescent="0.3"/>
  <cols>
    <col min="2" max="2" width="12.77734375" bestFit="1" customWidth="1"/>
    <col min="3" max="3" width="25.44140625" bestFit="1" customWidth="1"/>
    <col min="4" max="4" width="16.33203125" bestFit="1" customWidth="1"/>
    <col min="5" max="5" width="28.77734375" bestFit="1" customWidth="1"/>
    <col min="6" max="6" width="11.88671875" bestFit="1" customWidth="1"/>
    <col min="7" max="7" width="12.109375" bestFit="1" customWidth="1"/>
    <col min="8" max="8" width="11.109375" bestFit="1" customWidth="1"/>
    <col min="9" max="9" width="13.109375" bestFit="1" customWidth="1"/>
    <col min="10" max="10" width="12.44140625" bestFit="1" customWidth="1"/>
    <col min="11" max="11" width="9.88671875" bestFit="1" customWidth="1"/>
    <col min="12" max="12" width="18.6640625" bestFit="1" customWidth="1"/>
    <col min="13" max="13" width="13.6640625" bestFit="1" customWidth="1"/>
    <col min="14" max="14" width="12.109375" bestFit="1" customWidth="1"/>
    <col min="15" max="15" width="12.44140625" bestFit="1" customWidth="1"/>
    <col min="16" max="17" width="12.109375" bestFit="1" customWidth="1"/>
    <col min="18" max="18" width="16.44140625" bestFit="1" customWidth="1"/>
    <col min="19" max="19" width="10.44140625" bestFit="1" customWidth="1"/>
    <col min="20" max="20" width="11" bestFit="1" customWidth="1"/>
    <col min="21" max="21" width="10.77734375" bestFit="1" customWidth="1"/>
    <col min="22" max="22" width="12" bestFit="1" customWidth="1"/>
    <col min="23" max="23" width="12.21875" bestFit="1" customWidth="1"/>
    <col min="24" max="24" width="13.44140625" bestFit="1" customWidth="1"/>
    <col min="25" max="25" width="11" bestFit="1" customWidth="1"/>
    <col min="26" max="26" width="13.6640625" bestFit="1" customWidth="1"/>
    <col min="27" max="27" width="12.33203125" bestFit="1" customWidth="1"/>
    <col min="28" max="28" width="15.44140625" bestFit="1" customWidth="1"/>
    <col min="29" max="29" width="13.88671875" bestFit="1" customWidth="1"/>
    <col min="30" max="30" width="12" bestFit="1" customWidth="1"/>
    <col min="31" max="31" width="17.109375" bestFit="1" customWidth="1"/>
    <col min="32" max="32" width="12.21875" bestFit="1" customWidth="1"/>
    <col min="33" max="33" width="12" bestFit="1" customWidth="1"/>
    <col min="34" max="34" width="16.109375" bestFit="1" customWidth="1"/>
    <col min="35" max="35" width="14.44140625" bestFit="1" customWidth="1"/>
    <col min="36" max="36" width="12" bestFit="1" customWidth="1"/>
    <col min="37" max="37" width="12.44140625" bestFit="1" customWidth="1"/>
    <col min="38" max="38" width="11.88671875" bestFit="1" customWidth="1"/>
    <col min="39" max="39" width="13.6640625" bestFit="1" customWidth="1"/>
    <col min="40" max="40" width="24.5546875" bestFit="1" customWidth="1"/>
    <col min="41" max="41" width="17.44140625" bestFit="1" customWidth="1"/>
    <col min="42" max="42" width="13.21875" bestFit="1" customWidth="1"/>
    <col min="43" max="43" width="12.77734375" bestFit="1" customWidth="1"/>
    <col min="44" max="44" width="12.21875" bestFit="1" customWidth="1"/>
  </cols>
  <sheetData>
    <row r="1" spans="2:44" ht="12" customHeight="1" x14ac:dyDescent="0.3">
      <c r="L1" s="166" t="s">
        <v>1263</v>
      </c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7"/>
      <c r="AH1" s="166" t="s">
        <v>1264</v>
      </c>
      <c r="AI1" s="166"/>
      <c r="AJ1" s="166"/>
      <c r="AK1" s="166"/>
      <c r="AL1" s="166"/>
      <c r="AM1" s="166"/>
      <c r="AN1" s="166"/>
      <c r="AO1" s="166"/>
      <c r="AP1" s="166"/>
      <c r="AQ1" s="166"/>
      <c r="AR1" s="166"/>
    </row>
    <row r="2" spans="2:44" ht="12" customHeight="1" x14ac:dyDescent="0.3">
      <c r="L2" s="168" t="s">
        <v>488</v>
      </c>
      <c r="M2" s="168"/>
      <c r="N2" s="168"/>
      <c r="O2" s="168"/>
      <c r="P2" s="168"/>
      <c r="Q2" s="168"/>
      <c r="R2" s="168"/>
      <c r="S2" s="169"/>
      <c r="T2" s="168" t="s">
        <v>497</v>
      </c>
      <c r="U2" s="168"/>
      <c r="V2" s="168"/>
      <c r="W2" s="168"/>
      <c r="X2" s="168"/>
      <c r="Y2" s="168"/>
      <c r="Z2" s="169"/>
      <c r="AA2" s="127" t="s">
        <v>505</v>
      </c>
      <c r="AB2" s="168" t="s">
        <v>25</v>
      </c>
      <c r="AC2" s="169"/>
      <c r="AD2" s="168" t="s">
        <v>1262</v>
      </c>
      <c r="AE2" s="168"/>
      <c r="AF2" s="168"/>
      <c r="AG2" s="169"/>
      <c r="AH2" s="168" t="s">
        <v>488</v>
      </c>
      <c r="AI2" s="168"/>
      <c r="AJ2" s="168"/>
      <c r="AK2" s="168"/>
      <c r="AL2" s="169"/>
      <c r="AM2" s="127" t="s">
        <v>519</v>
      </c>
      <c r="AN2" s="168" t="s">
        <v>497</v>
      </c>
      <c r="AO2" s="168"/>
      <c r="AP2" s="168"/>
      <c r="AQ2" s="169"/>
      <c r="AR2" s="126" t="s">
        <v>1262</v>
      </c>
    </row>
    <row r="3" spans="2:44" ht="12" customHeight="1" x14ac:dyDescent="0.3">
      <c r="B3" s="117" t="s">
        <v>68</v>
      </c>
      <c r="C3" s="118" t="s">
        <v>69</v>
      </c>
      <c r="D3" s="118" t="s">
        <v>70</v>
      </c>
      <c r="E3" s="118" t="s">
        <v>71</v>
      </c>
      <c r="F3" s="118" t="s">
        <v>72</v>
      </c>
      <c r="G3" s="118" t="s">
        <v>74</v>
      </c>
      <c r="H3" s="118" t="s">
        <v>75</v>
      </c>
      <c r="I3" s="118" t="s">
        <v>764</v>
      </c>
      <c r="J3" s="118" t="s">
        <v>1226</v>
      </c>
      <c r="K3" s="118" t="s">
        <v>1227</v>
      </c>
      <c r="L3" s="118" t="s">
        <v>1228</v>
      </c>
      <c r="M3" s="118" t="s">
        <v>1229</v>
      </c>
      <c r="N3" s="118" t="s">
        <v>1230</v>
      </c>
      <c r="O3" s="118" t="s">
        <v>1231</v>
      </c>
      <c r="P3" s="118" t="s">
        <v>1232</v>
      </c>
      <c r="Q3" s="118" t="s">
        <v>1233</v>
      </c>
      <c r="R3" s="118" t="s">
        <v>1234</v>
      </c>
      <c r="S3" s="118" t="s">
        <v>1235</v>
      </c>
      <c r="T3" s="118" t="s">
        <v>1236</v>
      </c>
      <c r="U3" s="118" t="s">
        <v>1237</v>
      </c>
      <c r="V3" s="118" t="s">
        <v>1238</v>
      </c>
      <c r="W3" s="118" t="s">
        <v>1239</v>
      </c>
      <c r="X3" s="118" t="s">
        <v>1240</v>
      </c>
      <c r="Y3" s="118" t="s">
        <v>1241</v>
      </c>
      <c r="Z3" s="118" t="s">
        <v>1242</v>
      </c>
      <c r="AA3" s="118" t="s">
        <v>1243</v>
      </c>
      <c r="AB3" s="118" t="s">
        <v>1244</v>
      </c>
      <c r="AC3" s="118" t="s">
        <v>1245</v>
      </c>
      <c r="AD3" s="118" t="s">
        <v>1246</v>
      </c>
      <c r="AE3" s="118" t="s">
        <v>1247</v>
      </c>
      <c r="AF3" s="118" t="s">
        <v>1248</v>
      </c>
      <c r="AG3" s="118" t="s">
        <v>1249</v>
      </c>
      <c r="AH3" s="118" t="s">
        <v>1250</v>
      </c>
      <c r="AI3" s="118" t="s">
        <v>1251</v>
      </c>
      <c r="AJ3" s="118" t="s">
        <v>1252</v>
      </c>
      <c r="AK3" s="118" t="s">
        <v>1253</v>
      </c>
      <c r="AL3" s="118" t="s">
        <v>1254</v>
      </c>
      <c r="AM3" s="118" t="s">
        <v>1255</v>
      </c>
      <c r="AN3" s="118" t="s">
        <v>1256</v>
      </c>
      <c r="AO3" s="118" t="s">
        <v>1257</v>
      </c>
      <c r="AP3" s="118" t="s">
        <v>1258</v>
      </c>
      <c r="AQ3" s="118" t="s">
        <v>1259</v>
      </c>
      <c r="AR3" s="119" t="s">
        <v>1260</v>
      </c>
    </row>
    <row r="4" spans="2:44" ht="12" customHeight="1" x14ac:dyDescent="0.3">
      <c r="B4" s="120" t="s">
        <v>61</v>
      </c>
      <c r="C4" s="121" t="s">
        <v>54</v>
      </c>
      <c r="D4" s="121" t="s">
        <v>25</v>
      </c>
      <c r="E4" s="121" t="s">
        <v>25</v>
      </c>
      <c r="F4" s="121" t="s">
        <v>85</v>
      </c>
      <c r="G4" s="121" t="s">
        <v>36</v>
      </c>
      <c r="H4" s="121" t="s">
        <v>78</v>
      </c>
      <c r="I4" s="121" t="s">
        <v>25</v>
      </c>
      <c r="J4" s="121">
        <v>7.05</v>
      </c>
      <c r="K4" s="121">
        <v>0</v>
      </c>
      <c r="L4" s="121">
        <v>0</v>
      </c>
      <c r="M4" s="121">
        <v>0.11025816414058801</v>
      </c>
      <c r="N4" s="121">
        <v>0.30006835866064502</v>
      </c>
      <c r="O4" s="121">
        <v>0</v>
      </c>
      <c r="P4" s="121">
        <v>0</v>
      </c>
      <c r="Q4" s="121">
        <v>0</v>
      </c>
      <c r="R4" s="121">
        <v>0</v>
      </c>
      <c r="S4" s="121">
        <v>0</v>
      </c>
      <c r="T4" s="121">
        <v>0</v>
      </c>
      <c r="U4" s="121">
        <v>0</v>
      </c>
      <c r="V4" s="121">
        <v>0</v>
      </c>
      <c r="W4" s="121">
        <v>0</v>
      </c>
      <c r="X4" s="121">
        <v>0</v>
      </c>
      <c r="Y4" s="121">
        <v>0</v>
      </c>
      <c r="Z4" s="121">
        <v>0</v>
      </c>
      <c r="AA4" s="121">
        <v>0</v>
      </c>
      <c r="AB4" s="121">
        <v>0</v>
      </c>
      <c r="AC4" s="121">
        <v>0</v>
      </c>
      <c r="AD4" s="121">
        <v>6.0085895061938199</v>
      </c>
      <c r="AE4" s="121">
        <v>0</v>
      </c>
      <c r="AF4" s="121">
        <v>0.54981723418850104</v>
      </c>
      <c r="AG4" s="121">
        <v>7.7055005809454999E-2</v>
      </c>
      <c r="AH4" s="121">
        <v>0</v>
      </c>
      <c r="AI4" s="121">
        <v>0</v>
      </c>
      <c r="AJ4" s="121">
        <v>0</v>
      </c>
      <c r="AK4" s="121">
        <v>0</v>
      </c>
      <c r="AL4" s="121">
        <v>0</v>
      </c>
      <c r="AM4" s="121">
        <v>0</v>
      </c>
      <c r="AN4" s="121">
        <v>0</v>
      </c>
      <c r="AO4" s="121">
        <v>0</v>
      </c>
      <c r="AP4" s="121">
        <v>0</v>
      </c>
      <c r="AQ4" s="121">
        <v>0</v>
      </c>
      <c r="AR4" s="122">
        <v>0</v>
      </c>
    </row>
    <row r="5" spans="2:44" ht="12" customHeight="1" x14ac:dyDescent="0.3">
      <c r="B5" s="120" t="s">
        <v>61</v>
      </c>
      <c r="C5" s="121" t="s">
        <v>54</v>
      </c>
      <c r="D5" s="121" t="s">
        <v>25</v>
      </c>
      <c r="E5" s="121" t="s">
        <v>25</v>
      </c>
      <c r="F5" s="121" t="s">
        <v>85</v>
      </c>
      <c r="G5" s="121" t="s">
        <v>36</v>
      </c>
      <c r="H5" s="121" t="s">
        <v>81</v>
      </c>
      <c r="I5" s="121" t="s">
        <v>25</v>
      </c>
      <c r="J5" s="121">
        <v>28.41</v>
      </c>
      <c r="K5" s="121">
        <v>0</v>
      </c>
      <c r="L5" s="121">
        <v>0</v>
      </c>
      <c r="M5" s="121">
        <v>0</v>
      </c>
      <c r="N5" s="121">
        <v>0</v>
      </c>
      <c r="O5" s="121">
        <v>0</v>
      </c>
      <c r="P5" s="121">
        <v>0</v>
      </c>
      <c r="Q5" s="121">
        <v>0</v>
      </c>
      <c r="R5" s="121">
        <v>0</v>
      </c>
      <c r="S5" s="121">
        <v>0</v>
      </c>
      <c r="T5" s="121">
        <v>0</v>
      </c>
      <c r="U5" s="121">
        <v>0</v>
      </c>
      <c r="V5" s="121">
        <v>0</v>
      </c>
      <c r="W5" s="121">
        <v>0</v>
      </c>
      <c r="X5" s="121">
        <v>22.0767891133045</v>
      </c>
      <c r="Y5" s="121">
        <v>0</v>
      </c>
      <c r="Z5" s="121">
        <v>0</v>
      </c>
      <c r="AA5" s="121">
        <v>6.3317417793861903</v>
      </c>
      <c r="AB5" s="121">
        <v>0</v>
      </c>
      <c r="AC5" s="121">
        <v>0</v>
      </c>
      <c r="AD5" s="121">
        <v>0</v>
      </c>
      <c r="AE5" s="121">
        <v>0</v>
      </c>
      <c r="AF5" s="121">
        <v>0</v>
      </c>
      <c r="AG5" s="121">
        <v>0</v>
      </c>
      <c r="AH5" s="121">
        <v>0</v>
      </c>
      <c r="AI5" s="121">
        <v>0</v>
      </c>
      <c r="AJ5" s="121">
        <v>0</v>
      </c>
      <c r="AK5" s="121">
        <v>0</v>
      </c>
      <c r="AL5" s="121">
        <v>0</v>
      </c>
      <c r="AM5" s="121">
        <v>0</v>
      </c>
      <c r="AN5" s="121">
        <v>0</v>
      </c>
      <c r="AO5" s="121">
        <v>0</v>
      </c>
      <c r="AP5" s="121">
        <v>0</v>
      </c>
      <c r="AQ5" s="121">
        <v>0</v>
      </c>
      <c r="AR5" s="122">
        <v>0</v>
      </c>
    </row>
    <row r="6" spans="2:44" ht="12" customHeight="1" x14ac:dyDescent="0.3">
      <c r="B6" s="120" t="s">
        <v>61</v>
      </c>
      <c r="C6" s="121" t="s">
        <v>54</v>
      </c>
      <c r="D6" s="121" t="s">
        <v>25</v>
      </c>
      <c r="E6" s="121" t="s">
        <v>25</v>
      </c>
      <c r="F6" s="121" t="s">
        <v>85</v>
      </c>
      <c r="G6" s="121" t="s">
        <v>37</v>
      </c>
      <c r="H6" s="121" t="s">
        <v>78</v>
      </c>
      <c r="I6" s="121" t="s">
        <v>25</v>
      </c>
      <c r="J6" s="121">
        <v>7.05</v>
      </c>
      <c r="K6" s="121">
        <v>0</v>
      </c>
      <c r="L6" s="121">
        <v>0</v>
      </c>
      <c r="M6" s="121">
        <v>0.11025816414058801</v>
      </c>
      <c r="N6" s="121">
        <v>0.30006835866064502</v>
      </c>
      <c r="O6" s="121">
        <v>0</v>
      </c>
      <c r="P6" s="121">
        <v>0</v>
      </c>
      <c r="Q6" s="121">
        <v>0</v>
      </c>
      <c r="R6" s="121">
        <v>0</v>
      </c>
      <c r="S6" s="121">
        <v>0</v>
      </c>
      <c r="T6" s="121">
        <v>0</v>
      </c>
      <c r="U6" s="121">
        <v>0</v>
      </c>
      <c r="V6" s="121">
        <v>0</v>
      </c>
      <c r="W6" s="121">
        <v>0</v>
      </c>
      <c r="X6" s="121">
        <v>0</v>
      </c>
      <c r="Y6" s="121">
        <v>0</v>
      </c>
      <c r="Z6" s="121">
        <v>0</v>
      </c>
      <c r="AA6" s="121">
        <v>0</v>
      </c>
      <c r="AB6" s="121">
        <v>0</v>
      </c>
      <c r="AC6" s="121">
        <v>0</v>
      </c>
      <c r="AD6" s="121">
        <v>6.0085895061938199</v>
      </c>
      <c r="AE6" s="121">
        <v>0</v>
      </c>
      <c r="AF6" s="121">
        <v>0.54981723418850104</v>
      </c>
      <c r="AG6" s="121">
        <v>7.7055005809454999E-2</v>
      </c>
      <c r="AH6" s="121">
        <v>0</v>
      </c>
      <c r="AI6" s="121">
        <v>0</v>
      </c>
      <c r="AJ6" s="121">
        <v>0</v>
      </c>
      <c r="AK6" s="121">
        <v>0</v>
      </c>
      <c r="AL6" s="121">
        <v>0</v>
      </c>
      <c r="AM6" s="121">
        <v>0</v>
      </c>
      <c r="AN6" s="121">
        <v>0</v>
      </c>
      <c r="AO6" s="121">
        <v>0</v>
      </c>
      <c r="AP6" s="121">
        <v>0</v>
      </c>
      <c r="AQ6" s="121">
        <v>0</v>
      </c>
      <c r="AR6" s="122">
        <v>0</v>
      </c>
    </row>
    <row r="7" spans="2:44" ht="12" customHeight="1" x14ac:dyDescent="0.3">
      <c r="B7" s="120" t="s">
        <v>61</v>
      </c>
      <c r="C7" s="121" t="s">
        <v>54</v>
      </c>
      <c r="D7" s="121" t="s">
        <v>25</v>
      </c>
      <c r="E7" s="121" t="s">
        <v>25</v>
      </c>
      <c r="F7" s="121" t="s">
        <v>85</v>
      </c>
      <c r="G7" s="121" t="s">
        <v>37</v>
      </c>
      <c r="H7" s="121" t="s">
        <v>81</v>
      </c>
      <c r="I7" s="121" t="s">
        <v>25</v>
      </c>
      <c r="J7" s="121">
        <v>17.579999999999998</v>
      </c>
      <c r="K7" s="121">
        <v>0</v>
      </c>
      <c r="L7" s="121">
        <v>0</v>
      </c>
      <c r="M7" s="121">
        <v>0</v>
      </c>
      <c r="N7" s="121">
        <v>0</v>
      </c>
      <c r="O7" s="121">
        <v>0</v>
      </c>
      <c r="P7" s="121">
        <v>0</v>
      </c>
      <c r="Q7" s="121">
        <v>0</v>
      </c>
      <c r="R7" s="121">
        <v>0</v>
      </c>
      <c r="S7" s="121">
        <v>0</v>
      </c>
      <c r="T7" s="121">
        <v>0</v>
      </c>
      <c r="U7" s="121">
        <v>0</v>
      </c>
      <c r="V7" s="121">
        <v>0</v>
      </c>
      <c r="W7" s="121">
        <v>0</v>
      </c>
      <c r="X7" s="121">
        <v>11.2454288738326</v>
      </c>
      <c r="Y7" s="121">
        <v>0</v>
      </c>
      <c r="Z7" s="121">
        <v>0</v>
      </c>
      <c r="AA7" s="121">
        <v>6.3317417793861903</v>
      </c>
      <c r="AB7" s="121">
        <v>0</v>
      </c>
      <c r="AC7" s="121">
        <v>0</v>
      </c>
      <c r="AD7" s="121">
        <v>0</v>
      </c>
      <c r="AE7" s="121">
        <v>0</v>
      </c>
      <c r="AF7" s="121">
        <v>0</v>
      </c>
      <c r="AG7" s="121">
        <v>0</v>
      </c>
      <c r="AH7" s="121">
        <v>0</v>
      </c>
      <c r="AI7" s="121">
        <v>0</v>
      </c>
      <c r="AJ7" s="121">
        <v>0</v>
      </c>
      <c r="AK7" s="121">
        <v>0</v>
      </c>
      <c r="AL7" s="121">
        <v>0</v>
      </c>
      <c r="AM7" s="121">
        <v>0</v>
      </c>
      <c r="AN7" s="121">
        <v>0</v>
      </c>
      <c r="AO7" s="121">
        <v>0</v>
      </c>
      <c r="AP7" s="121">
        <v>0</v>
      </c>
      <c r="AQ7" s="121">
        <v>0</v>
      </c>
      <c r="AR7" s="122">
        <v>0</v>
      </c>
    </row>
    <row r="8" spans="2:44" ht="12" customHeight="1" x14ac:dyDescent="0.3">
      <c r="B8" s="120" t="s">
        <v>61</v>
      </c>
      <c r="C8" s="121" t="s">
        <v>54</v>
      </c>
      <c r="D8" s="121" t="s">
        <v>25</v>
      </c>
      <c r="E8" s="121" t="s">
        <v>25</v>
      </c>
      <c r="F8" s="121" t="s">
        <v>25</v>
      </c>
      <c r="G8" s="121" t="s">
        <v>36</v>
      </c>
      <c r="H8" s="121" t="s">
        <v>78</v>
      </c>
      <c r="I8" s="121" t="s">
        <v>25</v>
      </c>
      <c r="J8" s="121">
        <v>87.62</v>
      </c>
      <c r="K8" s="121">
        <v>479.45</v>
      </c>
      <c r="L8" s="121">
        <v>1.54898666963394</v>
      </c>
      <c r="M8" s="121">
        <v>0.11025816414058801</v>
      </c>
      <c r="N8" s="121">
        <v>0.32001540726727901</v>
      </c>
      <c r="O8" s="121">
        <v>0</v>
      </c>
      <c r="P8" s="121">
        <v>0</v>
      </c>
      <c r="Q8" s="121">
        <v>63.839643321276597</v>
      </c>
      <c r="R8" s="121">
        <v>15.170627343713999</v>
      </c>
      <c r="S8" s="121">
        <v>0</v>
      </c>
      <c r="T8" s="121">
        <v>0</v>
      </c>
      <c r="U8" s="121">
        <v>0</v>
      </c>
      <c r="V8" s="121">
        <v>0</v>
      </c>
      <c r="W8" s="121">
        <v>0</v>
      </c>
      <c r="X8" s="121">
        <v>0</v>
      </c>
      <c r="Y8" s="121">
        <v>0</v>
      </c>
      <c r="Z8" s="121">
        <v>0</v>
      </c>
      <c r="AA8" s="121">
        <v>0</v>
      </c>
      <c r="AB8" s="121">
        <v>0</v>
      </c>
      <c r="AC8" s="121">
        <v>0</v>
      </c>
      <c r="AD8" s="121">
        <v>6.0085895061938199</v>
      </c>
      <c r="AE8" s="121">
        <v>0</v>
      </c>
      <c r="AF8" s="121">
        <v>0.54981723418850104</v>
      </c>
      <c r="AG8" s="121">
        <v>7.7055005809454999E-2</v>
      </c>
      <c r="AH8" s="121">
        <v>4.7136826712368798</v>
      </c>
      <c r="AI8" s="121">
        <v>0</v>
      </c>
      <c r="AJ8" s="121">
        <v>3.0900227818347101</v>
      </c>
      <c r="AK8" s="121">
        <v>0</v>
      </c>
      <c r="AL8" s="121">
        <v>0</v>
      </c>
      <c r="AM8" s="121">
        <v>471.64688814009702</v>
      </c>
      <c r="AN8" s="121">
        <v>0</v>
      </c>
      <c r="AO8" s="121">
        <v>0</v>
      </c>
      <c r="AP8" s="121">
        <v>0</v>
      </c>
      <c r="AQ8" s="121">
        <v>0</v>
      </c>
      <c r="AR8" s="122">
        <v>0</v>
      </c>
    </row>
    <row r="9" spans="2:44" ht="12" customHeight="1" x14ac:dyDescent="0.3">
      <c r="B9" s="120" t="s">
        <v>61</v>
      </c>
      <c r="C9" s="121" t="s">
        <v>54</v>
      </c>
      <c r="D9" s="121" t="s">
        <v>25</v>
      </c>
      <c r="E9" s="121" t="s">
        <v>25</v>
      </c>
      <c r="F9" s="121" t="s">
        <v>25</v>
      </c>
      <c r="G9" s="121" t="s">
        <v>36</v>
      </c>
      <c r="H9" s="121" t="s">
        <v>81</v>
      </c>
      <c r="I9" s="121" t="s">
        <v>25</v>
      </c>
      <c r="J9" s="121">
        <v>28.41</v>
      </c>
      <c r="K9" s="121">
        <v>0</v>
      </c>
      <c r="L9" s="121">
        <v>0</v>
      </c>
      <c r="M9" s="121">
        <v>0</v>
      </c>
      <c r="N9" s="121">
        <v>0</v>
      </c>
      <c r="O9" s="121">
        <v>0</v>
      </c>
      <c r="P9" s="121">
        <v>0</v>
      </c>
      <c r="Q9" s="121">
        <v>0</v>
      </c>
      <c r="R9" s="121">
        <v>0</v>
      </c>
      <c r="S9" s="121">
        <v>0</v>
      </c>
      <c r="T9" s="121">
        <v>0</v>
      </c>
      <c r="U9" s="121">
        <v>0</v>
      </c>
      <c r="V9" s="121">
        <v>0</v>
      </c>
      <c r="W9" s="121">
        <v>0</v>
      </c>
      <c r="X9" s="121">
        <v>22.0767891133045</v>
      </c>
      <c r="Y9" s="121">
        <v>0</v>
      </c>
      <c r="Z9" s="121">
        <v>0</v>
      </c>
      <c r="AA9" s="121">
        <v>6.3317417793861903</v>
      </c>
      <c r="AB9" s="121">
        <v>0</v>
      </c>
      <c r="AC9" s="121">
        <v>0</v>
      </c>
      <c r="AD9" s="121">
        <v>0</v>
      </c>
      <c r="AE9" s="121">
        <v>0</v>
      </c>
      <c r="AF9" s="121">
        <v>0</v>
      </c>
      <c r="AG9" s="121">
        <v>0</v>
      </c>
      <c r="AH9" s="121">
        <v>0</v>
      </c>
      <c r="AI9" s="121">
        <v>0</v>
      </c>
      <c r="AJ9" s="121">
        <v>0</v>
      </c>
      <c r="AK9" s="121">
        <v>0</v>
      </c>
      <c r="AL9" s="121">
        <v>0</v>
      </c>
      <c r="AM9" s="121">
        <v>0</v>
      </c>
      <c r="AN9" s="121">
        <v>0</v>
      </c>
      <c r="AO9" s="121">
        <v>0</v>
      </c>
      <c r="AP9" s="121">
        <v>0</v>
      </c>
      <c r="AQ9" s="121">
        <v>0</v>
      </c>
      <c r="AR9" s="122">
        <v>0</v>
      </c>
    </row>
    <row r="10" spans="2:44" ht="12" customHeight="1" x14ac:dyDescent="0.3">
      <c r="B10" s="120" t="s">
        <v>61</v>
      </c>
      <c r="C10" s="121" t="s">
        <v>54</v>
      </c>
      <c r="D10" s="121" t="s">
        <v>25</v>
      </c>
      <c r="E10" s="121" t="s">
        <v>25</v>
      </c>
      <c r="F10" s="121" t="s">
        <v>25</v>
      </c>
      <c r="G10" s="121" t="s">
        <v>37</v>
      </c>
      <c r="H10" s="121" t="s">
        <v>78</v>
      </c>
      <c r="I10" s="121" t="s">
        <v>25</v>
      </c>
      <c r="J10" s="121">
        <v>87.62</v>
      </c>
      <c r="K10" s="121">
        <v>282.02</v>
      </c>
      <c r="L10" s="121">
        <v>1.54898666963394</v>
      </c>
      <c r="M10" s="121">
        <v>0.11025816414058801</v>
      </c>
      <c r="N10" s="121">
        <v>0.32001540726727901</v>
      </c>
      <c r="O10" s="121">
        <v>0</v>
      </c>
      <c r="P10" s="121">
        <v>0</v>
      </c>
      <c r="Q10" s="121">
        <v>63.839643321276597</v>
      </c>
      <c r="R10" s="121">
        <v>15.170627343713999</v>
      </c>
      <c r="S10" s="121">
        <v>0</v>
      </c>
      <c r="T10" s="121">
        <v>0</v>
      </c>
      <c r="U10" s="121">
        <v>0</v>
      </c>
      <c r="V10" s="121">
        <v>0</v>
      </c>
      <c r="W10" s="121">
        <v>0</v>
      </c>
      <c r="X10" s="121">
        <v>0</v>
      </c>
      <c r="Y10" s="121">
        <v>0</v>
      </c>
      <c r="Z10" s="121">
        <v>0</v>
      </c>
      <c r="AA10" s="121">
        <v>0</v>
      </c>
      <c r="AB10" s="121">
        <v>0</v>
      </c>
      <c r="AC10" s="121">
        <v>0</v>
      </c>
      <c r="AD10" s="121">
        <v>6.0085895061938199</v>
      </c>
      <c r="AE10" s="121">
        <v>0</v>
      </c>
      <c r="AF10" s="121">
        <v>0.54981723418850104</v>
      </c>
      <c r="AG10" s="121">
        <v>7.7055005809454999E-2</v>
      </c>
      <c r="AH10" s="121">
        <v>4.7136826712368798</v>
      </c>
      <c r="AI10" s="121">
        <v>0</v>
      </c>
      <c r="AJ10" s="121">
        <v>3.0900227818347101</v>
      </c>
      <c r="AK10" s="121">
        <v>0</v>
      </c>
      <c r="AL10" s="121">
        <v>0</v>
      </c>
      <c r="AM10" s="121">
        <v>274.21330705819599</v>
      </c>
      <c r="AN10" s="121">
        <v>0</v>
      </c>
      <c r="AO10" s="121">
        <v>0</v>
      </c>
      <c r="AP10" s="121">
        <v>0</v>
      </c>
      <c r="AQ10" s="121">
        <v>0</v>
      </c>
      <c r="AR10" s="122">
        <v>0</v>
      </c>
    </row>
    <row r="11" spans="2:44" ht="12" customHeight="1" x14ac:dyDescent="0.3">
      <c r="B11" s="120" t="s">
        <v>61</v>
      </c>
      <c r="C11" s="121" t="s">
        <v>54</v>
      </c>
      <c r="D11" s="121" t="s">
        <v>25</v>
      </c>
      <c r="E11" s="121" t="s">
        <v>25</v>
      </c>
      <c r="F11" s="121" t="s">
        <v>25</v>
      </c>
      <c r="G11" s="121" t="s">
        <v>37</v>
      </c>
      <c r="H11" s="121" t="s">
        <v>81</v>
      </c>
      <c r="I11" s="121" t="s">
        <v>25</v>
      </c>
      <c r="J11" s="121">
        <v>17.579999999999998</v>
      </c>
      <c r="K11" s="121">
        <v>0</v>
      </c>
      <c r="L11" s="121">
        <v>0</v>
      </c>
      <c r="M11" s="121">
        <v>0</v>
      </c>
      <c r="N11" s="121">
        <v>0</v>
      </c>
      <c r="O11" s="121">
        <v>0</v>
      </c>
      <c r="P11" s="121">
        <v>0</v>
      </c>
      <c r="Q11" s="121">
        <v>0</v>
      </c>
      <c r="R11" s="121">
        <v>0</v>
      </c>
      <c r="S11" s="121">
        <v>0</v>
      </c>
      <c r="T11" s="121">
        <v>0</v>
      </c>
      <c r="U11" s="121">
        <v>0</v>
      </c>
      <c r="V11" s="121">
        <v>0</v>
      </c>
      <c r="W11" s="121">
        <v>0</v>
      </c>
      <c r="X11" s="121">
        <v>11.2454288738326</v>
      </c>
      <c r="Y11" s="121">
        <v>0</v>
      </c>
      <c r="Z11" s="121">
        <v>0</v>
      </c>
      <c r="AA11" s="121">
        <v>6.3317417793861903</v>
      </c>
      <c r="AB11" s="121">
        <v>0</v>
      </c>
      <c r="AC11" s="121">
        <v>0</v>
      </c>
      <c r="AD11" s="121">
        <v>0</v>
      </c>
      <c r="AE11" s="121">
        <v>0</v>
      </c>
      <c r="AF11" s="121">
        <v>0</v>
      </c>
      <c r="AG11" s="121">
        <v>0</v>
      </c>
      <c r="AH11" s="121">
        <v>0</v>
      </c>
      <c r="AI11" s="121">
        <v>0</v>
      </c>
      <c r="AJ11" s="121">
        <v>0</v>
      </c>
      <c r="AK11" s="121">
        <v>0</v>
      </c>
      <c r="AL11" s="121">
        <v>0</v>
      </c>
      <c r="AM11" s="121">
        <v>0</v>
      </c>
      <c r="AN11" s="121">
        <v>0</v>
      </c>
      <c r="AO11" s="121">
        <v>0</v>
      </c>
      <c r="AP11" s="121">
        <v>0</v>
      </c>
      <c r="AQ11" s="121">
        <v>0</v>
      </c>
      <c r="AR11" s="122">
        <v>0</v>
      </c>
    </row>
    <row r="12" spans="2:44" ht="12" customHeight="1" x14ac:dyDescent="0.3">
      <c r="B12" s="120" t="s">
        <v>34</v>
      </c>
      <c r="C12" s="121" t="s">
        <v>54</v>
      </c>
      <c r="D12" s="121" t="s">
        <v>25</v>
      </c>
      <c r="E12" s="121" t="s">
        <v>25</v>
      </c>
      <c r="F12" s="121" t="s">
        <v>85</v>
      </c>
      <c r="G12" s="121" t="s">
        <v>36</v>
      </c>
      <c r="H12" s="121" t="s">
        <v>78</v>
      </c>
      <c r="I12" s="121" t="s">
        <v>25</v>
      </c>
      <c r="J12" s="121">
        <v>9.56</v>
      </c>
      <c r="K12" s="121">
        <v>0</v>
      </c>
      <c r="L12" s="121">
        <v>0</v>
      </c>
      <c r="M12" s="121">
        <v>0.200511595163855</v>
      </c>
      <c r="N12" s="121">
        <v>0.39848929184235399</v>
      </c>
      <c r="O12" s="121">
        <v>0</v>
      </c>
      <c r="P12" s="121">
        <v>0</v>
      </c>
      <c r="Q12" s="121">
        <v>0</v>
      </c>
      <c r="R12" s="121">
        <v>0</v>
      </c>
      <c r="S12" s="121">
        <v>0</v>
      </c>
      <c r="T12" s="121">
        <v>0</v>
      </c>
      <c r="U12" s="121">
        <v>0</v>
      </c>
      <c r="V12" s="121">
        <v>0</v>
      </c>
      <c r="W12" s="121">
        <v>0</v>
      </c>
      <c r="X12" s="121">
        <v>0</v>
      </c>
      <c r="Y12" s="121">
        <v>0</v>
      </c>
      <c r="Z12" s="121">
        <v>0</v>
      </c>
      <c r="AA12" s="121">
        <v>0</v>
      </c>
      <c r="AB12" s="121">
        <v>0</v>
      </c>
      <c r="AC12" s="121">
        <v>0</v>
      </c>
      <c r="AD12" s="121">
        <v>8.0114215000166293</v>
      </c>
      <c r="AE12" s="121">
        <v>0</v>
      </c>
      <c r="AF12" s="121">
        <v>0.83432938061864903</v>
      </c>
      <c r="AG12" s="121">
        <v>0.11692841052073701</v>
      </c>
      <c r="AH12" s="121">
        <v>0</v>
      </c>
      <c r="AI12" s="121">
        <v>0</v>
      </c>
      <c r="AJ12" s="121">
        <v>0</v>
      </c>
      <c r="AK12" s="121">
        <v>0</v>
      </c>
      <c r="AL12" s="121">
        <v>0</v>
      </c>
      <c r="AM12" s="121">
        <v>0</v>
      </c>
      <c r="AN12" s="121">
        <v>0</v>
      </c>
      <c r="AO12" s="121">
        <v>0</v>
      </c>
      <c r="AP12" s="121">
        <v>0</v>
      </c>
      <c r="AQ12" s="121">
        <v>0</v>
      </c>
      <c r="AR12" s="122">
        <v>0</v>
      </c>
    </row>
    <row r="13" spans="2:44" ht="12" customHeight="1" x14ac:dyDescent="0.3">
      <c r="B13" s="120" t="s">
        <v>34</v>
      </c>
      <c r="C13" s="121" t="s">
        <v>54</v>
      </c>
      <c r="D13" s="121" t="s">
        <v>25</v>
      </c>
      <c r="E13" s="121" t="s">
        <v>25</v>
      </c>
      <c r="F13" s="121" t="s">
        <v>85</v>
      </c>
      <c r="G13" s="121" t="s">
        <v>36</v>
      </c>
      <c r="H13" s="121" t="s">
        <v>81</v>
      </c>
      <c r="I13" s="121" t="s">
        <v>25</v>
      </c>
      <c r="J13" s="121">
        <v>37.880000000000003</v>
      </c>
      <c r="K13" s="121">
        <v>0</v>
      </c>
      <c r="L13" s="121">
        <v>0</v>
      </c>
      <c r="M13" s="121">
        <v>0</v>
      </c>
      <c r="N13" s="121">
        <v>0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29.435718817739399</v>
      </c>
      <c r="Y13" s="121">
        <v>0</v>
      </c>
      <c r="Z13" s="121">
        <v>0</v>
      </c>
      <c r="AA13" s="121">
        <v>8.4423594125913102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2">
        <v>0</v>
      </c>
    </row>
    <row r="14" spans="2:44" ht="12" customHeight="1" x14ac:dyDescent="0.3">
      <c r="B14" s="120" t="s">
        <v>34</v>
      </c>
      <c r="C14" s="121" t="s">
        <v>54</v>
      </c>
      <c r="D14" s="121" t="s">
        <v>25</v>
      </c>
      <c r="E14" s="121" t="s">
        <v>25</v>
      </c>
      <c r="F14" s="121" t="s">
        <v>85</v>
      </c>
      <c r="G14" s="121" t="s">
        <v>37</v>
      </c>
      <c r="H14" s="121" t="s">
        <v>78</v>
      </c>
      <c r="I14" s="121" t="s">
        <v>25</v>
      </c>
      <c r="J14" s="121">
        <v>9.56</v>
      </c>
      <c r="K14" s="121">
        <v>0</v>
      </c>
      <c r="L14" s="121">
        <v>0</v>
      </c>
      <c r="M14" s="121">
        <v>0.200511595163855</v>
      </c>
      <c r="N14" s="121">
        <v>0.39848929184235399</v>
      </c>
      <c r="O14" s="121">
        <v>0</v>
      </c>
      <c r="P14" s="121">
        <v>0</v>
      </c>
      <c r="Q14" s="121">
        <v>0</v>
      </c>
      <c r="R14" s="121">
        <v>0</v>
      </c>
      <c r="S14" s="121">
        <v>0</v>
      </c>
      <c r="T14" s="121">
        <v>0</v>
      </c>
      <c r="U14" s="121">
        <v>0</v>
      </c>
      <c r="V14" s="121">
        <v>0</v>
      </c>
      <c r="W14" s="121">
        <v>0</v>
      </c>
      <c r="X14" s="121">
        <v>0</v>
      </c>
      <c r="Y14" s="121">
        <v>0</v>
      </c>
      <c r="Z14" s="121">
        <v>0</v>
      </c>
      <c r="AA14" s="121">
        <v>0</v>
      </c>
      <c r="AB14" s="121">
        <v>0</v>
      </c>
      <c r="AC14" s="121">
        <v>0</v>
      </c>
      <c r="AD14" s="121">
        <v>8.0114215000166293</v>
      </c>
      <c r="AE14" s="121">
        <v>0</v>
      </c>
      <c r="AF14" s="121">
        <v>0.83432938061864903</v>
      </c>
      <c r="AG14" s="121">
        <v>0.11692841052073701</v>
      </c>
      <c r="AH14" s="121">
        <v>0</v>
      </c>
      <c r="AI14" s="121">
        <v>0</v>
      </c>
      <c r="AJ14" s="121">
        <v>0</v>
      </c>
      <c r="AK14" s="121">
        <v>0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2">
        <v>0</v>
      </c>
    </row>
    <row r="15" spans="2:44" ht="12" customHeight="1" x14ac:dyDescent="0.3">
      <c r="B15" s="120" t="s">
        <v>34</v>
      </c>
      <c r="C15" s="121" t="s">
        <v>54</v>
      </c>
      <c r="D15" s="121" t="s">
        <v>25</v>
      </c>
      <c r="E15" s="121" t="s">
        <v>25</v>
      </c>
      <c r="F15" s="121" t="s">
        <v>85</v>
      </c>
      <c r="G15" s="121" t="s">
        <v>37</v>
      </c>
      <c r="H15" s="121" t="s">
        <v>81</v>
      </c>
      <c r="I15" s="121" t="s">
        <v>25</v>
      </c>
      <c r="J15" s="121">
        <v>23.44</v>
      </c>
      <c r="K15" s="121">
        <v>0</v>
      </c>
      <c r="L15" s="121">
        <v>0</v>
      </c>
      <c r="M15" s="121">
        <v>0</v>
      </c>
      <c r="N15" s="121">
        <v>0</v>
      </c>
      <c r="O15" s="121">
        <v>0</v>
      </c>
      <c r="P15" s="121">
        <v>0</v>
      </c>
      <c r="Q15" s="121">
        <v>0</v>
      </c>
      <c r="R15" s="121">
        <v>0</v>
      </c>
      <c r="S15" s="121">
        <v>0</v>
      </c>
      <c r="T15" s="121">
        <v>0</v>
      </c>
      <c r="U15" s="121">
        <v>0</v>
      </c>
      <c r="V15" s="121">
        <v>0</v>
      </c>
      <c r="W15" s="121">
        <v>0</v>
      </c>
      <c r="X15" s="121">
        <v>14.993959270511301</v>
      </c>
      <c r="Y15" s="121">
        <v>0</v>
      </c>
      <c r="Z15" s="121">
        <v>0</v>
      </c>
      <c r="AA15" s="121">
        <v>8.4423594125913102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0</v>
      </c>
      <c r="AH15" s="121">
        <v>0</v>
      </c>
      <c r="AI15" s="121">
        <v>0</v>
      </c>
      <c r="AJ15" s="121">
        <v>0</v>
      </c>
      <c r="AK15" s="121">
        <v>0</v>
      </c>
      <c r="AL15" s="121">
        <v>0</v>
      </c>
      <c r="AM15" s="121">
        <v>0</v>
      </c>
      <c r="AN15" s="121">
        <v>0</v>
      </c>
      <c r="AO15" s="121">
        <v>0</v>
      </c>
      <c r="AP15" s="121">
        <v>0</v>
      </c>
      <c r="AQ15" s="121">
        <v>0</v>
      </c>
      <c r="AR15" s="122">
        <v>0</v>
      </c>
    </row>
    <row r="16" spans="2:44" ht="12" customHeight="1" x14ac:dyDescent="0.3">
      <c r="B16" s="120" t="s">
        <v>34</v>
      </c>
      <c r="C16" s="121" t="s">
        <v>54</v>
      </c>
      <c r="D16" s="121" t="s">
        <v>25</v>
      </c>
      <c r="E16" s="121" t="s">
        <v>25</v>
      </c>
      <c r="F16" s="121" t="s">
        <v>25</v>
      </c>
      <c r="G16" s="121" t="s">
        <v>36</v>
      </c>
      <c r="H16" s="121" t="s">
        <v>78</v>
      </c>
      <c r="I16" s="121" t="s">
        <v>25</v>
      </c>
      <c r="J16" s="121">
        <v>113.34</v>
      </c>
      <c r="K16" s="121">
        <v>479.45</v>
      </c>
      <c r="L16" s="121">
        <v>2.0986271007943702</v>
      </c>
      <c r="M16" s="121">
        <v>0.200511595163855</v>
      </c>
      <c r="N16" s="121">
        <v>0.41843634044898798</v>
      </c>
      <c r="O16" s="121">
        <v>0</v>
      </c>
      <c r="P16" s="121">
        <v>0</v>
      </c>
      <c r="Q16" s="121">
        <v>86.492419983665101</v>
      </c>
      <c r="R16" s="121">
        <v>15.170627343713999</v>
      </c>
      <c r="S16" s="121">
        <v>0</v>
      </c>
      <c r="T16" s="121">
        <v>0</v>
      </c>
      <c r="U16" s="121">
        <v>0</v>
      </c>
      <c r="V16" s="121">
        <v>0</v>
      </c>
      <c r="W16" s="121">
        <v>0</v>
      </c>
      <c r="X16" s="121">
        <v>0</v>
      </c>
      <c r="Y16" s="121">
        <v>0</v>
      </c>
      <c r="Z16" s="121">
        <v>0</v>
      </c>
      <c r="AA16" s="121">
        <v>0</v>
      </c>
      <c r="AB16" s="121">
        <v>0</v>
      </c>
      <c r="AC16" s="121">
        <v>0</v>
      </c>
      <c r="AD16" s="121">
        <v>8.0114215000166293</v>
      </c>
      <c r="AE16" s="121">
        <v>0</v>
      </c>
      <c r="AF16" s="121">
        <v>0.83432938061864903</v>
      </c>
      <c r="AG16" s="121">
        <v>0.11692841052073701</v>
      </c>
      <c r="AH16" s="121">
        <v>4.7136826712368798</v>
      </c>
      <c r="AI16" s="121">
        <v>0</v>
      </c>
      <c r="AJ16" s="121">
        <v>3.0900227818347101</v>
      </c>
      <c r="AK16" s="121">
        <v>0</v>
      </c>
      <c r="AL16" s="121">
        <v>0</v>
      </c>
      <c r="AM16" s="121">
        <v>471.64688814009702</v>
      </c>
      <c r="AN16" s="121">
        <v>0</v>
      </c>
      <c r="AO16" s="121">
        <v>0</v>
      </c>
      <c r="AP16" s="121">
        <v>0</v>
      </c>
      <c r="AQ16" s="121">
        <v>0</v>
      </c>
      <c r="AR16" s="122">
        <v>0</v>
      </c>
    </row>
    <row r="17" spans="2:44" ht="12" customHeight="1" x14ac:dyDescent="0.3">
      <c r="B17" s="120" t="s">
        <v>34</v>
      </c>
      <c r="C17" s="121" t="s">
        <v>54</v>
      </c>
      <c r="D17" s="121" t="s">
        <v>25</v>
      </c>
      <c r="E17" s="121" t="s">
        <v>25</v>
      </c>
      <c r="F17" s="121" t="s">
        <v>25</v>
      </c>
      <c r="G17" s="121" t="s">
        <v>36</v>
      </c>
      <c r="H17" s="121" t="s">
        <v>81</v>
      </c>
      <c r="I17" s="121" t="s">
        <v>25</v>
      </c>
      <c r="J17" s="121">
        <v>37.880000000000003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0</v>
      </c>
      <c r="Q17" s="121">
        <v>0</v>
      </c>
      <c r="R17" s="121">
        <v>0</v>
      </c>
      <c r="S17" s="121">
        <v>0</v>
      </c>
      <c r="T17" s="121">
        <v>0</v>
      </c>
      <c r="U17" s="121">
        <v>0</v>
      </c>
      <c r="V17" s="121">
        <v>0</v>
      </c>
      <c r="W17" s="121">
        <v>0</v>
      </c>
      <c r="X17" s="121">
        <v>29.435718817739399</v>
      </c>
      <c r="Y17" s="121">
        <v>0</v>
      </c>
      <c r="Z17" s="121">
        <v>0</v>
      </c>
      <c r="AA17" s="121">
        <v>8.4423594125913102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2">
        <v>0</v>
      </c>
    </row>
    <row r="18" spans="2:44" ht="12" customHeight="1" x14ac:dyDescent="0.3">
      <c r="B18" s="120" t="s">
        <v>34</v>
      </c>
      <c r="C18" s="121" t="s">
        <v>54</v>
      </c>
      <c r="D18" s="121" t="s">
        <v>25</v>
      </c>
      <c r="E18" s="121" t="s">
        <v>25</v>
      </c>
      <c r="F18" s="121" t="s">
        <v>25</v>
      </c>
      <c r="G18" s="121" t="s">
        <v>37</v>
      </c>
      <c r="H18" s="121" t="s">
        <v>78</v>
      </c>
      <c r="I18" s="121" t="s">
        <v>25</v>
      </c>
      <c r="J18" s="121">
        <v>113.34</v>
      </c>
      <c r="K18" s="121">
        <v>282.02</v>
      </c>
      <c r="L18" s="121">
        <v>2.0986271007943702</v>
      </c>
      <c r="M18" s="121">
        <v>0.200511595163855</v>
      </c>
      <c r="N18" s="121">
        <v>0.41843634044898798</v>
      </c>
      <c r="O18" s="121">
        <v>0</v>
      </c>
      <c r="P18" s="121">
        <v>0</v>
      </c>
      <c r="Q18" s="121">
        <v>86.492419983665101</v>
      </c>
      <c r="R18" s="121">
        <v>15.170627343713999</v>
      </c>
      <c r="S18" s="121">
        <v>0</v>
      </c>
      <c r="T18" s="121">
        <v>0</v>
      </c>
      <c r="U18" s="121">
        <v>0</v>
      </c>
      <c r="V18" s="121">
        <v>0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8.0114215000166293</v>
      </c>
      <c r="AE18" s="121">
        <v>0</v>
      </c>
      <c r="AF18" s="121">
        <v>0.83432938061864903</v>
      </c>
      <c r="AG18" s="121">
        <v>0.11692841052073701</v>
      </c>
      <c r="AH18" s="121">
        <v>4.7136826712368798</v>
      </c>
      <c r="AI18" s="121">
        <v>0</v>
      </c>
      <c r="AJ18" s="121">
        <v>3.0900227818347101</v>
      </c>
      <c r="AK18" s="121">
        <v>0</v>
      </c>
      <c r="AL18" s="121">
        <v>0</v>
      </c>
      <c r="AM18" s="121">
        <v>274.21330705819599</v>
      </c>
      <c r="AN18" s="121">
        <v>0</v>
      </c>
      <c r="AO18" s="121">
        <v>0</v>
      </c>
      <c r="AP18" s="121">
        <v>0</v>
      </c>
      <c r="AQ18" s="121">
        <v>0</v>
      </c>
      <c r="AR18" s="122">
        <v>0</v>
      </c>
    </row>
    <row r="19" spans="2:44" ht="12" customHeight="1" x14ac:dyDescent="0.3">
      <c r="B19" s="120" t="s">
        <v>34</v>
      </c>
      <c r="C19" s="121" t="s">
        <v>54</v>
      </c>
      <c r="D19" s="121" t="s">
        <v>25</v>
      </c>
      <c r="E19" s="121" t="s">
        <v>25</v>
      </c>
      <c r="F19" s="121" t="s">
        <v>25</v>
      </c>
      <c r="G19" s="121" t="s">
        <v>37</v>
      </c>
      <c r="H19" s="121" t="s">
        <v>81</v>
      </c>
      <c r="I19" s="121" t="s">
        <v>25</v>
      </c>
      <c r="J19" s="121">
        <v>23.44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14.993959270511301</v>
      </c>
      <c r="Y19" s="121">
        <v>0</v>
      </c>
      <c r="Z19" s="121">
        <v>0</v>
      </c>
      <c r="AA19" s="121">
        <v>8.4423594125913102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0</v>
      </c>
      <c r="AH19" s="121">
        <v>0</v>
      </c>
      <c r="AI19" s="121">
        <v>0</v>
      </c>
      <c r="AJ19" s="121">
        <v>0</v>
      </c>
      <c r="AK19" s="121">
        <v>0</v>
      </c>
      <c r="AL19" s="121">
        <v>0</v>
      </c>
      <c r="AM19" s="121">
        <v>0</v>
      </c>
      <c r="AN19" s="121">
        <v>0</v>
      </c>
      <c r="AO19" s="121">
        <v>0</v>
      </c>
      <c r="AP19" s="121">
        <v>0</v>
      </c>
      <c r="AQ19" s="121">
        <v>0</v>
      </c>
      <c r="AR19" s="122">
        <v>0</v>
      </c>
    </row>
    <row r="20" spans="2:44" ht="12" customHeight="1" x14ac:dyDescent="0.3">
      <c r="B20" s="120" t="s">
        <v>34</v>
      </c>
      <c r="C20" s="121" t="s">
        <v>57</v>
      </c>
      <c r="D20" s="121" t="s">
        <v>25</v>
      </c>
      <c r="E20" s="121" t="s">
        <v>25</v>
      </c>
      <c r="F20" s="121" t="s">
        <v>25</v>
      </c>
      <c r="G20" s="121" t="s">
        <v>25</v>
      </c>
      <c r="H20" s="121" t="s">
        <v>81</v>
      </c>
      <c r="I20" s="121" t="s">
        <v>25</v>
      </c>
      <c r="J20" s="121">
        <v>8.6300000000000008</v>
      </c>
      <c r="K20" s="121">
        <v>0</v>
      </c>
      <c r="L20" s="121">
        <v>0</v>
      </c>
      <c r="M20" s="121">
        <v>3.0370310694564199E-2</v>
      </c>
      <c r="N20" s="121">
        <v>0.15219598086861899</v>
      </c>
      <c r="O20" s="121">
        <v>0</v>
      </c>
      <c r="P20" s="121">
        <v>0</v>
      </c>
      <c r="Q20" s="121">
        <v>0</v>
      </c>
      <c r="R20" s="121">
        <v>0</v>
      </c>
      <c r="S20" s="121">
        <v>0</v>
      </c>
      <c r="T20" s="121">
        <v>0</v>
      </c>
      <c r="U20" s="121">
        <v>0</v>
      </c>
      <c r="V20" s="121">
        <v>0</v>
      </c>
      <c r="W20" s="121">
        <v>0</v>
      </c>
      <c r="X20" s="121">
        <v>0</v>
      </c>
      <c r="Y20" s="121">
        <v>0</v>
      </c>
      <c r="Z20" s="121">
        <v>0</v>
      </c>
      <c r="AA20" s="121">
        <v>8.4424705328205008</v>
      </c>
      <c r="AB20" s="121">
        <v>0</v>
      </c>
      <c r="AC20" s="121">
        <v>0</v>
      </c>
      <c r="AD20" s="121">
        <v>2.1510686835360601E-3</v>
      </c>
      <c r="AE20" s="121">
        <v>0</v>
      </c>
      <c r="AF20" s="121">
        <v>0</v>
      </c>
      <c r="AG20" s="121">
        <v>0</v>
      </c>
      <c r="AH20" s="121">
        <v>0</v>
      </c>
      <c r="AI20" s="121">
        <v>0</v>
      </c>
      <c r="AJ20" s="121">
        <v>0</v>
      </c>
      <c r="AK20" s="121">
        <v>0</v>
      </c>
      <c r="AL20" s="121">
        <v>0</v>
      </c>
      <c r="AM20" s="121">
        <v>0</v>
      </c>
      <c r="AN20" s="121">
        <v>0</v>
      </c>
      <c r="AO20" s="121">
        <v>0</v>
      </c>
      <c r="AP20" s="121">
        <v>0</v>
      </c>
      <c r="AQ20" s="121">
        <v>0</v>
      </c>
      <c r="AR20" s="122">
        <v>0</v>
      </c>
    </row>
    <row r="21" spans="2:44" ht="12" customHeight="1" x14ac:dyDescent="0.3">
      <c r="B21" s="120" t="s">
        <v>34</v>
      </c>
      <c r="C21" s="121" t="s">
        <v>35</v>
      </c>
      <c r="D21" s="121" t="s">
        <v>25</v>
      </c>
      <c r="E21" s="121" t="s">
        <v>25</v>
      </c>
      <c r="F21" s="121" t="s">
        <v>85</v>
      </c>
      <c r="G21" s="121" t="s">
        <v>36</v>
      </c>
      <c r="H21" s="121" t="s">
        <v>78</v>
      </c>
      <c r="I21" s="121" t="s">
        <v>25</v>
      </c>
      <c r="J21" s="121">
        <v>932.87</v>
      </c>
      <c r="K21" s="121">
        <v>0</v>
      </c>
      <c r="L21" s="121">
        <v>0</v>
      </c>
      <c r="M21" s="121">
        <v>0.200511595163855</v>
      </c>
      <c r="N21" s="121">
        <v>12.7429397395926</v>
      </c>
      <c r="O21" s="121">
        <v>0</v>
      </c>
      <c r="P21" s="121">
        <v>0</v>
      </c>
      <c r="Q21" s="121">
        <v>0</v>
      </c>
      <c r="R21" s="121">
        <v>0</v>
      </c>
      <c r="S21" s="121">
        <v>0</v>
      </c>
      <c r="T21" s="121">
        <v>0</v>
      </c>
      <c r="U21" s="121">
        <v>0</v>
      </c>
      <c r="V21" s="121">
        <v>0</v>
      </c>
      <c r="W21" s="121">
        <v>0</v>
      </c>
      <c r="X21" s="121">
        <v>707.92816105913505</v>
      </c>
      <c r="Y21" s="121">
        <v>0</v>
      </c>
      <c r="Z21" s="121">
        <v>0</v>
      </c>
      <c r="AA21" s="121">
        <v>203.03843829219099</v>
      </c>
      <c r="AB21" s="121">
        <v>0</v>
      </c>
      <c r="AC21" s="121">
        <v>0</v>
      </c>
      <c r="AD21" s="121">
        <v>8.0114215000166293</v>
      </c>
      <c r="AE21" s="121">
        <v>0</v>
      </c>
      <c r="AF21" s="121">
        <v>0.83432938061864903</v>
      </c>
      <c r="AG21" s="121">
        <v>0.11692841052073701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2">
        <v>0</v>
      </c>
    </row>
    <row r="22" spans="2:44" ht="12" customHeight="1" x14ac:dyDescent="0.3">
      <c r="B22" s="120" t="s">
        <v>34</v>
      </c>
      <c r="C22" s="121" t="s">
        <v>35</v>
      </c>
      <c r="D22" s="121" t="s">
        <v>25</v>
      </c>
      <c r="E22" s="121" t="s">
        <v>25</v>
      </c>
      <c r="F22" s="121" t="s">
        <v>85</v>
      </c>
      <c r="G22" s="121" t="s">
        <v>25</v>
      </c>
      <c r="H22" s="121" t="s">
        <v>81</v>
      </c>
      <c r="I22" s="121" t="s">
        <v>25</v>
      </c>
      <c r="J22" s="121">
        <v>23.44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0</v>
      </c>
      <c r="Q22" s="121">
        <v>0</v>
      </c>
      <c r="R22" s="121">
        <v>0</v>
      </c>
      <c r="S22" s="121">
        <v>0</v>
      </c>
      <c r="T22" s="121">
        <v>0</v>
      </c>
      <c r="U22" s="121">
        <v>0</v>
      </c>
      <c r="V22" s="121">
        <v>0</v>
      </c>
      <c r="W22" s="121">
        <v>0</v>
      </c>
      <c r="X22" s="121">
        <v>14.993959270511301</v>
      </c>
      <c r="Y22" s="121">
        <v>0</v>
      </c>
      <c r="Z22" s="121">
        <v>0</v>
      </c>
      <c r="AA22" s="121">
        <v>8.4423594125913102</v>
      </c>
      <c r="AB22" s="121">
        <v>0</v>
      </c>
      <c r="AC22" s="121">
        <v>0</v>
      </c>
      <c r="AD22" s="121">
        <v>0</v>
      </c>
      <c r="AE22" s="121">
        <v>0</v>
      </c>
      <c r="AF22" s="121">
        <v>0</v>
      </c>
      <c r="AG22" s="121">
        <v>0</v>
      </c>
      <c r="AH22" s="121">
        <v>0</v>
      </c>
      <c r="AI22" s="121">
        <v>0</v>
      </c>
      <c r="AJ22" s="121">
        <v>0</v>
      </c>
      <c r="AK22" s="121">
        <v>0</v>
      </c>
      <c r="AL22" s="121">
        <v>0</v>
      </c>
      <c r="AM22" s="121">
        <v>0</v>
      </c>
      <c r="AN22" s="121">
        <v>0</v>
      </c>
      <c r="AO22" s="121">
        <v>0</v>
      </c>
      <c r="AP22" s="121">
        <v>0</v>
      </c>
      <c r="AQ22" s="121">
        <v>0</v>
      </c>
      <c r="AR22" s="122">
        <v>0</v>
      </c>
    </row>
    <row r="23" spans="2:44" ht="12" customHeight="1" x14ac:dyDescent="0.3">
      <c r="B23" s="120" t="s">
        <v>34</v>
      </c>
      <c r="C23" s="121" t="s">
        <v>35</v>
      </c>
      <c r="D23" s="121" t="s">
        <v>25</v>
      </c>
      <c r="E23" s="121" t="s">
        <v>25</v>
      </c>
      <c r="F23" s="121" t="s">
        <v>85</v>
      </c>
      <c r="G23" s="121" t="s">
        <v>37</v>
      </c>
      <c r="H23" s="121" t="s">
        <v>78</v>
      </c>
      <c r="I23" s="121" t="s">
        <v>25</v>
      </c>
      <c r="J23" s="121">
        <v>9.56</v>
      </c>
      <c r="K23" s="121">
        <v>0</v>
      </c>
      <c r="L23" s="121">
        <v>0</v>
      </c>
      <c r="M23" s="121">
        <v>0.200511595163855</v>
      </c>
      <c r="N23" s="121">
        <v>0.39848929184235399</v>
      </c>
      <c r="O23" s="121">
        <v>0</v>
      </c>
      <c r="P23" s="121">
        <v>0</v>
      </c>
      <c r="Q23" s="121">
        <v>0</v>
      </c>
      <c r="R23" s="121">
        <v>0</v>
      </c>
      <c r="S23" s="121">
        <v>0</v>
      </c>
      <c r="T23" s="121">
        <v>0</v>
      </c>
      <c r="U23" s="121">
        <v>0</v>
      </c>
      <c r="V23" s="121">
        <v>0</v>
      </c>
      <c r="W23" s="121">
        <v>0</v>
      </c>
      <c r="X23" s="121">
        <v>0</v>
      </c>
      <c r="Y23" s="121">
        <v>0</v>
      </c>
      <c r="Z23" s="121">
        <v>0</v>
      </c>
      <c r="AA23" s="121">
        <v>0</v>
      </c>
      <c r="AB23" s="121">
        <v>0</v>
      </c>
      <c r="AC23" s="121">
        <v>0</v>
      </c>
      <c r="AD23" s="121">
        <v>8.0114215000166293</v>
      </c>
      <c r="AE23" s="121">
        <v>0</v>
      </c>
      <c r="AF23" s="121">
        <v>0.83432938061864903</v>
      </c>
      <c r="AG23" s="121">
        <v>0.11692841052073701</v>
      </c>
      <c r="AH23" s="121">
        <v>0</v>
      </c>
      <c r="AI23" s="121">
        <v>0</v>
      </c>
      <c r="AJ23" s="121">
        <v>0</v>
      </c>
      <c r="AK23" s="121">
        <v>0</v>
      </c>
      <c r="AL23" s="121">
        <v>0</v>
      </c>
      <c r="AM23" s="121">
        <v>0</v>
      </c>
      <c r="AN23" s="121">
        <v>0</v>
      </c>
      <c r="AO23" s="121">
        <v>0</v>
      </c>
      <c r="AP23" s="121">
        <v>0</v>
      </c>
      <c r="AQ23" s="121">
        <v>0</v>
      </c>
      <c r="AR23" s="122">
        <v>0</v>
      </c>
    </row>
    <row r="24" spans="2:44" ht="12" customHeight="1" x14ac:dyDescent="0.3">
      <c r="B24" s="120" t="s">
        <v>34</v>
      </c>
      <c r="C24" s="121" t="s">
        <v>35</v>
      </c>
      <c r="D24" s="121" t="s">
        <v>25</v>
      </c>
      <c r="E24" s="121" t="s">
        <v>25</v>
      </c>
      <c r="F24" s="121" t="s">
        <v>25</v>
      </c>
      <c r="G24" s="121" t="s">
        <v>36</v>
      </c>
      <c r="H24" s="121" t="s">
        <v>78</v>
      </c>
      <c r="I24" s="121" t="s">
        <v>25</v>
      </c>
      <c r="J24" s="121">
        <v>1036.6500000000001</v>
      </c>
      <c r="K24" s="121">
        <v>479.45</v>
      </c>
      <c r="L24" s="121">
        <v>2.0986271007943702</v>
      </c>
      <c r="M24" s="121">
        <v>0.200511595163855</v>
      </c>
      <c r="N24" s="121">
        <v>12.7628867881992</v>
      </c>
      <c r="O24" s="121">
        <v>0</v>
      </c>
      <c r="P24" s="121">
        <v>0</v>
      </c>
      <c r="Q24" s="121">
        <v>86.492419983665101</v>
      </c>
      <c r="R24" s="121">
        <v>15.170627343713999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707.92816105913505</v>
      </c>
      <c r="Y24" s="121">
        <v>0</v>
      </c>
      <c r="Z24" s="121">
        <v>0</v>
      </c>
      <c r="AA24" s="121">
        <v>203.03843829219099</v>
      </c>
      <c r="AB24" s="121">
        <v>0</v>
      </c>
      <c r="AC24" s="121">
        <v>0</v>
      </c>
      <c r="AD24" s="121">
        <v>8.0114215000166293</v>
      </c>
      <c r="AE24" s="121">
        <v>0</v>
      </c>
      <c r="AF24" s="121">
        <v>0.83432938061864903</v>
      </c>
      <c r="AG24" s="121">
        <v>0.11692841052073701</v>
      </c>
      <c r="AH24" s="121">
        <v>4.7136826712368798</v>
      </c>
      <c r="AI24" s="121">
        <v>0</v>
      </c>
      <c r="AJ24" s="121">
        <v>3.0900227818347101</v>
      </c>
      <c r="AK24" s="121">
        <v>0</v>
      </c>
      <c r="AL24" s="121">
        <v>0</v>
      </c>
      <c r="AM24" s="121">
        <v>471.64688814009702</v>
      </c>
      <c r="AN24" s="121">
        <v>0</v>
      </c>
      <c r="AO24" s="121">
        <v>0</v>
      </c>
      <c r="AP24" s="121">
        <v>0</v>
      </c>
      <c r="AQ24" s="121">
        <v>0</v>
      </c>
      <c r="AR24" s="122">
        <v>0</v>
      </c>
    </row>
    <row r="25" spans="2:44" ht="12" customHeight="1" x14ac:dyDescent="0.3">
      <c r="B25" s="120" t="s">
        <v>34</v>
      </c>
      <c r="C25" s="121" t="s">
        <v>35</v>
      </c>
      <c r="D25" s="121" t="s">
        <v>25</v>
      </c>
      <c r="E25" s="121" t="s">
        <v>25</v>
      </c>
      <c r="F25" s="121" t="s">
        <v>25</v>
      </c>
      <c r="G25" s="121" t="s">
        <v>25</v>
      </c>
      <c r="H25" s="121" t="s">
        <v>81</v>
      </c>
      <c r="I25" s="121" t="s">
        <v>25</v>
      </c>
      <c r="J25" s="121">
        <v>23.44</v>
      </c>
      <c r="K25" s="121">
        <v>0</v>
      </c>
      <c r="L25" s="121">
        <v>0</v>
      </c>
      <c r="M25" s="121">
        <v>0</v>
      </c>
      <c r="N25" s="121">
        <v>0</v>
      </c>
      <c r="O25" s="121">
        <v>0</v>
      </c>
      <c r="P25" s="121">
        <v>0</v>
      </c>
      <c r="Q25" s="121">
        <v>0</v>
      </c>
      <c r="R25" s="121">
        <v>0</v>
      </c>
      <c r="S25" s="121">
        <v>0</v>
      </c>
      <c r="T25" s="121">
        <v>0</v>
      </c>
      <c r="U25" s="121">
        <v>0</v>
      </c>
      <c r="V25" s="121">
        <v>0</v>
      </c>
      <c r="W25" s="121">
        <v>0</v>
      </c>
      <c r="X25" s="121">
        <v>14.993959270511301</v>
      </c>
      <c r="Y25" s="121">
        <v>0</v>
      </c>
      <c r="Z25" s="121">
        <v>0</v>
      </c>
      <c r="AA25" s="121">
        <v>8.4423594125913102</v>
      </c>
      <c r="AB25" s="121">
        <v>0</v>
      </c>
      <c r="AC25" s="121">
        <v>0</v>
      </c>
      <c r="AD25" s="121">
        <v>0</v>
      </c>
      <c r="AE25" s="121">
        <v>0</v>
      </c>
      <c r="AF25" s="121">
        <v>0</v>
      </c>
      <c r="AG25" s="121">
        <v>0</v>
      </c>
      <c r="AH25" s="121">
        <v>0</v>
      </c>
      <c r="AI25" s="121">
        <v>0</v>
      </c>
      <c r="AJ25" s="121">
        <v>0</v>
      </c>
      <c r="AK25" s="121">
        <v>0</v>
      </c>
      <c r="AL25" s="121">
        <v>0</v>
      </c>
      <c r="AM25" s="121">
        <v>0</v>
      </c>
      <c r="AN25" s="121">
        <v>0</v>
      </c>
      <c r="AO25" s="121">
        <v>0</v>
      </c>
      <c r="AP25" s="121">
        <v>0</v>
      </c>
      <c r="AQ25" s="121">
        <v>0</v>
      </c>
      <c r="AR25" s="122">
        <v>0</v>
      </c>
    </row>
    <row r="26" spans="2:44" ht="12" customHeight="1" x14ac:dyDescent="0.3">
      <c r="B26" s="120" t="s">
        <v>34</v>
      </c>
      <c r="C26" s="121" t="s">
        <v>35</v>
      </c>
      <c r="D26" s="121" t="s">
        <v>25</v>
      </c>
      <c r="E26" s="121" t="s">
        <v>25</v>
      </c>
      <c r="F26" s="121" t="s">
        <v>25</v>
      </c>
      <c r="G26" s="121" t="s">
        <v>37</v>
      </c>
      <c r="H26" s="121" t="s">
        <v>78</v>
      </c>
      <c r="I26" s="121" t="s">
        <v>25</v>
      </c>
      <c r="J26" s="121">
        <v>113.34</v>
      </c>
      <c r="K26" s="121">
        <v>282.02</v>
      </c>
      <c r="L26" s="121">
        <v>2.0986271007943702</v>
      </c>
      <c r="M26" s="121">
        <v>0.200511595163855</v>
      </c>
      <c r="N26" s="121">
        <v>0.41843634044898798</v>
      </c>
      <c r="O26" s="121">
        <v>0</v>
      </c>
      <c r="P26" s="121">
        <v>0</v>
      </c>
      <c r="Q26" s="121">
        <v>86.492419983665101</v>
      </c>
      <c r="R26" s="121">
        <v>15.170627343713999</v>
      </c>
      <c r="S26" s="121">
        <v>0</v>
      </c>
      <c r="T26" s="121">
        <v>0</v>
      </c>
      <c r="U26" s="121">
        <v>0</v>
      </c>
      <c r="V26" s="121">
        <v>0</v>
      </c>
      <c r="W26" s="121">
        <v>0</v>
      </c>
      <c r="X26" s="121">
        <v>0</v>
      </c>
      <c r="Y26" s="121">
        <v>0</v>
      </c>
      <c r="Z26" s="121">
        <v>0</v>
      </c>
      <c r="AA26" s="121">
        <v>0</v>
      </c>
      <c r="AB26" s="121">
        <v>0</v>
      </c>
      <c r="AC26" s="121">
        <v>0</v>
      </c>
      <c r="AD26" s="121">
        <v>8.0114215000166293</v>
      </c>
      <c r="AE26" s="121">
        <v>0</v>
      </c>
      <c r="AF26" s="121">
        <v>0.83432938061864903</v>
      </c>
      <c r="AG26" s="121">
        <v>0.11692841052073701</v>
      </c>
      <c r="AH26" s="121">
        <v>4.7136826712368798</v>
      </c>
      <c r="AI26" s="121">
        <v>0</v>
      </c>
      <c r="AJ26" s="121">
        <v>3.0900227818347101</v>
      </c>
      <c r="AK26" s="121">
        <v>0</v>
      </c>
      <c r="AL26" s="121">
        <v>0</v>
      </c>
      <c r="AM26" s="121">
        <v>274.21330705819599</v>
      </c>
      <c r="AN26" s="121">
        <v>0</v>
      </c>
      <c r="AO26" s="121">
        <v>0</v>
      </c>
      <c r="AP26" s="121">
        <v>0</v>
      </c>
      <c r="AQ26" s="121">
        <v>0</v>
      </c>
      <c r="AR26" s="122">
        <v>0</v>
      </c>
    </row>
    <row r="27" spans="2:44" ht="12" customHeight="1" x14ac:dyDescent="0.3">
      <c r="B27" s="120" t="s">
        <v>86</v>
      </c>
      <c r="C27" s="121" t="s">
        <v>57</v>
      </c>
      <c r="D27" s="121" t="s">
        <v>25</v>
      </c>
      <c r="E27" s="121" t="s">
        <v>25</v>
      </c>
      <c r="F27" s="121" t="s">
        <v>87</v>
      </c>
      <c r="G27" s="121" t="s">
        <v>25</v>
      </c>
      <c r="H27" s="121" t="s">
        <v>81</v>
      </c>
      <c r="I27" s="121" t="s">
        <v>25</v>
      </c>
      <c r="J27" s="121">
        <v>10.77</v>
      </c>
      <c r="K27" s="121">
        <v>0</v>
      </c>
      <c r="L27" s="121">
        <v>0</v>
      </c>
      <c r="M27" s="121">
        <v>3.7962888368205203E-2</v>
      </c>
      <c r="N27" s="121">
        <v>0.190095373221224</v>
      </c>
      <c r="O27" s="121">
        <v>0</v>
      </c>
      <c r="P27" s="121">
        <v>0</v>
      </c>
      <c r="Q27" s="121">
        <v>0</v>
      </c>
      <c r="R27" s="121">
        <v>0</v>
      </c>
      <c r="S27" s="121">
        <v>0</v>
      </c>
      <c r="T27" s="121">
        <v>0</v>
      </c>
      <c r="U27" s="121">
        <v>0</v>
      </c>
      <c r="V27" s="121">
        <v>0</v>
      </c>
      <c r="W27" s="121">
        <v>0</v>
      </c>
      <c r="X27" s="121">
        <v>0</v>
      </c>
      <c r="Y27" s="121">
        <v>0</v>
      </c>
      <c r="Z27" s="121">
        <v>0</v>
      </c>
      <c r="AA27" s="121">
        <v>10.5467543129619</v>
      </c>
      <c r="AB27" s="121">
        <v>0</v>
      </c>
      <c r="AC27" s="121">
        <v>0</v>
      </c>
      <c r="AD27" s="121">
        <v>0</v>
      </c>
      <c r="AE27" s="121">
        <v>0</v>
      </c>
      <c r="AF27" s="121">
        <v>0</v>
      </c>
      <c r="AG27" s="121">
        <v>0</v>
      </c>
      <c r="AH27" s="121">
        <v>0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0</v>
      </c>
      <c r="AO27" s="121">
        <v>0</v>
      </c>
      <c r="AP27" s="121">
        <v>0</v>
      </c>
      <c r="AQ27" s="121">
        <v>0</v>
      </c>
      <c r="AR27" s="122">
        <v>0</v>
      </c>
    </row>
    <row r="28" spans="2:44" ht="12" customHeight="1" x14ac:dyDescent="0.3">
      <c r="B28" s="120" t="s">
        <v>86</v>
      </c>
      <c r="C28" s="121" t="s">
        <v>57</v>
      </c>
      <c r="D28" s="121" t="s">
        <v>25</v>
      </c>
      <c r="E28" s="121" t="s">
        <v>25</v>
      </c>
      <c r="F28" s="121" t="s">
        <v>88</v>
      </c>
      <c r="G28" s="121" t="s">
        <v>25</v>
      </c>
      <c r="H28" s="121" t="s">
        <v>81</v>
      </c>
      <c r="I28" s="121" t="s">
        <v>25</v>
      </c>
      <c r="J28" s="121">
        <v>16.62</v>
      </c>
      <c r="K28" s="121">
        <v>0</v>
      </c>
      <c r="L28" s="121">
        <v>0</v>
      </c>
      <c r="M28" s="121">
        <v>3.7962888368205203E-2</v>
      </c>
      <c r="N28" s="121">
        <v>0.190095373221224</v>
      </c>
      <c r="O28" s="121">
        <v>0</v>
      </c>
      <c r="P28" s="121">
        <v>0</v>
      </c>
      <c r="Q28" s="121">
        <v>0</v>
      </c>
      <c r="R28" s="121">
        <v>0</v>
      </c>
      <c r="S28" s="121">
        <v>0</v>
      </c>
      <c r="T28" s="121">
        <v>0</v>
      </c>
      <c r="U28" s="121">
        <v>0</v>
      </c>
      <c r="V28" s="121">
        <v>0</v>
      </c>
      <c r="W28" s="121">
        <v>0</v>
      </c>
      <c r="X28" s="121">
        <v>0</v>
      </c>
      <c r="Y28" s="121">
        <v>0</v>
      </c>
      <c r="Z28" s="121">
        <v>0</v>
      </c>
      <c r="AA28" s="121">
        <v>16.3922339694195</v>
      </c>
      <c r="AB28" s="121">
        <v>0</v>
      </c>
      <c r="AC28" s="121">
        <v>0</v>
      </c>
      <c r="AD28" s="121">
        <v>0</v>
      </c>
      <c r="AE28" s="121">
        <v>0</v>
      </c>
      <c r="AF28" s="121">
        <v>0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2">
        <v>0</v>
      </c>
    </row>
    <row r="29" spans="2:44" ht="12" customHeight="1" x14ac:dyDescent="0.3">
      <c r="B29" s="120" t="s">
        <v>22</v>
      </c>
      <c r="C29" s="121" t="s">
        <v>38</v>
      </c>
      <c r="D29" s="121" t="s">
        <v>24</v>
      </c>
      <c r="E29" s="121" t="s">
        <v>24</v>
      </c>
      <c r="F29" s="121" t="s">
        <v>25</v>
      </c>
      <c r="G29" s="121" t="s">
        <v>36</v>
      </c>
      <c r="H29" s="121" t="s">
        <v>78</v>
      </c>
      <c r="I29" s="121" t="s">
        <v>25</v>
      </c>
      <c r="J29" s="121">
        <v>1774.56</v>
      </c>
      <c r="K29" s="121">
        <v>479.45</v>
      </c>
      <c r="L29" s="121">
        <v>2.4983655961837798</v>
      </c>
      <c r="M29" s="121">
        <v>0.88834685508396904</v>
      </c>
      <c r="N29" s="121">
        <v>26.910023612106901</v>
      </c>
      <c r="O29" s="121">
        <v>0</v>
      </c>
      <c r="P29" s="121">
        <v>0</v>
      </c>
      <c r="Q29" s="121">
        <v>102.96716664722</v>
      </c>
      <c r="R29" s="121">
        <v>15.170627343713999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514.51233564336303</v>
      </c>
      <c r="Y29" s="121">
        <v>0</v>
      </c>
      <c r="Z29" s="121">
        <v>0</v>
      </c>
      <c r="AA29" s="121">
        <v>1087.83537448946</v>
      </c>
      <c r="AB29" s="121">
        <v>0</v>
      </c>
      <c r="AC29" s="121">
        <v>0</v>
      </c>
      <c r="AD29" s="121">
        <v>22.284323363630602</v>
      </c>
      <c r="AE29" s="121">
        <v>0</v>
      </c>
      <c r="AF29" s="121">
        <v>1.30712993296958</v>
      </c>
      <c r="AG29" s="121">
        <v>0.183189791653843</v>
      </c>
      <c r="AH29" s="121">
        <v>4.7136826712368798</v>
      </c>
      <c r="AI29" s="121">
        <v>0</v>
      </c>
      <c r="AJ29" s="121">
        <v>3.0900227818347101</v>
      </c>
      <c r="AK29" s="121">
        <v>0</v>
      </c>
      <c r="AL29" s="121">
        <v>0</v>
      </c>
      <c r="AM29" s="121">
        <v>471.64688814009702</v>
      </c>
      <c r="AN29" s="121">
        <v>0</v>
      </c>
      <c r="AO29" s="121">
        <v>0</v>
      </c>
      <c r="AP29" s="121">
        <v>0</v>
      </c>
      <c r="AQ29" s="121">
        <v>0</v>
      </c>
      <c r="AR29" s="122">
        <v>0</v>
      </c>
    </row>
    <row r="30" spans="2:44" ht="12" customHeight="1" x14ac:dyDescent="0.3">
      <c r="B30" s="120" t="s">
        <v>22</v>
      </c>
      <c r="C30" s="121" t="s">
        <v>38</v>
      </c>
      <c r="D30" s="121" t="s">
        <v>24</v>
      </c>
      <c r="E30" s="121" t="s">
        <v>24</v>
      </c>
      <c r="F30" s="121" t="s">
        <v>25</v>
      </c>
      <c r="G30" s="121" t="s">
        <v>39</v>
      </c>
      <c r="H30" s="121" t="s">
        <v>78</v>
      </c>
      <c r="I30" s="121" t="s">
        <v>25</v>
      </c>
      <c r="J30" s="121">
        <v>337.14</v>
      </c>
      <c r="K30" s="121">
        <v>282.02</v>
      </c>
      <c r="L30" s="121">
        <v>2.4983655961837798</v>
      </c>
      <c r="M30" s="121">
        <v>0.88834685508396904</v>
      </c>
      <c r="N30" s="121">
        <v>4.08858136479832</v>
      </c>
      <c r="O30" s="121">
        <v>0</v>
      </c>
      <c r="P30" s="121">
        <v>0</v>
      </c>
      <c r="Q30" s="121">
        <v>102.96716664722</v>
      </c>
      <c r="R30" s="121">
        <v>15.170627343713999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60.287321875983999</v>
      </c>
      <c r="Y30" s="121">
        <v>0</v>
      </c>
      <c r="Z30" s="121">
        <v>0</v>
      </c>
      <c r="AA30" s="121">
        <v>127.465903781824</v>
      </c>
      <c r="AB30" s="121">
        <v>0</v>
      </c>
      <c r="AC30" s="121">
        <v>0</v>
      </c>
      <c r="AD30" s="121">
        <v>22.284323363630602</v>
      </c>
      <c r="AE30" s="121">
        <v>0</v>
      </c>
      <c r="AF30" s="121">
        <v>1.30712993296958</v>
      </c>
      <c r="AG30" s="121">
        <v>0.183189791653843</v>
      </c>
      <c r="AH30" s="121">
        <v>4.7136826712368798</v>
      </c>
      <c r="AI30" s="121">
        <v>0</v>
      </c>
      <c r="AJ30" s="121">
        <v>3.0900227818347101</v>
      </c>
      <c r="AK30" s="121">
        <v>0</v>
      </c>
      <c r="AL30" s="121">
        <v>0</v>
      </c>
      <c r="AM30" s="121">
        <v>274.21330705819599</v>
      </c>
      <c r="AN30" s="121">
        <v>0</v>
      </c>
      <c r="AO30" s="121">
        <v>0</v>
      </c>
      <c r="AP30" s="121">
        <v>0</v>
      </c>
      <c r="AQ30" s="121">
        <v>0</v>
      </c>
      <c r="AR30" s="122">
        <v>0</v>
      </c>
    </row>
    <row r="31" spans="2:44" ht="12" customHeight="1" x14ac:dyDescent="0.3">
      <c r="B31" s="120" t="s">
        <v>22</v>
      </c>
      <c r="C31" s="121" t="s">
        <v>38</v>
      </c>
      <c r="D31" s="121" t="s">
        <v>24</v>
      </c>
      <c r="E31" s="121" t="s">
        <v>24</v>
      </c>
      <c r="F31" s="121" t="s">
        <v>25</v>
      </c>
      <c r="G31" s="121" t="s">
        <v>37</v>
      </c>
      <c r="H31" s="121" t="s">
        <v>78</v>
      </c>
      <c r="I31" s="121" t="s">
        <v>25</v>
      </c>
      <c r="J31" s="121">
        <v>203.31</v>
      </c>
      <c r="K31" s="121">
        <v>282.02</v>
      </c>
      <c r="L31" s="121">
        <v>2.4983655961837798</v>
      </c>
      <c r="M31" s="121">
        <v>0.88834685508396904</v>
      </c>
      <c r="N31" s="121">
        <v>1.9637619060738201</v>
      </c>
      <c r="O31" s="121">
        <v>0</v>
      </c>
      <c r="P31" s="121">
        <v>0</v>
      </c>
      <c r="Q31" s="121">
        <v>102.96716664722</v>
      </c>
      <c r="R31" s="121">
        <v>15.170627343713999</v>
      </c>
      <c r="S31" s="121">
        <v>0</v>
      </c>
      <c r="T31" s="121">
        <v>0</v>
      </c>
      <c r="U31" s="121">
        <v>0</v>
      </c>
      <c r="V31" s="121">
        <v>0</v>
      </c>
      <c r="W31" s="121">
        <v>0</v>
      </c>
      <c r="X31" s="121">
        <v>17.996159764880701</v>
      </c>
      <c r="Y31" s="121">
        <v>0</v>
      </c>
      <c r="Z31" s="121">
        <v>0</v>
      </c>
      <c r="AA31" s="121">
        <v>38.049455518016202</v>
      </c>
      <c r="AB31" s="121">
        <v>0</v>
      </c>
      <c r="AC31" s="121">
        <v>0</v>
      </c>
      <c r="AD31" s="121">
        <v>22.284323363630602</v>
      </c>
      <c r="AE31" s="121">
        <v>0</v>
      </c>
      <c r="AF31" s="121">
        <v>1.30712993296958</v>
      </c>
      <c r="AG31" s="121">
        <v>0.183189791653843</v>
      </c>
      <c r="AH31" s="121">
        <v>4.7136826712368798</v>
      </c>
      <c r="AI31" s="121">
        <v>0</v>
      </c>
      <c r="AJ31" s="121">
        <v>3.0900227818347101</v>
      </c>
      <c r="AK31" s="121">
        <v>0</v>
      </c>
      <c r="AL31" s="121">
        <v>0</v>
      </c>
      <c r="AM31" s="121">
        <v>274.21330705819599</v>
      </c>
      <c r="AN31" s="121">
        <v>0</v>
      </c>
      <c r="AO31" s="121">
        <v>0</v>
      </c>
      <c r="AP31" s="121">
        <v>0</v>
      </c>
      <c r="AQ31" s="121">
        <v>0</v>
      </c>
      <c r="AR31" s="122">
        <v>0</v>
      </c>
    </row>
    <row r="32" spans="2:44" ht="12" customHeight="1" x14ac:dyDescent="0.3">
      <c r="B32" s="120" t="s">
        <v>22</v>
      </c>
      <c r="C32" s="121" t="s">
        <v>23</v>
      </c>
      <c r="D32" s="121" t="s">
        <v>24</v>
      </c>
      <c r="E32" s="121" t="s">
        <v>1261</v>
      </c>
      <c r="F32" s="121" t="s">
        <v>25</v>
      </c>
      <c r="G32" s="121" t="s">
        <v>25</v>
      </c>
      <c r="H32" s="121" t="s">
        <v>78</v>
      </c>
      <c r="I32" s="121" t="s">
        <v>25</v>
      </c>
      <c r="J32" s="121">
        <v>325.44</v>
      </c>
      <c r="K32" s="121">
        <v>298.47000000000003</v>
      </c>
      <c r="L32" s="121">
        <v>0</v>
      </c>
      <c r="M32" s="121">
        <v>0.88834685508396904</v>
      </c>
      <c r="N32" s="121">
        <v>5.7984683025221901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94.717023317548197</v>
      </c>
      <c r="Y32" s="121">
        <v>0</v>
      </c>
      <c r="Z32" s="121">
        <v>0</v>
      </c>
      <c r="AA32" s="121">
        <v>200.260543682709</v>
      </c>
      <c r="AB32" s="121">
        <v>0</v>
      </c>
      <c r="AC32" s="121">
        <v>0</v>
      </c>
      <c r="AD32" s="121">
        <v>22.284323363630602</v>
      </c>
      <c r="AE32" s="121">
        <v>0</v>
      </c>
      <c r="AF32" s="121">
        <v>1.30712993296958</v>
      </c>
      <c r="AG32" s="121">
        <v>0.183189791653843</v>
      </c>
      <c r="AH32" s="121">
        <v>4.7136826712368798</v>
      </c>
      <c r="AI32" s="121">
        <v>0</v>
      </c>
      <c r="AJ32" s="121">
        <v>3.0900227818347101</v>
      </c>
      <c r="AK32" s="121">
        <v>0</v>
      </c>
      <c r="AL32" s="121">
        <v>0</v>
      </c>
      <c r="AM32" s="121">
        <v>290.66610548168802</v>
      </c>
      <c r="AN32" s="121">
        <v>0</v>
      </c>
      <c r="AO32" s="121">
        <v>0</v>
      </c>
      <c r="AP32" s="121">
        <v>0</v>
      </c>
      <c r="AQ32" s="121">
        <v>0</v>
      </c>
      <c r="AR32" s="122">
        <v>0</v>
      </c>
    </row>
    <row r="33" spans="2:44" ht="12" customHeight="1" x14ac:dyDescent="0.3">
      <c r="B33" s="120" t="s">
        <v>22</v>
      </c>
      <c r="C33" s="121" t="s">
        <v>23</v>
      </c>
      <c r="D33" s="121" t="s">
        <v>24</v>
      </c>
      <c r="E33" s="121" t="s">
        <v>24</v>
      </c>
      <c r="F33" s="121" t="s">
        <v>25</v>
      </c>
      <c r="G33" s="121" t="s">
        <v>25</v>
      </c>
      <c r="H33" s="121" t="s">
        <v>78</v>
      </c>
      <c r="I33" s="121" t="s">
        <v>25</v>
      </c>
      <c r="J33" s="121">
        <v>446.1</v>
      </c>
      <c r="K33" s="121">
        <v>298.47000000000003</v>
      </c>
      <c r="L33" s="121">
        <v>2.4983655961837798</v>
      </c>
      <c r="M33" s="121">
        <v>0.88834685508396904</v>
      </c>
      <c r="N33" s="121">
        <v>5.8184153511288299</v>
      </c>
      <c r="O33" s="121">
        <v>0</v>
      </c>
      <c r="P33" s="121">
        <v>0</v>
      </c>
      <c r="Q33" s="121">
        <v>102.96716664722</v>
      </c>
      <c r="R33" s="121">
        <v>15.170627343713999</v>
      </c>
      <c r="S33" s="121">
        <v>0</v>
      </c>
      <c r="T33" s="121">
        <v>0</v>
      </c>
      <c r="U33" s="121">
        <v>0</v>
      </c>
      <c r="V33" s="121">
        <v>0</v>
      </c>
      <c r="W33" s="121">
        <v>0</v>
      </c>
      <c r="X33" s="121">
        <v>94.717023317548197</v>
      </c>
      <c r="Y33" s="121">
        <v>0</v>
      </c>
      <c r="Z33" s="121">
        <v>0</v>
      </c>
      <c r="AA33" s="121">
        <v>200.260543682709</v>
      </c>
      <c r="AB33" s="121">
        <v>0</v>
      </c>
      <c r="AC33" s="121">
        <v>0</v>
      </c>
      <c r="AD33" s="121">
        <v>22.284323363630602</v>
      </c>
      <c r="AE33" s="121">
        <v>0</v>
      </c>
      <c r="AF33" s="121">
        <v>1.30712993296958</v>
      </c>
      <c r="AG33" s="121">
        <v>0.183189791653843</v>
      </c>
      <c r="AH33" s="121">
        <v>4.7136826712368798</v>
      </c>
      <c r="AI33" s="121">
        <v>0</v>
      </c>
      <c r="AJ33" s="121">
        <v>3.0900227818347101</v>
      </c>
      <c r="AK33" s="121">
        <v>0</v>
      </c>
      <c r="AL33" s="121">
        <v>0</v>
      </c>
      <c r="AM33" s="121">
        <v>290.66610548168802</v>
      </c>
      <c r="AN33" s="121">
        <v>0</v>
      </c>
      <c r="AO33" s="121">
        <v>0</v>
      </c>
      <c r="AP33" s="121">
        <v>0</v>
      </c>
      <c r="AQ33" s="121">
        <v>0</v>
      </c>
      <c r="AR33" s="122">
        <v>0</v>
      </c>
    </row>
    <row r="34" spans="2:44" ht="12" customHeight="1" x14ac:dyDescent="0.3">
      <c r="B34" s="120" t="s">
        <v>22</v>
      </c>
      <c r="C34" s="121" t="s">
        <v>92</v>
      </c>
      <c r="D34" s="121" t="s">
        <v>24</v>
      </c>
      <c r="E34" s="121" t="s">
        <v>1261</v>
      </c>
      <c r="F34" s="121" t="s">
        <v>25</v>
      </c>
      <c r="G34" s="121" t="s">
        <v>25</v>
      </c>
      <c r="H34" s="121" t="s">
        <v>78</v>
      </c>
      <c r="I34" s="121" t="s">
        <v>25</v>
      </c>
      <c r="J34" s="121">
        <v>325.44</v>
      </c>
      <c r="K34" s="121">
        <v>298.47000000000003</v>
      </c>
      <c r="L34" s="121">
        <v>0</v>
      </c>
      <c r="M34" s="121">
        <v>0.88834685508396904</v>
      </c>
      <c r="N34" s="121">
        <v>5.7984683025221901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94.717023317548197</v>
      </c>
      <c r="Y34" s="121">
        <v>0</v>
      </c>
      <c r="Z34" s="121">
        <v>0</v>
      </c>
      <c r="AA34" s="121">
        <v>200.260543682709</v>
      </c>
      <c r="AB34" s="121">
        <v>0</v>
      </c>
      <c r="AC34" s="121">
        <v>0</v>
      </c>
      <c r="AD34" s="121">
        <v>22.284323363630602</v>
      </c>
      <c r="AE34" s="121">
        <v>0</v>
      </c>
      <c r="AF34" s="121">
        <v>1.30712993296958</v>
      </c>
      <c r="AG34" s="121">
        <v>0.183189791653843</v>
      </c>
      <c r="AH34" s="121">
        <v>4.7136826712368798</v>
      </c>
      <c r="AI34" s="121">
        <v>0</v>
      </c>
      <c r="AJ34" s="121">
        <v>3.0900227818347101</v>
      </c>
      <c r="AK34" s="121">
        <v>0</v>
      </c>
      <c r="AL34" s="121">
        <v>0</v>
      </c>
      <c r="AM34" s="121">
        <v>290.66610548168802</v>
      </c>
      <c r="AN34" s="121">
        <v>0</v>
      </c>
      <c r="AO34" s="121">
        <v>0</v>
      </c>
      <c r="AP34" s="121">
        <v>0</v>
      </c>
      <c r="AQ34" s="121">
        <v>0</v>
      </c>
      <c r="AR34" s="122">
        <v>0</v>
      </c>
    </row>
    <row r="35" spans="2:44" ht="12" customHeight="1" x14ac:dyDescent="0.3">
      <c r="B35" s="120" t="s">
        <v>22</v>
      </c>
      <c r="C35" s="121" t="s">
        <v>92</v>
      </c>
      <c r="D35" s="121" t="s">
        <v>24</v>
      </c>
      <c r="E35" s="121" t="s">
        <v>24</v>
      </c>
      <c r="F35" s="121" t="s">
        <v>25</v>
      </c>
      <c r="G35" s="121" t="s">
        <v>25</v>
      </c>
      <c r="H35" s="121" t="s">
        <v>78</v>
      </c>
      <c r="I35" s="121" t="s">
        <v>25</v>
      </c>
      <c r="J35" s="121">
        <v>446.1</v>
      </c>
      <c r="K35" s="121">
        <v>298.47000000000003</v>
      </c>
      <c r="L35" s="121">
        <v>2.4983655961837798</v>
      </c>
      <c r="M35" s="121">
        <v>0.88834685508396904</v>
      </c>
      <c r="N35" s="121">
        <v>5.8184153511288299</v>
      </c>
      <c r="O35" s="121">
        <v>0</v>
      </c>
      <c r="P35" s="121">
        <v>0</v>
      </c>
      <c r="Q35" s="121">
        <v>102.96716664722</v>
      </c>
      <c r="R35" s="121">
        <v>15.170627343713999</v>
      </c>
      <c r="S35" s="121">
        <v>0</v>
      </c>
      <c r="T35" s="121">
        <v>0</v>
      </c>
      <c r="U35" s="121">
        <v>0</v>
      </c>
      <c r="V35" s="121">
        <v>0</v>
      </c>
      <c r="W35" s="121">
        <v>0</v>
      </c>
      <c r="X35" s="121">
        <v>94.717023317548197</v>
      </c>
      <c r="Y35" s="121">
        <v>0</v>
      </c>
      <c r="Z35" s="121">
        <v>0</v>
      </c>
      <c r="AA35" s="121">
        <v>200.260543682709</v>
      </c>
      <c r="AB35" s="121">
        <v>0</v>
      </c>
      <c r="AC35" s="121">
        <v>0</v>
      </c>
      <c r="AD35" s="121">
        <v>22.284323363630602</v>
      </c>
      <c r="AE35" s="121">
        <v>0</v>
      </c>
      <c r="AF35" s="121">
        <v>1.30712993296958</v>
      </c>
      <c r="AG35" s="121">
        <v>0.183189791653843</v>
      </c>
      <c r="AH35" s="121">
        <v>4.7136826712368798</v>
      </c>
      <c r="AI35" s="121">
        <v>0</v>
      </c>
      <c r="AJ35" s="121">
        <v>3.0900227818347101</v>
      </c>
      <c r="AK35" s="121">
        <v>0</v>
      </c>
      <c r="AL35" s="121">
        <v>0</v>
      </c>
      <c r="AM35" s="121">
        <v>290.66610548168802</v>
      </c>
      <c r="AN35" s="121">
        <v>0</v>
      </c>
      <c r="AO35" s="121">
        <v>0</v>
      </c>
      <c r="AP35" s="121">
        <v>0</v>
      </c>
      <c r="AQ35" s="121">
        <v>0</v>
      </c>
      <c r="AR35" s="122">
        <v>0</v>
      </c>
    </row>
    <row r="36" spans="2:44" ht="12" customHeight="1" x14ac:dyDescent="0.3">
      <c r="B36" s="120" t="s">
        <v>41</v>
      </c>
      <c r="C36" s="121" t="s">
        <v>38</v>
      </c>
      <c r="D36" s="121" t="s">
        <v>42</v>
      </c>
      <c r="E36" s="121" t="s">
        <v>93</v>
      </c>
      <c r="F36" s="121" t="s">
        <v>25</v>
      </c>
      <c r="G36" s="121" t="s">
        <v>36</v>
      </c>
      <c r="H36" s="121" t="s">
        <v>78</v>
      </c>
      <c r="I36" s="121" t="s">
        <v>25</v>
      </c>
      <c r="J36" s="121">
        <v>1858.97</v>
      </c>
      <c r="K36" s="121">
        <v>450.68</v>
      </c>
      <c r="L36" s="121">
        <v>2.34846366041275</v>
      </c>
      <c r="M36" s="121">
        <v>0.83504604377893099</v>
      </c>
      <c r="N36" s="121">
        <v>28.326084924460702</v>
      </c>
      <c r="O36" s="121">
        <v>0</v>
      </c>
      <c r="P36" s="121">
        <v>0</v>
      </c>
      <c r="Q36" s="121">
        <v>96.7891366483871</v>
      </c>
      <c r="R36" s="121">
        <v>14.260389703091199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543.96224089726195</v>
      </c>
      <c r="Y36" s="121">
        <v>0</v>
      </c>
      <c r="Z36" s="121">
        <v>0</v>
      </c>
      <c r="AA36" s="121">
        <v>1150.10123488565</v>
      </c>
      <c r="AB36" s="121">
        <v>0</v>
      </c>
      <c r="AC36" s="121">
        <v>0</v>
      </c>
      <c r="AD36" s="121">
        <v>20.947263961812801</v>
      </c>
      <c r="AE36" s="121">
        <v>0</v>
      </c>
      <c r="AF36" s="121">
        <v>1.22870213699141</v>
      </c>
      <c r="AG36" s="121">
        <v>0.17219840415461199</v>
      </c>
      <c r="AH36" s="121">
        <v>4.4308617109626596</v>
      </c>
      <c r="AI36" s="121">
        <v>0</v>
      </c>
      <c r="AJ36" s="121">
        <v>2.9046214149246299</v>
      </c>
      <c r="AK36" s="121">
        <v>0</v>
      </c>
      <c r="AL36" s="121">
        <v>0</v>
      </c>
      <c r="AM36" s="121">
        <v>443.34807485169102</v>
      </c>
      <c r="AN36" s="121">
        <v>0</v>
      </c>
      <c r="AO36" s="121">
        <v>0</v>
      </c>
      <c r="AP36" s="121">
        <v>0</v>
      </c>
      <c r="AQ36" s="121">
        <v>0</v>
      </c>
      <c r="AR36" s="122">
        <v>0</v>
      </c>
    </row>
    <row r="37" spans="2:44" ht="12" customHeight="1" x14ac:dyDescent="0.3">
      <c r="B37" s="120" t="s">
        <v>41</v>
      </c>
      <c r="C37" s="121" t="s">
        <v>38</v>
      </c>
      <c r="D37" s="121" t="s">
        <v>42</v>
      </c>
      <c r="E37" s="121" t="s">
        <v>93</v>
      </c>
      <c r="F37" s="121" t="s">
        <v>25</v>
      </c>
      <c r="G37" s="121" t="s">
        <v>39</v>
      </c>
      <c r="H37" s="121" t="s">
        <v>78</v>
      </c>
      <c r="I37" s="121" t="s">
        <v>25</v>
      </c>
      <c r="J37" s="121">
        <v>616.44000000000005</v>
      </c>
      <c r="K37" s="121">
        <v>265.10000000000002</v>
      </c>
      <c r="L37" s="121">
        <v>2.34846366041275</v>
      </c>
      <c r="M37" s="121">
        <v>0.83504604377893099</v>
      </c>
      <c r="N37" s="121">
        <v>8.5988318490705193</v>
      </c>
      <c r="O37" s="121">
        <v>0</v>
      </c>
      <c r="P37" s="121">
        <v>0</v>
      </c>
      <c r="Q37" s="121">
        <v>96.7891366483871</v>
      </c>
      <c r="R37" s="121">
        <v>14.260389703091199</v>
      </c>
      <c r="S37" s="121">
        <v>0</v>
      </c>
      <c r="T37" s="121">
        <v>0</v>
      </c>
      <c r="U37" s="121">
        <v>0</v>
      </c>
      <c r="V37" s="121">
        <v>0</v>
      </c>
      <c r="W37" s="121">
        <v>0</v>
      </c>
      <c r="X37" s="121">
        <v>151.32228328206401</v>
      </c>
      <c r="Y37" s="121">
        <v>0</v>
      </c>
      <c r="Z37" s="121">
        <v>0</v>
      </c>
      <c r="AA37" s="121">
        <v>319.94104862614103</v>
      </c>
      <c r="AB37" s="121">
        <v>0</v>
      </c>
      <c r="AC37" s="121">
        <v>0</v>
      </c>
      <c r="AD37" s="121">
        <v>20.947263961812801</v>
      </c>
      <c r="AE37" s="121">
        <v>0</v>
      </c>
      <c r="AF37" s="121">
        <v>1.22870213699141</v>
      </c>
      <c r="AG37" s="121">
        <v>0.17219840415461199</v>
      </c>
      <c r="AH37" s="121">
        <v>4.4308617109626596</v>
      </c>
      <c r="AI37" s="121">
        <v>0</v>
      </c>
      <c r="AJ37" s="121">
        <v>2.9046214149246299</v>
      </c>
      <c r="AK37" s="121">
        <v>0</v>
      </c>
      <c r="AL37" s="121">
        <v>0</v>
      </c>
      <c r="AM37" s="121">
        <v>257.76050863470402</v>
      </c>
      <c r="AN37" s="121">
        <v>0</v>
      </c>
      <c r="AO37" s="121">
        <v>0</v>
      </c>
      <c r="AP37" s="121">
        <v>0</v>
      </c>
      <c r="AQ37" s="121">
        <v>0</v>
      </c>
      <c r="AR37" s="122">
        <v>0</v>
      </c>
    </row>
    <row r="38" spans="2:44" ht="12" customHeight="1" x14ac:dyDescent="0.3">
      <c r="B38" s="120" t="s">
        <v>41</v>
      </c>
      <c r="C38" s="121" t="s">
        <v>38</v>
      </c>
      <c r="D38" s="121" t="s">
        <v>42</v>
      </c>
      <c r="E38" s="121" t="s">
        <v>93</v>
      </c>
      <c r="F38" s="121" t="s">
        <v>25</v>
      </c>
      <c r="G38" s="121" t="s">
        <v>37</v>
      </c>
      <c r="H38" s="121" t="s">
        <v>78</v>
      </c>
      <c r="I38" s="121" t="s">
        <v>25</v>
      </c>
      <c r="J38" s="121">
        <v>216.47</v>
      </c>
      <c r="K38" s="121">
        <v>265.10000000000002</v>
      </c>
      <c r="L38" s="121">
        <v>2.34846366041275</v>
      </c>
      <c r="M38" s="121">
        <v>0.83504604377893099</v>
      </c>
      <c r="N38" s="121">
        <v>2.2485354126624402</v>
      </c>
      <c r="O38" s="121">
        <v>0</v>
      </c>
      <c r="P38" s="121">
        <v>0</v>
      </c>
      <c r="Q38" s="121">
        <v>96.7891366483871</v>
      </c>
      <c r="R38" s="121">
        <v>14.260389703091199</v>
      </c>
      <c r="S38" s="121">
        <v>0</v>
      </c>
      <c r="T38" s="121">
        <v>0</v>
      </c>
      <c r="U38" s="121">
        <v>0</v>
      </c>
      <c r="V38" s="121">
        <v>0</v>
      </c>
      <c r="W38" s="121">
        <v>0</v>
      </c>
      <c r="X38" s="121">
        <v>24.9295937742496</v>
      </c>
      <c r="Y38" s="121">
        <v>0</v>
      </c>
      <c r="Z38" s="121">
        <v>0</v>
      </c>
      <c r="AA38" s="121">
        <v>52.708558384806601</v>
      </c>
      <c r="AB38" s="121">
        <v>0</v>
      </c>
      <c r="AC38" s="121">
        <v>0</v>
      </c>
      <c r="AD38" s="121">
        <v>20.947263961812801</v>
      </c>
      <c r="AE38" s="121">
        <v>0</v>
      </c>
      <c r="AF38" s="121">
        <v>1.22870213699141</v>
      </c>
      <c r="AG38" s="121">
        <v>0.17219840415461199</v>
      </c>
      <c r="AH38" s="121">
        <v>4.4308617109626596</v>
      </c>
      <c r="AI38" s="121">
        <v>0</v>
      </c>
      <c r="AJ38" s="121">
        <v>2.9046214149246299</v>
      </c>
      <c r="AK38" s="121">
        <v>0</v>
      </c>
      <c r="AL38" s="121">
        <v>0</v>
      </c>
      <c r="AM38" s="121">
        <v>257.76050863470402</v>
      </c>
      <c r="AN38" s="121">
        <v>0</v>
      </c>
      <c r="AO38" s="121">
        <v>0</v>
      </c>
      <c r="AP38" s="121">
        <v>0</v>
      </c>
      <c r="AQ38" s="121">
        <v>0</v>
      </c>
      <c r="AR38" s="122">
        <v>0</v>
      </c>
    </row>
    <row r="39" spans="2:44" ht="12" customHeight="1" x14ac:dyDescent="0.3">
      <c r="B39" s="120" t="s">
        <v>41</v>
      </c>
      <c r="C39" s="121" t="s">
        <v>38</v>
      </c>
      <c r="D39" s="121" t="s">
        <v>42</v>
      </c>
      <c r="E39" s="121" t="s">
        <v>25</v>
      </c>
      <c r="F39" s="121" t="s">
        <v>25</v>
      </c>
      <c r="G39" s="121" t="s">
        <v>36</v>
      </c>
      <c r="H39" s="121" t="s">
        <v>78</v>
      </c>
      <c r="I39" s="121" t="s">
        <v>25</v>
      </c>
      <c r="J39" s="121">
        <v>1858.97</v>
      </c>
      <c r="K39" s="121">
        <v>450.68</v>
      </c>
      <c r="L39" s="121">
        <v>2.34846366041275</v>
      </c>
      <c r="M39" s="121">
        <v>0.83504604377893099</v>
      </c>
      <c r="N39" s="121">
        <v>28.326084924460702</v>
      </c>
      <c r="O39" s="121">
        <v>0</v>
      </c>
      <c r="P39" s="121">
        <v>0</v>
      </c>
      <c r="Q39" s="121">
        <v>96.7891366483871</v>
      </c>
      <c r="R39" s="121">
        <v>14.260389703091199</v>
      </c>
      <c r="S39" s="121">
        <v>0</v>
      </c>
      <c r="T39" s="121">
        <v>0</v>
      </c>
      <c r="U39" s="121">
        <v>0</v>
      </c>
      <c r="V39" s="121">
        <v>0</v>
      </c>
      <c r="W39" s="121">
        <v>0</v>
      </c>
      <c r="X39" s="121">
        <v>543.96224089726195</v>
      </c>
      <c r="Y39" s="121">
        <v>0</v>
      </c>
      <c r="Z39" s="121">
        <v>0</v>
      </c>
      <c r="AA39" s="121">
        <v>1150.10123488565</v>
      </c>
      <c r="AB39" s="121">
        <v>0</v>
      </c>
      <c r="AC39" s="121">
        <v>0</v>
      </c>
      <c r="AD39" s="121">
        <v>20.947263961812801</v>
      </c>
      <c r="AE39" s="121">
        <v>0</v>
      </c>
      <c r="AF39" s="121">
        <v>1.22870213699141</v>
      </c>
      <c r="AG39" s="121">
        <v>0.17219840415461199</v>
      </c>
      <c r="AH39" s="121">
        <v>4.4308617109626596</v>
      </c>
      <c r="AI39" s="121">
        <v>0</v>
      </c>
      <c r="AJ39" s="121">
        <v>2.9046214149246299</v>
      </c>
      <c r="AK39" s="121">
        <v>0</v>
      </c>
      <c r="AL39" s="121">
        <v>0</v>
      </c>
      <c r="AM39" s="121">
        <v>443.34807485169102</v>
      </c>
      <c r="AN39" s="121">
        <v>0</v>
      </c>
      <c r="AO39" s="121">
        <v>0</v>
      </c>
      <c r="AP39" s="121">
        <v>0</v>
      </c>
      <c r="AQ39" s="121">
        <v>0</v>
      </c>
      <c r="AR39" s="122">
        <v>0</v>
      </c>
    </row>
    <row r="40" spans="2:44" ht="12" customHeight="1" x14ac:dyDescent="0.3">
      <c r="B40" s="120" t="s">
        <v>41</v>
      </c>
      <c r="C40" s="121" t="s">
        <v>38</v>
      </c>
      <c r="D40" s="121" t="s">
        <v>42</v>
      </c>
      <c r="E40" s="121" t="s">
        <v>25</v>
      </c>
      <c r="F40" s="121" t="s">
        <v>25</v>
      </c>
      <c r="G40" s="121" t="s">
        <v>39</v>
      </c>
      <c r="H40" s="121" t="s">
        <v>78</v>
      </c>
      <c r="I40" s="121" t="s">
        <v>25</v>
      </c>
      <c r="J40" s="121">
        <v>616.44000000000005</v>
      </c>
      <c r="K40" s="121">
        <v>265.10000000000002</v>
      </c>
      <c r="L40" s="121">
        <v>2.34846366041275</v>
      </c>
      <c r="M40" s="121">
        <v>0.83504604377893099</v>
      </c>
      <c r="N40" s="121">
        <v>8.5988318490705193</v>
      </c>
      <c r="O40" s="121">
        <v>0</v>
      </c>
      <c r="P40" s="121">
        <v>0</v>
      </c>
      <c r="Q40" s="121">
        <v>96.7891366483871</v>
      </c>
      <c r="R40" s="121">
        <v>14.260389703091199</v>
      </c>
      <c r="S40" s="121">
        <v>0</v>
      </c>
      <c r="T40" s="121">
        <v>0</v>
      </c>
      <c r="U40" s="121">
        <v>0</v>
      </c>
      <c r="V40" s="121">
        <v>0</v>
      </c>
      <c r="W40" s="121">
        <v>0</v>
      </c>
      <c r="X40" s="121">
        <v>151.32228328206401</v>
      </c>
      <c r="Y40" s="121">
        <v>0</v>
      </c>
      <c r="Z40" s="121">
        <v>0</v>
      </c>
      <c r="AA40" s="121">
        <v>319.94104862614103</v>
      </c>
      <c r="AB40" s="121">
        <v>0</v>
      </c>
      <c r="AC40" s="121">
        <v>0</v>
      </c>
      <c r="AD40" s="121">
        <v>20.947263961812801</v>
      </c>
      <c r="AE40" s="121">
        <v>0</v>
      </c>
      <c r="AF40" s="121">
        <v>1.22870213699141</v>
      </c>
      <c r="AG40" s="121">
        <v>0.17219840415461199</v>
      </c>
      <c r="AH40" s="121">
        <v>4.4308617109626596</v>
      </c>
      <c r="AI40" s="121">
        <v>0</v>
      </c>
      <c r="AJ40" s="121">
        <v>2.9046214149246299</v>
      </c>
      <c r="AK40" s="121">
        <v>0</v>
      </c>
      <c r="AL40" s="121">
        <v>0</v>
      </c>
      <c r="AM40" s="121">
        <v>257.76050863470402</v>
      </c>
      <c r="AN40" s="121">
        <v>0</v>
      </c>
      <c r="AO40" s="121">
        <v>0</v>
      </c>
      <c r="AP40" s="121">
        <v>0</v>
      </c>
      <c r="AQ40" s="121">
        <v>0</v>
      </c>
      <c r="AR40" s="122">
        <v>0</v>
      </c>
    </row>
    <row r="41" spans="2:44" ht="12" customHeight="1" x14ac:dyDescent="0.3">
      <c r="B41" s="120" t="s">
        <v>41</v>
      </c>
      <c r="C41" s="121" t="s">
        <v>38</v>
      </c>
      <c r="D41" s="121" t="s">
        <v>42</v>
      </c>
      <c r="E41" s="121" t="s">
        <v>25</v>
      </c>
      <c r="F41" s="121" t="s">
        <v>25</v>
      </c>
      <c r="G41" s="121" t="s">
        <v>37</v>
      </c>
      <c r="H41" s="121" t="s">
        <v>78</v>
      </c>
      <c r="I41" s="121" t="s">
        <v>25</v>
      </c>
      <c r="J41" s="121">
        <v>216.47</v>
      </c>
      <c r="K41" s="121">
        <v>265.10000000000002</v>
      </c>
      <c r="L41" s="121">
        <v>2.34846366041275</v>
      </c>
      <c r="M41" s="121">
        <v>0.83504604377893099</v>
      </c>
      <c r="N41" s="121">
        <v>2.2485354126624402</v>
      </c>
      <c r="O41" s="121">
        <v>0</v>
      </c>
      <c r="P41" s="121">
        <v>0</v>
      </c>
      <c r="Q41" s="121">
        <v>96.7891366483871</v>
      </c>
      <c r="R41" s="121">
        <v>14.260389703091199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24.9295937742496</v>
      </c>
      <c r="Y41" s="121">
        <v>0</v>
      </c>
      <c r="Z41" s="121">
        <v>0</v>
      </c>
      <c r="AA41" s="121">
        <v>52.708558384806601</v>
      </c>
      <c r="AB41" s="121">
        <v>0</v>
      </c>
      <c r="AC41" s="121">
        <v>0</v>
      </c>
      <c r="AD41" s="121">
        <v>20.947263961812801</v>
      </c>
      <c r="AE41" s="121">
        <v>0</v>
      </c>
      <c r="AF41" s="121">
        <v>1.22870213699141</v>
      </c>
      <c r="AG41" s="121">
        <v>0.17219840415461199</v>
      </c>
      <c r="AH41" s="121">
        <v>4.4308617109626596</v>
      </c>
      <c r="AI41" s="121">
        <v>0</v>
      </c>
      <c r="AJ41" s="121">
        <v>2.9046214149246299</v>
      </c>
      <c r="AK41" s="121">
        <v>0</v>
      </c>
      <c r="AL41" s="121">
        <v>0</v>
      </c>
      <c r="AM41" s="121">
        <v>257.76050863470402</v>
      </c>
      <c r="AN41" s="121">
        <v>0</v>
      </c>
      <c r="AO41" s="121">
        <v>0</v>
      </c>
      <c r="AP41" s="121">
        <v>0</v>
      </c>
      <c r="AQ41" s="121">
        <v>0</v>
      </c>
      <c r="AR41" s="122">
        <v>0</v>
      </c>
    </row>
    <row r="42" spans="2:44" ht="12" customHeight="1" x14ac:dyDescent="0.3">
      <c r="B42" s="120" t="s">
        <v>41</v>
      </c>
      <c r="C42" s="121" t="s">
        <v>38</v>
      </c>
      <c r="D42" s="121" t="s">
        <v>42</v>
      </c>
      <c r="E42" s="121" t="s">
        <v>94</v>
      </c>
      <c r="F42" s="121" t="s">
        <v>25</v>
      </c>
      <c r="G42" s="121" t="s">
        <v>36</v>
      </c>
      <c r="H42" s="121" t="s">
        <v>78</v>
      </c>
      <c r="I42" s="121" t="s">
        <v>25</v>
      </c>
      <c r="J42" s="121">
        <v>1819.42</v>
      </c>
      <c r="K42" s="121">
        <v>441.09</v>
      </c>
      <c r="L42" s="121">
        <v>2.2984963484890701</v>
      </c>
      <c r="M42" s="121">
        <v>0.81727910667725101</v>
      </c>
      <c r="N42" s="121">
        <v>27.723402266493402</v>
      </c>
      <c r="O42" s="121">
        <v>0</v>
      </c>
      <c r="P42" s="121">
        <v>0</v>
      </c>
      <c r="Q42" s="121">
        <v>94.729793315442706</v>
      </c>
      <c r="R42" s="121">
        <v>13.956977156216899</v>
      </c>
      <c r="S42" s="121">
        <v>0</v>
      </c>
      <c r="T42" s="121">
        <v>0</v>
      </c>
      <c r="U42" s="121">
        <v>0</v>
      </c>
      <c r="V42" s="121">
        <v>0</v>
      </c>
      <c r="W42" s="121">
        <v>0</v>
      </c>
      <c r="X42" s="121">
        <v>532.38857619732005</v>
      </c>
      <c r="Y42" s="121">
        <v>0</v>
      </c>
      <c r="Z42" s="121">
        <v>0</v>
      </c>
      <c r="AA42" s="121">
        <v>1125.6309958455299</v>
      </c>
      <c r="AB42" s="121">
        <v>0</v>
      </c>
      <c r="AC42" s="121">
        <v>0</v>
      </c>
      <c r="AD42" s="121">
        <v>20.5015774945402</v>
      </c>
      <c r="AE42" s="121">
        <v>0</v>
      </c>
      <c r="AF42" s="121">
        <v>1.20255953833202</v>
      </c>
      <c r="AG42" s="121">
        <v>0.16853460832153599</v>
      </c>
      <c r="AH42" s="121">
        <v>4.3365880575379299</v>
      </c>
      <c r="AI42" s="121">
        <v>0</v>
      </c>
      <c r="AJ42" s="121">
        <v>2.8428209592879301</v>
      </c>
      <c r="AK42" s="121">
        <v>0</v>
      </c>
      <c r="AL42" s="121">
        <v>0</v>
      </c>
      <c r="AM42" s="121">
        <v>433.91513708888903</v>
      </c>
      <c r="AN42" s="121">
        <v>0</v>
      </c>
      <c r="AO42" s="121">
        <v>0</v>
      </c>
      <c r="AP42" s="121">
        <v>0</v>
      </c>
      <c r="AQ42" s="121">
        <v>0</v>
      </c>
      <c r="AR42" s="122">
        <v>0</v>
      </c>
    </row>
    <row r="43" spans="2:44" ht="12" customHeight="1" x14ac:dyDescent="0.3">
      <c r="B43" s="120" t="s">
        <v>41</v>
      </c>
      <c r="C43" s="121" t="s">
        <v>38</v>
      </c>
      <c r="D43" s="121" t="s">
        <v>42</v>
      </c>
      <c r="E43" s="121" t="s">
        <v>94</v>
      </c>
      <c r="F43" s="121" t="s">
        <v>25</v>
      </c>
      <c r="G43" s="121" t="s">
        <v>39</v>
      </c>
      <c r="H43" s="121" t="s">
        <v>78</v>
      </c>
      <c r="I43" s="121" t="s">
        <v>25</v>
      </c>
      <c r="J43" s="121">
        <v>603.33000000000004</v>
      </c>
      <c r="K43" s="121">
        <v>259.45999999999998</v>
      </c>
      <c r="L43" s="121">
        <v>2.2984963484890701</v>
      </c>
      <c r="M43" s="121">
        <v>0.81727910667725101</v>
      </c>
      <c r="N43" s="121">
        <v>8.4158779799413601</v>
      </c>
      <c r="O43" s="121">
        <v>0</v>
      </c>
      <c r="P43" s="121">
        <v>0</v>
      </c>
      <c r="Q43" s="121">
        <v>94.729793315442706</v>
      </c>
      <c r="R43" s="121">
        <v>13.956977156216899</v>
      </c>
      <c r="S43" s="121">
        <v>0</v>
      </c>
      <c r="T43" s="121">
        <v>0</v>
      </c>
      <c r="U43" s="121">
        <v>0</v>
      </c>
      <c r="V43" s="121">
        <v>0</v>
      </c>
      <c r="W43" s="121">
        <v>0</v>
      </c>
      <c r="X43" s="121">
        <v>148.102660233509</v>
      </c>
      <c r="Y43" s="121">
        <v>0</v>
      </c>
      <c r="Z43" s="121">
        <v>0</v>
      </c>
      <c r="AA43" s="121">
        <v>313.13379227239301</v>
      </c>
      <c r="AB43" s="121">
        <v>0</v>
      </c>
      <c r="AC43" s="121">
        <v>0</v>
      </c>
      <c r="AD43" s="121">
        <v>20.5015774945402</v>
      </c>
      <c r="AE43" s="121">
        <v>0</v>
      </c>
      <c r="AF43" s="121">
        <v>1.20255953833202</v>
      </c>
      <c r="AG43" s="121">
        <v>0.16853460832153599</v>
      </c>
      <c r="AH43" s="121">
        <v>4.3365880575379299</v>
      </c>
      <c r="AI43" s="121">
        <v>0</v>
      </c>
      <c r="AJ43" s="121">
        <v>2.8428209592879301</v>
      </c>
      <c r="AK43" s="121">
        <v>0</v>
      </c>
      <c r="AL43" s="121">
        <v>0</v>
      </c>
      <c r="AM43" s="121">
        <v>252.27624249354</v>
      </c>
      <c r="AN43" s="121">
        <v>0</v>
      </c>
      <c r="AO43" s="121">
        <v>0</v>
      </c>
      <c r="AP43" s="121">
        <v>0</v>
      </c>
      <c r="AQ43" s="121">
        <v>0</v>
      </c>
      <c r="AR43" s="122">
        <v>0</v>
      </c>
    </row>
    <row r="44" spans="2:44" ht="12" customHeight="1" x14ac:dyDescent="0.3">
      <c r="B44" s="120" t="s">
        <v>41</v>
      </c>
      <c r="C44" s="121" t="s">
        <v>38</v>
      </c>
      <c r="D44" s="121" t="s">
        <v>42</v>
      </c>
      <c r="E44" s="121" t="s">
        <v>94</v>
      </c>
      <c r="F44" s="121" t="s">
        <v>25</v>
      </c>
      <c r="G44" s="121" t="s">
        <v>37</v>
      </c>
      <c r="H44" s="121" t="s">
        <v>78</v>
      </c>
      <c r="I44" s="121" t="s">
        <v>25</v>
      </c>
      <c r="J44" s="121">
        <v>211.86</v>
      </c>
      <c r="K44" s="121">
        <v>259.45999999999998</v>
      </c>
      <c r="L44" s="121">
        <v>2.2984963484890701</v>
      </c>
      <c r="M44" s="121">
        <v>0.81727910667725101</v>
      </c>
      <c r="N44" s="121">
        <v>2.20069423366962</v>
      </c>
      <c r="O44" s="121">
        <v>0</v>
      </c>
      <c r="P44" s="121">
        <v>0</v>
      </c>
      <c r="Q44" s="121">
        <v>94.729793315442706</v>
      </c>
      <c r="R44" s="121">
        <v>13.956977156216899</v>
      </c>
      <c r="S44" s="121">
        <v>0</v>
      </c>
      <c r="T44" s="121">
        <v>0</v>
      </c>
      <c r="U44" s="121">
        <v>0</v>
      </c>
      <c r="V44" s="121">
        <v>0</v>
      </c>
      <c r="W44" s="121">
        <v>0</v>
      </c>
      <c r="X44" s="121">
        <v>24.3991768854358</v>
      </c>
      <c r="Y44" s="121">
        <v>0</v>
      </c>
      <c r="Z44" s="121">
        <v>0</v>
      </c>
      <c r="AA44" s="121">
        <v>51.587099695768103</v>
      </c>
      <c r="AB44" s="121">
        <v>0</v>
      </c>
      <c r="AC44" s="121">
        <v>0</v>
      </c>
      <c r="AD44" s="121">
        <v>20.5015774945402</v>
      </c>
      <c r="AE44" s="121">
        <v>0</v>
      </c>
      <c r="AF44" s="121">
        <v>1.20255953833202</v>
      </c>
      <c r="AG44" s="121">
        <v>0.16853460832153599</v>
      </c>
      <c r="AH44" s="121">
        <v>4.3365880575379299</v>
      </c>
      <c r="AI44" s="121">
        <v>0</v>
      </c>
      <c r="AJ44" s="121">
        <v>2.8428209592879301</v>
      </c>
      <c r="AK44" s="121">
        <v>0</v>
      </c>
      <c r="AL44" s="121">
        <v>0</v>
      </c>
      <c r="AM44" s="121">
        <v>252.27624249354</v>
      </c>
      <c r="AN44" s="121">
        <v>0</v>
      </c>
      <c r="AO44" s="121">
        <v>0</v>
      </c>
      <c r="AP44" s="121">
        <v>0</v>
      </c>
      <c r="AQ44" s="121">
        <v>0</v>
      </c>
      <c r="AR44" s="122">
        <v>0</v>
      </c>
    </row>
    <row r="45" spans="2:44" ht="12" customHeight="1" x14ac:dyDescent="0.3">
      <c r="B45" s="120" t="s">
        <v>41</v>
      </c>
      <c r="C45" s="121" t="s">
        <v>23</v>
      </c>
      <c r="D45" s="121" t="s">
        <v>42</v>
      </c>
      <c r="E45" s="121" t="s">
        <v>93</v>
      </c>
      <c r="F45" s="121" t="s">
        <v>25</v>
      </c>
      <c r="G45" s="121" t="s">
        <v>25</v>
      </c>
      <c r="H45" s="121" t="s">
        <v>78</v>
      </c>
      <c r="I45" s="121" t="s">
        <v>25</v>
      </c>
      <c r="J45" s="121">
        <v>419.33</v>
      </c>
      <c r="K45" s="121">
        <v>280.56</v>
      </c>
      <c r="L45" s="121">
        <v>2.34846366041275</v>
      </c>
      <c r="M45" s="121">
        <v>0.83504604377893099</v>
      </c>
      <c r="N45" s="121">
        <v>5.4693104300610997</v>
      </c>
      <c r="O45" s="121">
        <v>0</v>
      </c>
      <c r="P45" s="121">
        <v>0</v>
      </c>
      <c r="Q45" s="121">
        <v>96.7891366483871</v>
      </c>
      <c r="R45" s="121">
        <v>14.260389703091199</v>
      </c>
      <c r="S45" s="121">
        <v>0</v>
      </c>
      <c r="T45" s="121">
        <v>0</v>
      </c>
      <c r="U45" s="121">
        <v>0</v>
      </c>
      <c r="V45" s="121">
        <v>0</v>
      </c>
      <c r="W45" s="121">
        <v>0</v>
      </c>
      <c r="X45" s="121">
        <v>89.034001918495306</v>
      </c>
      <c r="Y45" s="121">
        <v>0</v>
      </c>
      <c r="Z45" s="121">
        <v>0</v>
      </c>
      <c r="AA45" s="121">
        <v>188.24491106174699</v>
      </c>
      <c r="AB45" s="121">
        <v>0</v>
      </c>
      <c r="AC45" s="121">
        <v>0</v>
      </c>
      <c r="AD45" s="121">
        <v>20.947263961812801</v>
      </c>
      <c r="AE45" s="121">
        <v>0</v>
      </c>
      <c r="AF45" s="121">
        <v>1.22870213699141</v>
      </c>
      <c r="AG45" s="121">
        <v>0.17219840415461199</v>
      </c>
      <c r="AH45" s="121">
        <v>4.4308617109626596</v>
      </c>
      <c r="AI45" s="121">
        <v>0</v>
      </c>
      <c r="AJ45" s="121">
        <v>2.9046214149246299</v>
      </c>
      <c r="AK45" s="121">
        <v>0</v>
      </c>
      <c r="AL45" s="121">
        <v>0</v>
      </c>
      <c r="AM45" s="121">
        <v>273.22613915278703</v>
      </c>
      <c r="AN45" s="121">
        <v>0</v>
      </c>
      <c r="AO45" s="121">
        <v>0</v>
      </c>
      <c r="AP45" s="121">
        <v>0</v>
      </c>
      <c r="AQ45" s="121">
        <v>0</v>
      </c>
      <c r="AR45" s="122">
        <v>0</v>
      </c>
    </row>
    <row r="46" spans="2:44" ht="12" customHeight="1" x14ac:dyDescent="0.3">
      <c r="B46" s="120" t="s">
        <v>41</v>
      </c>
      <c r="C46" s="121" t="s">
        <v>23</v>
      </c>
      <c r="D46" s="121" t="s">
        <v>42</v>
      </c>
      <c r="E46" s="121" t="s">
        <v>25</v>
      </c>
      <c r="F46" s="121" t="s">
        <v>25</v>
      </c>
      <c r="G46" s="121" t="s">
        <v>25</v>
      </c>
      <c r="H46" s="121" t="s">
        <v>78</v>
      </c>
      <c r="I46" s="121" t="s">
        <v>25</v>
      </c>
      <c r="J46" s="121">
        <v>419.33</v>
      </c>
      <c r="K46" s="121">
        <v>280.56</v>
      </c>
      <c r="L46" s="121">
        <v>2.34846366041275</v>
      </c>
      <c r="M46" s="121">
        <v>0.83504604377893099</v>
      </c>
      <c r="N46" s="121">
        <v>5.4693104300610997</v>
      </c>
      <c r="O46" s="121">
        <v>0</v>
      </c>
      <c r="P46" s="121">
        <v>0</v>
      </c>
      <c r="Q46" s="121">
        <v>96.7891366483871</v>
      </c>
      <c r="R46" s="121">
        <v>14.260389703091199</v>
      </c>
      <c r="S46" s="121">
        <v>0</v>
      </c>
      <c r="T46" s="121">
        <v>0</v>
      </c>
      <c r="U46" s="121">
        <v>0</v>
      </c>
      <c r="V46" s="121">
        <v>0</v>
      </c>
      <c r="W46" s="121">
        <v>0</v>
      </c>
      <c r="X46" s="121">
        <v>89.034001918495306</v>
      </c>
      <c r="Y46" s="121">
        <v>0</v>
      </c>
      <c r="Z46" s="121">
        <v>0</v>
      </c>
      <c r="AA46" s="121">
        <v>188.24491106174699</v>
      </c>
      <c r="AB46" s="121">
        <v>0</v>
      </c>
      <c r="AC46" s="121">
        <v>0</v>
      </c>
      <c r="AD46" s="121">
        <v>20.947263961812801</v>
      </c>
      <c r="AE46" s="121">
        <v>0</v>
      </c>
      <c r="AF46" s="121">
        <v>1.22870213699141</v>
      </c>
      <c r="AG46" s="121">
        <v>0.17219840415461199</v>
      </c>
      <c r="AH46" s="121">
        <v>4.4308617109626596</v>
      </c>
      <c r="AI46" s="121">
        <v>0</v>
      </c>
      <c r="AJ46" s="121">
        <v>2.9046214149246299</v>
      </c>
      <c r="AK46" s="121">
        <v>0</v>
      </c>
      <c r="AL46" s="121">
        <v>0</v>
      </c>
      <c r="AM46" s="121">
        <v>273.22613915278703</v>
      </c>
      <c r="AN46" s="121">
        <v>0</v>
      </c>
      <c r="AO46" s="121">
        <v>0</v>
      </c>
      <c r="AP46" s="121">
        <v>0</v>
      </c>
      <c r="AQ46" s="121">
        <v>0</v>
      </c>
      <c r="AR46" s="122">
        <v>0</v>
      </c>
    </row>
    <row r="47" spans="2:44" ht="12" customHeight="1" x14ac:dyDescent="0.3">
      <c r="B47" s="120" t="s">
        <v>41</v>
      </c>
      <c r="C47" s="121" t="s">
        <v>23</v>
      </c>
      <c r="D47" s="121" t="s">
        <v>42</v>
      </c>
      <c r="E47" s="121" t="s">
        <v>94</v>
      </c>
      <c r="F47" s="121" t="s">
        <v>25</v>
      </c>
      <c r="G47" s="121" t="s">
        <v>25</v>
      </c>
      <c r="H47" s="121" t="s">
        <v>78</v>
      </c>
      <c r="I47" s="121" t="s">
        <v>25</v>
      </c>
      <c r="J47" s="121">
        <v>410.41</v>
      </c>
      <c r="K47" s="121">
        <v>274.58999999999997</v>
      </c>
      <c r="L47" s="121">
        <v>2.2984963484890701</v>
      </c>
      <c r="M47" s="121">
        <v>0.81727910667725101</v>
      </c>
      <c r="N47" s="121">
        <v>5.3529421230385204</v>
      </c>
      <c r="O47" s="121">
        <v>0</v>
      </c>
      <c r="P47" s="121">
        <v>0</v>
      </c>
      <c r="Q47" s="121">
        <v>94.729793315442706</v>
      </c>
      <c r="R47" s="121">
        <v>13.956977156216899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87.139661452144395</v>
      </c>
      <c r="Y47" s="121">
        <v>0</v>
      </c>
      <c r="Z47" s="121">
        <v>0</v>
      </c>
      <c r="AA47" s="121">
        <v>184.239700188092</v>
      </c>
      <c r="AB47" s="121">
        <v>0</v>
      </c>
      <c r="AC47" s="121">
        <v>0</v>
      </c>
      <c r="AD47" s="121">
        <v>20.5015774945402</v>
      </c>
      <c r="AE47" s="121">
        <v>0</v>
      </c>
      <c r="AF47" s="121">
        <v>1.20255953833202</v>
      </c>
      <c r="AG47" s="121">
        <v>0.16853460832153599</v>
      </c>
      <c r="AH47" s="121">
        <v>4.3365880575379299</v>
      </c>
      <c r="AI47" s="121">
        <v>0</v>
      </c>
      <c r="AJ47" s="121">
        <v>2.8428209592879301</v>
      </c>
      <c r="AK47" s="121">
        <v>0</v>
      </c>
      <c r="AL47" s="121">
        <v>0</v>
      </c>
      <c r="AM47" s="121">
        <v>267.41281704315298</v>
      </c>
      <c r="AN47" s="121">
        <v>0</v>
      </c>
      <c r="AO47" s="121">
        <v>0</v>
      </c>
      <c r="AP47" s="121">
        <v>0</v>
      </c>
      <c r="AQ47" s="121">
        <v>0</v>
      </c>
      <c r="AR47" s="122">
        <v>0</v>
      </c>
    </row>
    <row r="48" spans="2:44" ht="12" customHeight="1" x14ac:dyDescent="0.3">
      <c r="B48" s="120" t="s">
        <v>41</v>
      </c>
      <c r="C48" s="121" t="s">
        <v>92</v>
      </c>
      <c r="D48" s="121" t="s">
        <v>42</v>
      </c>
      <c r="E48" s="121" t="s">
        <v>93</v>
      </c>
      <c r="F48" s="121" t="s">
        <v>25</v>
      </c>
      <c r="G48" s="121" t="s">
        <v>25</v>
      </c>
      <c r="H48" s="121" t="s">
        <v>78</v>
      </c>
      <c r="I48" s="121" t="s">
        <v>25</v>
      </c>
      <c r="J48" s="121">
        <v>419.33</v>
      </c>
      <c r="K48" s="121">
        <v>280.56</v>
      </c>
      <c r="L48" s="121">
        <v>2.34846366041275</v>
      </c>
      <c r="M48" s="121">
        <v>0.83504604377893099</v>
      </c>
      <c r="N48" s="121">
        <v>5.4693104300610997</v>
      </c>
      <c r="O48" s="121">
        <v>0</v>
      </c>
      <c r="P48" s="121">
        <v>0</v>
      </c>
      <c r="Q48" s="121">
        <v>96.7891366483871</v>
      </c>
      <c r="R48" s="121">
        <v>14.260389703091199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89.034001918495306</v>
      </c>
      <c r="Y48" s="121">
        <v>0</v>
      </c>
      <c r="Z48" s="121">
        <v>0</v>
      </c>
      <c r="AA48" s="121">
        <v>188.24491106174699</v>
      </c>
      <c r="AB48" s="121">
        <v>0</v>
      </c>
      <c r="AC48" s="121">
        <v>0</v>
      </c>
      <c r="AD48" s="121">
        <v>20.947263961812801</v>
      </c>
      <c r="AE48" s="121">
        <v>0</v>
      </c>
      <c r="AF48" s="121">
        <v>1.22870213699141</v>
      </c>
      <c r="AG48" s="121">
        <v>0.17219840415461199</v>
      </c>
      <c r="AH48" s="121">
        <v>4.4308617109626596</v>
      </c>
      <c r="AI48" s="121">
        <v>0</v>
      </c>
      <c r="AJ48" s="121">
        <v>2.9046214149246299</v>
      </c>
      <c r="AK48" s="121">
        <v>0</v>
      </c>
      <c r="AL48" s="121">
        <v>0</v>
      </c>
      <c r="AM48" s="121">
        <v>273.22613915278703</v>
      </c>
      <c r="AN48" s="121">
        <v>0</v>
      </c>
      <c r="AO48" s="121">
        <v>0</v>
      </c>
      <c r="AP48" s="121">
        <v>0</v>
      </c>
      <c r="AQ48" s="121">
        <v>0</v>
      </c>
      <c r="AR48" s="122">
        <v>0</v>
      </c>
    </row>
    <row r="49" spans="2:44" ht="12" customHeight="1" x14ac:dyDescent="0.3">
      <c r="B49" s="120" t="s">
        <v>41</v>
      </c>
      <c r="C49" s="121" t="s">
        <v>92</v>
      </c>
      <c r="D49" s="121" t="s">
        <v>42</v>
      </c>
      <c r="E49" s="121" t="s">
        <v>25</v>
      </c>
      <c r="F49" s="121" t="s">
        <v>25</v>
      </c>
      <c r="G49" s="121" t="s">
        <v>25</v>
      </c>
      <c r="H49" s="121" t="s">
        <v>78</v>
      </c>
      <c r="I49" s="121" t="s">
        <v>25</v>
      </c>
      <c r="J49" s="121">
        <v>419.33</v>
      </c>
      <c r="K49" s="121">
        <v>280.56</v>
      </c>
      <c r="L49" s="121">
        <v>2.34846366041275</v>
      </c>
      <c r="M49" s="121">
        <v>0.83504604377893099</v>
      </c>
      <c r="N49" s="121">
        <v>5.4693104300610997</v>
      </c>
      <c r="O49" s="121">
        <v>0</v>
      </c>
      <c r="P49" s="121">
        <v>0</v>
      </c>
      <c r="Q49" s="121">
        <v>96.7891366483871</v>
      </c>
      <c r="R49" s="121">
        <v>14.260389703091199</v>
      </c>
      <c r="S49" s="121">
        <v>0</v>
      </c>
      <c r="T49" s="121">
        <v>0</v>
      </c>
      <c r="U49" s="121">
        <v>0</v>
      </c>
      <c r="V49" s="121">
        <v>0</v>
      </c>
      <c r="W49" s="121">
        <v>0</v>
      </c>
      <c r="X49" s="121">
        <v>89.034001918495306</v>
      </c>
      <c r="Y49" s="121">
        <v>0</v>
      </c>
      <c r="Z49" s="121">
        <v>0</v>
      </c>
      <c r="AA49" s="121">
        <v>188.24491106174699</v>
      </c>
      <c r="AB49" s="121">
        <v>0</v>
      </c>
      <c r="AC49" s="121">
        <v>0</v>
      </c>
      <c r="AD49" s="121">
        <v>20.947263961812801</v>
      </c>
      <c r="AE49" s="121">
        <v>0</v>
      </c>
      <c r="AF49" s="121">
        <v>1.22870213699141</v>
      </c>
      <c r="AG49" s="121">
        <v>0.17219840415461199</v>
      </c>
      <c r="AH49" s="121">
        <v>4.4308617109626596</v>
      </c>
      <c r="AI49" s="121">
        <v>0</v>
      </c>
      <c r="AJ49" s="121">
        <v>2.9046214149246299</v>
      </c>
      <c r="AK49" s="121">
        <v>0</v>
      </c>
      <c r="AL49" s="121">
        <v>0</v>
      </c>
      <c r="AM49" s="121">
        <v>273.22613915278703</v>
      </c>
      <c r="AN49" s="121">
        <v>0</v>
      </c>
      <c r="AO49" s="121">
        <v>0</v>
      </c>
      <c r="AP49" s="121">
        <v>0</v>
      </c>
      <c r="AQ49" s="121">
        <v>0</v>
      </c>
      <c r="AR49" s="122">
        <v>0</v>
      </c>
    </row>
    <row r="50" spans="2:44" ht="12" customHeight="1" x14ac:dyDescent="0.3">
      <c r="B50" s="120" t="s">
        <v>41</v>
      </c>
      <c r="C50" s="121" t="s">
        <v>92</v>
      </c>
      <c r="D50" s="121" t="s">
        <v>42</v>
      </c>
      <c r="E50" s="121" t="s">
        <v>94</v>
      </c>
      <c r="F50" s="121" t="s">
        <v>25</v>
      </c>
      <c r="G50" s="121" t="s">
        <v>25</v>
      </c>
      <c r="H50" s="121" t="s">
        <v>78</v>
      </c>
      <c r="I50" s="121" t="s">
        <v>25</v>
      </c>
      <c r="J50" s="121">
        <v>410.41</v>
      </c>
      <c r="K50" s="121">
        <v>274.58999999999997</v>
      </c>
      <c r="L50" s="121">
        <v>2.2984963484890701</v>
      </c>
      <c r="M50" s="121">
        <v>0.81727910667725101</v>
      </c>
      <c r="N50" s="121">
        <v>5.3529421230385204</v>
      </c>
      <c r="O50" s="121">
        <v>0</v>
      </c>
      <c r="P50" s="121">
        <v>0</v>
      </c>
      <c r="Q50" s="121">
        <v>94.729793315442706</v>
      </c>
      <c r="R50" s="121">
        <v>13.956977156216899</v>
      </c>
      <c r="S50" s="121">
        <v>0</v>
      </c>
      <c r="T50" s="121">
        <v>0</v>
      </c>
      <c r="U50" s="121">
        <v>0</v>
      </c>
      <c r="V50" s="121">
        <v>0</v>
      </c>
      <c r="W50" s="121">
        <v>0</v>
      </c>
      <c r="X50" s="121">
        <v>87.139661452144395</v>
      </c>
      <c r="Y50" s="121">
        <v>0</v>
      </c>
      <c r="Z50" s="121">
        <v>0</v>
      </c>
      <c r="AA50" s="121">
        <v>184.239700188092</v>
      </c>
      <c r="AB50" s="121">
        <v>0</v>
      </c>
      <c r="AC50" s="121">
        <v>0</v>
      </c>
      <c r="AD50" s="121">
        <v>20.5015774945402</v>
      </c>
      <c r="AE50" s="121">
        <v>0</v>
      </c>
      <c r="AF50" s="121">
        <v>1.20255953833202</v>
      </c>
      <c r="AG50" s="121">
        <v>0.16853460832153599</v>
      </c>
      <c r="AH50" s="121">
        <v>4.3365880575379299</v>
      </c>
      <c r="AI50" s="121">
        <v>0</v>
      </c>
      <c r="AJ50" s="121">
        <v>2.8428209592879301</v>
      </c>
      <c r="AK50" s="121">
        <v>0</v>
      </c>
      <c r="AL50" s="121">
        <v>0</v>
      </c>
      <c r="AM50" s="121">
        <v>267.41281704315298</v>
      </c>
      <c r="AN50" s="121">
        <v>0</v>
      </c>
      <c r="AO50" s="121">
        <v>0</v>
      </c>
      <c r="AP50" s="121">
        <v>0</v>
      </c>
      <c r="AQ50" s="121">
        <v>0</v>
      </c>
      <c r="AR50" s="122">
        <v>0</v>
      </c>
    </row>
    <row r="51" spans="2:44" ht="12" customHeight="1" x14ac:dyDescent="0.3">
      <c r="B51" s="120" t="s">
        <v>32</v>
      </c>
      <c r="C51" s="121" t="s">
        <v>38</v>
      </c>
      <c r="D51" s="121" t="s">
        <v>25</v>
      </c>
      <c r="E51" s="121" t="s">
        <v>25</v>
      </c>
      <c r="F51" s="121" t="s">
        <v>25</v>
      </c>
      <c r="G51" s="121" t="s">
        <v>36</v>
      </c>
      <c r="H51" s="121" t="s">
        <v>78</v>
      </c>
      <c r="I51" s="121" t="s">
        <v>25</v>
      </c>
      <c r="J51" s="121">
        <v>2354.94</v>
      </c>
      <c r="K51" s="121">
        <v>479.45</v>
      </c>
      <c r="L51" s="121">
        <v>2.4983655961837798</v>
      </c>
      <c r="M51" s="121">
        <v>0.88834685508396904</v>
      </c>
      <c r="N51" s="121">
        <v>36.1245467583026</v>
      </c>
      <c r="O51" s="121">
        <v>0</v>
      </c>
      <c r="P51" s="121">
        <v>0</v>
      </c>
      <c r="Q51" s="121">
        <v>102.96716664722</v>
      </c>
      <c r="R51" s="121">
        <v>15.170627343713999</v>
      </c>
      <c r="S51" s="121">
        <v>0</v>
      </c>
      <c r="T51" s="121">
        <v>0</v>
      </c>
      <c r="U51" s="121">
        <v>0</v>
      </c>
      <c r="V51" s="121">
        <v>0</v>
      </c>
      <c r="W51" s="121">
        <v>0</v>
      </c>
      <c r="X51" s="121">
        <v>697.91292668934796</v>
      </c>
      <c r="Y51" s="121">
        <v>0</v>
      </c>
      <c r="Z51" s="121">
        <v>0</v>
      </c>
      <c r="AA51" s="121">
        <v>1475.5999706642699</v>
      </c>
      <c r="AB51" s="121">
        <v>0</v>
      </c>
      <c r="AC51" s="121">
        <v>0</v>
      </c>
      <c r="AD51" s="121">
        <v>22.284323363630602</v>
      </c>
      <c r="AE51" s="121">
        <v>0</v>
      </c>
      <c r="AF51" s="121">
        <v>1.30712993296958</v>
      </c>
      <c r="AG51" s="121">
        <v>0.183189791653843</v>
      </c>
      <c r="AH51" s="121">
        <v>4.7136826712368798</v>
      </c>
      <c r="AI51" s="121">
        <v>0</v>
      </c>
      <c r="AJ51" s="121">
        <v>3.0900227818347101</v>
      </c>
      <c r="AK51" s="121">
        <v>0</v>
      </c>
      <c r="AL51" s="121">
        <v>0</v>
      </c>
      <c r="AM51" s="121">
        <v>471.64688814009702</v>
      </c>
      <c r="AN51" s="121">
        <v>0</v>
      </c>
      <c r="AO51" s="121">
        <v>0</v>
      </c>
      <c r="AP51" s="121">
        <v>0</v>
      </c>
      <c r="AQ51" s="121">
        <v>0</v>
      </c>
      <c r="AR51" s="122">
        <v>0</v>
      </c>
    </row>
    <row r="52" spans="2:44" ht="12" customHeight="1" x14ac:dyDescent="0.3">
      <c r="B52" s="120" t="s">
        <v>32</v>
      </c>
      <c r="C52" s="121" t="s">
        <v>38</v>
      </c>
      <c r="D52" s="121" t="s">
        <v>25</v>
      </c>
      <c r="E52" s="121" t="s">
        <v>25</v>
      </c>
      <c r="F52" s="121" t="s">
        <v>25</v>
      </c>
      <c r="G52" s="121" t="s">
        <v>39</v>
      </c>
      <c r="H52" s="121" t="s">
        <v>78</v>
      </c>
      <c r="I52" s="121" t="s">
        <v>25</v>
      </c>
      <c r="J52" s="121">
        <v>690.32</v>
      </c>
      <c r="K52" s="121">
        <v>282.02</v>
      </c>
      <c r="L52" s="121">
        <v>2.4983655961837798</v>
      </c>
      <c r="M52" s="121">
        <v>0.88834685508396904</v>
      </c>
      <c r="N52" s="121">
        <v>9.6959101615432903</v>
      </c>
      <c r="O52" s="121">
        <v>0</v>
      </c>
      <c r="P52" s="121">
        <v>0</v>
      </c>
      <c r="Q52" s="121">
        <v>102.96716664722</v>
      </c>
      <c r="R52" s="121">
        <v>15.170627343713999</v>
      </c>
      <c r="S52" s="121">
        <v>0</v>
      </c>
      <c r="T52" s="121">
        <v>0</v>
      </c>
      <c r="U52" s="121">
        <v>0</v>
      </c>
      <c r="V52" s="121">
        <v>0</v>
      </c>
      <c r="W52" s="121">
        <v>0</v>
      </c>
      <c r="X52" s="121">
        <v>171.89253455537599</v>
      </c>
      <c r="Y52" s="121">
        <v>0</v>
      </c>
      <c r="Z52" s="121">
        <v>0</v>
      </c>
      <c r="AA52" s="121">
        <v>363.43282182988202</v>
      </c>
      <c r="AB52" s="121">
        <v>0</v>
      </c>
      <c r="AC52" s="121">
        <v>0</v>
      </c>
      <c r="AD52" s="121">
        <v>22.284323363630602</v>
      </c>
      <c r="AE52" s="121">
        <v>0</v>
      </c>
      <c r="AF52" s="121">
        <v>1.30712993296958</v>
      </c>
      <c r="AG52" s="121">
        <v>0.183189791653843</v>
      </c>
      <c r="AH52" s="121">
        <v>4.7136826712368798</v>
      </c>
      <c r="AI52" s="121">
        <v>0</v>
      </c>
      <c r="AJ52" s="121">
        <v>3.0900227818347101</v>
      </c>
      <c r="AK52" s="121">
        <v>0</v>
      </c>
      <c r="AL52" s="121">
        <v>0</v>
      </c>
      <c r="AM52" s="121">
        <v>274.21330705819599</v>
      </c>
      <c r="AN52" s="121">
        <v>0</v>
      </c>
      <c r="AO52" s="121">
        <v>0</v>
      </c>
      <c r="AP52" s="121">
        <v>0</v>
      </c>
      <c r="AQ52" s="121">
        <v>0</v>
      </c>
      <c r="AR52" s="122">
        <v>0</v>
      </c>
    </row>
    <row r="53" spans="2:44" ht="12" customHeight="1" x14ac:dyDescent="0.3">
      <c r="B53" s="120" t="s">
        <v>32</v>
      </c>
      <c r="C53" s="121" t="s">
        <v>38</v>
      </c>
      <c r="D53" s="121" t="s">
        <v>25</v>
      </c>
      <c r="E53" s="121" t="s">
        <v>25</v>
      </c>
      <c r="F53" s="121" t="s">
        <v>25</v>
      </c>
      <c r="G53" s="121" t="s">
        <v>37</v>
      </c>
      <c r="H53" s="121" t="s">
        <v>78</v>
      </c>
      <c r="I53" s="121" t="s">
        <v>25</v>
      </c>
      <c r="J53" s="121">
        <v>302.22000000000003</v>
      </c>
      <c r="K53" s="121">
        <v>282.02</v>
      </c>
      <c r="L53" s="121">
        <v>2.4983655961837798</v>
      </c>
      <c r="M53" s="121">
        <v>0.88834685508396904</v>
      </c>
      <c r="N53" s="121">
        <v>3.53417907994011</v>
      </c>
      <c r="O53" s="121">
        <v>0</v>
      </c>
      <c r="P53" s="121">
        <v>0</v>
      </c>
      <c r="Q53" s="121">
        <v>102.96716664722</v>
      </c>
      <c r="R53" s="121">
        <v>15.170627343713999</v>
      </c>
      <c r="S53" s="121">
        <v>0</v>
      </c>
      <c r="T53" s="121">
        <v>0</v>
      </c>
      <c r="U53" s="121">
        <v>0</v>
      </c>
      <c r="V53" s="121">
        <v>0</v>
      </c>
      <c r="W53" s="121">
        <v>0</v>
      </c>
      <c r="X53" s="121">
        <v>49.252904066310101</v>
      </c>
      <c r="Y53" s="121">
        <v>0</v>
      </c>
      <c r="Z53" s="121">
        <v>0</v>
      </c>
      <c r="AA53" s="121">
        <v>104.13554494233701</v>
      </c>
      <c r="AB53" s="121">
        <v>0</v>
      </c>
      <c r="AC53" s="121">
        <v>0</v>
      </c>
      <c r="AD53" s="121">
        <v>22.284323363630602</v>
      </c>
      <c r="AE53" s="121">
        <v>0</v>
      </c>
      <c r="AF53" s="121">
        <v>1.30712993296958</v>
      </c>
      <c r="AG53" s="121">
        <v>0.183189791653843</v>
      </c>
      <c r="AH53" s="121">
        <v>4.7136826712368798</v>
      </c>
      <c r="AI53" s="121">
        <v>0</v>
      </c>
      <c r="AJ53" s="121">
        <v>3.0900227818347101</v>
      </c>
      <c r="AK53" s="121">
        <v>0</v>
      </c>
      <c r="AL53" s="121">
        <v>0</v>
      </c>
      <c r="AM53" s="121">
        <v>274.21330705819599</v>
      </c>
      <c r="AN53" s="121">
        <v>0</v>
      </c>
      <c r="AO53" s="121">
        <v>0</v>
      </c>
      <c r="AP53" s="121">
        <v>0</v>
      </c>
      <c r="AQ53" s="121">
        <v>0</v>
      </c>
      <c r="AR53" s="122">
        <v>0</v>
      </c>
    </row>
    <row r="54" spans="2:44" ht="12" customHeight="1" x14ac:dyDescent="0.3">
      <c r="B54" s="120" t="s">
        <v>32</v>
      </c>
      <c r="C54" s="121" t="s">
        <v>23</v>
      </c>
      <c r="D54" s="121" t="s">
        <v>25</v>
      </c>
      <c r="E54" s="121" t="s">
        <v>25</v>
      </c>
      <c r="F54" s="121" t="s">
        <v>25</v>
      </c>
      <c r="G54" s="121" t="s">
        <v>25</v>
      </c>
      <c r="H54" s="121" t="s">
        <v>78</v>
      </c>
      <c r="I54" s="121" t="s">
        <v>25</v>
      </c>
      <c r="J54" s="121">
        <v>446.1</v>
      </c>
      <c r="K54" s="121">
        <v>298.47000000000003</v>
      </c>
      <c r="L54" s="121">
        <v>2.4983655961837798</v>
      </c>
      <c r="M54" s="121">
        <v>0.88834685508396904</v>
      </c>
      <c r="N54" s="121">
        <v>5.8184153511288299</v>
      </c>
      <c r="O54" s="121">
        <v>0</v>
      </c>
      <c r="P54" s="121">
        <v>0</v>
      </c>
      <c r="Q54" s="121">
        <v>102.96716664722</v>
      </c>
      <c r="R54" s="121">
        <v>15.170627343713999</v>
      </c>
      <c r="S54" s="121">
        <v>0</v>
      </c>
      <c r="T54" s="121">
        <v>0</v>
      </c>
      <c r="U54" s="121">
        <v>0</v>
      </c>
      <c r="V54" s="121">
        <v>0</v>
      </c>
      <c r="W54" s="121">
        <v>0</v>
      </c>
      <c r="X54" s="121">
        <v>94.717023317548197</v>
      </c>
      <c r="Y54" s="121">
        <v>0</v>
      </c>
      <c r="Z54" s="121">
        <v>0</v>
      </c>
      <c r="AA54" s="121">
        <v>200.260543682709</v>
      </c>
      <c r="AB54" s="121">
        <v>0</v>
      </c>
      <c r="AC54" s="121">
        <v>0</v>
      </c>
      <c r="AD54" s="121">
        <v>22.284323363630602</v>
      </c>
      <c r="AE54" s="121">
        <v>0</v>
      </c>
      <c r="AF54" s="121">
        <v>1.30712993296958</v>
      </c>
      <c r="AG54" s="121">
        <v>0.183189791653843</v>
      </c>
      <c r="AH54" s="121">
        <v>4.7136826712368798</v>
      </c>
      <c r="AI54" s="121">
        <v>0</v>
      </c>
      <c r="AJ54" s="121">
        <v>3.0900227818347101</v>
      </c>
      <c r="AK54" s="121">
        <v>0</v>
      </c>
      <c r="AL54" s="121">
        <v>0</v>
      </c>
      <c r="AM54" s="121">
        <v>290.66610548168802</v>
      </c>
      <c r="AN54" s="121">
        <v>0</v>
      </c>
      <c r="AO54" s="121">
        <v>0</v>
      </c>
      <c r="AP54" s="121">
        <v>0</v>
      </c>
      <c r="AQ54" s="121">
        <v>0</v>
      </c>
      <c r="AR54" s="122">
        <v>0</v>
      </c>
    </row>
    <row r="55" spans="2:44" ht="12" customHeight="1" x14ac:dyDescent="0.3">
      <c r="B55" s="120" t="s">
        <v>32</v>
      </c>
      <c r="C55" s="121" t="s">
        <v>92</v>
      </c>
      <c r="D55" s="121" t="s">
        <v>25</v>
      </c>
      <c r="E55" s="121" t="s">
        <v>25</v>
      </c>
      <c r="F55" s="121" t="s">
        <v>25</v>
      </c>
      <c r="G55" s="121" t="s">
        <v>25</v>
      </c>
      <c r="H55" s="121" t="s">
        <v>78</v>
      </c>
      <c r="I55" s="121" t="s">
        <v>25</v>
      </c>
      <c r="J55" s="121">
        <v>446.1</v>
      </c>
      <c r="K55" s="121">
        <v>298.47000000000003</v>
      </c>
      <c r="L55" s="121">
        <v>2.4983655961837798</v>
      </c>
      <c r="M55" s="121">
        <v>0.88834685508396904</v>
      </c>
      <c r="N55" s="121">
        <v>5.8184153511288299</v>
      </c>
      <c r="O55" s="121">
        <v>0</v>
      </c>
      <c r="P55" s="121">
        <v>0</v>
      </c>
      <c r="Q55" s="121">
        <v>102.96716664722</v>
      </c>
      <c r="R55" s="121">
        <v>15.170627343713999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94.717023317548197</v>
      </c>
      <c r="Y55" s="121">
        <v>0</v>
      </c>
      <c r="Z55" s="121">
        <v>0</v>
      </c>
      <c r="AA55" s="121">
        <v>200.260543682709</v>
      </c>
      <c r="AB55" s="121">
        <v>0</v>
      </c>
      <c r="AC55" s="121">
        <v>0</v>
      </c>
      <c r="AD55" s="121">
        <v>22.284323363630602</v>
      </c>
      <c r="AE55" s="121">
        <v>0</v>
      </c>
      <c r="AF55" s="121">
        <v>1.30712993296958</v>
      </c>
      <c r="AG55" s="121">
        <v>0.183189791653843</v>
      </c>
      <c r="AH55" s="121">
        <v>4.7136826712368798</v>
      </c>
      <c r="AI55" s="121">
        <v>0</v>
      </c>
      <c r="AJ55" s="121">
        <v>3.0900227818347101</v>
      </c>
      <c r="AK55" s="121">
        <v>0</v>
      </c>
      <c r="AL55" s="121">
        <v>0</v>
      </c>
      <c r="AM55" s="121">
        <v>290.66610548168802</v>
      </c>
      <c r="AN55" s="121">
        <v>0</v>
      </c>
      <c r="AO55" s="121">
        <v>0</v>
      </c>
      <c r="AP55" s="121">
        <v>0</v>
      </c>
      <c r="AQ55" s="121">
        <v>0</v>
      </c>
      <c r="AR55" s="122">
        <v>0</v>
      </c>
    </row>
    <row r="56" spans="2:44" ht="12" customHeight="1" x14ac:dyDescent="0.3">
      <c r="B56" s="120" t="s">
        <v>44</v>
      </c>
      <c r="C56" s="121" t="s">
        <v>23</v>
      </c>
      <c r="D56" s="121" t="s">
        <v>45</v>
      </c>
      <c r="E56" s="121" t="s">
        <v>46</v>
      </c>
      <c r="F56" s="121" t="s">
        <v>25</v>
      </c>
      <c r="G56" s="121" t="s">
        <v>25</v>
      </c>
      <c r="H56" s="121" t="s">
        <v>78</v>
      </c>
      <c r="I56" s="121" t="s">
        <v>25</v>
      </c>
      <c r="J56" s="121">
        <v>245.35</v>
      </c>
      <c r="K56" s="121">
        <v>164.16</v>
      </c>
      <c r="L56" s="121">
        <v>1.37410107790108</v>
      </c>
      <c r="M56" s="121">
        <v>0.48859077029618297</v>
      </c>
      <c r="N56" s="121">
        <v>3.2001284431208599</v>
      </c>
      <c r="O56" s="121">
        <v>0</v>
      </c>
      <c r="P56" s="121">
        <v>0</v>
      </c>
      <c r="Q56" s="121">
        <v>56.631941655971197</v>
      </c>
      <c r="R56" s="121">
        <v>8.3438450390427104</v>
      </c>
      <c r="S56" s="121">
        <v>0</v>
      </c>
      <c r="T56" s="121">
        <v>0</v>
      </c>
      <c r="U56" s="121">
        <v>0</v>
      </c>
      <c r="V56" s="121">
        <v>0</v>
      </c>
      <c r="W56" s="121">
        <v>0</v>
      </c>
      <c r="X56" s="121">
        <v>52.094362824651498</v>
      </c>
      <c r="Y56" s="121">
        <v>0</v>
      </c>
      <c r="Z56" s="121">
        <v>0</v>
      </c>
      <c r="AA56" s="121">
        <v>110.14329902548999</v>
      </c>
      <c r="AB56" s="121">
        <v>0</v>
      </c>
      <c r="AC56" s="121">
        <v>0</v>
      </c>
      <c r="AD56" s="121">
        <v>12.256377849996801</v>
      </c>
      <c r="AE56" s="121">
        <v>0</v>
      </c>
      <c r="AF56" s="121">
        <v>0.71892146313326999</v>
      </c>
      <c r="AG56" s="121">
        <v>0.100754385409614</v>
      </c>
      <c r="AH56" s="121">
        <v>2.5925254691802802</v>
      </c>
      <c r="AI56" s="121">
        <v>0</v>
      </c>
      <c r="AJ56" s="121">
        <v>1.6995125300090901</v>
      </c>
      <c r="AK56" s="121">
        <v>0</v>
      </c>
      <c r="AL56" s="121">
        <v>0</v>
      </c>
      <c r="AM56" s="121">
        <v>159.86635801492801</v>
      </c>
      <c r="AN56" s="121">
        <v>0</v>
      </c>
      <c r="AO56" s="121">
        <v>0</v>
      </c>
      <c r="AP56" s="121">
        <v>0</v>
      </c>
      <c r="AQ56" s="121">
        <v>0</v>
      </c>
      <c r="AR56" s="122">
        <v>0</v>
      </c>
    </row>
    <row r="57" spans="2:44" ht="12" customHeight="1" x14ac:dyDescent="0.3">
      <c r="B57" s="123" t="s">
        <v>44</v>
      </c>
      <c r="C57" s="124" t="s">
        <v>23</v>
      </c>
      <c r="D57" s="124" t="s">
        <v>45</v>
      </c>
      <c r="E57" s="124" t="s">
        <v>95</v>
      </c>
      <c r="F57" s="124" t="s">
        <v>25</v>
      </c>
      <c r="G57" s="124" t="s">
        <v>25</v>
      </c>
      <c r="H57" s="124" t="s">
        <v>78</v>
      </c>
      <c r="I57" s="124" t="s">
        <v>25</v>
      </c>
      <c r="J57" s="124">
        <v>267.66000000000003</v>
      </c>
      <c r="K57" s="124">
        <v>179.08</v>
      </c>
      <c r="L57" s="124">
        <v>1.49901935771027</v>
      </c>
      <c r="M57" s="124">
        <v>0.53300811305038098</v>
      </c>
      <c r="N57" s="124">
        <v>3.4910492106772999</v>
      </c>
      <c r="O57" s="124">
        <v>0</v>
      </c>
      <c r="P57" s="124">
        <v>0</v>
      </c>
      <c r="Q57" s="124">
        <v>61.780299988332203</v>
      </c>
      <c r="R57" s="124">
        <v>9.1023764062284105</v>
      </c>
      <c r="S57" s="124">
        <v>0</v>
      </c>
      <c r="T57" s="124">
        <v>0</v>
      </c>
      <c r="U57" s="124">
        <v>0</v>
      </c>
      <c r="V57" s="124">
        <v>0</v>
      </c>
      <c r="W57" s="124">
        <v>0</v>
      </c>
      <c r="X57" s="124">
        <v>56.830213990528897</v>
      </c>
      <c r="Y57" s="124">
        <v>0</v>
      </c>
      <c r="Z57" s="124">
        <v>0</v>
      </c>
      <c r="AA57" s="124">
        <v>120.15632620962501</v>
      </c>
      <c r="AB57" s="124">
        <v>0</v>
      </c>
      <c r="AC57" s="124">
        <v>0</v>
      </c>
      <c r="AD57" s="124">
        <v>13.3705940181784</v>
      </c>
      <c r="AE57" s="124">
        <v>0</v>
      </c>
      <c r="AF57" s="124">
        <v>0.78427795978174897</v>
      </c>
      <c r="AG57" s="124">
        <v>0.109913874992306</v>
      </c>
      <c r="AH57" s="124">
        <v>2.8282096027421302</v>
      </c>
      <c r="AI57" s="124">
        <v>0</v>
      </c>
      <c r="AJ57" s="124">
        <v>1.85401366910083</v>
      </c>
      <c r="AK57" s="124">
        <v>0</v>
      </c>
      <c r="AL57" s="124">
        <v>0</v>
      </c>
      <c r="AM57" s="124">
        <v>174.39966328901301</v>
      </c>
      <c r="AN57" s="124">
        <v>0</v>
      </c>
      <c r="AO57" s="124">
        <v>0</v>
      </c>
      <c r="AP57" s="124">
        <v>0</v>
      </c>
      <c r="AQ57" s="124">
        <v>0</v>
      </c>
      <c r="AR57" s="125">
        <v>0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9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9F6C-3238-4847-8B55-6194CF5ECF10}">
  <dimension ref="B1:AR57"/>
  <sheetViews>
    <sheetView showGridLines="0" workbookViewId="0">
      <selection activeCell="B4" sqref="B4"/>
    </sheetView>
  </sheetViews>
  <sheetFormatPr defaultRowHeight="14.4" x14ac:dyDescent="0.3"/>
  <cols>
    <col min="2" max="2" width="12.77734375" bestFit="1" customWidth="1"/>
    <col min="3" max="3" width="25.44140625" bestFit="1" customWidth="1"/>
    <col min="4" max="4" width="16.33203125" bestFit="1" customWidth="1"/>
    <col min="5" max="5" width="28.77734375" bestFit="1" customWidth="1"/>
    <col min="6" max="6" width="11.88671875" bestFit="1" customWidth="1"/>
    <col min="7" max="7" width="12.109375" bestFit="1" customWidth="1"/>
    <col min="8" max="8" width="11.109375" bestFit="1" customWidth="1"/>
    <col min="9" max="9" width="13.109375" bestFit="1" customWidth="1"/>
    <col min="10" max="10" width="12.44140625" bestFit="1" customWidth="1"/>
    <col min="11" max="11" width="9.88671875" bestFit="1" customWidth="1"/>
    <col min="12" max="12" width="18.6640625" bestFit="1" customWidth="1"/>
    <col min="13" max="13" width="13.6640625" bestFit="1" customWidth="1"/>
    <col min="14" max="14" width="12.109375" bestFit="1" customWidth="1"/>
    <col min="15" max="15" width="12.44140625" bestFit="1" customWidth="1"/>
    <col min="16" max="17" width="12.109375" bestFit="1" customWidth="1"/>
    <col min="18" max="18" width="16.44140625" bestFit="1" customWidth="1"/>
    <col min="19" max="19" width="10.44140625" bestFit="1" customWidth="1"/>
    <col min="20" max="20" width="11" bestFit="1" customWidth="1"/>
    <col min="21" max="21" width="10.77734375" bestFit="1" customWidth="1"/>
    <col min="22" max="22" width="12" bestFit="1" customWidth="1"/>
    <col min="23" max="23" width="12.21875" bestFit="1" customWidth="1"/>
    <col min="24" max="24" width="13.44140625" bestFit="1" customWidth="1"/>
    <col min="25" max="25" width="11" bestFit="1" customWidth="1"/>
    <col min="26" max="26" width="13.6640625" bestFit="1" customWidth="1"/>
    <col min="27" max="27" width="12.33203125" bestFit="1" customWidth="1"/>
    <col min="28" max="28" width="15.44140625" bestFit="1" customWidth="1"/>
    <col min="29" max="29" width="13.88671875" bestFit="1" customWidth="1"/>
    <col min="30" max="30" width="12.6640625" bestFit="1" customWidth="1"/>
    <col min="31" max="31" width="17.109375" bestFit="1" customWidth="1"/>
    <col min="32" max="32" width="12.6640625" bestFit="1" customWidth="1"/>
    <col min="33" max="33" width="10.44140625" bestFit="1" customWidth="1"/>
    <col min="34" max="34" width="16.109375" bestFit="1" customWidth="1"/>
    <col min="35" max="35" width="14.44140625" bestFit="1" customWidth="1"/>
    <col min="36" max="36" width="9.5546875" bestFit="1" customWidth="1"/>
    <col min="37" max="37" width="12.44140625" bestFit="1" customWidth="1"/>
    <col min="38" max="38" width="11.88671875" bestFit="1" customWidth="1"/>
    <col min="39" max="39" width="13.6640625" bestFit="1" customWidth="1"/>
    <col min="40" max="40" width="24.5546875" bestFit="1" customWidth="1"/>
    <col min="41" max="41" width="17.44140625" bestFit="1" customWidth="1"/>
    <col min="42" max="42" width="13.21875" bestFit="1" customWidth="1"/>
    <col min="43" max="43" width="12.77734375" bestFit="1" customWidth="1"/>
    <col min="44" max="44" width="12.21875" bestFit="1" customWidth="1"/>
  </cols>
  <sheetData>
    <row r="1" spans="2:44" ht="12" customHeight="1" x14ac:dyDescent="0.3">
      <c r="L1" s="166" t="s">
        <v>1263</v>
      </c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7"/>
      <c r="AH1" s="166" t="s">
        <v>1264</v>
      </c>
      <c r="AI1" s="166"/>
      <c r="AJ1" s="166"/>
      <c r="AK1" s="166"/>
      <c r="AL1" s="166"/>
      <c r="AM1" s="166"/>
      <c r="AN1" s="166"/>
      <c r="AO1" s="166"/>
      <c r="AP1" s="166"/>
      <c r="AQ1" s="166"/>
      <c r="AR1" s="166"/>
    </row>
    <row r="2" spans="2:44" ht="12" customHeight="1" x14ac:dyDescent="0.3">
      <c r="L2" s="168" t="s">
        <v>488</v>
      </c>
      <c r="M2" s="168"/>
      <c r="N2" s="168"/>
      <c r="O2" s="168"/>
      <c r="P2" s="168"/>
      <c r="Q2" s="168"/>
      <c r="R2" s="168"/>
      <c r="S2" s="169"/>
      <c r="T2" s="168" t="s">
        <v>497</v>
      </c>
      <c r="U2" s="168"/>
      <c r="V2" s="168"/>
      <c r="W2" s="168"/>
      <c r="X2" s="168"/>
      <c r="Y2" s="168"/>
      <c r="Z2" s="169"/>
      <c r="AA2" s="127" t="s">
        <v>505</v>
      </c>
      <c r="AB2" s="168" t="s">
        <v>25</v>
      </c>
      <c r="AC2" s="169"/>
      <c r="AD2" s="168" t="s">
        <v>1262</v>
      </c>
      <c r="AE2" s="168"/>
      <c r="AF2" s="168"/>
      <c r="AG2" s="169"/>
      <c r="AH2" s="168" t="s">
        <v>488</v>
      </c>
      <c r="AI2" s="168"/>
      <c r="AJ2" s="168"/>
      <c r="AK2" s="168"/>
      <c r="AL2" s="169"/>
      <c r="AM2" s="127" t="s">
        <v>519</v>
      </c>
      <c r="AN2" s="168" t="s">
        <v>497</v>
      </c>
      <c r="AO2" s="168"/>
      <c r="AP2" s="168"/>
      <c r="AQ2" s="169"/>
      <c r="AR2" s="126" t="s">
        <v>1262</v>
      </c>
    </row>
    <row r="3" spans="2:44" ht="12" customHeight="1" x14ac:dyDescent="0.3">
      <c r="B3" s="117" t="s">
        <v>68</v>
      </c>
      <c r="C3" s="118" t="s">
        <v>69</v>
      </c>
      <c r="D3" s="118" t="s">
        <v>70</v>
      </c>
      <c r="E3" s="118" t="s">
        <v>71</v>
      </c>
      <c r="F3" s="118" t="s">
        <v>72</v>
      </c>
      <c r="G3" s="118" t="s">
        <v>74</v>
      </c>
      <c r="H3" s="118" t="s">
        <v>75</v>
      </c>
      <c r="I3" s="118" t="s">
        <v>764</v>
      </c>
      <c r="J3" s="118" t="s">
        <v>1226</v>
      </c>
      <c r="K3" s="118" t="s">
        <v>1227</v>
      </c>
      <c r="L3" s="118" t="s">
        <v>1228</v>
      </c>
      <c r="M3" s="118" t="s">
        <v>1229</v>
      </c>
      <c r="N3" s="118" t="s">
        <v>1230</v>
      </c>
      <c r="O3" s="118" t="s">
        <v>1231</v>
      </c>
      <c r="P3" s="118" t="s">
        <v>1232</v>
      </c>
      <c r="Q3" s="118" t="s">
        <v>1233</v>
      </c>
      <c r="R3" s="118" t="s">
        <v>1234</v>
      </c>
      <c r="S3" s="118" t="s">
        <v>1235</v>
      </c>
      <c r="T3" s="118" t="s">
        <v>1236</v>
      </c>
      <c r="U3" s="118" t="s">
        <v>1237</v>
      </c>
      <c r="V3" s="118" t="s">
        <v>1238</v>
      </c>
      <c r="W3" s="118" t="s">
        <v>1239</v>
      </c>
      <c r="X3" s="118" t="s">
        <v>1240</v>
      </c>
      <c r="Y3" s="118" t="s">
        <v>1241</v>
      </c>
      <c r="Z3" s="118" t="s">
        <v>1242</v>
      </c>
      <c r="AA3" s="118" t="s">
        <v>1243</v>
      </c>
      <c r="AB3" s="118" t="s">
        <v>1244</v>
      </c>
      <c r="AC3" s="118" t="s">
        <v>1245</v>
      </c>
      <c r="AD3" s="118" t="s">
        <v>1246</v>
      </c>
      <c r="AE3" s="118" t="s">
        <v>1247</v>
      </c>
      <c r="AF3" s="118" t="s">
        <v>1248</v>
      </c>
      <c r="AG3" s="118" t="s">
        <v>1249</v>
      </c>
      <c r="AH3" s="118" t="s">
        <v>1250</v>
      </c>
      <c r="AI3" s="118" t="s">
        <v>1251</v>
      </c>
      <c r="AJ3" s="118" t="s">
        <v>1252</v>
      </c>
      <c r="AK3" s="118" t="s">
        <v>1253</v>
      </c>
      <c r="AL3" s="118" t="s">
        <v>1254</v>
      </c>
      <c r="AM3" s="118" t="s">
        <v>1255</v>
      </c>
      <c r="AN3" s="118" t="s">
        <v>1256</v>
      </c>
      <c r="AO3" s="118" t="s">
        <v>1257</v>
      </c>
      <c r="AP3" s="118" t="s">
        <v>1258</v>
      </c>
      <c r="AQ3" s="118" t="s">
        <v>1259</v>
      </c>
      <c r="AR3" s="119" t="s">
        <v>1260</v>
      </c>
    </row>
    <row r="4" spans="2:44" ht="12" customHeight="1" x14ac:dyDescent="0.3">
      <c r="B4" s="120" t="s">
        <v>61</v>
      </c>
      <c r="C4" s="121" t="s">
        <v>54</v>
      </c>
      <c r="D4" s="121" t="s">
        <v>25</v>
      </c>
      <c r="E4" s="121" t="s">
        <v>25</v>
      </c>
      <c r="F4" s="121" t="s">
        <v>85</v>
      </c>
      <c r="G4" s="121" t="s">
        <v>36</v>
      </c>
      <c r="H4" s="121" t="s">
        <v>78</v>
      </c>
      <c r="I4" s="121" t="s">
        <v>25</v>
      </c>
      <c r="J4" s="121">
        <v>-0.03</v>
      </c>
      <c r="K4" s="121">
        <v>0</v>
      </c>
      <c r="L4" s="121">
        <v>0</v>
      </c>
      <c r="M4" s="121">
        <v>0</v>
      </c>
      <c r="N4" s="121">
        <v>0</v>
      </c>
      <c r="O4" s="121">
        <v>0</v>
      </c>
      <c r="P4" s="121">
        <v>0</v>
      </c>
      <c r="Q4" s="121">
        <v>0</v>
      </c>
      <c r="R4" s="121">
        <v>0</v>
      </c>
      <c r="S4" s="121">
        <v>0</v>
      </c>
      <c r="T4" s="121">
        <v>0</v>
      </c>
      <c r="U4" s="121">
        <v>0</v>
      </c>
      <c r="V4" s="121">
        <v>0</v>
      </c>
      <c r="W4" s="121">
        <v>0</v>
      </c>
      <c r="X4" s="121">
        <v>0</v>
      </c>
      <c r="Y4" s="121">
        <v>0</v>
      </c>
      <c r="Z4" s="121">
        <v>0</v>
      </c>
      <c r="AA4" s="121">
        <v>0</v>
      </c>
      <c r="AB4" s="121">
        <v>0</v>
      </c>
      <c r="AC4" s="121">
        <v>0</v>
      </c>
      <c r="AD4" s="121">
        <v>-2.52643411557434E-2</v>
      </c>
      <c r="AE4" s="121">
        <v>0</v>
      </c>
      <c r="AF4" s="121">
        <v>-2.3118187993249602E-3</v>
      </c>
      <c r="AG4" s="121">
        <v>0</v>
      </c>
      <c r="AH4" s="121">
        <v>0</v>
      </c>
      <c r="AI4" s="121">
        <v>0</v>
      </c>
      <c r="AJ4" s="121">
        <v>0</v>
      </c>
      <c r="AK4" s="121">
        <v>0</v>
      </c>
      <c r="AL4" s="121">
        <v>0</v>
      </c>
      <c r="AM4" s="121">
        <v>0</v>
      </c>
      <c r="AN4" s="121">
        <v>0</v>
      </c>
      <c r="AO4" s="121">
        <v>0</v>
      </c>
      <c r="AP4" s="121">
        <v>0</v>
      </c>
      <c r="AQ4" s="121">
        <v>0</v>
      </c>
      <c r="AR4" s="122">
        <v>0</v>
      </c>
    </row>
    <row r="5" spans="2:44" ht="12" customHeight="1" x14ac:dyDescent="0.3">
      <c r="B5" s="120" t="s">
        <v>61</v>
      </c>
      <c r="C5" s="121" t="s">
        <v>54</v>
      </c>
      <c r="D5" s="121" t="s">
        <v>25</v>
      </c>
      <c r="E5" s="121" t="s">
        <v>25</v>
      </c>
      <c r="F5" s="121" t="s">
        <v>85</v>
      </c>
      <c r="G5" s="121" t="s">
        <v>36</v>
      </c>
      <c r="H5" s="121" t="s">
        <v>81</v>
      </c>
      <c r="I5" s="121" t="s">
        <v>25</v>
      </c>
      <c r="J5" s="121">
        <v>0</v>
      </c>
      <c r="K5" s="121">
        <v>0</v>
      </c>
      <c r="L5" s="121">
        <v>0</v>
      </c>
      <c r="M5" s="121">
        <v>0</v>
      </c>
      <c r="N5" s="121">
        <v>0</v>
      </c>
      <c r="O5" s="121">
        <v>0</v>
      </c>
      <c r="P5" s="121">
        <v>0</v>
      </c>
      <c r="Q5" s="121">
        <v>0</v>
      </c>
      <c r="R5" s="121">
        <v>0</v>
      </c>
      <c r="S5" s="121">
        <v>0</v>
      </c>
      <c r="T5" s="121">
        <v>0</v>
      </c>
      <c r="U5" s="121">
        <v>0</v>
      </c>
      <c r="V5" s="121">
        <v>0</v>
      </c>
      <c r="W5" s="121">
        <v>0</v>
      </c>
      <c r="X5" s="121">
        <v>0</v>
      </c>
      <c r="Y5" s="121">
        <v>0</v>
      </c>
      <c r="Z5" s="121">
        <v>0</v>
      </c>
      <c r="AA5" s="121">
        <v>0</v>
      </c>
      <c r="AB5" s="121">
        <v>0</v>
      </c>
      <c r="AC5" s="121">
        <v>0</v>
      </c>
      <c r="AD5" s="121">
        <v>0</v>
      </c>
      <c r="AE5" s="121">
        <v>0</v>
      </c>
      <c r="AF5" s="121">
        <v>0</v>
      </c>
      <c r="AG5" s="121">
        <v>0</v>
      </c>
      <c r="AH5" s="121">
        <v>0</v>
      </c>
      <c r="AI5" s="121">
        <v>0</v>
      </c>
      <c r="AJ5" s="121">
        <v>0</v>
      </c>
      <c r="AK5" s="121">
        <v>0</v>
      </c>
      <c r="AL5" s="121">
        <v>0</v>
      </c>
      <c r="AM5" s="121">
        <v>0</v>
      </c>
      <c r="AN5" s="121">
        <v>0</v>
      </c>
      <c r="AO5" s="121">
        <v>0</v>
      </c>
      <c r="AP5" s="121">
        <v>0</v>
      </c>
      <c r="AQ5" s="121">
        <v>0</v>
      </c>
      <c r="AR5" s="122">
        <v>0</v>
      </c>
    </row>
    <row r="6" spans="2:44" ht="12" customHeight="1" x14ac:dyDescent="0.3">
      <c r="B6" s="120" t="s">
        <v>61</v>
      </c>
      <c r="C6" s="121" t="s">
        <v>54</v>
      </c>
      <c r="D6" s="121" t="s">
        <v>25</v>
      </c>
      <c r="E6" s="121" t="s">
        <v>25</v>
      </c>
      <c r="F6" s="121" t="s">
        <v>85</v>
      </c>
      <c r="G6" s="121" t="s">
        <v>37</v>
      </c>
      <c r="H6" s="121" t="s">
        <v>78</v>
      </c>
      <c r="I6" s="121" t="s">
        <v>25</v>
      </c>
      <c r="J6" s="121">
        <v>-0.03</v>
      </c>
      <c r="K6" s="121">
        <v>0</v>
      </c>
      <c r="L6" s="121">
        <v>0</v>
      </c>
      <c r="M6" s="121">
        <v>0</v>
      </c>
      <c r="N6" s="121">
        <v>0</v>
      </c>
      <c r="O6" s="121">
        <v>0</v>
      </c>
      <c r="P6" s="121">
        <v>0</v>
      </c>
      <c r="Q6" s="121">
        <v>0</v>
      </c>
      <c r="R6" s="121">
        <v>0</v>
      </c>
      <c r="S6" s="121">
        <v>0</v>
      </c>
      <c r="T6" s="121">
        <v>0</v>
      </c>
      <c r="U6" s="121">
        <v>0</v>
      </c>
      <c r="V6" s="121">
        <v>0</v>
      </c>
      <c r="W6" s="121">
        <v>0</v>
      </c>
      <c r="X6" s="121">
        <v>0</v>
      </c>
      <c r="Y6" s="121">
        <v>0</v>
      </c>
      <c r="Z6" s="121">
        <v>0</v>
      </c>
      <c r="AA6" s="121">
        <v>0</v>
      </c>
      <c r="AB6" s="121">
        <v>0</v>
      </c>
      <c r="AC6" s="121">
        <v>0</v>
      </c>
      <c r="AD6" s="121">
        <v>-2.52643411557434E-2</v>
      </c>
      <c r="AE6" s="121">
        <v>0</v>
      </c>
      <c r="AF6" s="121">
        <v>-2.3118187993249602E-3</v>
      </c>
      <c r="AG6" s="121">
        <v>0</v>
      </c>
      <c r="AH6" s="121">
        <v>0</v>
      </c>
      <c r="AI6" s="121">
        <v>0</v>
      </c>
      <c r="AJ6" s="121">
        <v>0</v>
      </c>
      <c r="AK6" s="121">
        <v>0</v>
      </c>
      <c r="AL6" s="121">
        <v>0</v>
      </c>
      <c r="AM6" s="121">
        <v>0</v>
      </c>
      <c r="AN6" s="121">
        <v>0</v>
      </c>
      <c r="AO6" s="121">
        <v>0</v>
      </c>
      <c r="AP6" s="121">
        <v>0</v>
      </c>
      <c r="AQ6" s="121">
        <v>0</v>
      </c>
      <c r="AR6" s="122">
        <v>0</v>
      </c>
    </row>
    <row r="7" spans="2:44" ht="12" customHeight="1" x14ac:dyDescent="0.3">
      <c r="B7" s="120" t="s">
        <v>61</v>
      </c>
      <c r="C7" s="121" t="s">
        <v>54</v>
      </c>
      <c r="D7" s="121" t="s">
        <v>25</v>
      </c>
      <c r="E7" s="121" t="s">
        <v>25</v>
      </c>
      <c r="F7" s="121" t="s">
        <v>85</v>
      </c>
      <c r="G7" s="121" t="s">
        <v>37</v>
      </c>
      <c r="H7" s="121" t="s">
        <v>81</v>
      </c>
      <c r="I7" s="121" t="s">
        <v>25</v>
      </c>
      <c r="J7" s="121">
        <v>0</v>
      </c>
      <c r="K7" s="121">
        <v>0</v>
      </c>
      <c r="L7" s="121">
        <v>0</v>
      </c>
      <c r="M7" s="121">
        <v>0</v>
      </c>
      <c r="N7" s="121">
        <v>0</v>
      </c>
      <c r="O7" s="121">
        <v>0</v>
      </c>
      <c r="P7" s="121">
        <v>0</v>
      </c>
      <c r="Q7" s="121">
        <v>0</v>
      </c>
      <c r="R7" s="121">
        <v>0</v>
      </c>
      <c r="S7" s="121">
        <v>0</v>
      </c>
      <c r="T7" s="121">
        <v>0</v>
      </c>
      <c r="U7" s="121">
        <v>0</v>
      </c>
      <c r="V7" s="121">
        <v>0</v>
      </c>
      <c r="W7" s="121">
        <v>0</v>
      </c>
      <c r="X7" s="121">
        <v>0</v>
      </c>
      <c r="Y7" s="121">
        <v>0</v>
      </c>
      <c r="Z7" s="121">
        <v>0</v>
      </c>
      <c r="AA7" s="121">
        <v>0</v>
      </c>
      <c r="AB7" s="121">
        <v>0</v>
      </c>
      <c r="AC7" s="121">
        <v>0</v>
      </c>
      <c r="AD7" s="121">
        <v>0</v>
      </c>
      <c r="AE7" s="121">
        <v>0</v>
      </c>
      <c r="AF7" s="121">
        <v>0</v>
      </c>
      <c r="AG7" s="121">
        <v>0</v>
      </c>
      <c r="AH7" s="121">
        <v>0</v>
      </c>
      <c r="AI7" s="121">
        <v>0</v>
      </c>
      <c r="AJ7" s="121">
        <v>0</v>
      </c>
      <c r="AK7" s="121">
        <v>0</v>
      </c>
      <c r="AL7" s="121">
        <v>0</v>
      </c>
      <c r="AM7" s="121">
        <v>0</v>
      </c>
      <c r="AN7" s="121">
        <v>0</v>
      </c>
      <c r="AO7" s="121">
        <v>0</v>
      </c>
      <c r="AP7" s="121">
        <v>0</v>
      </c>
      <c r="AQ7" s="121">
        <v>0</v>
      </c>
      <c r="AR7" s="122">
        <v>0</v>
      </c>
    </row>
    <row r="8" spans="2:44" ht="12" customHeight="1" x14ac:dyDescent="0.3">
      <c r="B8" s="120" t="s">
        <v>61</v>
      </c>
      <c r="C8" s="121" t="s">
        <v>54</v>
      </c>
      <c r="D8" s="121" t="s">
        <v>25</v>
      </c>
      <c r="E8" s="121" t="s">
        <v>25</v>
      </c>
      <c r="F8" s="121" t="s">
        <v>25</v>
      </c>
      <c r="G8" s="121" t="s">
        <v>36</v>
      </c>
      <c r="H8" s="121" t="s">
        <v>78</v>
      </c>
      <c r="I8" s="121" t="s">
        <v>25</v>
      </c>
      <c r="J8" s="121">
        <v>21.24</v>
      </c>
      <c r="K8" s="121">
        <v>-1.5699999999999998</v>
      </c>
      <c r="L8" s="121">
        <v>0.136652974819819</v>
      </c>
      <c r="M8" s="121">
        <v>0</v>
      </c>
      <c r="N8" s="121">
        <v>0</v>
      </c>
      <c r="O8" s="121">
        <v>0</v>
      </c>
      <c r="P8" s="121">
        <v>0</v>
      </c>
      <c r="Q8" s="121">
        <v>16.486085916499999</v>
      </c>
      <c r="R8" s="121">
        <v>4.6486353991390397</v>
      </c>
      <c r="S8" s="121">
        <v>0</v>
      </c>
      <c r="T8" s="121">
        <v>0</v>
      </c>
      <c r="U8" s="121">
        <v>0</v>
      </c>
      <c r="V8" s="121">
        <v>0</v>
      </c>
      <c r="W8" s="121">
        <v>0</v>
      </c>
      <c r="X8" s="121">
        <v>0</v>
      </c>
      <c r="Y8" s="121">
        <v>0</v>
      </c>
      <c r="Z8" s="121">
        <v>0</v>
      </c>
      <c r="AA8" s="121">
        <v>0</v>
      </c>
      <c r="AB8" s="121">
        <v>0</v>
      </c>
      <c r="AC8" s="121">
        <v>0</v>
      </c>
      <c r="AD8" s="121">
        <v>-2.52643411557434E-2</v>
      </c>
      <c r="AE8" s="121">
        <v>0</v>
      </c>
      <c r="AF8" s="121">
        <v>-2.3118187993249602E-3</v>
      </c>
      <c r="AG8" s="121">
        <v>0</v>
      </c>
      <c r="AH8" s="121">
        <v>0.41584525677898299</v>
      </c>
      <c r="AI8" s="121">
        <v>0</v>
      </c>
      <c r="AJ8" s="121">
        <v>0</v>
      </c>
      <c r="AK8" s="121">
        <v>0</v>
      </c>
      <c r="AL8" s="121">
        <v>0</v>
      </c>
      <c r="AM8" s="121">
        <v>-1.9831356218848</v>
      </c>
      <c r="AN8" s="121">
        <v>0</v>
      </c>
      <c r="AO8" s="121">
        <v>0</v>
      </c>
      <c r="AP8" s="121">
        <v>0</v>
      </c>
      <c r="AQ8" s="121">
        <v>0</v>
      </c>
      <c r="AR8" s="122">
        <v>0</v>
      </c>
    </row>
    <row r="9" spans="2:44" ht="12" customHeight="1" x14ac:dyDescent="0.3">
      <c r="B9" s="120" t="s">
        <v>61</v>
      </c>
      <c r="C9" s="121" t="s">
        <v>54</v>
      </c>
      <c r="D9" s="121" t="s">
        <v>25</v>
      </c>
      <c r="E9" s="121" t="s">
        <v>25</v>
      </c>
      <c r="F9" s="121" t="s">
        <v>25</v>
      </c>
      <c r="G9" s="121" t="s">
        <v>36</v>
      </c>
      <c r="H9" s="121" t="s">
        <v>81</v>
      </c>
      <c r="I9" s="121" t="s">
        <v>25</v>
      </c>
      <c r="J9" s="121">
        <v>0</v>
      </c>
      <c r="K9" s="121">
        <v>0</v>
      </c>
      <c r="L9" s="121">
        <v>0</v>
      </c>
      <c r="M9" s="121">
        <v>0</v>
      </c>
      <c r="N9" s="121">
        <v>0</v>
      </c>
      <c r="O9" s="121">
        <v>0</v>
      </c>
      <c r="P9" s="121">
        <v>0</v>
      </c>
      <c r="Q9" s="121">
        <v>0</v>
      </c>
      <c r="R9" s="121">
        <v>0</v>
      </c>
      <c r="S9" s="121">
        <v>0</v>
      </c>
      <c r="T9" s="121">
        <v>0</v>
      </c>
      <c r="U9" s="121">
        <v>0</v>
      </c>
      <c r="V9" s="121">
        <v>0</v>
      </c>
      <c r="W9" s="121">
        <v>0</v>
      </c>
      <c r="X9" s="121">
        <v>0</v>
      </c>
      <c r="Y9" s="121">
        <v>0</v>
      </c>
      <c r="Z9" s="121">
        <v>0</v>
      </c>
      <c r="AA9" s="121">
        <v>0</v>
      </c>
      <c r="AB9" s="121">
        <v>0</v>
      </c>
      <c r="AC9" s="121">
        <v>0</v>
      </c>
      <c r="AD9" s="121">
        <v>0</v>
      </c>
      <c r="AE9" s="121">
        <v>0</v>
      </c>
      <c r="AF9" s="121">
        <v>0</v>
      </c>
      <c r="AG9" s="121">
        <v>0</v>
      </c>
      <c r="AH9" s="121">
        <v>0</v>
      </c>
      <c r="AI9" s="121">
        <v>0</v>
      </c>
      <c r="AJ9" s="121">
        <v>0</v>
      </c>
      <c r="AK9" s="121">
        <v>0</v>
      </c>
      <c r="AL9" s="121">
        <v>0</v>
      </c>
      <c r="AM9" s="121">
        <v>0</v>
      </c>
      <c r="AN9" s="121">
        <v>0</v>
      </c>
      <c r="AO9" s="121">
        <v>0</v>
      </c>
      <c r="AP9" s="121">
        <v>0</v>
      </c>
      <c r="AQ9" s="121">
        <v>0</v>
      </c>
      <c r="AR9" s="122">
        <v>0</v>
      </c>
    </row>
    <row r="10" spans="2:44" ht="12" customHeight="1" x14ac:dyDescent="0.3">
      <c r="B10" s="120" t="s">
        <v>61</v>
      </c>
      <c r="C10" s="121" t="s">
        <v>54</v>
      </c>
      <c r="D10" s="121" t="s">
        <v>25</v>
      </c>
      <c r="E10" s="121" t="s">
        <v>25</v>
      </c>
      <c r="F10" s="121" t="s">
        <v>25</v>
      </c>
      <c r="G10" s="121" t="s">
        <v>37</v>
      </c>
      <c r="H10" s="121" t="s">
        <v>78</v>
      </c>
      <c r="I10" s="121" t="s">
        <v>25</v>
      </c>
      <c r="J10" s="121">
        <v>21.24</v>
      </c>
      <c r="K10" s="121">
        <v>-0.74</v>
      </c>
      <c r="L10" s="121">
        <v>0.136652974819819</v>
      </c>
      <c r="M10" s="121">
        <v>0</v>
      </c>
      <c r="N10" s="121">
        <v>0</v>
      </c>
      <c r="O10" s="121">
        <v>0</v>
      </c>
      <c r="P10" s="121">
        <v>0</v>
      </c>
      <c r="Q10" s="121">
        <v>16.486085916499999</v>
      </c>
      <c r="R10" s="121">
        <v>4.6486353991390397</v>
      </c>
      <c r="S10" s="121">
        <v>0</v>
      </c>
      <c r="T10" s="121">
        <v>0</v>
      </c>
      <c r="U10" s="121">
        <v>0</v>
      </c>
      <c r="V10" s="121">
        <v>0</v>
      </c>
      <c r="W10" s="121">
        <v>0</v>
      </c>
      <c r="X10" s="121">
        <v>0</v>
      </c>
      <c r="Y10" s="121">
        <v>0</v>
      </c>
      <c r="Z10" s="121">
        <v>0</v>
      </c>
      <c r="AA10" s="121">
        <v>0</v>
      </c>
      <c r="AB10" s="121">
        <v>0</v>
      </c>
      <c r="AC10" s="121">
        <v>0</v>
      </c>
      <c r="AD10" s="121">
        <v>-2.52643411557434E-2</v>
      </c>
      <c r="AE10" s="121">
        <v>0</v>
      </c>
      <c r="AF10" s="121">
        <v>-2.3118187993249602E-3</v>
      </c>
      <c r="AG10" s="121">
        <v>0</v>
      </c>
      <c r="AH10" s="121">
        <v>0.41584525677898299</v>
      </c>
      <c r="AI10" s="121">
        <v>0</v>
      </c>
      <c r="AJ10" s="121">
        <v>0</v>
      </c>
      <c r="AK10" s="121">
        <v>0</v>
      </c>
      <c r="AL10" s="121">
        <v>0</v>
      </c>
      <c r="AM10" s="121">
        <v>-1.1529858266772099</v>
      </c>
      <c r="AN10" s="121">
        <v>0</v>
      </c>
      <c r="AO10" s="121">
        <v>0</v>
      </c>
      <c r="AP10" s="121">
        <v>0</v>
      </c>
      <c r="AQ10" s="121">
        <v>0</v>
      </c>
      <c r="AR10" s="122">
        <v>0</v>
      </c>
    </row>
    <row r="11" spans="2:44" ht="12" customHeight="1" x14ac:dyDescent="0.3">
      <c r="B11" s="120" t="s">
        <v>61</v>
      </c>
      <c r="C11" s="121" t="s">
        <v>54</v>
      </c>
      <c r="D11" s="121" t="s">
        <v>25</v>
      </c>
      <c r="E11" s="121" t="s">
        <v>25</v>
      </c>
      <c r="F11" s="121" t="s">
        <v>25</v>
      </c>
      <c r="G11" s="121" t="s">
        <v>37</v>
      </c>
      <c r="H11" s="121" t="s">
        <v>81</v>
      </c>
      <c r="I11" s="121" t="s">
        <v>25</v>
      </c>
      <c r="J11" s="121">
        <v>0</v>
      </c>
      <c r="K11" s="121">
        <v>0</v>
      </c>
      <c r="L11" s="121">
        <v>0</v>
      </c>
      <c r="M11" s="121">
        <v>0</v>
      </c>
      <c r="N11" s="121">
        <v>0</v>
      </c>
      <c r="O11" s="121">
        <v>0</v>
      </c>
      <c r="P11" s="121">
        <v>0</v>
      </c>
      <c r="Q11" s="121">
        <v>0</v>
      </c>
      <c r="R11" s="121">
        <v>0</v>
      </c>
      <c r="S11" s="121">
        <v>0</v>
      </c>
      <c r="T11" s="121">
        <v>0</v>
      </c>
      <c r="U11" s="121">
        <v>0</v>
      </c>
      <c r="V11" s="121">
        <v>0</v>
      </c>
      <c r="W11" s="121">
        <v>0</v>
      </c>
      <c r="X11" s="121">
        <v>0</v>
      </c>
      <c r="Y11" s="121">
        <v>0</v>
      </c>
      <c r="Z11" s="121">
        <v>0</v>
      </c>
      <c r="AA11" s="121">
        <v>0</v>
      </c>
      <c r="AB11" s="121">
        <v>0</v>
      </c>
      <c r="AC11" s="121">
        <v>0</v>
      </c>
      <c r="AD11" s="121">
        <v>0</v>
      </c>
      <c r="AE11" s="121">
        <v>0</v>
      </c>
      <c r="AF11" s="121">
        <v>0</v>
      </c>
      <c r="AG11" s="121">
        <v>0</v>
      </c>
      <c r="AH11" s="121">
        <v>0</v>
      </c>
      <c r="AI11" s="121">
        <v>0</v>
      </c>
      <c r="AJ11" s="121">
        <v>0</v>
      </c>
      <c r="AK11" s="121">
        <v>0</v>
      </c>
      <c r="AL11" s="121">
        <v>0</v>
      </c>
      <c r="AM11" s="121">
        <v>0</v>
      </c>
      <c r="AN11" s="121">
        <v>0</v>
      </c>
      <c r="AO11" s="121">
        <v>0</v>
      </c>
      <c r="AP11" s="121">
        <v>0</v>
      </c>
      <c r="AQ11" s="121">
        <v>0</v>
      </c>
      <c r="AR11" s="122">
        <v>0</v>
      </c>
    </row>
    <row r="12" spans="2:44" ht="12" customHeight="1" x14ac:dyDescent="0.3">
      <c r="B12" s="120" t="s">
        <v>34</v>
      </c>
      <c r="C12" s="121" t="s">
        <v>54</v>
      </c>
      <c r="D12" s="121" t="s">
        <v>25</v>
      </c>
      <c r="E12" s="121" t="s">
        <v>25</v>
      </c>
      <c r="F12" s="121" t="s">
        <v>85</v>
      </c>
      <c r="G12" s="121" t="s">
        <v>36</v>
      </c>
      <c r="H12" s="121" t="s">
        <v>78</v>
      </c>
      <c r="I12" s="121" t="s">
        <v>25</v>
      </c>
      <c r="J12" s="121">
        <v>-0.04</v>
      </c>
      <c r="K12" s="121">
        <v>0</v>
      </c>
      <c r="L12" s="121">
        <v>0</v>
      </c>
      <c r="M12" s="121">
        <v>0</v>
      </c>
      <c r="N12" s="121">
        <v>0</v>
      </c>
      <c r="O12" s="121">
        <v>0</v>
      </c>
      <c r="P12" s="121">
        <v>0</v>
      </c>
      <c r="Q12" s="121">
        <v>0</v>
      </c>
      <c r="R12" s="121">
        <v>0</v>
      </c>
      <c r="S12" s="121">
        <v>0</v>
      </c>
      <c r="T12" s="121">
        <v>0</v>
      </c>
      <c r="U12" s="121">
        <v>0</v>
      </c>
      <c r="V12" s="121">
        <v>0</v>
      </c>
      <c r="W12" s="121">
        <v>0</v>
      </c>
      <c r="X12" s="121">
        <v>0</v>
      </c>
      <c r="Y12" s="121">
        <v>0</v>
      </c>
      <c r="Z12" s="121">
        <v>0</v>
      </c>
      <c r="AA12" s="121">
        <v>0</v>
      </c>
      <c r="AB12" s="121">
        <v>0</v>
      </c>
      <c r="AC12" s="121">
        <v>0</v>
      </c>
      <c r="AD12" s="121">
        <v>-3.3685657126391197E-2</v>
      </c>
      <c r="AE12" s="121">
        <v>0</v>
      </c>
      <c r="AF12" s="121">
        <v>-3.5081081985183101E-3</v>
      </c>
      <c r="AG12" s="121">
        <v>0</v>
      </c>
      <c r="AH12" s="121">
        <v>0</v>
      </c>
      <c r="AI12" s="121">
        <v>0</v>
      </c>
      <c r="AJ12" s="121">
        <v>0</v>
      </c>
      <c r="AK12" s="121">
        <v>0</v>
      </c>
      <c r="AL12" s="121">
        <v>0</v>
      </c>
      <c r="AM12" s="121">
        <v>0</v>
      </c>
      <c r="AN12" s="121">
        <v>0</v>
      </c>
      <c r="AO12" s="121">
        <v>0</v>
      </c>
      <c r="AP12" s="121">
        <v>0</v>
      </c>
      <c r="AQ12" s="121">
        <v>0</v>
      </c>
      <c r="AR12" s="122">
        <v>0</v>
      </c>
    </row>
    <row r="13" spans="2:44" ht="12" customHeight="1" x14ac:dyDescent="0.3">
      <c r="B13" s="120" t="s">
        <v>34</v>
      </c>
      <c r="C13" s="121" t="s">
        <v>54</v>
      </c>
      <c r="D13" s="121" t="s">
        <v>25</v>
      </c>
      <c r="E13" s="121" t="s">
        <v>25</v>
      </c>
      <c r="F13" s="121" t="s">
        <v>85</v>
      </c>
      <c r="G13" s="121" t="s">
        <v>36</v>
      </c>
      <c r="H13" s="121" t="s">
        <v>81</v>
      </c>
      <c r="I13" s="121" t="s">
        <v>25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2">
        <v>0</v>
      </c>
    </row>
    <row r="14" spans="2:44" ht="12" customHeight="1" x14ac:dyDescent="0.3">
      <c r="B14" s="120" t="s">
        <v>34</v>
      </c>
      <c r="C14" s="121" t="s">
        <v>54</v>
      </c>
      <c r="D14" s="121" t="s">
        <v>25</v>
      </c>
      <c r="E14" s="121" t="s">
        <v>25</v>
      </c>
      <c r="F14" s="121" t="s">
        <v>85</v>
      </c>
      <c r="G14" s="121" t="s">
        <v>37</v>
      </c>
      <c r="H14" s="121" t="s">
        <v>78</v>
      </c>
      <c r="I14" s="121" t="s">
        <v>25</v>
      </c>
      <c r="J14" s="121">
        <v>-0.04</v>
      </c>
      <c r="K14" s="121">
        <v>0</v>
      </c>
      <c r="L14" s="121">
        <v>0</v>
      </c>
      <c r="M14" s="121">
        <v>0</v>
      </c>
      <c r="N14" s="121">
        <v>0</v>
      </c>
      <c r="O14" s="121">
        <v>0</v>
      </c>
      <c r="P14" s="121">
        <v>0</v>
      </c>
      <c r="Q14" s="121">
        <v>0</v>
      </c>
      <c r="R14" s="121">
        <v>0</v>
      </c>
      <c r="S14" s="121">
        <v>0</v>
      </c>
      <c r="T14" s="121">
        <v>0</v>
      </c>
      <c r="U14" s="121">
        <v>0</v>
      </c>
      <c r="V14" s="121">
        <v>0</v>
      </c>
      <c r="W14" s="121">
        <v>0</v>
      </c>
      <c r="X14" s="121">
        <v>0</v>
      </c>
      <c r="Y14" s="121">
        <v>0</v>
      </c>
      <c r="Z14" s="121">
        <v>0</v>
      </c>
      <c r="AA14" s="121">
        <v>0</v>
      </c>
      <c r="AB14" s="121">
        <v>0</v>
      </c>
      <c r="AC14" s="121">
        <v>0</v>
      </c>
      <c r="AD14" s="121">
        <v>-3.3685657126391197E-2</v>
      </c>
      <c r="AE14" s="121">
        <v>0</v>
      </c>
      <c r="AF14" s="121">
        <v>-3.5081081985183101E-3</v>
      </c>
      <c r="AG14" s="121">
        <v>0</v>
      </c>
      <c r="AH14" s="121">
        <v>0</v>
      </c>
      <c r="AI14" s="121">
        <v>0</v>
      </c>
      <c r="AJ14" s="121">
        <v>0</v>
      </c>
      <c r="AK14" s="121">
        <v>0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2">
        <v>0</v>
      </c>
    </row>
    <row r="15" spans="2:44" ht="12" customHeight="1" x14ac:dyDescent="0.3">
      <c r="B15" s="120" t="s">
        <v>34</v>
      </c>
      <c r="C15" s="121" t="s">
        <v>54</v>
      </c>
      <c r="D15" s="121" t="s">
        <v>25</v>
      </c>
      <c r="E15" s="121" t="s">
        <v>25</v>
      </c>
      <c r="F15" s="121" t="s">
        <v>85</v>
      </c>
      <c r="G15" s="121" t="s">
        <v>37</v>
      </c>
      <c r="H15" s="121" t="s">
        <v>81</v>
      </c>
      <c r="I15" s="121" t="s">
        <v>25</v>
      </c>
      <c r="J15" s="121">
        <v>0</v>
      </c>
      <c r="K15" s="121">
        <v>0</v>
      </c>
      <c r="L15" s="121">
        <v>0</v>
      </c>
      <c r="M15" s="121">
        <v>0</v>
      </c>
      <c r="N15" s="121">
        <v>0</v>
      </c>
      <c r="O15" s="121">
        <v>0</v>
      </c>
      <c r="P15" s="121">
        <v>0</v>
      </c>
      <c r="Q15" s="121">
        <v>0</v>
      </c>
      <c r="R15" s="121">
        <v>0</v>
      </c>
      <c r="S15" s="121">
        <v>0</v>
      </c>
      <c r="T15" s="121">
        <v>0</v>
      </c>
      <c r="U15" s="121">
        <v>0</v>
      </c>
      <c r="V15" s="121">
        <v>0</v>
      </c>
      <c r="W15" s="121">
        <v>0</v>
      </c>
      <c r="X15" s="121">
        <v>0</v>
      </c>
      <c r="Y15" s="121">
        <v>0</v>
      </c>
      <c r="Z15" s="121">
        <v>0</v>
      </c>
      <c r="AA15" s="121">
        <v>0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0</v>
      </c>
      <c r="AH15" s="121">
        <v>0</v>
      </c>
      <c r="AI15" s="121">
        <v>0</v>
      </c>
      <c r="AJ15" s="121">
        <v>0</v>
      </c>
      <c r="AK15" s="121">
        <v>0</v>
      </c>
      <c r="AL15" s="121">
        <v>0</v>
      </c>
      <c r="AM15" s="121">
        <v>0</v>
      </c>
      <c r="AN15" s="121">
        <v>0</v>
      </c>
      <c r="AO15" s="121">
        <v>0</v>
      </c>
      <c r="AP15" s="121">
        <v>0</v>
      </c>
      <c r="AQ15" s="121">
        <v>0</v>
      </c>
      <c r="AR15" s="122">
        <v>0</v>
      </c>
    </row>
    <row r="16" spans="2:44" ht="12" customHeight="1" x14ac:dyDescent="0.3">
      <c r="B16" s="120" t="s">
        <v>34</v>
      </c>
      <c r="C16" s="121" t="s">
        <v>54</v>
      </c>
      <c r="D16" s="121" t="s">
        <v>25</v>
      </c>
      <c r="E16" s="121" t="s">
        <v>25</v>
      </c>
      <c r="F16" s="121" t="s">
        <v>25</v>
      </c>
      <c r="G16" s="121" t="s">
        <v>36</v>
      </c>
      <c r="H16" s="121" t="s">
        <v>78</v>
      </c>
      <c r="I16" s="121" t="s">
        <v>25</v>
      </c>
      <c r="J16" s="121">
        <v>27.13</v>
      </c>
      <c r="K16" s="121">
        <v>-1.5699999999999998</v>
      </c>
      <c r="L16" s="121">
        <v>0.18514274007846401</v>
      </c>
      <c r="M16" s="121">
        <v>0</v>
      </c>
      <c r="N16" s="121">
        <v>0</v>
      </c>
      <c r="O16" s="121">
        <v>0</v>
      </c>
      <c r="P16" s="121">
        <v>0</v>
      </c>
      <c r="Q16" s="121">
        <v>22.335987370741901</v>
      </c>
      <c r="R16" s="121">
        <v>4.6486353991390397</v>
      </c>
      <c r="S16" s="121">
        <v>0</v>
      </c>
      <c r="T16" s="121">
        <v>0</v>
      </c>
      <c r="U16" s="121">
        <v>0</v>
      </c>
      <c r="V16" s="121">
        <v>0</v>
      </c>
      <c r="W16" s="121">
        <v>0</v>
      </c>
      <c r="X16" s="121">
        <v>0</v>
      </c>
      <c r="Y16" s="121">
        <v>0</v>
      </c>
      <c r="Z16" s="121">
        <v>0</v>
      </c>
      <c r="AA16" s="121">
        <v>0</v>
      </c>
      <c r="AB16" s="121">
        <v>0</v>
      </c>
      <c r="AC16" s="121">
        <v>0</v>
      </c>
      <c r="AD16" s="121">
        <v>-3.3685657126391197E-2</v>
      </c>
      <c r="AE16" s="121">
        <v>0</v>
      </c>
      <c r="AF16" s="121">
        <v>-3.5081081985183101E-3</v>
      </c>
      <c r="AG16" s="121">
        <v>0</v>
      </c>
      <c r="AH16" s="121">
        <v>0.41584525677898299</v>
      </c>
      <c r="AI16" s="121">
        <v>0</v>
      </c>
      <c r="AJ16" s="121">
        <v>0</v>
      </c>
      <c r="AK16" s="121">
        <v>0</v>
      </c>
      <c r="AL16" s="121">
        <v>0</v>
      </c>
      <c r="AM16" s="121">
        <v>-1.9831356218848</v>
      </c>
      <c r="AN16" s="121">
        <v>0</v>
      </c>
      <c r="AO16" s="121">
        <v>0</v>
      </c>
      <c r="AP16" s="121">
        <v>0</v>
      </c>
      <c r="AQ16" s="121">
        <v>0</v>
      </c>
      <c r="AR16" s="122">
        <v>0</v>
      </c>
    </row>
    <row r="17" spans="2:44" ht="12" customHeight="1" x14ac:dyDescent="0.3">
      <c r="B17" s="120" t="s">
        <v>34</v>
      </c>
      <c r="C17" s="121" t="s">
        <v>54</v>
      </c>
      <c r="D17" s="121" t="s">
        <v>25</v>
      </c>
      <c r="E17" s="121" t="s">
        <v>25</v>
      </c>
      <c r="F17" s="121" t="s">
        <v>25</v>
      </c>
      <c r="G17" s="121" t="s">
        <v>36</v>
      </c>
      <c r="H17" s="121" t="s">
        <v>81</v>
      </c>
      <c r="I17" s="121" t="s">
        <v>25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0</v>
      </c>
      <c r="Q17" s="121">
        <v>0</v>
      </c>
      <c r="R17" s="121">
        <v>0</v>
      </c>
      <c r="S17" s="121">
        <v>0</v>
      </c>
      <c r="T17" s="121">
        <v>0</v>
      </c>
      <c r="U17" s="121">
        <v>0</v>
      </c>
      <c r="V17" s="121">
        <v>0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2">
        <v>0</v>
      </c>
    </row>
    <row r="18" spans="2:44" ht="12" customHeight="1" x14ac:dyDescent="0.3">
      <c r="B18" s="120" t="s">
        <v>34</v>
      </c>
      <c r="C18" s="121" t="s">
        <v>54</v>
      </c>
      <c r="D18" s="121" t="s">
        <v>25</v>
      </c>
      <c r="E18" s="121" t="s">
        <v>25</v>
      </c>
      <c r="F18" s="121" t="s">
        <v>25</v>
      </c>
      <c r="G18" s="121" t="s">
        <v>37</v>
      </c>
      <c r="H18" s="121" t="s">
        <v>78</v>
      </c>
      <c r="I18" s="121" t="s">
        <v>25</v>
      </c>
      <c r="J18" s="121">
        <v>27.13</v>
      </c>
      <c r="K18" s="121">
        <v>-0.74</v>
      </c>
      <c r="L18" s="121">
        <v>0.18514274007846401</v>
      </c>
      <c r="M18" s="121">
        <v>0</v>
      </c>
      <c r="N18" s="121">
        <v>0</v>
      </c>
      <c r="O18" s="121">
        <v>0</v>
      </c>
      <c r="P18" s="121">
        <v>0</v>
      </c>
      <c r="Q18" s="121">
        <v>22.335987370741901</v>
      </c>
      <c r="R18" s="121">
        <v>4.6486353991390397</v>
      </c>
      <c r="S18" s="121">
        <v>0</v>
      </c>
      <c r="T18" s="121">
        <v>0</v>
      </c>
      <c r="U18" s="121">
        <v>0</v>
      </c>
      <c r="V18" s="121">
        <v>0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-3.3685657126391197E-2</v>
      </c>
      <c r="AE18" s="121">
        <v>0</v>
      </c>
      <c r="AF18" s="121">
        <v>-3.5081081985183101E-3</v>
      </c>
      <c r="AG18" s="121">
        <v>0</v>
      </c>
      <c r="AH18" s="121">
        <v>0.41584525677898299</v>
      </c>
      <c r="AI18" s="121">
        <v>0</v>
      </c>
      <c r="AJ18" s="121">
        <v>0</v>
      </c>
      <c r="AK18" s="121">
        <v>0</v>
      </c>
      <c r="AL18" s="121">
        <v>0</v>
      </c>
      <c r="AM18" s="121">
        <v>-1.1529858266772099</v>
      </c>
      <c r="AN18" s="121">
        <v>0</v>
      </c>
      <c r="AO18" s="121">
        <v>0</v>
      </c>
      <c r="AP18" s="121">
        <v>0</v>
      </c>
      <c r="AQ18" s="121">
        <v>0</v>
      </c>
      <c r="AR18" s="122">
        <v>0</v>
      </c>
    </row>
    <row r="19" spans="2:44" ht="12" customHeight="1" x14ac:dyDescent="0.3">
      <c r="B19" s="120" t="s">
        <v>34</v>
      </c>
      <c r="C19" s="121" t="s">
        <v>54</v>
      </c>
      <c r="D19" s="121" t="s">
        <v>25</v>
      </c>
      <c r="E19" s="121" t="s">
        <v>25</v>
      </c>
      <c r="F19" s="121" t="s">
        <v>25</v>
      </c>
      <c r="G19" s="121" t="s">
        <v>37</v>
      </c>
      <c r="H19" s="121" t="s">
        <v>81</v>
      </c>
      <c r="I19" s="121" t="s">
        <v>25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0</v>
      </c>
      <c r="AH19" s="121">
        <v>0</v>
      </c>
      <c r="AI19" s="121">
        <v>0</v>
      </c>
      <c r="AJ19" s="121">
        <v>0</v>
      </c>
      <c r="AK19" s="121">
        <v>0</v>
      </c>
      <c r="AL19" s="121">
        <v>0</v>
      </c>
      <c r="AM19" s="121">
        <v>0</v>
      </c>
      <c r="AN19" s="121">
        <v>0</v>
      </c>
      <c r="AO19" s="121">
        <v>0</v>
      </c>
      <c r="AP19" s="121">
        <v>0</v>
      </c>
      <c r="AQ19" s="121">
        <v>0</v>
      </c>
      <c r="AR19" s="122">
        <v>0</v>
      </c>
    </row>
    <row r="20" spans="2:44" ht="12" customHeight="1" x14ac:dyDescent="0.3">
      <c r="B20" s="120" t="s">
        <v>34</v>
      </c>
      <c r="C20" s="121" t="s">
        <v>57</v>
      </c>
      <c r="D20" s="121" t="s">
        <v>25</v>
      </c>
      <c r="E20" s="121" t="s">
        <v>25</v>
      </c>
      <c r="F20" s="121" t="s">
        <v>25</v>
      </c>
      <c r="G20" s="121" t="s">
        <v>25</v>
      </c>
      <c r="H20" s="121" t="s">
        <v>81</v>
      </c>
      <c r="I20" s="121" t="s">
        <v>25</v>
      </c>
      <c r="J20" s="121">
        <v>0</v>
      </c>
      <c r="K20" s="121">
        <v>0</v>
      </c>
      <c r="L20" s="121">
        <v>0</v>
      </c>
      <c r="M20" s="121">
        <v>0</v>
      </c>
      <c r="N20" s="121">
        <v>0</v>
      </c>
      <c r="O20" s="121">
        <v>0</v>
      </c>
      <c r="P20" s="121">
        <v>0</v>
      </c>
      <c r="Q20" s="121">
        <v>0</v>
      </c>
      <c r="R20" s="121">
        <v>0</v>
      </c>
      <c r="S20" s="121">
        <v>0</v>
      </c>
      <c r="T20" s="121">
        <v>0</v>
      </c>
      <c r="U20" s="121">
        <v>0</v>
      </c>
      <c r="V20" s="121">
        <v>0</v>
      </c>
      <c r="W20" s="121">
        <v>0</v>
      </c>
      <c r="X20" s="121">
        <v>0</v>
      </c>
      <c r="Y20" s="121">
        <v>0</v>
      </c>
      <c r="Z20" s="121">
        <v>0</v>
      </c>
      <c r="AA20" s="121">
        <v>0</v>
      </c>
      <c r="AB20" s="121">
        <v>0</v>
      </c>
      <c r="AC20" s="121">
        <v>0</v>
      </c>
      <c r="AD20" s="121">
        <v>-9.0446073931777395E-6</v>
      </c>
      <c r="AE20" s="121">
        <v>0</v>
      </c>
      <c r="AF20" s="121">
        <v>0</v>
      </c>
      <c r="AG20" s="121">
        <v>0</v>
      </c>
      <c r="AH20" s="121">
        <v>0</v>
      </c>
      <c r="AI20" s="121">
        <v>0</v>
      </c>
      <c r="AJ20" s="121">
        <v>0</v>
      </c>
      <c r="AK20" s="121">
        <v>0</v>
      </c>
      <c r="AL20" s="121">
        <v>0</v>
      </c>
      <c r="AM20" s="121">
        <v>0</v>
      </c>
      <c r="AN20" s="121">
        <v>0</v>
      </c>
      <c r="AO20" s="121">
        <v>0</v>
      </c>
      <c r="AP20" s="121">
        <v>0</v>
      </c>
      <c r="AQ20" s="121">
        <v>0</v>
      </c>
      <c r="AR20" s="122">
        <v>0</v>
      </c>
    </row>
    <row r="21" spans="2:44" ht="12" customHeight="1" x14ac:dyDescent="0.3">
      <c r="B21" s="120" t="s">
        <v>34</v>
      </c>
      <c r="C21" s="121" t="s">
        <v>35</v>
      </c>
      <c r="D21" s="121" t="s">
        <v>25</v>
      </c>
      <c r="E21" s="121" t="s">
        <v>25</v>
      </c>
      <c r="F21" s="121" t="s">
        <v>85</v>
      </c>
      <c r="G21" s="121" t="s">
        <v>36</v>
      </c>
      <c r="H21" s="121" t="s">
        <v>78</v>
      </c>
      <c r="I21" s="121" t="s">
        <v>25</v>
      </c>
      <c r="J21" s="121">
        <v>-0.04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0</v>
      </c>
      <c r="R21" s="121">
        <v>0</v>
      </c>
      <c r="S21" s="121">
        <v>0</v>
      </c>
      <c r="T21" s="121">
        <v>0</v>
      </c>
      <c r="U21" s="121">
        <v>0</v>
      </c>
      <c r="V21" s="121">
        <v>0</v>
      </c>
      <c r="W21" s="121">
        <v>0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-3.3685657126391197E-2</v>
      </c>
      <c r="AE21" s="121">
        <v>0</v>
      </c>
      <c r="AF21" s="121">
        <v>-3.5081081985183101E-3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2">
        <v>0</v>
      </c>
    </row>
    <row r="22" spans="2:44" ht="12" customHeight="1" x14ac:dyDescent="0.3">
      <c r="B22" s="120" t="s">
        <v>34</v>
      </c>
      <c r="C22" s="121" t="s">
        <v>35</v>
      </c>
      <c r="D22" s="121" t="s">
        <v>25</v>
      </c>
      <c r="E22" s="121" t="s">
        <v>25</v>
      </c>
      <c r="F22" s="121" t="s">
        <v>85</v>
      </c>
      <c r="G22" s="121" t="s">
        <v>25</v>
      </c>
      <c r="H22" s="121" t="s">
        <v>81</v>
      </c>
      <c r="I22" s="121" t="s">
        <v>25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0</v>
      </c>
      <c r="Q22" s="121">
        <v>0</v>
      </c>
      <c r="R22" s="121">
        <v>0</v>
      </c>
      <c r="S22" s="121">
        <v>0</v>
      </c>
      <c r="T22" s="121">
        <v>0</v>
      </c>
      <c r="U22" s="121">
        <v>0</v>
      </c>
      <c r="V22" s="121">
        <v>0</v>
      </c>
      <c r="W22" s="121">
        <v>0</v>
      </c>
      <c r="X22" s="121">
        <v>0</v>
      </c>
      <c r="Y22" s="121">
        <v>0</v>
      </c>
      <c r="Z22" s="121">
        <v>0</v>
      </c>
      <c r="AA22" s="121">
        <v>0</v>
      </c>
      <c r="AB22" s="121">
        <v>0</v>
      </c>
      <c r="AC22" s="121">
        <v>0</v>
      </c>
      <c r="AD22" s="121">
        <v>0</v>
      </c>
      <c r="AE22" s="121">
        <v>0</v>
      </c>
      <c r="AF22" s="121">
        <v>0</v>
      </c>
      <c r="AG22" s="121">
        <v>0</v>
      </c>
      <c r="AH22" s="121">
        <v>0</v>
      </c>
      <c r="AI22" s="121">
        <v>0</v>
      </c>
      <c r="AJ22" s="121">
        <v>0</v>
      </c>
      <c r="AK22" s="121">
        <v>0</v>
      </c>
      <c r="AL22" s="121">
        <v>0</v>
      </c>
      <c r="AM22" s="121">
        <v>0</v>
      </c>
      <c r="AN22" s="121">
        <v>0</v>
      </c>
      <c r="AO22" s="121">
        <v>0</v>
      </c>
      <c r="AP22" s="121">
        <v>0</v>
      </c>
      <c r="AQ22" s="121">
        <v>0</v>
      </c>
      <c r="AR22" s="122">
        <v>0</v>
      </c>
    </row>
    <row r="23" spans="2:44" ht="12" customHeight="1" x14ac:dyDescent="0.3">
      <c r="B23" s="120" t="s">
        <v>34</v>
      </c>
      <c r="C23" s="121" t="s">
        <v>35</v>
      </c>
      <c r="D23" s="121" t="s">
        <v>25</v>
      </c>
      <c r="E23" s="121" t="s">
        <v>25</v>
      </c>
      <c r="F23" s="121" t="s">
        <v>85</v>
      </c>
      <c r="G23" s="121" t="s">
        <v>37</v>
      </c>
      <c r="H23" s="121" t="s">
        <v>78</v>
      </c>
      <c r="I23" s="121" t="s">
        <v>25</v>
      </c>
      <c r="J23" s="121">
        <v>-0.04</v>
      </c>
      <c r="K23" s="121">
        <v>0</v>
      </c>
      <c r="L23" s="121">
        <v>0</v>
      </c>
      <c r="M23" s="121">
        <v>0</v>
      </c>
      <c r="N23" s="121">
        <v>0</v>
      </c>
      <c r="O23" s="121">
        <v>0</v>
      </c>
      <c r="P23" s="121">
        <v>0</v>
      </c>
      <c r="Q23" s="121">
        <v>0</v>
      </c>
      <c r="R23" s="121">
        <v>0</v>
      </c>
      <c r="S23" s="121">
        <v>0</v>
      </c>
      <c r="T23" s="121">
        <v>0</v>
      </c>
      <c r="U23" s="121">
        <v>0</v>
      </c>
      <c r="V23" s="121">
        <v>0</v>
      </c>
      <c r="W23" s="121">
        <v>0</v>
      </c>
      <c r="X23" s="121">
        <v>0</v>
      </c>
      <c r="Y23" s="121">
        <v>0</v>
      </c>
      <c r="Z23" s="121">
        <v>0</v>
      </c>
      <c r="AA23" s="121">
        <v>0</v>
      </c>
      <c r="AB23" s="121">
        <v>0</v>
      </c>
      <c r="AC23" s="121">
        <v>0</v>
      </c>
      <c r="AD23" s="121">
        <v>-3.3685657126391197E-2</v>
      </c>
      <c r="AE23" s="121">
        <v>0</v>
      </c>
      <c r="AF23" s="121">
        <v>-3.5081081985183101E-3</v>
      </c>
      <c r="AG23" s="121">
        <v>0</v>
      </c>
      <c r="AH23" s="121">
        <v>0</v>
      </c>
      <c r="AI23" s="121">
        <v>0</v>
      </c>
      <c r="AJ23" s="121">
        <v>0</v>
      </c>
      <c r="AK23" s="121">
        <v>0</v>
      </c>
      <c r="AL23" s="121">
        <v>0</v>
      </c>
      <c r="AM23" s="121">
        <v>0</v>
      </c>
      <c r="AN23" s="121">
        <v>0</v>
      </c>
      <c r="AO23" s="121">
        <v>0</v>
      </c>
      <c r="AP23" s="121">
        <v>0</v>
      </c>
      <c r="AQ23" s="121">
        <v>0</v>
      </c>
      <c r="AR23" s="122">
        <v>0</v>
      </c>
    </row>
    <row r="24" spans="2:44" ht="12" customHeight="1" x14ac:dyDescent="0.3">
      <c r="B24" s="120" t="s">
        <v>34</v>
      </c>
      <c r="C24" s="121" t="s">
        <v>35</v>
      </c>
      <c r="D24" s="121" t="s">
        <v>25</v>
      </c>
      <c r="E24" s="121" t="s">
        <v>25</v>
      </c>
      <c r="F24" s="121" t="s">
        <v>25</v>
      </c>
      <c r="G24" s="121" t="s">
        <v>36</v>
      </c>
      <c r="H24" s="121" t="s">
        <v>78</v>
      </c>
      <c r="I24" s="121" t="s">
        <v>25</v>
      </c>
      <c r="J24" s="121">
        <v>27.13</v>
      </c>
      <c r="K24" s="121">
        <v>-1.5699999999999998</v>
      </c>
      <c r="L24" s="121">
        <v>0.18514274007846401</v>
      </c>
      <c r="M24" s="121">
        <v>0</v>
      </c>
      <c r="N24" s="121">
        <v>0</v>
      </c>
      <c r="O24" s="121">
        <v>0</v>
      </c>
      <c r="P24" s="121">
        <v>0</v>
      </c>
      <c r="Q24" s="121">
        <v>22.335987370741901</v>
      </c>
      <c r="R24" s="121">
        <v>4.6486353991390397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-3.3685657126391197E-2</v>
      </c>
      <c r="AE24" s="121">
        <v>0</v>
      </c>
      <c r="AF24" s="121">
        <v>-3.5081081985183101E-3</v>
      </c>
      <c r="AG24" s="121">
        <v>0</v>
      </c>
      <c r="AH24" s="121">
        <v>0.41584525677898299</v>
      </c>
      <c r="AI24" s="121">
        <v>0</v>
      </c>
      <c r="AJ24" s="121">
        <v>0</v>
      </c>
      <c r="AK24" s="121">
        <v>0</v>
      </c>
      <c r="AL24" s="121">
        <v>0</v>
      </c>
      <c r="AM24" s="121">
        <v>-1.9831356218848</v>
      </c>
      <c r="AN24" s="121">
        <v>0</v>
      </c>
      <c r="AO24" s="121">
        <v>0</v>
      </c>
      <c r="AP24" s="121">
        <v>0</v>
      </c>
      <c r="AQ24" s="121">
        <v>0</v>
      </c>
      <c r="AR24" s="122">
        <v>0</v>
      </c>
    </row>
    <row r="25" spans="2:44" ht="12" customHeight="1" x14ac:dyDescent="0.3">
      <c r="B25" s="120" t="s">
        <v>34</v>
      </c>
      <c r="C25" s="121" t="s">
        <v>35</v>
      </c>
      <c r="D25" s="121" t="s">
        <v>25</v>
      </c>
      <c r="E25" s="121" t="s">
        <v>25</v>
      </c>
      <c r="F25" s="121" t="s">
        <v>25</v>
      </c>
      <c r="G25" s="121" t="s">
        <v>25</v>
      </c>
      <c r="H25" s="121" t="s">
        <v>81</v>
      </c>
      <c r="I25" s="121" t="s">
        <v>25</v>
      </c>
      <c r="J25" s="121">
        <v>0</v>
      </c>
      <c r="K25" s="121">
        <v>0</v>
      </c>
      <c r="L25" s="121">
        <v>0</v>
      </c>
      <c r="M25" s="121">
        <v>0</v>
      </c>
      <c r="N25" s="121">
        <v>0</v>
      </c>
      <c r="O25" s="121">
        <v>0</v>
      </c>
      <c r="P25" s="121">
        <v>0</v>
      </c>
      <c r="Q25" s="121">
        <v>0</v>
      </c>
      <c r="R25" s="121">
        <v>0</v>
      </c>
      <c r="S25" s="121">
        <v>0</v>
      </c>
      <c r="T25" s="121">
        <v>0</v>
      </c>
      <c r="U25" s="121">
        <v>0</v>
      </c>
      <c r="V25" s="121">
        <v>0</v>
      </c>
      <c r="W25" s="121">
        <v>0</v>
      </c>
      <c r="X25" s="121">
        <v>0</v>
      </c>
      <c r="Y25" s="121">
        <v>0</v>
      </c>
      <c r="Z25" s="121">
        <v>0</v>
      </c>
      <c r="AA25" s="121">
        <v>0</v>
      </c>
      <c r="AB25" s="121">
        <v>0</v>
      </c>
      <c r="AC25" s="121">
        <v>0</v>
      </c>
      <c r="AD25" s="121">
        <v>0</v>
      </c>
      <c r="AE25" s="121">
        <v>0</v>
      </c>
      <c r="AF25" s="121">
        <v>0</v>
      </c>
      <c r="AG25" s="121">
        <v>0</v>
      </c>
      <c r="AH25" s="121">
        <v>0</v>
      </c>
      <c r="AI25" s="121">
        <v>0</v>
      </c>
      <c r="AJ25" s="121">
        <v>0</v>
      </c>
      <c r="AK25" s="121">
        <v>0</v>
      </c>
      <c r="AL25" s="121">
        <v>0</v>
      </c>
      <c r="AM25" s="121">
        <v>0</v>
      </c>
      <c r="AN25" s="121">
        <v>0</v>
      </c>
      <c r="AO25" s="121">
        <v>0</v>
      </c>
      <c r="AP25" s="121">
        <v>0</v>
      </c>
      <c r="AQ25" s="121">
        <v>0</v>
      </c>
      <c r="AR25" s="122">
        <v>0</v>
      </c>
    </row>
    <row r="26" spans="2:44" ht="12" customHeight="1" x14ac:dyDescent="0.3">
      <c r="B26" s="120" t="s">
        <v>34</v>
      </c>
      <c r="C26" s="121" t="s">
        <v>35</v>
      </c>
      <c r="D26" s="121" t="s">
        <v>25</v>
      </c>
      <c r="E26" s="121" t="s">
        <v>25</v>
      </c>
      <c r="F26" s="121" t="s">
        <v>25</v>
      </c>
      <c r="G26" s="121" t="s">
        <v>37</v>
      </c>
      <c r="H26" s="121" t="s">
        <v>78</v>
      </c>
      <c r="I26" s="121" t="s">
        <v>25</v>
      </c>
      <c r="J26" s="121">
        <v>27.13</v>
      </c>
      <c r="K26" s="121">
        <v>-0.74</v>
      </c>
      <c r="L26" s="121">
        <v>0.18514274007846401</v>
      </c>
      <c r="M26" s="121">
        <v>0</v>
      </c>
      <c r="N26" s="121">
        <v>0</v>
      </c>
      <c r="O26" s="121">
        <v>0</v>
      </c>
      <c r="P26" s="121">
        <v>0</v>
      </c>
      <c r="Q26" s="121">
        <v>22.335987370741901</v>
      </c>
      <c r="R26" s="121">
        <v>4.6486353991390397</v>
      </c>
      <c r="S26" s="121">
        <v>0</v>
      </c>
      <c r="T26" s="121">
        <v>0</v>
      </c>
      <c r="U26" s="121">
        <v>0</v>
      </c>
      <c r="V26" s="121">
        <v>0</v>
      </c>
      <c r="W26" s="121">
        <v>0</v>
      </c>
      <c r="X26" s="121">
        <v>0</v>
      </c>
      <c r="Y26" s="121">
        <v>0</v>
      </c>
      <c r="Z26" s="121">
        <v>0</v>
      </c>
      <c r="AA26" s="121">
        <v>0</v>
      </c>
      <c r="AB26" s="121">
        <v>0</v>
      </c>
      <c r="AC26" s="121">
        <v>0</v>
      </c>
      <c r="AD26" s="121">
        <v>-3.3685657126391197E-2</v>
      </c>
      <c r="AE26" s="121">
        <v>0</v>
      </c>
      <c r="AF26" s="121">
        <v>-3.5081081985183101E-3</v>
      </c>
      <c r="AG26" s="121">
        <v>0</v>
      </c>
      <c r="AH26" s="121">
        <v>0.41584525677898299</v>
      </c>
      <c r="AI26" s="121">
        <v>0</v>
      </c>
      <c r="AJ26" s="121">
        <v>0</v>
      </c>
      <c r="AK26" s="121">
        <v>0</v>
      </c>
      <c r="AL26" s="121">
        <v>0</v>
      </c>
      <c r="AM26" s="121">
        <v>-1.1529858266772099</v>
      </c>
      <c r="AN26" s="121">
        <v>0</v>
      </c>
      <c r="AO26" s="121">
        <v>0</v>
      </c>
      <c r="AP26" s="121">
        <v>0</v>
      </c>
      <c r="AQ26" s="121">
        <v>0</v>
      </c>
      <c r="AR26" s="122">
        <v>0</v>
      </c>
    </row>
    <row r="27" spans="2:44" ht="12" customHeight="1" x14ac:dyDescent="0.3">
      <c r="B27" s="120" t="s">
        <v>86</v>
      </c>
      <c r="C27" s="121" t="s">
        <v>57</v>
      </c>
      <c r="D27" s="121" t="s">
        <v>25</v>
      </c>
      <c r="E27" s="121" t="s">
        <v>25</v>
      </c>
      <c r="F27" s="121" t="s">
        <v>87</v>
      </c>
      <c r="G27" s="121" t="s">
        <v>25</v>
      </c>
      <c r="H27" s="121" t="s">
        <v>81</v>
      </c>
      <c r="I27" s="121" t="s">
        <v>25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0</v>
      </c>
      <c r="P27" s="121">
        <v>0</v>
      </c>
      <c r="Q27" s="121">
        <v>0</v>
      </c>
      <c r="R27" s="121">
        <v>0</v>
      </c>
      <c r="S27" s="121">
        <v>0</v>
      </c>
      <c r="T27" s="121">
        <v>0</v>
      </c>
      <c r="U27" s="121">
        <v>0</v>
      </c>
      <c r="V27" s="121">
        <v>0</v>
      </c>
      <c r="W27" s="121">
        <v>0</v>
      </c>
      <c r="X27" s="121">
        <v>0</v>
      </c>
      <c r="Y27" s="121">
        <v>0</v>
      </c>
      <c r="Z27" s="121">
        <v>0</v>
      </c>
      <c r="AA27" s="121">
        <v>0</v>
      </c>
      <c r="AB27" s="121">
        <v>0</v>
      </c>
      <c r="AC27" s="121">
        <v>0</v>
      </c>
      <c r="AD27" s="121">
        <v>0</v>
      </c>
      <c r="AE27" s="121">
        <v>0</v>
      </c>
      <c r="AF27" s="121">
        <v>0</v>
      </c>
      <c r="AG27" s="121">
        <v>0</v>
      </c>
      <c r="AH27" s="121">
        <v>0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0</v>
      </c>
      <c r="AO27" s="121">
        <v>0</v>
      </c>
      <c r="AP27" s="121">
        <v>0</v>
      </c>
      <c r="AQ27" s="121">
        <v>0</v>
      </c>
      <c r="AR27" s="122">
        <v>0</v>
      </c>
    </row>
    <row r="28" spans="2:44" ht="12" customHeight="1" x14ac:dyDescent="0.3">
      <c r="B28" s="120" t="s">
        <v>86</v>
      </c>
      <c r="C28" s="121" t="s">
        <v>57</v>
      </c>
      <c r="D28" s="121" t="s">
        <v>25</v>
      </c>
      <c r="E28" s="121" t="s">
        <v>25</v>
      </c>
      <c r="F28" s="121" t="s">
        <v>88</v>
      </c>
      <c r="G28" s="121" t="s">
        <v>25</v>
      </c>
      <c r="H28" s="121" t="s">
        <v>81</v>
      </c>
      <c r="I28" s="121" t="s">
        <v>25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0</v>
      </c>
      <c r="T28" s="121">
        <v>0</v>
      </c>
      <c r="U28" s="121">
        <v>0</v>
      </c>
      <c r="V28" s="121">
        <v>0</v>
      </c>
      <c r="W28" s="121">
        <v>0</v>
      </c>
      <c r="X28" s="121">
        <v>0</v>
      </c>
      <c r="Y28" s="121">
        <v>0</v>
      </c>
      <c r="Z28" s="121">
        <v>0</v>
      </c>
      <c r="AA28" s="121">
        <v>0</v>
      </c>
      <c r="AB28" s="121">
        <v>0</v>
      </c>
      <c r="AC28" s="121">
        <v>0</v>
      </c>
      <c r="AD28" s="121">
        <v>0</v>
      </c>
      <c r="AE28" s="121">
        <v>0</v>
      </c>
      <c r="AF28" s="121">
        <v>0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2">
        <v>0</v>
      </c>
    </row>
    <row r="29" spans="2:44" ht="12" customHeight="1" x14ac:dyDescent="0.3">
      <c r="B29" s="120" t="s">
        <v>22</v>
      </c>
      <c r="C29" s="121" t="s">
        <v>38</v>
      </c>
      <c r="D29" s="121" t="s">
        <v>24</v>
      </c>
      <c r="E29" s="121" t="s">
        <v>24</v>
      </c>
      <c r="F29" s="121" t="s">
        <v>25</v>
      </c>
      <c r="G29" s="121" t="s">
        <v>36</v>
      </c>
      <c r="H29" s="121" t="s">
        <v>78</v>
      </c>
      <c r="I29" s="121" t="s">
        <v>25</v>
      </c>
      <c r="J29" s="121">
        <v>31.36</v>
      </c>
      <c r="K29" s="121">
        <v>-1.5699999999999998</v>
      </c>
      <c r="L29" s="121">
        <v>0.22040802390293299</v>
      </c>
      <c r="M29" s="121">
        <v>0</v>
      </c>
      <c r="N29" s="121">
        <v>0</v>
      </c>
      <c r="O29" s="121">
        <v>0</v>
      </c>
      <c r="P29" s="121">
        <v>0</v>
      </c>
      <c r="Q29" s="121">
        <v>26.590461155645102</v>
      </c>
      <c r="R29" s="121">
        <v>4.6486353991390397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-9.3698986642923796E-2</v>
      </c>
      <c r="AE29" s="121">
        <v>0</v>
      </c>
      <c r="AF29" s="121">
        <v>-5.4960946370833999E-3</v>
      </c>
      <c r="AG29" s="121">
        <v>0</v>
      </c>
      <c r="AH29" s="121">
        <v>0.41584525677898299</v>
      </c>
      <c r="AI29" s="121">
        <v>0</v>
      </c>
      <c r="AJ29" s="121">
        <v>0</v>
      </c>
      <c r="AK29" s="121">
        <v>0</v>
      </c>
      <c r="AL29" s="121">
        <v>0</v>
      </c>
      <c r="AM29" s="121">
        <v>-1.9831356218848</v>
      </c>
      <c r="AN29" s="121">
        <v>0</v>
      </c>
      <c r="AO29" s="121">
        <v>0</v>
      </c>
      <c r="AP29" s="121">
        <v>0</v>
      </c>
      <c r="AQ29" s="121">
        <v>0</v>
      </c>
      <c r="AR29" s="122">
        <v>0</v>
      </c>
    </row>
    <row r="30" spans="2:44" ht="12" customHeight="1" x14ac:dyDescent="0.3">
      <c r="B30" s="120" t="s">
        <v>22</v>
      </c>
      <c r="C30" s="121" t="s">
        <v>38</v>
      </c>
      <c r="D30" s="121" t="s">
        <v>24</v>
      </c>
      <c r="E30" s="121" t="s">
        <v>24</v>
      </c>
      <c r="F30" s="121" t="s">
        <v>25</v>
      </c>
      <c r="G30" s="121" t="s">
        <v>39</v>
      </c>
      <c r="H30" s="121" t="s">
        <v>78</v>
      </c>
      <c r="I30" s="121" t="s">
        <v>25</v>
      </c>
      <c r="J30" s="121">
        <v>31.36</v>
      </c>
      <c r="K30" s="121">
        <v>-0.74</v>
      </c>
      <c r="L30" s="121">
        <v>0.22040802390293299</v>
      </c>
      <c r="M30" s="121">
        <v>0</v>
      </c>
      <c r="N30" s="121">
        <v>0</v>
      </c>
      <c r="O30" s="121">
        <v>0</v>
      </c>
      <c r="P30" s="121">
        <v>0</v>
      </c>
      <c r="Q30" s="121">
        <v>26.590461155645102</v>
      </c>
      <c r="R30" s="121">
        <v>4.6486353991390397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-9.3698986642923796E-2</v>
      </c>
      <c r="AE30" s="121">
        <v>0</v>
      </c>
      <c r="AF30" s="121">
        <v>-5.4960946370833999E-3</v>
      </c>
      <c r="AG30" s="121">
        <v>0</v>
      </c>
      <c r="AH30" s="121">
        <v>0.41584525677898299</v>
      </c>
      <c r="AI30" s="121">
        <v>0</v>
      </c>
      <c r="AJ30" s="121">
        <v>0</v>
      </c>
      <c r="AK30" s="121">
        <v>0</v>
      </c>
      <c r="AL30" s="121">
        <v>0</v>
      </c>
      <c r="AM30" s="121">
        <v>-1.1529858266772099</v>
      </c>
      <c r="AN30" s="121">
        <v>0</v>
      </c>
      <c r="AO30" s="121">
        <v>0</v>
      </c>
      <c r="AP30" s="121">
        <v>0</v>
      </c>
      <c r="AQ30" s="121">
        <v>0</v>
      </c>
      <c r="AR30" s="122">
        <v>0</v>
      </c>
    </row>
    <row r="31" spans="2:44" ht="12" customHeight="1" x14ac:dyDescent="0.3">
      <c r="B31" s="120" t="s">
        <v>22</v>
      </c>
      <c r="C31" s="121" t="s">
        <v>38</v>
      </c>
      <c r="D31" s="121" t="s">
        <v>24</v>
      </c>
      <c r="E31" s="121" t="s">
        <v>24</v>
      </c>
      <c r="F31" s="121" t="s">
        <v>25</v>
      </c>
      <c r="G31" s="121" t="s">
        <v>37</v>
      </c>
      <c r="H31" s="121" t="s">
        <v>78</v>
      </c>
      <c r="I31" s="121" t="s">
        <v>25</v>
      </c>
      <c r="J31" s="121">
        <v>31.36</v>
      </c>
      <c r="K31" s="121">
        <v>-0.74</v>
      </c>
      <c r="L31" s="121">
        <v>0.22040802390293299</v>
      </c>
      <c r="M31" s="121">
        <v>0</v>
      </c>
      <c r="N31" s="121">
        <v>0</v>
      </c>
      <c r="O31" s="121">
        <v>0</v>
      </c>
      <c r="P31" s="121">
        <v>0</v>
      </c>
      <c r="Q31" s="121">
        <v>26.590461155645102</v>
      </c>
      <c r="R31" s="121">
        <v>4.6486353991390397</v>
      </c>
      <c r="S31" s="121">
        <v>0</v>
      </c>
      <c r="T31" s="121">
        <v>0</v>
      </c>
      <c r="U31" s="121">
        <v>0</v>
      </c>
      <c r="V31" s="121">
        <v>0</v>
      </c>
      <c r="W31" s="121">
        <v>0</v>
      </c>
      <c r="X31" s="121">
        <v>0</v>
      </c>
      <c r="Y31" s="121">
        <v>0</v>
      </c>
      <c r="Z31" s="121">
        <v>0</v>
      </c>
      <c r="AA31" s="121">
        <v>0</v>
      </c>
      <c r="AB31" s="121">
        <v>0</v>
      </c>
      <c r="AC31" s="121">
        <v>0</v>
      </c>
      <c r="AD31" s="121">
        <v>-9.3698986642923796E-2</v>
      </c>
      <c r="AE31" s="121">
        <v>0</v>
      </c>
      <c r="AF31" s="121">
        <v>-5.4960946370833999E-3</v>
      </c>
      <c r="AG31" s="121">
        <v>0</v>
      </c>
      <c r="AH31" s="121">
        <v>0.41584525677898299</v>
      </c>
      <c r="AI31" s="121">
        <v>0</v>
      </c>
      <c r="AJ31" s="121">
        <v>0</v>
      </c>
      <c r="AK31" s="121">
        <v>0</v>
      </c>
      <c r="AL31" s="121">
        <v>0</v>
      </c>
      <c r="AM31" s="121">
        <v>-1.1529858266772099</v>
      </c>
      <c r="AN31" s="121">
        <v>0</v>
      </c>
      <c r="AO31" s="121">
        <v>0</v>
      </c>
      <c r="AP31" s="121">
        <v>0</v>
      </c>
      <c r="AQ31" s="121">
        <v>0</v>
      </c>
      <c r="AR31" s="122">
        <v>0</v>
      </c>
    </row>
    <row r="32" spans="2:44" ht="12" customHeight="1" x14ac:dyDescent="0.3">
      <c r="B32" s="120" t="s">
        <v>22</v>
      </c>
      <c r="C32" s="121" t="s">
        <v>23</v>
      </c>
      <c r="D32" s="121" t="s">
        <v>24</v>
      </c>
      <c r="E32" s="121" t="s">
        <v>1261</v>
      </c>
      <c r="F32" s="121" t="s">
        <v>25</v>
      </c>
      <c r="G32" s="121" t="s">
        <v>25</v>
      </c>
      <c r="H32" s="121" t="s">
        <v>78</v>
      </c>
      <c r="I32" s="121" t="s">
        <v>25</v>
      </c>
      <c r="J32" s="121">
        <v>-0.1</v>
      </c>
      <c r="K32" s="121">
        <v>-0.81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-9.3698986642923796E-2</v>
      </c>
      <c r="AE32" s="121">
        <v>0</v>
      </c>
      <c r="AF32" s="121">
        <v>-5.4960946370833999E-3</v>
      </c>
      <c r="AG32" s="121">
        <v>0</v>
      </c>
      <c r="AH32" s="121">
        <v>0.41584525677898299</v>
      </c>
      <c r="AI32" s="121">
        <v>0</v>
      </c>
      <c r="AJ32" s="121">
        <v>0</v>
      </c>
      <c r="AK32" s="121">
        <v>0</v>
      </c>
      <c r="AL32" s="121">
        <v>0</v>
      </c>
      <c r="AM32" s="121">
        <v>-1.2221649762778399</v>
      </c>
      <c r="AN32" s="121">
        <v>0</v>
      </c>
      <c r="AO32" s="121">
        <v>0</v>
      </c>
      <c r="AP32" s="121">
        <v>0</v>
      </c>
      <c r="AQ32" s="121">
        <v>0</v>
      </c>
      <c r="AR32" s="122">
        <v>0</v>
      </c>
    </row>
    <row r="33" spans="2:44" ht="12" customHeight="1" x14ac:dyDescent="0.3">
      <c r="B33" s="120" t="s">
        <v>22</v>
      </c>
      <c r="C33" s="121" t="s">
        <v>23</v>
      </c>
      <c r="D33" s="121" t="s">
        <v>24</v>
      </c>
      <c r="E33" s="121" t="s">
        <v>24</v>
      </c>
      <c r="F33" s="121" t="s">
        <v>25</v>
      </c>
      <c r="G33" s="121" t="s">
        <v>25</v>
      </c>
      <c r="H33" s="121" t="s">
        <v>78</v>
      </c>
      <c r="I33" s="121" t="s">
        <v>25</v>
      </c>
      <c r="J33" s="121">
        <v>31.36</v>
      </c>
      <c r="K33" s="121">
        <v>-0.81</v>
      </c>
      <c r="L33" s="121">
        <v>0.22040802390293299</v>
      </c>
      <c r="M33" s="121">
        <v>0</v>
      </c>
      <c r="N33" s="121">
        <v>0</v>
      </c>
      <c r="O33" s="121">
        <v>0</v>
      </c>
      <c r="P33" s="121">
        <v>0</v>
      </c>
      <c r="Q33" s="121">
        <v>26.590461155645102</v>
      </c>
      <c r="R33" s="121">
        <v>4.6486353991390397</v>
      </c>
      <c r="S33" s="121">
        <v>0</v>
      </c>
      <c r="T33" s="121">
        <v>0</v>
      </c>
      <c r="U33" s="121">
        <v>0</v>
      </c>
      <c r="V33" s="121">
        <v>0</v>
      </c>
      <c r="W33" s="121">
        <v>0</v>
      </c>
      <c r="X33" s="121">
        <v>0</v>
      </c>
      <c r="Y33" s="121">
        <v>0</v>
      </c>
      <c r="Z33" s="121">
        <v>0</v>
      </c>
      <c r="AA33" s="121">
        <v>0</v>
      </c>
      <c r="AB33" s="121">
        <v>0</v>
      </c>
      <c r="AC33" s="121">
        <v>0</v>
      </c>
      <c r="AD33" s="121">
        <v>-9.3698986642923796E-2</v>
      </c>
      <c r="AE33" s="121">
        <v>0</v>
      </c>
      <c r="AF33" s="121">
        <v>-5.4960946370833999E-3</v>
      </c>
      <c r="AG33" s="121">
        <v>0</v>
      </c>
      <c r="AH33" s="121">
        <v>0.41584525677898299</v>
      </c>
      <c r="AI33" s="121">
        <v>0</v>
      </c>
      <c r="AJ33" s="121">
        <v>0</v>
      </c>
      <c r="AK33" s="121">
        <v>0</v>
      </c>
      <c r="AL33" s="121">
        <v>0</v>
      </c>
      <c r="AM33" s="121">
        <v>-1.2221649762778399</v>
      </c>
      <c r="AN33" s="121">
        <v>0</v>
      </c>
      <c r="AO33" s="121">
        <v>0</v>
      </c>
      <c r="AP33" s="121">
        <v>0</v>
      </c>
      <c r="AQ33" s="121">
        <v>0</v>
      </c>
      <c r="AR33" s="122">
        <v>0</v>
      </c>
    </row>
    <row r="34" spans="2:44" ht="12" customHeight="1" x14ac:dyDescent="0.3">
      <c r="B34" s="120" t="s">
        <v>22</v>
      </c>
      <c r="C34" s="121" t="s">
        <v>92</v>
      </c>
      <c r="D34" s="121" t="s">
        <v>24</v>
      </c>
      <c r="E34" s="121" t="s">
        <v>1261</v>
      </c>
      <c r="F34" s="121" t="s">
        <v>25</v>
      </c>
      <c r="G34" s="121" t="s">
        <v>25</v>
      </c>
      <c r="H34" s="121" t="s">
        <v>78</v>
      </c>
      <c r="I34" s="121" t="s">
        <v>25</v>
      </c>
      <c r="J34" s="121">
        <v>-0.1</v>
      </c>
      <c r="K34" s="121">
        <v>-0.81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-9.3698986642923796E-2</v>
      </c>
      <c r="AE34" s="121">
        <v>0</v>
      </c>
      <c r="AF34" s="121">
        <v>-5.4960946370833999E-3</v>
      </c>
      <c r="AG34" s="121">
        <v>0</v>
      </c>
      <c r="AH34" s="121">
        <v>0.41584525677898299</v>
      </c>
      <c r="AI34" s="121">
        <v>0</v>
      </c>
      <c r="AJ34" s="121">
        <v>0</v>
      </c>
      <c r="AK34" s="121">
        <v>0</v>
      </c>
      <c r="AL34" s="121">
        <v>0</v>
      </c>
      <c r="AM34" s="121">
        <v>-1.2221649762778399</v>
      </c>
      <c r="AN34" s="121">
        <v>0</v>
      </c>
      <c r="AO34" s="121">
        <v>0</v>
      </c>
      <c r="AP34" s="121">
        <v>0</v>
      </c>
      <c r="AQ34" s="121">
        <v>0</v>
      </c>
      <c r="AR34" s="122">
        <v>0</v>
      </c>
    </row>
    <row r="35" spans="2:44" ht="12" customHeight="1" x14ac:dyDescent="0.3">
      <c r="B35" s="120" t="s">
        <v>22</v>
      </c>
      <c r="C35" s="121" t="s">
        <v>92</v>
      </c>
      <c r="D35" s="121" t="s">
        <v>24</v>
      </c>
      <c r="E35" s="121" t="s">
        <v>24</v>
      </c>
      <c r="F35" s="121" t="s">
        <v>25</v>
      </c>
      <c r="G35" s="121" t="s">
        <v>25</v>
      </c>
      <c r="H35" s="121" t="s">
        <v>78</v>
      </c>
      <c r="I35" s="121" t="s">
        <v>25</v>
      </c>
      <c r="J35" s="121">
        <v>31.36</v>
      </c>
      <c r="K35" s="121">
        <v>-0.81</v>
      </c>
      <c r="L35" s="121">
        <v>0.22040802390293299</v>
      </c>
      <c r="M35" s="121">
        <v>0</v>
      </c>
      <c r="N35" s="121">
        <v>0</v>
      </c>
      <c r="O35" s="121">
        <v>0</v>
      </c>
      <c r="P35" s="121">
        <v>0</v>
      </c>
      <c r="Q35" s="121">
        <v>26.590461155645102</v>
      </c>
      <c r="R35" s="121">
        <v>4.6486353991390397</v>
      </c>
      <c r="S35" s="121">
        <v>0</v>
      </c>
      <c r="T35" s="121">
        <v>0</v>
      </c>
      <c r="U35" s="121">
        <v>0</v>
      </c>
      <c r="V35" s="121">
        <v>0</v>
      </c>
      <c r="W35" s="121">
        <v>0</v>
      </c>
      <c r="X35" s="121">
        <v>0</v>
      </c>
      <c r="Y35" s="121">
        <v>0</v>
      </c>
      <c r="Z35" s="121">
        <v>0</v>
      </c>
      <c r="AA35" s="121">
        <v>0</v>
      </c>
      <c r="AB35" s="121">
        <v>0</v>
      </c>
      <c r="AC35" s="121">
        <v>0</v>
      </c>
      <c r="AD35" s="121">
        <v>-9.3698986642923796E-2</v>
      </c>
      <c r="AE35" s="121">
        <v>0</v>
      </c>
      <c r="AF35" s="121">
        <v>-5.4960946370833999E-3</v>
      </c>
      <c r="AG35" s="121">
        <v>0</v>
      </c>
      <c r="AH35" s="121">
        <v>0.41584525677898299</v>
      </c>
      <c r="AI35" s="121">
        <v>0</v>
      </c>
      <c r="AJ35" s="121">
        <v>0</v>
      </c>
      <c r="AK35" s="121">
        <v>0</v>
      </c>
      <c r="AL35" s="121">
        <v>0</v>
      </c>
      <c r="AM35" s="121">
        <v>-1.2221649762778399</v>
      </c>
      <c r="AN35" s="121">
        <v>0</v>
      </c>
      <c r="AO35" s="121">
        <v>0</v>
      </c>
      <c r="AP35" s="121">
        <v>0</v>
      </c>
      <c r="AQ35" s="121">
        <v>0</v>
      </c>
      <c r="AR35" s="122">
        <v>0</v>
      </c>
    </row>
    <row r="36" spans="2:44" ht="12" customHeight="1" x14ac:dyDescent="0.3">
      <c r="B36" s="120" t="s">
        <v>41</v>
      </c>
      <c r="C36" s="121" t="s">
        <v>38</v>
      </c>
      <c r="D36" s="121" t="s">
        <v>42</v>
      </c>
      <c r="E36" s="121" t="s">
        <v>93</v>
      </c>
      <c r="F36" s="121" t="s">
        <v>25</v>
      </c>
      <c r="G36" s="121" t="s">
        <v>36</v>
      </c>
      <c r="H36" s="121" t="s">
        <v>78</v>
      </c>
      <c r="I36" s="121" t="s">
        <v>25</v>
      </c>
      <c r="J36" s="121">
        <v>29.48</v>
      </c>
      <c r="K36" s="121">
        <v>-1.47</v>
      </c>
      <c r="L36" s="121">
        <v>0.207183542468757</v>
      </c>
      <c r="M36" s="121">
        <v>0</v>
      </c>
      <c r="N36" s="121">
        <v>0</v>
      </c>
      <c r="O36" s="121">
        <v>0</v>
      </c>
      <c r="P36" s="121">
        <v>0</v>
      </c>
      <c r="Q36" s="121">
        <v>24.995033486306401</v>
      </c>
      <c r="R36" s="121">
        <v>4.3697172751907001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0</v>
      </c>
      <c r="Z36" s="121">
        <v>0</v>
      </c>
      <c r="AA36" s="121">
        <v>0</v>
      </c>
      <c r="AB36" s="121">
        <v>0</v>
      </c>
      <c r="AC36" s="121">
        <v>0</v>
      </c>
      <c r="AD36" s="121">
        <v>-8.8077047444348397E-2</v>
      </c>
      <c r="AE36" s="121">
        <v>0</v>
      </c>
      <c r="AF36" s="121">
        <v>-5.1663289588584002E-3</v>
      </c>
      <c r="AG36" s="121">
        <v>0</v>
      </c>
      <c r="AH36" s="121">
        <v>0.390894541372244</v>
      </c>
      <c r="AI36" s="121">
        <v>0</v>
      </c>
      <c r="AJ36" s="121">
        <v>0</v>
      </c>
      <c r="AK36" s="121">
        <v>0</v>
      </c>
      <c r="AL36" s="121">
        <v>0</v>
      </c>
      <c r="AM36" s="121">
        <v>-1.8641474845717101</v>
      </c>
      <c r="AN36" s="121">
        <v>0</v>
      </c>
      <c r="AO36" s="121">
        <v>0</v>
      </c>
      <c r="AP36" s="121">
        <v>0</v>
      </c>
      <c r="AQ36" s="121">
        <v>0</v>
      </c>
      <c r="AR36" s="122">
        <v>0</v>
      </c>
    </row>
    <row r="37" spans="2:44" ht="12" customHeight="1" x14ac:dyDescent="0.3">
      <c r="B37" s="120" t="s">
        <v>41</v>
      </c>
      <c r="C37" s="121" t="s">
        <v>38</v>
      </c>
      <c r="D37" s="121" t="s">
        <v>42</v>
      </c>
      <c r="E37" s="121" t="s">
        <v>93</v>
      </c>
      <c r="F37" s="121" t="s">
        <v>25</v>
      </c>
      <c r="G37" s="121" t="s">
        <v>39</v>
      </c>
      <c r="H37" s="121" t="s">
        <v>78</v>
      </c>
      <c r="I37" s="121" t="s">
        <v>25</v>
      </c>
      <c r="J37" s="121">
        <v>29.48</v>
      </c>
      <c r="K37" s="121">
        <v>-0.69</v>
      </c>
      <c r="L37" s="121">
        <v>0.207183542468757</v>
      </c>
      <c r="M37" s="121">
        <v>0</v>
      </c>
      <c r="N37" s="121">
        <v>0</v>
      </c>
      <c r="O37" s="121">
        <v>0</v>
      </c>
      <c r="P37" s="121">
        <v>0</v>
      </c>
      <c r="Q37" s="121">
        <v>24.995033486306401</v>
      </c>
      <c r="R37" s="121">
        <v>4.3697172751907001</v>
      </c>
      <c r="S37" s="121">
        <v>0</v>
      </c>
      <c r="T37" s="121">
        <v>0</v>
      </c>
      <c r="U37" s="121">
        <v>0</v>
      </c>
      <c r="V37" s="121">
        <v>0</v>
      </c>
      <c r="W37" s="121">
        <v>0</v>
      </c>
      <c r="X37" s="121">
        <v>0</v>
      </c>
      <c r="Y37" s="121">
        <v>0</v>
      </c>
      <c r="Z37" s="121">
        <v>0</v>
      </c>
      <c r="AA37" s="121">
        <v>0</v>
      </c>
      <c r="AB37" s="121">
        <v>0</v>
      </c>
      <c r="AC37" s="121">
        <v>0</v>
      </c>
      <c r="AD37" s="121">
        <v>-8.8077047444348397E-2</v>
      </c>
      <c r="AE37" s="121">
        <v>0</v>
      </c>
      <c r="AF37" s="121">
        <v>-5.1663289588584002E-3</v>
      </c>
      <c r="AG37" s="121">
        <v>0</v>
      </c>
      <c r="AH37" s="121">
        <v>0.390894541372244</v>
      </c>
      <c r="AI37" s="121">
        <v>0</v>
      </c>
      <c r="AJ37" s="121">
        <v>0</v>
      </c>
      <c r="AK37" s="121">
        <v>0</v>
      </c>
      <c r="AL37" s="121">
        <v>0</v>
      </c>
      <c r="AM37" s="121">
        <v>-1.08380667707658</v>
      </c>
      <c r="AN37" s="121">
        <v>0</v>
      </c>
      <c r="AO37" s="121">
        <v>0</v>
      </c>
      <c r="AP37" s="121">
        <v>0</v>
      </c>
      <c r="AQ37" s="121">
        <v>0</v>
      </c>
      <c r="AR37" s="122">
        <v>0</v>
      </c>
    </row>
    <row r="38" spans="2:44" ht="12" customHeight="1" x14ac:dyDescent="0.3">
      <c r="B38" s="120" t="s">
        <v>41</v>
      </c>
      <c r="C38" s="121" t="s">
        <v>38</v>
      </c>
      <c r="D38" s="121" t="s">
        <v>42</v>
      </c>
      <c r="E38" s="121" t="s">
        <v>93</v>
      </c>
      <c r="F38" s="121" t="s">
        <v>25</v>
      </c>
      <c r="G38" s="121" t="s">
        <v>37</v>
      </c>
      <c r="H38" s="121" t="s">
        <v>78</v>
      </c>
      <c r="I38" s="121" t="s">
        <v>25</v>
      </c>
      <c r="J38" s="121">
        <v>29.48</v>
      </c>
      <c r="K38" s="121">
        <v>-0.69</v>
      </c>
      <c r="L38" s="121">
        <v>0.207183542468757</v>
      </c>
      <c r="M38" s="121">
        <v>0</v>
      </c>
      <c r="N38" s="121">
        <v>0</v>
      </c>
      <c r="O38" s="121">
        <v>0</v>
      </c>
      <c r="P38" s="121">
        <v>0</v>
      </c>
      <c r="Q38" s="121">
        <v>24.995033486306401</v>
      </c>
      <c r="R38" s="121">
        <v>4.3697172751907001</v>
      </c>
      <c r="S38" s="121">
        <v>0</v>
      </c>
      <c r="T38" s="121">
        <v>0</v>
      </c>
      <c r="U38" s="121">
        <v>0</v>
      </c>
      <c r="V38" s="121">
        <v>0</v>
      </c>
      <c r="W38" s="121">
        <v>0</v>
      </c>
      <c r="X38" s="121">
        <v>0</v>
      </c>
      <c r="Y38" s="121">
        <v>0</v>
      </c>
      <c r="Z38" s="121">
        <v>0</v>
      </c>
      <c r="AA38" s="121">
        <v>0</v>
      </c>
      <c r="AB38" s="121">
        <v>0</v>
      </c>
      <c r="AC38" s="121">
        <v>0</v>
      </c>
      <c r="AD38" s="121">
        <v>-8.8077047444348397E-2</v>
      </c>
      <c r="AE38" s="121">
        <v>0</v>
      </c>
      <c r="AF38" s="121">
        <v>-5.1663289588584002E-3</v>
      </c>
      <c r="AG38" s="121">
        <v>0</v>
      </c>
      <c r="AH38" s="121">
        <v>0.390894541372244</v>
      </c>
      <c r="AI38" s="121">
        <v>0</v>
      </c>
      <c r="AJ38" s="121">
        <v>0</v>
      </c>
      <c r="AK38" s="121">
        <v>0</v>
      </c>
      <c r="AL38" s="121">
        <v>0</v>
      </c>
      <c r="AM38" s="121">
        <v>-1.08380667707658</v>
      </c>
      <c r="AN38" s="121">
        <v>0</v>
      </c>
      <c r="AO38" s="121">
        <v>0</v>
      </c>
      <c r="AP38" s="121">
        <v>0</v>
      </c>
      <c r="AQ38" s="121">
        <v>0</v>
      </c>
      <c r="AR38" s="122">
        <v>0</v>
      </c>
    </row>
    <row r="39" spans="2:44" ht="12" customHeight="1" x14ac:dyDescent="0.3">
      <c r="B39" s="120" t="s">
        <v>41</v>
      </c>
      <c r="C39" s="121" t="s">
        <v>38</v>
      </c>
      <c r="D39" s="121" t="s">
        <v>42</v>
      </c>
      <c r="E39" s="121" t="s">
        <v>25</v>
      </c>
      <c r="F39" s="121" t="s">
        <v>25</v>
      </c>
      <c r="G39" s="121" t="s">
        <v>36</v>
      </c>
      <c r="H39" s="121" t="s">
        <v>78</v>
      </c>
      <c r="I39" s="121" t="s">
        <v>25</v>
      </c>
      <c r="J39" s="121">
        <v>29.48</v>
      </c>
      <c r="K39" s="121">
        <v>-1.47</v>
      </c>
      <c r="L39" s="121">
        <v>0.207183542468757</v>
      </c>
      <c r="M39" s="121">
        <v>0</v>
      </c>
      <c r="N39" s="121">
        <v>0</v>
      </c>
      <c r="O39" s="121">
        <v>0</v>
      </c>
      <c r="P39" s="121">
        <v>0</v>
      </c>
      <c r="Q39" s="121">
        <v>24.995033486306401</v>
      </c>
      <c r="R39" s="121">
        <v>4.3697172751907001</v>
      </c>
      <c r="S39" s="121">
        <v>0</v>
      </c>
      <c r="T39" s="121">
        <v>0</v>
      </c>
      <c r="U39" s="121">
        <v>0</v>
      </c>
      <c r="V39" s="121">
        <v>0</v>
      </c>
      <c r="W39" s="121">
        <v>0</v>
      </c>
      <c r="X39" s="121">
        <v>0</v>
      </c>
      <c r="Y39" s="121">
        <v>0</v>
      </c>
      <c r="Z39" s="121">
        <v>0</v>
      </c>
      <c r="AA39" s="121">
        <v>0</v>
      </c>
      <c r="AB39" s="121">
        <v>0</v>
      </c>
      <c r="AC39" s="121">
        <v>0</v>
      </c>
      <c r="AD39" s="121">
        <v>-8.8077047444348397E-2</v>
      </c>
      <c r="AE39" s="121">
        <v>0</v>
      </c>
      <c r="AF39" s="121">
        <v>-5.1663289588584002E-3</v>
      </c>
      <c r="AG39" s="121">
        <v>0</v>
      </c>
      <c r="AH39" s="121">
        <v>0.390894541372244</v>
      </c>
      <c r="AI39" s="121">
        <v>0</v>
      </c>
      <c r="AJ39" s="121">
        <v>0</v>
      </c>
      <c r="AK39" s="121">
        <v>0</v>
      </c>
      <c r="AL39" s="121">
        <v>0</v>
      </c>
      <c r="AM39" s="121">
        <v>-1.8641474845717101</v>
      </c>
      <c r="AN39" s="121">
        <v>0</v>
      </c>
      <c r="AO39" s="121">
        <v>0</v>
      </c>
      <c r="AP39" s="121">
        <v>0</v>
      </c>
      <c r="AQ39" s="121">
        <v>0</v>
      </c>
      <c r="AR39" s="122">
        <v>0</v>
      </c>
    </row>
    <row r="40" spans="2:44" ht="12" customHeight="1" x14ac:dyDescent="0.3">
      <c r="B40" s="120" t="s">
        <v>41</v>
      </c>
      <c r="C40" s="121" t="s">
        <v>38</v>
      </c>
      <c r="D40" s="121" t="s">
        <v>42</v>
      </c>
      <c r="E40" s="121" t="s">
        <v>25</v>
      </c>
      <c r="F40" s="121" t="s">
        <v>25</v>
      </c>
      <c r="G40" s="121" t="s">
        <v>39</v>
      </c>
      <c r="H40" s="121" t="s">
        <v>78</v>
      </c>
      <c r="I40" s="121" t="s">
        <v>25</v>
      </c>
      <c r="J40" s="121">
        <v>29.48</v>
      </c>
      <c r="K40" s="121">
        <v>-0.69</v>
      </c>
      <c r="L40" s="121">
        <v>0.207183542468757</v>
      </c>
      <c r="M40" s="121">
        <v>0</v>
      </c>
      <c r="N40" s="121">
        <v>0</v>
      </c>
      <c r="O40" s="121">
        <v>0</v>
      </c>
      <c r="P40" s="121">
        <v>0</v>
      </c>
      <c r="Q40" s="121">
        <v>24.995033486306401</v>
      </c>
      <c r="R40" s="121">
        <v>4.3697172751907001</v>
      </c>
      <c r="S40" s="121">
        <v>0</v>
      </c>
      <c r="T40" s="121">
        <v>0</v>
      </c>
      <c r="U40" s="121">
        <v>0</v>
      </c>
      <c r="V40" s="121">
        <v>0</v>
      </c>
      <c r="W40" s="121">
        <v>0</v>
      </c>
      <c r="X40" s="121">
        <v>0</v>
      </c>
      <c r="Y40" s="121">
        <v>0</v>
      </c>
      <c r="Z40" s="121">
        <v>0</v>
      </c>
      <c r="AA40" s="121">
        <v>0</v>
      </c>
      <c r="AB40" s="121">
        <v>0</v>
      </c>
      <c r="AC40" s="121">
        <v>0</v>
      </c>
      <c r="AD40" s="121">
        <v>-8.8077047444348397E-2</v>
      </c>
      <c r="AE40" s="121">
        <v>0</v>
      </c>
      <c r="AF40" s="121">
        <v>-5.1663289588584002E-3</v>
      </c>
      <c r="AG40" s="121">
        <v>0</v>
      </c>
      <c r="AH40" s="121">
        <v>0.390894541372244</v>
      </c>
      <c r="AI40" s="121">
        <v>0</v>
      </c>
      <c r="AJ40" s="121">
        <v>0</v>
      </c>
      <c r="AK40" s="121">
        <v>0</v>
      </c>
      <c r="AL40" s="121">
        <v>0</v>
      </c>
      <c r="AM40" s="121">
        <v>-1.08380667707658</v>
      </c>
      <c r="AN40" s="121">
        <v>0</v>
      </c>
      <c r="AO40" s="121">
        <v>0</v>
      </c>
      <c r="AP40" s="121">
        <v>0</v>
      </c>
      <c r="AQ40" s="121">
        <v>0</v>
      </c>
      <c r="AR40" s="122">
        <v>0</v>
      </c>
    </row>
    <row r="41" spans="2:44" ht="12" customHeight="1" x14ac:dyDescent="0.3">
      <c r="B41" s="120" t="s">
        <v>41</v>
      </c>
      <c r="C41" s="121" t="s">
        <v>38</v>
      </c>
      <c r="D41" s="121" t="s">
        <v>42</v>
      </c>
      <c r="E41" s="121" t="s">
        <v>25</v>
      </c>
      <c r="F41" s="121" t="s">
        <v>25</v>
      </c>
      <c r="G41" s="121" t="s">
        <v>37</v>
      </c>
      <c r="H41" s="121" t="s">
        <v>78</v>
      </c>
      <c r="I41" s="121" t="s">
        <v>25</v>
      </c>
      <c r="J41" s="121">
        <v>29.48</v>
      </c>
      <c r="K41" s="121">
        <v>-0.69</v>
      </c>
      <c r="L41" s="121">
        <v>0.207183542468757</v>
      </c>
      <c r="M41" s="121">
        <v>0</v>
      </c>
      <c r="N41" s="121">
        <v>0</v>
      </c>
      <c r="O41" s="121">
        <v>0</v>
      </c>
      <c r="P41" s="121">
        <v>0</v>
      </c>
      <c r="Q41" s="121">
        <v>24.995033486306401</v>
      </c>
      <c r="R41" s="121">
        <v>4.3697172751907001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0</v>
      </c>
      <c r="AA41" s="121">
        <v>0</v>
      </c>
      <c r="AB41" s="121">
        <v>0</v>
      </c>
      <c r="AC41" s="121">
        <v>0</v>
      </c>
      <c r="AD41" s="121">
        <v>-8.8077047444348397E-2</v>
      </c>
      <c r="AE41" s="121">
        <v>0</v>
      </c>
      <c r="AF41" s="121">
        <v>-5.1663289588584002E-3</v>
      </c>
      <c r="AG41" s="121">
        <v>0</v>
      </c>
      <c r="AH41" s="121">
        <v>0.390894541372244</v>
      </c>
      <c r="AI41" s="121">
        <v>0</v>
      </c>
      <c r="AJ41" s="121">
        <v>0</v>
      </c>
      <c r="AK41" s="121">
        <v>0</v>
      </c>
      <c r="AL41" s="121">
        <v>0</v>
      </c>
      <c r="AM41" s="121">
        <v>-1.08380667707658</v>
      </c>
      <c r="AN41" s="121">
        <v>0</v>
      </c>
      <c r="AO41" s="121">
        <v>0</v>
      </c>
      <c r="AP41" s="121">
        <v>0</v>
      </c>
      <c r="AQ41" s="121">
        <v>0</v>
      </c>
      <c r="AR41" s="122">
        <v>0</v>
      </c>
    </row>
    <row r="42" spans="2:44" ht="12" customHeight="1" x14ac:dyDescent="0.3">
      <c r="B42" s="120" t="s">
        <v>41</v>
      </c>
      <c r="C42" s="121" t="s">
        <v>38</v>
      </c>
      <c r="D42" s="121" t="s">
        <v>42</v>
      </c>
      <c r="E42" s="121" t="s">
        <v>94</v>
      </c>
      <c r="F42" s="121" t="s">
        <v>25</v>
      </c>
      <c r="G42" s="121" t="s">
        <v>36</v>
      </c>
      <c r="H42" s="121" t="s">
        <v>78</v>
      </c>
      <c r="I42" s="121" t="s">
        <v>25</v>
      </c>
      <c r="J42" s="121">
        <v>28.85</v>
      </c>
      <c r="K42" s="121">
        <v>-1.44</v>
      </c>
      <c r="L42" s="121">
        <v>0.202775381990699</v>
      </c>
      <c r="M42" s="121">
        <v>0</v>
      </c>
      <c r="N42" s="121">
        <v>0</v>
      </c>
      <c r="O42" s="121">
        <v>0</v>
      </c>
      <c r="P42" s="121">
        <v>0</v>
      </c>
      <c r="Q42" s="121">
        <v>24.463224263193499</v>
      </c>
      <c r="R42" s="121">
        <v>4.2767445672079196</v>
      </c>
      <c r="S42" s="121">
        <v>0</v>
      </c>
      <c r="T42" s="121">
        <v>0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-8.6203067711489903E-2</v>
      </c>
      <c r="AE42" s="121">
        <v>0</v>
      </c>
      <c r="AF42" s="121">
        <v>-5.0564070661167299E-3</v>
      </c>
      <c r="AG42" s="121">
        <v>0</v>
      </c>
      <c r="AH42" s="121">
        <v>0.38257763623666502</v>
      </c>
      <c r="AI42" s="121">
        <v>0</v>
      </c>
      <c r="AJ42" s="121">
        <v>0</v>
      </c>
      <c r="AK42" s="121">
        <v>0</v>
      </c>
      <c r="AL42" s="121">
        <v>0</v>
      </c>
      <c r="AM42" s="121">
        <v>-1.8244847721340101</v>
      </c>
      <c r="AN42" s="121">
        <v>0</v>
      </c>
      <c r="AO42" s="121">
        <v>0</v>
      </c>
      <c r="AP42" s="121">
        <v>0</v>
      </c>
      <c r="AQ42" s="121">
        <v>0</v>
      </c>
      <c r="AR42" s="122">
        <v>0</v>
      </c>
    </row>
    <row r="43" spans="2:44" ht="12" customHeight="1" x14ac:dyDescent="0.3">
      <c r="B43" s="120" t="s">
        <v>41</v>
      </c>
      <c r="C43" s="121" t="s">
        <v>38</v>
      </c>
      <c r="D43" s="121" t="s">
        <v>42</v>
      </c>
      <c r="E43" s="121" t="s">
        <v>94</v>
      </c>
      <c r="F43" s="121" t="s">
        <v>25</v>
      </c>
      <c r="G43" s="121" t="s">
        <v>39</v>
      </c>
      <c r="H43" s="121" t="s">
        <v>78</v>
      </c>
      <c r="I43" s="121" t="s">
        <v>25</v>
      </c>
      <c r="J43" s="121">
        <v>28.85</v>
      </c>
      <c r="K43" s="121">
        <v>-0.68</v>
      </c>
      <c r="L43" s="121">
        <v>0.202775381990699</v>
      </c>
      <c r="M43" s="121">
        <v>0</v>
      </c>
      <c r="N43" s="121">
        <v>0</v>
      </c>
      <c r="O43" s="121">
        <v>0</v>
      </c>
      <c r="P43" s="121">
        <v>0</v>
      </c>
      <c r="Q43" s="121">
        <v>24.463224263193499</v>
      </c>
      <c r="R43" s="121">
        <v>4.2767445672079196</v>
      </c>
      <c r="S43" s="121">
        <v>0</v>
      </c>
      <c r="T43" s="121">
        <v>0</v>
      </c>
      <c r="U43" s="121">
        <v>0</v>
      </c>
      <c r="V43" s="121">
        <v>0</v>
      </c>
      <c r="W43" s="121">
        <v>0</v>
      </c>
      <c r="X43" s="121">
        <v>0</v>
      </c>
      <c r="Y43" s="121">
        <v>0</v>
      </c>
      <c r="Z43" s="121">
        <v>0</v>
      </c>
      <c r="AA43" s="121">
        <v>0</v>
      </c>
      <c r="AB43" s="121">
        <v>0</v>
      </c>
      <c r="AC43" s="121">
        <v>0</v>
      </c>
      <c r="AD43" s="121">
        <v>-8.6203067711489903E-2</v>
      </c>
      <c r="AE43" s="121">
        <v>0</v>
      </c>
      <c r="AF43" s="121">
        <v>-5.0564070661167299E-3</v>
      </c>
      <c r="AG43" s="121">
        <v>0</v>
      </c>
      <c r="AH43" s="121">
        <v>0.38257763623666502</v>
      </c>
      <c r="AI43" s="121">
        <v>0</v>
      </c>
      <c r="AJ43" s="121">
        <v>0</v>
      </c>
      <c r="AK43" s="121">
        <v>0</v>
      </c>
      <c r="AL43" s="121">
        <v>0</v>
      </c>
      <c r="AM43" s="121">
        <v>-1.06074696054303</v>
      </c>
      <c r="AN43" s="121">
        <v>0</v>
      </c>
      <c r="AO43" s="121">
        <v>0</v>
      </c>
      <c r="AP43" s="121">
        <v>0</v>
      </c>
      <c r="AQ43" s="121">
        <v>0</v>
      </c>
      <c r="AR43" s="122">
        <v>0</v>
      </c>
    </row>
    <row r="44" spans="2:44" ht="12" customHeight="1" x14ac:dyDescent="0.3">
      <c r="B44" s="120" t="s">
        <v>41</v>
      </c>
      <c r="C44" s="121" t="s">
        <v>38</v>
      </c>
      <c r="D44" s="121" t="s">
        <v>42</v>
      </c>
      <c r="E44" s="121" t="s">
        <v>94</v>
      </c>
      <c r="F44" s="121" t="s">
        <v>25</v>
      </c>
      <c r="G44" s="121" t="s">
        <v>37</v>
      </c>
      <c r="H44" s="121" t="s">
        <v>78</v>
      </c>
      <c r="I44" s="121" t="s">
        <v>25</v>
      </c>
      <c r="J44" s="121">
        <v>28.85</v>
      </c>
      <c r="K44" s="121">
        <v>-0.68</v>
      </c>
      <c r="L44" s="121">
        <v>0.202775381990699</v>
      </c>
      <c r="M44" s="121">
        <v>0</v>
      </c>
      <c r="N44" s="121">
        <v>0</v>
      </c>
      <c r="O44" s="121">
        <v>0</v>
      </c>
      <c r="P44" s="121">
        <v>0</v>
      </c>
      <c r="Q44" s="121">
        <v>24.463224263193499</v>
      </c>
      <c r="R44" s="121">
        <v>4.2767445672079196</v>
      </c>
      <c r="S44" s="121">
        <v>0</v>
      </c>
      <c r="T44" s="121">
        <v>0</v>
      </c>
      <c r="U44" s="121">
        <v>0</v>
      </c>
      <c r="V44" s="121">
        <v>0</v>
      </c>
      <c r="W44" s="121">
        <v>0</v>
      </c>
      <c r="X44" s="121">
        <v>0</v>
      </c>
      <c r="Y44" s="121">
        <v>0</v>
      </c>
      <c r="Z44" s="121">
        <v>0</v>
      </c>
      <c r="AA44" s="121">
        <v>0</v>
      </c>
      <c r="AB44" s="121">
        <v>0</v>
      </c>
      <c r="AC44" s="121">
        <v>0</v>
      </c>
      <c r="AD44" s="121">
        <v>-8.6203067711489903E-2</v>
      </c>
      <c r="AE44" s="121">
        <v>0</v>
      </c>
      <c r="AF44" s="121">
        <v>-5.0564070661167299E-3</v>
      </c>
      <c r="AG44" s="121">
        <v>0</v>
      </c>
      <c r="AH44" s="121">
        <v>0.38257763623666502</v>
      </c>
      <c r="AI44" s="121">
        <v>0</v>
      </c>
      <c r="AJ44" s="121">
        <v>0</v>
      </c>
      <c r="AK44" s="121">
        <v>0</v>
      </c>
      <c r="AL44" s="121">
        <v>0</v>
      </c>
      <c r="AM44" s="121">
        <v>-1.06074696054303</v>
      </c>
      <c r="AN44" s="121">
        <v>0</v>
      </c>
      <c r="AO44" s="121">
        <v>0</v>
      </c>
      <c r="AP44" s="121">
        <v>0</v>
      </c>
      <c r="AQ44" s="121">
        <v>0</v>
      </c>
      <c r="AR44" s="122">
        <v>0</v>
      </c>
    </row>
    <row r="45" spans="2:44" ht="12" customHeight="1" x14ac:dyDescent="0.3">
      <c r="B45" s="120" t="s">
        <v>41</v>
      </c>
      <c r="C45" s="121" t="s">
        <v>23</v>
      </c>
      <c r="D45" s="121" t="s">
        <v>42</v>
      </c>
      <c r="E45" s="121" t="s">
        <v>93</v>
      </c>
      <c r="F45" s="121" t="s">
        <v>25</v>
      </c>
      <c r="G45" s="121" t="s">
        <v>25</v>
      </c>
      <c r="H45" s="121" t="s">
        <v>78</v>
      </c>
      <c r="I45" s="121" t="s">
        <v>25</v>
      </c>
      <c r="J45" s="121">
        <v>29.48</v>
      </c>
      <c r="K45" s="121">
        <v>-0.76</v>
      </c>
      <c r="L45" s="121">
        <v>0.207183542468757</v>
      </c>
      <c r="M45" s="121">
        <v>0</v>
      </c>
      <c r="N45" s="121">
        <v>0</v>
      </c>
      <c r="O45" s="121">
        <v>0</v>
      </c>
      <c r="P45" s="121">
        <v>0</v>
      </c>
      <c r="Q45" s="121">
        <v>24.995033486306401</v>
      </c>
      <c r="R45" s="121">
        <v>4.3697172751907001</v>
      </c>
      <c r="S45" s="121">
        <v>0</v>
      </c>
      <c r="T45" s="121">
        <v>0</v>
      </c>
      <c r="U45" s="121">
        <v>0</v>
      </c>
      <c r="V45" s="121">
        <v>0</v>
      </c>
      <c r="W45" s="121">
        <v>0</v>
      </c>
      <c r="X45" s="121">
        <v>0</v>
      </c>
      <c r="Y45" s="121">
        <v>0</v>
      </c>
      <c r="Z45" s="121">
        <v>0</v>
      </c>
      <c r="AA45" s="121">
        <v>0</v>
      </c>
      <c r="AB45" s="121">
        <v>0</v>
      </c>
      <c r="AC45" s="121">
        <v>0</v>
      </c>
      <c r="AD45" s="121">
        <v>-8.8077047444348397E-2</v>
      </c>
      <c r="AE45" s="121">
        <v>0</v>
      </c>
      <c r="AF45" s="121">
        <v>-5.1663289588584002E-3</v>
      </c>
      <c r="AG45" s="121">
        <v>0</v>
      </c>
      <c r="AH45" s="121">
        <v>0.390894541372244</v>
      </c>
      <c r="AI45" s="121">
        <v>0</v>
      </c>
      <c r="AJ45" s="121">
        <v>0</v>
      </c>
      <c r="AK45" s="121">
        <v>0</v>
      </c>
      <c r="AL45" s="121">
        <v>0</v>
      </c>
      <c r="AM45" s="121">
        <v>-1.14883507770117</v>
      </c>
      <c r="AN45" s="121">
        <v>0</v>
      </c>
      <c r="AO45" s="121">
        <v>0</v>
      </c>
      <c r="AP45" s="121">
        <v>0</v>
      </c>
      <c r="AQ45" s="121">
        <v>0</v>
      </c>
      <c r="AR45" s="122">
        <v>0</v>
      </c>
    </row>
    <row r="46" spans="2:44" ht="12" customHeight="1" x14ac:dyDescent="0.3">
      <c r="B46" s="120" t="s">
        <v>41</v>
      </c>
      <c r="C46" s="121" t="s">
        <v>23</v>
      </c>
      <c r="D46" s="121" t="s">
        <v>42</v>
      </c>
      <c r="E46" s="121" t="s">
        <v>25</v>
      </c>
      <c r="F46" s="121" t="s">
        <v>25</v>
      </c>
      <c r="G46" s="121" t="s">
        <v>25</v>
      </c>
      <c r="H46" s="121" t="s">
        <v>78</v>
      </c>
      <c r="I46" s="121" t="s">
        <v>25</v>
      </c>
      <c r="J46" s="121">
        <v>29.48</v>
      </c>
      <c r="K46" s="121">
        <v>-0.76</v>
      </c>
      <c r="L46" s="121">
        <v>0.207183542468757</v>
      </c>
      <c r="M46" s="121">
        <v>0</v>
      </c>
      <c r="N46" s="121">
        <v>0</v>
      </c>
      <c r="O46" s="121">
        <v>0</v>
      </c>
      <c r="P46" s="121">
        <v>0</v>
      </c>
      <c r="Q46" s="121">
        <v>24.995033486306401</v>
      </c>
      <c r="R46" s="121">
        <v>4.3697172751907001</v>
      </c>
      <c r="S46" s="121">
        <v>0</v>
      </c>
      <c r="T46" s="121">
        <v>0</v>
      </c>
      <c r="U46" s="121">
        <v>0</v>
      </c>
      <c r="V46" s="121">
        <v>0</v>
      </c>
      <c r="W46" s="121">
        <v>0</v>
      </c>
      <c r="X46" s="121">
        <v>0</v>
      </c>
      <c r="Y46" s="121">
        <v>0</v>
      </c>
      <c r="Z46" s="121">
        <v>0</v>
      </c>
      <c r="AA46" s="121">
        <v>0</v>
      </c>
      <c r="AB46" s="121">
        <v>0</v>
      </c>
      <c r="AC46" s="121">
        <v>0</v>
      </c>
      <c r="AD46" s="121">
        <v>-8.8077047444348397E-2</v>
      </c>
      <c r="AE46" s="121">
        <v>0</v>
      </c>
      <c r="AF46" s="121">
        <v>-5.1663289588584002E-3</v>
      </c>
      <c r="AG46" s="121">
        <v>0</v>
      </c>
      <c r="AH46" s="121">
        <v>0.390894541372244</v>
      </c>
      <c r="AI46" s="121">
        <v>0</v>
      </c>
      <c r="AJ46" s="121">
        <v>0</v>
      </c>
      <c r="AK46" s="121">
        <v>0</v>
      </c>
      <c r="AL46" s="121">
        <v>0</v>
      </c>
      <c r="AM46" s="121">
        <v>-1.14883507770117</v>
      </c>
      <c r="AN46" s="121">
        <v>0</v>
      </c>
      <c r="AO46" s="121">
        <v>0</v>
      </c>
      <c r="AP46" s="121">
        <v>0</v>
      </c>
      <c r="AQ46" s="121">
        <v>0</v>
      </c>
      <c r="AR46" s="122">
        <v>0</v>
      </c>
    </row>
    <row r="47" spans="2:44" ht="12" customHeight="1" x14ac:dyDescent="0.3">
      <c r="B47" s="120" t="s">
        <v>41</v>
      </c>
      <c r="C47" s="121" t="s">
        <v>23</v>
      </c>
      <c r="D47" s="121" t="s">
        <v>42</v>
      </c>
      <c r="E47" s="121" t="s">
        <v>94</v>
      </c>
      <c r="F47" s="121" t="s">
        <v>25</v>
      </c>
      <c r="G47" s="121" t="s">
        <v>25</v>
      </c>
      <c r="H47" s="121" t="s">
        <v>78</v>
      </c>
      <c r="I47" s="121" t="s">
        <v>25</v>
      </c>
      <c r="J47" s="121">
        <v>28.85</v>
      </c>
      <c r="K47" s="121">
        <v>-0.74</v>
      </c>
      <c r="L47" s="121">
        <v>0.202775381990699</v>
      </c>
      <c r="M47" s="121">
        <v>0</v>
      </c>
      <c r="N47" s="121">
        <v>0</v>
      </c>
      <c r="O47" s="121">
        <v>0</v>
      </c>
      <c r="P47" s="121">
        <v>0</v>
      </c>
      <c r="Q47" s="121">
        <v>24.463224263193499</v>
      </c>
      <c r="R47" s="121">
        <v>4.2767445672079196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-8.6203067711489903E-2</v>
      </c>
      <c r="AE47" s="121">
        <v>0</v>
      </c>
      <c r="AF47" s="121">
        <v>-5.0564070661167299E-3</v>
      </c>
      <c r="AG47" s="121">
        <v>0</v>
      </c>
      <c r="AH47" s="121">
        <v>0.38257763623666502</v>
      </c>
      <c r="AI47" s="121">
        <v>0</v>
      </c>
      <c r="AJ47" s="121">
        <v>0</v>
      </c>
      <c r="AK47" s="121">
        <v>0</v>
      </c>
      <c r="AL47" s="121">
        <v>0</v>
      </c>
      <c r="AM47" s="121">
        <v>-1.1243917781756101</v>
      </c>
      <c r="AN47" s="121">
        <v>0</v>
      </c>
      <c r="AO47" s="121">
        <v>0</v>
      </c>
      <c r="AP47" s="121">
        <v>0</v>
      </c>
      <c r="AQ47" s="121">
        <v>0</v>
      </c>
      <c r="AR47" s="122">
        <v>0</v>
      </c>
    </row>
    <row r="48" spans="2:44" ht="12" customHeight="1" x14ac:dyDescent="0.3">
      <c r="B48" s="120" t="s">
        <v>41</v>
      </c>
      <c r="C48" s="121" t="s">
        <v>92</v>
      </c>
      <c r="D48" s="121" t="s">
        <v>42</v>
      </c>
      <c r="E48" s="121" t="s">
        <v>93</v>
      </c>
      <c r="F48" s="121" t="s">
        <v>25</v>
      </c>
      <c r="G48" s="121" t="s">
        <v>25</v>
      </c>
      <c r="H48" s="121" t="s">
        <v>78</v>
      </c>
      <c r="I48" s="121" t="s">
        <v>25</v>
      </c>
      <c r="J48" s="121">
        <v>29.48</v>
      </c>
      <c r="K48" s="121">
        <v>-0.76</v>
      </c>
      <c r="L48" s="121">
        <v>0.207183542468757</v>
      </c>
      <c r="M48" s="121">
        <v>0</v>
      </c>
      <c r="N48" s="121">
        <v>0</v>
      </c>
      <c r="O48" s="121">
        <v>0</v>
      </c>
      <c r="P48" s="121">
        <v>0</v>
      </c>
      <c r="Q48" s="121">
        <v>24.995033486306401</v>
      </c>
      <c r="R48" s="121">
        <v>4.3697172751907001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0</v>
      </c>
      <c r="Y48" s="121">
        <v>0</v>
      </c>
      <c r="Z48" s="121">
        <v>0</v>
      </c>
      <c r="AA48" s="121">
        <v>0</v>
      </c>
      <c r="AB48" s="121">
        <v>0</v>
      </c>
      <c r="AC48" s="121">
        <v>0</v>
      </c>
      <c r="AD48" s="121">
        <v>-8.8077047444348397E-2</v>
      </c>
      <c r="AE48" s="121">
        <v>0</v>
      </c>
      <c r="AF48" s="121">
        <v>-5.1663289588584002E-3</v>
      </c>
      <c r="AG48" s="121">
        <v>0</v>
      </c>
      <c r="AH48" s="121">
        <v>0.390894541372244</v>
      </c>
      <c r="AI48" s="121">
        <v>0</v>
      </c>
      <c r="AJ48" s="121">
        <v>0</v>
      </c>
      <c r="AK48" s="121">
        <v>0</v>
      </c>
      <c r="AL48" s="121">
        <v>0</v>
      </c>
      <c r="AM48" s="121">
        <v>-1.14883507770117</v>
      </c>
      <c r="AN48" s="121">
        <v>0</v>
      </c>
      <c r="AO48" s="121">
        <v>0</v>
      </c>
      <c r="AP48" s="121">
        <v>0</v>
      </c>
      <c r="AQ48" s="121">
        <v>0</v>
      </c>
      <c r="AR48" s="122">
        <v>0</v>
      </c>
    </row>
    <row r="49" spans="2:44" ht="12" customHeight="1" x14ac:dyDescent="0.3">
      <c r="B49" s="120" t="s">
        <v>41</v>
      </c>
      <c r="C49" s="121" t="s">
        <v>92</v>
      </c>
      <c r="D49" s="121" t="s">
        <v>42</v>
      </c>
      <c r="E49" s="121" t="s">
        <v>25</v>
      </c>
      <c r="F49" s="121" t="s">
        <v>25</v>
      </c>
      <c r="G49" s="121" t="s">
        <v>25</v>
      </c>
      <c r="H49" s="121" t="s">
        <v>78</v>
      </c>
      <c r="I49" s="121" t="s">
        <v>25</v>
      </c>
      <c r="J49" s="121">
        <v>29.48</v>
      </c>
      <c r="K49" s="121">
        <v>-0.76</v>
      </c>
      <c r="L49" s="121">
        <v>0.207183542468757</v>
      </c>
      <c r="M49" s="121">
        <v>0</v>
      </c>
      <c r="N49" s="121">
        <v>0</v>
      </c>
      <c r="O49" s="121">
        <v>0</v>
      </c>
      <c r="P49" s="121">
        <v>0</v>
      </c>
      <c r="Q49" s="121">
        <v>24.995033486306401</v>
      </c>
      <c r="R49" s="121">
        <v>4.3697172751907001</v>
      </c>
      <c r="S49" s="121">
        <v>0</v>
      </c>
      <c r="T49" s="121">
        <v>0</v>
      </c>
      <c r="U49" s="121">
        <v>0</v>
      </c>
      <c r="V49" s="121">
        <v>0</v>
      </c>
      <c r="W49" s="121">
        <v>0</v>
      </c>
      <c r="X49" s="121">
        <v>0</v>
      </c>
      <c r="Y49" s="121">
        <v>0</v>
      </c>
      <c r="Z49" s="121">
        <v>0</v>
      </c>
      <c r="AA49" s="121">
        <v>0</v>
      </c>
      <c r="AB49" s="121">
        <v>0</v>
      </c>
      <c r="AC49" s="121">
        <v>0</v>
      </c>
      <c r="AD49" s="121">
        <v>-8.8077047444348397E-2</v>
      </c>
      <c r="AE49" s="121">
        <v>0</v>
      </c>
      <c r="AF49" s="121">
        <v>-5.1663289588584002E-3</v>
      </c>
      <c r="AG49" s="121">
        <v>0</v>
      </c>
      <c r="AH49" s="121">
        <v>0.390894541372244</v>
      </c>
      <c r="AI49" s="121">
        <v>0</v>
      </c>
      <c r="AJ49" s="121">
        <v>0</v>
      </c>
      <c r="AK49" s="121">
        <v>0</v>
      </c>
      <c r="AL49" s="121">
        <v>0</v>
      </c>
      <c r="AM49" s="121">
        <v>-1.14883507770117</v>
      </c>
      <c r="AN49" s="121">
        <v>0</v>
      </c>
      <c r="AO49" s="121">
        <v>0</v>
      </c>
      <c r="AP49" s="121">
        <v>0</v>
      </c>
      <c r="AQ49" s="121">
        <v>0</v>
      </c>
      <c r="AR49" s="122">
        <v>0</v>
      </c>
    </row>
    <row r="50" spans="2:44" ht="12" customHeight="1" x14ac:dyDescent="0.3">
      <c r="B50" s="120" t="s">
        <v>41</v>
      </c>
      <c r="C50" s="121" t="s">
        <v>92</v>
      </c>
      <c r="D50" s="121" t="s">
        <v>42</v>
      </c>
      <c r="E50" s="121" t="s">
        <v>94</v>
      </c>
      <c r="F50" s="121" t="s">
        <v>25</v>
      </c>
      <c r="G50" s="121" t="s">
        <v>25</v>
      </c>
      <c r="H50" s="121" t="s">
        <v>78</v>
      </c>
      <c r="I50" s="121" t="s">
        <v>25</v>
      </c>
      <c r="J50" s="121">
        <v>28.85</v>
      </c>
      <c r="K50" s="121">
        <v>-0.74</v>
      </c>
      <c r="L50" s="121">
        <v>0.202775381990699</v>
      </c>
      <c r="M50" s="121">
        <v>0</v>
      </c>
      <c r="N50" s="121">
        <v>0</v>
      </c>
      <c r="O50" s="121">
        <v>0</v>
      </c>
      <c r="P50" s="121">
        <v>0</v>
      </c>
      <c r="Q50" s="121">
        <v>24.463224263193499</v>
      </c>
      <c r="R50" s="121">
        <v>4.2767445672079196</v>
      </c>
      <c r="S50" s="121">
        <v>0</v>
      </c>
      <c r="T50" s="121">
        <v>0</v>
      </c>
      <c r="U50" s="121">
        <v>0</v>
      </c>
      <c r="V50" s="121">
        <v>0</v>
      </c>
      <c r="W50" s="121">
        <v>0</v>
      </c>
      <c r="X50" s="121">
        <v>0</v>
      </c>
      <c r="Y50" s="121">
        <v>0</v>
      </c>
      <c r="Z50" s="121">
        <v>0</v>
      </c>
      <c r="AA50" s="121">
        <v>0</v>
      </c>
      <c r="AB50" s="121">
        <v>0</v>
      </c>
      <c r="AC50" s="121">
        <v>0</v>
      </c>
      <c r="AD50" s="121">
        <v>-8.6203067711489903E-2</v>
      </c>
      <c r="AE50" s="121">
        <v>0</v>
      </c>
      <c r="AF50" s="121">
        <v>-5.0564070661167299E-3</v>
      </c>
      <c r="AG50" s="121">
        <v>0</v>
      </c>
      <c r="AH50" s="121">
        <v>0.38257763623666502</v>
      </c>
      <c r="AI50" s="121">
        <v>0</v>
      </c>
      <c r="AJ50" s="121">
        <v>0</v>
      </c>
      <c r="AK50" s="121">
        <v>0</v>
      </c>
      <c r="AL50" s="121">
        <v>0</v>
      </c>
      <c r="AM50" s="121">
        <v>-1.1243917781756101</v>
      </c>
      <c r="AN50" s="121">
        <v>0</v>
      </c>
      <c r="AO50" s="121">
        <v>0</v>
      </c>
      <c r="AP50" s="121">
        <v>0</v>
      </c>
      <c r="AQ50" s="121">
        <v>0</v>
      </c>
      <c r="AR50" s="122">
        <v>0</v>
      </c>
    </row>
    <row r="51" spans="2:44" ht="12" customHeight="1" x14ac:dyDescent="0.3">
      <c r="B51" s="120" t="s">
        <v>32</v>
      </c>
      <c r="C51" s="121" t="s">
        <v>38</v>
      </c>
      <c r="D51" s="121" t="s">
        <v>25</v>
      </c>
      <c r="E51" s="121" t="s">
        <v>25</v>
      </c>
      <c r="F51" s="121" t="s">
        <v>25</v>
      </c>
      <c r="G51" s="121" t="s">
        <v>36</v>
      </c>
      <c r="H51" s="121" t="s">
        <v>78</v>
      </c>
      <c r="I51" s="121" t="s">
        <v>25</v>
      </c>
      <c r="J51" s="121">
        <v>31.36</v>
      </c>
      <c r="K51" s="121">
        <v>-1.5699999999999998</v>
      </c>
      <c r="L51" s="121">
        <v>0.22040802390293299</v>
      </c>
      <c r="M51" s="121">
        <v>0</v>
      </c>
      <c r="N51" s="121">
        <v>0</v>
      </c>
      <c r="O51" s="121">
        <v>0</v>
      </c>
      <c r="P51" s="121">
        <v>0</v>
      </c>
      <c r="Q51" s="121">
        <v>26.590461155645102</v>
      </c>
      <c r="R51" s="121">
        <v>4.6486353991390397</v>
      </c>
      <c r="S51" s="121">
        <v>0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-9.3698986642923796E-2</v>
      </c>
      <c r="AE51" s="121">
        <v>0</v>
      </c>
      <c r="AF51" s="121">
        <v>-5.4960946370833999E-3</v>
      </c>
      <c r="AG51" s="121">
        <v>0</v>
      </c>
      <c r="AH51" s="121">
        <v>0.41584525677898299</v>
      </c>
      <c r="AI51" s="121">
        <v>0</v>
      </c>
      <c r="AJ51" s="121">
        <v>0</v>
      </c>
      <c r="AK51" s="121">
        <v>0</v>
      </c>
      <c r="AL51" s="121">
        <v>0</v>
      </c>
      <c r="AM51" s="121">
        <v>-1.9831356218848</v>
      </c>
      <c r="AN51" s="121">
        <v>0</v>
      </c>
      <c r="AO51" s="121">
        <v>0</v>
      </c>
      <c r="AP51" s="121">
        <v>0</v>
      </c>
      <c r="AQ51" s="121">
        <v>0</v>
      </c>
      <c r="AR51" s="122">
        <v>0</v>
      </c>
    </row>
    <row r="52" spans="2:44" ht="12" customHeight="1" x14ac:dyDescent="0.3">
      <c r="B52" s="120" t="s">
        <v>32</v>
      </c>
      <c r="C52" s="121" t="s">
        <v>38</v>
      </c>
      <c r="D52" s="121" t="s">
        <v>25</v>
      </c>
      <c r="E52" s="121" t="s">
        <v>25</v>
      </c>
      <c r="F52" s="121" t="s">
        <v>25</v>
      </c>
      <c r="G52" s="121" t="s">
        <v>39</v>
      </c>
      <c r="H52" s="121" t="s">
        <v>78</v>
      </c>
      <c r="I52" s="121" t="s">
        <v>25</v>
      </c>
      <c r="J52" s="121">
        <v>31.36</v>
      </c>
      <c r="K52" s="121">
        <v>-0.74</v>
      </c>
      <c r="L52" s="121">
        <v>0.22040802390293299</v>
      </c>
      <c r="M52" s="121">
        <v>0</v>
      </c>
      <c r="N52" s="121">
        <v>0</v>
      </c>
      <c r="O52" s="121">
        <v>0</v>
      </c>
      <c r="P52" s="121">
        <v>0</v>
      </c>
      <c r="Q52" s="121">
        <v>26.590461155645102</v>
      </c>
      <c r="R52" s="121">
        <v>4.6486353991390397</v>
      </c>
      <c r="S52" s="121">
        <v>0</v>
      </c>
      <c r="T52" s="121">
        <v>0</v>
      </c>
      <c r="U52" s="121">
        <v>0</v>
      </c>
      <c r="V52" s="121">
        <v>0</v>
      </c>
      <c r="W52" s="121">
        <v>0</v>
      </c>
      <c r="X52" s="121">
        <v>0</v>
      </c>
      <c r="Y52" s="121">
        <v>0</v>
      </c>
      <c r="Z52" s="121">
        <v>0</v>
      </c>
      <c r="AA52" s="121">
        <v>0</v>
      </c>
      <c r="AB52" s="121">
        <v>0</v>
      </c>
      <c r="AC52" s="121">
        <v>0</v>
      </c>
      <c r="AD52" s="121">
        <v>-9.3698986642923796E-2</v>
      </c>
      <c r="AE52" s="121">
        <v>0</v>
      </c>
      <c r="AF52" s="121">
        <v>-5.4960946370833999E-3</v>
      </c>
      <c r="AG52" s="121">
        <v>0</v>
      </c>
      <c r="AH52" s="121">
        <v>0.41584525677898299</v>
      </c>
      <c r="AI52" s="121">
        <v>0</v>
      </c>
      <c r="AJ52" s="121">
        <v>0</v>
      </c>
      <c r="AK52" s="121">
        <v>0</v>
      </c>
      <c r="AL52" s="121">
        <v>0</v>
      </c>
      <c r="AM52" s="121">
        <v>-1.1529858266772099</v>
      </c>
      <c r="AN52" s="121">
        <v>0</v>
      </c>
      <c r="AO52" s="121">
        <v>0</v>
      </c>
      <c r="AP52" s="121">
        <v>0</v>
      </c>
      <c r="AQ52" s="121">
        <v>0</v>
      </c>
      <c r="AR52" s="122">
        <v>0</v>
      </c>
    </row>
    <row r="53" spans="2:44" ht="12" customHeight="1" x14ac:dyDescent="0.3">
      <c r="B53" s="120" t="s">
        <v>32</v>
      </c>
      <c r="C53" s="121" t="s">
        <v>38</v>
      </c>
      <c r="D53" s="121" t="s">
        <v>25</v>
      </c>
      <c r="E53" s="121" t="s">
        <v>25</v>
      </c>
      <c r="F53" s="121" t="s">
        <v>25</v>
      </c>
      <c r="G53" s="121" t="s">
        <v>37</v>
      </c>
      <c r="H53" s="121" t="s">
        <v>78</v>
      </c>
      <c r="I53" s="121" t="s">
        <v>25</v>
      </c>
      <c r="J53" s="121">
        <v>31.36</v>
      </c>
      <c r="K53" s="121">
        <v>-0.74</v>
      </c>
      <c r="L53" s="121">
        <v>0.22040802390293299</v>
      </c>
      <c r="M53" s="121">
        <v>0</v>
      </c>
      <c r="N53" s="121">
        <v>0</v>
      </c>
      <c r="O53" s="121">
        <v>0</v>
      </c>
      <c r="P53" s="121">
        <v>0</v>
      </c>
      <c r="Q53" s="121">
        <v>26.590461155645102</v>
      </c>
      <c r="R53" s="121">
        <v>4.6486353991390397</v>
      </c>
      <c r="S53" s="121">
        <v>0</v>
      </c>
      <c r="T53" s="121">
        <v>0</v>
      </c>
      <c r="U53" s="121">
        <v>0</v>
      </c>
      <c r="V53" s="121">
        <v>0</v>
      </c>
      <c r="W53" s="121">
        <v>0</v>
      </c>
      <c r="X53" s="121">
        <v>0</v>
      </c>
      <c r="Y53" s="121">
        <v>0</v>
      </c>
      <c r="Z53" s="121">
        <v>0</v>
      </c>
      <c r="AA53" s="121">
        <v>0</v>
      </c>
      <c r="AB53" s="121">
        <v>0</v>
      </c>
      <c r="AC53" s="121">
        <v>0</v>
      </c>
      <c r="AD53" s="121">
        <v>-9.3698986642923796E-2</v>
      </c>
      <c r="AE53" s="121">
        <v>0</v>
      </c>
      <c r="AF53" s="121">
        <v>-5.4960946370833999E-3</v>
      </c>
      <c r="AG53" s="121">
        <v>0</v>
      </c>
      <c r="AH53" s="121">
        <v>0.41584525677898299</v>
      </c>
      <c r="AI53" s="121">
        <v>0</v>
      </c>
      <c r="AJ53" s="121">
        <v>0</v>
      </c>
      <c r="AK53" s="121">
        <v>0</v>
      </c>
      <c r="AL53" s="121">
        <v>0</v>
      </c>
      <c r="AM53" s="121">
        <v>-1.1529858266772099</v>
      </c>
      <c r="AN53" s="121">
        <v>0</v>
      </c>
      <c r="AO53" s="121">
        <v>0</v>
      </c>
      <c r="AP53" s="121">
        <v>0</v>
      </c>
      <c r="AQ53" s="121">
        <v>0</v>
      </c>
      <c r="AR53" s="122">
        <v>0</v>
      </c>
    </row>
    <row r="54" spans="2:44" ht="12" customHeight="1" x14ac:dyDescent="0.3">
      <c r="B54" s="120" t="s">
        <v>32</v>
      </c>
      <c r="C54" s="121" t="s">
        <v>23</v>
      </c>
      <c r="D54" s="121" t="s">
        <v>25</v>
      </c>
      <c r="E54" s="121" t="s">
        <v>25</v>
      </c>
      <c r="F54" s="121" t="s">
        <v>25</v>
      </c>
      <c r="G54" s="121" t="s">
        <v>25</v>
      </c>
      <c r="H54" s="121" t="s">
        <v>78</v>
      </c>
      <c r="I54" s="121" t="s">
        <v>25</v>
      </c>
      <c r="J54" s="121">
        <v>31.36</v>
      </c>
      <c r="K54" s="121">
        <v>-0.81</v>
      </c>
      <c r="L54" s="121">
        <v>0.22040802390293299</v>
      </c>
      <c r="M54" s="121">
        <v>0</v>
      </c>
      <c r="N54" s="121">
        <v>0</v>
      </c>
      <c r="O54" s="121">
        <v>0</v>
      </c>
      <c r="P54" s="121">
        <v>0</v>
      </c>
      <c r="Q54" s="121">
        <v>26.590461155645102</v>
      </c>
      <c r="R54" s="121">
        <v>4.6486353991390397</v>
      </c>
      <c r="S54" s="121">
        <v>0</v>
      </c>
      <c r="T54" s="121">
        <v>0</v>
      </c>
      <c r="U54" s="121">
        <v>0</v>
      </c>
      <c r="V54" s="121">
        <v>0</v>
      </c>
      <c r="W54" s="121">
        <v>0</v>
      </c>
      <c r="X54" s="121">
        <v>0</v>
      </c>
      <c r="Y54" s="121">
        <v>0</v>
      </c>
      <c r="Z54" s="121">
        <v>0</v>
      </c>
      <c r="AA54" s="121">
        <v>0</v>
      </c>
      <c r="AB54" s="121">
        <v>0</v>
      </c>
      <c r="AC54" s="121">
        <v>0</v>
      </c>
      <c r="AD54" s="121">
        <v>-9.3698986642923796E-2</v>
      </c>
      <c r="AE54" s="121">
        <v>0</v>
      </c>
      <c r="AF54" s="121">
        <v>-5.4960946370833999E-3</v>
      </c>
      <c r="AG54" s="121">
        <v>0</v>
      </c>
      <c r="AH54" s="121">
        <v>0.41584525677898299</v>
      </c>
      <c r="AI54" s="121">
        <v>0</v>
      </c>
      <c r="AJ54" s="121">
        <v>0</v>
      </c>
      <c r="AK54" s="121">
        <v>0</v>
      </c>
      <c r="AL54" s="121">
        <v>0</v>
      </c>
      <c r="AM54" s="121">
        <v>-1.2221649762778399</v>
      </c>
      <c r="AN54" s="121">
        <v>0</v>
      </c>
      <c r="AO54" s="121">
        <v>0</v>
      </c>
      <c r="AP54" s="121">
        <v>0</v>
      </c>
      <c r="AQ54" s="121">
        <v>0</v>
      </c>
      <c r="AR54" s="122">
        <v>0</v>
      </c>
    </row>
    <row r="55" spans="2:44" ht="12" customHeight="1" x14ac:dyDescent="0.3">
      <c r="B55" s="120" t="s">
        <v>32</v>
      </c>
      <c r="C55" s="121" t="s">
        <v>92</v>
      </c>
      <c r="D55" s="121" t="s">
        <v>25</v>
      </c>
      <c r="E55" s="121" t="s">
        <v>25</v>
      </c>
      <c r="F55" s="121" t="s">
        <v>25</v>
      </c>
      <c r="G55" s="121" t="s">
        <v>25</v>
      </c>
      <c r="H55" s="121" t="s">
        <v>78</v>
      </c>
      <c r="I55" s="121" t="s">
        <v>25</v>
      </c>
      <c r="J55" s="121">
        <v>31.36</v>
      </c>
      <c r="K55" s="121">
        <v>-0.81</v>
      </c>
      <c r="L55" s="121">
        <v>0.22040802390293299</v>
      </c>
      <c r="M55" s="121">
        <v>0</v>
      </c>
      <c r="N55" s="121">
        <v>0</v>
      </c>
      <c r="O55" s="121">
        <v>0</v>
      </c>
      <c r="P55" s="121">
        <v>0</v>
      </c>
      <c r="Q55" s="121">
        <v>26.590461155645102</v>
      </c>
      <c r="R55" s="121">
        <v>4.6486353991390397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-9.3698986642923796E-2</v>
      </c>
      <c r="AE55" s="121">
        <v>0</v>
      </c>
      <c r="AF55" s="121">
        <v>-5.4960946370833999E-3</v>
      </c>
      <c r="AG55" s="121">
        <v>0</v>
      </c>
      <c r="AH55" s="121">
        <v>0.41584525677898299</v>
      </c>
      <c r="AI55" s="121">
        <v>0</v>
      </c>
      <c r="AJ55" s="121">
        <v>0</v>
      </c>
      <c r="AK55" s="121">
        <v>0</v>
      </c>
      <c r="AL55" s="121">
        <v>0</v>
      </c>
      <c r="AM55" s="121">
        <v>-1.2221649762778399</v>
      </c>
      <c r="AN55" s="121">
        <v>0</v>
      </c>
      <c r="AO55" s="121">
        <v>0</v>
      </c>
      <c r="AP55" s="121">
        <v>0</v>
      </c>
      <c r="AQ55" s="121">
        <v>0</v>
      </c>
      <c r="AR55" s="122">
        <v>0</v>
      </c>
    </row>
    <row r="56" spans="2:44" ht="12" customHeight="1" x14ac:dyDescent="0.3">
      <c r="B56" s="120" t="s">
        <v>44</v>
      </c>
      <c r="C56" s="121" t="s">
        <v>23</v>
      </c>
      <c r="D56" s="121" t="s">
        <v>45</v>
      </c>
      <c r="E56" s="121" t="s">
        <v>46</v>
      </c>
      <c r="F56" s="121" t="s">
        <v>25</v>
      </c>
      <c r="G56" s="121" t="s">
        <v>25</v>
      </c>
      <c r="H56" s="121" t="s">
        <v>78</v>
      </c>
      <c r="I56" s="121" t="s">
        <v>25</v>
      </c>
      <c r="J56" s="121">
        <v>17.25</v>
      </c>
      <c r="K56" s="121">
        <v>-0.44</v>
      </c>
      <c r="L56" s="121">
        <v>0.121224413146613</v>
      </c>
      <c r="M56" s="121">
        <v>0</v>
      </c>
      <c r="N56" s="121">
        <v>0</v>
      </c>
      <c r="O56" s="121">
        <v>0</v>
      </c>
      <c r="P56" s="121">
        <v>0</v>
      </c>
      <c r="Q56" s="121">
        <v>14.624753635604799</v>
      </c>
      <c r="R56" s="121">
        <v>2.5567494695264701</v>
      </c>
      <c r="S56" s="121">
        <v>0</v>
      </c>
      <c r="T56" s="121">
        <v>0</v>
      </c>
      <c r="U56" s="121">
        <v>0</v>
      </c>
      <c r="V56" s="121">
        <v>0</v>
      </c>
      <c r="W56" s="121">
        <v>0</v>
      </c>
      <c r="X56" s="121">
        <v>0</v>
      </c>
      <c r="Y56" s="121">
        <v>0</v>
      </c>
      <c r="Z56" s="121">
        <v>0</v>
      </c>
      <c r="AA56" s="121">
        <v>0</v>
      </c>
      <c r="AB56" s="121">
        <v>0</v>
      </c>
      <c r="AC56" s="121">
        <v>0</v>
      </c>
      <c r="AD56" s="121">
        <v>-5.1534442653608098E-2</v>
      </c>
      <c r="AE56" s="121">
        <v>0</v>
      </c>
      <c r="AF56" s="121">
        <v>-3.0228520503958701E-3</v>
      </c>
      <c r="AG56" s="121">
        <v>0</v>
      </c>
      <c r="AH56" s="121">
        <v>0.22871489122844099</v>
      </c>
      <c r="AI56" s="121">
        <v>0</v>
      </c>
      <c r="AJ56" s="121">
        <v>0</v>
      </c>
      <c r="AK56" s="121">
        <v>0</v>
      </c>
      <c r="AL56" s="121">
        <v>0</v>
      </c>
      <c r="AM56" s="121">
        <v>-0.67219073695281195</v>
      </c>
      <c r="AN56" s="121">
        <v>0</v>
      </c>
      <c r="AO56" s="121">
        <v>0</v>
      </c>
      <c r="AP56" s="121">
        <v>0</v>
      </c>
      <c r="AQ56" s="121">
        <v>0</v>
      </c>
      <c r="AR56" s="122">
        <v>0</v>
      </c>
    </row>
    <row r="57" spans="2:44" ht="12" customHeight="1" x14ac:dyDescent="0.3">
      <c r="B57" s="123" t="s">
        <v>44</v>
      </c>
      <c r="C57" s="124" t="s">
        <v>23</v>
      </c>
      <c r="D57" s="124" t="s">
        <v>45</v>
      </c>
      <c r="E57" s="124" t="s">
        <v>95</v>
      </c>
      <c r="F57" s="124" t="s">
        <v>25</v>
      </c>
      <c r="G57" s="124" t="s">
        <v>25</v>
      </c>
      <c r="H57" s="124" t="s">
        <v>78</v>
      </c>
      <c r="I57" s="124" t="s">
        <v>25</v>
      </c>
      <c r="J57" s="124">
        <v>18.82</v>
      </c>
      <c r="K57" s="124">
        <v>-0.48</v>
      </c>
      <c r="L57" s="124">
        <v>0.13224481434176</v>
      </c>
      <c r="M57" s="124">
        <v>0</v>
      </c>
      <c r="N57" s="124">
        <v>0</v>
      </c>
      <c r="O57" s="124">
        <v>0</v>
      </c>
      <c r="P57" s="124">
        <v>0</v>
      </c>
      <c r="Q57" s="124">
        <v>15.954276693387101</v>
      </c>
      <c r="R57" s="124">
        <v>2.7891812394834301</v>
      </c>
      <c r="S57" s="124">
        <v>0</v>
      </c>
      <c r="T57" s="124">
        <v>0</v>
      </c>
      <c r="U57" s="124">
        <v>0</v>
      </c>
      <c r="V57" s="124">
        <v>0</v>
      </c>
      <c r="W57" s="124">
        <v>0</v>
      </c>
      <c r="X57" s="124">
        <v>0</v>
      </c>
      <c r="Y57" s="124">
        <v>0</v>
      </c>
      <c r="Z57" s="124">
        <v>0</v>
      </c>
      <c r="AA57" s="124">
        <v>0</v>
      </c>
      <c r="AB57" s="124">
        <v>0</v>
      </c>
      <c r="AC57" s="124">
        <v>0</v>
      </c>
      <c r="AD57" s="124">
        <v>-5.6219391985754298E-2</v>
      </c>
      <c r="AE57" s="124">
        <v>0</v>
      </c>
      <c r="AF57" s="124">
        <v>-3.2976567822500399E-3</v>
      </c>
      <c r="AG57" s="124">
        <v>0</v>
      </c>
      <c r="AH57" s="124">
        <v>0.24950715406738999</v>
      </c>
      <c r="AI57" s="124">
        <v>0</v>
      </c>
      <c r="AJ57" s="124">
        <v>0</v>
      </c>
      <c r="AK57" s="124">
        <v>0</v>
      </c>
      <c r="AL57" s="124">
        <v>0</v>
      </c>
      <c r="AM57" s="124">
        <v>-0.73329898576670405</v>
      </c>
      <c r="AN57" s="124">
        <v>0</v>
      </c>
      <c r="AO57" s="124">
        <v>0</v>
      </c>
      <c r="AP57" s="124">
        <v>0</v>
      </c>
      <c r="AQ57" s="124">
        <v>0</v>
      </c>
      <c r="AR57" s="125">
        <v>0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9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37</vt:i4>
      </vt:variant>
    </vt:vector>
  </HeadingPairs>
  <TitlesOfParts>
    <vt:vector size="37" baseType="lpstr">
      <vt:lpstr>TAR FIN CELESC</vt:lpstr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TUSD BF_350</vt:lpstr>
      <vt:lpstr>TE BF_350</vt:lpstr>
      <vt:lpstr>TabDinEfeito_350</vt:lpstr>
      <vt:lpstr>EFEITO_350</vt:lpstr>
      <vt:lpstr>EFEITO_REAL</vt:lpstr>
      <vt:lpstr>TarifaMedia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2022-08-15T20:37:06Z</dcterms:created>
  <dcterms:modified xsi:type="dcterms:W3CDTF">2022-08-17T13:47:58Z</dcterms:modified>
</cp:coreProperties>
</file>